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inwilliamhansen/Downloads/gitAnalytics/"/>
    </mc:Choice>
  </mc:AlternateContent>
  <xr:revisionPtr revIDLastSave="0" documentId="13_ncr:1_{7E7B24C2-7EB9-1D49-BA9F-39B66FFE754B}" xr6:coauthVersionLast="47" xr6:coauthVersionMax="47" xr10:uidLastSave="{00000000-0000-0000-0000-000000000000}"/>
  <bookViews>
    <workbookView xWindow="0" yWindow="0" windowWidth="28800" windowHeight="18000" xr2:uid="{BC3B2110-1749-F74C-9DB3-F65DFAF81BCC}"/>
  </bookViews>
  <sheets>
    <sheet name="2014_Clean_Data_Analysis" sheetId="8" r:id="rId1"/>
    <sheet name="2015_Clean_Data_Analysis" sheetId="4" r:id="rId2"/>
    <sheet name="2016_Clean_Data_Analysis" sheetId="5" r:id="rId3"/>
    <sheet name="2017_Clean_Data_Analysis" sheetId="6" r:id="rId4"/>
    <sheet name="Analysis" sheetId="3" r:id="rId5"/>
    <sheet name="S.D. Analysis" sheetId="9" r:id="rId6"/>
  </sheets>
  <definedNames>
    <definedName name="_xlnm._FilterDatabase" localSheetId="0" hidden="1">'2014_Clean_Data_Analysis'!$G$1:$G$1993</definedName>
    <definedName name="_xlnm._FilterDatabase" localSheetId="2" hidden="1">'2016_Clean_Data_Analysis'!$A$2:$U$2588</definedName>
    <definedName name="Ro">'2017_Clean_Data_Analysis'!$A:$A</definedName>
    <definedName name="RowI">'2016_Clean_Data_Analysis'!$A:$A</definedName>
    <definedName name="RowID">'2014_Clean_Data_Analysis'!$A$2:$A$1993</definedName>
    <definedName name="RowID2">'2015_Clean_Data_Analysis'!$A:$A</definedName>
    <definedName name="RowID3">'2016_Clean_Data_Analysis'!$A:$A</definedName>
    <definedName name="RowID4">'2017_Clean_Data_Analysis'!$A:$A</definedName>
    <definedName name="Year_2014">'2014_Clean_Data_Analysis'!$A$1997</definedName>
    <definedName name="Year_2015">'2015_Clean_Data_Analysis'!$A$2107</definedName>
    <definedName name="Year_2016">'2016_Clean_Data_Analysis'!$A$2592</definedName>
    <definedName name="Year_2017">'2017_Clean_Data_Analysis'!$A$3316</definedName>
    <definedName name="Year_2024">'2014_Clean_Data_Analysis'!$A$1997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9" l="1" a="1"/>
  <c r="E5" i="9" s="1"/>
  <c r="D5" i="9" a="1"/>
  <c r="D5" i="9" s="1"/>
  <c r="C5" i="9" a="1"/>
  <c r="C5" i="9" s="1"/>
  <c r="B5" i="9" a="1"/>
  <c r="B5" i="9" s="1"/>
  <c r="C5" i="3"/>
  <c r="C75" i="9"/>
  <c r="C76" i="9" s="1"/>
  <c r="E75" i="9"/>
  <c r="E76" i="9" s="1"/>
  <c r="D75" i="9"/>
  <c r="D76" i="9" s="1"/>
  <c r="B75" i="9"/>
  <c r="B76" i="9" s="1"/>
  <c r="B5" i="3"/>
  <c r="C2" i="3"/>
  <c r="D2" i="3"/>
  <c r="E2" i="3"/>
  <c r="B2" i="3"/>
  <c r="E49" i="9"/>
  <c r="E50" i="9"/>
  <c r="E48" i="9"/>
  <c r="D49" i="9"/>
  <c r="D50" i="9"/>
  <c r="D48" i="9"/>
  <c r="C49" i="9"/>
  <c r="C50" i="9"/>
  <c r="C48" i="9"/>
  <c r="B49" i="9"/>
  <c r="B50" i="9"/>
  <c r="B48" i="9"/>
  <c r="E59" i="9"/>
  <c r="D59" i="9"/>
  <c r="C59" i="9"/>
  <c r="B59" i="9"/>
  <c r="E58" i="9"/>
  <c r="D58" i="9"/>
  <c r="C58" i="9"/>
  <c r="B58" i="9"/>
  <c r="E57" i="9"/>
  <c r="D57" i="9"/>
  <c r="C57" i="9"/>
  <c r="B57" i="9"/>
  <c r="E67" i="9"/>
  <c r="E68" i="9"/>
  <c r="E66" i="9"/>
  <c r="D67" i="9"/>
  <c r="D68" i="9"/>
  <c r="D66" i="9"/>
  <c r="C67" i="9"/>
  <c r="C68" i="9"/>
  <c r="C66" i="9"/>
  <c r="B67" i="9"/>
  <c r="B68" i="9"/>
  <c r="B66" i="9"/>
  <c r="E41" i="9"/>
  <c r="E40" i="9"/>
  <c r="E39" i="9"/>
  <c r="E38" i="9"/>
  <c r="E37" i="9"/>
  <c r="E36" i="9"/>
  <c r="E35" i="9"/>
  <c r="E34" i="9"/>
  <c r="E33" i="9"/>
  <c r="E32" i="9"/>
  <c r="E31" i="9"/>
  <c r="E30" i="9"/>
  <c r="C41" i="9"/>
  <c r="C40" i="9"/>
  <c r="C39" i="9"/>
  <c r="C38" i="9"/>
  <c r="C37" i="9"/>
  <c r="C36" i="9"/>
  <c r="C35" i="9"/>
  <c r="C34" i="9"/>
  <c r="C33" i="9"/>
  <c r="C32" i="9"/>
  <c r="C31" i="9"/>
  <c r="C30" i="9"/>
  <c r="D41" i="9"/>
  <c r="D40" i="9"/>
  <c r="D39" i="9"/>
  <c r="D38" i="9"/>
  <c r="D37" i="9"/>
  <c r="D36" i="9"/>
  <c r="D35" i="9"/>
  <c r="D34" i="9"/>
  <c r="D33" i="9"/>
  <c r="D32" i="9"/>
  <c r="D31" i="9"/>
  <c r="D30" i="9"/>
  <c r="B41" i="9"/>
  <c r="B40" i="9"/>
  <c r="B39" i="9"/>
  <c r="B38" i="9"/>
  <c r="B37" i="9"/>
  <c r="B36" i="9"/>
  <c r="B35" i="9"/>
  <c r="B34" i="9"/>
  <c r="B33" i="9"/>
  <c r="B32" i="9"/>
  <c r="B31" i="9"/>
  <c r="B30" i="9"/>
  <c r="E23" i="9"/>
  <c r="E22" i="9"/>
  <c r="E21" i="9"/>
  <c r="E20" i="9"/>
  <c r="E19" i="9"/>
  <c r="E18" i="9"/>
  <c r="E17" i="9"/>
  <c r="E16" i="9"/>
  <c r="E15" i="9"/>
  <c r="E14" i="9"/>
  <c r="E13" i="9"/>
  <c r="E12" i="9"/>
  <c r="D23" i="9"/>
  <c r="D22" i="9"/>
  <c r="D21" i="9"/>
  <c r="D20" i="9"/>
  <c r="D19" i="9"/>
  <c r="D18" i="9"/>
  <c r="D17" i="9"/>
  <c r="D16" i="9"/>
  <c r="D15" i="9"/>
  <c r="D14" i="9"/>
  <c r="D13" i="9"/>
  <c r="D12" i="9"/>
  <c r="C23" i="9"/>
  <c r="C22" i="9"/>
  <c r="C21" i="9"/>
  <c r="C20" i="9"/>
  <c r="C19" i="9"/>
  <c r="C18" i="9"/>
  <c r="C17" i="9"/>
  <c r="C16" i="9"/>
  <c r="C15" i="9"/>
  <c r="C14" i="9"/>
  <c r="C13" i="9"/>
  <c r="C12" i="9"/>
  <c r="B12" i="9"/>
  <c r="B23" i="9"/>
  <c r="B22" i="9"/>
  <c r="B21" i="9"/>
  <c r="B20" i="9"/>
  <c r="B19" i="9"/>
  <c r="B18" i="9"/>
  <c r="B17" i="9"/>
  <c r="B16" i="9"/>
  <c r="B15" i="9"/>
  <c r="B14" i="9"/>
  <c r="B13" i="9"/>
  <c r="E3" i="9"/>
  <c r="D3" i="9"/>
  <c r="C3" i="9"/>
  <c r="B3" i="9"/>
  <c r="E2" i="9"/>
  <c r="D2" i="9"/>
  <c r="C2" i="9"/>
  <c r="B2" i="9"/>
  <c r="B36" i="3"/>
  <c r="E19" i="3"/>
  <c r="E18" i="3"/>
  <c r="E17" i="3"/>
  <c r="E16" i="3"/>
  <c r="E15" i="3"/>
  <c r="E14" i="3"/>
  <c r="E13" i="3"/>
  <c r="E12" i="3"/>
  <c r="E11" i="3"/>
  <c r="E10" i="3"/>
  <c r="E9" i="3"/>
  <c r="E8" i="3"/>
  <c r="D19" i="3"/>
  <c r="D18" i="3"/>
  <c r="D17" i="3"/>
  <c r="D16" i="3"/>
  <c r="D15" i="3"/>
  <c r="D14" i="3"/>
  <c r="D13" i="3"/>
  <c r="D12" i="3"/>
  <c r="D11" i="3"/>
  <c r="D10" i="3"/>
  <c r="D9" i="3"/>
  <c r="D8" i="3"/>
  <c r="C19" i="3"/>
  <c r="C18" i="3"/>
  <c r="C17" i="3"/>
  <c r="C16" i="3"/>
  <c r="C15" i="3"/>
  <c r="C14" i="3"/>
  <c r="C13" i="3"/>
  <c r="C12" i="3"/>
  <c r="C11" i="3"/>
  <c r="C10" i="3"/>
  <c r="C9" i="3"/>
  <c r="C8" i="3"/>
  <c r="B19" i="3"/>
  <c r="B18" i="3"/>
  <c r="B17" i="3"/>
  <c r="B16" i="3"/>
  <c r="B15" i="3"/>
  <c r="B14" i="3"/>
  <c r="B13" i="3"/>
  <c r="B12" i="3"/>
  <c r="B11" i="3"/>
  <c r="B10" i="3"/>
  <c r="B9" i="3"/>
  <c r="B8" i="3"/>
  <c r="B22" i="3"/>
  <c r="E47" i="3"/>
  <c r="E46" i="3"/>
  <c r="E45" i="3"/>
  <c r="E44" i="3"/>
  <c r="E43" i="3"/>
  <c r="E42" i="3"/>
  <c r="E41" i="3"/>
  <c r="E40" i="3"/>
  <c r="E39" i="3"/>
  <c r="E38" i="3"/>
  <c r="E37" i="3"/>
  <c r="E36" i="3"/>
  <c r="D47" i="3"/>
  <c r="D46" i="3"/>
  <c r="D45" i="3"/>
  <c r="D44" i="3"/>
  <c r="D43" i="3"/>
  <c r="D42" i="3"/>
  <c r="D41" i="3"/>
  <c r="D40" i="3"/>
  <c r="D39" i="3"/>
  <c r="D38" i="3"/>
  <c r="D37" i="3"/>
  <c r="D36" i="3"/>
  <c r="C36" i="3"/>
  <c r="C47" i="3"/>
  <c r="C46" i="3"/>
  <c r="C45" i="3"/>
  <c r="C44" i="3"/>
  <c r="C43" i="3"/>
  <c r="C42" i="3"/>
  <c r="C40" i="3"/>
  <c r="C39" i="3"/>
  <c r="C38" i="3"/>
  <c r="C41" i="3"/>
  <c r="C37" i="3"/>
  <c r="B47" i="3"/>
  <c r="B46" i="3"/>
  <c r="B45" i="3"/>
  <c r="B44" i="3"/>
  <c r="B43" i="3"/>
  <c r="B42" i="3"/>
  <c r="B41" i="3"/>
  <c r="B40" i="3"/>
  <c r="B39" i="3"/>
  <c r="B38" i="3"/>
  <c r="B37" i="3"/>
  <c r="E33" i="3"/>
  <c r="E32" i="3"/>
  <c r="E31" i="3"/>
  <c r="E30" i="3"/>
  <c r="E29" i="3"/>
  <c r="E28" i="3"/>
  <c r="E27" i="3"/>
  <c r="E26" i="3"/>
  <c r="E25" i="3"/>
  <c r="E24" i="3"/>
  <c r="E23" i="3"/>
  <c r="E22" i="3"/>
  <c r="D33" i="3"/>
  <c r="D32" i="3"/>
  <c r="D31" i="3"/>
  <c r="D30" i="3"/>
  <c r="D29" i="3"/>
  <c r="D28" i="3"/>
  <c r="D27" i="3"/>
  <c r="D26" i="3"/>
  <c r="D25" i="3"/>
  <c r="D24" i="3"/>
  <c r="D23" i="3"/>
  <c r="D22" i="3"/>
  <c r="C22" i="3"/>
  <c r="C33" i="3"/>
  <c r="C32" i="3"/>
  <c r="C31" i="3"/>
  <c r="C30" i="3"/>
  <c r="C29" i="3"/>
  <c r="C28" i="3"/>
  <c r="C27" i="3"/>
  <c r="C26" i="3"/>
  <c r="C25" i="3"/>
  <c r="C24" i="3"/>
  <c r="C23" i="3"/>
  <c r="B29" i="3"/>
  <c r="B25" i="3"/>
  <c r="B28" i="3"/>
  <c r="B26" i="3"/>
  <c r="B24" i="3"/>
  <c r="B23" i="3"/>
  <c r="B33" i="3"/>
  <c r="B32" i="3"/>
  <c r="B31" i="3"/>
  <c r="B30" i="3"/>
  <c r="B27" i="3"/>
  <c r="V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V824" i="4"/>
  <c r="V825" i="4"/>
  <c r="V826" i="4"/>
  <c r="V827" i="4"/>
  <c r="V828" i="4"/>
  <c r="V829" i="4"/>
  <c r="V830" i="4"/>
  <c r="V831" i="4"/>
  <c r="V832" i="4"/>
  <c r="V833" i="4"/>
  <c r="V834" i="4"/>
  <c r="V835" i="4"/>
  <c r="V836" i="4"/>
  <c r="V837" i="4"/>
  <c r="V838" i="4"/>
  <c r="V839" i="4"/>
  <c r="V840" i="4"/>
  <c r="V841" i="4"/>
  <c r="V842" i="4"/>
  <c r="V843" i="4"/>
  <c r="V844" i="4"/>
  <c r="V845" i="4"/>
  <c r="V846" i="4"/>
  <c r="V847" i="4"/>
  <c r="V848" i="4"/>
  <c r="V849" i="4"/>
  <c r="V850" i="4"/>
  <c r="V851" i="4"/>
  <c r="V852" i="4"/>
  <c r="V853" i="4"/>
  <c r="V854" i="4"/>
  <c r="V855" i="4"/>
  <c r="V856" i="4"/>
  <c r="V857" i="4"/>
  <c r="V858" i="4"/>
  <c r="V859" i="4"/>
  <c r="V860" i="4"/>
  <c r="V861" i="4"/>
  <c r="V862" i="4"/>
  <c r="V863" i="4"/>
  <c r="V864" i="4"/>
  <c r="V865" i="4"/>
  <c r="V866" i="4"/>
  <c r="V867" i="4"/>
  <c r="V868" i="4"/>
  <c r="V869" i="4"/>
  <c r="V870" i="4"/>
  <c r="V871" i="4"/>
  <c r="V872" i="4"/>
  <c r="V873" i="4"/>
  <c r="V874" i="4"/>
  <c r="V875" i="4"/>
  <c r="V876" i="4"/>
  <c r="V877" i="4"/>
  <c r="V878" i="4"/>
  <c r="V879" i="4"/>
  <c r="V880" i="4"/>
  <c r="V881" i="4"/>
  <c r="V882" i="4"/>
  <c r="V883" i="4"/>
  <c r="V884" i="4"/>
  <c r="V885" i="4"/>
  <c r="V886" i="4"/>
  <c r="V887" i="4"/>
  <c r="V888" i="4"/>
  <c r="V889" i="4"/>
  <c r="V890" i="4"/>
  <c r="V891" i="4"/>
  <c r="V892" i="4"/>
  <c r="V893" i="4"/>
  <c r="V894" i="4"/>
  <c r="V895" i="4"/>
  <c r="V896" i="4"/>
  <c r="V897" i="4"/>
  <c r="V898" i="4"/>
  <c r="V899" i="4"/>
  <c r="V900" i="4"/>
  <c r="V901" i="4"/>
  <c r="V902" i="4"/>
  <c r="V903" i="4"/>
  <c r="V904" i="4"/>
  <c r="V905" i="4"/>
  <c r="V906" i="4"/>
  <c r="V907" i="4"/>
  <c r="V908" i="4"/>
  <c r="V909" i="4"/>
  <c r="V910" i="4"/>
  <c r="V911" i="4"/>
  <c r="V912" i="4"/>
  <c r="V913" i="4"/>
  <c r="V914" i="4"/>
  <c r="V915" i="4"/>
  <c r="V916" i="4"/>
  <c r="V917" i="4"/>
  <c r="V918" i="4"/>
  <c r="V919" i="4"/>
  <c r="V920" i="4"/>
  <c r="V921" i="4"/>
  <c r="V922" i="4"/>
  <c r="V923" i="4"/>
  <c r="V924" i="4"/>
  <c r="V925" i="4"/>
  <c r="V926" i="4"/>
  <c r="V927" i="4"/>
  <c r="V928" i="4"/>
  <c r="V929" i="4"/>
  <c r="V930" i="4"/>
  <c r="V931" i="4"/>
  <c r="V932" i="4"/>
  <c r="V933" i="4"/>
  <c r="V934" i="4"/>
  <c r="V935" i="4"/>
  <c r="V936" i="4"/>
  <c r="V937" i="4"/>
  <c r="V938" i="4"/>
  <c r="V939" i="4"/>
  <c r="V940" i="4"/>
  <c r="V941" i="4"/>
  <c r="V942" i="4"/>
  <c r="V943" i="4"/>
  <c r="V944" i="4"/>
  <c r="V945" i="4"/>
  <c r="V946" i="4"/>
  <c r="V947" i="4"/>
  <c r="V948" i="4"/>
  <c r="V949" i="4"/>
  <c r="V950" i="4"/>
  <c r="V951" i="4"/>
  <c r="V952" i="4"/>
  <c r="V953" i="4"/>
  <c r="V954" i="4"/>
  <c r="V955" i="4"/>
  <c r="V956" i="4"/>
  <c r="V957" i="4"/>
  <c r="V958" i="4"/>
  <c r="V959" i="4"/>
  <c r="V960" i="4"/>
  <c r="V961" i="4"/>
  <c r="V962" i="4"/>
  <c r="V963" i="4"/>
  <c r="V964" i="4"/>
  <c r="V965" i="4"/>
  <c r="V966" i="4"/>
  <c r="V967" i="4"/>
  <c r="V968" i="4"/>
  <c r="V969" i="4"/>
  <c r="V970" i="4"/>
  <c r="V971" i="4"/>
  <c r="V972" i="4"/>
  <c r="V973" i="4"/>
  <c r="V974" i="4"/>
  <c r="V975" i="4"/>
  <c r="V976" i="4"/>
  <c r="V977" i="4"/>
  <c r="V978" i="4"/>
  <c r="V979" i="4"/>
  <c r="V980" i="4"/>
  <c r="V981" i="4"/>
  <c r="V982" i="4"/>
  <c r="V983" i="4"/>
  <c r="V984" i="4"/>
  <c r="V985" i="4"/>
  <c r="V986" i="4"/>
  <c r="V987" i="4"/>
  <c r="V988" i="4"/>
  <c r="V989" i="4"/>
  <c r="V990" i="4"/>
  <c r="V991" i="4"/>
  <c r="V992" i="4"/>
  <c r="V993" i="4"/>
  <c r="V994" i="4"/>
  <c r="V995" i="4"/>
  <c r="V996" i="4"/>
  <c r="V997" i="4"/>
  <c r="V998" i="4"/>
  <c r="V999" i="4"/>
  <c r="V1000" i="4"/>
  <c r="V1001" i="4"/>
  <c r="V1002" i="4"/>
  <c r="V1003" i="4"/>
  <c r="V1004" i="4"/>
  <c r="V1005" i="4"/>
  <c r="V1006" i="4"/>
  <c r="V1007" i="4"/>
  <c r="V1008" i="4"/>
  <c r="V1009" i="4"/>
  <c r="V1010" i="4"/>
  <c r="V1011" i="4"/>
  <c r="V1012" i="4"/>
  <c r="V1013" i="4"/>
  <c r="V1014" i="4"/>
  <c r="V1015" i="4"/>
  <c r="V1016" i="4"/>
  <c r="V1017" i="4"/>
  <c r="V1018" i="4"/>
  <c r="V1019" i="4"/>
  <c r="V1020" i="4"/>
  <c r="V1021" i="4"/>
  <c r="V1022" i="4"/>
  <c r="V1023" i="4"/>
  <c r="V1024" i="4"/>
  <c r="V1025" i="4"/>
  <c r="V1026" i="4"/>
  <c r="V1027" i="4"/>
  <c r="V1028" i="4"/>
  <c r="V1029" i="4"/>
  <c r="V1030" i="4"/>
  <c r="V1031" i="4"/>
  <c r="V1032" i="4"/>
  <c r="V1033" i="4"/>
  <c r="V1034" i="4"/>
  <c r="V1035" i="4"/>
  <c r="V1036" i="4"/>
  <c r="V1037" i="4"/>
  <c r="V1038" i="4"/>
  <c r="V1039" i="4"/>
  <c r="V1040" i="4"/>
  <c r="V1041" i="4"/>
  <c r="V1042" i="4"/>
  <c r="V1043" i="4"/>
  <c r="V1044" i="4"/>
  <c r="V1045" i="4"/>
  <c r="V1046" i="4"/>
  <c r="V1047" i="4"/>
  <c r="V1048" i="4"/>
  <c r="V1049" i="4"/>
  <c r="V1050" i="4"/>
  <c r="V1051" i="4"/>
  <c r="V1052" i="4"/>
  <c r="V1053" i="4"/>
  <c r="V1054" i="4"/>
  <c r="V1055" i="4"/>
  <c r="V1056" i="4"/>
  <c r="V1057" i="4"/>
  <c r="V1058" i="4"/>
  <c r="V1059" i="4"/>
  <c r="V1060" i="4"/>
  <c r="V1061" i="4"/>
  <c r="V1062" i="4"/>
  <c r="V1063" i="4"/>
  <c r="V1064" i="4"/>
  <c r="V1065" i="4"/>
  <c r="V1066" i="4"/>
  <c r="V1067" i="4"/>
  <c r="V1068" i="4"/>
  <c r="V1069" i="4"/>
  <c r="V1070" i="4"/>
  <c r="V1071" i="4"/>
  <c r="V1072" i="4"/>
  <c r="V1073" i="4"/>
  <c r="V1074" i="4"/>
  <c r="V1075" i="4"/>
  <c r="V1076" i="4"/>
  <c r="V1077" i="4"/>
  <c r="V1078" i="4"/>
  <c r="V1079" i="4"/>
  <c r="V1080" i="4"/>
  <c r="V1081" i="4"/>
  <c r="V1082" i="4"/>
  <c r="V1083" i="4"/>
  <c r="V1084" i="4"/>
  <c r="V1085" i="4"/>
  <c r="V1086" i="4"/>
  <c r="V1087" i="4"/>
  <c r="V1088" i="4"/>
  <c r="V1089" i="4"/>
  <c r="V1090" i="4"/>
  <c r="V1091" i="4"/>
  <c r="V1092" i="4"/>
  <c r="V1093" i="4"/>
  <c r="V1094" i="4"/>
  <c r="V1095" i="4"/>
  <c r="V1096" i="4"/>
  <c r="V1097" i="4"/>
  <c r="V1098" i="4"/>
  <c r="V1099" i="4"/>
  <c r="V1100" i="4"/>
  <c r="V1101" i="4"/>
  <c r="V1102" i="4"/>
  <c r="V1103" i="4"/>
  <c r="V1104" i="4"/>
  <c r="V1105" i="4"/>
  <c r="V1106" i="4"/>
  <c r="V1107" i="4"/>
  <c r="V1108" i="4"/>
  <c r="V1109" i="4"/>
  <c r="V1110" i="4"/>
  <c r="V1111" i="4"/>
  <c r="V1112" i="4"/>
  <c r="V1113" i="4"/>
  <c r="V1114" i="4"/>
  <c r="V1115" i="4"/>
  <c r="V1116" i="4"/>
  <c r="V1117" i="4"/>
  <c r="V1118" i="4"/>
  <c r="V1119" i="4"/>
  <c r="V1120" i="4"/>
  <c r="V1121" i="4"/>
  <c r="V1122" i="4"/>
  <c r="V1123" i="4"/>
  <c r="V1124" i="4"/>
  <c r="V1125" i="4"/>
  <c r="V1126" i="4"/>
  <c r="V1127" i="4"/>
  <c r="V1128" i="4"/>
  <c r="V1129" i="4"/>
  <c r="V1130" i="4"/>
  <c r="V1131" i="4"/>
  <c r="V1132" i="4"/>
  <c r="V1133" i="4"/>
  <c r="V1134" i="4"/>
  <c r="V1135" i="4"/>
  <c r="V1136" i="4"/>
  <c r="V1137" i="4"/>
  <c r="V1138" i="4"/>
  <c r="V1139" i="4"/>
  <c r="V1140" i="4"/>
  <c r="V1141" i="4"/>
  <c r="V1142" i="4"/>
  <c r="V1143" i="4"/>
  <c r="V1144" i="4"/>
  <c r="V1145" i="4"/>
  <c r="V1146" i="4"/>
  <c r="V1147" i="4"/>
  <c r="V1148" i="4"/>
  <c r="V1149" i="4"/>
  <c r="V1150" i="4"/>
  <c r="V1151" i="4"/>
  <c r="V1152" i="4"/>
  <c r="V1153" i="4"/>
  <c r="V1154" i="4"/>
  <c r="V1155" i="4"/>
  <c r="V1156" i="4"/>
  <c r="V1157" i="4"/>
  <c r="V1158" i="4"/>
  <c r="V1159" i="4"/>
  <c r="V1160" i="4"/>
  <c r="V1161" i="4"/>
  <c r="V1162" i="4"/>
  <c r="V1163" i="4"/>
  <c r="V1164" i="4"/>
  <c r="V1165" i="4"/>
  <c r="V1166" i="4"/>
  <c r="V1167" i="4"/>
  <c r="V1168" i="4"/>
  <c r="V1169" i="4"/>
  <c r="V1170" i="4"/>
  <c r="V1171" i="4"/>
  <c r="V1172" i="4"/>
  <c r="V1173" i="4"/>
  <c r="V1174" i="4"/>
  <c r="V1175" i="4"/>
  <c r="V1176" i="4"/>
  <c r="V1177" i="4"/>
  <c r="V1178" i="4"/>
  <c r="V1179" i="4"/>
  <c r="V1180" i="4"/>
  <c r="V1181" i="4"/>
  <c r="V1182" i="4"/>
  <c r="V1183" i="4"/>
  <c r="V1184" i="4"/>
  <c r="V1185" i="4"/>
  <c r="V1186" i="4"/>
  <c r="V1187" i="4"/>
  <c r="V1188" i="4"/>
  <c r="V1189" i="4"/>
  <c r="V1190" i="4"/>
  <c r="V1191" i="4"/>
  <c r="V1192" i="4"/>
  <c r="V1193" i="4"/>
  <c r="V1194" i="4"/>
  <c r="V1195" i="4"/>
  <c r="V1196" i="4"/>
  <c r="V1197" i="4"/>
  <c r="V1198" i="4"/>
  <c r="V1199" i="4"/>
  <c r="V1200" i="4"/>
  <c r="V1201" i="4"/>
  <c r="V1202" i="4"/>
  <c r="V1203" i="4"/>
  <c r="V1204" i="4"/>
  <c r="V1205" i="4"/>
  <c r="V1206" i="4"/>
  <c r="V1207" i="4"/>
  <c r="V1208" i="4"/>
  <c r="V1209" i="4"/>
  <c r="V1210" i="4"/>
  <c r="V1211" i="4"/>
  <c r="V1212" i="4"/>
  <c r="V1213" i="4"/>
  <c r="V1214" i="4"/>
  <c r="V1215" i="4"/>
  <c r="V1216" i="4"/>
  <c r="V1217" i="4"/>
  <c r="V1218" i="4"/>
  <c r="V1219" i="4"/>
  <c r="V1220" i="4"/>
  <c r="V1221" i="4"/>
  <c r="V1222" i="4"/>
  <c r="V1223" i="4"/>
  <c r="V1224" i="4"/>
  <c r="V1225" i="4"/>
  <c r="V1226" i="4"/>
  <c r="V1227" i="4"/>
  <c r="V1228" i="4"/>
  <c r="V1229" i="4"/>
  <c r="V1230" i="4"/>
  <c r="V1231" i="4"/>
  <c r="V1232" i="4"/>
  <c r="V1233" i="4"/>
  <c r="V1234" i="4"/>
  <c r="V1235" i="4"/>
  <c r="V1236" i="4"/>
  <c r="V1237" i="4"/>
  <c r="V1238" i="4"/>
  <c r="V1239" i="4"/>
  <c r="V1240" i="4"/>
  <c r="V1241" i="4"/>
  <c r="V1242" i="4"/>
  <c r="V1243" i="4"/>
  <c r="V1244" i="4"/>
  <c r="V1245" i="4"/>
  <c r="V1246" i="4"/>
  <c r="V1247" i="4"/>
  <c r="V1248" i="4"/>
  <c r="V1249" i="4"/>
  <c r="V1250" i="4"/>
  <c r="V1251" i="4"/>
  <c r="V1252" i="4"/>
  <c r="V1253" i="4"/>
  <c r="V1254" i="4"/>
  <c r="V1255" i="4"/>
  <c r="V1256" i="4"/>
  <c r="V1257" i="4"/>
  <c r="V1258" i="4"/>
  <c r="V1259" i="4"/>
  <c r="V1260" i="4"/>
  <c r="V1261" i="4"/>
  <c r="V1262" i="4"/>
  <c r="V1263" i="4"/>
  <c r="V1264" i="4"/>
  <c r="V1265" i="4"/>
  <c r="V1266" i="4"/>
  <c r="V1267" i="4"/>
  <c r="V1268" i="4"/>
  <c r="V1269" i="4"/>
  <c r="V1270" i="4"/>
  <c r="V1271" i="4"/>
  <c r="V1272" i="4"/>
  <c r="V1273" i="4"/>
  <c r="V1274" i="4"/>
  <c r="V1275" i="4"/>
  <c r="V1276" i="4"/>
  <c r="V1277" i="4"/>
  <c r="V1278" i="4"/>
  <c r="V1279" i="4"/>
  <c r="V1280" i="4"/>
  <c r="V1281" i="4"/>
  <c r="V1282" i="4"/>
  <c r="V1283" i="4"/>
  <c r="V1284" i="4"/>
  <c r="V1285" i="4"/>
  <c r="V1286" i="4"/>
  <c r="V1287" i="4"/>
  <c r="V1288" i="4"/>
  <c r="V1289" i="4"/>
  <c r="V1290" i="4"/>
  <c r="V1291" i="4"/>
  <c r="V1292" i="4"/>
  <c r="V1293" i="4"/>
  <c r="V1294" i="4"/>
  <c r="V1295" i="4"/>
  <c r="V1296" i="4"/>
  <c r="V1297" i="4"/>
  <c r="V1298" i="4"/>
  <c r="V1299" i="4"/>
  <c r="V1300" i="4"/>
  <c r="V1301" i="4"/>
  <c r="V1302" i="4"/>
  <c r="V1303" i="4"/>
  <c r="V1304" i="4"/>
  <c r="V1305" i="4"/>
  <c r="V1306" i="4"/>
  <c r="V1307" i="4"/>
  <c r="V1308" i="4"/>
  <c r="V1309" i="4"/>
  <c r="V1310" i="4"/>
  <c r="V1311" i="4"/>
  <c r="V1312" i="4"/>
  <c r="V1313" i="4"/>
  <c r="V1314" i="4"/>
  <c r="V1315" i="4"/>
  <c r="V1316" i="4"/>
  <c r="V1317" i="4"/>
  <c r="V1318" i="4"/>
  <c r="V1319" i="4"/>
  <c r="V1320" i="4"/>
  <c r="V1321" i="4"/>
  <c r="V1322" i="4"/>
  <c r="V1323" i="4"/>
  <c r="V1324" i="4"/>
  <c r="V1325" i="4"/>
  <c r="V1326" i="4"/>
  <c r="V1327" i="4"/>
  <c r="V1328" i="4"/>
  <c r="V1329" i="4"/>
  <c r="V1330" i="4"/>
  <c r="V1331" i="4"/>
  <c r="V1332" i="4"/>
  <c r="V1333" i="4"/>
  <c r="V1334" i="4"/>
  <c r="V1335" i="4"/>
  <c r="V1336" i="4"/>
  <c r="V1337" i="4"/>
  <c r="V1338" i="4"/>
  <c r="V1339" i="4"/>
  <c r="V1340" i="4"/>
  <c r="V1341" i="4"/>
  <c r="V1342" i="4"/>
  <c r="V1343" i="4"/>
  <c r="V1344" i="4"/>
  <c r="V1345" i="4"/>
  <c r="V1346" i="4"/>
  <c r="V1347" i="4"/>
  <c r="V1348" i="4"/>
  <c r="V1349" i="4"/>
  <c r="V1350" i="4"/>
  <c r="V1351" i="4"/>
  <c r="V1352" i="4"/>
  <c r="V1353" i="4"/>
  <c r="V1354" i="4"/>
  <c r="V1355" i="4"/>
  <c r="V1356" i="4"/>
  <c r="V1357" i="4"/>
  <c r="V1358" i="4"/>
  <c r="V1359" i="4"/>
  <c r="V1360" i="4"/>
  <c r="V1361" i="4"/>
  <c r="V1362" i="4"/>
  <c r="V1363" i="4"/>
  <c r="V1364" i="4"/>
  <c r="V1365" i="4"/>
  <c r="V1366" i="4"/>
  <c r="V1367" i="4"/>
  <c r="V1368" i="4"/>
  <c r="V1369" i="4"/>
  <c r="V1370" i="4"/>
  <c r="V1371" i="4"/>
  <c r="V1372" i="4"/>
  <c r="V1373" i="4"/>
  <c r="V1374" i="4"/>
  <c r="V1375" i="4"/>
  <c r="V1376" i="4"/>
  <c r="V1377" i="4"/>
  <c r="V1378" i="4"/>
  <c r="V1379" i="4"/>
  <c r="V1380" i="4"/>
  <c r="V1381" i="4"/>
  <c r="V1382" i="4"/>
  <c r="V1383" i="4"/>
  <c r="V1384" i="4"/>
  <c r="V1385" i="4"/>
  <c r="V1386" i="4"/>
  <c r="V1387" i="4"/>
  <c r="V1388" i="4"/>
  <c r="V1389" i="4"/>
  <c r="V1390" i="4"/>
  <c r="V1391" i="4"/>
  <c r="V1392" i="4"/>
  <c r="V1393" i="4"/>
  <c r="V1394" i="4"/>
  <c r="V1395" i="4"/>
  <c r="V1396" i="4"/>
  <c r="V1397" i="4"/>
  <c r="V1398" i="4"/>
  <c r="V1399" i="4"/>
  <c r="V1400" i="4"/>
  <c r="V1401" i="4"/>
  <c r="V1402" i="4"/>
  <c r="V1403" i="4"/>
  <c r="V1404" i="4"/>
  <c r="V1405" i="4"/>
  <c r="V1406" i="4"/>
  <c r="V1407" i="4"/>
  <c r="V1408" i="4"/>
  <c r="V1409" i="4"/>
  <c r="V1410" i="4"/>
  <c r="V1411" i="4"/>
  <c r="V1412" i="4"/>
  <c r="V1413" i="4"/>
  <c r="V1414" i="4"/>
  <c r="V1415" i="4"/>
  <c r="V1416" i="4"/>
  <c r="V1417" i="4"/>
  <c r="V1418" i="4"/>
  <c r="V1419" i="4"/>
  <c r="V1420" i="4"/>
  <c r="V1421" i="4"/>
  <c r="V1422" i="4"/>
  <c r="V1423" i="4"/>
  <c r="V1424" i="4"/>
  <c r="V1425" i="4"/>
  <c r="V1426" i="4"/>
  <c r="V1427" i="4"/>
  <c r="V1428" i="4"/>
  <c r="V1429" i="4"/>
  <c r="V1430" i="4"/>
  <c r="V1431" i="4"/>
  <c r="V1432" i="4"/>
  <c r="V1433" i="4"/>
  <c r="V1434" i="4"/>
  <c r="V1435" i="4"/>
  <c r="V1436" i="4"/>
  <c r="V1437" i="4"/>
  <c r="V1438" i="4"/>
  <c r="V1439" i="4"/>
  <c r="V1440" i="4"/>
  <c r="V1441" i="4"/>
  <c r="V1442" i="4"/>
  <c r="V1443" i="4"/>
  <c r="V1444" i="4"/>
  <c r="V1445" i="4"/>
  <c r="V1446" i="4"/>
  <c r="V1447" i="4"/>
  <c r="V1448" i="4"/>
  <c r="V1449" i="4"/>
  <c r="V1450" i="4"/>
  <c r="V1451" i="4"/>
  <c r="V1452" i="4"/>
  <c r="V1453" i="4"/>
  <c r="V1454" i="4"/>
  <c r="V1455" i="4"/>
  <c r="V1456" i="4"/>
  <c r="V1457" i="4"/>
  <c r="V1458" i="4"/>
  <c r="V1459" i="4"/>
  <c r="V1460" i="4"/>
  <c r="V1461" i="4"/>
  <c r="V1462" i="4"/>
  <c r="V1463" i="4"/>
  <c r="V1464" i="4"/>
  <c r="V1465" i="4"/>
  <c r="V1466" i="4"/>
  <c r="V1467" i="4"/>
  <c r="V1468" i="4"/>
  <c r="V1469" i="4"/>
  <c r="V1470" i="4"/>
  <c r="V1471" i="4"/>
  <c r="V1472" i="4"/>
  <c r="V1473" i="4"/>
  <c r="V1474" i="4"/>
  <c r="V1475" i="4"/>
  <c r="V1476" i="4"/>
  <c r="V1477" i="4"/>
  <c r="V1478" i="4"/>
  <c r="V1479" i="4"/>
  <c r="V1480" i="4"/>
  <c r="V1481" i="4"/>
  <c r="V1482" i="4"/>
  <c r="V1483" i="4"/>
  <c r="V1484" i="4"/>
  <c r="V1485" i="4"/>
  <c r="V1486" i="4"/>
  <c r="V1487" i="4"/>
  <c r="V1488" i="4"/>
  <c r="V1489" i="4"/>
  <c r="V1490" i="4"/>
  <c r="V1491" i="4"/>
  <c r="V1492" i="4"/>
  <c r="V1493" i="4"/>
  <c r="V1494" i="4"/>
  <c r="V1495" i="4"/>
  <c r="V1496" i="4"/>
  <c r="V1497" i="4"/>
  <c r="V1498" i="4"/>
  <c r="V1499" i="4"/>
  <c r="V1500" i="4"/>
  <c r="V1501" i="4"/>
  <c r="V1502" i="4"/>
  <c r="V1503" i="4"/>
  <c r="V1504" i="4"/>
  <c r="V1505" i="4"/>
  <c r="V1506" i="4"/>
  <c r="V1507" i="4"/>
  <c r="V1508" i="4"/>
  <c r="V1509" i="4"/>
  <c r="V1510" i="4"/>
  <c r="V1511" i="4"/>
  <c r="V1512" i="4"/>
  <c r="V1513" i="4"/>
  <c r="V1514" i="4"/>
  <c r="V1515" i="4"/>
  <c r="V1516" i="4"/>
  <c r="V1517" i="4"/>
  <c r="V1518" i="4"/>
  <c r="V1519" i="4"/>
  <c r="V1520" i="4"/>
  <c r="V1521" i="4"/>
  <c r="V1522" i="4"/>
  <c r="V1523" i="4"/>
  <c r="V1524" i="4"/>
  <c r="V1525" i="4"/>
  <c r="V1526" i="4"/>
  <c r="V1527" i="4"/>
  <c r="V1528" i="4"/>
  <c r="V1529" i="4"/>
  <c r="V1530" i="4"/>
  <c r="V1531" i="4"/>
  <c r="V1532" i="4"/>
  <c r="V1533" i="4"/>
  <c r="V1534" i="4"/>
  <c r="V1535" i="4"/>
  <c r="V1536" i="4"/>
  <c r="V1537" i="4"/>
  <c r="V1538" i="4"/>
  <c r="V1539" i="4"/>
  <c r="V1540" i="4"/>
  <c r="V1541" i="4"/>
  <c r="V1542" i="4"/>
  <c r="V1543" i="4"/>
  <c r="V1544" i="4"/>
  <c r="V1545" i="4"/>
  <c r="V1546" i="4"/>
  <c r="V1547" i="4"/>
  <c r="V1548" i="4"/>
  <c r="V1549" i="4"/>
  <c r="V1550" i="4"/>
  <c r="V1551" i="4"/>
  <c r="V1552" i="4"/>
  <c r="V1553" i="4"/>
  <c r="V1554" i="4"/>
  <c r="V1555" i="4"/>
  <c r="V1556" i="4"/>
  <c r="V1557" i="4"/>
  <c r="V1558" i="4"/>
  <c r="V1559" i="4"/>
  <c r="V1560" i="4"/>
  <c r="V1561" i="4"/>
  <c r="V1562" i="4"/>
  <c r="V1563" i="4"/>
  <c r="V1564" i="4"/>
  <c r="V1565" i="4"/>
  <c r="V1566" i="4"/>
  <c r="V1567" i="4"/>
  <c r="V1568" i="4"/>
  <c r="V1569" i="4"/>
  <c r="V1570" i="4"/>
  <c r="V1571" i="4"/>
  <c r="V1572" i="4"/>
  <c r="V1573" i="4"/>
  <c r="V1574" i="4"/>
  <c r="V1575" i="4"/>
  <c r="V1576" i="4"/>
  <c r="V1577" i="4"/>
  <c r="V1578" i="4"/>
  <c r="V1579" i="4"/>
  <c r="V1580" i="4"/>
  <c r="V1581" i="4"/>
  <c r="V1582" i="4"/>
  <c r="V1583" i="4"/>
  <c r="V1584" i="4"/>
  <c r="V1585" i="4"/>
  <c r="V1586" i="4"/>
  <c r="V1587" i="4"/>
  <c r="V1588" i="4"/>
  <c r="V1589" i="4"/>
  <c r="V1590" i="4"/>
  <c r="V1591" i="4"/>
  <c r="V1592" i="4"/>
  <c r="V1593" i="4"/>
  <c r="V1594" i="4"/>
  <c r="V1595" i="4"/>
  <c r="V1596" i="4"/>
  <c r="V1597" i="4"/>
  <c r="V1598" i="4"/>
  <c r="V1599" i="4"/>
  <c r="V1600" i="4"/>
  <c r="V1601" i="4"/>
  <c r="V1602" i="4"/>
  <c r="V1603" i="4"/>
  <c r="V1604" i="4"/>
  <c r="V1605" i="4"/>
  <c r="V1606" i="4"/>
  <c r="V1607" i="4"/>
  <c r="V1608" i="4"/>
  <c r="V1609" i="4"/>
  <c r="V1610" i="4"/>
  <c r="V1611" i="4"/>
  <c r="V1612" i="4"/>
  <c r="V1613" i="4"/>
  <c r="V1614" i="4"/>
  <c r="V1615" i="4"/>
  <c r="V1616" i="4"/>
  <c r="V1617" i="4"/>
  <c r="V1618" i="4"/>
  <c r="V1619" i="4"/>
  <c r="V1620" i="4"/>
  <c r="V1621" i="4"/>
  <c r="V1622" i="4"/>
  <c r="V1623" i="4"/>
  <c r="V1624" i="4"/>
  <c r="V1625" i="4"/>
  <c r="V1626" i="4"/>
  <c r="V1627" i="4"/>
  <c r="V1628" i="4"/>
  <c r="V1629" i="4"/>
  <c r="V1630" i="4"/>
  <c r="V1631" i="4"/>
  <c r="V1632" i="4"/>
  <c r="V1633" i="4"/>
  <c r="V1634" i="4"/>
  <c r="V1635" i="4"/>
  <c r="V1636" i="4"/>
  <c r="V1637" i="4"/>
  <c r="V1638" i="4"/>
  <c r="V1639" i="4"/>
  <c r="V1640" i="4"/>
  <c r="V1641" i="4"/>
  <c r="V1642" i="4"/>
  <c r="V1643" i="4"/>
  <c r="V1644" i="4"/>
  <c r="V1645" i="4"/>
  <c r="V1646" i="4"/>
  <c r="V1647" i="4"/>
  <c r="V1648" i="4"/>
  <c r="V1649" i="4"/>
  <c r="V1650" i="4"/>
  <c r="V1651" i="4"/>
  <c r="V1652" i="4"/>
  <c r="V1653" i="4"/>
  <c r="V1654" i="4"/>
  <c r="V1655" i="4"/>
  <c r="V1656" i="4"/>
  <c r="V1657" i="4"/>
  <c r="V1658" i="4"/>
  <c r="V1659" i="4"/>
  <c r="V1660" i="4"/>
  <c r="V1661" i="4"/>
  <c r="V1662" i="4"/>
  <c r="V1663" i="4"/>
  <c r="V1664" i="4"/>
  <c r="V1665" i="4"/>
  <c r="V1666" i="4"/>
  <c r="V1667" i="4"/>
  <c r="V1668" i="4"/>
  <c r="V1669" i="4"/>
  <c r="V1670" i="4"/>
  <c r="V1671" i="4"/>
  <c r="V1672" i="4"/>
  <c r="V1673" i="4"/>
  <c r="V1674" i="4"/>
  <c r="V1675" i="4"/>
  <c r="V1676" i="4"/>
  <c r="V1677" i="4"/>
  <c r="V1678" i="4"/>
  <c r="V1679" i="4"/>
  <c r="V1680" i="4"/>
  <c r="V1681" i="4"/>
  <c r="V1682" i="4"/>
  <c r="V1683" i="4"/>
  <c r="V1684" i="4"/>
  <c r="V1685" i="4"/>
  <c r="V1686" i="4"/>
  <c r="V1687" i="4"/>
  <c r="V1688" i="4"/>
  <c r="V1689" i="4"/>
  <c r="V1690" i="4"/>
  <c r="V1691" i="4"/>
  <c r="V1692" i="4"/>
  <c r="V1693" i="4"/>
  <c r="V1694" i="4"/>
  <c r="V1695" i="4"/>
  <c r="V1696" i="4"/>
  <c r="V1697" i="4"/>
  <c r="V1698" i="4"/>
  <c r="V1699" i="4"/>
  <c r="V1700" i="4"/>
  <c r="V1701" i="4"/>
  <c r="V1702" i="4"/>
  <c r="V1703" i="4"/>
  <c r="V1704" i="4"/>
  <c r="V1705" i="4"/>
  <c r="V1706" i="4"/>
  <c r="V1707" i="4"/>
  <c r="V1708" i="4"/>
  <c r="V1709" i="4"/>
  <c r="V1710" i="4"/>
  <c r="V1711" i="4"/>
  <c r="V1712" i="4"/>
  <c r="V1713" i="4"/>
  <c r="V1714" i="4"/>
  <c r="V1715" i="4"/>
  <c r="V1716" i="4"/>
  <c r="V1717" i="4"/>
  <c r="V1718" i="4"/>
  <c r="V1719" i="4"/>
  <c r="V1720" i="4"/>
  <c r="V1721" i="4"/>
  <c r="V1722" i="4"/>
  <c r="V1723" i="4"/>
  <c r="V1724" i="4"/>
  <c r="V1725" i="4"/>
  <c r="V1726" i="4"/>
  <c r="V1727" i="4"/>
  <c r="V1728" i="4"/>
  <c r="V1729" i="4"/>
  <c r="V1730" i="4"/>
  <c r="V1731" i="4"/>
  <c r="V1732" i="4"/>
  <c r="V1733" i="4"/>
  <c r="V1734" i="4"/>
  <c r="V1735" i="4"/>
  <c r="V1736" i="4"/>
  <c r="V1737" i="4"/>
  <c r="V1738" i="4"/>
  <c r="V1739" i="4"/>
  <c r="V1740" i="4"/>
  <c r="V1741" i="4"/>
  <c r="V1742" i="4"/>
  <c r="V1743" i="4"/>
  <c r="V1744" i="4"/>
  <c r="V1745" i="4"/>
  <c r="V1746" i="4"/>
  <c r="V1747" i="4"/>
  <c r="V1748" i="4"/>
  <c r="V1749" i="4"/>
  <c r="V1750" i="4"/>
  <c r="V1751" i="4"/>
  <c r="V1752" i="4"/>
  <c r="V1753" i="4"/>
  <c r="V1754" i="4"/>
  <c r="V1755" i="4"/>
  <c r="V1756" i="4"/>
  <c r="V1757" i="4"/>
  <c r="V1758" i="4"/>
  <c r="V1759" i="4"/>
  <c r="V1760" i="4"/>
  <c r="V1761" i="4"/>
  <c r="V1762" i="4"/>
  <c r="V1763" i="4"/>
  <c r="V1764" i="4"/>
  <c r="V1765" i="4"/>
  <c r="V1766" i="4"/>
  <c r="V1767" i="4"/>
  <c r="V1768" i="4"/>
  <c r="V1769" i="4"/>
  <c r="V1770" i="4"/>
  <c r="V1771" i="4"/>
  <c r="V1772" i="4"/>
  <c r="V1773" i="4"/>
  <c r="V1774" i="4"/>
  <c r="V1775" i="4"/>
  <c r="V1776" i="4"/>
  <c r="V1777" i="4"/>
  <c r="V1778" i="4"/>
  <c r="V1779" i="4"/>
  <c r="V1780" i="4"/>
  <c r="V1781" i="4"/>
  <c r="V1782" i="4"/>
  <c r="V1783" i="4"/>
  <c r="V1784" i="4"/>
  <c r="V1785" i="4"/>
  <c r="V1786" i="4"/>
  <c r="V1787" i="4"/>
  <c r="V1788" i="4"/>
  <c r="V1789" i="4"/>
  <c r="V1790" i="4"/>
  <c r="V1791" i="4"/>
  <c r="V1792" i="4"/>
  <c r="V1793" i="4"/>
  <c r="V1794" i="4"/>
  <c r="V1795" i="4"/>
  <c r="V1796" i="4"/>
  <c r="V1797" i="4"/>
  <c r="V1798" i="4"/>
  <c r="V1799" i="4"/>
  <c r="V1800" i="4"/>
  <c r="V1801" i="4"/>
  <c r="V1802" i="4"/>
  <c r="V1803" i="4"/>
  <c r="V1804" i="4"/>
  <c r="V1805" i="4"/>
  <c r="V1806" i="4"/>
  <c r="V1807" i="4"/>
  <c r="V1808" i="4"/>
  <c r="V1809" i="4"/>
  <c r="V1810" i="4"/>
  <c r="V1811" i="4"/>
  <c r="V1812" i="4"/>
  <c r="V1813" i="4"/>
  <c r="V1814" i="4"/>
  <c r="V1815" i="4"/>
  <c r="V1816" i="4"/>
  <c r="V1817" i="4"/>
  <c r="V1818" i="4"/>
  <c r="V1819" i="4"/>
  <c r="V1820" i="4"/>
  <c r="V1821" i="4"/>
  <c r="V1822" i="4"/>
  <c r="V1823" i="4"/>
  <c r="V1824" i="4"/>
  <c r="V1825" i="4"/>
  <c r="V1826" i="4"/>
  <c r="V1827" i="4"/>
  <c r="V1828" i="4"/>
  <c r="V1829" i="4"/>
  <c r="V1830" i="4"/>
  <c r="V1831" i="4"/>
  <c r="V1832" i="4"/>
  <c r="V1833" i="4"/>
  <c r="V1834" i="4"/>
  <c r="V1835" i="4"/>
  <c r="V1836" i="4"/>
  <c r="V1837" i="4"/>
  <c r="V1838" i="4"/>
  <c r="V1839" i="4"/>
  <c r="V1840" i="4"/>
  <c r="V1841" i="4"/>
  <c r="V1842" i="4"/>
  <c r="V1843" i="4"/>
  <c r="V1844" i="4"/>
  <c r="V1845" i="4"/>
  <c r="V1846" i="4"/>
  <c r="V1847" i="4"/>
  <c r="V1848" i="4"/>
  <c r="V1849" i="4"/>
  <c r="V1850" i="4"/>
  <c r="V1851" i="4"/>
  <c r="V1852" i="4"/>
  <c r="V1853" i="4"/>
  <c r="V1854" i="4"/>
  <c r="V1855" i="4"/>
  <c r="V1856" i="4"/>
  <c r="V1857" i="4"/>
  <c r="V1858" i="4"/>
  <c r="V1859" i="4"/>
  <c r="V1860" i="4"/>
  <c r="V1861" i="4"/>
  <c r="V1862" i="4"/>
  <c r="V1863" i="4"/>
  <c r="V1864" i="4"/>
  <c r="V1865" i="4"/>
  <c r="V1866" i="4"/>
  <c r="V1867" i="4"/>
  <c r="V1868" i="4"/>
  <c r="V1869" i="4"/>
  <c r="V1870" i="4"/>
  <c r="V1871" i="4"/>
  <c r="V1872" i="4"/>
  <c r="V1873" i="4"/>
  <c r="V1874" i="4"/>
  <c r="V1875" i="4"/>
  <c r="V1876" i="4"/>
  <c r="V1877" i="4"/>
  <c r="V1878" i="4"/>
  <c r="V1879" i="4"/>
  <c r="V1880" i="4"/>
  <c r="V1881" i="4"/>
  <c r="V1882" i="4"/>
  <c r="V1883" i="4"/>
  <c r="V1884" i="4"/>
  <c r="V1885" i="4"/>
  <c r="V1886" i="4"/>
  <c r="V1887" i="4"/>
  <c r="V1888" i="4"/>
  <c r="V1889" i="4"/>
  <c r="V1890" i="4"/>
  <c r="V1891" i="4"/>
  <c r="V1892" i="4"/>
  <c r="V1893" i="4"/>
  <c r="V1894" i="4"/>
  <c r="V1895" i="4"/>
  <c r="V1896" i="4"/>
  <c r="V1897" i="4"/>
  <c r="V1898" i="4"/>
  <c r="V1899" i="4"/>
  <c r="V1900" i="4"/>
  <c r="V1901" i="4"/>
  <c r="V1902" i="4"/>
  <c r="V1903" i="4"/>
  <c r="V1904" i="4"/>
  <c r="V1905" i="4"/>
  <c r="V1906" i="4"/>
  <c r="V1907" i="4"/>
  <c r="V1908" i="4"/>
  <c r="V1909" i="4"/>
  <c r="V1910" i="4"/>
  <c r="V1911" i="4"/>
  <c r="V1912" i="4"/>
  <c r="V1913" i="4"/>
  <c r="V1914" i="4"/>
  <c r="V1915" i="4"/>
  <c r="V1916" i="4"/>
  <c r="V1917" i="4"/>
  <c r="V1918" i="4"/>
  <c r="V1919" i="4"/>
  <c r="V1920" i="4"/>
  <c r="V1921" i="4"/>
  <c r="V1922" i="4"/>
  <c r="V1923" i="4"/>
  <c r="V1924" i="4"/>
  <c r="V1925" i="4"/>
  <c r="V1926" i="4"/>
  <c r="V1927" i="4"/>
  <c r="V1928" i="4"/>
  <c r="V1929" i="4"/>
  <c r="V1930" i="4"/>
  <c r="V1931" i="4"/>
  <c r="V1932" i="4"/>
  <c r="V1933" i="4"/>
  <c r="V1934" i="4"/>
  <c r="V1935" i="4"/>
  <c r="V1936" i="4"/>
  <c r="V1937" i="4"/>
  <c r="V1938" i="4"/>
  <c r="V1939" i="4"/>
  <c r="V1940" i="4"/>
  <c r="V1941" i="4"/>
  <c r="V1942" i="4"/>
  <c r="V1943" i="4"/>
  <c r="V1944" i="4"/>
  <c r="V1945" i="4"/>
  <c r="V1946" i="4"/>
  <c r="V1947" i="4"/>
  <c r="V1948" i="4"/>
  <c r="V1949" i="4"/>
  <c r="V1950" i="4"/>
  <c r="V1951" i="4"/>
  <c r="V1952" i="4"/>
  <c r="V1953" i="4"/>
  <c r="V1954" i="4"/>
  <c r="V1955" i="4"/>
  <c r="V1956" i="4"/>
  <c r="V1957" i="4"/>
  <c r="V1958" i="4"/>
  <c r="V1959" i="4"/>
  <c r="V1960" i="4"/>
  <c r="V1961" i="4"/>
  <c r="V1962" i="4"/>
  <c r="V1963" i="4"/>
  <c r="V1964" i="4"/>
  <c r="V1965" i="4"/>
  <c r="V1966" i="4"/>
  <c r="V1967" i="4"/>
  <c r="V1968" i="4"/>
  <c r="V1969" i="4"/>
  <c r="V1970" i="4"/>
  <c r="V1971" i="4"/>
  <c r="V1972" i="4"/>
  <c r="V1973" i="4"/>
  <c r="V1974" i="4"/>
  <c r="V1975" i="4"/>
  <c r="V1976" i="4"/>
  <c r="V1977" i="4"/>
  <c r="V1978" i="4"/>
  <c r="V1979" i="4"/>
  <c r="V1980" i="4"/>
  <c r="V1981" i="4"/>
  <c r="V1982" i="4"/>
  <c r="V1983" i="4"/>
  <c r="V1984" i="4"/>
  <c r="V1985" i="4"/>
  <c r="V1986" i="4"/>
  <c r="V1987" i="4"/>
  <c r="V1988" i="4"/>
  <c r="V1989" i="4"/>
  <c r="V1990" i="4"/>
  <c r="V1991" i="4"/>
  <c r="V1992" i="4"/>
  <c r="V1993" i="4"/>
  <c r="V1994" i="4"/>
  <c r="V1995" i="4"/>
  <c r="V1996" i="4"/>
  <c r="V1997" i="4"/>
  <c r="V1998" i="4"/>
  <c r="V1999" i="4"/>
  <c r="V2000" i="4"/>
  <c r="V2001" i="4"/>
  <c r="V2002" i="4"/>
  <c r="V2003" i="4"/>
  <c r="V2004" i="4"/>
  <c r="V2005" i="4"/>
  <c r="V2006" i="4"/>
  <c r="V2007" i="4"/>
  <c r="V2008" i="4"/>
  <c r="V2009" i="4"/>
  <c r="V2010" i="4"/>
  <c r="V2011" i="4"/>
  <c r="V2012" i="4"/>
  <c r="V2013" i="4"/>
  <c r="V2014" i="4"/>
  <c r="V2015" i="4"/>
  <c r="V2016" i="4"/>
  <c r="V2017" i="4"/>
  <c r="V2018" i="4"/>
  <c r="V2019" i="4"/>
  <c r="V2020" i="4"/>
  <c r="V2021" i="4"/>
  <c r="V2022" i="4"/>
  <c r="V2023" i="4"/>
  <c r="V2024" i="4"/>
  <c r="V2025" i="4"/>
  <c r="V2026" i="4"/>
  <c r="V2027" i="4"/>
  <c r="V2028" i="4"/>
  <c r="V2029" i="4"/>
  <c r="V2030" i="4"/>
  <c r="V2031" i="4"/>
  <c r="V2032" i="4"/>
  <c r="V2033" i="4"/>
  <c r="V2034" i="4"/>
  <c r="V2035" i="4"/>
  <c r="V2036" i="4"/>
  <c r="V2037" i="4"/>
  <c r="V2038" i="4"/>
  <c r="V2039" i="4"/>
  <c r="V2040" i="4"/>
  <c r="V2041" i="4"/>
  <c r="V2042" i="4"/>
  <c r="V2043" i="4"/>
  <c r="V2044" i="4"/>
  <c r="V2045" i="4"/>
  <c r="V2046" i="4"/>
  <c r="V2047" i="4"/>
  <c r="V2048" i="4"/>
  <c r="V2049" i="4"/>
  <c r="V2050" i="4"/>
  <c r="V2051" i="4"/>
  <c r="V2052" i="4"/>
  <c r="V2053" i="4"/>
  <c r="V2054" i="4"/>
  <c r="V2055" i="4"/>
  <c r="V2056" i="4"/>
  <c r="V2057" i="4"/>
  <c r="V2058" i="4"/>
  <c r="V2059" i="4"/>
  <c r="V2060" i="4"/>
  <c r="V2061" i="4"/>
  <c r="V2062" i="4"/>
  <c r="V2063" i="4"/>
  <c r="V2064" i="4"/>
  <c r="V2065" i="4"/>
  <c r="V2066" i="4"/>
  <c r="V2067" i="4"/>
  <c r="V2068" i="4"/>
  <c r="V2069" i="4"/>
  <c r="V2070" i="4"/>
  <c r="V2071" i="4"/>
  <c r="V2072" i="4"/>
  <c r="V2073" i="4"/>
  <c r="V2074" i="4"/>
  <c r="V2075" i="4"/>
  <c r="V2076" i="4"/>
  <c r="V2077" i="4"/>
  <c r="V2078" i="4"/>
  <c r="V2079" i="4"/>
  <c r="V2080" i="4"/>
  <c r="V2081" i="4"/>
  <c r="V2082" i="4"/>
  <c r="V2083" i="4"/>
  <c r="V2084" i="4"/>
  <c r="V2085" i="4"/>
  <c r="V2086" i="4"/>
  <c r="V2087" i="4"/>
  <c r="V2088" i="4"/>
  <c r="V2089" i="4"/>
  <c r="V2090" i="4"/>
  <c r="V2091" i="4"/>
  <c r="V2092" i="4"/>
  <c r="V2093" i="4"/>
  <c r="V2094" i="4"/>
  <c r="V2095" i="4"/>
  <c r="V2096" i="4"/>
  <c r="V2097" i="4"/>
  <c r="V2098" i="4"/>
  <c r="V2099" i="4"/>
  <c r="V2100" i="4"/>
  <c r="V2101" i="4"/>
  <c r="V2102" i="4"/>
  <c r="V2103" i="4"/>
  <c r="V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0" i="5"/>
  <c r="V1181" i="5"/>
  <c r="V1182" i="5"/>
  <c r="V1183" i="5"/>
  <c r="V1184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0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1297" i="5"/>
  <c r="V1298" i="5"/>
  <c r="V1299" i="5"/>
  <c r="V1300" i="5"/>
  <c r="V1301" i="5"/>
  <c r="V1302" i="5"/>
  <c r="V1303" i="5"/>
  <c r="V1304" i="5"/>
  <c r="V1305" i="5"/>
  <c r="V1306" i="5"/>
  <c r="V1307" i="5"/>
  <c r="V1308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V1333" i="5"/>
  <c r="V1334" i="5"/>
  <c r="V1335" i="5"/>
  <c r="V1336" i="5"/>
  <c r="V1337" i="5"/>
  <c r="V1338" i="5"/>
  <c r="V1339" i="5"/>
  <c r="V1340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V1367" i="5"/>
  <c r="V1368" i="5"/>
  <c r="V1369" i="5"/>
  <c r="V1370" i="5"/>
  <c r="V1371" i="5"/>
  <c r="V1372" i="5"/>
  <c r="V1373" i="5"/>
  <c r="V1374" i="5"/>
  <c r="V1375" i="5"/>
  <c r="V1376" i="5"/>
  <c r="V1377" i="5"/>
  <c r="V1378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V1445" i="5"/>
  <c r="V1446" i="5"/>
  <c r="V1447" i="5"/>
  <c r="V1448" i="5"/>
  <c r="V1449" i="5"/>
  <c r="V1450" i="5"/>
  <c r="V1451" i="5"/>
  <c r="V1452" i="5"/>
  <c r="V1453" i="5"/>
  <c r="V1454" i="5"/>
  <c r="V1455" i="5"/>
  <c r="V1456" i="5"/>
  <c r="V1457" i="5"/>
  <c r="V1458" i="5"/>
  <c r="V1459" i="5"/>
  <c r="V1460" i="5"/>
  <c r="V1461" i="5"/>
  <c r="V1462" i="5"/>
  <c r="V1463" i="5"/>
  <c r="V1464" i="5"/>
  <c r="V1465" i="5"/>
  <c r="V1466" i="5"/>
  <c r="V1467" i="5"/>
  <c r="V1468" i="5"/>
  <c r="V1469" i="5"/>
  <c r="V1470" i="5"/>
  <c r="V1471" i="5"/>
  <c r="V1472" i="5"/>
  <c r="V1473" i="5"/>
  <c r="V1474" i="5"/>
  <c r="V1475" i="5"/>
  <c r="V1476" i="5"/>
  <c r="V1477" i="5"/>
  <c r="V1478" i="5"/>
  <c r="V1479" i="5"/>
  <c r="V1480" i="5"/>
  <c r="V1481" i="5"/>
  <c r="V1482" i="5"/>
  <c r="V1483" i="5"/>
  <c r="V1484" i="5"/>
  <c r="V1485" i="5"/>
  <c r="V1486" i="5"/>
  <c r="V1487" i="5"/>
  <c r="V1488" i="5"/>
  <c r="V1489" i="5"/>
  <c r="V1490" i="5"/>
  <c r="V1491" i="5"/>
  <c r="V1492" i="5"/>
  <c r="V1493" i="5"/>
  <c r="V1494" i="5"/>
  <c r="V1495" i="5"/>
  <c r="V1496" i="5"/>
  <c r="V1497" i="5"/>
  <c r="V1498" i="5"/>
  <c r="V1499" i="5"/>
  <c r="V1500" i="5"/>
  <c r="V1501" i="5"/>
  <c r="V1502" i="5"/>
  <c r="V1503" i="5"/>
  <c r="V1504" i="5"/>
  <c r="V1505" i="5"/>
  <c r="V1506" i="5"/>
  <c r="V1507" i="5"/>
  <c r="V1508" i="5"/>
  <c r="V1509" i="5"/>
  <c r="V1510" i="5"/>
  <c r="V1511" i="5"/>
  <c r="V1512" i="5"/>
  <c r="V1513" i="5"/>
  <c r="V1514" i="5"/>
  <c r="V1515" i="5"/>
  <c r="V1516" i="5"/>
  <c r="V1517" i="5"/>
  <c r="V1518" i="5"/>
  <c r="V1519" i="5"/>
  <c r="V1520" i="5"/>
  <c r="V1521" i="5"/>
  <c r="V1522" i="5"/>
  <c r="V1523" i="5"/>
  <c r="V1524" i="5"/>
  <c r="V1525" i="5"/>
  <c r="V1526" i="5"/>
  <c r="V1527" i="5"/>
  <c r="V1528" i="5"/>
  <c r="V1529" i="5"/>
  <c r="V1530" i="5"/>
  <c r="V1531" i="5"/>
  <c r="V1532" i="5"/>
  <c r="V1533" i="5"/>
  <c r="V1534" i="5"/>
  <c r="V1535" i="5"/>
  <c r="V1536" i="5"/>
  <c r="V1537" i="5"/>
  <c r="V1538" i="5"/>
  <c r="V1539" i="5"/>
  <c r="V1540" i="5"/>
  <c r="V1541" i="5"/>
  <c r="V1542" i="5"/>
  <c r="V1543" i="5"/>
  <c r="V1544" i="5"/>
  <c r="V1545" i="5"/>
  <c r="V1546" i="5"/>
  <c r="V1547" i="5"/>
  <c r="V1548" i="5"/>
  <c r="V1549" i="5"/>
  <c r="V1550" i="5"/>
  <c r="V1551" i="5"/>
  <c r="V1552" i="5"/>
  <c r="V1553" i="5"/>
  <c r="V1554" i="5"/>
  <c r="V1555" i="5"/>
  <c r="V1556" i="5"/>
  <c r="V1557" i="5"/>
  <c r="V1558" i="5"/>
  <c r="V1559" i="5"/>
  <c r="V1560" i="5"/>
  <c r="V1561" i="5"/>
  <c r="V1562" i="5"/>
  <c r="V1563" i="5"/>
  <c r="V1564" i="5"/>
  <c r="V1565" i="5"/>
  <c r="V1566" i="5"/>
  <c r="V1567" i="5"/>
  <c r="V1568" i="5"/>
  <c r="V1569" i="5"/>
  <c r="V1570" i="5"/>
  <c r="V1571" i="5"/>
  <c r="V1572" i="5"/>
  <c r="V1573" i="5"/>
  <c r="V1574" i="5"/>
  <c r="V1575" i="5"/>
  <c r="V1576" i="5"/>
  <c r="V1577" i="5"/>
  <c r="V1578" i="5"/>
  <c r="V1579" i="5"/>
  <c r="V1580" i="5"/>
  <c r="V1581" i="5"/>
  <c r="V1582" i="5"/>
  <c r="V1583" i="5"/>
  <c r="V1584" i="5"/>
  <c r="V1585" i="5"/>
  <c r="V1586" i="5"/>
  <c r="V1587" i="5"/>
  <c r="V1588" i="5"/>
  <c r="V1589" i="5"/>
  <c r="V1590" i="5"/>
  <c r="V1591" i="5"/>
  <c r="V1592" i="5"/>
  <c r="V1593" i="5"/>
  <c r="V1594" i="5"/>
  <c r="V1595" i="5"/>
  <c r="V1596" i="5"/>
  <c r="V1597" i="5"/>
  <c r="V1598" i="5"/>
  <c r="V1599" i="5"/>
  <c r="V1600" i="5"/>
  <c r="V1601" i="5"/>
  <c r="V1602" i="5"/>
  <c r="V1603" i="5"/>
  <c r="V1604" i="5"/>
  <c r="V1605" i="5"/>
  <c r="V1606" i="5"/>
  <c r="V1607" i="5"/>
  <c r="V1608" i="5"/>
  <c r="V1609" i="5"/>
  <c r="V1610" i="5"/>
  <c r="V1611" i="5"/>
  <c r="V1612" i="5"/>
  <c r="V1613" i="5"/>
  <c r="V1614" i="5"/>
  <c r="V1615" i="5"/>
  <c r="V1616" i="5"/>
  <c r="V1617" i="5"/>
  <c r="V1618" i="5"/>
  <c r="V1619" i="5"/>
  <c r="V1620" i="5"/>
  <c r="V1621" i="5"/>
  <c r="V1622" i="5"/>
  <c r="V1623" i="5"/>
  <c r="V1624" i="5"/>
  <c r="V1625" i="5"/>
  <c r="V1626" i="5"/>
  <c r="V1627" i="5"/>
  <c r="V1628" i="5"/>
  <c r="V1629" i="5"/>
  <c r="V1630" i="5"/>
  <c r="V1631" i="5"/>
  <c r="V1632" i="5"/>
  <c r="V1633" i="5"/>
  <c r="V1634" i="5"/>
  <c r="V1635" i="5"/>
  <c r="V1636" i="5"/>
  <c r="V1637" i="5"/>
  <c r="V1638" i="5"/>
  <c r="V1639" i="5"/>
  <c r="V1640" i="5"/>
  <c r="V1641" i="5"/>
  <c r="V1642" i="5"/>
  <c r="V1643" i="5"/>
  <c r="V1644" i="5"/>
  <c r="V1645" i="5"/>
  <c r="V1646" i="5"/>
  <c r="V1647" i="5"/>
  <c r="V1648" i="5"/>
  <c r="V1649" i="5"/>
  <c r="V1650" i="5"/>
  <c r="V1651" i="5"/>
  <c r="V1652" i="5"/>
  <c r="V1653" i="5"/>
  <c r="V1654" i="5"/>
  <c r="V1655" i="5"/>
  <c r="V1656" i="5"/>
  <c r="V1657" i="5"/>
  <c r="V1658" i="5"/>
  <c r="V1659" i="5"/>
  <c r="V1660" i="5"/>
  <c r="V1661" i="5"/>
  <c r="V1662" i="5"/>
  <c r="V1663" i="5"/>
  <c r="V1664" i="5"/>
  <c r="V1665" i="5"/>
  <c r="V1666" i="5"/>
  <c r="V1667" i="5"/>
  <c r="V1668" i="5"/>
  <c r="V1669" i="5"/>
  <c r="V1670" i="5"/>
  <c r="V1671" i="5"/>
  <c r="V1672" i="5"/>
  <c r="V1673" i="5"/>
  <c r="V1674" i="5"/>
  <c r="V1675" i="5"/>
  <c r="V1676" i="5"/>
  <c r="V1677" i="5"/>
  <c r="V1678" i="5"/>
  <c r="V1679" i="5"/>
  <c r="V1680" i="5"/>
  <c r="V1681" i="5"/>
  <c r="V1682" i="5"/>
  <c r="V1683" i="5"/>
  <c r="V1684" i="5"/>
  <c r="V1685" i="5"/>
  <c r="V1686" i="5"/>
  <c r="V1687" i="5"/>
  <c r="V1688" i="5"/>
  <c r="V1689" i="5"/>
  <c r="V1690" i="5"/>
  <c r="V1691" i="5"/>
  <c r="V1692" i="5"/>
  <c r="V1693" i="5"/>
  <c r="V1694" i="5"/>
  <c r="V1695" i="5"/>
  <c r="V1696" i="5"/>
  <c r="V1697" i="5"/>
  <c r="V1698" i="5"/>
  <c r="V1699" i="5"/>
  <c r="V1700" i="5"/>
  <c r="V1701" i="5"/>
  <c r="V1702" i="5"/>
  <c r="V1703" i="5"/>
  <c r="V1704" i="5"/>
  <c r="V1705" i="5"/>
  <c r="V1706" i="5"/>
  <c r="V1707" i="5"/>
  <c r="V1708" i="5"/>
  <c r="V1709" i="5"/>
  <c r="V1710" i="5"/>
  <c r="V1711" i="5"/>
  <c r="V1712" i="5"/>
  <c r="V1713" i="5"/>
  <c r="V1714" i="5"/>
  <c r="V1715" i="5"/>
  <c r="V1716" i="5"/>
  <c r="V1717" i="5"/>
  <c r="V1718" i="5"/>
  <c r="V1719" i="5"/>
  <c r="V1720" i="5"/>
  <c r="V1721" i="5"/>
  <c r="V1722" i="5"/>
  <c r="V1723" i="5"/>
  <c r="V1724" i="5"/>
  <c r="V1725" i="5"/>
  <c r="V1726" i="5"/>
  <c r="V1727" i="5"/>
  <c r="V1728" i="5"/>
  <c r="V1729" i="5"/>
  <c r="V1730" i="5"/>
  <c r="V1731" i="5"/>
  <c r="V1732" i="5"/>
  <c r="V1733" i="5"/>
  <c r="V1734" i="5"/>
  <c r="V1735" i="5"/>
  <c r="V1736" i="5"/>
  <c r="V1737" i="5"/>
  <c r="V1738" i="5"/>
  <c r="V1739" i="5"/>
  <c r="V1740" i="5"/>
  <c r="V1741" i="5"/>
  <c r="V1742" i="5"/>
  <c r="V1743" i="5"/>
  <c r="V1744" i="5"/>
  <c r="V1745" i="5"/>
  <c r="V1746" i="5"/>
  <c r="V1747" i="5"/>
  <c r="V1748" i="5"/>
  <c r="V1749" i="5"/>
  <c r="V1750" i="5"/>
  <c r="V1751" i="5"/>
  <c r="V1752" i="5"/>
  <c r="V1753" i="5"/>
  <c r="V1754" i="5"/>
  <c r="V1755" i="5"/>
  <c r="V1756" i="5"/>
  <c r="V1757" i="5"/>
  <c r="V1758" i="5"/>
  <c r="V1759" i="5"/>
  <c r="V1760" i="5"/>
  <c r="V1761" i="5"/>
  <c r="V1762" i="5"/>
  <c r="V1763" i="5"/>
  <c r="V1764" i="5"/>
  <c r="V1765" i="5"/>
  <c r="V1766" i="5"/>
  <c r="V1767" i="5"/>
  <c r="V1768" i="5"/>
  <c r="V1769" i="5"/>
  <c r="V1770" i="5"/>
  <c r="V1771" i="5"/>
  <c r="V1772" i="5"/>
  <c r="V1773" i="5"/>
  <c r="V1774" i="5"/>
  <c r="V1775" i="5"/>
  <c r="V1776" i="5"/>
  <c r="V1777" i="5"/>
  <c r="V1778" i="5"/>
  <c r="V1779" i="5"/>
  <c r="V1780" i="5"/>
  <c r="V1781" i="5"/>
  <c r="V1782" i="5"/>
  <c r="V1783" i="5"/>
  <c r="V1784" i="5"/>
  <c r="V1785" i="5"/>
  <c r="V1786" i="5"/>
  <c r="V1787" i="5"/>
  <c r="V1788" i="5"/>
  <c r="V1789" i="5"/>
  <c r="V1790" i="5"/>
  <c r="V1791" i="5"/>
  <c r="V1792" i="5"/>
  <c r="V1793" i="5"/>
  <c r="V1794" i="5"/>
  <c r="V1795" i="5"/>
  <c r="V1796" i="5"/>
  <c r="V1797" i="5"/>
  <c r="V1798" i="5"/>
  <c r="V1799" i="5"/>
  <c r="V1800" i="5"/>
  <c r="V1801" i="5"/>
  <c r="V1802" i="5"/>
  <c r="V1803" i="5"/>
  <c r="V1804" i="5"/>
  <c r="V1805" i="5"/>
  <c r="V1806" i="5"/>
  <c r="V1807" i="5"/>
  <c r="V1808" i="5"/>
  <c r="V1809" i="5"/>
  <c r="V1810" i="5"/>
  <c r="V1811" i="5"/>
  <c r="V1812" i="5"/>
  <c r="V1813" i="5"/>
  <c r="V1814" i="5"/>
  <c r="V1815" i="5"/>
  <c r="V1816" i="5"/>
  <c r="V1817" i="5"/>
  <c r="V1818" i="5"/>
  <c r="V1819" i="5"/>
  <c r="V1820" i="5"/>
  <c r="V1821" i="5"/>
  <c r="V1822" i="5"/>
  <c r="V1823" i="5"/>
  <c r="V1824" i="5"/>
  <c r="V1825" i="5"/>
  <c r="V1826" i="5"/>
  <c r="V1827" i="5"/>
  <c r="V1828" i="5"/>
  <c r="V1829" i="5"/>
  <c r="V1830" i="5"/>
  <c r="V1831" i="5"/>
  <c r="V1832" i="5"/>
  <c r="V1833" i="5"/>
  <c r="V1834" i="5"/>
  <c r="V1835" i="5"/>
  <c r="V1836" i="5"/>
  <c r="V1837" i="5"/>
  <c r="V1838" i="5"/>
  <c r="V1839" i="5"/>
  <c r="V1840" i="5"/>
  <c r="V1841" i="5"/>
  <c r="V1842" i="5"/>
  <c r="V1843" i="5"/>
  <c r="V1844" i="5"/>
  <c r="V1845" i="5"/>
  <c r="V1846" i="5"/>
  <c r="V1847" i="5"/>
  <c r="V1848" i="5"/>
  <c r="V1849" i="5"/>
  <c r="V1850" i="5"/>
  <c r="V1851" i="5"/>
  <c r="V1852" i="5"/>
  <c r="V1853" i="5"/>
  <c r="V1854" i="5"/>
  <c r="V1855" i="5"/>
  <c r="V1856" i="5"/>
  <c r="V1857" i="5"/>
  <c r="V1858" i="5"/>
  <c r="V1859" i="5"/>
  <c r="V1860" i="5"/>
  <c r="V1861" i="5"/>
  <c r="V1862" i="5"/>
  <c r="V1863" i="5"/>
  <c r="V1864" i="5"/>
  <c r="V1865" i="5"/>
  <c r="V1866" i="5"/>
  <c r="V1867" i="5"/>
  <c r="V1868" i="5"/>
  <c r="V1869" i="5"/>
  <c r="V1870" i="5"/>
  <c r="V1871" i="5"/>
  <c r="V1872" i="5"/>
  <c r="V1873" i="5"/>
  <c r="V1874" i="5"/>
  <c r="V1875" i="5"/>
  <c r="V1876" i="5"/>
  <c r="V1877" i="5"/>
  <c r="V1878" i="5"/>
  <c r="V1879" i="5"/>
  <c r="V1880" i="5"/>
  <c r="V1881" i="5"/>
  <c r="V1882" i="5"/>
  <c r="V1883" i="5"/>
  <c r="V1884" i="5"/>
  <c r="V1885" i="5"/>
  <c r="V1886" i="5"/>
  <c r="V1887" i="5"/>
  <c r="V1888" i="5"/>
  <c r="V1889" i="5"/>
  <c r="V1890" i="5"/>
  <c r="V1891" i="5"/>
  <c r="V1892" i="5"/>
  <c r="V1893" i="5"/>
  <c r="V1894" i="5"/>
  <c r="V1895" i="5"/>
  <c r="V1896" i="5"/>
  <c r="V1897" i="5"/>
  <c r="V1898" i="5"/>
  <c r="V1899" i="5"/>
  <c r="V1900" i="5"/>
  <c r="V1901" i="5"/>
  <c r="V1902" i="5"/>
  <c r="V1903" i="5"/>
  <c r="V1904" i="5"/>
  <c r="V1905" i="5"/>
  <c r="V1906" i="5"/>
  <c r="V1907" i="5"/>
  <c r="V1908" i="5"/>
  <c r="V1909" i="5"/>
  <c r="V1910" i="5"/>
  <c r="V1911" i="5"/>
  <c r="V1912" i="5"/>
  <c r="V1913" i="5"/>
  <c r="V1914" i="5"/>
  <c r="V1915" i="5"/>
  <c r="V1916" i="5"/>
  <c r="V1917" i="5"/>
  <c r="V1918" i="5"/>
  <c r="V1919" i="5"/>
  <c r="V1920" i="5"/>
  <c r="V1921" i="5"/>
  <c r="V1922" i="5"/>
  <c r="V1923" i="5"/>
  <c r="V1924" i="5"/>
  <c r="V1925" i="5"/>
  <c r="V1926" i="5"/>
  <c r="V1927" i="5"/>
  <c r="V1928" i="5"/>
  <c r="V1929" i="5"/>
  <c r="V1930" i="5"/>
  <c r="V1931" i="5"/>
  <c r="V1932" i="5"/>
  <c r="V1933" i="5"/>
  <c r="V1934" i="5"/>
  <c r="V1935" i="5"/>
  <c r="V1936" i="5"/>
  <c r="V1937" i="5"/>
  <c r="V1938" i="5"/>
  <c r="V1939" i="5"/>
  <c r="V1940" i="5"/>
  <c r="V1941" i="5"/>
  <c r="V1942" i="5"/>
  <c r="V1943" i="5"/>
  <c r="V1944" i="5"/>
  <c r="V1945" i="5"/>
  <c r="V1946" i="5"/>
  <c r="V1947" i="5"/>
  <c r="V1948" i="5"/>
  <c r="V1949" i="5"/>
  <c r="V1950" i="5"/>
  <c r="V1951" i="5"/>
  <c r="V1952" i="5"/>
  <c r="V1953" i="5"/>
  <c r="V1954" i="5"/>
  <c r="V1955" i="5"/>
  <c r="V1956" i="5"/>
  <c r="V1957" i="5"/>
  <c r="V1958" i="5"/>
  <c r="V1959" i="5"/>
  <c r="V1960" i="5"/>
  <c r="V1961" i="5"/>
  <c r="V1962" i="5"/>
  <c r="V1963" i="5"/>
  <c r="V1964" i="5"/>
  <c r="V1965" i="5"/>
  <c r="V1966" i="5"/>
  <c r="V1967" i="5"/>
  <c r="V1968" i="5"/>
  <c r="V1969" i="5"/>
  <c r="V1970" i="5"/>
  <c r="V1971" i="5"/>
  <c r="V1972" i="5"/>
  <c r="V1973" i="5"/>
  <c r="V1974" i="5"/>
  <c r="V1975" i="5"/>
  <c r="V1976" i="5"/>
  <c r="V1977" i="5"/>
  <c r="V1978" i="5"/>
  <c r="V1979" i="5"/>
  <c r="V1980" i="5"/>
  <c r="V1981" i="5"/>
  <c r="V1982" i="5"/>
  <c r="V1983" i="5"/>
  <c r="V1984" i="5"/>
  <c r="V1985" i="5"/>
  <c r="V1986" i="5"/>
  <c r="V1987" i="5"/>
  <c r="V1988" i="5"/>
  <c r="V1989" i="5"/>
  <c r="V1990" i="5"/>
  <c r="V1991" i="5"/>
  <c r="V1992" i="5"/>
  <c r="V1993" i="5"/>
  <c r="V1994" i="5"/>
  <c r="V1995" i="5"/>
  <c r="V1996" i="5"/>
  <c r="V1997" i="5"/>
  <c r="V1998" i="5"/>
  <c r="V1999" i="5"/>
  <c r="V2000" i="5"/>
  <c r="V2001" i="5"/>
  <c r="V2002" i="5"/>
  <c r="V2003" i="5"/>
  <c r="V2004" i="5"/>
  <c r="V2005" i="5"/>
  <c r="V2006" i="5"/>
  <c r="V2007" i="5"/>
  <c r="V2008" i="5"/>
  <c r="V2009" i="5"/>
  <c r="V2010" i="5"/>
  <c r="V2011" i="5"/>
  <c r="V2012" i="5"/>
  <c r="V2013" i="5"/>
  <c r="V2014" i="5"/>
  <c r="V2015" i="5"/>
  <c r="V2016" i="5"/>
  <c r="V2017" i="5"/>
  <c r="V2018" i="5"/>
  <c r="V2019" i="5"/>
  <c r="V2020" i="5"/>
  <c r="V2021" i="5"/>
  <c r="V2022" i="5"/>
  <c r="V2023" i="5"/>
  <c r="V2024" i="5"/>
  <c r="V2025" i="5"/>
  <c r="V2026" i="5"/>
  <c r="V2027" i="5"/>
  <c r="V2028" i="5"/>
  <c r="V2029" i="5"/>
  <c r="V2030" i="5"/>
  <c r="V2031" i="5"/>
  <c r="V2032" i="5"/>
  <c r="V2033" i="5"/>
  <c r="V2034" i="5"/>
  <c r="V2035" i="5"/>
  <c r="V2036" i="5"/>
  <c r="V2037" i="5"/>
  <c r="V2038" i="5"/>
  <c r="V2039" i="5"/>
  <c r="V2040" i="5"/>
  <c r="V2041" i="5"/>
  <c r="V2042" i="5"/>
  <c r="V2043" i="5"/>
  <c r="V2044" i="5"/>
  <c r="V2045" i="5"/>
  <c r="V2046" i="5"/>
  <c r="V2047" i="5"/>
  <c r="V2048" i="5"/>
  <c r="V2049" i="5"/>
  <c r="V2050" i="5"/>
  <c r="V2051" i="5"/>
  <c r="V2052" i="5"/>
  <c r="V2053" i="5"/>
  <c r="V2054" i="5"/>
  <c r="V2055" i="5"/>
  <c r="V2056" i="5"/>
  <c r="V2057" i="5"/>
  <c r="V2058" i="5"/>
  <c r="V2059" i="5"/>
  <c r="V2060" i="5"/>
  <c r="V2061" i="5"/>
  <c r="V2062" i="5"/>
  <c r="V2063" i="5"/>
  <c r="V2064" i="5"/>
  <c r="V2065" i="5"/>
  <c r="V2066" i="5"/>
  <c r="V2067" i="5"/>
  <c r="V2068" i="5"/>
  <c r="V2069" i="5"/>
  <c r="V2070" i="5"/>
  <c r="V2071" i="5"/>
  <c r="V2072" i="5"/>
  <c r="V2073" i="5"/>
  <c r="V2074" i="5"/>
  <c r="V2075" i="5"/>
  <c r="V2076" i="5"/>
  <c r="V2077" i="5"/>
  <c r="V2078" i="5"/>
  <c r="V2079" i="5"/>
  <c r="V2080" i="5"/>
  <c r="V2081" i="5"/>
  <c r="V2082" i="5"/>
  <c r="V2083" i="5"/>
  <c r="V2084" i="5"/>
  <c r="V2085" i="5"/>
  <c r="V2086" i="5"/>
  <c r="V2087" i="5"/>
  <c r="V2088" i="5"/>
  <c r="V2089" i="5"/>
  <c r="V2090" i="5"/>
  <c r="V2091" i="5"/>
  <c r="V2092" i="5"/>
  <c r="V2093" i="5"/>
  <c r="V2094" i="5"/>
  <c r="V2095" i="5"/>
  <c r="V2096" i="5"/>
  <c r="V2097" i="5"/>
  <c r="V2098" i="5"/>
  <c r="V2099" i="5"/>
  <c r="V2100" i="5"/>
  <c r="V2101" i="5"/>
  <c r="V2102" i="5"/>
  <c r="V2103" i="5"/>
  <c r="V2104" i="5"/>
  <c r="V2105" i="5"/>
  <c r="V2106" i="5"/>
  <c r="V2107" i="5"/>
  <c r="V2108" i="5"/>
  <c r="V2109" i="5"/>
  <c r="V2110" i="5"/>
  <c r="V2111" i="5"/>
  <c r="V2112" i="5"/>
  <c r="V2113" i="5"/>
  <c r="V2114" i="5"/>
  <c r="V2115" i="5"/>
  <c r="V2116" i="5"/>
  <c r="V2117" i="5"/>
  <c r="V2118" i="5"/>
  <c r="V2119" i="5"/>
  <c r="V2120" i="5"/>
  <c r="V2121" i="5"/>
  <c r="V2122" i="5"/>
  <c r="V2123" i="5"/>
  <c r="V2124" i="5"/>
  <c r="V2125" i="5"/>
  <c r="V2126" i="5"/>
  <c r="V2127" i="5"/>
  <c r="V2128" i="5"/>
  <c r="V2129" i="5"/>
  <c r="V2130" i="5"/>
  <c r="V2131" i="5"/>
  <c r="V2132" i="5"/>
  <c r="V2133" i="5"/>
  <c r="V2134" i="5"/>
  <c r="V2135" i="5"/>
  <c r="V2136" i="5"/>
  <c r="V2137" i="5"/>
  <c r="V2138" i="5"/>
  <c r="V2139" i="5"/>
  <c r="V2140" i="5"/>
  <c r="V2141" i="5"/>
  <c r="V2142" i="5"/>
  <c r="V2143" i="5"/>
  <c r="V2144" i="5"/>
  <c r="V2145" i="5"/>
  <c r="V2146" i="5"/>
  <c r="V2147" i="5"/>
  <c r="V2148" i="5"/>
  <c r="V2149" i="5"/>
  <c r="V2150" i="5"/>
  <c r="V2151" i="5"/>
  <c r="V2152" i="5"/>
  <c r="V2153" i="5"/>
  <c r="V2154" i="5"/>
  <c r="V2155" i="5"/>
  <c r="V2156" i="5"/>
  <c r="V2157" i="5"/>
  <c r="V2158" i="5"/>
  <c r="V2159" i="5"/>
  <c r="V2160" i="5"/>
  <c r="V2161" i="5"/>
  <c r="V2162" i="5"/>
  <c r="V2163" i="5"/>
  <c r="V2164" i="5"/>
  <c r="V2165" i="5"/>
  <c r="V2166" i="5"/>
  <c r="V2167" i="5"/>
  <c r="V2168" i="5"/>
  <c r="V2169" i="5"/>
  <c r="V2170" i="5"/>
  <c r="V2171" i="5"/>
  <c r="V2172" i="5"/>
  <c r="V2173" i="5"/>
  <c r="V2174" i="5"/>
  <c r="V2175" i="5"/>
  <c r="V2176" i="5"/>
  <c r="V2177" i="5"/>
  <c r="V2178" i="5"/>
  <c r="V2179" i="5"/>
  <c r="V2180" i="5"/>
  <c r="V2181" i="5"/>
  <c r="V2182" i="5"/>
  <c r="V2183" i="5"/>
  <c r="V2184" i="5"/>
  <c r="V2185" i="5"/>
  <c r="V2186" i="5"/>
  <c r="V2187" i="5"/>
  <c r="V2188" i="5"/>
  <c r="V2189" i="5"/>
  <c r="V2190" i="5"/>
  <c r="V2191" i="5"/>
  <c r="V2192" i="5"/>
  <c r="V2193" i="5"/>
  <c r="V2194" i="5"/>
  <c r="V2195" i="5"/>
  <c r="V2196" i="5"/>
  <c r="V2197" i="5"/>
  <c r="V2198" i="5"/>
  <c r="V2199" i="5"/>
  <c r="V2200" i="5"/>
  <c r="V2201" i="5"/>
  <c r="V2202" i="5"/>
  <c r="V2203" i="5"/>
  <c r="V2204" i="5"/>
  <c r="V2205" i="5"/>
  <c r="V2206" i="5"/>
  <c r="V2207" i="5"/>
  <c r="V2208" i="5"/>
  <c r="V2209" i="5"/>
  <c r="V2210" i="5"/>
  <c r="V2211" i="5"/>
  <c r="V2212" i="5"/>
  <c r="V2213" i="5"/>
  <c r="V2214" i="5"/>
  <c r="V2215" i="5"/>
  <c r="V2216" i="5"/>
  <c r="V2217" i="5"/>
  <c r="V2218" i="5"/>
  <c r="V2219" i="5"/>
  <c r="V2220" i="5"/>
  <c r="V2221" i="5"/>
  <c r="V2222" i="5"/>
  <c r="V2223" i="5"/>
  <c r="V2224" i="5"/>
  <c r="V2225" i="5"/>
  <c r="V2226" i="5"/>
  <c r="V2227" i="5"/>
  <c r="V2228" i="5"/>
  <c r="V2229" i="5"/>
  <c r="V2230" i="5"/>
  <c r="V2231" i="5"/>
  <c r="V2232" i="5"/>
  <c r="V2233" i="5"/>
  <c r="V2234" i="5"/>
  <c r="V2235" i="5"/>
  <c r="V2236" i="5"/>
  <c r="V2237" i="5"/>
  <c r="V2238" i="5"/>
  <c r="V2239" i="5"/>
  <c r="V2240" i="5"/>
  <c r="V2241" i="5"/>
  <c r="V2242" i="5"/>
  <c r="V2243" i="5"/>
  <c r="V2244" i="5"/>
  <c r="V2245" i="5"/>
  <c r="V2246" i="5"/>
  <c r="V2247" i="5"/>
  <c r="V2248" i="5"/>
  <c r="V2249" i="5"/>
  <c r="V2250" i="5"/>
  <c r="V2251" i="5"/>
  <c r="V2252" i="5"/>
  <c r="V2253" i="5"/>
  <c r="V2254" i="5"/>
  <c r="V2255" i="5"/>
  <c r="V2256" i="5"/>
  <c r="V2257" i="5"/>
  <c r="V2258" i="5"/>
  <c r="V2259" i="5"/>
  <c r="V2260" i="5"/>
  <c r="V2261" i="5"/>
  <c r="V2262" i="5"/>
  <c r="V2263" i="5"/>
  <c r="V2264" i="5"/>
  <c r="V2265" i="5"/>
  <c r="V2266" i="5"/>
  <c r="V2267" i="5"/>
  <c r="V2268" i="5"/>
  <c r="V2269" i="5"/>
  <c r="V2270" i="5"/>
  <c r="V2271" i="5"/>
  <c r="V2272" i="5"/>
  <c r="V2273" i="5"/>
  <c r="V2274" i="5"/>
  <c r="V2275" i="5"/>
  <c r="V2276" i="5"/>
  <c r="V2277" i="5"/>
  <c r="V2278" i="5"/>
  <c r="V2279" i="5"/>
  <c r="V2280" i="5"/>
  <c r="V2281" i="5"/>
  <c r="V2282" i="5"/>
  <c r="V2283" i="5"/>
  <c r="V2284" i="5"/>
  <c r="V2285" i="5"/>
  <c r="V2286" i="5"/>
  <c r="V2287" i="5"/>
  <c r="V2288" i="5"/>
  <c r="V2289" i="5"/>
  <c r="V2290" i="5"/>
  <c r="V2291" i="5"/>
  <c r="V2292" i="5"/>
  <c r="V2293" i="5"/>
  <c r="V2294" i="5"/>
  <c r="V2295" i="5"/>
  <c r="V2296" i="5"/>
  <c r="V2297" i="5"/>
  <c r="V2298" i="5"/>
  <c r="V2299" i="5"/>
  <c r="V2300" i="5"/>
  <c r="V2301" i="5"/>
  <c r="V2302" i="5"/>
  <c r="V2303" i="5"/>
  <c r="V2304" i="5"/>
  <c r="V2305" i="5"/>
  <c r="V2306" i="5"/>
  <c r="V2307" i="5"/>
  <c r="V2308" i="5"/>
  <c r="V2309" i="5"/>
  <c r="V2310" i="5"/>
  <c r="V2311" i="5"/>
  <c r="V2312" i="5"/>
  <c r="V2313" i="5"/>
  <c r="V2314" i="5"/>
  <c r="V2315" i="5"/>
  <c r="V2316" i="5"/>
  <c r="V2317" i="5"/>
  <c r="V2318" i="5"/>
  <c r="V2319" i="5"/>
  <c r="V2320" i="5"/>
  <c r="V2321" i="5"/>
  <c r="V2322" i="5"/>
  <c r="V2323" i="5"/>
  <c r="V2324" i="5"/>
  <c r="V2325" i="5"/>
  <c r="V2326" i="5"/>
  <c r="V2327" i="5"/>
  <c r="V2328" i="5"/>
  <c r="V2329" i="5"/>
  <c r="V2330" i="5"/>
  <c r="V2331" i="5"/>
  <c r="V2332" i="5"/>
  <c r="V2333" i="5"/>
  <c r="V2334" i="5"/>
  <c r="V2335" i="5"/>
  <c r="V2336" i="5"/>
  <c r="V2337" i="5"/>
  <c r="V2338" i="5"/>
  <c r="V2339" i="5"/>
  <c r="V2340" i="5"/>
  <c r="V2341" i="5"/>
  <c r="V2342" i="5"/>
  <c r="V2343" i="5"/>
  <c r="V2344" i="5"/>
  <c r="V2345" i="5"/>
  <c r="V2346" i="5"/>
  <c r="V2347" i="5"/>
  <c r="V2348" i="5"/>
  <c r="V2349" i="5"/>
  <c r="V2350" i="5"/>
  <c r="V2351" i="5"/>
  <c r="V2352" i="5"/>
  <c r="V2353" i="5"/>
  <c r="V2354" i="5"/>
  <c r="V2355" i="5"/>
  <c r="V2356" i="5"/>
  <c r="V2357" i="5"/>
  <c r="V2358" i="5"/>
  <c r="V2359" i="5"/>
  <c r="V2360" i="5"/>
  <c r="V2361" i="5"/>
  <c r="V2362" i="5"/>
  <c r="V2363" i="5"/>
  <c r="V2364" i="5"/>
  <c r="V2365" i="5"/>
  <c r="V2366" i="5"/>
  <c r="V2367" i="5"/>
  <c r="V2368" i="5"/>
  <c r="V2369" i="5"/>
  <c r="V2370" i="5"/>
  <c r="V2371" i="5"/>
  <c r="V2372" i="5"/>
  <c r="V2373" i="5"/>
  <c r="V2374" i="5"/>
  <c r="V2375" i="5"/>
  <c r="V2376" i="5"/>
  <c r="V2377" i="5"/>
  <c r="V2378" i="5"/>
  <c r="V2379" i="5"/>
  <c r="V2380" i="5"/>
  <c r="V2381" i="5"/>
  <c r="V2382" i="5"/>
  <c r="V2383" i="5"/>
  <c r="V2384" i="5"/>
  <c r="V2385" i="5"/>
  <c r="V2386" i="5"/>
  <c r="V2387" i="5"/>
  <c r="V2388" i="5"/>
  <c r="V2389" i="5"/>
  <c r="V2390" i="5"/>
  <c r="V2391" i="5"/>
  <c r="V2392" i="5"/>
  <c r="V2393" i="5"/>
  <c r="V2394" i="5"/>
  <c r="V2395" i="5"/>
  <c r="V2396" i="5"/>
  <c r="V2397" i="5"/>
  <c r="V2398" i="5"/>
  <c r="V2399" i="5"/>
  <c r="V2400" i="5"/>
  <c r="V2401" i="5"/>
  <c r="V2402" i="5"/>
  <c r="V2403" i="5"/>
  <c r="V2404" i="5"/>
  <c r="V2405" i="5"/>
  <c r="V2406" i="5"/>
  <c r="V2407" i="5"/>
  <c r="V2408" i="5"/>
  <c r="V2409" i="5"/>
  <c r="V2410" i="5"/>
  <c r="V2411" i="5"/>
  <c r="V2412" i="5"/>
  <c r="V2413" i="5"/>
  <c r="V2414" i="5"/>
  <c r="V2415" i="5"/>
  <c r="V2416" i="5"/>
  <c r="V2417" i="5"/>
  <c r="V2418" i="5"/>
  <c r="V2419" i="5"/>
  <c r="V2420" i="5"/>
  <c r="V2421" i="5"/>
  <c r="V2422" i="5"/>
  <c r="V2423" i="5"/>
  <c r="V2424" i="5"/>
  <c r="V2425" i="5"/>
  <c r="V2426" i="5"/>
  <c r="V2427" i="5"/>
  <c r="V2428" i="5"/>
  <c r="V2429" i="5"/>
  <c r="V2430" i="5"/>
  <c r="V2431" i="5"/>
  <c r="V2432" i="5"/>
  <c r="V2433" i="5"/>
  <c r="V2434" i="5"/>
  <c r="V2435" i="5"/>
  <c r="V2436" i="5"/>
  <c r="V2437" i="5"/>
  <c r="V2438" i="5"/>
  <c r="V2439" i="5"/>
  <c r="V2440" i="5"/>
  <c r="V2441" i="5"/>
  <c r="V2442" i="5"/>
  <c r="V2443" i="5"/>
  <c r="V2444" i="5"/>
  <c r="V2445" i="5"/>
  <c r="V2446" i="5"/>
  <c r="V2447" i="5"/>
  <c r="V2448" i="5"/>
  <c r="V2449" i="5"/>
  <c r="V2450" i="5"/>
  <c r="V2451" i="5"/>
  <c r="V2452" i="5"/>
  <c r="V2453" i="5"/>
  <c r="V2454" i="5"/>
  <c r="V2455" i="5"/>
  <c r="V2456" i="5"/>
  <c r="V2457" i="5"/>
  <c r="V2458" i="5"/>
  <c r="V2459" i="5"/>
  <c r="V2460" i="5"/>
  <c r="V2461" i="5"/>
  <c r="V2462" i="5"/>
  <c r="V2463" i="5"/>
  <c r="V2464" i="5"/>
  <c r="V2465" i="5"/>
  <c r="V2466" i="5"/>
  <c r="V2467" i="5"/>
  <c r="V2468" i="5"/>
  <c r="V2469" i="5"/>
  <c r="V2470" i="5"/>
  <c r="V2471" i="5"/>
  <c r="V2472" i="5"/>
  <c r="V2473" i="5"/>
  <c r="V2474" i="5"/>
  <c r="V2475" i="5"/>
  <c r="V2476" i="5"/>
  <c r="V2477" i="5"/>
  <c r="V2478" i="5"/>
  <c r="V2479" i="5"/>
  <c r="V2480" i="5"/>
  <c r="V2481" i="5"/>
  <c r="V2482" i="5"/>
  <c r="V2483" i="5"/>
  <c r="V2484" i="5"/>
  <c r="V2485" i="5"/>
  <c r="V2486" i="5"/>
  <c r="V2487" i="5"/>
  <c r="V2488" i="5"/>
  <c r="V2489" i="5"/>
  <c r="V2490" i="5"/>
  <c r="V2491" i="5"/>
  <c r="V2492" i="5"/>
  <c r="V2493" i="5"/>
  <c r="V2494" i="5"/>
  <c r="V2495" i="5"/>
  <c r="V2496" i="5"/>
  <c r="V2497" i="5"/>
  <c r="V2498" i="5"/>
  <c r="V2499" i="5"/>
  <c r="V2500" i="5"/>
  <c r="V2501" i="5"/>
  <c r="V2502" i="5"/>
  <c r="V2503" i="5"/>
  <c r="V2504" i="5"/>
  <c r="V2505" i="5"/>
  <c r="V2506" i="5"/>
  <c r="V2507" i="5"/>
  <c r="V2508" i="5"/>
  <c r="V2509" i="5"/>
  <c r="V2510" i="5"/>
  <c r="V2511" i="5"/>
  <c r="V2512" i="5"/>
  <c r="V2513" i="5"/>
  <c r="V2514" i="5"/>
  <c r="V2515" i="5"/>
  <c r="V2516" i="5"/>
  <c r="V2517" i="5"/>
  <c r="V2518" i="5"/>
  <c r="V2519" i="5"/>
  <c r="V2520" i="5"/>
  <c r="V2521" i="5"/>
  <c r="V2522" i="5"/>
  <c r="V2523" i="5"/>
  <c r="V2524" i="5"/>
  <c r="V2525" i="5"/>
  <c r="V2526" i="5"/>
  <c r="V2527" i="5"/>
  <c r="V2528" i="5"/>
  <c r="V2529" i="5"/>
  <c r="V2530" i="5"/>
  <c r="V2531" i="5"/>
  <c r="V2532" i="5"/>
  <c r="V2533" i="5"/>
  <c r="V2534" i="5"/>
  <c r="V2535" i="5"/>
  <c r="V2536" i="5"/>
  <c r="V2537" i="5"/>
  <c r="V2538" i="5"/>
  <c r="V2539" i="5"/>
  <c r="V2540" i="5"/>
  <c r="V2541" i="5"/>
  <c r="V2542" i="5"/>
  <c r="V2543" i="5"/>
  <c r="V2544" i="5"/>
  <c r="V2545" i="5"/>
  <c r="V2546" i="5"/>
  <c r="V2547" i="5"/>
  <c r="V2548" i="5"/>
  <c r="V2549" i="5"/>
  <c r="V2550" i="5"/>
  <c r="V2551" i="5"/>
  <c r="V2552" i="5"/>
  <c r="V2553" i="5"/>
  <c r="V2554" i="5"/>
  <c r="V2555" i="5"/>
  <c r="V2556" i="5"/>
  <c r="V2557" i="5"/>
  <c r="V2558" i="5"/>
  <c r="V2559" i="5"/>
  <c r="V2560" i="5"/>
  <c r="V2561" i="5"/>
  <c r="V2562" i="5"/>
  <c r="V2563" i="5"/>
  <c r="V2564" i="5"/>
  <c r="V2565" i="5"/>
  <c r="V2566" i="5"/>
  <c r="V2567" i="5"/>
  <c r="V2568" i="5"/>
  <c r="V2569" i="5"/>
  <c r="V2570" i="5"/>
  <c r="V2571" i="5"/>
  <c r="V2572" i="5"/>
  <c r="V2573" i="5"/>
  <c r="V2574" i="5"/>
  <c r="V2575" i="5"/>
  <c r="V2576" i="5"/>
  <c r="V2577" i="5"/>
  <c r="V2578" i="5"/>
  <c r="V2579" i="5"/>
  <c r="V2580" i="5"/>
  <c r="V2581" i="5"/>
  <c r="V2582" i="5"/>
  <c r="V2583" i="5"/>
  <c r="V2584" i="5"/>
  <c r="V2585" i="5"/>
  <c r="V2586" i="5"/>
  <c r="V2587" i="5"/>
  <c r="V2588" i="5"/>
  <c r="V2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29" i="6"/>
  <c r="V3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384" i="6"/>
  <c r="V385" i="6"/>
  <c r="V386" i="6"/>
  <c r="V387" i="6"/>
  <c r="V388" i="6"/>
  <c r="V389" i="6"/>
  <c r="V390" i="6"/>
  <c r="V391" i="6"/>
  <c r="V392" i="6"/>
  <c r="V393" i="6"/>
  <c r="V394" i="6"/>
  <c r="V395" i="6"/>
  <c r="V396" i="6"/>
  <c r="V397" i="6"/>
  <c r="V398" i="6"/>
  <c r="V399" i="6"/>
  <c r="V400" i="6"/>
  <c r="V401" i="6"/>
  <c r="V402" i="6"/>
  <c r="V403" i="6"/>
  <c r="V404" i="6"/>
  <c r="V405" i="6"/>
  <c r="V406" i="6"/>
  <c r="V407" i="6"/>
  <c r="V408" i="6"/>
  <c r="V409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7" i="6"/>
  <c r="V428" i="6"/>
  <c r="V429" i="6"/>
  <c r="V430" i="6"/>
  <c r="V431" i="6"/>
  <c r="V432" i="6"/>
  <c r="V433" i="6"/>
  <c r="V434" i="6"/>
  <c r="V435" i="6"/>
  <c r="V436" i="6"/>
  <c r="V437" i="6"/>
  <c r="V438" i="6"/>
  <c r="V439" i="6"/>
  <c r="V440" i="6"/>
  <c r="V441" i="6"/>
  <c r="V442" i="6"/>
  <c r="V443" i="6"/>
  <c r="V444" i="6"/>
  <c r="V445" i="6"/>
  <c r="V446" i="6"/>
  <c r="V447" i="6"/>
  <c r="V448" i="6"/>
  <c r="V449" i="6"/>
  <c r="V450" i="6"/>
  <c r="V451" i="6"/>
  <c r="V452" i="6"/>
  <c r="V453" i="6"/>
  <c r="V454" i="6"/>
  <c r="V455" i="6"/>
  <c r="V456" i="6"/>
  <c r="V457" i="6"/>
  <c r="V458" i="6"/>
  <c r="V459" i="6"/>
  <c r="V460" i="6"/>
  <c r="V461" i="6"/>
  <c r="V462" i="6"/>
  <c r="V463" i="6"/>
  <c r="V464" i="6"/>
  <c r="V465" i="6"/>
  <c r="V466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V479" i="6"/>
  <c r="V480" i="6"/>
  <c r="V481" i="6"/>
  <c r="V482" i="6"/>
  <c r="V483" i="6"/>
  <c r="V484" i="6"/>
  <c r="V485" i="6"/>
  <c r="V486" i="6"/>
  <c r="V487" i="6"/>
  <c r="V488" i="6"/>
  <c r="V489" i="6"/>
  <c r="V490" i="6"/>
  <c r="V491" i="6"/>
  <c r="V492" i="6"/>
  <c r="V493" i="6"/>
  <c r="V494" i="6"/>
  <c r="V495" i="6"/>
  <c r="V496" i="6"/>
  <c r="V497" i="6"/>
  <c r="V498" i="6"/>
  <c r="V499" i="6"/>
  <c r="V500" i="6"/>
  <c r="V501" i="6"/>
  <c r="V502" i="6"/>
  <c r="V503" i="6"/>
  <c r="V504" i="6"/>
  <c r="V505" i="6"/>
  <c r="V506" i="6"/>
  <c r="V507" i="6"/>
  <c r="V508" i="6"/>
  <c r="V509" i="6"/>
  <c r="V510" i="6"/>
  <c r="V511" i="6"/>
  <c r="V512" i="6"/>
  <c r="V513" i="6"/>
  <c r="V514" i="6"/>
  <c r="V515" i="6"/>
  <c r="V516" i="6"/>
  <c r="V517" i="6"/>
  <c r="V518" i="6"/>
  <c r="V519" i="6"/>
  <c r="V520" i="6"/>
  <c r="V521" i="6"/>
  <c r="V522" i="6"/>
  <c r="V523" i="6"/>
  <c r="V524" i="6"/>
  <c r="V525" i="6"/>
  <c r="V526" i="6"/>
  <c r="V527" i="6"/>
  <c r="V528" i="6"/>
  <c r="V529" i="6"/>
  <c r="V530" i="6"/>
  <c r="V531" i="6"/>
  <c r="V532" i="6"/>
  <c r="V533" i="6"/>
  <c r="V534" i="6"/>
  <c r="V535" i="6"/>
  <c r="V536" i="6"/>
  <c r="V537" i="6"/>
  <c r="V538" i="6"/>
  <c r="V539" i="6"/>
  <c r="V540" i="6"/>
  <c r="V541" i="6"/>
  <c r="V542" i="6"/>
  <c r="V543" i="6"/>
  <c r="V544" i="6"/>
  <c r="V545" i="6"/>
  <c r="V546" i="6"/>
  <c r="V547" i="6"/>
  <c r="V548" i="6"/>
  <c r="V549" i="6"/>
  <c r="V550" i="6"/>
  <c r="V551" i="6"/>
  <c r="V552" i="6"/>
  <c r="V553" i="6"/>
  <c r="V554" i="6"/>
  <c r="V555" i="6"/>
  <c r="V556" i="6"/>
  <c r="V557" i="6"/>
  <c r="V558" i="6"/>
  <c r="V559" i="6"/>
  <c r="V560" i="6"/>
  <c r="V561" i="6"/>
  <c r="V562" i="6"/>
  <c r="V563" i="6"/>
  <c r="V564" i="6"/>
  <c r="V565" i="6"/>
  <c r="V566" i="6"/>
  <c r="V567" i="6"/>
  <c r="V568" i="6"/>
  <c r="V569" i="6"/>
  <c r="V570" i="6"/>
  <c r="V571" i="6"/>
  <c r="V572" i="6"/>
  <c r="V573" i="6"/>
  <c r="V574" i="6"/>
  <c r="V575" i="6"/>
  <c r="V576" i="6"/>
  <c r="V577" i="6"/>
  <c r="V578" i="6"/>
  <c r="V579" i="6"/>
  <c r="V580" i="6"/>
  <c r="V581" i="6"/>
  <c r="V582" i="6"/>
  <c r="V583" i="6"/>
  <c r="V584" i="6"/>
  <c r="V585" i="6"/>
  <c r="V586" i="6"/>
  <c r="V587" i="6"/>
  <c r="V588" i="6"/>
  <c r="V589" i="6"/>
  <c r="V590" i="6"/>
  <c r="V591" i="6"/>
  <c r="V592" i="6"/>
  <c r="V593" i="6"/>
  <c r="V594" i="6"/>
  <c r="V595" i="6"/>
  <c r="V596" i="6"/>
  <c r="V597" i="6"/>
  <c r="V598" i="6"/>
  <c r="V599" i="6"/>
  <c r="V600" i="6"/>
  <c r="V601" i="6"/>
  <c r="V602" i="6"/>
  <c r="V603" i="6"/>
  <c r="V604" i="6"/>
  <c r="V605" i="6"/>
  <c r="V606" i="6"/>
  <c r="V607" i="6"/>
  <c r="V608" i="6"/>
  <c r="V609" i="6"/>
  <c r="V610" i="6"/>
  <c r="V611" i="6"/>
  <c r="V612" i="6"/>
  <c r="V613" i="6"/>
  <c r="V614" i="6"/>
  <c r="V615" i="6"/>
  <c r="V616" i="6"/>
  <c r="V617" i="6"/>
  <c r="V618" i="6"/>
  <c r="V619" i="6"/>
  <c r="V620" i="6"/>
  <c r="V621" i="6"/>
  <c r="V622" i="6"/>
  <c r="V623" i="6"/>
  <c r="V624" i="6"/>
  <c r="V625" i="6"/>
  <c r="V626" i="6"/>
  <c r="V627" i="6"/>
  <c r="V628" i="6"/>
  <c r="V629" i="6"/>
  <c r="V630" i="6"/>
  <c r="V631" i="6"/>
  <c r="V632" i="6"/>
  <c r="V633" i="6"/>
  <c r="V634" i="6"/>
  <c r="V635" i="6"/>
  <c r="V636" i="6"/>
  <c r="V637" i="6"/>
  <c r="V638" i="6"/>
  <c r="V639" i="6"/>
  <c r="V640" i="6"/>
  <c r="V641" i="6"/>
  <c r="V642" i="6"/>
  <c r="V643" i="6"/>
  <c r="V644" i="6"/>
  <c r="V645" i="6"/>
  <c r="V646" i="6"/>
  <c r="V647" i="6"/>
  <c r="V648" i="6"/>
  <c r="V649" i="6"/>
  <c r="V650" i="6"/>
  <c r="V651" i="6"/>
  <c r="V652" i="6"/>
  <c r="V653" i="6"/>
  <c r="V654" i="6"/>
  <c r="V655" i="6"/>
  <c r="V656" i="6"/>
  <c r="V657" i="6"/>
  <c r="V658" i="6"/>
  <c r="V659" i="6"/>
  <c r="V660" i="6"/>
  <c r="V661" i="6"/>
  <c r="V662" i="6"/>
  <c r="V663" i="6"/>
  <c r="V664" i="6"/>
  <c r="V665" i="6"/>
  <c r="V666" i="6"/>
  <c r="V667" i="6"/>
  <c r="V668" i="6"/>
  <c r="V669" i="6"/>
  <c r="V670" i="6"/>
  <c r="V671" i="6"/>
  <c r="V672" i="6"/>
  <c r="V673" i="6"/>
  <c r="V674" i="6"/>
  <c r="V675" i="6"/>
  <c r="V676" i="6"/>
  <c r="V677" i="6"/>
  <c r="V678" i="6"/>
  <c r="V679" i="6"/>
  <c r="V680" i="6"/>
  <c r="V681" i="6"/>
  <c r="V682" i="6"/>
  <c r="V683" i="6"/>
  <c r="V684" i="6"/>
  <c r="V685" i="6"/>
  <c r="V686" i="6"/>
  <c r="V687" i="6"/>
  <c r="V688" i="6"/>
  <c r="V689" i="6"/>
  <c r="V690" i="6"/>
  <c r="V691" i="6"/>
  <c r="V692" i="6"/>
  <c r="V693" i="6"/>
  <c r="V694" i="6"/>
  <c r="V695" i="6"/>
  <c r="V696" i="6"/>
  <c r="V697" i="6"/>
  <c r="V698" i="6"/>
  <c r="V699" i="6"/>
  <c r="V700" i="6"/>
  <c r="V701" i="6"/>
  <c r="V702" i="6"/>
  <c r="V703" i="6"/>
  <c r="V704" i="6"/>
  <c r="V705" i="6"/>
  <c r="V706" i="6"/>
  <c r="V707" i="6"/>
  <c r="V708" i="6"/>
  <c r="V709" i="6"/>
  <c r="V710" i="6"/>
  <c r="V711" i="6"/>
  <c r="V712" i="6"/>
  <c r="V713" i="6"/>
  <c r="V714" i="6"/>
  <c r="V715" i="6"/>
  <c r="V716" i="6"/>
  <c r="V717" i="6"/>
  <c r="V718" i="6"/>
  <c r="V719" i="6"/>
  <c r="V720" i="6"/>
  <c r="V721" i="6"/>
  <c r="V722" i="6"/>
  <c r="V723" i="6"/>
  <c r="V724" i="6"/>
  <c r="V725" i="6"/>
  <c r="V726" i="6"/>
  <c r="V727" i="6"/>
  <c r="V728" i="6"/>
  <c r="V729" i="6"/>
  <c r="V730" i="6"/>
  <c r="V731" i="6"/>
  <c r="V732" i="6"/>
  <c r="V733" i="6"/>
  <c r="V734" i="6"/>
  <c r="V735" i="6"/>
  <c r="V736" i="6"/>
  <c r="V737" i="6"/>
  <c r="V738" i="6"/>
  <c r="V739" i="6"/>
  <c r="V740" i="6"/>
  <c r="V741" i="6"/>
  <c r="V742" i="6"/>
  <c r="V743" i="6"/>
  <c r="V744" i="6"/>
  <c r="V745" i="6"/>
  <c r="V746" i="6"/>
  <c r="V747" i="6"/>
  <c r="V748" i="6"/>
  <c r="V749" i="6"/>
  <c r="V750" i="6"/>
  <c r="V751" i="6"/>
  <c r="V752" i="6"/>
  <c r="V753" i="6"/>
  <c r="V754" i="6"/>
  <c r="V755" i="6"/>
  <c r="V756" i="6"/>
  <c r="V757" i="6"/>
  <c r="V758" i="6"/>
  <c r="V759" i="6"/>
  <c r="V760" i="6"/>
  <c r="V761" i="6"/>
  <c r="V762" i="6"/>
  <c r="V763" i="6"/>
  <c r="V764" i="6"/>
  <c r="V765" i="6"/>
  <c r="V766" i="6"/>
  <c r="V767" i="6"/>
  <c r="V768" i="6"/>
  <c r="V769" i="6"/>
  <c r="V770" i="6"/>
  <c r="V771" i="6"/>
  <c r="V772" i="6"/>
  <c r="V773" i="6"/>
  <c r="V774" i="6"/>
  <c r="V775" i="6"/>
  <c r="V776" i="6"/>
  <c r="V777" i="6"/>
  <c r="V778" i="6"/>
  <c r="V779" i="6"/>
  <c r="V780" i="6"/>
  <c r="V781" i="6"/>
  <c r="V782" i="6"/>
  <c r="V783" i="6"/>
  <c r="V784" i="6"/>
  <c r="V785" i="6"/>
  <c r="V786" i="6"/>
  <c r="V787" i="6"/>
  <c r="V788" i="6"/>
  <c r="V789" i="6"/>
  <c r="V790" i="6"/>
  <c r="V791" i="6"/>
  <c r="V792" i="6"/>
  <c r="V793" i="6"/>
  <c r="V794" i="6"/>
  <c r="V795" i="6"/>
  <c r="V796" i="6"/>
  <c r="V797" i="6"/>
  <c r="V798" i="6"/>
  <c r="V799" i="6"/>
  <c r="V800" i="6"/>
  <c r="V801" i="6"/>
  <c r="V802" i="6"/>
  <c r="V803" i="6"/>
  <c r="V804" i="6"/>
  <c r="V805" i="6"/>
  <c r="V806" i="6"/>
  <c r="V807" i="6"/>
  <c r="V808" i="6"/>
  <c r="V809" i="6"/>
  <c r="V810" i="6"/>
  <c r="V811" i="6"/>
  <c r="V812" i="6"/>
  <c r="V813" i="6"/>
  <c r="V814" i="6"/>
  <c r="V815" i="6"/>
  <c r="V816" i="6"/>
  <c r="V817" i="6"/>
  <c r="V818" i="6"/>
  <c r="V819" i="6"/>
  <c r="V820" i="6"/>
  <c r="V821" i="6"/>
  <c r="V822" i="6"/>
  <c r="V823" i="6"/>
  <c r="V824" i="6"/>
  <c r="V825" i="6"/>
  <c r="V826" i="6"/>
  <c r="V827" i="6"/>
  <c r="V828" i="6"/>
  <c r="V829" i="6"/>
  <c r="V830" i="6"/>
  <c r="V831" i="6"/>
  <c r="V832" i="6"/>
  <c r="V833" i="6"/>
  <c r="V834" i="6"/>
  <c r="V835" i="6"/>
  <c r="V836" i="6"/>
  <c r="V837" i="6"/>
  <c r="V838" i="6"/>
  <c r="V839" i="6"/>
  <c r="V840" i="6"/>
  <c r="V841" i="6"/>
  <c r="V842" i="6"/>
  <c r="V843" i="6"/>
  <c r="V844" i="6"/>
  <c r="V845" i="6"/>
  <c r="V846" i="6"/>
  <c r="V847" i="6"/>
  <c r="V848" i="6"/>
  <c r="V849" i="6"/>
  <c r="V850" i="6"/>
  <c r="V851" i="6"/>
  <c r="V852" i="6"/>
  <c r="V853" i="6"/>
  <c r="V854" i="6"/>
  <c r="V855" i="6"/>
  <c r="V856" i="6"/>
  <c r="V857" i="6"/>
  <c r="V858" i="6"/>
  <c r="V859" i="6"/>
  <c r="V860" i="6"/>
  <c r="V861" i="6"/>
  <c r="V862" i="6"/>
  <c r="V863" i="6"/>
  <c r="V864" i="6"/>
  <c r="V865" i="6"/>
  <c r="V866" i="6"/>
  <c r="V867" i="6"/>
  <c r="V868" i="6"/>
  <c r="V869" i="6"/>
  <c r="V870" i="6"/>
  <c r="V871" i="6"/>
  <c r="V872" i="6"/>
  <c r="V873" i="6"/>
  <c r="V874" i="6"/>
  <c r="V875" i="6"/>
  <c r="V876" i="6"/>
  <c r="V877" i="6"/>
  <c r="V878" i="6"/>
  <c r="V879" i="6"/>
  <c r="V880" i="6"/>
  <c r="V881" i="6"/>
  <c r="V882" i="6"/>
  <c r="V883" i="6"/>
  <c r="V884" i="6"/>
  <c r="V885" i="6"/>
  <c r="V886" i="6"/>
  <c r="V887" i="6"/>
  <c r="V888" i="6"/>
  <c r="V889" i="6"/>
  <c r="V890" i="6"/>
  <c r="V891" i="6"/>
  <c r="V892" i="6"/>
  <c r="V893" i="6"/>
  <c r="V894" i="6"/>
  <c r="V895" i="6"/>
  <c r="V896" i="6"/>
  <c r="V897" i="6"/>
  <c r="V898" i="6"/>
  <c r="V899" i="6"/>
  <c r="V900" i="6"/>
  <c r="V901" i="6"/>
  <c r="V902" i="6"/>
  <c r="V903" i="6"/>
  <c r="V904" i="6"/>
  <c r="V905" i="6"/>
  <c r="V906" i="6"/>
  <c r="V907" i="6"/>
  <c r="V908" i="6"/>
  <c r="V909" i="6"/>
  <c r="V910" i="6"/>
  <c r="V911" i="6"/>
  <c r="V912" i="6"/>
  <c r="V913" i="6"/>
  <c r="V914" i="6"/>
  <c r="V915" i="6"/>
  <c r="V916" i="6"/>
  <c r="V917" i="6"/>
  <c r="V918" i="6"/>
  <c r="V919" i="6"/>
  <c r="V920" i="6"/>
  <c r="V921" i="6"/>
  <c r="V922" i="6"/>
  <c r="V923" i="6"/>
  <c r="V924" i="6"/>
  <c r="V925" i="6"/>
  <c r="V926" i="6"/>
  <c r="V927" i="6"/>
  <c r="V928" i="6"/>
  <c r="V929" i="6"/>
  <c r="V930" i="6"/>
  <c r="V931" i="6"/>
  <c r="V932" i="6"/>
  <c r="V933" i="6"/>
  <c r="V934" i="6"/>
  <c r="V935" i="6"/>
  <c r="V936" i="6"/>
  <c r="V937" i="6"/>
  <c r="V938" i="6"/>
  <c r="V939" i="6"/>
  <c r="V940" i="6"/>
  <c r="V941" i="6"/>
  <c r="V942" i="6"/>
  <c r="V943" i="6"/>
  <c r="V944" i="6"/>
  <c r="V945" i="6"/>
  <c r="V946" i="6"/>
  <c r="V947" i="6"/>
  <c r="V948" i="6"/>
  <c r="V949" i="6"/>
  <c r="V950" i="6"/>
  <c r="V951" i="6"/>
  <c r="V952" i="6"/>
  <c r="V953" i="6"/>
  <c r="V954" i="6"/>
  <c r="V955" i="6"/>
  <c r="V956" i="6"/>
  <c r="V957" i="6"/>
  <c r="V958" i="6"/>
  <c r="V959" i="6"/>
  <c r="V960" i="6"/>
  <c r="V961" i="6"/>
  <c r="V962" i="6"/>
  <c r="V963" i="6"/>
  <c r="V964" i="6"/>
  <c r="V965" i="6"/>
  <c r="V966" i="6"/>
  <c r="V967" i="6"/>
  <c r="V968" i="6"/>
  <c r="V969" i="6"/>
  <c r="V970" i="6"/>
  <c r="V971" i="6"/>
  <c r="V972" i="6"/>
  <c r="V973" i="6"/>
  <c r="V974" i="6"/>
  <c r="V975" i="6"/>
  <c r="V976" i="6"/>
  <c r="V977" i="6"/>
  <c r="V978" i="6"/>
  <c r="V979" i="6"/>
  <c r="V980" i="6"/>
  <c r="V981" i="6"/>
  <c r="V982" i="6"/>
  <c r="V983" i="6"/>
  <c r="V984" i="6"/>
  <c r="V985" i="6"/>
  <c r="V986" i="6"/>
  <c r="V987" i="6"/>
  <c r="V988" i="6"/>
  <c r="V989" i="6"/>
  <c r="V990" i="6"/>
  <c r="V991" i="6"/>
  <c r="V992" i="6"/>
  <c r="V993" i="6"/>
  <c r="V994" i="6"/>
  <c r="V995" i="6"/>
  <c r="V996" i="6"/>
  <c r="V997" i="6"/>
  <c r="V998" i="6"/>
  <c r="V999" i="6"/>
  <c r="V1000" i="6"/>
  <c r="V1001" i="6"/>
  <c r="V1002" i="6"/>
  <c r="V1003" i="6"/>
  <c r="V1004" i="6"/>
  <c r="V1005" i="6"/>
  <c r="V1006" i="6"/>
  <c r="V1007" i="6"/>
  <c r="V1008" i="6"/>
  <c r="V1009" i="6"/>
  <c r="V1010" i="6"/>
  <c r="V1011" i="6"/>
  <c r="V1012" i="6"/>
  <c r="V1013" i="6"/>
  <c r="V1014" i="6"/>
  <c r="V1015" i="6"/>
  <c r="V1016" i="6"/>
  <c r="V1017" i="6"/>
  <c r="V1018" i="6"/>
  <c r="V1019" i="6"/>
  <c r="V1020" i="6"/>
  <c r="V1021" i="6"/>
  <c r="V1022" i="6"/>
  <c r="V1023" i="6"/>
  <c r="V1024" i="6"/>
  <c r="V1025" i="6"/>
  <c r="V1026" i="6"/>
  <c r="V1027" i="6"/>
  <c r="V1028" i="6"/>
  <c r="V1029" i="6"/>
  <c r="V1030" i="6"/>
  <c r="V1031" i="6"/>
  <c r="V1032" i="6"/>
  <c r="V1033" i="6"/>
  <c r="V1034" i="6"/>
  <c r="V1035" i="6"/>
  <c r="V1036" i="6"/>
  <c r="V1037" i="6"/>
  <c r="V1038" i="6"/>
  <c r="V1039" i="6"/>
  <c r="V1040" i="6"/>
  <c r="V1041" i="6"/>
  <c r="V1042" i="6"/>
  <c r="V1043" i="6"/>
  <c r="V1044" i="6"/>
  <c r="V1045" i="6"/>
  <c r="V1046" i="6"/>
  <c r="V1047" i="6"/>
  <c r="V1048" i="6"/>
  <c r="V1049" i="6"/>
  <c r="V1050" i="6"/>
  <c r="V1051" i="6"/>
  <c r="V1052" i="6"/>
  <c r="V1053" i="6"/>
  <c r="V1054" i="6"/>
  <c r="V1055" i="6"/>
  <c r="V1056" i="6"/>
  <c r="V1057" i="6"/>
  <c r="V1058" i="6"/>
  <c r="V1059" i="6"/>
  <c r="V1060" i="6"/>
  <c r="V1061" i="6"/>
  <c r="V1062" i="6"/>
  <c r="V1063" i="6"/>
  <c r="V1064" i="6"/>
  <c r="V1065" i="6"/>
  <c r="V1066" i="6"/>
  <c r="V1067" i="6"/>
  <c r="V1068" i="6"/>
  <c r="V1069" i="6"/>
  <c r="V1070" i="6"/>
  <c r="V1071" i="6"/>
  <c r="V1072" i="6"/>
  <c r="V1073" i="6"/>
  <c r="V1074" i="6"/>
  <c r="V1075" i="6"/>
  <c r="V1076" i="6"/>
  <c r="V1077" i="6"/>
  <c r="V1078" i="6"/>
  <c r="V1079" i="6"/>
  <c r="V1080" i="6"/>
  <c r="V1081" i="6"/>
  <c r="V1082" i="6"/>
  <c r="V1083" i="6"/>
  <c r="V1084" i="6"/>
  <c r="V1085" i="6"/>
  <c r="V1086" i="6"/>
  <c r="V1087" i="6"/>
  <c r="V1088" i="6"/>
  <c r="V1089" i="6"/>
  <c r="V1090" i="6"/>
  <c r="V1091" i="6"/>
  <c r="V1092" i="6"/>
  <c r="V1093" i="6"/>
  <c r="V1094" i="6"/>
  <c r="V1095" i="6"/>
  <c r="V1096" i="6"/>
  <c r="V1097" i="6"/>
  <c r="V1098" i="6"/>
  <c r="V1099" i="6"/>
  <c r="V1100" i="6"/>
  <c r="V1101" i="6"/>
  <c r="V1102" i="6"/>
  <c r="V1103" i="6"/>
  <c r="V1104" i="6"/>
  <c r="V1105" i="6"/>
  <c r="V1106" i="6"/>
  <c r="V1107" i="6"/>
  <c r="V1108" i="6"/>
  <c r="V1109" i="6"/>
  <c r="V1110" i="6"/>
  <c r="V1111" i="6"/>
  <c r="V1112" i="6"/>
  <c r="V1113" i="6"/>
  <c r="V1114" i="6"/>
  <c r="V1115" i="6"/>
  <c r="V1116" i="6"/>
  <c r="V1117" i="6"/>
  <c r="V1118" i="6"/>
  <c r="V1119" i="6"/>
  <c r="V1120" i="6"/>
  <c r="V1121" i="6"/>
  <c r="V1122" i="6"/>
  <c r="V1123" i="6"/>
  <c r="V1124" i="6"/>
  <c r="V1125" i="6"/>
  <c r="V1126" i="6"/>
  <c r="V1127" i="6"/>
  <c r="V1128" i="6"/>
  <c r="V1129" i="6"/>
  <c r="V1130" i="6"/>
  <c r="V1131" i="6"/>
  <c r="V1132" i="6"/>
  <c r="V1133" i="6"/>
  <c r="V1134" i="6"/>
  <c r="V1135" i="6"/>
  <c r="V1136" i="6"/>
  <c r="V1137" i="6"/>
  <c r="V1138" i="6"/>
  <c r="V1139" i="6"/>
  <c r="V1140" i="6"/>
  <c r="V1141" i="6"/>
  <c r="V1142" i="6"/>
  <c r="V1143" i="6"/>
  <c r="V1144" i="6"/>
  <c r="V1145" i="6"/>
  <c r="V1146" i="6"/>
  <c r="V1147" i="6"/>
  <c r="V1148" i="6"/>
  <c r="V1149" i="6"/>
  <c r="V1150" i="6"/>
  <c r="V1151" i="6"/>
  <c r="V1152" i="6"/>
  <c r="V1153" i="6"/>
  <c r="V1154" i="6"/>
  <c r="V1155" i="6"/>
  <c r="V1156" i="6"/>
  <c r="V1157" i="6"/>
  <c r="V1158" i="6"/>
  <c r="V1159" i="6"/>
  <c r="V1160" i="6"/>
  <c r="V1161" i="6"/>
  <c r="V1162" i="6"/>
  <c r="V1163" i="6"/>
  <c r="V1164" i="6"/>
  <c r="V1165" i="6"/>
  <c r="V1166" i="6"/>
  <c r="V1167" i="6"/>
  <c r="V1168" i="6"/>
  <c r="V1169" i="6"/>
  <c r="V1170" i="6"/>
  <c r="V1171" i="6"/>
  <c r="V1172" i="6"/>
  <c r="V1173" i="6"/>
  <c r="V1174" i="6"/>
  <c r="V1175" i="6"/>
  <c r="V1176" i="6"/>
  <c r="V1177" i="6"/>
  <c r="V1178" i="6"/>
  <c r="V1179" i="6"/>
  <c r="V1180" i="6"/>
  <c r="V1181" i="6"/>
  <c r="V1182" i="6"/>
  <c r="V1183" i="6"/>
  <c r="V1184" i="6"/>
  <c r="V1185" i="6"/>
  <c r="V1186" i="6"/>
  <c r="V1187" i="6"/>
  <c r="V1188" i="6"/>
  <c r="V1189" i="6"/>
  <c r="V1190" i="6"/>
  <c r="V1191" i="6"/>
  <c r="V1192" i="6"/>
  <c r="V1193" i="6"/>
  <c r="V1194" i="6"/>
  <c r="V1195" i="6"/>
  <c r="V1196" i="6"/>
  <c r="V1197" i="6"/>
  <c r="V1198" i="6"/>
  <c r="V1199" i="6"/>
  <c r="V1200" i="6"/>
  <c r="V1201" i="6"/>
  <c r="V1202" i="6"/>
  <c r="V1203" i="6"/>
  <c r="V1204" i="6"/>
  <c r="V1205" i="6"/>
  <c r="V1206" i="6"/>
  <c r="V1207" i="6"/>
  <c r="V1208" i="6"/>
  <c r="V1209" i="6"/>
  <c r="V1210" i="6"/>
  <c r="V1211" i="6"/>
  <c r="V1212" i="6"/>
  <c r="V1213" i="6"/>
  <c r="V1214" i="6"/>
  <c r="V1215" i="6"/>
  <c r="V1216" i="6"/>
  <c r="V1217" i="6"/>
  <c r="V1218" i="6"/>
  <c r="V1219" i="6"/>
  <c r="V1220" i="6"/>
  <c r="V1221" i="6"/>
  <c r="V1222" i="6"/>
  <c r="V1223" i="6"/>
  <c r="V1224" i="6"/>
  <c r="V1225" i="6"/>
  <c r="V1226" i="6"/>
  <c r="V1227" i="6"/>
  <c r="V1228" i="6"/>
  <c r="V1229" i="6"/>
  <c r="V1230" i="6"/>
  <c r="V1231" i="6"/>
  <c r="V1232" i="6"/>
  <c r="V1233" i="6"/>
  <c r="V1234" i="6"/>
  <c r="V1235" i="6"/>
  <c r="V1236" i="6"/>
  <c r="V1237" i="6"/>
  <c r="V1238" i="6"/>
  <c r="V1239" i="6"/>
  <c r="V1240" i="6"/>
  <c r="V1241" i="6"/>
  <c r="V1242" i="6"/>
  <c r="V1243" i="6"/>
  <c r="V1244" i="6"/>
  <c r="V1245" i="6"/>
  <c r="V1246" i="6"/>
  <c r="V1247" i="6"/>
  <c r="V1248" i="6"/>
  <c r="V1249" i="6"/>
  <c r="V1250" i="6"/>
  <c r="V1251" i="6"/>
  <c r="V1252" i="6"/>
  <c r="V1253" i="6"/>
  <c r="V1254" i="6"/>
  <c r="V1255" i="6"/>
  <c r="V1256" i="6"/>
  <c r="V1257" i="6"/>
  <c r="V1258" i="6"/>
  <c r="V1259" i="6"/>
  <c r="V1260" i="6"/>
  <c r="V1261" i="6"/>
  <c r="V1262" i="6"/>
  <c r="V1263" i="6"/>
  <c r="V1264" i="6"/>
  <c r="V1265" i="6"/>
  <c r="V1266" i="6"/>
  <c r="V1267" i="6"/>
  <c r="V1268" i="6"/>
  <c r="V1269" i="6"/>
  <c r="V1270" i="6"/>
  <c r="V1271" i="6"/>
  <c r="V1272" i="6"/>
  <c r="V1273" i="6"/>
  <c r="V1274" i="6"/>
  <c r="V1275" i="6"/>
  <c r="V1276" i="6"/>
  <c r="V1277" i="6"/>
  <c r="V1278" i="6"/>
  <c r="V1279" i="6"/>
  <c r="V1280" i="6"/>
  <c r="V1281" i="6"/>
  <c r="V1282" i="6"/>
  <c r="V1283" i="6"/>
  <c r="V1284" i="6"/>
  <c r="V1285" i="6"/>
  <c r="V1286" i="6"/>
  <c r="V1287" i="6"/>
  <c r="V1288" i="6"/>
  <c r="V1289" i="6"/>
  <c r="V1290" i="6"/>
  <c r="V1291" i="6"/>
  <c r="V1292" i="6"/>
  <c r="V1293" i="6"/>
  <c r="V1294" i="6"/>
  <c r="V1295" i="6"/>
  <c r="V1296" i="6"/>
  <c r="V1297" i="6"/>
  <c r="V1298" i="6"/>
  <c r="V1299" i="6"/>
  <c r="V1300" i="6"/>
  <c r="V1301" i="6"/>
  <c r="V1302" i="6"/>
  <c r="V1303" i="6"/>
  <c r="V1304" i="6"/>
  <c r="V1305" i="6"/>
  <c r="V1306" i="6"/>
  <c r="V1307" i="6"/>
  <c r="V1308" i="6"/>
  <c r="V1309" i="6"/>
  <c r="V1310" i="6"/>
  <c r="V1311" i="6"/>
  <c r="V1312" i="6"/>
  <c r="V1313" i="6"/>
  <c r="V1314" i="6"/>
  <c r="V1315" i="6"/>
  <c r="V1316" i="6"/>
  <c r="V1317" i="6"/>
  <c r="V1318" i="6"/>
  <c r="V1319" i="6"/>
  <c r="V1320" i="6"/>
  <c r="V1321" i="6"/>
  <c r="V1322" i="6"/>
  <c r="V1323" i="6"/>
  <c r="V1324" i="6"/>
  <c r="V1325" i="6"/>
  <c r="V1326" i="6"/>
  <c r="V1327" i="6"/>
  <c r="V1328" i="6"/>
  <c r="V1329" i="6"/>
  <c r="V1330" i="6"/>
  <c r="V1331" i="6"/>
  <c r="V1332" i="6"/>
  <c r="V1333" i="6"/>
  <c r="V1334" i="6"/>
  <c r="V1335" i="6"/>
  <c r="V1336" i="6"/>
  <c r="V1337" i="6"/>
  <c r="V1338" i="6"/>
  <c r="V1339" i="6"/>
  <c r="V1340" i="6"/>
  <c r="V1341" i="6"/>
  <c r="V1342" i="6"/>
  <c r="V1343" i="6"/>
  <c r="V1344" i="6"/>
  <c r="V1345" i="6"/>
  <c r="V1346" i="6"/>
  <c r="V1347" i="6"/>
  <c r="V1348" i="6"/>
  <c r="V1349" i="6"/>
  <c r="V1350" i="6"/>
  <c r="V1351" i="6"/>
  <c r="V1352" i="6"/>
  <c r="V1353" i="6"/>
  <c r="V1354" i="6"/>
  <c r="V1355" i="6"/>
  <c r="V1356" i="6"/>
  <c r="V1357" i="6"/>
  <c r="V1358" i="6"/>
  <c r="V1359" i="6"/>
  <c r="V1360" i="6"/>
  <c r="V1361" i="6"/>
  <c r="V1362" i="6"/>
  <c r="V1363" i="6"/>
  <c r="V1364" i="6"/>
  <c r="V1365" i="6"/>
  <c r="V1366" i="6"/>
  <c r="V1367" i="6"/>
  <c r="V1368" i="6"/>
  <c r="V1369" i="6"/>
  <c r="V1370" i="6"/>
  <c r="V1371" i="6"/>
  <c r="V1372" i="6"/>
  <c r="V1373" i="6"/>
  <c r="V1374" i="6"/>
  <c r="V1375" i="6"/>
  <c r="V1376" i="6"/>
  <c r="V1377" i="6"/>
  <c r="V1378" i="6"/>
  <c r="V1379" i="6"/>
  <c r="V1380" i="6"/>
  <c r="V1381" i="6"/>
  <c r="V1382" i="6"/>
  <c r="V1383" i="6"/>
  <c r="V1384" i="6"/>
  <c r="V1385" i="6"/>
  <c r="V1386" i="6"/>
  <c r="V1387" i="6"/>
  <c r="V1388" i="6"/>
  <c r="V1389" i="6"/>
  <c r="V1390" i="6"/>
  <c r="V1391" i="6"/>
  <c r="V1392" i="6"/>
  <c r="V1393" i="6"/>
  <c r="V1394" i="6"/>
  <c r="V1395" i="6"/>
  <c r="V1396" i="6"/>
  <c r="V1397" i="6"/>
  <c r="V1398" i="6"/>
  <c r="V1399" i="6"/>
  <c r="V1400" i="6"/>
  <c r="V1401" i="6"/>
  <c r="V1402" i="6"/>
  <c r="V1403" i="6"/>
  <c r="V1404" i="6"/>
  <c r="V1405" i="6"/>
  <c r="V1406" i="6"/>
  <c r="V1407" i="6"/>
  <c r="V1408" i="6"/>
  <c r="V1409" i="6"/>
  <c r="V1410" i="6"/>
  <c r="V1411" i="6"/>
  <c r="V1412" i="6"/>
  <c r="V1413" i="6"/>
  <c r="V1414" i="6"/>
  <c r="V1415" i="6"/>
  <c r="V1416" i="6"/>
  <c r="V1417" i="6"/>
  <c r="V1418" i="6"/>
  <c r="V1419" i="6"/>
  <c r="V1420" i="6"/>
  <c r="V1421" i="6"/>
  <c r="V1422" i="6"/>
  <c r="V1423" i="6"/>
  <c r="V1424" i="6"/>
  <c r="V1425" i="6"/>
  <c r="V1426" i="6"/>
  <c r="V1427" i="6"/>
  <c r="V1428" i="6"/>
  <c r="V1429" i="6"/>
  <c r="V1430" i="6"/>
  <c r="V1431" i="6"/>
  <c r="V1432" i="6"/>
  <c r="V1433" i="6"/>
  <c r="V1434" i="6"/>
  <c r="V1435" i="6"/>
  <c r="V1436" i="6"/>
  <c r="V1437" i="6"/>
  <c r="V1438" i="6"/>
  <c r="V1439" i="6"/>
  <c r="V1440" i="6"/>
  <c r="V1441" i="6"/>
  <c r="V1442" i="6"/>
  <c r="V1443" i="6"/>
  <c r="V1444" i="6"/>
  <c r="V1445" i="6"/>
  <c r="V1446" i="6"/>
  <c r="V1447" i="6"/>
  <c r="V1448" i="6"/>
  <c r="V1449" i="6"/>
  <c r="V1450" i="6"/>
  <c r="V1451" i="6"/>
  <c r="V1452" i="6"/>
  <c r="V1453" i="6"/>
  <c r="V1454" i="6"/>
  <c r="V1455" i="6"/>
  <c r="V1456" i="6"/>
  <c r="V1457" i="6"/>
  <c r="V1458" i="6"/>
  <c r="V1459" i="6"/>
  <c r="V1460" i="6"/>
  <c r="V1461" i="6"/>
  <c r="V1462" i="6"/>
  <c r="V1463" i="6"/>
  <c r="V1464" i="6"/>
  <c r="V1465" i="6"/>
  <c r="V1466" i="6"/>
  <c r="V1467" i="6"/>
  <c r="V1468" i="6"/>
  <c r="V1469" i="6"/>
  <c r="V1470" i="6"/>
  <c r="V1471" i="6"/>
  <c r="V1472" i="6"/>
  <c r="V1473" i="6"/>
  <c r="V1474" i="6"/>
  <c r="V1475" i="6"/>
  <c r="V1476" i="6"/>
  <c r="V1477" i="6"/>
  <c r="V1478" i="6"/>
  <c r="V1479" i="6"/>
  <c r="V1480" i="6"/>
  <c r="V1481" i="6"/>
  <c r="V1482" i="6"/>
  <c r="V1483" i="6"/>
  <c r="V1484" i="6"/>
  <c r="V1485" i="6"/>
  <c r="V1486" i="6"/>
  <c r="V1487" i="6"/>
  <c r="V1488" i="6"/>
  <c r="V1489" i="6"/>
  <c r="V1490" i="6"/>
  <c r="V1491" i="6"/>
  <c r="V1492" i="6"/>
  <c r="V1493" i="6"/>
  <c r="V1494" i="6"/>
  <c r="V1495" i="6"/>
  <c r="V1496" i="6"/>
  <c r="V1497" i="6"/>
  <c r="V1498" i="6"/>
  <c r="V1499" i="6"/>
  <c r="V1500" i="6"/>
  <c r="V1501" i="6"/>
  <c r="V1502" i="6"/>
  <c r="V1503" i="6"/>
  <c r="V1504" i="6"/>
  <c r="V1505" i="6"/>
  <c r="V1506" i="6"/>
  <c r="V1507" i="6"/>
  <c r="V1508" i="6"/>
  <c r="V1509" i="6"/>
  <c r="V1510" i="6"/>
  <c r="V1511" i="6"/>
  <c r="V1512" i="6"/>
  <c r="V1513" i="6"/>
  <c r="V1514" i="6"/>
  <c r="V1515" i="6"/>
  <c r="V1516" i="6"/>
  <c r="V1517" i="6"/>
  <c r="V1518" i="6"/>
  <c r="V1519" i="6"/>
  <c r="V1520" i="6"/>
  <c r="V1521" i="6"/>
  <c r="V1522" i="6"/>
  <c r="V1523" i="6"/>
  <c r="V1524" i="6"/>
  <c r="V1525" i="6"/>
  <c r="V1526" i="6"/>
  <c r="V1527" i="6"/>
  <c r="V1528" i="6"/>
  <c r="V1529" i="6"/>
  <c r="V1530" i="6"/>
  <c r="V1531" i="6"/>
  <c r="V1532" i="6"/>
  <c r="V1533" i="6"/>
  <c r="V1534" i="6"/>
  <c r="V1535" i="6"/>
  <c r="V1536" i="6"/>
  <c r="V1537" i="6"/>
  <c r="V1538" i="6"/>
  <c r="V1539" i="6"/>
  <c r="V1540" i="6"/>
  <c r="V1541" i="6"/>
  <c r="V1542" i="6"/>
  <c r="V1543" i="6"/>
  <c r="V1544" i="6"/>
  <c r="V1545" i="6"/>
  <c r="V1546" i="6"/>
  <c r="V1547" i="6"/>
  <c r="V1548" i="6"/>
  <c r="V1549" i="6"/>
  <c r="V1550" i="6"/>
  <c r="V1551" i="6"/>
  <c r="V1552" i="6"/>
  <c r="V1553" i="6"/>
  <c r="V1554" i="6"/>
  <c r="V1555" i="6"/>
  <c r="V1556" i="6"/>
  <c r="V1557" i="6"/>
  <c r="V1558" i="6"/>
  <c r="V1559" i="6"/>
  <c r="V1560" i="6"/>
  <c r="V1561" i="6"/>
  <c r="V1562" i="6"/>
  <c r="V1563" i="6"/>
  <c r="V1564" i="6"/>
  <c r="V1565" i="6"/>
  <c r="V1566" i="6"/>
  <c r="V1567" i="6"/>
  <c r="V1568" i="6"/>
  <c r="V1569" i="6"/>
  <c r="V1570" i="6"/>
  <c r="V1571" i="6"/>
  <c r="V1572" i="6"/>
  <c r="V1573" i="6"/>
  <c r="V1574" i="6"/>
  <c r="V1575" i="6"/>
  <c r="V1576" i="6"/>
  <c r="V1577" i="6"/>
  <c r="V1578" i="6"/>
  <c r="V1579" i="6"/>
  <c r="V1580" i="6"/>
  <c r="V1581" i="6"/>
  <c r="V1582" i="6"/>
  <c r="V1583" i="6"/>
  <c r="V1584" i="6"/>
  <c r="V1585" i="6"/>
  <c r="V1586" i="6"/>
  <c r="V1587" i="6"/>
  <c r="V1588" i="6"/>
  <c r="V1589" i="6"/>
  <c r="V1590" i="6"/>
  <c r="V1591" i="6"/>
  <c r="V1592" i="6"/>
  <c r="V1593" i="6"/>
  <c r="V1594" i="6"/>
  <c r="V1595" i="6"/>
  <c r="V1596" i="6"/>
  <c r="V1597" i="6"/>
  <c r="V1598" i="6"/>
  <c r="V1599" i="6"/>
  <c r="V1600" i="6"/>
  <c r="V1601" i="6"/>
  <c r="V1602" i="6"/>
  <c r="V1603" i="6"/>
  <c r="V1604" i="6"/>
  <c r="V1605" i="6"/>
  <c r="V1606" i="6"/>
  <c r="V1607" i="6"/>
  <c r="V1608" i="6"/>
  <c r="V1609" i="6"/>
  <c r="V1610" i="6"/>
  <c r="V1611" i="6"/>
  <c r="V1612" i="6"/>
  <c r="V1613" i="6"/>
  <c r="V1614" i="6"/>
  <c r="V1615" i="6"/>
  <c r="V1616" i="6"/>
  <c r="V1617" i="6"/>
  <c r="V1618" i="6"/>
  <c r="V1619" i="6"/>
  <c r="V1620" i="6"/>
  <c r="V1621" i="6"/>
  <c r="V1622" i="6"/>
  <c r="V1623" i="6"/>
  <c r="V1624" i="6"/>
  <c r="V1625" i="6"/>
  <c r="V1626" i="6"/>
  <c r="V1627" i="6"/>
  <c r="V1628" i="6"/>
  <c r="V1629" i="6"/>
  <c r="V1630" i="6"/>
  <c r="V1631" i="6"/>
  <c r="V1632" i="6"/>
  <c r="V1633" i="6"/>
  <c r="V1634" i="6"/>
  <c r="V1635" i="6"/>
  <c r="V1636" i="6"/>
  <c r="V1637" i="6"/>
  <c r="V1638" i="6"/>
  <c r="V1639" i="6"/>
  <c r="V1640" i="6"/>
  <c r="V1641" i="6"/>
  <c r="V1642" i="6"/>
  <c r="V1643" i="6"/>
  <c r="V1644" i="6"/>
  <c r="V1645" i="6"/>
  <c r="V1646" i="6"/>
  <c r="V1647" i="6"/>
  <c r="V1648" i="6"/>
  <c r="V1649" i="6"/>
  <c r="V1650" i="6"/>
  <c r="V1651" i="6"/>
  <c r="V1652" i="6"/>
  <c r="V1653" i="6"/>
  <c r="V1654" i="6"/>
  <c r="V1655" i="6"/>
  <c r="V1656" i="6"/>
  <c r="V1657" i="6"/>
  <c r="V1658" i="6"/>
  <c r="V1659" i="6"/>
  <c r="V1660" i="6"/>
  <c r="V1661" i="6"/>
  <c r="V1662" i="6"/>
  <c r="V1663" i="6"/>
  <c r="V1664" i="6"/>
  <c r="V1665" i="6"/>
  <c r="V1666" i="6"/>
  <c r="V1667" i="6"/>
  <c r="V1668" i="6"/>
  <c r="V1669" i="6"/>
  <c r="V1670" i="6"/>
  <c r="V1671" i="6"/>
  <c r="V1672" i="6"/>
  <c r="V1673" i="6"/>
  <c r="V1674" i="6"/>
  <c r="V1675" i="6"/>
  <c r="V1676" i="6"/>
  <c r="V1677" i="6"/>
  <c r="V1678" i="6"/>
  <c r="V1679" i="6"/>
  <c r="V1680" i="6"/>
  <c r="V1681" i="6"/>
  <c r="V1682" i="6"/>
  <c r="V1683" i="6"/>
  <c r="V1684" i="6"/>
  <c r="V1685" i="6"/>
  <c r="V1686" i="6"/>
  <c r="V1687" i="6"/>
  <c r="V1688" i="6"/>
  <c r="V1689" i="6"/>
  <c r="V1690" i="6"/>
  <c r="V1691" i="6"/>
  <c r="V1692" i="6"/>
  <c r="V1693" i="6"/>
  <c r="V1694" i="6"/>
  <c r="V1695" i="6"/>
  <c r="V1696" i="6"/>
  <c r="V1697" i="6"/>
  <c r="V1698" i="6"/>
  <c r="V1699" i="6"/>
  <c r="V1700" i="6"/>
  <c r="V1701" i="6"/>
  <c r="V1702" i="6"/>
  <c r="V1703" i="6"/>
  <c r="V1704" i="6"/>
  <c r="V1705" i="6"/>
  <c r="V1706" i="6"/>
  <c r="V1707" i="6"/>
  <c r="V1708" i="6"/>
  <c r="V1709" i="6"/>
  <c r="V1710" i="6"/>
  <c r="V1711" i="6"/>
  <c r="V1712" i="6"/>
  <c r="V1713" i="6"/>
  <c r="V1714" i="6"/>
  <c r="V1715" i="6"/>
  <c r="V1716" i="6"/>
  <c r="V1717" i="6"/>
  <c r="V1718" i="6"/>
  <c r="V1719" i="6"/>
  <c r="V1720" i="6"/>
  <c r="V1721" i="6"/>
  <c r="V1722" i="6"/>
  <c r="V1723" i="6"/>
  <c r="V1724" i="6"/>
  <c r="V1725" i="6"/>
  <c r="V1726" i="6"/>
  <c r="V1727" i="6"/>
  <c r="V1728" i="6"/>
  <c r="V1729" i="6"/>
  <c r="V1730" i="6"/>
  <c r="V1731" i="6"/>
  <c r="V1732" i="6"/>
  <c r="V1733" i="6"/>
  <c r="V1734" i="6"/>
  <c r="V1735" i="6"/>
  <c r="V1736" i="6"/>
  <c r="V1737" i="6"/>
  <c r="V1738" i="6"/>
  <c r="V1739" i="6"/>
  <c r="V1740" i="6"/>
  <c r="V1741" i="6"/>
  <c r="V1742" i="6"/>
  <c r="V1743" i="6"/>
  <c r="V1744" i="6"/>
  <c r="V1745" i="6"/>
  <c r="V1746" i="6"/>
  <c r="V1747" i="6"/>
  <c r="V1748" i="6"/>
  <c r="V1749" i="6"/>
  <c r="V1750" i="6"/>
  <c r="V1751" i="6"/>
  <c r="V1752" i="6"/>
  <c r="V1753" i="6"/>
  <c r="V1754" i="6"/>
  <c r="V1755" i="6"/>
  <c r="V1756" i="6"/>
  <c r="V1757" i="6"/>
  <c r="V1758" i="6"/>
  <c r="V1759" i="6"/>
  <c r="V1760" i="6"/>
  <c r="V1761" i="6"/>
  <c r="V1762" i="6"/>
  <c r="V1763" i="6"/>
  <c r="V1764" i="6"/>
  <c r="V1765" i="6"/>
  <c r="V1766" i="6"/>
  <c r="V1767" i="6"/>
  <c r="V1768" i="6"/>
  <c r="V1769" i="6"/>
  <c r="V1770" i="6"/>
  <c r="V1771" i="6"/>
  <c r="V1772" i="6"/>
  <c r="V1773" i="6"/>
  <c r="V1774" i="6"/>
  <c r="V1775" i="6"/>
  <c r="V1776" i="6"/>
  <c r="V1777" i="6"/>
  <c r="V1778" i="6"/>
  <c r="V1779" i="6"/>
  <c r="V1780" i="6"/>
  <c r="V1781" i="6"/>
  <c r="V1782" i="6"/>
  <c r="V1783" i="6"/>
  <c r="V1784" i="6"/>
  <c r="V1785" i="6"/>
  <c r="V1786" i="6"/>
  <c r="V1787" i="6"/>
  <c r="V1788" i="6"/>
  <c r="V1789" i="6"/>
  <c r="V1790" i="6"/>
  <c r="V1791" i="6"/>
  <c r="V1792" i="6"/>
  <c r="V1793" i="6"/>
  <c r="V1794" i="6"/>
  <c r="V1795" i="6"/>
  <c r="V1796" i="6"/>
  <c r="V1797" i="6"/>
  <c r="V1798" i="6"/>
  <c r="V1799" i="6"/>
  <c r="V1800" i="6"/>
  <c r="V1801" i="6"/>
  <c r="V1802" i="6"/>
  <c r="V1803" i="6"/>
  <c r="V1804" i="6"/>
  <c r="V1805" i="6"/>
  <c r="V1806" i="6"/>
  <c r="V1807" i="6"/>
  <c r="V1808" i="6"/>
  <c r="V1809" i="6"/>
  <c r="V1810" i="6"/>
  <c r="V1811" i="6"/>
  <c r="V1812" i="6"/>
  <c r="V1813" i="6"/>
  <c r="V1814" i="6"/>
  <c r="V1815" i="6"/>
  <c r="V1816" i="6"/>
  <c r="V1817" i="6"/>
  <c r="V1818" i="6"/>
  <c r="V1819" i="6"/>
  <c r="V1820" i="6"/>
  <c r="V1821" i="6"/>
  <c r="V1822" i="6"/>
  <c r="V1823" i="6"/>
  <c r="V1824" i="6"/>
  <c r="V1825" i="6"/>
  <c r="V1826" i="6"/>
  <c r="V1827" i="6"/>
  <c r="V1828" i="6"/>
  <c r="V1829" i="6"/>
  <c r="V1830" i="6"/>
  <c r="V1831" i="6"/>
  <c r="V1832" i="6"/>
  <c r="V1833" i="6"/>
  <c r="V1834" i="6"/>
  <c r="V1835" i="6"/>
  <c r="V1836" i="6"/>
  <c r="V1837" i="6"/>
  <c r="V1838" i="6"/>
  <c r="V1839" i="6"/>
  <c r="V1840" i="6"/>
  <c r="V1841" i="6"/>
  <c r="V1842" i="6"/>
  <c r="V1843" i="6"/>
  <c r="V1844" i="6"/>
  <c r="V1845" i="6"/>
  <c r="V1846" i="6"/>
  <c r="V1847" i="6"/>
  <c r="V1848" i="6"/>
  <c r="V1849" i="6"/>
  <c r="V1850" i="6"/>
  <c r="V1851" i="6"/>
  <c r="V1852" i="6"/>
  <c r="V1853" i="6"/>
  <c r="V1854" i="6"/>
  <c r="V1855" i="6"/>
  <c r="V1856" i="6"/>
  <c r="V1857" i="6"/>
  <c r="V1858" i="6"/>
  <c r="V1859" i="6"/>
  <c r="V1860" i="6"/>
  <c r="V1861" i="6"/>
  <c r="V1862" i="6"/>
  <c r="V1863" i="6"/>
  <c r="V1864" i="6"/>
  <c r="V1865" i="6"/>
  <c r="V1866" i="6"/>
  <c r="V1867" i="6"/>
  <c r="V1868" i="6"/>
  <c r="V1869" i="6"/>
  <c r="V1870" i="6"/>
  <c r="V1871" i="6"/>
  <c r="V1872" i="6"/>
  <c r="V1873" i="6"/>
  <c r="V1874" i="6"/>
  <c r="V1875" i="6"/>
  <c r="V1876" i="6"/>
  <c r="V1877" i="6"/>
  <c r="V1878" i="6"/>
  <c r="V1879" i="6"/>
  <c r="V1880" i="6"/>
  <c r="V1881" i="6"/>
  <c r="V1882" i="6"/>
  <c r="V1883" i="6"/>
  <c r="V1884" i="6"/>
  <c r="V1885" i="6"/>
  <c r="V1886" i="6"/>
  <c r="V1887" i="6"/>
  <c r="V1888" i="6"/>
  <c r="V1889" i="6"/>
  <c r="V1890" i="6"/>
  <c r="V1891" i="6"/>
  <c r="V1892" i="6"/>
  <c r="V1893" i="6"/>
  <c r="V1894" i="6"/>
  <c r="V1895" i="6"/>
  <c r="V1896" i="6"/>
  <c r="V1897" i="6"/>
  <c r="V1898" i="6"/>
  <c r="V1899" i="6"/>
  <c r="V1900" i="6"/>
  <c r="V1901" i="6"/>
  <c r="V1902" i="6"/>
  <c r="V1903" i="6"/>
  <c r="V1904" i="6"/>
  <c r="V1905" i="6"/>
  <c r="V1906" i="6"/>
  <c r="V1907" i="6"/>
  <c r="V1908" i="6"/>
  <c r="V1909" i="6"/>
  <c r="V1910" i="6"/>
  <c r="V1911" i="6"/>
  <c r="V1912" i="6"/>
  <c r="V1913" i="6"/>
  <c r="V1914" i="6"/>
  <c r="V1915" i="6"/>
  <c r="V1916" i="6"/>
  <c r="V1917" i="6"/>
  <c r="V1918" i="6"/>
  <c r="V1919" i="6"/>
  <c r="V1920" i="6"/>
  <c r="V1921" i="6"/>
  <c r="V1922" i="6"/>
  <c r="V1923" i="6"/>
  <c r="V1924" i="6"/>
  <c r="V1925" i="6"/>
  <c r="V1926" i="6"/>
  <c r="V1927" i="6"/>
  <c r="V1928" i="6"/>
  <c r="V1929" i="6"/>
  <c r="V1930" i="6"/>
  <c r="V1931" i="6"/>
  <c r="V1932" i="6"/>
  <c r="V1933" i="6"/>
  <c r="V1934" i="6"/>
  <c r="V1935" i="6"/>
  <c r="V1936" i="6"/>
  <c r="V1937" i="6"/>
  <c r="V1938" i="6"/>
  <c r="V1939" i="6"/>
  <c r="V1940" i="6"/>
  <c r="V1941" i="6"/>
  <c r="V1942" i="6"/>
  <c r="V1943" i="6"/>
  <c r="V1944" i="6"/>
  <c r="V1945" i="6"/>
  <c r="V1946" i="6"/>
  <c r="V1947" i="6"/>
  <c r="V1948" i="6"/>
  <c r="V1949" i="6"/>
  <c r="V1950" i="6"/>
  <c r="V1951" i="6"/>
  <c r="V1952" i="6"/>
  <c r="V1953" i="6"/>
  <c r="V1954" i="6"/>
  <c r="V1955" i="6"/>
  <c r="V1956" i="6"/>
  <c r="V1957" i="6"/>
  <c r="V1958" i="6"/>
  <c r="V1959" i="6"/>
  <c r="V1960" i="6"/>
  <c r="V1961" i="6"/>
  <c r="V1962" i="6"/>
  <c r="V1963" i="6"/>
  <c r="V1964" i="6"/>
  <c r="V1965" i="6"/>
  <c r="V1966" i="6"/>
  <c r="V1967" i="6"/>
  <c r="V1968" i="6"/>
  <c r="V1969" i="6"/>
  <c r="V1970" i="6"/>
  <c r="V1971" i="6"/>
  <c r="V1972" i="6"/>
  <c r="V1973" i="6"/>
  <c r="V1974" i="6"/>
  <c r="V1975" i="6"/>
  <c r="V1976" i="6"/>
  <c r="V1977" i="6"/>
  <c r="V1978" i="6"/>
  <c r="V1979" i="6"/>
  <c r="V1980" i="6"/>
  <c r="V1981" i="6"/>
  <c r="V1982" i="6"/>
  <c r="V1983" i="6"/>
  <c r="V1984" i="6"/>
  <c r="V1985" i="6"/>
  <c r="V1986" i="6"/>
  <c r="V1987" i="6"/>
  <c r="V1988" i="6"/>
  <c r="V1989" i="6"/>
  <c r="V1990" i="6"/>
  <c r="V1991" i="6"/>
  <c r="V1992" i="6"/>
  <c r="V1993" i="6"/>
  <c r="V1994" i="6"/>
  <c r="V1995" i="6"/>
  <c r="V1996" i="6"/>
  <c r="V1997" i="6"/>
  <c r="V1998" i="6"/>
  <c r="V1999" i="6"/>
  <c r="V2000" i="6"/>
  <c r="V2001" i="6"/>
  <c r="V2002" i="6"/>
  <c r="V2003" i="6"/>
  <c r="V2004" i="6"/>
  <c r="V2005" i="6"/>
  <c r="V2006" i="6"/>
  <c r="V2007" i="6"/>
  <c r="V2008" i="6"/>
  <c r="V2009" i="6"/>
  <c r="V2010" i="6"/>
  <c r="V2011" i="6"/>
  <c r="V2012" i="6"/>
  <c r="V2013" i="6"/>
  <c r="V2014" i="6"/>
  <c r="V2015" i="6"/>
  <c r="V2016" i="6"/>
  <c r="V2017" i="6"/>
  <c r="V2018" i="6"/>
  <c r="V2019" i="6"/>
  <c r="V2020" i="6"/>
  <c r="V2021" i="6"/>
  <c r="V2022" i="6"/>
  <c r="V2023" i="6"/>
  <c r="V2024" i="6"/>
  <c r="V2025" i="6"/>
  <c r="V2026" i="6"/>
  <c r="V2027" i="6"/>
  <c r="V2028" i="6"/>
  <c r="V2029" i="6"/>
  <c r="V2030" i="6"/>
  <c r="V2031" i="6"/>
  <c r="V2032" i="6"/>
  <c r="V2033" i="6"/>
  <c r="V2034" i="6"/>
  <c r="V2035" i="6"/>
  <c r="V2036" i="6"/>
  <c r="V2037" i="6"/>
  <c r="V2038" i="6"/>
  <c r="V2039" i="6"/>
  <c r="V2040" i="6"/>
  <c r="V2041" i="6"/>
  <c r="V2042" i="6"/>
  <c r="V2043" i="6"/>
  <c r="V2044" i="6"/>
  <c r="V2045" i="6"/>
  <c r="V2046" i="6"/>
  <c r="V2047" i="6"/>
  <c r="V2048" i="6"/>
  <c r="V2049" i="6"/>
  <c r="V2050" i="6"/>
  <c r="V2051" i="6"/>
  <c r="V2052" i="6"/>
  <c r="V2053" i="6"/>
  <c r="V2054" i="6"/>
  <c r="V2055" i="6"/>
  <c r="V2056" i="6"/>
  <c r="V2057" i="6"/>
  <c r="V2058" i="6"/>
  <c r="V2059" i="6"/>
  <c r="V2060" i="6"/>
  <c r="V2061" i="6"/>
  <c r="V2062" i="6"/>
  <c r="V2063" i="6"/>
  <c r="V2064" i="6"/>
  <c r="V2065" i="6"/>
  <c r="V2066" i="6"/>
  <c r="V2067" i="6"/>
  <c r="V2068" i="6"/>
  <c r="V2069" i="6"/>
  <c r="V2070" i="6"/>
  <c r="V2071" i="6"/>
  <c r="V2072" i="6"/>
  <c r="V2073" i="6"/>
  <c r="V2074" i="6"/>
  <c r="V2075" i="6"/>
  <c r="V2076" i="6"/>
  <c r="V2077" i="6"/>
  <c r="V2078" i="6"/>
  <c r="V2079" i="6"/>
  <c r="V2080" i="6"/>
  <c r="V2081" i="6"/>
  <c r="V2082" i="6"/>
  <c r="V2083" i="6"/>
  <c r="V2084" i="6"/>
  <c r="V2085" i="6"/>
  <c r="V2086" i="6"/>
  <c r="V2087" i="6"/>
  <c r="V2088" i="6"/>
  <c r="V2089" i="6"/>
  <c r="V2090" i="6"/>
  <c r="V2091" i="6"/>
  <c r="V2092" i="6"/>
  <c r="V2093" i="6"/>
  <c r="V2094" i="6"/>
  <c r="V2095" i="6"/>
  <c r="V2096" i="6"/>
  <c r="V2097" i="6"/>
  <c r="V2098" i="6"/>
  <c r="V2099" i="6"/>
  <c r="V2100" i="6"/>
  <c r="V2101" i="6"/>
  <c r="V2102" i="6"/>
  <c r="V2103" i="6"/>
  <c r="V2104" i="6"/>
  <c r="V2105" i="6"/>
  <c r="V2106" i="6"/>
  <c r="V2107" i="6"/>
  <c r="V2108" i="6"/>
  <c r="V2109" i="6"/>
  <c r="V2110" i="6"/>
  <c r="V2111" i="6"/>
  <c r="V2112" i="6"/>
  <c r="V2113" i="6"/>
  <c r="V2114" i="6"/>
  <c r="V2115" i="6"/>
  <c r="V2116" i="6"/>
  <c r="V2117" i="6"/>
  <c r="V2118" i="6"/>
  <c r="V2119" i="6"/>
  <c r="V2120" i="6"/>
  <c r="V2121" i="6"/>
  <c r="V2122" i="6"/>
  <c r="V2123" i="6"/>
  <c r="V2124" i="6"/>
  <c r="V2125" i="6"/>
  <c r="V2126" i="6"/>
  <c r="V2127" i="6"/>
  <c r="V2128" i="6"/>
  <c r="V2129" i="6"/>
  <c r="V2130" i="6"/>
  <c r="V2131" i="6"/>
  <c r="V2132" i="6"/>
  <c r="V2133" i="6"/>
  <c r="V2134" i="6"/>
  <c r="V2135" i="6"/>
  <c r="V2136" i="6"/>
  <c r="V2137" i="6"/>
  <c r="V2138" i="6"/>
  <c r="V2139" i="6"/>
  <c r="V2140" i="6"/>
  <c r="V2141" i="6"/>
  <c r="V2142" i="6"/>
  <c r="V2143" i="6"/>
  <c r="V2144" i="6"/>
  <c r="V2145" i="6"/>
  <c r="V2146" i="6"/>
  <c r="V2147" i="6"/>
  <c r="V2148" i="6"/>
  <c r="V2149" i="6"/>
  <c r="V2150" i="6"/>
  <c r="V2151" i="6"/>
  <c r="V2152" i="6"/>
  <c r="V2153" i="6"/>
  <c r="V2154" i="6"/>
  <c r="V2155" i="6"/>
  <c r="V2156" i="6"/>
  <c r="V2157" i="6"/>
  <c r="V2158" i="6"/>
  <c r="V2159" i="6"/>
  <c r="V2160" i="6"/>
  <c r="V2161" i="6"/>
  <c r="V2162" i="6"/>
  <c r="V2163" i="6"/>
  <c r="V2164" i="6"/>
  <c r="V2165" i="6"/>
  <c r="V2166" i="6"/>
  <c r="V2167" i="6"/>
  <c r="V2168" i="6"/>
  <c r="V2169" i="6"/>
  <c r="V2170" i="6"/>
  <c r="V2171" i="6"/>
  <c r="V2172" i="6"/>
  <c r="V2173" i="6"/>
  <c r="V2174" i="6"/>
  <c r="V2175" i="6"/>
  <c r="V2176" i="6"/>
  <c r="V2177" i="6"/>
  <c r="V2178" i="6"/>
  <c r="V2179" i="6"/>
  <c r="V2180" i="6"/>
  <c r="V2181" i="6"/>
  <c r="V2182" i="6"/>
  <c r="V2183" i="6"/>
  <c r="V2184" i="6"/>
  <c r="V2185" i="6"/>
  <c r="V2186" i="6"/>
  <c r="V2187" i="6"/>
  <c r="V2188" i="6"/>
  <c r="V2189" i="6"/>
  <c r="V2190" i="6"/>
  <c r="V2191" i="6"/>
  <c r="V2192" i="6"/>
  <c r="V2193" i="6"/>
  <c r="V2194" i="6"/>
  <c r="V2195" i="6"/>
  <c r="V2196" i="6"/>
  <c r="V2197" i="6"/>
  <c r="V2198" i="6"/>
  <c r="V2199" i="6"/>
  <c r="V2200" i="6"/>
  <c r="V2201" i="6"/>
  <c r="V2202" i="6"/>
  <c r="V2203" i="6"/>
  <c r="V2204" i="6"/>
  <c r="V2205" i="6"/>
  <c r="V2206" i="6"/>
  <c r="V2207" i="6"/>
  <c r="V2208" i="6"/>
  <c r="V2209" i="6"/>
  <c r="V2210" i="6"/>
  <c r="V2211" i="6"/>
  <c r="V2212" i="6"/>
  <c r="V2213" i="6"/>
  <c r="V2214" i="6"/>
  <c r="V2215" i="6"/>
  <c r="V2216" i="6"/>
  <c r="V2217" i="6"/>
  <c r="V2218" i="6"/>
  <c r="V2219" i="6"/>
  <c r="V2220" i="6"/>
  <c r="V2221" i="6"/>
  <c r="V2222" i="6"/>
  <c r="V2223" i="6"/>
  <c r="V2224" i="6"/>
  <c r="V2225" i="6"/>
  <c r="V2226" i="6"/>
  <c r="V2227" i="6"/>
  <c r="V2228" i="6"/>
  <c r="V2229" i="6"/>
  <c r="V2230" i="6"/>
  <c r="V2231" i="6"/>
  <c r="V2232" i="6"/>
  <c r="V2233" i="6"/>
  <c r="V2234" i="6"/>
  <c r="V2235" i="6"/>
  <c r="V2236" i="6"/>
  <c r="V2237" i="6"/>
  <c r="V2238" i="6"/>
  <c r="V2239" i="6"/>
  <c r="V2240" i="6"/>
  <c r="V2241" i="6"/>
  <c r="V2242" i="6"/>
  <c r="V2243" i="6"/>
  <c r="V2244" i="6"/>
  <c r="V2245" i="6"/>
  <c r="V2246" i="6"/>
  <c r="V2247" i="6"/>
  <c r="V2248" i="6"/>
  <c r="V2249" i="6"/>
  <c r="V2250" i="6"/>
  <c r="V2251" i="6"/>
  <c r="V2252" i="6"/>
  <c r="V2253" i="6"/>
  <c r="V2254" i="6"/>
  <c r="V2255" i="6"/>
  <c r="V2256" i="6"/>
  <c r="V2257" i="6"/>
  <c r="V2258" i="6"/>
  <c r="V2259" i="6"/>
  <c r="V2260" i="6"/>
  <c r="V2261" i="6"/>
  <c r="V2262" i="6"/>
  <c r="V2263" i="6"/>
  <c r="V2264" i="6"/>
  <c r="V2265" i="6"/>
  <c r="V2266" i="6"/>
  <c r="V2267" i="6"/>
  <c r="V2268" i="6"/>
  <c r="V2269" i="6"/>
  <c r="V2270" i="6"/>
  <c r="V2271" i="6"/>
  <c r="V2272" i="6"/>
  <c r="V2273" i="6"/>
  <c r="V2274" i="6"/>
  <c r="V2275" i="6"/>
  <c r="V2276" i="6"/>
  <c r="V2277" i="6"/>
  <c r="V2278" i="6"/>
  <c r="V2279" i="6"/>
  <c r="V2280" i="6"/>
  <c r="V2281" i="6"/>
  <c r="V2282" i="6"/>
  <c r="V2283" i="6"/>
  <c r="V2284" i="6"/>
  <c r="V2285" i="6"/>
  <c r="V2286" i="6"/>
  <c r="V2287" i="6"/>
  <c r="V2288" i="6"/>
  <c r="V2289" i="6"/>
  <c r="V2290" i="6"/>
  <c r="V2291" i="6"/>
  <c r="V2292" i="6"/>
  <c r="V2293" i="6"/>
  <c r="V2294" i="6"/>
  <c r="V2295" i="6"/>
  <c r="V2296" i="6"/>
  <c r="V2297" i="6"/>
  <c r="V2298" i="6"/>
  <c r="V2299" i="6"/>
  <c r="V2300" i="6"/>
  <c r="V2301" i="6"/>
  <c r="V2302" i="6"/>
  <c r="V2303" i="6"/>
  <c r="V2304" i="6"/>
  <c r="V2305" i="6"/>
  <c r="V2306" i="6"/>
  <c r="V2307" i="6"/>
  <c r="V2308" i="6"/>
  <c r="V2309" i="6"/>
  <c r="V2310" i="6"/>
  <c r="V2311" i="6"/>
  <c r="V2312" i="6"/>
  <c r="V2313" i="6"/>
  <c r="V2314" i="6"/>
  <c r="V2315" i="6"/>
  <c r="V2316" i="6"/>
  <c r="V2317" i="6"/>
  <c r="V2318" i="6"/>
  <c r="V2319" i="6"/>
  <c r="V2320" i="6"/>
  <c r="V2321" i="6"/>
  <c r="V2322" i="6"/>
  <c r="V2323" i="6"/>
  <c r="V2324" i="6"/>
  <c r="V2325" i="6"/>
  <c r="V2326" i="6"/>
  <c r="V2327" i="6"/>
  <c r="V2328" i="6"/>
  <c r="V2329" i="6"/>
  <c r="V2330" i="6"/>
  <c r="V2331" i="6"/>
  <c r="V2332" i="6"/>
  <c r="V2333" i="6"/>
  <c r="V2334" i="6"/>
  <c r="V2335" i="6"/>
  <c r="V2336" i="6"/>
  <c r="V2337" i="6"/>
  <c r="V2338" i="6"/>
  <c r="V2339" i="6"/>
  <c r="V2340" i="6"/>
  <c r="V2341" i="6"/>
  <c r="V2342" i="6"/>
  <c r="V2343" i="6"/>
  <c r="V2344" i="6"/>
  <c r="V2345" i="6"/>
  <c r="V2346" i="6"/>
  <c r="V2347" i="6"/>
  <c r="V2348" i="6"/>
  <c r="V2349" i="6"/>
  <c r="V2350" i="6"/>
  <c r="V2351" i="6"/>
  <c r="V2352" i="6"/>
  <c r="V2353" i="6"/>
  <c r="V2354" i="6"/>
  <c r="V2355" i="6"/>
  <c r="V2356" i="6"/>
  <c r="V2357" i="6"/>
  <c r="V2358" i="6"/>
  <c r="V2359" i="6"/>
  <c r="V2360" i="6"/>
  <c r="V2361" i="6"/>
  <c r="V2362" i="6"/>
  <c r="V2363" i="6"/>
  <c r="V2364" i="6"/>
  <c r="V2365" i="6"/>
  <c r="V2366" i="6"/>
  <c r="V2367" i="6"/>
  <c r="V2368" i="6"/>
  <c r="V2369" i="6"/>
  <c r="V2370" i="6"/>
  <c r="V2371" i="6"/>
  <c r="V2372" i="6"/>
  <c r="V2373" i="6"/>
  <c r="V2374" i="6"/>
  <c r="V2375" i="6"/>
  <c r="V2376" i="6"/>
  <c r="V2377" i="6"/>
  <c r="V2378" i="6"/>
  <c r="V2379" i="6"/>
  <c r="V2380" i="6"/>
  <c r="V2381" i="6"/>
  <c r="V2382" i="6"/>
  <c r="V2383" i="6"/>
  <c r="V2384" i="6"/>
  <c r="V2385" i="6"/>
  <c r="V2386" i="6"/>
  <c r="V2387" i="6"/>
  <c r="V2388" i="6"/>
  <c r="V2389" i="6"/>
  <c r="V2390" i="6"/>
  <c r="V2391" i="6"/>
  <c r="V2392" i="6"/>
  <c r="V2393" i="6"/>
  <c r="V2394" i="6"/>
  <c r="V2395" i="6"/>
  <c r="V2396" i="6"/>
  <c r="V2397" i="6"/>
  <c r="V2398" i="6"/>
  <c r="V2399" i="6"/>
  <c r="V2400" i="6"/>
  <c r="V2401" i="6"/>
  <c r="V2402" i="6"/>
  <c r="V2403" i="6"/>
  <c r="V2404" i="6"/>
  <c r="V2405" i="6"/>
  <c r="V2406" i="6"/>
  <c r="V2407" i="6"/>
  <c r="V2408" i="6"/>
  <c r="V2409" i="6"/>
  <c r="V2410" i="6"/>
  <c r="V2411" i="6"/>
  <c r="V2412" i="6"/>
  <c r="V2413" i="6"/>
  <c r="V2414" i="6"/>
  <c r="V2415" i="6"/>
  <c r="V2416" i="6"/>
  <c r="V2417" i="6"/>
  <c r="V2418" i="6"/>
  <c r="V2419" i="6"/>
  <c r="V2420" i="6"/>
  <c r="V2421" i="6"/>
  <c r="V2422" i="6"/>
  <c r="V2423" i="6"/>
  <c r="V2424" i="6"/>
  <c r="V2425" i="6"/>
  <c r="V2426" i="6"/>
  <c r="V2427" i="6"/>
  <c r="V2428" i="6"/>
  <c r="V2429" i="6"/>
  <c r="V2430" i="6"/>
  <c r="V2431" i="6"/>
  <c r="V2432" i="6"/>
  <c r="V2433" i="6"/>
  <c r="V2434" i="6"/>
  <c r="V2435" i="6"/>
  <c r="V2436" i="6"/>
  <c r="V2437" i="6"/>
  <c r="V2438" i="6"/>
  <c r="V2439" i="6"/>
  <c r="V2440" i="6"/>
  <c r="V2441" i="6"/>
  <c r="V2442" i="6"/>
  <c r="V2443" i="6"/>
  <c r="V2444" i="6"/>
  <c r="V2445" i="6"/>
  <c r="V2446" i="6"/>
  <c r="V2447" i="6"/>
  <c r="V2448" i="6"/>
  <c r="V2449" i="6"/>
  <c r="V2450" i="6"/>
  <c r="V2451" i="6"/>
  <c r="V2452" i="6"/>
  <c r="V2453" i="6"/>
  <c r="V2454" i="6"/>
  <c r="V2455" i="6"/>
  <c r="V2456" i="6"/>
  <c r="V2457" i="6"/>
  <c r="V2458" i="6"/>
  <c r="V2459" i="6"/>
  <c r="V2460" i="6"/>
  <c r="V2461" i="6"/>
  <c r="V2462" i="6"/>
  <c r="V2463" i="6"/>
  <c r="V2464" i="6"/>
  <c r="V2465" i="6"/>
  <c r="V2466" i="6"/>
  <c r="V2467" i="6"/>
  <c r="V2468" i="6"/>
  <c r="V2469" i="6"/>
  <c r="V2470" i="6"/>
  <c r="V2471" i="6"/>
  <c r="V2472" i="6"/>
  <c r="V2473" i="6"/>
  <c r="V2474" i="6"/>
  <c r="V2475" i="6"/>
  <c r="V2476" i="6"/>
  <c r="V2477" i="6"/>
  <c r="V2478" i="6"/>
  <c r="V2479" i="6"/>
  <c r="V2480" i="6"/>
  <c r="V2481" i="6"/>
  <c r="V2482" i="6"/>
  <c r="V2483" i="6"/>
  <c r="V2484" i="6"/>
  <c r="V2485" i="6"/>
  <c r="V2486" i="6"/>
  <c r="V2487" i="6"/>
  <c r="V2488" i="6"/>
  <c r="V2489" i="6"/>
  <c r="V2490" i="6"/>
  <c r="V2491" i="6"/>
  <c r="V2492" i="6"/>
  <c r="V2493" i="6"/>
  <c r="V2494" i="6"/>
  <c r="V2495" i="6"/>
  <c r="V2496" i="6"/>
  <c r="V2497" i="6"/>
  <c r="V2498" i="6"/>
  <c r="V2499" i="6"/>
  <c r="V2500" i="6"/>
  <c r="V2501" i="6"/>
  <c r="V2502" i="6"/>
  <c r="V2503" i="6"/>
  <c r="V2504" i="6"/>
  <c r="V2505" i="6"/>
  <c r="V2506" i="6"/>
  <c r="V2507" i="6"/>
  <c r="V2508" i="6"/>
  <c r="V2509" i="6"/>
  <c r="V2510" i="6"/>
  <c r="V2511" i="6"/>
  <c r="V2512" i="6"/>
  <c r="V2513" i="6"/>
  <c r="V2514" i="6"/>
  <c r="V2515" i="6"/>
  <c r="V2516" i="6"/>
  <c r="V2517" i="6"/>
  <c r="V2518" i="6"/>
  <c r="V2519" i="6"/>
  <c r="V2520" i="6"/>
  <c r="V2521" i="6"/>
  <c r="V2522" i="6"/>
  <c r="V2523" i="6"/>
  <c r="V2524" i="6"/>
  <c r="V2525" i="6"/>
  <c r="V2526" i="6"/>
  <c r="V2527" i="6"/>
  <c r="V2528" i="6"/>
  <c r="V2529" i="6"/>
  <c r="V2530" i="6"/>
  <c r="V2531" i="6"/>
  <c r="V2532" i="6"/>
  <c r="V2533" i="6"/>
  <c r="V2534" i="6"/>
  <c r="V2535" i="6"/>
  <c r="V2536" i="6"/>
  <c r="V2537" i="6"/>
  <c r="V2538" i="6"/>
  <c r="V2539" i="6"/>
  <c r="V2540" i="6"/>
  <c r="V2541" i="6"/>
  <c r="V2542" i="6"/>
  <c r="V2543" i="6"/>
  <c r="V2544" i="6"/>
  <c r="V2545" i="6"/>
  <c r="V2546" i="6"/>
  <c r="V2547" i="6"/>
  <c r="V2548" i="6"/>
  <c r="V2549" i="6"/>
  <c r="V2550" i="6"/>
  <c r="V2551" i="6"/>
  <c r="V2552" i="6"/>
  <c r="V2553" i="6"/>
  <c r="V2554" i="6"/>
  <c r="V2555" i="6"/>
  <c r="V2556" i="6"/>
  <c r="V2557" i="6"/>
  <c r="V2558" i="6"/>
  <c r="V2559" i="6"/>
  <c r="V2560" i="6"/>
  <c r="V2561" i="6"/>
  <c r="V2562" i="6"/>
  <c r="V2563" i="6"/>
  <c r="V2564" i="6"/>
  <c r="V2565" i="6"/>
  <c r="V2566" i="6"/>
  <c r="V2567" i="6"/>
  <c r="V2568" i="6"/>
  <c r="V2569" i="6"/>
  <c r="V2570" i="6"/>
  <c r="V2571" i="6"/>
  <c r="V2572" i="6"/>
  <c r="V2573" i="6"/>
  <c r="V2574" i="6"/>
  <c r="V2575" i="6"/>
  <c r="V2576" i="6"/>
  <c r="V2577" i="6"/>
  <c r="V2578" i="6"/>
  <c r="V2579" i="6"/>
  <c r="V2580" i="6"/>
  <c r="V2581" i="6"/>
  <c r="V2582" i="6"/>
  <c r="V2583" i="6"/>
  <c r="V2584" i="6"/>
  <c r="V2585" i="6"/>
  <c r="V2586" i="6"/>
  <c r="V2587" i="6"/>
  <c r="V2588" i="6"/>
  <c r="V2589" i="6"/>
  <c r="V2590" i="6"/>
  <c r="V2591" i="6"/>
  <c r="V2592" i="6"/>
  <c r="V2593" i="6"/>
  <c r="V2594" i="6"/>
  <c r="V2595" i="6"/>
  <c r="V2596" i="6"/>
  <c r="V2597" i="6"/>
  <c r="V2598" i="6"/>
  <c r="V2599" i="6"/>
  <c r="V2600" i="6"/>
  <c r="V2601" i="6"/>
  <c r="V2602" i="6"/>
  <c r="V2603" i="6"/>
  <c r="V2604" i="6"/>
  <c r="V2605" i="6"/>
  <c r="V2606" i="6"/>
  <c r="V2607" i="6"/>
  <c r="V2608" i="6"/>
  <c r="V2609" i="6"/>
  <c r="V2610" i="6"/>
  <c r="V2611" i="6"/>
  <c r="V2612" i="6"/>
  <c r="V2613" i="6"/>
  <c r="V2614" i="6"/>
  <c r="V2615" i="6"/>
  <c r="V2616" i="6"/>
  <c r="V2617" i="6"/>
  <c r="V2618" i="6"/>
  <c r="V2619" i="6"/>
  <c r="V2620" i="6"/>
  <c r="V2621" i="6"/>
  <c r="V2622" i="6"/>
  <c r="V2623" i="6"/>
  <c r="V2624" i="6"/>
  <c r="V2625" i="6"/>
  <c r="V2626" i="6"/>
  <c r="V2627" i="6"/>
  <c r="V2628" i="6"/>
  <c r="V2629" i="6"/>
  <c r="V2630" i="6"/>
  <c r="V2631" i="6"/>
  <c r="V2632" i="6"/>
  <c r="V2633" i="6"/>
  <c r="V2634" i="6"/>
  <c r="V2635" i="6"/>
  <c r="V2636" i="6"/>
  <c r="V2637" i="6"/>
  <c r="V2638" i="6"/>
  <c r="V2639" i="6"/>
  <c r="V2640" i="6"/>
  <c r="V2641" i="6"/>
  <c r="V2642" i="6"/>
  <c r="V2643" i="6"/>
  <c r="V2644" i="6"/>
  <c r="V2645" i="6"/>
  <c r="V2646" i="6"/>
  <c r="V2647" i="6"/>
  <c r="V2648" i="6"/>
  <c r="V2649" i="6"/>
  <c r="V2650" i="6"/>
  <c r="V2651" i="6"/>
  <c r="V2652" i="6"/>
  <c r="V2653" i="6"/>
  <c r="V2654" i="6"/>
  <c r="V2655" i="6"/>
  <c r="V2656" i="6"/>
  <c r="V2657" i="6"/>
  <c r="V2658" i="6"/>
  <c r="V2659" i="6"/>
  <c r="V2660" i="6"/>
  <c r="V2661" i="6"/>
  <c r="V2662" i="6"/>
  <c r="V2663" i="6"/>
  <c r="V2664" i="6"/>
  <c r="V2665" i="6"/>
  <c r="V2666" i="6"/>
  <c r="V2667" i="6"/>
  <c r="V2668" i="6"/>
  <c r="V2669" i="6"/>
  <c r="V2670" i="6"/>
  <c r="V2671" i="6"/>
  <c r="V2672" i="6"/>
  <c r="V2673" i="6"/>
  <c r="V2674" i="6"/>
  <c r="V2675" i="6"/>
  <c r="V2676" i="6"/>
  <c r="V2677" i="6"/>
  <c r="V2678" i="6"/>
  <c r="V2679" i="6"/>
  <c r="V2680" i="6"/>
  <c r="V2681" i="6"/>
  <c r="V2682" i="6"/>
  <c r="V2683" i="6"/>
  <c r="V2684" i="6"/>
  <c r="V2685" i="6"/>
  <c r="V2686" i="6"/>
  <c r="V2687" i="6"/>
  <c r="V2688" i="6"/>
  <c r="V2689" i="6"/>
  <c r="V2690" i="6"/>
  <c r="V2691" i="6"/>
  <c r="V2692" i="6"/>
  <c r="V2693" i="6"/>
  <c r="V2694" i="6"/>
  <c r="V2695" i="6"/>
  <c r="V2696" i="6"/>
  <c r="V2697" i="6"/>
  <c r="V2698" i="6"/>
  <c r="V2699" i="6"/>
  <c r="V2700" i="6"/>
  <c r="V2701" i="6"/>
  <c r="V2702" i="6"/>
  <c r="V2703" i="6"/>
  <c r="V2704" i="6"/>
  <c r="V2705" i="6"/>
  <c r="V2706" i="6"/>
  <c r="V2707" i="6"/>
  <c r="V2708" i="6"/>
  <c r="V2709" i="6"/>
  <c r="V2710" i="6"/>
  <c r="V2711" i="6"/>
  <c r="V2712" i="6"/>
  <c r="V2713" i="6"/>
  <c r="V2714" i="6"/>
  <c r="V2715" i="6"/>
  <c r="V2716" i="6"/>
  <c r="V2717" i="6"/>
  <c r="V2718" i="6"/>
  <c r="V2719" i="6"/>
  <c r="V2720" i="6"/>
  <c r="V2721" i="6"/>
  <c r="V2722" i="6"/>
  <c r="V2723" i="6"/>
  <c r="V2724" i="6"/>
  <c r="V2725" i="6"/>
  <c r="V2726" i="6"/>
  <c r="V2727" i="6"/>
  <c r="V2728" i="6"/>
  <c r="V2729" i="6"/>
  <c r="V2730" i="6"/>
  <c r="V2731" i="6"/>
  <c r="V2732" i="6"/>
  <c r="V2733" i="6"/>
  <c r="V2734" i="6"/>
  <c r="V2735" i="6"/>
  <c r="V2736" i="6"/>
  <c r="V2737" i="6"/>
  <c r="V2738" i="6"/>
  <c r="V2739" i="6"/>
  <c r="V2740" i="6"/>
  <c r="V2741" i="6"/>
  <c r="V2742" i="6"/>
  <c r="V2743" i="6"/>
  <c r="V2744" i="6"/>
  <c r="V2745" i="6"/>
  <c r="V2746" i="6"/>
  <c r="V2747" i="6"/>
  <c r="V2748" i="6"/>
  <c r="V2749" i="6"/>
  <c r="V2750" i="6"/>
  <c r="V2751" i="6"/>
  <c r="V2752" i="6"/>
  <c r="V2753" i="6"/>
  <c r="V2754" i="6"/>
  <c r="V2755" i="6"/>
  <c r="V2756" i="6"/>
  <c r="V2757" i="6"/>
  <c r="V2758" i="6"/>
  <c r="V2759" i="6"/>
  <c r="V2760" i="6"/>
  <c r="V2761" i="6"/>
  <c r="V2762" i="6"/>
  <c r="V2763" i="6"/>
  <c r="V2764" i="6"/>
  <c r="V2765" i="6"/>
  <c r="V2766" i="6"/>
  <c r="V2767" i="6"/>
  <c r="V2768" i="6"/>
  <c r="V2769" i="6"/>
  <c r="V2770" i="6"/>
  <c r="V2771" i="6"/>
  <c r="V2772" i="6"/>
  <c r="V2773" i="6"/>
  <c r="V2774" i="6"/>
  <c r="V2775" i="6"/>
  <c r="V2776" i="6"/>
  <c r="V2777" i="6"/>
  <c r="V2778" i="6"/>
  <c r="V2779" i="6"/>
  <c r="V2780" i="6"/>
  <c r="V2781" i="6"/>
  <c r="V2782" i="6"/>
  <c r="V2783" i="6"/>
  <c r="V2784" i="6"/>
  <c r="V2785" i="6"/>
  <c r="V2786" i="6"/>
  <c r="V2787" i="6"/>
  <c r="V2788" i="6"/>
  <c r="V2789" i="6"/>
  <c r="V2790" i="6"/>
  <c r="V2791" i="6"/>
  <c r="V2792" i="6"/>
  <c r="V2793" i="6"/>
  <c r="V2794" i="6"/>
  <c r="V2795" i="6"/>
  <c r="V2796" i="6"/>
  <c r="V2797" i="6"/>
  <c r="V2798" i="6"/>
  <c r="V2799" i="6"/>
  <c r="V2800" i="6"/>
  <c r="V2801" i="6"/>
  <c r="V2802" i="6"/>
  <c r="V2803" i="6"/>
  <c r="V2804" i="6"/>
  <c r="V2805" i="6"/>
  <c r="V2806" i="6"/>
  <c r="V2807" i="6"/>
  <c r="V2808" i="6"/>
  <c r="V2809" i="6"/>
  <c r="V2810" i="6"/>
  <c r="V2811" i="6"/>
  <c r="V2812" i="6"/>
  <c r="V2813" i="6"/>
  <c r="V2814" i="6"/>
  <c r="V2815" i="6"/>
  <c r="V2816" i="6"/>
  <c r="V2817" i="6"/>
  <c r="V2818" i="6"/>
  <c r="V2819" i="6"/>
  <c r="V2820" i="6"/>
  <c r="V2821" i="6"/>
  <c r="V2822" i="6"/>
  <c r="V2823" i="6"/>
  <c r="V2824" i="6"/>
  <c r="V2825" i="6"/>
  <c r="V2826" i="6"/>
  <c r="V2827" i="6"/>
  <c r="V2828" i="6"/>
  <c r="V2829" i="6"/>
  <c r="V2830" i="6"/>
  <c r="V2831" i="6"/>
  <c r="V2832" i="6"/>
  <c r="V2833" i="6"/>
  <c r="V2834" i="6"/>
  <c r="V2835" i="6"/>
  <c r="V2836" i="6"/>
  <c r="V2837" i="6"/>
  <c r="V2838" i="6"/>
  <c r="V2839" i="6"/>
  <c r="V2840" i="6"/>
  <c r="V2841" i="6"/>
  <c r="V2842" i="6"/>
  <c r="V2843" i="6"/>
  <c r="V2844" i="6"/>
  <c r="V2845" i="6"/>
  <c r="V2846" i="6"/>
  <c r="V2847" i="6"/>
  <c r="V2848" i="6"/>
  <c r="V2849" i="6"/>
  <c r="V2850" i="6"/>
  <c r="V2851" i="6"/>
  <c r="V2852" i="6"/>
  <c r="V2853" i="6"/>
  <c r="V2854" i="6"/>
  <c r="V2855" i="6"/>
  <c r="V2856" i="6"/>
  <c r="V2857" i="6"/>
  <c r="V2858" i="6"/>
  <c r="V2859" i="6"/>
  <c r="V2860" i="6"/>
  <c r="V2861" i="6"/>
  <c r="V2862" i="6"/>
  <c r="V2863" i="6"/>
  <c r="V2864" i="6"/>
  <c r="V2865" i="6"/>
  <c r="V2866" i="6"/>
  <c r="V2867" i="6"/>
  <c r="V2868" i="6"/>
  <c r="V2869" i="6"/>
  <c r="V2870" i="6"/>
  <c r="V2871" i="6"/>
  <c r="V2872" i="6"/>
  <c r="V2873" i="6"/>
  <c r="V2874" i="6"/>
  <c r="V2875" i="6"/>
  <c r="V2876" i="6"/>
  <c r="V2877" i="6"/>
  <c r="V2878" i="6"/>
  <c r="V2879" i="6"/>
  <c r="V2880" i="6"/>
  <c r="V2881" i="6"/>
  <c r="V2882" i="6"/>
  <c r="V2883" i="6"/>
  <c r="V2884" i="6"/>
  <c r="V2885" i="6"/>
  <c r="V2886" i="6"/>
  <c r="V2887" i="6"/>
  <c r="V2888" i="6"/>
  <c r="V2889" i="6"/>
  <c r="V2890" i="6"/>
  <c r="V2891" i="6"/>
  <c r="V2892" i="6"/>
  <c r="V2893" i="6"/>
  <c r="V2894" i="6"/>
  <c r="V2895" i="6"/>
  <c r="V2896" i="6"/>
  <c r="V2897" i="6"/>
  <c r="V2898" i="6"/>
  <c r="V2899" i="6"/>
  <c r="V2900" i="6"/>
  <c r="V2901" i="6"/>
  <c r="V2902" i="6"/>
  <c r="V2903" i="6"/>
  <c r="V2904" i="6"/>
  <c r="V2905" i="6"/>
  <c r="V2906" i="6"/>
  <c r="V2907" i="6"/>
  <c r="V2908" i="6"/>
  <c r="V2909" i="6"/>
  <c r="V2910" i="6"/>
  <c r="V2911" i="6"/>
  <c r="V2912" i="6"/>
  <c r="V2913" i="6"/>
  <c r="V2914" i="6"/>
  <c r="V2915" i="6"/>
  <c r="V2916" i="6"/>
  <c r="V2917" i="6"/>
  <c r="V2918" i="6"/>
  <c r="V2919" i="6"/>
  <c r="V2920" i="6"/>
  <c r="V2921" i="6"/>
  <c r="V2922" i="6"/>
  <c r="V2923" i="6"/>
  <c r="V2924" i="6"/>
  <c r="V2925" i="6"/>
  <c r="V2926" i="6"/>
  <c r="V2927" i="6"/>
  <c r="V2928" i="6"/>
  <c r="V2929" i="6"/>
  <c r="V2930" i="6"/>
  <c r="V2931" i="6"/>
  <c r="V2932" i="6"/>
  <c r="V2933" i="6"/>
  <c r="V2934" i="6"/>
  <c r="V2935" i="6"/>
  <c r="V2936" i="6"/>
  <c r="V2937" i="6"/>
  <c r="V2938" i="6"/>
  <c r="V2939" i="6"/>
  <c r="V2940" i="6"/>
  <c r="V2941" i="6"/>
  <c r="V2942" i="6"/>
  <c r="V2943" i="6"/>
  <c r="V2944" i="6"/>
  <c r="V2945" i="6"/>
  <c r="V2946" i="6"/>
  <c r="V2947" i="6"/>
  <c r="V2948" i="6"/>
  <c r="V2949" i="6"/>
  <c r="V2950" i="6"/>
  <c r="V2951" i="6"/>
  <c r="V2952" i="6"/>
  <c r="V2953" i="6"/>
  <c r="V2954" i="6"/>
  <c r="V2955" i="6"/>
  <c r="V2956" i="6"/>
  <c r="V2957" i="6"/>
  <c r="V2958" i="6"/>
  <c r="V2959" i="6"/>
  <c r="V2960" i="6"/>
  <c r="V2961" i="6"/>
  <c r="V2962" i="6"/>
  <c r="V2963" i="6"/>
  <c r="V2964" i="6"/>
  <c r="V2965" i="6"/>
  <c r="V2966" i="6"/>
  <c r="V2967" i="6"/>
  <c r="V2968" i="6"/>
  <c r="V2969" i="6"/>
  <c r="V2970" i="6"/>
  <c r="V2971" i="6"/>
  <c r="V2972" i="6"/>
  <c r="V2973" i="6"/>
  <c r="V2974" i="6"/>
  <c r="V2975" i="6"/>
  <c r="V2976" i="6"/>
  <c r="V2977" i="6"/>
  <c r="V2978" i="6"/>
  <c r="V2979" i="6"/>
  <c r="V2980" i="6"/>
  <c r="V2981" i="6"/>
  <c r="V2982" i="6"/>
  <c r="V2983" i="6"/>
  <c r="V2984" i="6"/>
  <c r="V2985" i="6"/>
  <c r="V2986" i="6"/>
  <c r="V2987" i="6"/>
  <c r="V2988" i="6"/>
  <c r="V2989" i="6"/>
  <c r="V2990" i="6"/>
  <c r="V2991" i="6"/>
  <c r="V2992" i="6"/>
  <c r="V2993" i="6"/>
  <c r="V2994" i="6"/>
  <c r="V2995" i="6"/>
  <c r="V2996" i="6"/>
  <c r="V2997" i="6"/>
  <c r="V2998" i="6"/>
  <c r="V2999" i="6"/>
  <c r="V3000" i="6"/>
  <c r="V3001" i="6"/>
  <c r="V3002" i="6"/>
  <c r="V3003" i="6"/>
  <c r="V3004" i="6"/>
  <c r="V3005" i="6"/>
  <c r="V3006" i="6"/>
  <c r="V3007" i="6"/>
  <c r="V3008" i="6"/>
  <c r="V3009" i="6"/>
  <c r="V3010" i="6"/>
  <c r="V3011" i="6"/>
  <c r="V3012" i="6"/>
  <c r="V3013" i="6"/>
  <c r="V3014" i="6"/>
  <c r="V3015" i="6"/>
  <c r="V3016" i="6"/>
  <c r="V3017" i="6"/>
  <c r="V3018" i="6"/>
  <c r="V3019" i="6"/>
  <c r="V3020" i="6"/>
  <c r="V3021" i="6"/>
  <c r="V3022" i="6"/>
  <c r="V3023" i="6"/>
  <c r="V3024" i="6"/>
  <c r="V3025" i="6"/>
  <c r="V3026" i="6"/>
  <c r="V3027" i="6"/>
  <c r="V3028" i="6"/>
  <c r="V3029" i="6"/>
  <c r="V3030" i="6"/>
  <c r="V3031" i="6"/>
  <c r="V3032" i="6"/>
  <c r="V3033" i="6"/>
  <c r="V3034" i="6"/>
  <c r="V3035" i="6"/>
  <c r="V3036" i="6"/>
  <c r="V3037" i="6"/>
  <c r="V3038" i="6"/>
  <c r="V3039" i="6"/>
  <c r="V3040" i="6"/>
  <c r="V3041" i="6"/>
  <c r="V3042" i="6"/>
  <c r="V3043" i="6"/>
  <c r="V3044" i="6"/>
  <c r="V3045" i="6"/>
  <c r="V3046" i="6"/>
  <c r="V3047" i="6"/>
  <c r="V3048" i="6"/>
  <c r="V3049" i="6"/>
  <c r="V3050" i="6"/>
  <c r="V3051" i="6"/>
  <c r="V3052" i="6"/>
  <c r="V3053" i="6"/>
  <c r="V3054" i="6"/>
  <c r="V3055" i="6"/>
  <c r="V3056" i="6"/>
  <c r="V3057" i="6"/>
  <c r="V3058" i="6"/>
  <c r="V3059" i="6"/>
  <c r="V3060" i="6"/>
  <c r="V3061" i="6"/>
  <c r="V3062" i="6"/>
  <c r="V3063" i="6"/>
  <c r="V3064" i="6"/>
  <c r="V3065" i="6"/>
  <c r="V3066" i="6"/>
  <c r="V3067" i="6"/>
  <c r="V3068" i="6"/>
  <c r="V3069" i="6"/>
  <c r="V3070" i="6"/>
  <c r="V3071" i="6"/>
  <c r="V3072" i="6"/>
  <c r="V3073" i="6"/>
  <c r="V3074" i="6"/>
  <c r="V3075" i="6"/>
  <c r="V3076" i="6"/>
  <c r="V3077" i="6"/>
  <c r="V3078" i="6"/>
  <c r="V3079" i="6"/>
  <c r="V3080" i="6"/>
  <c r="V3081" i="6"/>
  <c r="V3082" i="6"/>
  <c r="V3083" i="6"/>
  <c r="V3084" i="6"/>
  <c r="V3085" i="6"/>
  <c r="V3086" i="6"/>
  <c r="V3087" i="6"/>
  <c r="V3088" i="6"/>
  <c r="V3089" i="6"/>
  <c r="V3090" i="6"/>
  <c r="V3091" i="6"/>
  <c r="V3092" i="6"/>
  <c r="V3093" i="6"/>
  <c r="V3094" i="6"/>
  <c r="V3095" i="6"/>
  <c r="V3096" i="6"/>
  <c r="V3097" i="6"/>
  <c r="V3098" i="6"/>
  <c r="V3099" i="6"/>
  <c r="V3100" i="6"/>
  <c r="V3101" i="6"/>
  <c r="V3102" i="6"/>
  <c r="V3103" i="6"/>
  <c r="V3104" i="6"/>
  <c r="V3105" i="6"/>
  <c r="V3106" i="6"/>
  <c r="V3107" i="6"/>
  <c r="V3108" i="6"/>
  <c r="V3109" i="6"/>
  <c r="V3110" i="6"/>
  <c r="V3111" i="6"/>
  <c r="V3112" i="6"/>
  <c r="V3113" i="6"/>
  <c r="V3114" i="6"/>
  <c r="V3115" i="6"/>
  <c r="V3116" i="6"/>
  <c r="V3117" i="6"/>
  <c r="V3118" i="6"/>
  <c r="V3119" i="6"/>
  <c r="V3120" i="6"/>
  <c r="V3121" i="6"/>
  <c r="V3122" i="6"/>
  <c r="V3123" i="6"/>
  <c r="V3124" i="6"/>
  <c r="V3125" i="6"/>
  <c r="V3126" i="6"/>
  <c r="V3127" i="6"/>
  <c r="V3128" i="6"/>
  <c r="V3129" i="6"/>
  <c r="V3130" i="6"/>
  <c r="V3131" i="6"/>
  <c r="V3132" i="6"/>
  <c r="V3133" i="6"/>
  <c r="V3134" i="6"/>
  <c r="V3135" i="6"/>
  <c r="V3136" i="6"/>
  <c r="V3137" i="6"/>
  <c r="V3138" i="6"/>
  <c r="V3139" i="6"/>
  <c r="V3140" i="6"/>
  <c r="V3141" i="6"/>
  <c r="V3142" i="6"/>
  <c r="V3143" i="6"/>
  <c r="V3144" i="6"/>
  <c r="V3145" i="6"/>
  <c r="V3146" i="6"/>
  <c r="V3147" i="6"/>
  <c r="V3148" i="6"/>
  <c r="V3149" i="6"/>
  <c r="V3150" i="6"/>
  <c r="V3151" i="6"/>
  <c r="V3152" i="6"/>
  <c r="V3153" i="6"/>
  <c r="V3154" i="6"/>
  <c r="V3155" i="6"/>
  <c r="V3156" i="6"/>
  <c r="V3157" i="6"/>
  <c r="V3158" i="6"/>
  <c r="V3159" i="6"/>
  <c r="V3160" i="6"/>
  <c r="V3161" i="6"/>
  <c r="V3162" i="6"/>
  <c r="V3163" i="6"/>
  <c r="V3164" i="6"/>
  <c r="V3165" i="6"/>
  <c r="V3166" i="6"/>
  <c r="V3167" i="6"/>
  <c r="V3168" i="6"/>
  <c r="V3169" i="6"/>
  <c r="V3170" i="6"/>
  <c r="V3171" i="6"/>
  <c r="V3172" i="6"/>
  <c r="V3173" i="6"/>
  <c r="V3174" i="6"/>
  <c r="V3175" i="6"/>
  <c r="V3176" i="6"/>
  <c r="V3177" i="6"/>
  <c r="V3178" i="6"/>
  <c r="V3179" i="6"/>
  <c r="V3180" i="6"/>
  <c r="V3181" i="6"/>
  <c r="V3182" i="6"/>
  <c r="V3183" i="6"/>
  <c r="V3184" i="6"/>
  <c r="V3185" i="6"/>
  <c r="V3186" i="6"/>
  <c r="V3187" i="6"/>
  <c r="V3188" i="6"/>
  <c r="V3189" i="6"/>
  <c r="V3190" i="6"/>
  <c r="V3191" i="6"/>
  <c r="V3192" i="6"/>
  <c r="V3193" i="6"/>
  <c r="V3194" i="6"/>
  <c r="V3195" i="6"/>
  <c r="V3196" i="6"/>
  <c r="V3197" i="6"/>
  <c r="V3198" i="6"/>
  <c r="V3199" i="6"/>
  <c r="V3200" i="6"/>
  <c r="V3201" i="6"/>
  <c r="V3202" i="6"/>
  <c r="V3203" i="6"/>
  <c r="V3204" i="6"/>
  <c r="V3205" i="6"/>
  <c r="V3206" i="6"/>
  <c r="V3207" i="6"/>
  <c r="V3208" i="6"/>
  <c r="V3209" i="6"/>
  <c r="V3210" i="6"/>
  <c r="V3211" i="6"/>
  <c r="V3212" i="6"/>
  <c r="V3213" i="6"/>
  <c r="V3214" i="6"/>
  <c r="V3215" i="6"/>
  <c r="V3216" i="6"/>
  <c r="V3217" i="6"/>
  <c r="V3218" i="6"/>
  <c r="V3219" i="6"/>
  <c r="V3220" i="6"/>
  <c r="V3221" i="6"/>
  <c r="V3222" i="6"/>
  <c r="V3223" i="6"/>
  <c r="V3224" i="6"/>
  <c r="V3225" i="6"/>
  <c r="V3226" i="6"/>
  <c r="V3227" i="6"/>
  <c r="V3228" i="6"/>
  <c r="V3229" i="6"/>
  <c r="V3230" i="6"/>
  <c r="V3231" i="6"/>
  <c r="V3232" i="6"/>
  <c r="V3233" i="6"/>
  <c r="V3234" i="6"/>
  <c r="V3235" i="6"/>
  <c r="V3236" i="6"/>
  <c r="V3237" i="6"/>
  <c r="V3238" i="6"/>
  <c r="V3239" i="6"/>
  <c r="V3240" i="6"/>
  <c r="V3241" i="6"/>
  <c r="V3242" i="6"/>
  <c r="V3243" i="6"/>
  <c r="V3244" i="6"/>
  <c r="V3245" i="6"/>
  <c r="V3246" i="6"/>
  <c r="V3247" i="6"/>
  <c r="V3248" i="6"/>
  <c r="V3249" i="6"/>
  <c r="V3250" i="6"/>
  <c r="V3251" i="6"/>
  <c r="V3252" i="6"/>
  <c r="V3253" i="6"/>
  <c r="V3254" i="6"/>
  <c r="V3255" i="6"/>
  <c r="V3256" i="6"/>
  <c r="V3257" i="6"/>
  <c r="V3258" i="6"/>
  <c r="V3259" i="6"/>
  <c r="V3260" i="6"/>
  <c r="V3261" i="6"/>
  <c r="V3262" i="6"/>
  <c r="V3263" i="6"/>
  <c r="V3264" i="6"/>
  <c r="V3265" i="6"/>
  <c r="V3266" i="6"/>
  <c r="V3267" i="6"/>
  <c r="V3268" i="6"/>
  <c r="V3269" i="6"/>
  <c r="V3270" i="6"/>
  <c r="V3271" i="6"/>
  <c r="V3272" i="6"/>
  <c r="V3273" i="6"/>
  <c r="V3274" i="6"/>
  <c r="V3275" i="6"/>
  <c r="V3276" i="6"/>
  <c r="V3277" i="6"/>
  <c r="V3278" i="6"/>
  <c r="V3279" i="6"/>
  <c r="V3280" i="6"/>
  <c r="V3281" i="6"/>
  <c r="V3282" i="6"/>
  <c r="V3283" i="6"/>
  <c r="V3284" i="6"/>
  <c r="V3285" i="6"/>
  <c r="V3286" i="6"/>
  <c r="V3287" i="6"/>
  <c r="V3288" i="6"/>
  <c r="V3289" i="6"/>
  <c r="V3290" i="6"/>
  <c r="V3291" i="6"/>
  <c r="V3292" i="6"/>
  <c r="V3293" i="6"/>
  <c r="V3294" i="6"/>
  <c r="V3295" i="6"/>
  <c r="V3296" i="6"/>
  <c r="V3297" i="6"/>
  <c r="V3298" i="6"/>
  <c r="V3299" i="6"/>
  <c r="V3300" i="6"/>
  <c r="V3301" i="6"/>
  <c r="V3302" i="6"/>
  <c r="V3303" i="6"/>
  <c r="V3304" i="6"/>
  <c r="V3305" i="6"/>
  <c r="V3306" i="6"/>
  <c r="V3307" i="6"/>
  <c r="V3308" i="6"/>
  <c r="V3309" i="6"/>
  <c r="V3310" i="6"/>
  <c r="V3311" i="6"/>
  <c r="V3312" i="6"/>
  <c r="V3313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1624" i="8"/>
  <c r="D1625" i="8"/>
  <c r="D1626" i="8"/>
  <c r="D1627" i="8"/>
  <c r="D1628" i="8"/>
  <c r="D1629" i="8"/>
  <c r="D1630" i="8"/>
  <c r="D1631" i="8"/>
  <c r="D1632" i="8"/>
  <c r="D1633" i="8"/>
  <c r="D1634" i="8"/>
  <c r="D1635" i="8"/>
  <c r="D1636" i="8"/>
  <c r="D1637" i="8"/>
  <c r="D1638" i="8"/>
  <c r="D1639" i="8"/>
  <c r="D1640" i="8"/>
  <c r="D1641" i="8"/>
  <c r="D1642" i="8"/>
  <c r="D1643" i="8"/>
  <c r="D1644" i="8"/>
  <c r="D1645" i="8"/>
  <c r="D1646" i="8"/>
  <c r="D1647" i="8"/>
  <c r="D1648" i="8"/>
  <c r="D1649" i="8"/>
  <c r="D1650" i="8"/>
  <c r="D1651" i="8"/>
  <c r="D1652" i="8"/>
  <c r="D1653" i="8"/>
  <c r="D1654" i="8"/>
  <c r="D1655" i="8"/>
  <c r="D1656" i="8"/>
  <c r="D1657" i="8"/>
  <c r="D1658" i="8"/>
  <c r="D1659" i="8"/>
  <c r="D1660" i="8"/>
  <c r="D1661" i="8"/>
  <c r="D1662" i="8"/>
  <c r="D1663" i="8"/>
  <c r="D1664" i="8"/>
  <c r="D1665" i="8"/>
  <c r="D1666" i="8"/>
  <c r="D1667" i="8"/>
  <c r="D1668" i="8"/>
  <c r="D1669" i="8"/>
  <c r="D1670" i="8"/>
  <c r="D1671" i="8"/>
  <c r="D1672" i="8"/>
  <c r="D1673" i="8"/>
  <c r="D1674" i="8"/>
  <c r="D1675" i="8"/>
  <c r="D1676" i="8"/>
  <c r="D1677" i="8"/>
  <c r="D1678" i="8"/>
  <c r="D1679" i="8"/>
  <c r="D1680" i="8"/>
  <c r="D1681" i="8"/>
  <c r="D1682" i="8"/>
  <c r="D1683" i="8"/>
  <c r="D1684" i="8"/>
  <c r="D1685" i="8"/>
  <c r="D1686" i="8"/>
  <c r="D1687" i="8"/>
  <c r="D1688" i="8"/>
  <c r="D1689" i="8"/>
  <c r="D1690" i="8"/>
  <c r="D1691" i="8"/>
  <c r="D1692" i="8"/>
  <c r="D1693" i="8"/>
  <c r="D1694" i="8"/>
  <c r="D1695" i="8"/>
  <c r="D1696" i="8"/>
  <c r="D1697" i="8"/>
  <c r="D1698" i="8"/>
  <c r="D1699" i="8"/>
  <c r="D1700" i="8"/>
  <c r="D1701" i="8"/>
  <c r="D1702" i="8"/>
  <c r="D1703" i="8"/>
  <c r="D1704" i="8"/>
  <c r="D1705" i="8"/>
  <c r="D1706" i="8"/>
  <c r="D1707" i="8"/>
  <c r="D1708" i="8"/>
  <c r="D1709" i="8"/>
  <c r="D1710" i="8"/>
  <c r="D1711" i="8"/>
  <c r="D1712" i="8"/>
  <c r="D1713" i="8"/>
  <c r="D1714" i="8"/>
  <c r="D1715" i="8"/>
  <c r="D1716" i="8"/>
  <c r="D1717" i="8"/>
  <c r="D1718" i="8"/>
  <c r="D1719" i="8"/>
  <c r="D1720" i="8"/>
  <c r="D1721" i="8"/>
  <c r="D1722" i="8"/>
  <c r="D1723" i="8"/>
  <c r="D1724" i="8"/>
  <c r="D1725" i="8"/>
  <c r="D1726" i="8"/>
  <c r="D1727" i="8"/>
  <c r="D1728" i="8"/>
  <c r="D1729" i="8"/>
  <c r="D1730" i="8"/>
  <c r="D1731" i="8"/>
  <c r="D1732" i="8"/>
  <c r="D1733" i="8"/>
  <c r="D1734" i="8"/>
  <c r="D1735" i="8"/>
  <c r="D1736" i="8"/>
  <c r="D1737" i="8"/>
  <c r="D1738" i="8"/>
  <c r="D1739" i="8"/>
  <c r="D1740" i="8"/>
  <c r="D1741" i="8"/>
  <c r="D1742" i="8"/>
  <c r="D1743" i="8"/>
  <c r="D1744" i="8"/>
  <c r="D1745" i="8"/>
  <c r="D1746" i="8"/>
  <c r="D1747" i="8"/>
  <c r="D1748" i="8"/>
  <c r="D1749" i="8"/>
  <c r="D1750" i="8"/>
  <c r="D1751" i="8"/>
  <c r="D1752" i="8"/>
  <c r="D1753" i="8"/>
  <c r="D1754" i="8"/>
  <c r="D1755" i="8"/>
  <c r="D1756" i="8"/>
  <c r="D1757" i="8"/>
  <c r="D1758" i="8"/>
  <c r="D1759" i="8"/>
  <c r="D1760" i="8"/>
  <c r="D1761" i="8"/>
  <c r="D1762" i="8"/>
  <c r="D1763" i="8"/>
  <c r="D1764" i="8"/>
  <c r="D1765" i="8"/>
  <c r="D1766" i="8"/>
  <c r="D1767" i="8"/>
  <c r="D1768" i="8"/>
  <c r="D1769" i="8"/>
  <c r="D1770" i="8"/>
  <c r="D1771" i="8"/>
  <c r="D1772" i="8"/>
  <c r="D1773" i="8"/>
  <c r="D1774" i="8"/>
  <c r="D1775" i="8"/>
  <c r="D1776" i="8"/>
  <c r="D1777" i="8"/>
  <c r="D1778" i="8"/>
  <c r="D1779" i="8"/>
  <c r="D1780" i="8"/>
  <c r="D1781" i="8"/>
  <c r="D1782" i="8"/>
  <c r="D1783" i="8"/>
  <c r="D1784" i="8"/>
  <c r="D1785" i="8"/>
  <c r="D1786" i="8"/>
  <c r="D1787" i="8"/>
  <c r="D1788" i="8"/>
  <c r="D1789" i="8"/>
  <c r="D1790" i="8"/>
  <c r="D1791" i="8"/>
  <c r="D1792" i="8"/>
  <c r="D1793" i="8"/>
  <c r="D1794" i="8"/>
  <c r="D1795" i="8"/>
  <c r="D1796" i="8"/>
  <c r="D1797" i="8"/>
  <c r="D1798" i="8"/>
  <c r="D1799" i="8"/>
  <c r="D1800" i="8"/>
  <c r="D1801" i="8"/>
  <c r="D1802" i="8"/>
  <c r="D1803" i="8"/>
  <c r="D1804" i="8"/>
  <c r="D1805" i="8"/>
  <c r="D1806" i="8"/>
  <c r="D1807" i="8"/>
  <c r="D1808" i="8"/>
  <c r="D1809" i="8"/>
  <c r="D1810" i="8"/>
  <c r="D1811" i="8"/>
  <c r="D1812" i="8"/>
  <c r="D1813" i="8"/>
  <c r="D1814" i="8"/>
  <c r="D1815" i="8"/>
  <c r="D1816" i="8"/>
  <c r="D1817" i="8"/>
  <c r="D1818" i="8"/>
  <c r="D1819" i="8"/>
  <c r="D1820" i="8"/>
  <c r="D1821" i="8"/>
  <c r="D1822" i="8"/>
  <c r="D1823" i="8"/>
  <c r="D1824" i="8"/>
  <c r="D1825" i="8"/>
  <c r="D1826" i="8"/>
  <c r="D1827" i="8"/>
  <c r="D1828" i="8"/>
  <c r="D1829" i="8"/>
  <c r="D1830" i="8"/>
  <c r="D1831" i="8"/>
  <c r="D1832" i="8"/>
  <c r="D1833" i="8"/>
  <c r="D1834" i="8"/>
  <c r="D1835" i="8"/>
  <c r="D1836" i="8"/>
  <c r="D1837" i="8"/>
  <c r="D1838" i="8"/>
  <c r="D1839" i="8"/>
  <c r="D1840" i="8"/>
  <c r="D1841" i="8"/>
  <c r="D1842" i="8"/>
  <c r="D1843" i="8"/>
  <c r="D1844" i="8"/>
  <c r="D1845" i="8"/>
  <c r="D1846" i="8"/>
  <c r="D1847" i="8"/>
  <c r="D1848" i="8"/>
  <c r="D1849" i="8"/>
  <c r="D1850" i="8"/>
  <c r="D1851" i="8"/>
  <c r="D1852" i="8"/>
  <c r="D1853" i="8"/>
  <c r="D1854" i="8"/>
  <c r="D1855" i="8"/>
  <c r="D1856" i="8"/>
  <c r="D1857" i="8"/>
  <c r="D1858" i="8"/>
  <c r="D1859" i="8"/>
  <c r="D1860" i="8"/>
  <c r="D1861" i="8"/>
  <c r="D1862" i="8"/>
  <c r="D1863" i="8"/>
  <c r="D1864" i="8"/>
  <c r="D1865" i="8"/>
  <c r="D1866" i="8"/>
  <c r="D1867" i="8"/>
  <c r="D1868" i="8"/>
  <c r="D1869" i="8"/>
  <c r="D1870" i="8"/>
  <c r="D1871" i="8"/>
  <c r="D1872" i="8"/>
  <c r="D1873" i="8"/>
  <c r="D1874" i="8"/>
  <c r="D1875" i="8"/>
  <c r="D1876" i="8"/>
  <c r="D1877" i="8"/>
  <c r="D1878" i="8"/>
  <c r="D1879" i="8"/>
  <c r="D1880" i="8"/>
  <c r="D1881" i="8"/>
  <c r="D1882" i="8"/>
  <c r="D1883" i="8"/>
  <c r="D1884" i="8"/>
  <c r="D1885" i="8"/>
  <c r="D1886" i="8"/>
  <c r="D1887" i="8"/>
  <c r="D1888" i="8"/>
  <c r="D1889" i="8"/>
  <c r="D1890" i="8"/>
  <c r="D1891" i="8"/>
  <c r="D1892" i="8"/>
  <c r="D1893" i="8"/>
  <c r="D1894" i="8"/>
  <c r="D1895" i="8"/>
  <c r="D1896" i="8"/>
  <c r="D1897" i="8"/>
  <c r="D1898" i="8"/>
  <c r="D1899" i="8"/>
  <c r="D1900" i="8"/>
  <c r="D1901" i="8"/>
  <c r="D1902" i="8"/>
  <c r="D1903" i="8"/>
  <c r="D1904" i="8"/>
  <c r="D1905" i="8"/>
  <c r="D1906" i="8"/>
  <c r="D1907" i="8"/>
  <c r="D1908" i="8"/>
  <c r="D1909" i="8"/>
  <c r="D1910" i="8"/>
  <c r="D1911" i="8"/>
  <c r="D1912" i="8"/>
  <c r="D1913" i="8"/>
  <c r="D1914" i="8"/>
  <c r="D1915" i="8"/>
  <c r="D1916" i="8"/>
  <c r="D1917" i="8"/>
  <c r="D1918" i="8"/>
  <c r="D1919" i="8"/>
  <c r="D1920" i="8"/>
  <c r="D1921" i="8"/>
  <c r="D1922" i="8"/>
  <c r="D1923" i="8"/>
  <c r="D1924" i="8"/>
  <c r="D1925" i="8"/>
  <c r="D1926" i="8"/>
  <c r="D1927" i="8"/>
  <c r="D1928" i="8"/>
  <c r="D1929" i="8"/>
  <c r="D1930" i="8"/>
  <c r="D1931" i="8"/>
  <c r="D1932" i="8"/>
  <c r="D1933" i="8"/>
  <c r="D1934" i="8"/>
  <c r="D1935" i="8"/>
  <c r="D1936" i="8"/>
  <c r="D1937" i="8"/>
  <c r="D1938" i="8"/>
  <c r="D1939" i="8"/>
  <c r="D1940" i="8"/>
  <c r="D1941" i="8"/>
  <c r="D1942" i="8"/>
  <c r="D1943" i="8"/>
  <c r="D1944" i="8"/>
  <c r="D1945" i="8"/>
  <c r="D1946" i="8"/>
  <c r="D1947" i="8"/>
  <c r="D1948" i="8"/>
  <c r="D1949" i="8"/>
  <c r="D1950" i="8"/>
  <c r="D1951" i="8"/>
  <c r="D1952" i="8"/>
  <c r="D1953" i="8"/>
  <c r="D1954" i="8"/>
  <c r="D1955" i="8"/>
  <c r="D1956" i="8"/>
  <c r="D1957" i="8"/>
  <c r="D1958" i="8"/>
  <c r="D1959" i="8"/>
  <c r="D1960" i="8"/>
  <c r="D1961" i="8"/>
  <c r="D1962" i="8"/>
  <c r="D1963" i="8"/>
  <c r="D1964" i="8"/>
  <c r="D1965" i="8"/>
  <c r="D1966" i="8"/>
  <c r="D1967" i="8"/>
  <c r="D1968" i="8"/>
  <c r="D1969" i="8"/>
  <c r="D1970" i="8"/>
  <c r="D1971" i="8"/>
  <c r="D1972" i="8"/>
  <c r="D1973" i="8"/>
  <c r="D1974" i="8"/>
  <c r="D1975" i="8"/>
  <c r="D1976" i="8"/>
  <c r="D1977" i="8"/>
  <c r="D1978" i="8"/>
  <c r="D1979" i="8"/>
  <c r="D1980" i="8"/>
  <c r="D1981" i="8"/>
  <c r="D1982" i="8"/>
  <c r="D1983" i="8"/>
  <c r="D1984" i="8"/>
  <c r="D1985" i="8"/>
  <c r="D1986" i="8"/>
  <c r="D1987" i="8"/>
  <c r="D1988" i="8"/>
  <c r="D1989" i="8"/>
  <c r="D1990" i="8"/>
  <c r="D1991" i="8"/>
  <c r="D1992" i="8"/>
  <c r="D1993" i="8"/>
  <c r="E6" i="3"/>
  <c r="D6" i="3"/>
  <c r="C6" i="3"/>
  <c r="B6" i="3"/>
  <c r="E5" i="3"/>
  <c r="D5" i="3"/>
  <c r="F3" i="3"/>
  <c r="F4" i="3"/>
  <c r="M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2002" i="6"/>
  <c r="M2003" i="6"/>
  <c r="M2004" i="6"/>
  <c r="M2005" i="6"/>
  <c r="M2006" i="6"/>
  <c r="M2007" i="6"/>
  <c r="M2008" i="6"/>
  <c r="M2009" i="6"/>
  <c r="M2010" i="6"/>
  <c r="M2011" i="6"/>
  <c r="M2012" i="6"/>
  <c r="M2013" i="6"/>
  <c r="M2014" i="6"/>
  <c r="M2015" i="6"/>
  <c r="M2016" i="6"/>
  <c r="M2017" i="6"/>
  <c r="M2018" i="6"/>
  <c r="M2019" i="6"/>
  <c r="M2020" i="6"/>
  <c r="M2021" i="6"/>
  <c r="M2022" i="6"/>
  <c r="M2023" i="6"/>
  <c r="M2024" i="6"/>
  <c r="M2025" i="6"/>
  <c r="M2026" i="6"/>
  <c r="M2027" i="6"/>
  <c r="M2028" i="6"/>
  <c r="M2029" i="6"/>
  <c r="M2030" i="6"/>
  <c r="M2031" i="6"/>
  <c r="M2032" i="6"/>
  <c r="M2033" i="6"/>
  <c r="M2034" i="6"/>
  <c r="M2035" i="6"/>
  <c r="M2036" i="6"/>
  <c r="M2037" i="6"/>
  <c r="M2038" i="6"/>
  <c r="M2039" i="6"/>
  <c r="M2040" i="6"/>
  <c r="M2041" i="6"/>
  <c r="M2042" i="6"/>
  <c r="M2043" i="6"/>
  <c r="M2044" i="6"/>
  <c r="M2045" i="6"/>
  <c r="M2046" i="6"/>
  <c r="M2047" i="6"/>
  <c r="M2048" i="6"/>
  <c r="M2049" i="6"/>
  <c r="M2050" i="6"/>
  <c r="M2051" i="6"/>
  <c r="M2052" i="6"/>
  <c r="M2053" i="6"/>
  <c r="M2054" i="6"/>
  <c r="M2055" i="6"/>
  <c r="M2056" i="6"/>
  <c r="M2057" i="6"/>
  <c r="M2058" i="6"/>
  <c r="M2059" i="6"/>
  <c r="M2060" i="6"/>
  <c r="M2061" i="6"/>
  <c r="M2062" i="6"/>
  <c r="M2063" i="6"/>
  <c r="M2064" i="6"/>
  <c r="M2065" i="6"/>
  <c r="M2066" i="6"/>
  <c r="M2067" i="6"/>
  <c r="M2068" i="6"/>
  <c r="M2069" i="6"/>
  <c r="M2070" i="6"/>
  <c r="M2071" i="6"/>
  <c r="M2072" i="6"/>
  <c r="M2073" i="6"/>
  <c r="M2074" i="6"/>
  <c r="M2075" i="6"/>
  <c r="M2076" i="6"/>
  <c r="M2077" i="6"/>
  <c r="M2078" i="6"/>
  <c r="M2079" i="6"/>
  <c r="M2080" i="6"/>
  <c r="M2081" i="6"/>
  <c r="M2082" i="6"/>
  <c r="M2083" i="6"/>
  <c r="M2084" i="6"/>
  <c r="M2085" i="6"/>
  <c r="M2086" i="6"/>
  <c r="M2087" i="6"/>
  <c r="M2088" i="6"/>
  <c r="M2089" i="6"/>
  <c r="M2090" i="6"/>
  <c r="M2091" i="6"/>
  <c r="M2092" i="6"/>
  <c r="M2093" i="6"/>
  <c r="M2094" i="6"/>
  <c r="M2095" i="6"/>
  <c r="M2096" i="6"/>
  <c r="M2097" i="6"/>
  <c r="M2098" i="6"/>
  <c r="M2099" i="6"/>
  <c r="M2100" i="6"/>
  <c r="M2101" i="6"/>
  <c r="M2102" i="6"/>
  <c r="M2103" i="6"/>
  <c r="M2104" i="6"/>
  <c r="M2105" i="6"/>
  <c r="M2106" i="6"/>
  <c r="M2107" i="6"/>
  <c r="M2108" i="6"/>
  <c r="M2109" i="6"/>
  <c r="M2110" i="6"/>
  <c r="M2111" i="6"/>
  <c r="M2112" i="6"/>
  <c r="M2113" i="6"/>
  <c r="M2114" i="6"/>
  <c r="M2115" i="6"/>
  <c r="M2116" i="6"/>
  <c r="M2117" i="6"/>
  <c r="M2118" i="6"/>
  <c r="M2119" i="6"/>
  <c r="M2120" i="6"/>
  <c r="M2121" i="6"/>
  <c r="M2122" i="6"/>
  <c r="M2123" i="6"/>
  <c r="M2124" i="6"/>
  <c r="M2125" i="6"/>
  <c r="M2126" i="6"/>
  <c r="M2127" i="6"/>
  <c r="M2128" i="6"/>
  <c r="M2129" i="6"/>
  <c r="M2130" i="6"/>
  <c r="M2131" i="6"/>
  <c r="M2132" i="6"/>
  <c r="M2133" i="6"/>
  <c r="M2134" i="6"/>
  <c r="M2135" i="6"/>
  <c r="M2136" i="6"/>
  <c r="M2137" i="6"/>
  <c r="M2138" i="6"/>
  <c r="M2139" i="6"/>
  <c r="M2140" i="6"/>
  <c r="M2141" i="6"/>
  <c r="M2142" i="6"/>
  <c r="M2143" i="6"/>
  <c r="M2144" i="6"/>
  <c r="M2145" i="6"/>
  <c r="M2146" i="6"/>
  <c r="M2147" i="6"/>
  <c r="M2148" i="6"/>
  <c r="M2149" i="6"/>
  <c r="M2150" i="6"/>
  <c r="M2151" i="6"/>
  <c r="M2152" i="6"/>
  <c r="M2153" i="6"/>
  <c r="M2154" i="6"/>
  <c r="M2155" i="6"/>
  <c r="M2156" i="6"/>
  <c r="M2157" i="6"/>
  <c r="M2158" i="6"/>
  <c r="M2159" i="6"/>
  <c r="M2160" i="6"/>
  <c r="M2161" i="6"/>
  <c r="M2162" i="6"/>
  <c r="M2163" i="6"/>
  <c r="M2164" i="6"/>
  <c r="M2165" i="6"/>
  <c r="M2166" i="6"/>
  <c r="M2167" i="6"/>
  <c r="M2168" i="6"/>
  <c r="M2169" i="6"/>
  <c r="M2170" i="6"/>
  <c r="M2171" i="6"/>
  <c r="M2172" i="6"/>
  <c r="M2173" i="6"/>
  <c r="M2174" i="6"/>
  <c r="M2175" i="6"/>
  <c r="M2176" i="6"/>
  <c r="M2177" i="6"/>
  <c r="M2178" i="6"/>
  <c r="M2179" i="6"/>
  <c r="M2180" i="6"/>
  <c r="M2181" i="6"/>
  <c r="M2182" i="6"/>
  <c r="M2183" i="6"/>
  <c r="M2184" i="6"/>
  <c r="M2185" i="6"/>
  <c r="M2186" i="6"/>
  <c r="M2187" i="6"/>
  <c r="M2188" i="6"/>
  <c r="M2189" i="6"/>
  <c r="M2190" i="6"/>
  <c r="M2191" i="6"/>
  <c r="M2192" i="6"/>
  <c r="M2193" i="6"/>
  <c r="M2194" i="6"/>
  <c r="M2195" i="6"/>
  <c r="M2196" i="6"/>
  <c r="M2197" i="6"/>
  <c r="M2198" i="6"/>
  <c r="M2199" i="6"/>
  <c r="M2200" i="6"/>
  <c r="M2201" i="6"/>
  <c r="M2202" i="6"/>
  <c r="M2203" i="6"/>
  <c r="M2204" i="6"/>
  <c r="M2205" i="6"/>
  <c r="M2206" i="6"/>
  <c r="M2207" i="6"/>
  <c r="M2208" i="6"/>
  <c r="M2209" i="6"/>
  <c r="M2210" i="6"/>
  <c r="M2211" i="6"/>
  <c r="M2212" i="6"/>
  <c r="M2213" i="6"/>
  <c r="M2214" i="6"/>
  <c r="M2215" i="6"/>
  <c r="M2216" i="6"/>
  <c r="M2217" i="6"/>
  <c r="M2218" i="6"/>
  <c r="M2219" i="6"/>
  <c r="M2220" i="6"/>
  <c r="M2221" i="6"/>
  <c r="M2222" i="6"/>
  <c r="M2223" i="6"/>
  <c r="M2224" i="6"/>
  <c r="M2225" i="6"/>
  <c r="M2226" i="6"/>
  <c r="M2227" i="6"/>
  <c r="M2228" i="6"/>
  <c r="M2229" i="6"/>
  <c r="M2230" i="6"/>
  <c r="M2231" i="6"/>
  <c r="M2232" i="6"/>
  <c r="M2233" i="6"/>
  <c r="M2234" i="6"/>
  <c r="M2235" i="6"/>
  <c r="M2236" i="6"/>
  <c r="M2237" i="6"/>
  <c r="M2238" i="6"/>
  <c r="M2239" i="6"/>
  <c r="M2240" i="6"/>
  <c r="M2241" i="6"/>
  <c r="M2242" i="6"/>
  <c r="M2243" i="6"/>
  <c r="M2244" i="6"/>
  <c r="M2245" i="6"/>
  <c r="M2246" i="6"/>
  <c r="M2247" i="6"/>
  <c r="M2248" i="6"/>
  <c r="M2249" i="6"/>
  <c r="M2250" i="6"/>
  <c r="M2251" i="6"/>
  <c r="M2252" i="6"/>
  <c r="M2253" i="6"/>
  <c r="M2254" i="6"/>
  <c r="M2255" i="6"/>
  <c r="M2256" i="6"/>
  <c r="M2257" i="6"/>
  <c r="M2258" i="6"/>
  <c r="M2259" i="6"/>
  <c r="M2260" i="6"/>
  <c r="M2261" i="6"/>
  <c r="M2262" i="6"/>
  <c r="M2263" i="6"/>
  <c r="M2264" i="6"/>
  <c r="M2265" i="6"/>
  <c r="M2266" i="6"/>
  <c r="M2267" i="6"/>
  <c r="M2268" i="6"/>
  <c r="M2269" i="6"/>
  <c r="M2270" i="6"/>
  <c r="M2271" i="6"/>
  <c r="M2272" i="6"/>
  <c r="M2273" i="6"/>
  <c r="M2274" i="6"/>
  <c r="M2275" i="6"/>
  <c r="M2276" i="6"/>
  <c r="M2277" i="6"/>
  <c r="M2278" i="6"/>
  <c r="M2279" i="6"/>
  <c r="M2280" i="6"/>
  <c r="M2281" i="6"/>
  <c r="M2282" i="6"/>
  <c r="M2283" i="6"/>
  <c r="M2284" i="6"/>
  <c r="M2285" i="6"/>
  <c r="M2286" i="6"/>
  <c r="M2287" i="6"/>
  <c r="M2288" i="6"/>
  <c r="M2289" i="6"/>
  <c r="M2290" i="6"/>
  <c r="M2291" i="6"/>
  <c r="M2292" i="6"/>
  <c r="M2293" i="6"/>
  <c r="M2294" i="6"/>
  <c r="M2295" i="6"/>
  <c r="M2296" i="6"/>
  <c r="M2297" i="6"/>
  <c r="M2298" i="6"/>
  <c r="M2299" i="6"/>
  <c r="M2300" i="6"/>
  <c r="M2301" i="6"/>
  <c r="M2302" i="6"/>
  <c r="M2303" i="6"/>
  <c r="M2304" i="6"/>
  <c r="M2305" i="6"/>
  <c r="M2306" i="6"/>
  <c r="M2307" i="6"/>
  <c r="M2308" i="6"/>
  <c r="M2309" i="6"/>
  <c r="M2310" i="6"/>
  <c r="M2311" i="6"/>
  <c r="M2312" i="6"/>
  <c r="M2313" i="6"/>
  <c r="M2314" i="6"/>
  <c r="M2315" i="6"/>
  <c r="M2316" i="6"/>
  <c r="M2317" i="6"/>
  <c r="M2318" i="6"/>
  <c r="M2319" i="6"/>
  <c r="M2320" i="6"/>
  <c r="M2321" i="6"/>
  <c r="M2322" i="6"/>
  <c r="M2323" i="6"/>
  <c r="M2324" i="6"/>
  <c r="M2325" i="6"/>
  <c r="M2326" i="6"/>
  <c r="M2327" i="6"/>
  <c r="M2328" i="6"/>
  <c r="M2329" i="6"/>
  <c r="M2330" i="6"/>
  <c r="M2331" i="6"/>
  <c r="M2332" i="6"/>
  <c r="M2333" i="6"/>
  <c r="M2334" i="6"/>
  <c r="M2335" i="6"/>
  <c r="M2336" i="6"/>
  <c r="M2337" i="6"/>
  <c r="M2338" i="6"/>
  <c r="M2339" i="6"/>
  <c r="M2340" i="6"/>
  <c r="M2341" i="6"/>
  <c r="M2342" i="6"/>
  <c r="M2343" i="6"/>
  <c r="M2344" i="6"/>
  <c r="M2345" i="6"/>
  <c r="M2346" i="6"/>
  <c r="M2347" i="6"/>
  <c r="M2348" i="6"/>
  <c r="M2349" i="6"/>
  <c r="M2350" i="6"/>
  <c r="M2351" i="6"/>
  <c r="M2352" i="6"/>
  <c r="M2353" i="6"/>
  <c r="M2354" i="6"/>
  <c r="M2355" i="6"/>
  <c r="M2356" i="6"/>
  <c r="M2357" i="6"/>
  <c r="M2358" i="6"/>
  <c r="M2359" i="6"/>
  <c r="M2360" i="6"/>
  <c r="M2361" i="6"/>
  <c r="M2362" i="6"/>
  <c r="M2363" i="6"/>
  <c r="M2364" i="6"/>
  <c r="M2365" i="6"/>
  <c r="M2366" i="6"/>
  <c r="M2367" i="6"/>
  <c r="M2368" i="6"/>
  <c r="M2369" i="6"/>
  <c r="M2370" i="6"/>
  <c r="M2371" i="6"/>
  <c r="M2372" i="6"/>
  <c r="M2373" i="6"/>
  <c r="M2374" i="6"/>
  <c r="M2375" i="6"/>
  <c r="M2376" i="6"/>
  <c r="M2377" i="6"/>
  <c r="M2378" i="6"/>
  <c r="M2379" i="6"/>
  <c r="M2380" i="6"/>
  <c r="M2381" i="6"/>
  <c r="M2382" i="6"/>
  <c r="M2383" i="6"/>
  <c r="M2384" i="6"/>
  <c r="M2385" i="6"/>
  <c r="M2386" i="6"/>
  <c r="M2387" i="6"/>
  <c r="M2388" i="6"/>
  <c r="M2389" i="6"/>
  <c r="M2390" i="6"/>
  <c r="M2391" i="6"/>
  <c r="M2392" i="6"/>
  <c r="M2393" i="6"/>
  <c r="M2394" i="6"/>
  <c r="M2395" i="6"/>
  <c r="M2396" i="6"/>
  <c r="M2397" i="6"/>
  <c r="M2398" i="6"/>
  <c r="M2399" i="6"/>
  <c r="M2400" i="6"/>
  <c r="M2401" i="6"/>
  <c r="M2402" i="6"/>
  <c r="M2403" i="6"/>
  <c r="M2404" i="6"/>
  <c r="M2405" i="6"/>
  <c r="M2406" i="6"/>
  <c r="M2407" i="6"/>
  <c r="M2408" i="6"/>
  <c r="M2409" i="6"/>
  <c r="M2410" i="6"/>
  <c r="M2411" i="6"/>
  <c r="M2412" i="6"/>
  <c r="M2413" i="6"/>
  <c r="M2414" i="6"/>
  <c r="M2415" i="6"/>
  <c r="M2416" i="6"/>
  <c r="M2417" i="6"/>
  <c r="M2418" i="6"/>
  <c r="M2419" i="6"/>
  <c r="M2420" i="6"/>
  <c r="M2421" i="6"/>
  <c r="M2422" i="6"/>
  <c r="M2423" i="6"/>
  <c r="M2424" i="6"/>
  <c r="M2425" i="6"/>
  <c r="M2426" i="6"/>
  <c r="M2427" i="6"/>
  <c r="M2428" i="6"/>
  <c r="M2429" i="6"/>
  <c r="M2430" i="6"/>
  <c r="M2431" i="6"/>
  <c r="M2432" i="6"/>
  <c r="M2433" i="6"/>
  <c r="M2434" i="6"/>
  <c r="M2435" i="6"/>
  <c r="M2436" i="6"/>
  <c r="M2437" i="6"/>
  <c r="M2438" i="6"/>
  <c r="M2439" i="6"/>
  <c r="M2440" i="6"/>
  <c r="M2441" i="6"/>
  <c r="M2442" i="6"/>
  <c r="M2443" i="6"/>
  <c r="M2444" i="6"/>
  <c r="M2445" i="6"/>
  <c r="M2446" i="6"/>
  <c r="M2447" i="6"/>
  <c r="M2448" i="6"/>
  <c r="M2449" i="6"/>
  <c r="M2450" i="6"/>
  <c r="M2451" i="6"/>
  <c r="M2452" i="6"/>
  <c r="M2453" i="6"/>
  <c r="M2454" i="6"/>
  <c r="M2455" i="6"/>
  <c r="M2456" i="6"/>
  <c r="M2457" i="6"/>
  <c r="M2458" i="6"/>
  <c r="M2459" i="6"/>
  <c r="M2460" i="6"/>
  <c r="M2461" i="6"/>
  <c r="M2462" i="6"/>
  <c r="M2463" i="6"/>
  <c r="M2464" i="6"/>
  <c r="M2465" i="6"/>
  <c r="M2466" i="6"/>
  <c r="M2467" i="6"/>
  <c r="M2468" i="6"/>
  <c r="M2469" i="6"/>
  <c r="M2470" i="6"/>
  <c r="M2471" i="6"/>
  <c r="M2472" i="6"/>
  <c r="M2473" i="6"/>
  <c r="M2474" i="6"/>
  <c r="M2475" i="6"/>
  <c r="M2476" i="6"/>
  <c r="M2477" i="6"/>
  <c r="M2478" i="6"/>
  <c r="M2479" i="6"/>
  <c r="M2480" i="6"/>
  <c r="M2481" i="6"/>
  <c r="M2482" i="6"/>
  <c r="M2483" i="6"/>
  <c r="M2484" i="6"/>
  <c r="M2485" i="6"/>
  <c r="M2486" i="6"/>
  <c r="M2487" i="6"/>
  <c r="M2488" i="6"/>
  <c r="M2489" i="6"/>
  <c r="M2490" i="6"/>
  <c r="M2491" i="6"/>
  <c r="M2492" i="6"/>
  <c r="M2493" i="6"/>
  <c r="M2494" i="6"/>
  <c r="M2495" i="6"/>
  <c r="M2496" i="6"/>
  <c r="M2497" i="6"/>
  <c r="M2498" i="6"/>
  <c r="M2499" i="6"/>
  <c r="M2500" i="6"/>
  <c r="M2501" i="6"/>
  <c r="M2502" i="6"/>
  <c r="M2503" i="6"/>
  <c r="M2504" i="6"/>
  <c r="M2505" i="6"/>
  <c r="M2506" i="6"/>
  <c r="M2507" i="6"/>
  <c r="M2508" i="6"/>
  <c r="M2509" i="6"/>
  <c r="M2510" i="6"/>
  <c r="M2511" i="6"/>
  <c r="M2512" i="6"/>
  <c r="M2513" i="6"/>
  <c r="M2514" i="6"/>
  <c r="M2515" i="6"/>
  <c r="M2516" i="6"/>
  <c r="M2517" i="6"/>
  <c r="M2518" i="6"/>
  <c r="M2519" i="6"/>
  <c r="M2520" i="6"/>
  <c r="M2521" i="6"/>
  <c r="M2522" i="6"/>
  <c r="M2523" i="6"/>
  <c r="M2524" i="6"/>
  <c r="M2525" i="6"/>
  <c r="M2526" i="6"/>
  <c r="M2527" i="6"/>
  <c r="M2528" i="6"/>
  <c r="M2529" i="6"/>
  <c r="M2530" i="6"/>
  <c r="M2531" i="6"/>
  <c r="M2532" i="6"/>
  <c r="M2533" i="6"/>
  <c r="M2534" i="6"/>
  <c r="M2535" i="6"/>
  <c r="M2536" i="6"/>
  <c r="M2537" i="6"/>
  <c r="M2538" i="6"/>
  <c r="M2539" i="6"/>
  <c r="M2540" i="6"/>
  <c r="M2541" i="6"/>
  <c r="M2542" i="6"/>
  <c r="M2543" i="6"/>
  <c r="M2544" i="6"/>
  <c r="M2545" i="6"/>
  <c r="M2546" i="6"/>
  <c r="M2547" i="6"/>
  <c r="M2548" i="6"/>
  <c r="M2549" i="6"/>
  <c r="M2550" i="6"/>
  <c r="M2551" i="6"/>
  <c r="M2552" i="6"/>
  <c r="M2553" i="6"/>
  <c r="M2554" i="6"/>
  <c r="M2555" i="6"/>
  <c r="M2556" i="6"/>
  <c r="M2557" i="6"/>
  <c r="M2558" i="6"/>
  <c r="M2559" i="6"/>
  <c r="M2560" i="6"/>
  <c r="M2561" i="6"/>
  <c r="M2562" i="6"/>
  <c r="M2563" i="6"/>
  <c r="M2564" i="6"/>
  <c r="M2565" i="6"/>
  <c r="M2566" i="6"/>
  <c r="M2567" i="6"/>
  <c r="M2568" i="6"/>
  <c r="M2569" i="6"/>
  <c r="M2570" i="6"/>
  <c r="M2571" i="6"/>
  <c r="M2572" i="6"/>
  <c r="M2573" i="6"/>
  <c r="M2574" i="6"/>
  <c r="M2575" i="6"/>
  <c r="M2576" i="6"/>
  <c r="M2577" i="6"/>
  <c r="M2578" i="6"/>
  <c r="M2579" i="6"/>
  <c r="M2580" i="6"/>
  <c r="M2581" i="6"/>
  <c r="M2582" i="6"/>
  <c r="M2583" i="6"/>
  <c r="M2584" i="6"/>
  <c r="M2585" i="6"/>
  <c r="M2586" i="6"/>
  <c r="M2587" i="6"/>
  <c r="M2588" i="6"/>
  <c r="M2589" i="6"/>
  <c r="M2590" i="6"/>
  <c r="M2591" i="6"/>
  <c r="M2592" i="6"/>
  <c r="M2593" i="6"/>
  <c r="M2594" i="6"/>
  <c r="M2595" i="6"/>
  <c r="M2596" i="6"/>
  <c r="M2597" i="6"/>
  <c r="M2598" i="6"/>
  <c r="M2599" i="6"/>
  <c r="M2600" i="6"/>
  <c r="M2601" i="6"/>
  <c r="M2602" i="6"/>
  <c r="M2603" i="6"/>
  <c r="M2604" i="6"/>
  <c r="M2605" i="6"/>
  <c r="M2606" i="6"/>
  <c r="M2607" i="6"/>
  <c r="M2608" i="6"/>
  <c r="M2609" i="6"/>
  <c r="M2610" i="6"/>
  <c r="M2611" i="6"/>
  <c r="M2612" i="6"/>
  <c r="M2613" i="6"/>
  <c r="M2614" i="6"/>
  <c r="M2615" i="6"/>
  <c r="M2616" i="6"/>
  <c r="M2617" i="6"/>
  <c r="M2618" i="6"/>
  <c r="M2619" i="6"/>
  <c r="M2620" i="6"/>
  <c r="M2621" i="6"/>
  <c r="M2622" i="6"/>
  <c r="M2623" i="6"/>
  <c r="M2624" i="6"/>
  <c r="M2625" i="6"/>
  <c r="M2626" i="6"/>
  <c r="M2627" i="6"/>
  <c r="M2628" i="6"/>
  <c r="M2629" i="6"/>
  <c r="M2630" i="6"/>
  <c r="M2631" i="6"/>
  <c r="M2632" i="6"/>
  <c r="M2633" i="6"/>
  <c r="M2634" i="6"/>
  <c r="M2635" i="6"/>
  <c r="M2636" i="6"/>
  <c r="M2637" i="6"/>
  <c r="M2638" i="6"/>
  <c r="M2639" i="6"/>
  <c r="M2640" i="6"/>
  <c r="M2641" i="6"/>
  <c r="M2642" i="6"/>
  <c r="M2643" i="6"/>
  <c r="M2644" i="6"/>
  <c r="M2645" i="6"/>
  <c r="M2646" i="6"/>
  <c r="M2647" i="6"/>
  <c r="M2648" i="6"/>
  <c r="M2649" i="6"/>
  <c r="M2650" i="6"/>
  <c r="M2651" i="6"/>
  <c r="M2652" i="6"/>
  <c r="M2653" i="6"/>
  <c r="M2654" i="6"/>
  <c r="M2655" i="6"/>
  <c r="M2656" i="6"/>
  <c r="M2657" i="6"/>
  <c r="M2658" i="6"/>
  <c r="M2659" i="6"/>
  <c r="M2660" i="6"/>
  <c r="M2661" i="6"/>
  <c r="M2662" i="6"/>
  <c r="M2663" i="6"/>
  <c r="M2664" i="6"/>
  <c r="M2665" i="6"/>
  <c r="M2666" i="6"/>
  <c r="M2667" i="6"/>
  <c r="M2668" i="6"/>
  <c r="M2669" i="6"/>
  <c r="M2670" i="6"/>
  <c r="M2671" i="6"/>
  <c r="M2672" i="6"/>
  <c r="M2673" i="6"/>
  <c r="M2674" i="6"/>
  <c r="M2675" i="6"/>
  <c r="M2676" i="6"/>
  <c r="M2677" i="6"/>
  <c r="M2678" i="6"/>
  <c r="M2679" i="6"/>
  <c r="M2680" i="6"/>
  <c r="M2681" i="6"/>
  <c r="M2682" i="6"/>
  <c r="M2683" i="6"/>
  <c r="M2684" i="6"/>
  <c r="M2685" i="6"/>
  <c r="M2686" i="6"/>
  <c r="M2687" i="6"/>
  <c r="M2688" i="6"/>
  <c r="M2689" i="6"/>
  <c r="M2690" i="6"/>
  <c r="M2691" i="6"/>
  <c r="M2692" i="6"/>
  <c r="M2693" i="6"/>
  <c r="M2694" i="6"/>
  <c r="M2695" i="6"/>
  <c r="M2696" i="6"/>
  <c r="M2697" i="6"/>
  <c r="M2698" i="6"/>
  <c r="M2699" i="6"/>
  <c r="M2700" i="6"/>
  <c r="M2701" i="6"/>
  <c r="M2702" i="6"/>
  <c r="M2703" i="6"/>
  <c r="M2704" i="6"/>
  <c r="M2705" i="6"/>
  <c r="M2706" i="6"/>
  <c r="M2707" i="6"/>
  <c r="M2708" i="6"/>
  <c r="M2709" i="6"/>
  <c r="M2710" i="6"/>
  <c r="M2711" i="6"/>
  <c r="M2712" i="6"/>
  <c r="M2713" i="6"/>
  <c r="M2714" i="6"/>
  <c r="M2715" i="6"/>
  <c r="M2716" i="6"/>
  <c r="M2717" i="6"/>
  <c r="M2718" i="6"/>
  <c r="M2719" i="6"/>
  <c r="M2720" i="6"/>
  <c r="M2721" i="6"/>
  <c r="M2722" i="6"/>
  <c r="M2723" i="6"/>
  <c r="M2724" i="6"/>
  <c r="M2725" i="6"/>
  <c r="M2726" i="6"/>
  <c r="M2727" i="6"/>
  <c r="M2728" i="6"/>
  <c r="M2729" i="6"/>
  <c r="M2730" i="6"/>
  <c r="M2731" i="6"/>
  <c r="M2732" i="6"/>
  <c r="M2733" i="6"/>
  <c r="M2734" i="6"/>
  <c r="M2735" i="6"/>
  <c r="M2736" i="6"/>
  <c r="M2737" i="6"/>
  <c r="M2738" i="6"/>
  <c r="M2739" i="6"/>
  <c r="M2740" i="6"/>
  <c r="M2741" i="6"/>
  <c r="M2742" i="6"/>
  <c r="M2743" i="6"/>
  <c r="M2744" i="6"/>
  <c r="M2745" i="6"/>
  <c r="M2746" i="6"/>
  <c r="M2747" i="6"/>
  <c r="M2748" i="6"/>
  <c r="M2749" i="6"/>
  <c r="M2750" i="6"/>
  <c r="M2751" i="6"/>
  <c r="M2752" i="6"/>
  <c r="M2753" i="6"/>
  <c r="M2754" i="6"/>
  <c r="M2755" i="6"/>
  <c r="M2756" i="6"/>
  <c r="M2757" i="6"/>
  <c r="M2758" i="6"/>
  <c r="M2759" i="6"/>
  <c r="M2760" i="6"/>
  <c r="M2761" i="6"/>
  <c r="M2762" i="6"/>
  <c r="M2763" i="6"/>
  <c r="M2764" i="6"/>
  <c r="M2765" i="6"/>
  <c r="M2766" i="6"/>
  <c r="M2767" i="6"/>
  <c r="M2768" i="6"/>
  <c r="M2769" i="6"/>
  <c r="M2770" i="6"/>
  <c r="M2771" i="6"/>
  <c r="M2772" i="6"/>
  <c r="M2773" i="6"/>
  <c r="M2774" i="6"/>
  <c r="M2775" i="6"/>
  <c r="M2776" i="6"/>
  <c r="M2777" i="6"/>
  <c r="M2778" i="6"/>
  <c r="M2779" i="6"/>
  <c r="M2780" i="6"/>
  <c r="M2781" i="6"/>
  <c r="M2782" i="6"/>
  <c r="M2783" i="6"/>
  <c r="M2784" i="6"/>
  <c r="M2785" i="6"/>
  <c r="M2786" i="6"/>
  <c r="M2787" i="6"/>
  <c r="M2788" i="6"/>
  <c r="M2789" i="6"/>
  <c r="M2790" i="6"/>
  <c r="M2791" i="6"/>
  <c r="M2792" i="6"/>
  <c r="M2793" i="6"/>
  <c r="M2794" i="6"/>
  <c r="M2795" i="6"/>
  <c r="M2796" i="6"/>
  <c r="M2797" i="6"/>
  <c r="M2798" i="6"/>
  <c r="M2799" i="6"/>
  <c r="M2800" i="6"/>
  <c r="M2801" i="6"/>
  <c r="M2802" i="6"/>
  <c r="M2803" i="6"/>
  <c r="M2804" i="6"/>
  <c r="M2805" i="6"/>
  <c r="M2806" i="6"/>
  <c r="M2807" i="6"/>
  <c r="M2808" i="6"/>
  <c r="M2809" i="6"/>
  <c r="M2810" i="6"/>
  <c r="M2811" i="6"/>
  <c r="M2812" i="6"/>
  <c r="M2813" i="6"/>
  <c r="M2814" i="6"/>
  <c r="M2815" i="6"/>
  <c r="M2816" i="6"/>
  <c r="M2817" i="6"/>
  <c r="M2818" i="6"/>
  <c r="M2819" i="6"/>
  <c r="M2820" i="6"/>
  <c r="M2821" i="6"/>
  <c r="M2822" i="6"/>
  <c r="M2823" i="6"/>
  <c r="M2824" i="6"/>
  <c r="M2825" i="6"/>
  <c r="M2826" i="6"/>
  <c r="M2827" i="6"/>
  <c r="M2828" i="6"/>
  <c r="M2829" i="6"/>
  <c r="M2830" i="6"/>
  <c r="M2831" i="6"/>
  <c r="M2832" i="6"/>
  <c r="M2833" i="6"/>
  <c r="M2834" i="6"/>
  <c r="M2835" i="6"/>
  <c r="M2836" i="6"/>
  <c r="M2837" i="6"/>
  <c r="M2838" i="6"/>
  <c r="M2839" i="6"/>
  <c r="M2840" i="6"/>
  <c r="M2841" i="6"/>
  <c r="M2842" i="6"/>
  <c r="M2843" i="6"/>
  <c r="M2844" i="6"/>
  <c r="M2845" i="6"/>
  <c r="M2846" i="6"/>
  <c r="M2847" i="6"/>
  <c r="M2848" i="6"/>
  <c r="M2849" i="6"/>
  <c r="M2850" i="6"/>
  <c r="M2851" i="6"/>
  <c r="M2852" i="6"/>
  <c r="M2853" i="6"/>
  <c r="M2854" i="6"/>
  <c r="M2855" i="6"/>
  <c r="M2856" i="6"/>
  <c r="M2857" i="6"/>
  <c r="M2858" i="6"/>
  <c r="M2859" i="6"/>
  <c r="M2860" i="6"/>
  <c r="M2861" i="6"/>
  <c r="M2862" i="6"/>
  <c r="M2863" i="6"/>
  <c r="M2864" i="6"/>
  <c r="M2865" i="6"/>
  <c r="M2866" i="6"/>
  <c r="M2867" i="6"/>
  <c r="M2868" i="6"/>
  <c r="M2869" i="6"/>
  <c r="M2870" i="6"/>
  <c r="M2871" i="6"/>
  <c r="M2872" i="6"/>
  <c r="M2873" i="6"/>
  <c r="M2874" i="6"/>
  <c r="M2875" i="6"/>
  <c r="M2876" i="6"/>
  <c r="M2877" i="6"/>
  <c r="M2878" i="6"/>
  <c r="M2879" i="6"/>
  <c r="M2880" i="6"/>
  <c r="M2881" i="6"/>
  <c r="M2882" i="6"/>
  <c r="M2883" i="6"/>
  <c r="M2884" i="6"/>
  <c r="M2885" i="6"/>
  <c r="M2886" i="6"/>
  <c r="M2887" i="6"/>
  <c r="M2888" i="6"/>
  <c r="M2889" i="6"/>
  <c r="M2890" i="6"/>
  <c r="M2891" i="6"/>
  <c r="M2892" i="6"/>
  <c r="M2893" i="6"/>
  <c r="M2894" i="6"/>
  <c r="M2895" i="6"/>
  <c r="M2896" i="6"/>
  <c r="M2897" i="6"/>
  <c r="M2898" i="6"/>
  <c r="M2899" i="6"/>
  <c r="M2900" i="6"/>
  <c r="M2901" i="6"/>
  <c r="M2902" i="6"/>
  <c r="M2903" i="6"/>
  <c r="M2904" i="6"/>
  <c r="M2905" i="6"/>
  <c r="M2906" i="6"/>
  <c r="M2907" i="6"/>
  <c r="M2908" i="6"/>
  <c r="M2909" i="6"/>
  <c r="M2910" i="6"/>
  <c r="M2911" i="6"/>
  <c r="M2912" i="6"/>
  <c r="M2913" i="6"/>
  <c r="M2914" i="6"/>
  <c r="M2915" i="6"/>
  <c r="M2916" i="6"/>
  <c r="M2917" i="6"/>
  <c r="M2918" i="6"/>
  <c r="M2919" i="6"/>
  <c r="M2920" i="6"/>
  <c r="M2921" i="6"/>
  <c r="M2922" i="6"/>
  <c r="M2923" i="6"/>
  <c r="M2924" i="6"/>
  <c r="M2925" i="6"/>
  <c r="M2926" i="6"/>
  <c r="M2927" i="6"/>
  <c r="M2928" i="6"/>
  <c r="M2929" i="6"/>
  <c r="M2930" i="6"/>
  <c r="M2931" i="6"/>
  <c r="M2932" i="6"/>
  <c r="M2933" i="6"/>
  <c r="M2934" i="6"/>
  <c r="M2935" i="6"/>
  <c r="M2936" i="6"/>
  <c r="M2937" i="6"/>
  <c r="M2938" i="6"/>
  <c r="M2939" i="6"/>
  <c r="M2940" i="6"/>
  <c r="M2941" i="6"/>
  <c r="M2942" i="6"/>
  <c r="M2943" i="6"/>
  <c r="M2944" i="6"/>
  <c r="M2945" i="6"/>
  <c r="M2946" i="6"/>
  <c r="M2947" i="6"/>
  <c r="M2948" i="6"/>
  <c r="M2949" i="6"/>
  <c r="M2950" i="6"/>
  <c r="M2951" i="6"/>
  <c r="M2952" i="6"/>
  <c r="M2953" i="6"/>
  <c r="M2954" i="6"/>
  <c r="M2955" i="6"/>
  <c r="M2956" i="6"/>
  <c r="M2957" i="6"/>
  <c r="M2958" i="6"/>
  <c r="M2959" i="6"/>
  <c r="M2960" i="6"/>
  <c r="M2961" i="6"/>
  <c r="M2962" i="6"/>
  <c r="M2963" i="6"/>
  <c r="M2964" i="6"/>
  <c r="M2965" i="6"/>
  <c r="M2966" i="6"/>
  <c r="M2967" i="6"/>
  <c r="M2968" i="6"/>
  <c r="M2969" i="6"/>
  <c r="M2970" i="6"/>
  <c r="M2971" i="6"/>
  <c r="M2972" i="6"/>
  <c r="M2973" i="6"/>
  <c r="M2974" i="6"/>
  <c r="M2975" i="6"/>
  <c r="M2976" i="6"/>
  <c r="M2977" i="6"/>
  <c r="M2978" i="6"/>
  <c r="M2979" i="6"/>
  <c r="M2980" i="6"/>
  <c r="M2981" i="6"/>
  <c r="M2982" i="6"/>
  <c r="M2983" i="6"/>
  <c r="M2984" i="6"/>
  <c r="M2985" i="6"/>
  <c r="M2986" i="6"/>
  <c r="M2987" i="6"/>
  <c r="M2988" i="6"/>
  <c r="M2989" i="6"/>
  <c r="M2990" i="6"/>
  <c r="M2991" i="6"/>
  <c r="M2992" i="6"/>
  <c r="M2993" i="6"/>
  <c r="M2994" i="6"/>
  <c r="M2995" i="6"/>
  <c r="M2996" i="6"/>
  <c r="M2997" i="6"/>
  <c r="M2998" i="6"/>
  <c r="M2999" i="6"/>
  <c r="M3000" i="6"/>
  <c r="M3001" i="6"/>
  <c r="M3002" i="6"/>
  <c r="M3003" i="6"/>
  <c r="M3004" i="6"/>
  <c r="M3005" i="6"/>
  <c r="M3006" i="6"/>
  <c r="M3007" i="6"/>
  <c r="M3008" i="6"/>
  <c r="M3009" i="6"/>
  <c r="M3010" i="6"/>
  <c r="M3011" i="6"/>
  <c r="M3012" i="6"/>
  <c r="M3013" i="6"/>
  <c r="M3014" i="6"/>
  <c r="M3015" i="6"/>
  <c r="M3016" i="6"/>
  <c r="M3017" i="6"/>
  <c r="M3018" i="6"/>
  <c r="M3019" i="6"/>
  <c r="M3020" i="6"/>
  <c r="M3021" i="6"/>
  <c r="M3022" i="6"/>
  <c r="M3023" i="6"/>
  <c r="M3024" i="6"/>
  <c r="M3025" i="6"/>
  <c r="M3026" i="6"/>
  <c r="M3027" i="6"/>
  <c r="M3028" i="6"/>
  <c r="M3029" i="6"/>
  <c r="M3030" i="6"/>
  <c r="M3031" i="6"/>
  <c r="M3032" i="6"/>
  <c r="M3033" i="6"/>
  <c r="M3034" i="6"/>
  <c r="M3035" i="6"/>
  <c r="M3036" i="6"/>
  <c r="M3037" i="6"/>
  <c r="M3038" i="6"/>
  <c r="M3039" i="6"/>
  <c r="M3040" i="6"/>
  <c r="M3041" i="6"/>
  <c r="M3042" i="6"/>
  <c r="M3043" i="6"/>
  <c r="M3044" i="6"/>
  <c r="M3045" i="6"/>
  <c r="M3046" i="6"/>
  <c r="M3047" i="6"/>
  <c r="M3048" i="6"/>
  <c r="M3049" i="6"/>
  <c r="M3050" i="6"/>
  <c r="M3051" i="6"/>
  <c r="M3052" i="6"/>
  <c r="M3053" i="6"/>
  <c r="M3054" i="6"/>
  <c r="M3055" i="6"/>
  <c r="M3056" i="6"/>
  <c r="M3057" i="6"/>
  <c r="M3058" i="6"/>
  <c r="M3059" i="6"/>
  <c r="M3060" i="6"/>
  <c r="M3061" i="6"/>
  <c r="M3062" i="6"/>
  <c r="M3063" i="6"/>
  <c r="M3064" i="6"/>
  <c r="M3065" i="6"/>
  <c r="M3066" i="6"/>
  <c r="M3067" i="6"/>
  <c r="M3068" i="6"/>
  <c r="M3069" i="6"/>
  <c r="M3070" i="6"/>
  <c r="M3071" i="6"/>
  <c r="M3072" i="6"/>
  <c r="M3073" i="6"/>
  <c r="M3074" i="6"/>
  <c r="M3075" i="6"/>
  <c r="M3076" i="6"/>
  <c r="M3077" i="6"/>
  <c r="M3078" i="6"/>
  <c r="M3079" i="6"/>
  <c r="M3080" i="6"/>
  <c r="M3081" i="6"/>
  <c r="M3082" i="6"/>
  <c r="M3083" i="6"/>
  <c r="M3084" i="6"/>
  <c r="M3085" i="6"/>
  <c r="M3086" i="6"/>
  <c r="M3087" i="6"/>
  <c r="M3088" i="6"/>
  <c r="M3089" i="6"/>
  <c r="M3090" i="6"/>
  <c r="M3091" i="6"/>
  <c r="M3092" i="6"/>
  <c r="M3093" i="6"/>
  <c r="M3094" i="6"/>
  <c r="M3095" i="6"/>
  <c r="M3096" i="6"/>
  <c r="M3097" i="6"/>
  <c r="M3098" i="6"/>
  <c r="M3099" i="6"/>
  <c r="M3100" i="6"/>
  <c r="M3101" i="6"/>
  <c r="M3102" i="6"/>
  <c r="M3103" i="6"/>
  <c r="M3104" i="6"/>
  <c r="M3105" i="6"/>
  <c r="M3106" i="6"/>
  <c r="M3107" i="6"/>
  <c r="M3108" i="6"/>
  <c r="M3109" i="6"/>
  <c r="M3110" i="6"/>
  <c r="M3111" i="6"/>
  <c r="M3112" i="6"/>
  <c r="M3113" i="6"/>
  <c r="M3114" i="6"/>
  <c r="M3115" i="6"/>
  <c r="M3116" i="6"/>
  <c r="M3117" i="6"/>
  <c r="M3118" i="6"/>
  <c r="M3119" i="6"/>
  <c r="M3120" i="6"/>
  <c r="M3121" i="6"/>
  <c r="M3122" i="6"/>
  <c r="M3123" i="6"/>
  <c r="M3124" i="6"/>
  <c r="M3125" i="6"/>
  <c r="M3126" i="6"/>
  <c r="M3127" i="6"/>
  <c r="M3128" i="6"/>
  <c r="M3129" i="6"/>
  <c r="M3130" i="6"/>
  <c r="M3131" i="6"/>
  <c r="M3132" i="6"/>
  <c r="M3133" i="6"/>
  <c r="M3134" i="6"/>
  <c r="M3135" i="6"/>
  <c r="M3136" i="6"/>
  <c r="M3137" i="6"/>
  <c r="M3138" i="6"/>
  <c r="M3139" i="6"/>
  <c r="M3140" i="6"/>
  <c r="M3141" i="6"/>
  <c r="M3142" i="6"/>
  <c r="M3143" i="6"/>
  <c r="M3144" i="6"/>
  <c r="M3145" i="6"/>
  <c r="M3146" i="6"/>
  <c r="M3147" i="6"/>
  <c r="M3148" i="6"/>
  <c r="M3149" i="6"/>
  <c r="M3150" i="6"/>
  <c r="M3151" i="6"/>
  <c r="M3152" i="6"/>
  <c r="M3153" i="6"/>
  <c r="M3154" i="6"/>
  <c r="M3155" i="6"/>
  <c r="M3156" i="6"/>
  <c r="M3157" i="6"/>
  <c r="M3158" i="6"/>
  <c r="M3159" i="6"/>
  <c r="M3160" i="6"/>
  <c r="M3161" i="6"/>
  <c r="M3162" i="6"/>
  <c r="M3163" i="6"/>
  <c r="M3164" i="6"/>
  <c r="M3165" i="6"/>
  <c r="M3166" i="6"/>
  <c r="M3167" i="6"/>
  <c r="M3168" i="6"/>
  <c r="M3169" i="6"/>
  <c r="M3170" i="6"/>
  <c r="M3171" i="6"/>
  <c r="M3172" i="6"/>
  <c r="M3173" i="6"/>
  <c r="M3174" i="6"/>
  <c r="M3175" i="6"/>
  <c r="M3176" i="6"/>
  <c r="M3177" i="6"/>
  <c r="M3178" i="6"/>
  <c r="M3179" i="6"/>
  <c r="M3180" i="6"/>
  <c r="M3181" i="6"/>
  <c r="M3182" i="6"/>
  <c r="M3183" i="6"/>
  <c r="M3184" i="6"/>
  <c r="M3185" i="6"/>
  <c r="M3186" i="6"/>
  <c r="M3187" i="6"/>
  <c r="M3188" i="6"/>
  <c r="M3189" i="6"/>
  <c r="M3190" i="6"/>
  <c r="M3191" i="6"/>
  <c r="M3192" i="6"/>
  <c r="M3193" i="6"/>
  <c r="M3194" i="6"/>
  <c r="M3195" i="6"/>
  <c r="M3196" i="6"/>
  <c r="M3197" i="6"/>
  <c r="M3198" i="6"/>
  <c r="M3199" i="6"/>
  <c r="M3200" i="6"/>
  <c r="M3201" i="6"/>
  <c r="M3202" i="6"/>
  <c r="M3203" i="6"/>
  <c r="M3204" i="6"/>
  <c r="M3205" i="6"/>
  <c r="M3206" i="6"/>
  <c r="M3207" i="6"/>
  <c r="M3208" i="6"/>
  <c r="M3209" i="6"/>
  <c r="M3210" i="6"/>
  <c r="M3211" i="6"/>
  <c r="M3212" i="6"/>
  <c r="M3213" i="6"/>
  <c r="M3214" i="6"/>
  <c r="M3215" i="6"/>
  <c r="M3216" i="6"/>
  <c r="M3217" i="6"/>
  <c r="M3218" i="6"/>
  <c r="M3219" i="6"/>
  <c r="M3220" i="6"/>
  <c r="M3221" i="6"/>
  <c r="M3222" i="6"/>
  <c r="M3223" i="6"/>
  <c r="M3224" i="6"/>
  <c r="M3225" i="6"/>
  <c r="M3226" i="6"/>
  <c r="M3227" i="6"/>
  <c r="M3228" i="6"/>
  <c r="M3229" i="6"/>
  <c r="M3230" i="6"/>
  <c r="M3231" i="6"/>
  <c r="M3232" i="6"/>
  <c r="M3233" i="6"/>
  <c r="M3234" i="6"/>
  <c r="M3235" i="6"/>
  <c r="M3236" i="6"/>
  <c r="M3237" i="6"/>
  <c r="M3238" i="6"/>
  <c r="M3239" i="6"/>
  <c r="M3240" i="6"/>
  <c r="M3241" i="6"/>
  <c r="M3242" i="6"/>
  <c r="M3243" i="6"/>
  <c r="M3244" i="6"/>
  <c r="M3245" i="6"/>
  <c r="M3246" i="6"/>
  <c r="M3247" i="6"/>
  <c r="M3248" i="6"/>
  <c r="M3249" i="6"/>
  <c r="M3250" i="6"/>
  <c r="M3251" i="6"/>
  <c r="M3252" i="6"/>
  <c r="M3253" i="6"/>
  <c r="M3254" i="6"/>
  <c r="M3255" i="6"/>
  <c r="M3256" i="6"/>
  <c r="M3257" i="6"/>
  <c r="M3258" i="6"/>
  <c r="M3259" i="6"/>
  <c r="M3260" i="6"/>
  <c r="M3261" i="6"/>
  <c r="M3262" i="6"/>
  <c r="M3263" i="6"/>
  <c r="M3264" i="6"/>
  <c r="M3265" i="6"/>
  <c r="M3266" i="6"/>
  <c r="M3267" i="6"/>
  <c r="M3268" i="6"/>
  <c r="M3269" i="6"/>
  <c r="M3270" i="6"/>
  <c r="M3271" i="6"/>
  <c r="M3272" i="6"/>
  <c r="M3273" i="6"/>
  <c r="M3274" i="6"/>
  <c r="M3275" i="6"/>
  <c r="M3276" i="6"/>
  <c r="M3277" i="6"/>
  <c r="M3278" i="6"/>
  <c r="M3279" i="6"/>
  <c r="M3280" i="6"/>
  <c r="M3281" i="6"/>
  <c r="M3282" i="6"/>
  <c r="M3283" i="6"/>
  <c r="M3284" i="6"/>
  <c r="M3285" i="6"/>
  <c r="M3286" i="6"/>
  <c r="M3287" i="6"/>
  <c r="M3288" i="6"/>
  <c r="M3289" i="6"/>
  <c r="M3290" i="6"/>
  <c r="M3291" i="6"/>
  <c r="M3292" i="6"/>
  <c r="M3293" i="6"/>
  <c r="M3294" i="6"/>
  <c r="M3295" i="6"/>
  <c r="M3296" i="6"/>
  <c r="M3297" i="6"/>
  <c r="M3298" i="6"/>
  <c r="M3299" i="6"/>
  <c r="M3300" i="6"/>
  <c r="M3301" i="6"/>
  <c r="M3302" i="6"/>
  <c r="M3303" i="6"/>
  <c r="M3304" i="6"/>
  <c r="M3305" i="6"/>
  <c r="M3306" i="6"/>
  <c r="M3307" i="6"/>
  <c r="M3308" i="6"/>
  <c r="M3309" i="6"/>
  <c r="M3310" i="6"/>
  <c r="M3311" i="6"/>
  <c r="M3312" i="6"/>
  <c r="M3313" i="6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0" i="5"/>
  <c r="M1471" i="5"/>
  <c r="M1472" i="5"/>
  <c r="M1473" i="5"/>
  <c r="M1474" i="5"/>
  <c r="M1475" i="5"/>
  <c r="M1476" i="5"/>
  <c r="M1477" i="5"/>
  <c r="M1478" i="5"/>
  <c r="M1479" i="5"/>
  <c r="M1480" i="5"/>
  <c r="M1481" i="5"/>
  <c r="M1482" i="5"/>
  <c r="M1483" i="5"/>
  <c r="M1484" i="5"/>
  <c r="M1485" i="5"/>
  <c r="M1486" i="5"/>
  <c r="M1487" i="5"/>
  <c r="M1488" i="5"/>
  <c r="M1489" i="5"/>
  <c r="M1490" i="5"/>
  <c r="M1491" i="5"/>
  <c r="M1492" i="5"/>
  <c r="M1493" i="5"/>
  <c r="M1494" i="5"/>
  <c r="M1495" i="5"/>
  <c r="M1496" i="5"/>
  <c r="M1497" i="5"/>
  <c r="M1498" i="5"/>
  <c r="M1499" i="5"/>
  <c r="M1500" i="5"/>
  <c r="M1501" i="5"/>
  <c r="M1502" i="5"/>
  <c r="M1503" i="5"/>
  <c r="M1504" i="5"/>
  <c r="M1505" i="5"/>
  <c r="M1506" i="5"/>
  <c r="M1507" i="5"/>
  <c r="M1508" i="5"/>
  <c r="M1509" i="5"/>
  <c r="M1510" i="5"/>
  <c r="M1511" i="5"/>
  <c r="M1512" i="5"/>
  <c r="M1513" i="5"/>
  <c r="M1514" i="5"/>
  <c r="M1515" i="5"/>
  <c r="M1516" i="5"/>
  <c r="M1517" i="5"/>
  <c r="M1518" i="5"/>
  <c r="M1519" i="5"/>
  <c r="M1520" i="5"/>
  <c r="M1521" i="5"/>
  <c r="M1522" i="5"/>
  <c r="M1523" i="5"/>
  <c r="M1524" i="5"/>
  <c r="M1525" i="5"/>
  <c r="M1526" i="5"/>
  <c r="M1527" i="5"/>
  <c r="M1528" i="5"/>
  <c r="M1529" i="5"/>
  <c r="M1530" i="5"/>
  <c r="M1531" i="5"/>
  <c r="M1532" i="5"/>
  <c r="M1533" i="5"/>
  <c r="M1534" i="5"/>
  <c r="M1535" i="5"/>
  <c r="M1536" i="5"/>
  <c r="M1537" i="5"/>
  <c r="M1538" i="5"/>
  <c r="M1539" i="5"/>
  <c r="M1540" i="5"/>
  <c r="M1541" i="5"/>
  <c r="M1542" i="5"/>
  <c r="M1543" i="5"/>
  <c r="M1544" i="5"/>
  <c r="M1545" i="5"/>
  <c r="M1546" i="5"/>
  <c r="M1547" i="5"/>
  <c r="M1548" i="5"/>
  <c r="M1549" i="5"/>
  <c r="M1550" i="5"/>
  <c r="M1551" i="5"/>
  <c r="M1552" i="5"/>
  <c r="M1553" i="5"/>
  <c r="M1554" i="5"/>
  <c r="M1555" i="5"/>
  <c r="M1556" i="5"/>
  <c r="M1557" i="5"/>
  <c r="M1558" i="5"/>
  <c r="M1559" i="5"/>
  <c r="M1560" i="5"/>
  <c r="M1561" i="5"/>
  <c r="M1562" i="5"/>
  <c r="M1563" i="5"/>
  <c r="M1564" i="5"/>
  <c r="M1565" i="5"/>
  <c r="M1566" i="5"/>
  <c r="M1567" i="5"/>
  <c r="M1568" i="5"/>
  <c r="M1569" i="5"/>
  <c r="M1570" i="5"/>
  <c r="M1571" i="5"/>
  <c r="M1572" i="5"/>
  <c r="M1573" i="5"/>
  <c r="M1574" i="5"/>
  <c r="M1575" i="5"/>
  <c r="M1576" i="5"/>
  <c r="M1577" i="5"/>
  <c r="M1578" i="5"/>
  <c r="M1579" i="5"/>
  <c r="M1580" i="5"/>
  <c r="M1581" i="5"/>
  <c r="M1582" i="5"/>
  <c r="M1583" i="5"/>
  <c r="M1584" i="5"/>
  <c r="M1585" i="5"/>
  <c r="M1586" i="5"/>
  <c r="M1587" i="5"/>
  <c r="M1588" i="5"/>
  <c r="M1589" i="5"/>
  <c r="M1590" i="5"/>
  <c r="M1591" i="5"/>
  <c r="M1592" i="5"/>
  <c r="M1593" i="5"/>
  <c r="M1594" i="5"/>
  <c r="M1595" i="5"/>
  <c r="M1596" i="5"/>
  <c r="M1597" i="5"/>
  <c r="M1598" i="5"/>
  <c r="M1599" i="5"/>
  <c r="M1600" i="5"/>
  <c r="M1601" i="5"/>
  <c r="M1602" i="5"/>
  <c r="M1603" i="5"/>
  <c r="M1604" i="5"/>
  <c r="M1605" i="5"/>
  <c r="M1606" i="5"/>
  <c r="M1607" i="5"/>
  <c r="M1608" i="5"/>
  <c r="M1609" i="5"/>
  <c r="M1610" i="5"/>
  <c r="M1611" i="5"/>
  <c r="M1612" i="5"/>
  <c r="M1613" i="5"/>
  <c r="M1614" i="5"/>
  <c r="M1615" i="5"/>
  <c r="M1616" i="5"/>
  <c r="M1617" i="5"/>
  <c r="M1618" i="5"/>
  <c r="M1619" i="5"/>
  <c r="M1620" i="5"/>
  <c r="M1621" i="5"/>
  <c r="M1622" i="5"/>
  <c r="M1623" i="5"/>
  <c r="M1624" i="5"/>
  <c r="M1625" i="5"/>
  <c r="M1626" i="5"/>
  <c r="M1627" i="5"/>
  <c r="M1628" i="5"/>
  <c r="M1629" i="5"/>
  <c r="M1630" i="5"/>
  <c r="M1631" i="5"/>
  <c r="M1632" i="5"/>
  <c r="M1633" i="5"/>
  <c r="M1634" i="5"/>
  <c r="M1635" i="5"/>
  <c r="M1636" i="5"/>
  <c r="M1637" i="5"/>
  <c r="M1638" i="5"/>
  <c r="M1639" i="5"/>
  <c r="M1640" i="5"/>
  <c r="M1641" i="5"/>
  <c r="M1642" i="5"/>
  <c r="M1643" i="5"/>
  <c r="M1644" i="5"/>
  <c r="M1645" i="5"/>
  <c r="M1646" i="5"/>
  <c r="M1647" i="5"/>
  <c r="M1648" i="5"/>
  <c r="M1649" i="5"/>
  <c r="M1650" i="5"/>
  <c r="M1651" i="5"/>
  <c r="M1652" i="5"/>
  <c r="M1653" i="5"/>
  <c r="M1654" i="5"/>
  <c r="M1655" i="5"/>
  <c r="M1656" i="5"/>
  <c r="M1657" i="5"/>
  <c r="M1658" i="5"/>
  <c r="M1659" i="5"/>
  <c r="M1660" i="5"/>
  <c r="M1661" i="5"/>
  <c r="M1662" i="5"/>
  <c r="M1663" i="5"/>
  <c r="M1664" i="5"/>
  <c r="M1665" i="5"/>
  <c r="M1666" i="5"/>
  <c r="M1667" i="5"/>
  <c r="M1668" i="5"/>
  <c r="M1669" i="5"/>
  <c r="M1670" i="5"/>
  <c r="M1671" i="5"/>
  <c r="M1672" i="5"/>
  <c r="M1673" i="5"/>
  <c r="M1674" i="5"/>
  <c r="M1675" i="5"/>
  <c r="M1676" i="5"/>
  <c r="M1677" i="5"/>
  <c r="M1678" i="5"/>
  <c r="M1679" i="5"/>
  <c r="M1680" i="5"/>
  <c r="M1681" i="5"/>
  <c r="M1682" i="5"/>
  <c r="M1683" i="5"/>
  <c r="M1684" i="5"/>
  <c r="M1685" i="5"/>
  <c r="M1686" i="5"/>
  <c r="M1687" i="5"/>
  <c r="M1688" i="5"/>
  <c r="M1689" i="5"/>
  <c r="M1690" i="5"/>
  <c r="M1691" i="5"/>
  <c r="M1692" i="5"/>
  <c r="M1693" i="5"/>
  <c r="M1694" i="5"/>
  <c r="M1695" i="5"/>
  <c r="M1696" i="5"/>
  <c r="M1697" i="5"/>
  <c r="M1698" i="5"/>
  <c r="M1699" i="5"/>
  <c r="M1700" i="5"/>
  <c r="M1701" i="5"/>
  <c r="M1702" i="5"/>
  <c r="M1703" i="5"/>
  <c r="M1704" i="5"/>
  <c r="M1705" i="5"/>
  <c r="M1706" i="5"/>
  <c r="M1707" i="5"/>
  <c r="M1708" i="5"/>
  <c r="M1709" i="5"/>
  <c r="M1710" i="5"/>
  <c r="M1711" i="5"/>
  <c r="M1712" i="5"/>
  <c r="M1713" i="5"/>
  <c r="M1714" i="5"/>
  <c r="M1715" i="5"/>
  <c r="M1716" i="5"/>
  <c r="M1717" i="5"/>
  <c r="M1718" i="5"/>
  <c r="M1719" i="5"/>
  <c r="M1720" i="5"/>
  <c r="M1721" i="5"/>
  <c r="M1722" i="5"/>
  <c r="M1723" i="5"/>
  <c r="M1724" i="5"/>
  <c r="M1725" i="5"/>
  <c r="M1726" i="5"/>
  <c r="M1727" i="5"/>
  <c r="M1728" i="5"/>
  <c r="M1729" i="5"/>
  <c r="M1730" i="5"/>
  <c r="M1731" i="5"/>
  <c r="M1732" i="5"/>
  <c r="M1733" i="5"/>
  <c r="M1734" i="5"/>
  <c r="M1735" i="5"/>
  <c r="M1736" i="5"/>
  <c r="M1737" i="5"/>
  <c r="M1738" i="5"/>
  <c r="M1739" i="5"/>
  <c r="M1740" i="5"/>
  <c r="M1741" i="5"/>
  <c r="M1742" i="5"/>
  <c r="M1743" i="5"/>
  <c r="M1744" i="5"/>
  <c r="M1745" i="5"/>
  <c r="M1746" i="5"/>
  <c r="M1747" i="5"/>
  <c r="M1748" i="5"/>
  <c r="M1749" i="5"/>
  <c r="M1750" i="5"/>
  <c r="M1751" i="5"/>
  <c r="M1752" i="5"/>
  <c r="M1753" i="5"/>
  <c r="M1754" i="5"/>
  <c r="M1755" i="5"/>
  <c r="M1756" i="5"/>
  <c r="M1757" i="5"/>
  <c r="M1758" i="5"/>
  <c r="M1759" i="5"/>
  <c r="M1760" i="5"/>
  <c r="M1761" i="5"/>
  <c r="M1762" i="5"/>
  <c r="M1763" i="5"/>
  <c r="M1764" i="5"/>
  <c r="M1765" i="5"/>
  <c r="M1766" i="5"/>
  <c r="M1767" i="5"/>
  <c r="M1768" i="5"/>
  <c r="M1769" i="5"/>
  <c r="M1770" i="5"/>
  <c r="M1771" i="5"/>
  <c r="M1772" i="5"/>
  <c r="M1773" i="5"/>
  <c r="M1774" i="5"/>
  <c r="M1775" i="5"/>
  <c r="M1776" i="5"/>
  <c r="M1777" i="5"/>
  <c r="M1778" i="5"/>
  <c r="M1779" i="5"/>
  <c r="M1780" i="5"/>
  <c r="M1781" i="5"/>
  <c r="M1782" i="5"/>
  <c r="M1783" i="5"/>
  <c r="M1784" i="5"/>
  <c r="M1785" i="5"/>
  <c r="M1786" i="5"/>
  <c r="M1787" i="5"/>
  <c r="M1788" i="5"/>
  <c r="M1789" i="5"/>
  <c r="M1790" i="5"/>
  <c r="M1791" i="5"/>
  <c r="M1792" i="5"/>
  <c r="M1793" i="5"/>
  <c r="M1794" i="5"/>
  <c r="M1795" i="5"/>
  <c r="M1796" i="5"/>
  <c r="M1797" i="5"/>
  <c r="M1798" i="5"/>
  <c r="M1799" i="5"/>
  <c r="M1800" i="5"/>
  <c r="M1801" i="5"/>
  <c r="M1802" i="5"/>
  <c r="M1803" i="5"/>
  <c r="M1804" i="5"/>
  <c r="M1805" i="5"/>
  <c r="M1806" i="5"/>
  <c r="M1807" i="5"/>
  <c r="M1808" i="5"/>
  <c r="M1809" i="5"/>
  <c r="M1810" i="5"/>
  <c r="M1811" i="5"/>
  <c r="M1812" i="5"/>
  <c r="M1813" i="5"/>
  <c r="M1814" i="5"/>
  <c r="M1815" i="5"/>
  <c r="M1816" i="5"/>
  <c r="M1817" i="5"/>
  <c r="M1818" i="5"/>
  <c r="M1819" i="5"/>
  <c r="M1820" i="5"/>
  <c r="M1821" i="5"/>
  <c r="M1822" i="5"/>
  <c r="M1823" i="5"/>
  <c r="M1824" i="5"/>
  <c r="M1825" i="5"/>
  <c r="M1826" i="5"/>
  <c r="M1827" i="5"/>
  <c r="M1828" i="5"/>
  <c r="M1829" i="5"/>
  <c r="M1830" i="5"/>
  <c r="M1831" i="5"/>
  <c r="M1832" i="5"/>
  <c r="M1833" i="5"/>
  <c r="M1834" i="5"/>
  <c r="M1835" i="5"/>
  <c r="M1836" i="5"/>
  <c r="M1837" i="5"/>
  <c r="M1838" i="5"/>
  <c r="M1839" i="5"/>
  <c r="M1840" i="5"/>
  <c r="M1841" i="5"/>
  <c r="M1842" i="5"/>
  <c r="M1843" i="5"/>
  <c r="M1844" i="5"/>
  <c r="M1845" i="5"/>
  <c r="M1846" i="5"/>
  <c r="M1847" i="5"/>
  <c r="M1848" i="5"/>
  <c r="M1849" i="5"/>
  <c r="M1850" i="5"/>
  <c r="M1851" i="5"/>
  <c r="M1852" i="5"/>
  <c r="M1853" i="5"/>
  <c r="M1854" i="5"/>
  <c r="M1855" i="5"/>
  <c r="M1856" i="5"/>
  <c r="M1857" i="5"/>
  <c r="M1858" i="5"/>
  <c r="M1859" i="5"/>
  <c r="M1860" i="5"/>
  <c r="M1861" i="5"/>
  <c r="M1862" i="5"/>
  <c r="M1863" i="5"/>
  <c r="M1864" i="5"/>
  <c r="M1865" i="5"/>
  <c r="M1866" i="5"/>
  <c r="M1867" i="5"/>
  <c r="M1868" i="5"/>
  <c r="M1869" i="5"/>
  <c r="M1870" i="5"/>
  <c r="M1871" i="5"/>
  <c r="M1872" i="5"/>
  <c r="M1873" i="5"/>
  <c r="M1874" i="5"/>
  <c r="M1875" i="5"/>
  <c r="M1876" i="5"/>
  <c r="M1877" i="5"/>
  <c r="M1878" i="5"/>
  <c r="M1879" i="5"/>
  <c r="M1880" i="5"/>
  <c r="M1881" i="5"/>
  <c r="M1882" i="5"/>
  <c r="M1883" i="5"/>
  <c r="M1884" i="5"/>
  <c r="M1885" i="5"/>
  <c r="M1886" i="5"/>
  <c r="M1887" i="5"/>
  <c r="M1888" i="5"/>
  <c r="M1889" i="5"/>
  <c r="M1890" i="5"/>
  <c r="M1891" i="5"/>
  <c r="M1892" i="5"/>
  <c r="M1893" i="5"/>
  <c r="M1894" i="5"/>
  <c r="M1895" i="5"/>
  <c r="M1896" i="5"/>
  <c r="M1897" i="5"/>
  <c r="M1898" i="5"/>
  <c r="M1899" i="5"/>
  <c r="M1900" i="5"/>
  <c r="M1901" i="5"/>
  <c r="M1902" i="5"/>
  <c r="M1903" i="5"/>
  <c r="M1904" i="5"/>
  <c r="M1905" i="5"/>
  <c r="M1906" i="5"/>
  <c r="M1907" i="5"/>
  <c r="M1908" i="5"/>
  <c r="M1909" i="5"/>
  <c r="M1910" i="5"/>
  <c r="M1911" i="5"/>
  <c r="M1912" i="5"/>
  <c r="M1913" i="5"/>
  <c r="M1914" i="5"/>
  <c r="M1915" i="5"/>
  <c r="M1916" i="5"/>
  <c r="M1917" i="5"/>
  <c r="M1918" i="5"/>
  <c r="M1919" i="5"/>
  <c r="M1920" i="5"/>
  <c r="M1921" i="5"/>
  <c r="M1922" i="5"/>
  <c r="M1923" i="5"/>
  <c r="M1924" i="5"/>
  <c r="M1925" i="5"/>
  <c r="M1926" i="5"/>
  <c r="M1927" i="5"/>
  <c r="M1928" i="5"/>
  <c r="M1929" i="5"/>
  <c r="M1930" i="5"/>
  <c r="M1931" i="5"/>
  <c r="M1932" i="5"/>
  <c r="M1933" i="5"/>
  <c r="M1934" i="5"/>
  <c r="M1935" i="5"/>
  <c r="M1936" i="5"/>
  <c r="M1937" i="5"/>
  <c r="M1938" i="5"/>
  <c r="M1939" i="5"/>
  <c r="M1940" i="5"/>
  <c r="M1941" i="5"/>
  <c r="M1942" i="5"/>
  <c r="M1943" i="5"/>
  <c r="M1944" i="5"/>
  <c r="M1945" i="5"/>
  <c r="M1946" i="5"/>
  <c r="M1947" i="5"/>
  <c r="M1948" i="5"/>
  <c r="M1949" i="5"/>
  <c r="M1950" i="5"/>
  <c r="M1951" i="5"/>
  <c r="M1952" i="5"/>
  <c r="M1953" i="5"/>
  <c r="M1954" i="5"/>
  <c r="M1955" i="5"/>
  <c r="M1956" i="5"/>
  <c r="M1957" i="5"/>
  <c r="M1958" i="5"/>
  <c r="M1959" i="5"/>
  <c r="M1960" i="5"/>
  <c r="M1961" i="5"/>
  <c r="M1962" i="5"/>
  <c r="M1963" i="5"/>
  <c r="M1964" i="5"/>
  <c r="M1965" i="5"/>
  <c r="M1966" i="5"/>
  <c r="M1967" i="5"/>
  <c r="M1968" i="5"/>
  <c r="M1969" i="5"/>
  <c r="M1970" i="5"/>
  <c r="M1971" i="5"/>
  <c r="M1972" i="5"/>
  <c r="M1973" i="5"/>
  <c r="M1974" i="5"/>
  <c r="M1975" i="5"/>
  <c r="M1976" i="5"/>
  <c r="M1977" i="5"/>
  <c r="M1978" i="5"/>
  <c r="M1979" i="5"/>
  <c r="M1980" i="5"/>
  <c r="M1981" i="5"/>
  <c r="M1982" i="5"/>
  <c r="M1983" i="5"/>
  <c r="M1984" i="5"/>
  <c r="M1985" i="5"/>
  <c r="M1986" i="5"/>
  <c r="M1987" i="5"/>
  <c r="M1988" i="5"/>
  <c r="M1989" i="5"/>
  <c r="M1990" i="5"/>
  <c r="M1991" i="5"/>
  <c r="M1992" i="5"/>
  <c r="M1993" i="5"/>
  <c r="M1994" i="5"/>
  <c r="M1995" i="5"/>
  <c r="M1996" i="5"/>
  <c r="M1997" i="5"/>
  <c r="M1998" i="5"/>
  <c r="M1999" i="5"/>
  <c r="M2000" i="5"/>
  <c r="M2001" i="5"/>
  <c r="M2002" i="5"/>
  <c r="M2003" i="5"/>
  <c r="M2004" i="5"/>
  <c r="M2005" i="5"/>
  <c r="M2006" i="5"/>
  <c r="M2007" i="5"/>
  <c r="M2008" i="5"/>
  <c r="M2009" i="5"/>
  <c r="M2010" i="5"/>
  <c r="M2011" i="5"/>
  <c r="M2012" i="5"/>
  <c r="M2013" i="5"/>
  <c r="M2014" i="5"/>
  <c r="M2015" i="5"/>
  <c r="M2016" i="5"/>
  <c r="M2017" i="5"/>
  <c r="M2018" i="5"/>
  <c r="M2019" i="5"/>
  <c r="M2020" i="5"/>
  <c r="M2021" i="5"/>
  <c r="M2022" i="5"/>
  <c r="M2023" i="5"/>
  <c r="M2024" i="5"/>
  <c r="M2025" i="5"/>
  <c r="M2026" i="5"/>
  <c r="M2027" i="5"/>
  <c r="M2028" i="5"/>
  <c r="M2029" i="5"/>
  <c r="M2030" i="5"/>
  <c r="M2031" i="5"/>
  <c r="M2032" i="5"/>
  <c r="M2033" i="5"/>
  <c r="M2034" i="5"/>
  <c r="M2035" i="5"/>
  <c r="M2036" i="5"/>
  <c r="M2037" i="5"/>
  <c r="M2038" i="5"/>
  <c r="M2039" i="5"/>
  <c r="M2040" i="5"/>
  <c r="M2041" i="5"/>
  <c r="M2042" i="5"/>
  <c r="M2043" i="5"/>
  <c r="M2044" i="5"/>
  <c r="M2045" i="5"/>
  <c r="M2046" i="5"/>
  <c r="M2047" i="5"/>
  <c r="M2048" i="5"/>
  <c r="M2049" i="5"/>
  <c r="M2050" i="5"/>
  <c r="M2051" i="5"/>
  <c r="M2052" i="5"/>
  <c r="M2053" i="5"/>
  <c r="M2054" i="5"/>
  <c r="M2055" i="5"/>
  <c r="M2056" i="5"/>
  <c r="M2057" i="5"/>
  <c r="M2058" i="5"/>
  <c r="M2059" i="5"/>
  <c r="M2060" i="5"/>
  <c r="M2061" i="5"/>
  <c r="M2062" i="5"/>
  <c r="M2063" i="5"/>
  <c r="M2064" i="5"/>
  <c r="M2065" i="5"/>
  <c r="M2066" i="5"/>
  <c r="M2067" i="5"/>
  <c r="M2068" i="5"/>
  <c r="M2069" i="5"/>
  <c r="M2070" i="5"/>
  <c r="M2071" i="5"/>
  <c r="M2072" i="5"/>
  <c r="M2073" i="5"/>
  <c r="M2074" i="5"/>
  <c r="M2075" i="5"/>
  <c r="M2076" i="5"/>
  <c r="M2077" i="5"/>
  <c r="M2078" i="5"/>
  <c r="M2079" i="5"/>
  <c r="M2080" i="5"/>
  <c r="M2081" i="5"/>
  <c r="M2082" i="5"/>
  <c r="M2083" i="5"/>
  <c r="M2084" i="5"/>
  <c r="M2085" i="5"/>
  <c r="M2086" i="5"/>
  <c r="M2087" i="5"/>
  <c r="M2088" i="5"/>
  <c r="M2089" i="5"/>
  <c r="M2090" i="5"/>
  <c r="M2091" i="5"/>
  <c r="M2092" i="5"/>
  <c r="M2093" i="5"/>
  <c r="M2094" i="5"/>
  <c r="M2095" i="5"/>
  <c r="M2096" i="5"/>
  <c r="M2097" i="5"/>
  <c r="M2098" i="5"/>
  <c r="M2099" i="5"/>
  <c r="M2100" i="5"/>
  <c r="M2101" i="5"/>
  <c r="M2102" i="5"/>
  <c r="M2103" i="5"/>
  <c r="M2104" i="5"/>
  <c r="M2105" i="5"/>
  <c r="M2106" i="5"/>
  <c r="M2107" i="5"/>
  <c r="M2108" i="5"/>
  <c r="M2109" i="5"/>
  <c r="M2110" i="5"/>
  <c r="M2111" i="5"/>
  <c r="M2112" i="5"/>
  <c r="M2113" i="5"/>
  <c r="M2114" i="5"/>
  <c r="M2115" i="5"/>
  <c r="M2116" i="5"/>
  <c r="M2117" i="5"/>
  <c r="M2118" i="5"/>
  <c r="M2119" i="5"/>
  <c r="M2120" i="5"/>
  <c r="M2121" i="5"/>
  <c r="M2122" i="5"/>
  <c r="M2123" i="5"/>
  <c r="M2124" i="5"/>
  <c r="M2125" i="5"/>
  <c r="M2126" i="5"/>
  <c r="M2127" i="5"/>
  <c r="M2128" i="5"/>
  <c r="M2129" i="5"/>
  <c r="M2130" i="5"/>
  <c r="M2131" i="5"/>
  <c r="M2132" i="5"/>
  <c r="M2133" i="5"/>
  <c r="M2134" i="5"/>
  <c r="M2135" i="5"/>
  <c r="M2136" i="5"/>
  <c r="M2137" i="5"/>
  <c r="M2138" i="5"/>
  <c r="M2139" i="5"/>
  <c r="M2140" i="5"/>
  <c r="M2141" i="5"/>
  <c r="M2142" i="5"/>
  <c r="M2143" i="5"/>
  <c r="M2144" i="5"/>
  <c r="M2145" i="5"/>
  <c r="M2146" i="5"/>
  <c r="M2147" i="5"/>
  <c r="M2148" i="5"/>
  <c r="M2149" i="5"/>
  <c r="M2150" i="5"/>
  <c r="M2151" i="5"/>
  <c r="M2152" i="5"/>
  <c r="M2153" i="5"/>
  <c r="M2154" i="5"/>
  <c r="M2155" i="5"/>
  <c r="M2156" i="5"/>
  <c r="M2157" i="5"/>
  <c r="M2158" i="5"/>
  <c r="M2159" i="5"/>
  <c r="M2160" i="5"/>
  <c r="M2161" i="5"/>
  <c r="M2162" i="5"/>
  <c r="M2163" i="5"/>
  <c r="M2164" i="5"/>
  <c r="M2165" i="5"/>
  <c r="M2166" i="5"/>
  <c r="M2167" i="5"/>
  <c r="M2168" i="5"/>
  <c r="M2169" i="5"/>
  <c r="M2170" i="5"/>
  <c r="M2171" i="5"/>
  <c r="M2172" i="5"/>
  <c r="M2173" i="5"/>
  <c r="M2174" i="5"/>
  <c r="M2175" i="5"/>
  <c r="M2176" i="5"/>
  <c r="M2177" i="5"/>
  <c r="M2178" i="5"/>
  <c r="M2179" i="5"/>
  <c r="M2180" i="5"/>
  <c r="M2181" i="5"/>
  <c r="M2182" i="5"/>
  <c r="M2183" i="5"/>
  <c r="M2184" i="5"/>
  <c r="M2185" i="5"/>
  <c r="M2186" i="5"/>
  <c r="M2187" i="5"/>
  <c r="M2188" i="5"/>
  <c r="M2189" i="5"/>
  <c r="M2190" i="5"/>
  <c r="M2191" i="5"/>
  <c r="M2192" i="5"/>
  <c r="M2193" i="5"/>
  <c r="M2194" i="5"/>
  <c r="M2195" i="5"/>
  <c r="M2196" i="5"/>
  <c r="M2197" i="5"/>
  <c r="M2198" i="5"/>
  <c r="M2199" i="5"/>
  <c r="M2200" i="5"/>
  <c r="M2201" i="5"/>
  <c r="M2202" i="5"/>
  <c r="M2203" i="5"/>
  <c r="M2204" i="5"/>
  <c r="M2205" i="5"/>
  <c r="M2206" i="5"/>
  <c r="M2207" i="5"/>
  <c r="M2208" i="5"/>
  <c r="M2209" i="5"/>
  <c r="M2210" i="5"/>
  <c r="M2211" i="5"/>
  <c r="M2212" i="5"/>
  <c r="M2213" i="5"/>
  <c r="M2214" i="5"/>
  <c r="M2215" i="5"/>
  <c r="M2216" i="5"/>
  <c r="M2217" i="5"/>
  <c r="M2218" i="5"/>
  <c r="M2219" i="5"/>
  <c r="M2220" i="5"/>
  <c r="M2221" i="5"/>
  <c r="M2222" i="5"/>
  <c r="M2223" i="5"/>
  <c r="M2224" i="5"/>
  <c r="M2225" i="5"/>
  <c r="M2226" i="5"/>
  <c r="M2227" i="5"/>
  <c r="M2228" i="5"/>
  <c r="M2229" i="5"/>
  <c r="M2230" i="5"/>
  <c r="M2231" i="5"/>
  <c r="M2232" i="5"/>
  <c r="M2233" i="5"/>
  <c r="M2234" i="5"/>
  <c r="M2235" i="5"/>
  <c r="M2236" i="5"/>
  <c r="M2237" i="5"/>
  <c r="M2238" i="5"/>
  <c r="M2239" i="5"/>
  <c r="M2240" i="5"/>
  <c r="M2241" i="5"/>
  <c r="M2242" i="5"/>
  <c r="M2243" i="5"/>
  <c r="M2244" i="5"/>
  <c r="M2245" i="5"/>
  <c r="M2246" i="5"/>
  <c r="M2247" i="5"/>
  <c r="M2248" i="5"/>
  <c r="M2249" i="5"/>
  <c r="M2250" i="5"/>
  <c r="M2251" i="5"/>
  <c r="M2252" i="5"/>
  <c r="M2253" i="5"/>
  <c r="M2254" i="5"/>
  <c r="M2255" i="5"/>
  <c r="M2256" i="5"/>
  <c r="M2257" i="5"/>
  <c r="M2258" i="5"/>
  <c r="M2259" i="5"/>
  <c r="M2260" i="5"/>
  <c r="M2261" i="5"/>
  <c r="M2262" i="5"/>
  <c r="M2263" i="5"/>
  <c r="M2264" i="5"/>
  <c r="M2265" i="5"/>
  <c r="M2266" i="5"/>
  <c r="M2267" i="5"/>
  <c r="M2268" i="5"/>
  <c r="M2269" i="5"/>
  <c r="M2270" i="5"/>
  <c r="M2271" i="5"/>
  <c r="M2272" i="5"/>
  <c r="M2273" i="5"/>
  <c r="M2274" i="5"/>
  <c r="M2275" i="5"/>
  <c r="M2276" i="5"/>
  <c r="M2277" i="5"/>
  <c r="M2278" i="5"/>
  <c r="M2279" i="5"/>
  <c r="M2280" i="5"/>
  <c r="M2281" i="5"/>
  <c r="M2282" i="5"/>
  <c r="M2283" i="5"/>
  <c r="M2284" i="5"/>
  <c r="M2285" i="5"/>
  <c r="M2286" i="5"/>
  <c r="M2287" i="5"/>
  <c r="M2288" i="5"/>
  <c r="M2289" i="5"/>
  <c r="M2290" i="5"/>
  <c r="M2291" i="5"/>
  <c r="M2292" i="5"/>
  <c r="M2293" i="5"/>
  <c r="M2294" i="5"/>
  <c r="M2295" i="5"/>
  <c r="M2296" i="5"/>
  <c r="M2297" i="5"/>
  <c r="M2298" i="5"/>
  <c r="M2299" i="5"/>
  <c r="M2300" i="5"/>
  <c r="M2301" i="5"/>
  <c r="M2302" i="5"/>
  <c r="M2303" i="5"/>
  <c r="M2304" i="5"/>
  <c r="M2305" i="5"/>
  <c r="M2306" i="5"/>
  <c r="M2307" i="5"/>
  <c r="M2308" i="5"/>
  <c r="M2309" i="5"/>
  <c r="M2310" i="5"/>
  <c r="M2311" i="5"/>
  <c r="M2312" i="5"/>
  <c r="M2313" i="5"/>
  <c r="M2314" i="5"/>
  <c r="M2315" i="5"/>
  <c r="M2316" i="5"/>
  <c r="M2317" i="5"/>
  <c r="M2318" i="5"/>
  <c r="M2319" i="5"/>
  <c r="M2320" i="5"/>
  <c r="M2321" i="5"/>
  <c r="M2322" i="5"/>
  <c r="M2323" i="5"/>
  <c r="M2324" i="5"/>
  <c r="M2325" i="5"/>
  <c r="M2326" i="5"/>
  <c r="M2327" i="5"/>
  <c r="M2328" i="5"/>
  <c r="M2329" i="5"/>
  <c r="M2330" i="5"/>
  <c r="M2331" i="5"/>
  <c r="M2332" i="5"/>
  <c r="M2333" i="5"/>
  <c r="M2334" i="5"/>
  <c r="M2335" i="5"/>
  <c r="M2336" i="5"/>
  <c r="M2337" i="5"/>
  <c r="M2338" i="5"/>
  <c r="M2339" i="5"/>
  <c r="M2340" i="5"/>
  <c r="M2341" i="5"/>
  <c r="M2342" i="5"/>
  <c r="M2343" i="5"/>
  <c r="M2344" i="5"/>
  <c r="M2345" i="5"/>
  <c r="M2346" i="5"/>
  <c r="M2347" i="5"/>
  <c r="M2348" i="5"/>
  <c r="M2349" i="5"/>
  <c r="M2350" i="5"/>
  <c r="M2351" i="5"/>
  <c r="M2352" i="5"/>
  <c r="M2353" i="5"/>
  <c r="M2354" i="5"/>
  <c r="M2355" i="5"/>
  <c r="M2356" i="5"/>
  <c r="M2357" i="5"/>
  <c r="M2358" i="5"/>
  <c r="M2359" i="5"/>
  <c r="M2360" i="5"/>
  <c r="M2361" i="5"/>
  <c r="M2362" i="5"/>
  <c r="M2363" i="5"/>
  <c r="M2364" i="5"/>
  <c r="M2365" i="5"/>
  <c r="M2366" i="5"/>
  <c r="M2367" i="5"/>
  <c r="M2368" i="5"/>
  <c r="M2369" i="5"/>
  <c r="M2370" i="5"/>
  <c r="M2371" i="5"/>
  <c r="M2372" i="5"/>
  <c r="M2373" i="5"/>
  <c r="M2374" i="5"/>
  <c r="M2375" i="5"/>
  <c r="M2376" i="5"/>
  <c r="M2377" i="5"/>
  <c r="M2378" i="5"/>
  <c r="M2379" i="5"/>
  <c r="M2380" i="5"/>
  <c r="M2381" i="5"/>
  <c r="M2382" i="5"/>
  <c r="M2383" i="5"/>
  <c r="M2384" i="5"/>
  <c r="M2385" i="5"/>
  <c r="M2386" i="5"/>
  <c r="M2387" i="5"/>
  <c r="M2388" i="5"/>
  <c r="M2389" i="5"/>
  <c r="M2390" i="5"/>
  <c r="M2391" i="5"/>
  <c r="M2392" i="5"/>
  <c r="M2393" i="5"/>
  <c r="M2394" i="5"/>
  <c r="M2395" i="5"/>
  <c r="M2396" i="5"/>
  <c r="M2397" i="5"/>
  <c r="M2398" i="5"/>
  <c r="M2399" i="5"/>
  <c r="M2400" i="5"/>
  <c r="M2401" i="5"/>
  <c r="M2402" i="5"/>
  <c r="M2403" i="5"/>
  <c r="M2404" i="5"/>
  <c r="M2405" i="5"/>
  <c r="M2406" i="5"/>
  <c r="M2407" i="5"/>
  <c r="M2408" i="5"/>
  <c r="M2409" i="5"/>
  <c r="M2410" i="5"/>
  <c r="M2411" i="5"/>
  <c r="M2412" i="5"/>
  <c r="M2413" i="5"/>
  <c r="M2414" i="5"/>
  <c r="M2415" i="5"/>
  <c r="M2416" i="5"/>
  <c r="M2417" i="5"/>
  <c r="M2418" i="5"/>
  <c r="M2419" i="5"/>
  <c r="M2420" i="5"/>
  <c r="M2421" i="5"/>
  <c r="M2422" i="5"/>
  <c r="M2423" i="5"/>
  <c r="M2424" i="5"/>
  <c r="M2425" i="5"/>
  <c r="M2426" i="5"/>
  <c r="M2427" i="5"/>
  <c r="M2428" i="5"/>
  <c r="M2429" i="5"/>
  <c r="M2430" i="5"/>
  <c r="M2431" i="5"/>
  <c r="M2432" i="5"/>
  <c r="M2433" i="5"/>
  <c r="M2434" i="5"/>
  <c r="M2435" i="5"/>
  <c r="M2436" i="5"/>
  <c r="M2437" i="5"/>
  <c r="M2438" i="5"/>
  <c r="M2439" i="5"/>
  <c r="M2440" i="5"/>
  <c r="M2441" i="5"/>
  <c r="M2442" i="5"/>
  <c r="M2443" i="5"/>
  <c r="M2444" i="5"/>
  <c r="M2445" i="5"/>
  <c r="M2446" i="5"/>
  <c r="M2447" i="5"/>
  <c r="M2448" i="5"/>
  <c r="M2449" i="5"/>
  <c r="M2450" i="5"/>
  <c r="M2451" i="5"/>
  <c r="M2452" i="5"/>
  <c r="M2453" i="5"/>
  <c r="M2454" i="5"/>
  <c r="M2455" i="5"/>
  <c r="M2456" i="5"/>
  <c r="M2457" i="5"/>
  <c r="M2458" i="5"/>
  <c r="M2459" i="5"/>
  <c r="M2460" i="5"/>
  <c r="M2461" i="5"/>
  <c r="M2462" i="5"/>
  <c r="M2463" i="5"/>
  <c r="M2464" i="5"/>
  <c r="M2465" i="5"/>
  <c r="M2466" i="5"/>
  <c r="M2467" i="5"/>
  <c r="M2468" i="5"/>
  <c r="M2469" i="5"/>
  <c r="M2470" i="5"/>
  <c r="M2471" i="5"/>
  <c r="M2472" i="5"/>
  <c r="M2473" i="5"/>
  <c r="M2474" i="5"/>
  <c r="M2475" i="5"/>
  <c r="M2476" i="5"/>
  <c r="M2477" i="5"/>
  <c r="M2478" i="5"/>
  <c r="M2479" i="5"/>
  <c r="M2480" i="5"/>
  <c r="M2481" i="5"/>
  <c r="M2482" i="5"/>
  <c r="M2483" i="5"/>
  <c r="M2484" i="5"/>
  <c r="M2485" i="5"/>
  <c r="M2486" i="5"/>
  <c r="M2487" i="5"/>
  <c r="M2488" i="5"/>
  <c r="M2489" i="5"/>
  <c r="M2490" i="5"/>
  <c r="M2491" i="5"/>
  <c r="M2492" i="5"/>
  <c r="M2493" i="5"/>
  <c r="M2494" i="5"/>
  <c r="M2495" i="5"/>
  <c r="M2496" i="5"/>
  <c r="M2497" i="5"/>
  <c r="M2498" i="5"/>
  <c r="M2499" i="5"/>
  <c r="M2500" i="5"/>
  <c r="M2501" i="5"/>
  <c r="M2502" i="5"/>
  <c r="M2503" i="5"/>
  <c r="M2504" i="5"/>
  <c r="M2505" i="5"/>
  <c r="M2506" i="5"/>
  <c r="M2507" i="5"/>
  <c r="M2508" i="5"/>
  <c r="M2509" i="5"/>
  <c r="M2510" i="5"/>
  <c r="M2511" i="5"/>
  <c r="M2512" i="5"/>
  <c r="M2513" i="5"/>
  <c r="M2514" i="5"/>
  <c r="M2515" i="5"/>
  <c r="M2516" i="5"/>
  <c r="M2517" i="5"/>
  <c r="M2518" i="5"/>
  <c r="M2519" i="5"/>
  <c r="M2520" i="5"/>
  <c r="M2521" i="5"/>
  <c r="M2522" i="5"/>
  <c r="M2523" i="5"/>
  <c r="M2524" i="5"/>
  <c r="M2525" i="5"/>
  <c r="M2526" i="5"/>
  <c r="M2527" i="5"/>
  <c r="M2528" i="5"/>
  <c r="M2529" i="5"/>
  <c r="M2530" i="5"/>
  <c r="M2531" i="5"/>
  <c r="M2532" i="5"/>
  <c r="M2533" i="5"/>
  <c r="M2534" i="5"/>
  <c r="M2535" i="5"/>
  <c r="M2536" i="5"/>
  <c r="M2537" i="5"/>
  <c r="M2538" i="5"/>
  <c r="M2539" i="5"/>
  <c r="M2540" i="5"/>
  <c r="M2541" i="5"/>
  <c r="M2542" i="5"/>
  <c r="M2543" i="5"/>
  <c r="M2544" i="5"/>
  <c r="M2545" i="5"/>
  <c r="M2546" i="5"/>
  <c r="M2547" i="5"/>
  <c r="M2548" i="5"/>
  <c r="M2549" i="5"/>
  <c r="M2550" i="5"/>
  <c r="M2551" i="5"/>
  <c r="M2552" i="5"/>
  <c r="M2553" i="5"/>
  <c r="M2554" i="5"/>
  <c r="M2555" i="5"/>
  <c r="M2556" i="5"/>
  <c r="M2557" i="5"/>
  <c r="M2558" i="5"/>
  <c r="M2559" i="5"/>
  <c r="M2560" i="5"/>
  <c r="M2561" i="5"/>
  <c r="M2562" i="5"/>
  <c r="M2563" i="5"/>
  <c r="M2564" i="5"/>
  <c r="M2565" i="5"/>
  <c r="M2566" i="5"/>
  <c r="M2567" i="5"/>
  <c r="M2568" i="5"/>
  <c r="M2569" i="5"/>
  <c r="M2570" i="5"/>
  <c r="M2571" i="5"/>
  <c r="M2572" i="5"/>
  <c r="M2573" i="5"/>
  <c r="M2574" i="5"/>
  <c r="M2575" i="5"/>
  <c r="M2576" i="5"/>
  <c r="M2577" i="5"/>
  <c r="M2578" i="5"/>
  <c r="M2579" i="5"/>
  <c r="M2580" i="5"/>
  <c r="M2581" i="5"/>
  <c r="M2582" i="5"/>
  <c r="M2583" i="5"/>
  <c r="M2584" i="5"/>
  <c r="M2585" i="5"/>
  <c r="M2586" i="5"/>
  <c r="M2587" i="5"/>
  <c r="M2588" i="5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V7" i="8"/>
  <c r="V2" i="8"/>
  <c r="V3" i="8"/>
  <c r="V4" i="8"/>
  <c r="V5" i="8"/>
  <c r="V6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84" i="8"/>
  <c r="V85" i="8"/>
  <c r="V86" i="8"/>
  <c r="V87" i="8"/>
  <c r="V88" i="8"/>
  <c r="V89" i="8"/>
  <c r="V90" i="8"/>
  <c r="V91" i="8"/>
  <c r="V92" i="8"/>
  <c r="V93" i="8"/>
  <c r="V94" i="8"/>
  <c r="V95" i="8"/>
  <c r="V96" i="8"/>
  <c r="V97" i="8"/>
  <c r="V98" i="8"/>
  <c r="V99" i="8"/>
  <c r="V100" i="8"/>
  <c r="V101" i="8"/>
  <c r="V102" i="8"/>
  <c r="V103" i="8"/>
  <c r="V104" i="8"/>
  <c r="V105" i="8"/>
  <c r="V106" i="8"/>
  <c r="V107" i="8"/>
  <c r="V108" i="8"/>
  <c r="V109" i="8"/>
  <c r="V110" i="8"/>
  <c r="V111" i="8"/>
  <c r="V112" i="8"/>
  <c r="V113" i="8"/>
  <c r="V114" i="8"/>
  <c r="V115" i="8"/>
  <c r="V116" i="8"/>
  <c r="V117" i="8"/>
  <c r="V118" i="8"/>
  <c r="V119" i="8"/>
  <c r="V120" i="8"/>
  <c r="V121" i="8"/>
  <c r="V122" i="8"/>
  <c r="V123" i="8"/>
  <c r="V124" i="8"/>
  <c r="V125" i="8"/>
  <c r="V126" i="8"/>
  <c r="V127" i="8"/>
  <c r="V128" i="8"/>
  <c r="V129" i="8"/>
  <c r="V130" i="8"/>
  <c r="V131" i="8"/>
  <c r="V132" i="8"/>
  <c r="V133" i="8"/>
  <c r="V134" i="8"/>
  <c r="V135" i="8"/>
  <c r="V136" i="8"/>
  <c r="V137" i="8"/>
  <c r="V138" i="8"/>
  <c r="V139" i="8"/>
  <c r="V140" i="8"/>
  <c r="V141" i="8"/>
  <c r="V142" i="8"/>
  <c r="V143" i="8"/>
  <c r="V144" i="8"/>
  <c r="V145" i="8"/>
  <c r="V146" i="8"/>
  <c r="V147" i="8"/>
  <c r="V148" i="8"/>
  <c r="V149" i="8"/>
  <c r="V150" i="8"/>
  <c r="V151" i="8"/>
  <c r="V152" i="8"/>
  <c r="V153" i="8"/>
  <c r="V154" i="8"/>
  <c r="V155" i="8"/>
  <c r="V156" i="8"/>
  <c r="V157" i="8"/>
  <c r="V158" i="8"/>
  <c r="V159" i="8"/>
  <c r="V160" i="8"/>
  <c r="V161" i="8"/>
  <c r="V162" i="8"/>
  <c r="V163" i="8"/>
  <c r="V164" i="8"/>
  <c r="V165" i="8"/>
  <c r="V166" i="8"/>
  <c r="V167" i="8"/>
  <c r="V168" i="8"/>
  <c r="V169" i="8"/>
  <c r="V170" i="8"/>
  <c r="V171" i="8"/>
  <c r="V172" i="8"/>
  <c r="V173" i="8"/>
  <c r="V174" i="8"/>
  <c r="V175" i="8"/>
  <c r="V176" i="8"/>
  <c r="V177" i="8"/>
  <c r="V178" i="8"/>
  <c r="V179" i="8"/>
  <c r="V180" i="8"/>
  <c r="V181" i="8"/>
  <c r="V182" i="8"/>
  <c r="V183" i="8"/>
  <c r="V184" i="8"/>
  <c r="V185" i="8"/>
  <c r="V186" i="8"/>
  <c r="V187" i="8"/>
  <c r="V188" i="8"/>
  <c r="V189" i="8"/>
  <c r="V190" i="8"/>
  <c r="V191" i="8"/>
  <c r="V192" i="8"/>
  <c r="V193" i="8"/>
  <c r="V194" i="8"/>
  <c r="V195" i="8"/>
  <c r="V196" i="8"/>
  <c r="V197" i="8"/>
  <c r="V198" i="8"/>
  <c r="V199" i="8"/>
  <c r="V200" i="8"/>
  <c r="V201" i="8"/>
  <c r="V202" i="8"/>
  <c r="V203" i="8"/>
  <c r="V204" i="8"/>
  <c r="V205" i="8"/>
  <c r="V206" i="8"/>
  <c r="V207" i="8"/>
  <c r="V208" i="8"/>
  <c r="V209" i="8"/>
  <c r="V210" i="8"/>
  <c r="V211" i="8"/>
  <c r="V212" i="8"/>
  <c r="V213" i="8"/>
  <c r="V214" i="8"/>
  <c r="V215" i="8"/>
  <c r="V216" i="8"/>
  <c r="V217" i="8"/>
  <c r="V218" i="8"/>
  <c r="V219" i="8"/>
  <c r="V220" i="8"/>
  <c r="V221" i="8"/>
  <c r="V222" i="8"/>
  <c r="V223" i="8"/>
  <c r="V224" i="8"/>
  <c r="V225" i="8"/>
  <c r="V226" i="8"/>
  <c r="V227" i="8"/>
  <c r="V228" i="8"/>
  <c r="V229" i="8"/>
  <c r="V230" i="8"/>
  <c r="V231" i="8"/>
  <c r="V232" i="8"/>
  <c r="V233" i="8"/>
  <c r="V234" i="8"/>
  <c r="V235" i="8"/>
  <c r="V236" i="8"/>
  <c r="V237" i="8"/>
  <c r="V238" i="8"/>
  <c r="V239" i="8"/>
  <c r="V240" i="8"/>
  <c r="V241" i="8"/>
  <c r="V242" i="8"/>
  <c r="V243" i="8"/>
  <c r="V244" i="8"/>
  <c r="V245" i="8"/>
  <c r="V246" i="8"/>
  <c r="V247" i="8"/>
  <c r="V248" i="8"/>
  <c r="V249" i="8"/>
  <c r="V250" i="8"/>
  <c r="V251" i="8"/>
  <c r="V252" i="8"/>
  <c r="V253" i="8"/>
  <c r="V254" i="8"/>
  <c r="V255" i="8"/>
  <c r="V256" i="8"/>
  <c r="V257" i="8"/>
  <c r="V258" i="8"/>
  <c r="V259" i="8"/>
  <c r="V260" i="8"/>
  <c r="V261" i="8"/>
  <c r="V262" i="8"/>
  <c r="V263" i="8"/>
  <c r="V264" i="8"/>
  <c r="V265" i="8"/>
  <c r="V266" i="8"/>
  <c r="V267" i="8"/>
  <c r="V268" i="8"/>
  <c r="V269" i="8"/>
  <c r="V270" i="8"/>
  <c r="V271" i="8"/>
  <c r="V272" i="8"/>
  <c r="V273" i="8"/>
  <c r="V274" i="8"/>
  <c r="V275" i="8"/>
  <c r="V276" i="8"/>
  <c r="V277" i="8"/>
  <c r="V278" i="8"/>
  <c r="V279" i="8"/>
  <c r="V280" i="8"/>
  <c r="V281" i="8"/>
  <c r="V282" i="8"/>
  <c r="V283" i="8"/>
  <c r="V284" i="8"/>
  <c r="V285" i="8"/>
  <c r="V286" i="8"/>
  <c r="V287" i="8"/>
  <c r="V288" i="8"/>
  <c r="V289" i="8"/>
  <c r="V290" i="8"/>
  <c r="V291" i="8"/>
  <c r="V292" i="8"/>
  <c r="V293" i="8"/>
  <c r="V294" i="8"/>
  <c r="V295" i="8"/>
  <c r="V296" i="8"/>
  <c r="V297" i="8"/>
  <c r="V298" i="8"/>
  <c r="V299" i="8"/>
  <c r="V300" i="8"/>
  <c r="V301" i="8"/>
  <c r="V302" i="8"/>
  <c r="V303" i="8"/>
  <c r="V304" i="8"/>
  <c r="V305" i="8"/>
  <c r="V306" i="8"/>
  <c r="V307" i="8"/>
  <c r="V308" i="8"/>
  <c r="V309" i="8"/>
  <c r="V310" i="8"/>
  <c r="V311" i="8"/>
  <c r="V312" i="8"/>
  <c r="V313" i="8"/>
  <c r="V314" i="8"/>
  <c r="V315" i="8"/>
  <c r="V316" i="8"/>
  <c r="V317" i="8"/>
  <c r="V318" i="8"/>
  <c r="V319" i="8"/>
  <c r="V320" i="8"/>
  <c r="V321" i="8"/>
  <c r="V322" i="8"/>
  <c r="V323" i="8"/>
  <c r="V324" i="8"/>
  <c r="V325" i="8"/>
  <c r="V326" i="8"/>
  <c r="V327" i="8"/>
  <c r="V328" i="8"/>
  <c r="V329" i="8"/>
  <c r="V330" i="8"/>
  <c r="V331" i="8"/>
  <c r="V332" i="8"/>
  <c r="V333" i="8"/>
  <c r="V334" i="8"/>
  <c r="V335" i="8"/>
  <c r="V336" i="8"/>
  <c r="V337" i="8"/>
  <c r="V338" i="8"/>
  <c r="V339" i="8"/>
  <c r="V340" i="8"/>
  <c r="V341" i="8"/>
  <c r="V342" i="8"/>
  <c r="V343" i="8"/>
  <c r="V344" i="8"/>
  <c r="V345" i="8"/>
  <c r="V346" i="8"/>
  <c r="V347" i="8"/>
  <c r="V348" i="8"/>
  <c r="V349" i="8"/>
  <c r="V350" i="8"/>
  <c r="V351" i="8"/>
  <c r="V352" i="8"/>
  <c r="V353" i="8"/>
  <c r="V354" i="8"/>
  <c r="V355" i="8"/>
  <c r="V356" i="8"/>
  <c r="V357" i="8"/>
  <c r="V358" i="8"/>
  <c r="V359" i="8"/>
  <c r="V360" i="8"/>
  <c r="V361" i="8"/>
  <c r="V362" i="8"/>
  <c r="V363" i="8"/>
  <c r="V364" i="8"/>
  <c r="V365" i="8"/>
  <c r="V366" i="8"/>
  <c r="V367" i="8"/>
  <c r="V368" i="8"/>
  <c r="V369" i="8"/>
  <c r="V370" i="8"/>
  <c r="V371" i="8"/>
  <c r="V372" i="8"/>
  <c r="V373" i="8"/>
  <c r="V374" i="8"/>
  <c r="V375" i="8"/>
  <c r="V376" i="8"/>
  <c r="V377" i="8"/>
  <c r="V378" i="8"/>
  <c r="V379" i="8"/>
  <c r="V380" i="8"/>
  <c r="V381" i="8"/>
  <c r="V382" i="8"/>
  <c r="V383" i="8"/>
  <c r="V384" i="8"/>
  <c r="V385" i="8"/>
  <c r="V386" i="8"/>
  <c r="V387" i="8"/>
  <c r="V388" i="8"/>
  <c r="V389" i="8"/>
  <c r="V390" i="8"/>
  <c r="V391" i="8"/>
  <c r="V392" i="8"/>
  <c r="V393" i="8"/>
  <c r="V394" i="8"/>
  <c r="V395" i="8"/>
  <c r="V396" i="8"/>
  <c r="V397" i="8"/>
  <c r="V398" i="8"/>
  <c r="V399" i="8"/>
  <c r="V400" i="8"/>
  <c r="V401" i="8"/>
  <c r="V402" i="8"/>
  <c r="V403" i="8"/>
  <c r="V404" i="8"/>
  <c r="V405" i="8"/>
  <c r="V406" i="8"/>
  <c r="V407" i="8"/>
  <c r="V408" i="8"/>
  <c r="V409" i="8"/>
  <c r="V410" i="8"/>
  <c r="V411" i="8"/>
  <c r="V412" i="8"/>
  <c r="V413" i="8"/>
  <c r="V414" i="8"/>
  <c r="V415" i="8"/>
  <c r="V416" i="8"/>
  <c r="V417" i="8"/>
  <c r="V418" i="8"/>
  <c r="V419" i="8"/>
  <c r="V420" i="8"/>
  <c r="V421" i="8"/>
  <c r="V422" i="8"/>
  <c r="V423" i="8"/>
  <c r="V424" i="8"/>
  <c r="V425" i="8"/>
  <c r="V426" i="8"/>
  <c r="V427" i="8"/>
  <c r="V428" i="8"/>
  <c r="V429" i="8"/>
  <c r="V430" i="8"/>
  <c r="V431" i="8"/>
  <c r="V432" i="8"/>
  <c r="V433" i="8"/>
  <c r="V434" i="8"/>
  <c r="V435" i="8"/>
  <c r="V436" i="8"/>
  <c r="V437" i="8"/>
  <c r="V438" i="8"/>
  <c r="V439" i="8"/>
  <c r="V440" i="8"/>
  <c r="V441" i="8"/>
  <c r="V442" i="8"/>
  <c r="V443" i="8"/>
  <c r="V444" i="8"/>
  <c r="V445" i="8"/>
  <c r="V446" i="8"/>
  <c r="V447" i="8"/>
  <c r="V448" i="8"/>
  <c r="V449" i="8"/>
  <c r="V450" i="8"/>
  <c r="V451" i="8"/>
  <c r="V452" i="8"/>
  <c r="V453" i="8"/>
  <c r="V454" i="8"/>
  <c r="V455" i="8"/>
  <c r="V456" i="8"/>
  <c r="V457" i="8"/>
  <c r="V458" i="8"/>
  <c r="V459" i="8"/>
  <c r="V460" i="8"/>
  <c r="V461" i="8"/>
  <c r="V462" i="8"/>
  <c r="V463" i="8"/>
  <c r="V464" i="8"/>
  <c r="V465" i="8"/>
  <c r="V466" i="8"/>
  <c r="V467" i="8"/>
  <c r="V468" i="8"/>
  <c r="V469" i="8"/>
  <c r="V470" i="8"/>
  <c r="V471" i="8"/>
  <c r="V472" i="8"/>
  <c r="V473" i="8"/>
  <c r="V474" i="8"/>
  <c r="V475" i="8"/>
  <c r="V476" i="8"/>
  <c r="V477" i="8"/>
  <c r="V478" i="8"/>
  <c r="V479" i="8"/>
  <c r="V480" i="8"/>
  <c r="V481" i="8"/>
  <c r="V482" i="8"/>
  <c r="V483" i="8"/>
  <c r="V484" i="8"/>
  <c r="V485" i="8"/>
  <c r="V486" i="8"/>
  <c r="V487" i="8"/>
  <c r="V488" i="8"/>
  <c r="V489" i="8"/>
  <c r="V490" i="8"/>
  <c r="V491" i="8"/>
  <c r="V492" i="8"/>
  <c r="V493" i="8"/>
  <c r="V494" i="8"/>
  <c r="V495" i="8"/>
  <c r="V496" i="8"/>
  <c r="V497" i="8"/>
  <c r="V498" i="8"/>
  <c r="V499" i="8"/>
  <c r="V500" i="8"/>
  <c r="V501" i="8"/>
  <c r="V502" i="8"/>
  <c r="V503" i="8"/>
  <c r="V504" i="8"/>
  <c r="V505" i="8"/>
  <c r="V506" i="8"/>
  <c r="V507" i="8"/>
  <c r="V508" i="8"/>
  <c r="V509" i="8"/>
  <c r="V510" i="8"/>
  <c r="V511" i="8"/>
  <c r="V512" i="8"/>
  <c r="V513" i="8"/>
  <c r="V514" i="8"/>
  <c r="V515" i="8"/>
  <c r="V516" i="8"/>
  <c r="V517" i="8"/>
  <c r="V518" i="8"/>
  <c r="V519" i="8"/>
  <c r="V520" i="8"/>
  <c r="V521" i="8"/>
  <c r="V522" i="8"/>
  <c r="V523" i="8"/>
  <c r="V524" i="8"/>
  <c r="V525" i="8"/>
  <c r="V526" i="8"/>
  <c r="V527" i="8"/>
  <c r="V528" i="8"/>
  <c r="V529" i="8"/>
  <c r="V530" i="8"/>
  <c r="V531" i="8"/>
  <c r="V532" i="8"/>
  <c r="V533" i="8"/>
  <c r="V534" i="8"/>
  <c r="V535" i="8"/>
  <c r="V536" i="8"/>
  <c r="V537" i="8"/>
  <c r="V538" i="8"/>
  <c r="V539" i="8"/>
  <c r="V540" i="8"/>
  <c r="V541" i="8"/>
  <c r="V542" i="8"/>
  <c r="V543" i="8"/>
  <c r="V544" i="8"/>
  <c r="V545" i="8"/>
  <c r="V546" i="8"/>
  <c r="V547" i="8"/>
  <c r="V548" i="8"/>
  <c r="V549" i="8"/>
  <c r="V550" i="8"/>
  <c r="V551" i="8"/>
  <c r="V552" i="8"/>
  <c r="V553" i="8"/>
  <c r="V554" i="8"/>
  <c r="V555" i="8"/>
  <c r="V556" i="8"/>
  <c r="V557" i="8"/>
  <c r="V558" i="8"/>
  <c r="V559" i="8"/>
  <c r="V560" i="8"/>
  <c r="V561" i="8"/>
  <c r="V562" i="8"/>
  <c r="V563" i="8"/>
  <c r="V564" i="8"/>
  <c r="V565" i="8"/>
  <c r="V566" i="8"/>
  <c r="V567" i="8"/>
  <c r="V568" i="8"/>
  <c r="V569" i="8"/>
  <c r="V570" i="8"/>
  <c r="V571" i="8"/>
  <c r="V572" i="8"/>
  <c r="V573" i="8"/>
  <c r="V574" i="8"/>
  <c r="V575" i="8"/>
  <c r="V576" i="8"/>
  <c r="V577" i="8"/>
  <c r="V578" i="8"/>
  <c r="V579" i="8"/>
  <c r="V580" i="8"/>
  <c r="V581" i="8"/>
  <c r="V582" i="8"/>
  <c r="V583" i="8"/>
  <c r="V584" i="8"/>
  <c r="V585" i="8"/>
  <c r="V586" i="8"/>
  <c r="V587" i="8"/>
  <c r="V588" i="8"/>
  <c r="V589" i="8"/>
  <c r="V590" i="8"/>
  <c r="V591" i="8"/>
  <c r="V592" i="8"/>
  <c r="V593" i="8"/>
  <c r="V594" i="8"/>
  <c r="V595" i="8"/>
  <c r="V596" i="8"/>
  <c r="V597" i="8"/>
  <c r="V598" i="8"/>
  <c r="V599" i="8"/>
  <c r="V600" i="8"/>
  <c r="V601" i="8"/>
  <c r="V602" i="8"/>
  <c r="V603" i="8"/>
  <c r="V604" i="8"/>
  <c r="V605" i="8"/>
  <c r="V606" i="8"/>
  <c r="V607" i="8"/>
  <c r="V608" i="8"/>
  <c r="V609" i="8"/>
  <c r="V610" i="8"/>
  <c r="V611" i="8"/>
  <c r="V612" i="8"/>
  <c r="V613" i="8"/>
  <c r="V614" i="8"/>
  <c r="V615" i="8"/>
  <c r="V616" i="8"/>
  <c r="V617" i="8"/>
  <c r="V618" i="8"/>
  <c r="V619" i="8"/>
  <c r="V620" i="8"/>
  <c r="V621" i="8"/>
  <c r="V622" i="8"/>
  <c r="V623" i="8"/>
  <c r="V624" i="8"/>
  <c r="V625" i="8"/>
  <c r="V626" i="8"/>
  <c r="V627" i="8"/>
  <c r="V628" i="8"/>
  <c r="V629" i="8"/>
  <c r="V630" i="8"/>
  <c r="V631" i="8"/>
  <c r="V632" i="8"/>
  <c r="V633" i="8"/>
  <c r="V634" i="8"/>
  <c r="V635" i="8"/>
  <c r="V636" i="8"/>
  <c r="V637" i="8"/>
  <c r="V638" i="8"/>
  <c r="V639" i="8"/>
  <c r="V640" i="8"/>
  <c r="V641" i="8"/>
  <c r="V642" i="8"/>
  <c r="V643" i="8"/>
  <c r="V644" i="8"/>
  <c r="V645" i="8"/>
  <c r="V646" i="8"/>
  <c r="V647" i="8"/>
  <c r="V648" i="8"/>
  <c r="V649" i="8"/>
  <c r="V650" i="8"/>
  <c r="V651" i="8"/>
  <c r="V652" i="8"/>
  <c r="V653" i="8"/>
  <c r="V654" i="8"/>
  <c r="V655" i="8"/>
  <c r="V656" i="8"/>
  <c r="V657" i="8"/>
  <c r="V658" i="8"/>
  <c r="V659" i="8"/>
  <c r="V660" i="8"/>
  <c r="V661" i="8"/>
  <c r="V662" i="8"/>
  <c r="V663" i="8"/>
  <c r="V664" i="8"/>
  <c r="V665" i="8"/>
  <c r="V666" i="8"/>
  <c r="V667" i="8"/>
  <c r="V668" i="8"/>
  <c r="V669" i="8"/>
  <c r="V670" i="8"/>
  <c r="V671" i="8"/>
  <c r="V672" i="8"/>
  <c r="V673" i="8"/>
  <c r="V674" i="8"/>
  <c r="V675" i="8"/>
  <c r="V676" i="8"/>
  <c r="V677" i="8"/>
  <c r="V678" i="8"/>
  <c r="V679" i="8"/>
  <c r="V680" i="8"/>
  <c r="V681" i="8"/>
  <c r="V682" i="8"/>
  <c r="V683" i="8"/>
  <c r="V684" i="8"/>
  <c r="V685" i="8"/>
  <c r="V686" i="8"/>
  <c r="V687" i="8"/>
  <c r="V688" i="8"/>
  <c r="V689" i="8"/>
  <c r="V690" i="8"/>
  <c r="V691" i="8"/>
  <c r="V692" i="8"/>
  <c r="V693" i="8"/>
  <c r="V694" i="8"/>
  <c r="V695" i="8"/>
  <c r="V696" i="8"/>
  <c r="V697" i="8"/>
  <c r="V698" i="8"/>
  <c r="V699" i="8"/>
  <c r="V700" i="8"/>
  <c r="V701" i="8"/>
  <c r="V702" i="8"/>
  <c r="V703" i="8"/>
  <c r="V704" i="8"/>
  <c r="V705" i="8"/>
  <c r="V706" i="8"/>
  <c r="V707" i="8"/>
  <c r="V708" i="8"/>
  <c r="V709" i="8"/>
  <c r="V710" i="8"/>
  <c r="V711" i="8"/>
  <c r="V712" i="8"/>
  <c r="V713" i="8"/>
  <c r="V714" i="8"/>
  <c r="V715" i="8"/>
  <c r="V716" i="8"/>
  <c r="V717" i="8"/>
  <c r="V718" i="8"/>
  <c r="V719" i="8"/>
  <c r="V720" i="8"/>
  <c r="V721" i="8"/>
  <c r="V722" i="8"/>
  <c r="V723" i="8"/>
  <c r="V724" i="8"/>
  <c r="V725" i="8"/>
  <c r="V726" i="8"/>
  <c r="V727" i="8"/>
  <c r="V728" i="8"/>
  <c r="V729" i="8"/>
  <c r="V730" i="8"/>
  <c r="V731" i="8"/>
  <c r="V732" i="8"/>
  <c r="V733" i="8"/>
  <c r="V734" i="8"/>
  <c r="V735" i="8"/>
  <c r="V736" i="8"/>
  <c r="V737" i="8"/>
  <c r="V738" i="8"/>
  <c r="V739" i="8"/>
  <c r="V740" i="8"/>
  <c r="V741" i="8"/>
  <c r="V742" i="8"/>
  <c r="V743" i="8"/>
  <c r="V744" i="8"/>
  <c r="V745" i="8"/>
  <c r="V746" i="8"/>
  <c r="V747" i="8"/>
  <c r="V748" i="8"/>
  <c r="V749" i="8"/>
  <c r="V750" i="8"/>
  <c r="V751" i="8"/>
  <c r="V752" i="8"/>
  <c r="V753" i="8"/>
  <c r="V754" i="8"/>
  <c r="V755" i="8"/>
  <c r="V756" i="8"/>
  <c r="V757" i="8"/>
  <c r="V758" i="8"/>
  <c r="V759" i="8"/>
  <c r="V760" i="8"/>
  <c r="V761" i="8"/>
  <c r="V762" i="8"/>
  <c r="V763" i="8"/>
  <c r="V764" i="8"/>
  <c r="V765" i="8"/>
  <c r="V766" i="8"/>
  <c r="V767" i="8"/>
  <c r="V768" i="8"/>
  <c r="V769" i="8"/>
  <c r="V770" i="8"/>
  <c r="V771" i="8"/>
  <c r="V772" i="8"/>
  <c r="V773" i="8"/>
  <c r="V774" i="8"/>
  <c r="V775" i="8"/>
  <c r="V776" i="8"/>
  <c r="V777" i="8"/>
  <c r="V778" i="8"/>
  <c r="V779" i="8"/>
  <c r="V780" i="8"/>
  <c r="V781" i="8"/>
  <c r="V782" i="8"/>
  <c r="V783" i="8"/>
  <c r="V784" i="8"/>
  <c r="V785" i="8"/>
  <c r="V786" i="8"/>
  <c r="V787" i="8"/>
  <c r="V788" i="8"/>
  <c r="V789" i="8"/>
  <c r="V790" i="8"/>
  <c r="V791" i="8"/>
  <c r="V792" i="8"/>
  <c r="V793" i="8"/>
  <c r="V794" i="8"/>
  <c r="V795" i="8"/>
  <c r="V796" i="8"/>
  <c r="V797" i="8"/>
  <c r="V798" i="8"/>
  <c r="V799" i="8"/>
  <c r="V800" i="8"/>
  <c r="V801" i="8"/>
  <c r="V802" i="8"/>
  <c r="V803" i="8"/>
  <c r="V804" i="8"/>
  <c r="V805" i="8"/>
  <c r="V806" i="8"/>
  <c r="V807" i="8"/>
  <c r="V808" i="8"/>
  <c r="V809" i="8"/>
  <c r="V810" i="8"/>
  <c r="V811" i="8"/>
  <c r="V812" i="8"/>
  <c r="V813" i="8"/>
  <c r="V814" i="8"/>
  <c r="V815" i="8"/>
  <c r="V816" i="8"/>
  <c r="V817" i="8"/>
  <c r="V818" i="8"/>
  <c r="V819" i="8"/>
  <c r="V820" i="8"/>
  <c r="V821" i="8"/>
  <c r="V822" i="8"/>
  <c r="V823" i="8"/>
  <c r="V824" i="8"/>
  <c r="V825" i="8"/>
  <c r="V826" i="8"/>
  <c r="V827" i="8"/>
  <c r="V828" i="8"/>
  <c r="V829" i="8"/>
  <c r="V830" i="8"/>
  <c r="V831" i="8"/>
  <c r="V832" i="8"/>
  <c r="V833" i="8"/>
  <c r="V834" i="8"/>
  <c r="V835" i="8"/>
  <c r="V836" i="8"/>
  <c r="V837" i="8"/>
  <c r="V838" i="8"/>
  <c r="V839" i="8"/>
  <c r="V840" i="8"/>
  <c r="V841" i="8"/>
  <c r="V842" i="8"/>
  <c r="V843" i="8"/>
  <c r="V844" i="8"/>
  <c r="V845" i="8"/>
  <c r="V846" i="8"/>
  <c r="V847" i="8"/>
  <c r="V848" i="8"/>
  <c r="V849" i="8"/>
  <c r="V850" i="8"/>
  <c r="V851" i="8"/>
  <c r="V852" i="8"/>
  <c r="V853" i="8"/>
  <c r="V854" i="8"/>
  <c r="V855" i="8"/>
  <c r="V856" i="8"/>
  <c r="V857" i="8"/>
  <c r="V858" i="8"/>
  <c r="V859" i="8"/>
  <c r="V860" i="8"/>
  <c r="V861" i="8"/>
  <c r="V862" i="8"/>
  <c r="V863" i="8"/>
  <c r="V864" i="8"/>
  <c r="V865" i="8"/>
  <c r="V866" i="8"/>
  <c r="V867" i="8"/>
  <c r="V868" i="8"/>
  <c r="V869" i="8"/>
  <c r="V870" i="8"/>
  <c r="V871" i="8"/>
  <c r="V872" i="8"/>
  <c r="V873" i="8"/>
  <c r="V874" i="8"/>
  <c r="V875" i="8"/>
  <c r="V876" i="8"/>
  <c r="V877" i="8"/>
  <c r="V878" i="8"/>
  <c r="V879" i="8"/>
  <c r="V880" i="8"/>
  <c r="V881" i="8"/>
  <c r="V882" i="8"/>
  <c r="V883" i="8"/>
  <c r="V884" i="8"/>
  <c r="V885" i="8"/>
  <c r="V886" i="8"/>
  <c r="V887" i="8"/>
  <c r="V888" i="8"/>
  <c r="V889" i="8"/>
  <c r="V890" i="8"/>
  <c r="V891" i="8"/>
  <c r="V892" i="8"/>
  <c r="V893" i="8"/>
  <c r="V894" i="8"/>
  <c r="V895" i="8"/>
  <c r="V896" i="8"/>
  <c r="V897" i="8"/>
  <c r="V898" i="8"/>
  <c r="V899" i="8"/>
  <c r="V900" i="8"/>
  <c r="V901" i="8"/>
  <c r="V902" i="8"/>
  <c r="V903" i="8"/>
  <c r="V904" i="8"/>
  <c r="V905" i="8"/>
  <c r="V906" i="8"/>
  <c r="V907" i="8"/>
  <c r="V908" i="8"/>
  <c r="V909" i="8"/>
  <c r="V910" i="8"/>
  <c r="V911" i="8"/>
  <c r="V912" i="8"/>
  <c r="V913" i="8"/>
  <c r="V914" i="8"/>
  <c r="V915" i="8"/>
  <c r="V916" i="8"/>
  <c r="V917" i="8"/>
  <c r="V918" i="8"/>
  <c r="V919" i="8"/>
  <c r="V920" i="8"/>
  <c r="V921" i="8"/>
  <c r="V922" i="8"/>
  <c r="V923" i="8"/>
  <c r="V924" i="8"/>
  <c r="V925" i="8"/>
  <c r="V926" i="8"/>
  <c r="V927" i="8"/>
  <c r="V928" i="8"/>
  <c r="V929" i="8"/>
  <c r="V930" i="8"/>
  <c r="V931" i="8"/>
  <c r="V932" i="8"/>
  <c r="V933" i="8"/>
  <c r="V934" i="8"/>
  <c r="V935" i="8"/>
  <c r="V936" i="8"/>
  <c r="V937" i="8"/>
  <c r="V938" i="8"/>
  <c r="V939" i="8"/>
  <c r="V940" i="8"/>
  <c r="V941" i="8"/>
  <c r="V942" i="8"/>
  <c r="V943" i="8"/>
  <c r="V944" i="8"/>
  <c r="V945" i="8"/>
  <c r="V946" i="8"/>
  <c r="V947" i="8"/>
  <c r="V948" i="8"/>
  <c r="V949" i="8"/>
  <c r="V950" i="8"/>
  <c r="V951" i="8"/>
  <c r="V952" i="8"/>
  <c r="V953" i="8"/>
  <c r="V954" i="8"/>
  <c r="V955" i="8"/>
  <c r="V956" i="8"/>
  <c r="V957" i="8"/>
  <c r="V958" i="8"/>
  <c r="V959" i="8"/>
  <c r="V960" i="8"/>
  <c r="V961" i="8"/>
  <c r="V962" i="8"/>
  <c r="V963" i="8"/>
  <c r="V964" i="8"/>
  <c r="V965" i="8"/>
  <c r="V966" i="8"/>
  <c r="V967" i="8"/>
  <c r="V968" i="8"/>
  <c r="V969" i="8"/>
  <c r="V970" i="8"/>
  <c r="V971" i="8"/>
  <c r="V972" i="8"/>
  <c r="V973" i="8"/>
  <c r="V974" i="8"/>
  <c r="V975" i="8"/>
  <c r="V976" i="8"/>
  <c r="V977" i="8"/>
  <c r="V978" i="8"/>
  <c r="V979" i="8"/>
  <c r="V980" i="8"/>
  <c r="V981" i="8"/>
  <c r="V982" i="8"/>
  <c r="V983" i="8"/>
  <c r="V984" i="8"/>
  <c r="V985" i="8"/>
  <c r="V986" i="8"/>
  <c r="V987" i="8"/>
  <c r="V988" i="8"/>
  <c r="V989" i="8"/>
  <c r="V990" i="8"/>
  <c r="V991" i="8"/>
  <c r="V992" i="8"/>
  <c r="V993" i="8"/>
  <c r="V994" i="8"/>
  <c r="V995" i="8"/>
  <c r="V996" i="8"/>
  <c r="V997" i="8"/>
  <c r="V998" i="8"/>
  <c r="V999" i="8"/>
  <c r="V1000" i="8"/>
  <c r="V1001" i="8"/>
  <c r="V1002" i="8"/>
  <c r="V1003" i="8"/>
  <c r="V1004" i="8"/>
  <c r="V1005" i="8"/>
  <c r="V1006" i="8"/>
  <c r="V1007" i="8"/>
  <c r="V1008" i="8"/>
  <c r="V1009" i="8"/>
  <c r="V1010" i="8"/>
  <c r="V1011" i="8"/>
  <c r="V1012" i="8"/>
  <c r="V1013" i="8"/>
  <c r="V1014" i="8"/>
  <c r="V1015" i="8"/>
  <c r="V1016" i="8"/>
  <c r="V1017" i="8"/>
  <c r="V1018" i="8"/>
  <c r="V1019" i="8"/>
  <c r="V1020" i="8"/>
  <c r="V1021" i="8"/>
  <c r="V1022" i="8"/>
  <c r="V1023" i="8"/>
  <c r="V1024" i="8"/>
  <c r="V1025" i="8"/>
  <c r="V1026" i="8"/>
  <c r="V1027" i="8"/>
  <c r="V1028" i="8"/>
  <c r="V1029" i="8"/>
  <c r="V1030" i="8"/>
  <c r="V1031" i="8"/>
  <c r="V1032" i="8"/>
  <c r="V1033" i="8"/>
  <c r="V1034" i="8"/>
  <c r="V1035" i="8"/>
  <c r="V1036" i="8"/>
  <c r="V1037" i="8"/>
  <c r="V1038" i="8"/>
  <c r="V1039" i="8"/>
  <c r="V1040" i="8"/>
  <c r="V1041" i="8"/>
  <c r="V1042" i="8"/>
  <c r="V1043" i="8"/>
  <c r="V1044" i="8"/>
  <c r="V1045" i="8"/>
  <c r="V1046" i="8"/>
  <c r="V1047" i="8"/>
  <c r="V1048" i="8"/>
  <c r="V1049" i="8"/>
  <c r="V1050" i="8"/>
  <c r="V1051" i="8"/>
  <c r="V1052" i="8"/>
  <c r="V1053" i="8"/>
  <c r="V1054" i="8"/>
  <c r="V1055" i="8"/>
  <c r="V1056" i="8"/>
  <c r="V1057" i="8"/>
  <c r="V1058" i="8"/>
  <c r="V1059" i="8"/>
  <c r="V1060" i="8"/>
  <c r="V1061" i="8"/>
  <c r="V1062" i="8"/>
  <c r="V1063" i="8"/>
  <c r="V1064" i="8"/>
  <c r="V1065" i="8"/>
  <c r="V1066" i="8"/>
  <c r="V1067" i="8"/>
  <c r="V1068" i="8"/>
  <c r="V1069" i="8"/>
  <c r="V1070" i="8"/>
  <c r="V1071" i="8"/>
  <c r="V1072" i="8"/>
  <c r="V1073" i="8"/>
  <c r="V1074" i="8"/>
  <c r="V1075" i="8"/>
  <c r="V1076" i="8"/>
  <c r="V1077" i="8"/>
  <c r="V1078" i="8"/>
  <c r="V1079" i="8"/>
  <c r="V1080" i="8"/>
  <c r="V1081" i="8"/>
  <c r="V1082" i="8"/>
  <c r="V1083" i="8"/>
  <c r="V1084" i="8"/>
  <c r="V1085" i="8"/>
  <c r="V1086" i="8"/>
  <c r="V1087" i="8"/>
  <c r="V1088" i="8"/>
  <c r="V1089" i="8"/>
  <c r="V1090" i="8"/>
  <c r="V1091" i="8"/>
  <c r="V1092" i="8"/>
  <c r="V1093" i="8"/>
  <c r="V1094" i="8"/>
  <c r="V1095" i="8"/>
  <c r="V1096" i="8"/>
  <c r="V1097" i="8"/>
  <c r="V1098" i="8"/>
  <c r="V1099" i="8"/>
  <c r="V1100" i="8"/>
  <c r="V1101" i="8"/>
  <c r="V1102" i="8"/>
  <c r="V1103" i="8"/>
  <c r="V1104" i="8"/>
  <c r="V1105" i="8"/>
  <c r="V1106" i="8"/>
  <c r="V1107" i="8"/>
  <c r="V1108" i="8"/>
  <c r="V1109" i="8"/>
  <c r="V1110" i="8"/>
  <c r="V1111" i="8"/>
  <c r="V1112" i="8"/>
  <c r="V1113" i="8"/>
  <c r="V1114" i="8"/>
  <c r="V1115" i="8"/>
  <c r="V1116" i="8"/>
  <c r="V1117" i="8"/>
  <c r="V1118" i="8"/>
  <c r="V1119" i="8"/>
  <c r="V1120" i="8"/>
  <c r="V1121" i="8"/>
  <c r="V1122" i="8"/>
  <c r="V1123" i="8"/>
  <c r="V1124" i="8"/>
  <c r="V1125" i="8"/>
  <c r="V1126" i="8"/>
  <c r="V1127" i="8"/>
  <c r="V1128" i="8"/>
  <c r="V1129" i="8"/>
  <c r="V1130" i="8"/>
  <c r="V1131" i="8"/>
  <c r="V1132" i="8"/>
  <c r="V1133" i="8"/>
  <c r="V1134" i="8"/>
  <c r="V1135" i="8"/>
  <c r="V1136" i="8"/>
  <c r="V1137" i="8"/>
  <c r="V1138" i="8"/>
  <c r="V1139" i="8"/>
  <c r="V1140" i="8"/>
  <c r="V1141" i="8"/>
  <c r="V1142" i="8"/>
  <c r="V1143" i="8"/>
  <c r="V1144" i="8"/>
  <c r="V1145" i="8"/>
  <c r="V1146" i="8"/>
  <c r="V1147" i="8"/>
  <c r="V1148" i="8"/>
  <c r="V1149" i="8"/>
  <c r="V1150" i="8"/>
  <c r="V1151" i="8"/>
  <c r="V1152" i="8"/>
  <c r="V1153" i="8"/>
  <c r="V1154" i="8"/>
  <c r="V1155" i="8"/>
  <c r="V1156" i="8"/>
  <c r="V1157" i="8"/>
  <c r="V1158" i="8"/>
  <c r="V1159" i="8"/>
  <c r="V1160" i="8"/>
  <c r="V1161" i="8"/>
  <c r="V1162" i="8"/>
  <c r="V1163" i="8"/>
  <c r="V1164" i="8"/>
  <c r="V1165" i="8"/>
  <c r="V1166" i="8"/>
  <c r="V1167" i="8"/>
  <c r="V1168" i="8"/>
  <c r="V1169" i="8"/>
  <c r="V1170" i="8"/>
  <c r="V1171" i="8"/>
  <c r="V1172" i="8"/>
  <c r="V1173" i="8"/>
  <c r="V1174" i="8"/>
  <c r="V1175" i="8"/>
  <c r="V1176" i="8"/>
  <c r="V1177" i="8"/>
  <c r="V1178" i="8"/>
  <c r="V1179" i="8"/>
  <c r="V1180" i="8"/>
  <c r="V1181" i="8"/>
  <c r="V1182" i="8"/>
  <c r="V1183" i="8"/>
  <c r="V1184" i="8"/>
  <c r="V1185" i="8"/>
  <c r="V1186" i="8"/>
  <c r="V1187" i="8"/>
  <c r="V1188" i="8"/>
  <c r="V1189" i="8"/>
  <c r="V1190" i="8"/>
  <c r="V1191" i="8"/>
  <c r="V1192" i="8"/>
  <c r="V1193" i="8"/>
  <c r="V1194" i="8"/>
  <c r="V1195" i="8"/>
  <c r="V1196" i="8"/>
  <c r="V1197" i="8"/>
  <c r="V1198" i="8"/>
  <c r="V1199" i="8"/>
  <c r="V1200" i="8"/>
  <c r="V1201" i="8"/>
  <c r="V1202" i="8"/>
  <c r="V1203" i="8"/>
  <c r="V1204" i="8"/>
  <c r="V1205" i="8"/>
  <c r="V1206" i="8"/>
  <c r="V1207" i="8"/>
  <c r="V1208" i="8"/>
  <c r="V1209" i="8"/>
  <c r="V1210" i="8"/>
  <c r="V1211" i="8"/>
  <c r="V1212" i="8"/>
  <c r="V1213" i="8"/>
  <c r="V1214" i="8"/>
  <c r="V1215" i="8"/>
  <c r="V1216" i="8"/>
  <c r="V1217" i="8"/>
  <c r="V1218" i="8"/>
  <c r="V1219" i="8"/>
  <c r="V1220" i="8"/>
  <c r="V1221" i="8"/>
  <c r="V1222" i="8"/>
  <c r="V1223" i="8"/>
  <c r="V1224" i="8"/>
  <c r="V1225" i="8"/>
  <c r="V1226" i="8"/>
  <c r="V1227" i="8"/>
  <c r="V1228" i="8"/>
  <c r="V1229" i="8"/>
  <c r="V1230" i="8"/>
  <c r="V1231" i="8"/>
  <c r="V1232" i="8"/>
  <c r="V1233" i="8"/>
  <c r="V1234" i="8"/>
  <c r="V1235" i="8"/>
  <c r="V1236" i="8"/>
  <c r="V1237" i="8"/>
  <c r="V1238" i="8"/>
  <c r="V1239" i="8"/>
  <c r="V1240" i="8"/>
  <c r="V1241" i="8"/>
  <c r="V1242" i="8"/>
  <c r="V1243" i="8"/>
  <c r="V1244" i="8"/>
  <c r="V1245" i="8"/>
  <c r="V1246" i="8"/>
  <c r="V1247" i="8"/>
  <c r="V1248" i="8"/>
  <c r="V1249" i="8"/>
  <c r="V1250" i="8"/>
  <c r="V1251" i="8"/>
  <c r="V1252" i="8"/>
  <c r="V1253" i="8"/>
  <c r="V1254" i="8"/>
  <c r="V1255" i="8"/>
  <c r="V1256" i="8"/>
  <c r="V1257" i="8"/>
  <c r="V1258" i="8"/>
  <c r="V1259" i="8"/>
  <c r="V1260" i="8"/>
  <c r="V1261" i="8"/>
  <c r="V1262" i="8"/>
  <c r="V1263" i="8"/>
  <c r="V1264" i="8"/>
  <c r="V1265" i="8"/>
  <c r="V1266" i="8"/>
  <c r="V1267" i="8"/>
  <c r="V1268" i="8"/>
  <c r="V1269" i="8"/>
  <c r="V1270" i="8"/>
  <c r="V1271" i="8"/>
  <c r="V1272" i="8"/>
  <c r="V1273" i="8"/>
  <c r="V1274" i="8"/>
  <c r="V1275" i="8"/>
  <c r="V1276" i="8"/>
  <c r="V1277" i="8"/>
  <c r="V1278" i="8"/>
  <c r="V1279" i="8"/>
  <c r="V1280" i="8"/>
  <c r="V1281" i="8"/>
  <c r="V1282" i="8"/>
  <c r="V1283" i="8"/>
  <c r="V1284" i="8"/>
  <c r="V1285" i="8"/>
  <c r="V1286" i="8"/>
  <c r="V1287" i="8"/>
  <c r="V1288" i="8"/>
  <c r="V1289" i="8"/>
  <c r="V1290" i="8"/>
  <c r="V1291" i="8"/>
  <c r="V1292" i="8"/>
  <c r="V1293" i="8"/>
  <c r="V1294" i="8"/>
  <c r="V1295" i="8"/>
  <c r="V1296" i="8"/>
  <c r="V1297" i="8"/>
  <c r="V1298" i="8"/>
  <c r="V1299" i="8"/>
  <c r="V1300" i="8"/>
  <c r="V1301" i="8"/>
  <c r="V1302" i="8"/>
  <c r="V1303" i="8"/>
  <c r="V1304" i="8"/>
  <c r="V1305" i="8"/>
  <c r="V1306" i="8"/>
  <c r="V1307" i="8"/>
  <c r="V1308" i="8"/>
  <c r="V1309" i="8"/>
  <c r="V1310" i="8"/>
  <c r="V1311" i="8"/>
  <c r="V1312" i="8"/>
  <c r="V1313" i="8"/>
  <c r="V1314" i="8"/>
  <c r="V1315" i="8"/>
  <c r="V1316" i="8"/>
  <c r="V1317" i="8"/>
  <c r="V1318" i="8"/>
  <c r="V1319" i="8"/>
  <c r="V1320" i="8"/>
  <c r="V1321" i="8"/>
  <c r="V1322" i="8"/>
  <c r="V1323" i="8"/>
  <c r="V1324" i="8"/>
  <c r="V1325" i="8"/>
  <c r="V1326" i="8"/>
  <c r="V1327" i="8"/>
  <c r="V1328" i="8"/>
  <c r="V1329" i="8"/>
  <c r="V1330" i="8"/>
  <c r="V1331" i="8"/>
  <c r="V1332" i="8"/>
  <c r="V1333" i="8"/>
  <c r="V1334" i="8"/>
  <c r="V1335" i="8"/>
  <c r="V1336" i="8"/>
  <c r="V1337" i="8"/>
  <c r="V1338" i="8"/>
  <c r="V1339" i="8"/>
  <c r="V1340" i="8"/>
  <c r="V1341" i="8"/>
  <c r="V1342" i="8"/>
  <c r="V1343" i="8"/>
  <c r="V1344" i="8"/>
  <c r="V1345" i="8"/>
  <c r="V1346" i="8"/>
  <c r="V1347" i="8"/>
  <c r="V1348" i="8"/>
  <c r="V1349" i="8"/>
  <c r="V1350" i="8"/>
  <c r="V1351" i="8"/>
  <c r="V1352" i="8"/>
  <c r="V1353" i="8"/>
  <c r="V1354" i="8"/>
  <c r="V1355" i="8"/>
  <c r="V1356" i="8"/>
  <c r="V1357" i="8"/>
  <c r="V1358" i="8"/>
  <c r="V1359" i="8"/>
  <c r="V1360" i="8"/>
  <c r="V1361" i="8"/>
  <c r="V1362" i="8"/>
  <c r="V1363" i="8"/>
  <c r="V1364" i="8"/>
  <c r="V1365" i="8"/>
  <c r="V1366" i="8"/>
  <c r="V1367" i="8"/>
  <c r="V1368" i="8"/>
  <c r="V1369" i="8"/>
  <c r="V1370" i="8"/>
  <c r="V1371" i="8"/>
  <c r="V1372" i="8"/>
  <c r="V1373" i="8"/>
  <c r="V1374" i="8"/>
  <c r="V1375" i="8"/>
  <c r="V1376" i="8"/>
  <c r="V1377" i="8"/>
  <c r="V1378" i="8"/>
  <c r="V1379" i="8"/>
  <c r="V1380" i="8"/>
  <c r="V1381" i="8"/>
  <c r="V1382" i="8"/>
  <c r="V1383" i="8"/>
  <c r="V1384" i="8"/>
  <c r="V1385" i="8"/>
  <c r="V1386" i="8"/>
  <c r="V1387" i="8"/>
  <c r="V1388" i="8"/>
  <c r="V1389" i="8"/>
  <c r="V1390" i="8"/>
  <c r="V1391" i="8"/>
  <c r="V1392" i="8"/>
  <c r="V1393" i="8"/>
  <c r="V1394" i="8"/>
  <c r="V1395" i="8"/>
  <c r="V1396" i="8"/>
  <c r="V1397" i="8"/>
  <c r="V1398" i="8"/>
  <c r="V1399" i="8"/>
  <c r="V1400" i="8"/>
  <c r="V1401" i="8"/>
  <c r="V1402" i="8"/>
  <c r="V1403" i="8"/>
  <c r="V1404" i="8"/>
  <c r="V1405" i="8"/>
  <c r="V1406" i="8"/>
  <c r="V1407" i="8"/>
  <c r="V1408" i="8"/>
  <c r="V1409" i="8"/>
  <c r="V1410" i="8"/>
  <c r="V1411" i="8"/>
  <c r="V1412" i="8"/>
  <c r="V1413" i="8"/>
  <c r="V1414" i="8"/>
  <c r="V1415" i="8"/>
  <c r="V1416" i="8"/>
  <c r="V1417" i="8"/>
  <c r="V1418" i="8"/>
  <c r="V1419" i="8"/>
  <c r="V1420" i="8"/>
  <c r="V1421" i="8"/>
  <c r="V1422" i="8"/>
  <c r="V1423" i="8"/>
  <c r="V1424" i="8"/>
  <c r="V1425" i="8"/>
  <c r="V1426" i="8"/>
  <c r="V1427" i="8"/>
  <c r="V1428" i="8"/>
  <c r="V1429" i="8"/>
  <c r="V1430" i="8"/>
  <c r="V1431" i="8"/>
  <c r="V1432" i="8"/>
  <c r="V1433" i="8"/>
  <c r="V1434" i="8"/>
  <c r="V1435" i="8"/>
  <c r="V1436" i="8"/>
  <c r="V1437" i="8"/>
  <c r="V1438" i="8"/>
  <c r="V1439" i="8"/>
  <c r="V1440" i="8"/>
  <c r="V1441" i="8"/>
  <c r="V1442" i="8"/>
  <c r="V1443" i="8"/>
  <c r="V1444" i="8"/>
  <c r="V1445" i="8"/>
  <c r="V1446" i="8"/>
  <c r="V1447" i="8"/>
  <c r="V1448" i="8"/>
  <c r="V1449" i="8"/>
  <c r="V1450" i="8"/>
  <c r="V1451" i="8"/>
  <c r="V1452" i="8"/>
  <c r="V1453" i="8"/>
  <c r="V1454" i="8"/>
  <c r="V1455" i="8"/>
  <c r="V1456" i="8"/>
  <c r="V1457" i="8"/>
  <c r="V1458" i="8"/>
  <c r="V1459" i="8"/>
  <c r="V1460" i="8"/>
  <c r="V1461" i="8"/>
  <c r="V1462" i="8"/>
  <c r="V1463" i="8"/>
  <c r="V1464" i="8"/>
  <c r="V1465" i="8"/>
  <c r="V1466" i="8"/>
  <c r="V1467" i="8"/>
  <c r="V1468" i="8"/>
  <c r="V1469" i="8"/>
  <c r="V1470" i="8"/>
  <c r="V1471" i="8"/>
  <c r="V1472" i="8"/>
  <c r="V1473" i="8"/>
  <c r="V1474" i="8"/>
  <c r="V1475" i="8"/>
  <c r="V1476" i="8"/>
  <c r="V1477" i="8"/>
  <c r="V1478" i="8"/>
  <c r="V1479" i="8"/>
  <c r="V1480" i="8"/>
  <c r="V1481" i="8"/>
  <c r="V1482" i="8"/>
  <c r="V1483" i="8"/>
  <c r="V1484" i="8"/>
  <c r="V1485" i="8"/>
  <c r="V1486" i="8"/>
  <c r="V1487" i="8"/>
  <c r="V1488" i="8"/>
  <c r="V1489" i="8"/>
  <c r="V1490" i="8"/>
  <c r="V1491" i="8"/>
  <c r="V1492" i="8"/>
  <c r="V1493" i="8"/>
  <c r="V1494" i="8"/>
  <c r="V1495" i="8"/>
  <c r="V1496" i="8"/>
  <c r="V1497" i="8"/>
  <c r="V1498" i="8"/>
  <c r="V1499" i="8"/>
  <c r="V1500" i="8"/>
  <c r="V1501" i="8"/>
  <c r="V1502" i="8"/>
  <c r="V1503" i="8"/>
  <c r="V1504" i="8"/>
  <c r="V1505" i="8"/>
  <c r="V1506" i="8"/>
  <c r="V1507" i="8"/>
  <c r="V1508" i="8"/>
  <c r="V1509" i="8"/>
  <c r="V1510" i="8"/>
  <c r="V1511" i="8"/>
  <c r="V1512" i="8"/>
  <c r="V1513" i="8"/>
  <c r="V1514" i="8"/>
  <c r="V1515" i="8"/>
  <c r="V1516" i="8"/>
  <c r="V1517" i="8"/>
  <c r="V1518" i="8"/>
  <c r="V1519" i="8"/>
  <c r="V1520" i="8"/>
  <c r="V1521" i="8"/>
  <c r="V1522" i="8"/>
  <c r="V1523" i="8"/>
  <c r="V1524" i="8"/>
  <c r="V1525" i="8"/>
  <c r="V1526" i="8"/>
  <c r="V1527" i="8"/>
  <c r="V1528" i="8"/>
  <c r="V1529" i="8"/>
  <c r="V1530" i="8"/>
  <c r="V1531" i="8"/>
  <c r="V1532" i="8"/>
  <c r="V1533" i="8"/>
  <c r="V1534" i="8"/>
  <c r="V1535" i="8"/>
  <c r="V1536" i="8"/>
  <c r="V1537" i="8"/>
  <c r="V1538" i="8"/>
  <c r="V1539" i="8"/>
  <c r="V1540" i="8"/>
  <c r="V1541" i="8"/>
  <c r="V1542" i="8"/>
  <c r="V1543" i="8"/>
  <c r="V1544" i="8"/>
  <c r="V1545" i="8"/>
  <c r="V1546" i="8"/>
  <c r="V1547" i="8"/>
  <c r="V1548" i="8"/>
  <c r="V1549" i="8"/>
  <c r="V1550" i="8"/>
  <c r="V1551" i="8"/>
  <c r="V1552" i="8"/>
  <c r="V1553" i="8"/>
  <c r="V1554" i="8"/>
  <c r="V1555" i="8"/>
  <c r="V1556" i="8"/>
  <c r="V1557" i="8"/>
  <c r="V1558" i="8"/>
  <c r="V1559" i="8"/>
  <c r="V1560" i="8"/>
  <c r="V1561" i="8"/>
  <c r="V1562" i="8"/>
  <c r="V1563" i="8"/>
  <c r="V1564" i="8"/>
  <c r="V1565" i="8"/>
  <c r="V1566" i="8"/>
  <c r="V1567" i="8"/>
  <c r="V1568" i="8"/>
  <c r="V1569" i="8"/>
  <c r="V1570" i="8"/>
  <c r="V1571" i="8"/>
  <c r="V1572" i="8"/>
  <c r="V1573" i="8"/>
  <c r="V1574" i="8"/>
  <c r="V1575" i="8"/>
  <c r="V1576" i="8"/>
  <c r="V1577" i="8"/>
  <c r="V1578" i="8"/>
  <c r="V1579" i="8"/>
  <c r="V1580" i="8"/>
  <c r="V1581" i="8"/>
  <c r="V1582" i="8"/>
  <c r="V1583" i="8"/>
  <c r="V1584" i="8"/>
  <c r="V1585" i="8"/>
  <c r="V1586" i="8"/>
  <c r="V1587" i="8"/>
  <c r="V1588" i="8"/>
  <c r="V1589" i="8"/>
  <c r="V1590" i="8"/>
  <c r="V1591" i="8"/>
  <c r="V1592" i="8"/>
  <c r="V1593" i="8"/>
  <c r="V1594" i="8"/>
  <c r="V1595" i="8"/>
  <c r="V1596" i="8"/>
  <c r="V1597" i="8"/>
  <c r="V1598" i="8"/>
  <c r="V1599" i="8"/>
  <c r="V1600" i="8"/>
  <c r="V1601" i="8"/>
  <c r="V1602" i="8"/>
  <c r="V1603" i="8"/>
  <c r="V1604" i="8"/>
  <c r="V1605" i="8"/>
  <c r="V1606" i="8"/>
  <c r="V1607" i="8"/>
  <c r="V1608" i="8"/>
  <c r="V1609" i="8"/>
  <c r="V1610" i="8"/>
  <c r="V1611" i="8"/>
  <c r="V1612" i="8"/>
  <c r="V1613" i="8"/>
  <c r="V1614" i="8"/>
  <c r="V1615" i="8"/>
  <c r="V1616" i="8"/>
  <c r="V1617" i="8"/>
  <c r="V1618" i="8"/>
  <c r="V1619" i="8"/>
  <c r="V1620" i="8"/>
  <c r="V1621" i="8"/>
  <c r="V1622" i="8"/>
  <c r="V1623" i="8"/>
  <c r="V1624" i="8"/>
  <c r="V1625" i="8"/>
  <c r="V1626" i="8"/>
  <c r="V1627" i="8"/>
  <c r="V1628" i="8"/>
  <c r="V1629" i="8"/>
  <c r="V1630" i="8"/>
  <c r="V1631" i="8"/>
  <c r="V1632" i="8"/>
  <c r="V1633" i="8"/>
  <c r="V1634" i="8"/>
  <c r="V1635" i="8"/>
  <c r="V1636" i="8"/>
  <c r="V1637" i="8"/>
  <c r="V1638" i="8"/>
  <c r="V1639" i="8"/>
  <c r="V1640" i="8"/>
  <c r="V1641" i="8"/>
  <c r="V1642" i="8"/>
  <c r="V1643" i="8"/>
  <c r="V1644" i="8"/>
  <c r="V1645" i="8"/>
  <c r="V1646" i="8"/>
  <c r="V1647" i="8"/>
  <c r="V1648" i="8"/>
  <c r="V1649" i="8"/>
  <c r="V1650" i="8"/>
  <c r="V1651" i="8"/>
  <c r="V1652" i="8"/>
  <c r="V1653" i="8"/>
  <c r="V1654" i="8"/>
  <c r="V1655" i="8"/>
  <c r="V1656" i="8"/>
  <c r="V1657" i="8"/>
  <c r="V1658" i="8"/>
  <c r="V1659" i="8"/>
  <c r="V1660" i="8"/>
  <c r="V1661" i="8"/>
  <c r="V1662" i="8"/>
  <c r="V1663" i="8"/>
  <c r="V1664" i="8"/>
  <c r="V1665" i="8"/>
  <c r="V1666" i="8"/>
  <c r="V1667" i="8"/>
  <c r="V1668" i="8"/>
  <c r="V1669" i="8"/>
  <c r="V1670" i="8"/>
  <c r="V1671" i="8"/>
  <c r="V1672" i="8"/>
  <c r="V1673" i="8"/>
  <c r="V1674" i="8"/>
  <c r="V1675" i="8"/>
  <c r="V1676" i="8"/>
  <c r="V1677" i="8"/>
  <c r="V1678" i="8"/>
  <c r="V1679" i="8"/>
  <c r="V1680" i="8"/>
  <c r="V1681" i="8"/>
  <c r="V1682" i="8"/>
  <c r="V1683" i="8"/>
  <c r="V1684" i="8"/>
  <c r="V1685" i="8"/>
  <c r="V1686" i="8"/>
  <c r="V1687" i="8"/>
  <c r="V1688" i="8"/>
  <c r="V1689" i="8"/>
  <c r="V1690" i="8"/>
  <c r="V1691" i="8"/>
  <c r="V1692" i="8"/>
  <c r="V1693" i="8"/>
  <c r="V1694" i="8"/>
  <c r="V1695" i="8"/>
  <c r="V1696" i="8"/>
  <c r="V1697" i="8"/>
  <c r="V1698" i="8"/>
  <c r="V1699" i="8"/>
  <c r="V1700" i="8"/>
  <c r="V1701" i="8"/>
  <c r="V1702" i="8"/>
  <c r="V1703" i="8"/>
  <c r="V1704" i="8"/>
  <c r="V1705" i="8"/>
  <c r="V1706" i="8"/>
  <c r="V1707" i="8"/>
  <c r="V1708" i="8"/>
  <c r="V1709" i="8"/>
  <c r="V1710" i="8"/>
  <c r="V1711" i="8"/>
  <c r="V1712" i="8"/>
  <c r="V1713" i="8"/>
  <c r="V1714" i="8"/>
  <c r="V1715" i="8"/>
  <c r="V1716" i="8"/>
  <c r="V1717" i="8"/>
  <c r="V1718" i="8"/>
  <c r="V1719" i="8"/>
  <c r="V1720" i="8"/>
  <c r="V1721" i="8"/>
  <c r="V1722" i="8"/>
  <c r="V1723" i="8"/>
  <c r="V1724" i="8"/>
  <c r="V1725" i="8"/>
  <c r="V1726" i="8"/>
  <c r="V1727" i="8"/>
  <c r="V1728" i="8"/>
  <c r="V1729" i="8"/>
  <c r="V1730" i="8"/>
  <c r="V1731" i="8"/>
  <c r="V1732" i="8"/>
  <c r="V1733" i="8"/>
  <c r="V1734" i="8"/>
  <c r="V1735" i="8"/>
  <c r="V1736" i="8"/>
  <c r="V1737" i="8"/>
  <c r="V1738" i="8"/>
  <c r="V1739" i="8"/>
  <c r="V1740" i="8"/>
  <c r="V1741" i="8"/>
  <c r="V1742" i="8"/>
  <c r="V1743" i="8"/>
  <c r="V1744" i="8"/>
  <c r="V1745" i="8"/>
  <c r="V1746" i="8"/>
  <c r="V1747" i="8"/>
  <c r="V1748" i="8"/>
  <c r="V1749" i="8"/>
  <c r="V1750" i="8"/>
  <c r="V1751" i="8"/>
  <c r="V1752" i="8"/>
  <c r="V1753" i="8"/>
  <c r="V1754" i="8"/>
  <c r="V1755" i="8"/>
  <c r="V1756" i="8"/>
  <c r="V1757" i="8"/>
  <c r="V1758" i="8"/>
  <c r="V1759" i="8"/>
  <c r="V1760" i="8"/>
  <c r="V1761" i="8"/>
  <c r="V1762" i="8"/>
  <c r="V1763" i="8"/>
  <c r="V1764" i="8"/>
  <c r="V1765" i="8"/>
  <c r="V1766" i="8"/>
  <c r="V1767" i="8"/>
  <c r="V1768" i="8"/>
  <c r="V1769" i="8"/>
  <c r="V1770" i="8"/>
  <c r="V1771" i="8"/>
  <c r="V1772" i="8"/>
  <c r="V1773" i="8"/>
  <c r="V1774" i="8"/>
  <c r="V1775" i="8"/>
  <c r="V1776" i="8"/>
  <c r="V1777" i="8"/>
  <c r="V1778" i="8"/>
  <c r="V1779" i="8"/>
  <c r="V1780" i="8"/>
  <c r="V1781" i="8"/>
  <c r="V1782" i="8"/>
  <c r="V1783" i="8"/>
  <c r="V1784" i="8"/>
  <c r="V1785" i="8"/>
  <c r="V1786" i="8"/>
  <c r="V1787" i="8"/>
  <c r="V1788" i="8"/>
  <c r="V1789" i="8"/>
  <c r="V1790" i="8"/>
  <c r="V1791" i="8"/>
  <c r="V1792" i="8"/>
  <c r="V1793" i="8"/>
  <c r="V1794" i="8"/>
  <c r="V1795" i="8"/>
  <c r="V1796" i="8"/>
  <c r="V1797" i="8"/>
  <c r="V1798" i="8"/>
  <c r="V1799" i="8"/>
  <c r="V1800" i="8"/>
  <c r="V1801" i="8"/>
  <c r="V1802" i="8"/>
  <c r="V1803" i="8"/>
  <c r="V1804" i="8"/>
  <c r="V1805" i="8"/>
  <c r="V1806" i="8"/>
  <c r="V1807" i="8"/>
  <c r="V1808" i="8"/>
  <c r="V1809" i="8"/>
  <c r="V1810" i="8"/>
  <c r="V1811" i="8"/>
  <c r="V1812" i="8"/>
  <c r="V1813" i="8"/>
  <c r="V1814" i="8"/>
  <c r="V1815" i="8"/>
  <c r="V1816" i="8"/>
  <c r="V1817" i="8"/>
  <c r="V1818" i="8"/>
  <c r="V1819" i="8"/>
  <c r="V1820" i="8"/>
  <c r="V1821" i="8"/>
  <c r="V1822" i="8"/>
  <c r="V1823" i="8"/>
  <c r="V1824" i="8"/>
  <c r="V1825" i="8"/>
  <c r="V1826" i="8"/>
  <c r="V1827" i="8"/>
  <c r="V1828" i="8"/>
  <c r="V1829" i="8"/>
  <c r="V1830" i="8"/>
  <c r="V1831" i="8"/>
  <c r="V1832" i="8"/>
  <c r="V1833" i="8"/>
  <c r="V1834" i="8"/>
  <c r="V1835" i="8"/>
  <c r="V1836" i="8"/>
  <c r="V1837" i="8"/>
  <c r="V1838" i="8"/>
  <c r="V1839" i="8"/>
  <c r="V1840" i="8"/>
  <c r="V1841" i="8"/>
  <c r="V1842" i="8"/>
  <c r="V1843" i="8"/>
  <c r="V1844" i="8"/>
  <c r="V1845" i="8"/>
  <c r="V1846" i="8"/>
  <c r="V1847" i="8"/>
  <c r="V1848" i="8"/>
  <c r="V1849" i="8"/>
  <c r="V1850" i="8"/>
  <c r="V1851" i="8"/>
  <c r="V1852" i="8"/>
  <c r="V1853" i="8"/>
  <c r="V1854" i="8"/>
  <c r="V1855" i="8"/>
  <c r="V1856" i="8"/>
  <c r="V1857" i="8"/>
  <c r="V1858" i="8"/>
  <c r="V1859" i="8"/>
  <c r="V1860" i="8"/>
  <c r="V1861" i="8"/>
  <c r="V1862" i="8"/>
  <c r="V1863" i="8"/>
  <c r="V1864" i="8"/>
  <c r="V1865" i="8"/>
  <c r="V1866" i="8"/>
  <c r="V1867" i="8"/>
  <c r="V1868" i="8"/>
  <c r="V1869" i="8"/>
  <c r="V1870" i="8"/>
  <c r="V1871" i="8"/>
  <c r="V1872" i="8"/>
  <c r="V1873" i="8"/>
  <c r="V1874" i="8"/>
  <c r="V1875" i="8"/>
  <c r="V1876" i="8"/>
  <c r="V1877" i="8"/>
  <c r="V1878" i="8"/>
  <c r="V1879" i="8"/>
  <c r="V1880" i="8"/>
  <c r="V1881" i="8"/>
  <c r="V1882" i="8"/>
  <c r="V1883" i="8"/>
  <c r="V1884" i="8"/>
  <c r="V1885" i="8"/>
  <c r="V1886" i="8"/>
  <c r="V1887" i="8"/>
  <c r="V1888" i="8"/>
  <c r="V1889" i="8"/>
  <c r="V1890" i="8"/>
  <c r="V1891" i="8"/>
  <c r="V1892" i="8"/>
  <c r="V1893" i="8"/>
  <c r="V1894" i="8"/>
  <c r="V1895" i="8"/>
  <c r="V1896" i="8"/>
  <c r="V1897" i="8"/>
  <c r="V1898" i="8"/>
  <c r="V1899" i="8"/>
  <c r="V1900" i="8"/>
  <c r="V1901" i="8"/>
  <c r="V1902" i="8"/>
  <c r="V1903" i="8"/>
  <c r="V1904" i="8"/>
  <c r="V1905" i="8"/>
  <c r="V1906" i="8"/>
  <c r="V1907" i="8"/>
  <c r="V1908" i="8"/>
  <c r="V1909" i="8"/>
  <c r="V1910" i="8"/>
  <c r="V1911" i="8"/>
  <c r="V1912" i="8"/>
  <c r="V1913" i="8"/>
  <c r="V1914" i="8"/>
  <c r="V1915" i="8"/>
  <c r="V1916" i="8"/>
  <c r="V1917" i="8"/>
  <c r="V1918" i="8"/>
  <c r="V1919" i="8"/>
  <c r="V1920" i="8"/>
  <c r="V1921" i="8"/>
  <c r="V1922" i="8"/>
  <c r="V1923" i="8"/>
  <c r="V1924" i="8"/>
  <c r="V1925" i="8"/>
  <c r="V1926" i="8"/>
  <c r="V1927" i="8"/>
  <c r="V1928" i="8"/>
  <c r="V1929" i="8"/>
  <c r="V1930" i="8"/>
  <c r="V1931" i="8"/>
  <c r="V1932" i="8"/>
  <c r="V1933" i="8"/>
  <c r="V1934" i="8"/>
  <c r="V1935" i="8"/>
  <c r="V1936" i="8"/>
  <c r="V1937" i="8"/>
  <c r="V1938" i="8"/>
  <c r="V1939" i="8"/>
  <c r="V1940" i="8"/>
  <c r="V1941" i="8"/>
  <c r="V1942" i="8"/>
  <c r="V1943" i="8"/>
  <c r="V1944" i="8"/>
  <c r="V1945" i="8"/>
  <c r="V1946" i="8"/>
  <c r="V1947" i="8"/>
  <c r="V1948" i="8"/>
  <c r="V1949" i="8"/>
  <c r="V1950" i="8"/>
  <c r="V1951" i="8"/>
  <c r="V1952" i="8"/>
  <c r="V1953" i="8"/>
  <c r="V1954" i="8"/>
  <c r="V1955" i="8"/>
  <c r="V1956" i="8"/>
  <c r="V1957" i="8"/>
  <c r="V1958" i="8"/>
  <c r="V1959" i="8"/>
  <c r="V1960" i="8"/>
  <c r="V1961" i="8"/>
  <c r="V1962" i="8"/>
  <c r="V1963" i="8"/>
  <c r="V1964" i="8"/>
  <c r="V1965" i="8"/>
  <c r="V1966" i="8"/>
  <c r="V1967" i="8"/>
  <c r="V1968" i="8"/>
  <c r="V1969" i="8"/>
  <c r="V1970" i="8"/>
  <c r="V1971" i="8"/>
  <c r="V1972" i="8"/>
  <c r="V1973" i="8"/>
  <c r="V1974" i="8"/>
  <c r="V1975" i="8"/>
  <c r="V1976" i="8"/>
  <c r="V1977" i="8"/>
  <c r="V1978" i="8"/>
  <c r="V1979" i="8"/>
  <c r="V1980" i="8"/>
  <c r="V1981" i="8"/>
  <c r="V1982" i="8"/>
  <c r="V1983" i="8"/>
  <c r="V1984" i="8"/>
  <c r="V1985" i="8"/>
  <c r="V1986" i="8"/>
  <c r="V1987" i="8"/>
  <c r="V1988" i="8"/>
  <c r="V1989" i="8"/>
  <c r="V1990" i="8"/>
  <c r="V1991" i="8"/>
  <c r="V1992" i="8"/>
  <c r="V1993" i="8"/>
  <c r="M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62" i="8"/>
  <c r="M363" i="8"/>
  <c r="M364" i="8"/>
  <c r="M365" i="8"/>
  <c r="M366" i="8"/>
  <c r="M367" i="8"/>
  <c r="M368" i="8"/>
  <c r="M369" i="8"/>
  <c r="M370" i="8"/>
  <c r="M371" i="8"/>
  <c r="M372" i="8"/>
  <c r="M373" i="8"/>
  <c r="M374" i="8"/>
  <c r="M375" i="8"/>
  <c r="M376" i="8"/>
  <c r="M377" i="8"/>
  <c r="M378" i="8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M395" i="8"/>
  <c r="M396" i="8"/>
  <c r="M397" i="8"/>
  <c r="M398" i="8"/>
  <c r="M399" i="8"/>
  <c r="M400" i="8"/>
  <c r="M401" i="8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M415" i="8"/>
  <c r="M416" i="8"/>
  <c r="M417" i="8"/>
  <c r="M418" i="8"/>
  <c r="M419" i="8"/>
  <c r="M420" i="8"/>
  <c r="M421" i="8"/>
  <c r="M422" i="8"/>
  <c r="M423" i="8"/>
  <c r="M424" i="8"/>
  <c r="M425" i="8"/>
  <c r="M426" i="8"/>
  <c r="M427" i="8"/>
  <c r="M428" i="8"/>
  <c r="M429" i="8"/>
  <c r="M430" i="8"/>
  <c r="M431" i="8"/>
  <c r="M432" i="8"/>
  <c r="M433" i="8"/>
  <c r="M434" i="8"/>
  <c r="M435" i="8"/>
  <c r="M436" i="8"/>
  <c r="M437" i="8"/>
  <c r="M438" i="8"/>
  <c r="M439" i="8"/>
  <c r="M440" i="8"/>
  <c r="M441" i="8"/>
  <c r="M442" i="8"/>
  <c r="M443" i="8"/>
  <c r="M444" i="8"/>
  <c r="M445" i="8"/>
  <c r="M446" i="8"/>
  <c r="M447" i="8"/>
  <c r="M448" i="8"/>
  <c r="M449" i="8"/>
  <c r="M450" i="8"/>
  <c r="M451" i="8"/>
  <c r="M452" i="8"/>
  <c r="M453" i="8"/>
  <c r="M454" i="8"/>
  <c r="M455" i="8"/>
  <c r="M456" i="8"/>
  <c r="M457" i="8"/>
  <c r="M458" i="8"/>
  <c r="M459" i="8"/>
  <c r="M460" i="8"/>
  <c r="M461" i="8"/>
  <c r="M462" i="8"/>
  <c r="M463" i="8"/>
  <c r="M464" i="8"/>
  <c r="M465" i="8"/>
  <c r="M466" i="8"/>
  <c r="M467" i="8"/>
  <c r="M468" i="8"/>
  <c r="M469" i="8"/>
  <c r="M470" i="8"/>
  <c r="M471" i="8"/>
  <c r="M472" i="8"/>
  <c r="M473" i="8"/>
  <c r="M474" i="8"/>
  <c r="M475" i="8"/>
  <c r="M476" i="8"/>
  <c r="M477" i="8"/>
  <c r="M478" i="8"/>
  <c r="M479" i="8"/>
  <c r="M480" i="8"/>
  <c r="M481" i="8"/>
  <c r="M482" i="8"/>
  <c r="M483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M639" i="8"/>
  <c r="M640" i="8"/>
  <c r="M641" i="8"/>
  <c r="M642" i="8"/>
  <c r="M643" i="8"/>
  <c r="M644" i="8"/>
  <c r="M645" i="8"/>
  <c r="M646" i="8"/>
  <c r="M647" i="8"/>
  <c r="M648" i="8"/>
  <c r="M649" i="8"/>
  <c r="M650" i="8"/>
  <c r="M651" i="8"/>
  <c r="M652" i="8"/>
  <c r="M653" i="8"/>
  <c r="M654" i="8"/>
  <c r="M655" i="8"/>
  <c r="M656" i="8"/>
  <c r="M657" i="8"/>
  <c r="M658" i="8"/>
  <c r="M659" i="8"/>
  <c r="M660" i="8"/>
  <c r="M661" i="8"/>
  <c r="M662" i="8"/>
  <c r="M663" i="8"/>
  <c r="M664" i="8"/>
  <c r="M665" i="8"/>
  <c r="M666" i="8"/>
  <c r="M667" i="8"/>
  <c r="M668" i="8"/>
  <c r="M669" i="8"/>
  <c r="M670" i="8"/>
  <c r="M671" i="8"/>
  <c r="M672" i="8"/>
  <c r="M673" i="8"/>
  <c r="M674" i="8"/>
  <c r="M675" i="8"/>
  <c r="M676" i="8"/>
  <c r="M677" i="8"/>
  <c r="M678" i="8"/>
  <c r="M679" i="8"/>
  <c r="M680" i="8"/>
  <c r="M681" i="8"/>
  <c r="M682" i="8"/>
  <c r="M683" i="8"/>
  <c r="M684" i="8"/>
  <c r="M685" i="8"/>
  <c r="M686" i="8"/>
  <c r="M687" i="8"/>
  <c r="M688" i="8"/>
  <c r="M689" i="8"/>
  <c r="M690" i="8"/>
  <c r="M691" i="8"/>
  <c r="M692" i="8"/>
  <c r="M693" i="8"/>
  <c r="M694" i="8"/>
  <c r="M695" i="8"/>
  <c r="M696" i="8"/>
  <c r="M697" i="8"/>
  <c r="M698" i="8"/>
  <c r="M699" i="8"/>
  <c r="M700" i="8"/>
  <c r="M701" i="8"/>
  <c r="M702" i="8"/>
  <c r="M703" i="8"/>
  <c r="M704" i="8"/>
  <c r="M705" i="8"/>
  <c r="M706" i="8"/>
  <c r="M707" i="8"/>
  <c r="M708" i="8"/>
  <c r="M709" i="8"/>
  <c r="M710" i="8"/>
  <c r="M711" i="8"/>
  <c r="M712" i="8"/>
  <c r="M713" i="8"/>
  <c r="M714" i="8"/>
  <c r="M715" i="8"/>
  <c r="M716" i="8"/>
  <c r="M717" i="8"/>
  <c r="M718" i="8"/>
  <c r="M719" i="8"/>
  <c r="M720" i="8"/>
  <c r="M721" i="8"/>
  <c r="M722" i="8"/>
  <c r="M723" i="8"/>
  <c r="M724" i="8"/>
  <c r="M725" i="8"/>
  <c r="M726" i="8"/>
  <c r="M727" i="8"/>
  <c r="M728" i="8"/>
  <c r="M729" i="8"/>
  <c r="M730" i="8"/>
  <c r="M731" i="8"/>
  <c r="M732" i="8"/>
  <c r="M733" i="8"/>
  <c r="M734" i="8"/>
  <c r="M735" i="8"/>
  <c r="M736" i="8"/>
  <c r="M737" i="8"/>
  <c r="M738" i="8"/>
  <c r="M739" i="8"/>
  <c r="M740" i="8"/>
  <c r="M741" i="8"/>
  <c r="M742" i="8"/>
  <c r="M743" i="8"/>
  <c r="M744" i="8"/>
  <c r="M745" i="8"/>
  <c r="M746" i="8"/>
  <c r="M747" i="8"/>
  <c r="M748" i="8"/>
  <c r="M749" i="8"/>
  <c r="M750" i="8"/>
  <c r="M751" i="8"/>
  <c r="M752" i="8"/>
  <c r="M753" i="8"/>
  <c r="M754" i="8"/>
  <c r="M755" i="8"/>
  <c r="M756" i="8"/>
  <c r="M757" i="8"/>
  <c r="M758" i="8"/>
  <c r="M759" i="8"/>
  <c r="M760" i="8"/>
  <c r="M761" i="8"/>
  <c r="M762" i="8"/>
  <c r="M763" i="8"/>
  <c r="M764" i="8"/>
  <c r="M765" i="8"/>
  <c r="M766" i="8"/>
  <c r="M767" i="8"/>
  <c r="M768" i="8"/>
  <c r="M769" i="8"/>
  <c r="M770" i="8"/>
  <c r="M771" i="8"/>
  <c r="M772" i="8"/>
  <c r="M773" i="8"/>
  <c r="M774" i="8"/>
  <c r="M775" i="8"/>
  <c r="M776" i="8"/>
  <c r="M777" i="8"/>
  <c r="M778" i="8"/>
  <c r="M779" i="8"/>
  <c r="M780" i="8"/>
  <c r="M781" i="8"/>
  <c r="M782" i="8"/>
  <c r="M783" i="8"/>
  <c r="M784" i="8"/>
  <c r="M785" i="8"/>
  <c r="M786" i="8"/>
  <c r="M787" i="8"/>
  <c r="M788" i="8"/>
  <c r="M789" i="8"/>
  <c r="M790" i="8"/>
  <c r="M791" i="8"/>
  <c r="M792" i="8"/>
  <c r="M793" i="8"/>
  <c r="M794" i="8"/>
  <c r="M795" i="8"/>
  <c r="M796" i="8"/>
  <c r="M797" i="8"/>
  <c r="M798" i="8"/>
  <c r="M799" i="8"/>
  <c r="M800" i="8"/>
  <c r="M801" i="8"/>
  <c r="M802" i="8"/>
  <c r="M803" i="8"/>
  <c r="M804" i="8"/>
  <c r="M805" i="8"/>
  <c r="M806" i="8"/>
  <c r="M807" i="8"/>
  <c r="M808" i="8"/>
  <c r="M809" i="8"/>
  <c r="M810" i="8"/>
  <c r="M811" i="8"/>
  <c r="M812" i="8"/>
  <c r="M813" i="8"/>
  <c r="M814" i="8"/>
  <c r="M815" i="8"/>
  <c r="M816" i="8"/>
  <c r="M817" i="8"/>
  <c r="M818" i="8"/>
  <c r="M819" i="8"/>
  <c r="M820" i="8"/>
  <c r="M821" i="8"/>
  <c r="M822" i="8"/>
  <c r="M823" i="8"/>
  <c r="M824" i="8"/>
  <c r="M825" i="8"/>
  <c r="M826" i="8"/>
  <c r="M827" i="8"/>
  <c r="M828" i="8"/>
  <c r="M829" i="8"/>
  <c r="M830" i="8"/>
  <c r="M831" i="8"/>
  <c r="M832" i="8"/>
  <c r="M833" i="8"/>
  <c r="M834" i="8"/>
  <c r="M835" i="8"/>
  <c r="M836" i="8"/>
  <c r="M837" i="8"/>
  <c r="M838" i="8"/>
  <c r="M839" i="8"/>
  <c r="M840" i="8"/>
  <c r="M841" i="8"/>
  <c r="M842" i="8"/>
  <c r="M843" i="8"/>
  <c r="M844" i="8"/>
  <c r="M845" i="8"/>
  <c r="M846" i="8"/>
  <c r="M847" i="8"/>
  <c r="M848" i="8"/>
  <c r="M849" i="8"/>
  <c r="M850" i="8"/>
  <c r="M851" i="8"/>
  <c r="M852" i="8"/>
  <c r="M853" i="8"/>
  <c r="M854" i="8"/>
  <c r="M855" i="8"/>
  <c r="M856" i="8"/>
  <c r="M857" i="8"/>
  <c r="M858" i="8"/>
  <c r="M859" i="8"/>
  <c r="M860" i="8"/>
  <c r="M861" i="8"/>
  <c r="M862" i="8"/>
  <c r="M863" i="8"/>
  <c r="M864" i="8"/>
  <c r="M865" i="8"/>
  <c r="M866" i="8"/>
  <c r="M867" i="8"/>
  <c r="M868" i="8"/>
  <c r="M869" i="8"/>
  <c r="M870" i="8"/>
  <c r="M871" i="8"/>
  <c r="M872" i="8"/>
  <c r="M873" i="8"/>
  <c r="M874" i="8"/>
  <c r="M875" i="8"/>
  <c r="M876" i="8"/>
  <c r="M877" i="8"/>
  <c r="M878" i="8"/>
  <c r="M879" i="8"/>
  <c r="M880" i="8"/>
  <c r="M881" i="8"/>
  <c r="M882" i="8"/>
  <c r="M883" i="8"/>
  <c r="M884" i="8"/>
  <c r="M885" i="8"/>
  <c r="M886" i="8"/>
  <c r="M887" i="8"/>
  <c r="M888" i="8"/>
  <c r="M889" i="8"/>
  <c r="M890" i="8"/>
  <c r="M891" i="8"/>
  <c r="M892" i="8"/>
  <c r="M893" i="8"/>
  <c r="M894" i="8"/>
  <c r="M895" i="8"/>
  <c r="M896" i="8"/>
  <c r="M897" i="8"/>
  <c r="M898" i="8"/>
  <c r="M899" i="8"/>
  <c r="M900" i="8"/>
  <c r="M901" i="8"/>
  <c r="M902" i="8"/>
  <c r="M903" i="8"/>
  <c r="M904" i="8"/>
  <c r="M905" i="8"/>
  <c r="M906" i="8"/>
  <c r="M907" i="8"/>
  <c r="M908" i="8"/>
  <c r="M909" i="8"/>
  <c r="M910" i="8"/>
  <c r="M911" i="8"/>
  <c r="M912" i="8"/>
  <c r="M913" i="8"/>
  <c r="M914" i="8"/>
  <c r="M915" i="8"/>
  <c r="M916" i="8"/>
  <c r="M917" i="8"/>
  <c r="M918" i="8"/>
  <c r="M919" i="8"/>
  <c r="M920" i="8"/>
  <c r="M921" i="8"/>
  <c r="M922" i="8"/>
  <c r="M923" i="8"/>
  <c r="M924" i="8"/>
  <c r="M925" i="8"/>
  <c r="M926" i="8"/>
  <c r="M927" i="8"/>
  <c r="M928" i="8"/>
  <c r="M929" i="8"/>
  <c r="M930" i="8"/>
  <c r="M931" i="8"/>
  <c r="M932" i="8"/>
  <c r="M933" i="8"/>
  <c r="M934" i="8"/>
  <c r="M935" i="8"/>
  <c r="M936" i="8"/>
  <c r="M937" i="8"/>
  <c r="M938" i="8"/>
  <c r="M939" i="8"/>
  <c r="M940" i="8"/>
  <c r="M941" i="8"/>
  <c r="M942" i="8"/>
  <c r="M943" i="8"/>
  <c r="M944" i="8"/>
  <c r="M945" i="8"/>
  <c r="M946" i="8"/>
  <c r="M947" i="8"/>
  <c r="M948" i="8"/>
  <c r="M949" i="8"/>
  <c r="M950" i="8"/>
  <c r="M951" i="8"/>
  <c r="M952" i="8"/>
  <c r="M953" i="8"/>
  <c r="M954" i="8"/>
  <c r="M955" i="8"/>
  <c r="M956" i="8"/>
  <c r="M957" i="8"/>
  <c r="M958" i="8"/>
  <c r="M959" i="8"/>
  <c r="M960" i="8"/>
  <c r="M961" i="8"/>
  <c r="M962" i="8"/>
  <c r="M963" i="8"/>
  <c r="M964" i="8"/>
  <c r="M965" i="8"/>
  <c r="M966" i="8"/>
  <c r="M967" i="8"/>
  <c r="M968" i="8"/>
  <c r="M969" i="8"/>
  <c r="M970" i="8"/>
  <c r="M971" i="8"/>
  <c r="M972" i="8"/>
  <c r="M973" i="8"/>
  <c r="M974" i="8"/>
  <c r="M975" i="8"/>
  <c r="M976" i="8"/>
  <c r="M977" i="8"/>
  <c r="M978" i="8"/>
  <c r="M979" i="8"/>
  <c r="M980" i="8"/>
  <c r="M981" i="8"/>
  <c r="M982" i="8"/>
  <c r="M983" i="8"/>
  <c r="M984" i="8"/>
  <c r="M985" i="8"/>
  <c r="M986" i="8"/>
  <c r="M987" i="8"/>
  <c r="M988" i="8"/>
  <c r="M989" i="8"/>
  <c r="M990" i="8"/>
  <c r="M991" i="8"/>
  <c r="M992" i="8"/>
  <c r="M993" i="8"/>
  <c r="M994" i="8"/>
  <c r="M995" i="8"/>
  <c r="M996" i="8"/>
  <c r="M997" i="8"/>
  <c r="M998" i="8"/>
  <c r="M999" i="8"/>
  <c r="M1000" i="8"/>
  <c r="M1001" i="8"/>
  <c r="M1002" i="8"/>
  <c r="M1003" i="8"/>
  <c r="M1004" i="8"/>
  <c r="M1005" i="8"/>
  <c r="M1006" i="8"/>
  <c r="M1007" i="8"/>
  <c r="M1008" i="8"/>
  <c r="M1009" i="8"/>
  <c r="M1010" i="8"/>
  <c r="M1011" i="8"/>
  <c r="M1012" i="8"/>
  <c r="M1013" i="8"/>
  <c r="M1014" i="8"/>
  <c r="M1015" i="8"/>
  <c r="M1016" i="8"/>
  <c r="M1017" i="8"/>
  <c r="M1018" i="8"/>
  <c r="M1019" i="8"/>
  <c r="M1020" i="8"/>
  <c r="M1021" i="8"/>
  <c r="M1022" i="8"/>
  <c r="M1023" i="8"/>
  <c r="M1024" i="8"/>
  <c r="M1025" i="8"/>
  <c r="M1026" i="8"/>
  <c r="M1027" i="8"/>
  <c r="M1028" i="8"/>
  <c r="M1029" i="8"/>
  <c r="M1030" i="8"/>
  <c r="M1031" i="8"/>
  <c r="M1032" i="8"/>
  <c r="M1033" i="8"/>
  <c r="M1034" i="8"/>
  <c r="M1035" i="8"/>
  <c r="M1036" i="8"/>
  <c r="M1037" i="8"/>
  <c r="M1038" i="8"/>
  <c r="M1039" i="8"/>
  <c r="M1040" i="8"/>
  <c r="M1041" i="8"/>
  <c r="M1042" i="8"/>
  <c r="M1043" i="8"/>
  <c r="M1044" i="8"/>
  <c r="M1045" i="8"/>
  <c r="M1046" i="8"/>
  <c r="M1047" i="8"/>
  <c r="M1048" i="8"/>
  <c r="M1049" i="8"/>
  <c r="M1050" i="8"/>
  <c r="M1051" i="8"/>
  <c r="M1052" i="8"/>
  <c r="M1053" i="8"/>
  <c r="M1054" i="8"/>
  <c r="M1055" i="8"/>
  <c r="M1056" i="8"/>
  <c r="M1057" i="8"/>
  <c r="M1058" i="8"/>
  <c r="M1059" i="8"/>
  <c r="M1060" i="8"/>
  <c r="M1061" i="8"/>
  <c r="M1062" i="8"/>
  <c r="M1063" i="8"/>
  <c r="M1064" i="8"/>
  <c r="M1065" i="8"/>
  <c r="M1066" i="8"/>
  <c r="M1067" i="8"/>
  <c r="M1068" i="8"/>
  <c r="M1069" i="8"/>
  <c r="M1070" i="8"/>
  <c r="M1071" i="8"/>
  <c r="M1072" i="8"/>
  <c r="M1073" i="8"/>
  <c r="M1074" i="8"/>
  <c r="M1075" i="8"/>
  <c r="M1076" i="8"/>
  <c r="M1077" i="8"/>
  <c r="M1078" i="8"/>
  <c r="M1079" i="8"/>
  <c r="M1080" i="8"/>
  <c r="M1081" i="8"/>
  <c r="M1082" i="8"/>
  <c r="M1083" i="8"/>
  <c r="M1084" i="8"/>
  <c r="M1085" i="8"/>
  <c r="M1086" i="8"/>
  <c r="M1087" i="8"/>
  <c r="M1088" i="8"/>
  <c r="M1089" i="8"/>
  <c r="M1090" i="8"/>
  <c r="M1091" i="8"/>
  <c r="M1092" i="8"/>
  <c r="M1093" i="8"/>
  <c r="M1094" i="8"/>
  <c r="M1095" i="8"/>
  <c r="M1096" i="8"/>
  <c r="M1097" i="8"/>
  <c r="M1098" i="8"/>
  <c r="M1099" i="8"/>
  <c r="M1100" i="8"/>
  <c r="M1101" i="8"/>
  <c r="M1102" i="8"/>
  <c r="M1103" i="8"/>
  <c r="M1104" i="8"/>
  <c r="M1105" i="8"/>
  <c r="M1106" i="8"/>
  <c r="M1107" i="8"/>
  <c r="M1108" i="8"/>
  <c r="M1109" i="8"/>
  <c r="M1110" i="8"/>
  <c r="M1111" i="8"/>
  <c r="M1112" i="8"/>
  <c r="M1113" i="8"/>
  <c r="M1114" i="8"/>
  <c r="M1115" i="8"/>
  <c r="M1116" i="8"/>
  <c r="M1117" i="8"/>
  <c r="M1118" i="8"/>
  <c r="M1119" i="8"/>
  <c r="M1120" i="8"/>
  <c r="M1121" i="8"/>
  <c r="M1122" i="8"/>
  <c r="M1123" i="8"/>
  <c r="M1124" i="8"/>
  <c r="M1125" i="8"/>
  <c r="M1126" i="8"/>
  <c r="M1127" i="8"/>
  <c r="M1128" i="8"/>
  <c r="M1129" i="8"/>
  <c r="M1130" i="8"/>
  <c r="M1131" i="8"/>
  <c r="M1132" i="8"/>
  <c r="M1133" i="8"/>
  <c r="M1134" i="8"/>
  <c r="M1135" i="8"/>
  <c r="M1136" i="8"/>
  <c r="M1137" i="8"/>
  <c r="M1138" i="8"/>
  <c r="M1139" i="8"/>
  <c r="M1140" i="8"/>
  <c r="M1141" i="8"/>
  <c r="M1142" i="8"/>
  <c r="M1143" i="8"/>
  <c r="M1144" i="8"/>
  <c r="M1145" i="8"/>
  <c r="M1146" i="8"/>
  <c r="M1147" i="8"/>
  <c r="M1148" i="8"/>
  <c r="M1149" i="8"/>
  <c r="M1150" i="8"/>
  <c r="M1151" i="8"/>
  <c r="M1152" i="8"/>
  <c r="M1153" i="8"/>
  <c r="M1154" i="8"/>
  <c r="M1155" i="8"/>
  <c r="M1156" i="8"/>
  <c r="M1157" i="8"/>
  <c r="M1158" i="8"/>
  <c r="M1159" i="8"/>
  <c r="M1160" i="8"/>
  <c r="M1161" i="8"/>
  <c r="M1162" i="8"/>
  <c r="M1163" i="8"/>
  <c r="M1164" i="8"/>
  <c r="M1165" i="8"/>
  <c r="M1166" i="8"/>
  <c r="M1167" i="8"/>
  <c r="M1168" i="8"/>
  <c r="M1169" i="8"/>
  <c r="M1170" i="8"/>
  <c r="M1171" i="8"/>
  <c r="M1172" i="8"/>
  <c r="M1173" i="8"/>
  <c r="M1174" i="8"/>
  <c r="M1175" i="8"/>
  <c r="M1176" i="8"/>
  <c r="M1177" i="8"/>
  <c r="M1178" i="8"/>
  <c r="M1179" i="8"/>
  <c r="M1180" i="8"/>
  <c r="M1181" i="8"/>
  <c r="M1182" i="8"/>
  <c r="M1183" i="8"/>
  <c r="M1184" i="8"/>
  <c r="M1185" i="8"/>
  <c r="M1186" i="8"/>
  <c r="M1187" i="8"/>
  <c r="M1188" i="8"/>
  <c r="M1189" i="8"/>
  <c r="M1190" i="8"/>
  <c r="M1191" i="8"/>
  <c r="M1192" i="8"/>
  <c r="M1193" i="8"/>
  <c r="M1194" i="8"/>
  <c r="M1195" i="8"/>
  <c r="M1196" i="8"/>
  <c r="M1197" i="8"/>
  <c r="M1198" i="8"/>
  <c r="M1199" i="8"/>
  <c r="M1200" i="8"/>
  <c r="M1201" i="8"/>
  <c r="M1202" i="8"/>
  <c r="M1203" i="8"/>
  <c r="M1204" i="8"/>
  <c r="M1205" i="8"/>
  <c r="M1206" i="8"/>
  <c r="M1207" i="8"/>
  <c r="M1208" i="8"/>
  <c r="M1209" i="8"/>
  <c r="M1210" i="8"/>
  <c r="M1211" i="8"/>
  <c r="M1212" i="8"/>
  <c r="M1213" i="8"/>
  <c r="M1214" i="8"/>
  <c r="M1215" i="8"/>
  <c r="M1216" i="8"/>
  <c r="M1217" i="8"/>
  <c r="M1218" i="8"/>
  <c r="M1219" i="8"/>
  <c r="M1220" i="8"/>
  <c r="M1221" i="8"/>
  <c r="M1222" i="8"/>
  <c r="M1223" i="8"/>
  <c r="M1224" i="8"/>
  <c r="M1225" i="8"/>
  <c r="M1226" i="8"/>
  <c r="M1227" i="8"/>
  <c r="M1228" i="8"/>
  <c r="M1229" i="8"/>
  <c r="M1230" i="8"/>
  <c r="M1231" i="8"/>
  <c r="M1232" i="8"/>
  <c r="M1233" i="8"/>
  <c r="M1234" i="8"/>
  <c r="M1235" i="8"/>
  <c r="M1236" i="8"/>
  <c r="M1237" i="8"/>
  <c r="M1238" i="8"/>
  <c r="M1239" i="8"/>
  <c r="M1240" i="8"/>
  <c r="M1241" i="8"/>
  <c r="M1242" i="8"/>
  <c r="M1243" i="8"/>
  <c r="M1244" i="8"/>
  <c r="M1245" i="8"/>
  <c r="M1246" i="8"/>
  <c r="M1247" i="8"/>
  <c r="M1248" i="8"/>
  <c r="M1249" i="8"/>
  <c r="M1250" i="8"/>
  <c r="M1251" i="8"/>
  <c r="M1252" i="8"/>
  <c r="M1253" i="8"/>
  <c r="M1254" i="8"/>
  <c r="M1255" i="8"/>
  <c r="M1256" i="8"/>
  <c r="M1257" i="8"/>
  <c r="M1258" i="8"/>
  <c r="M1259" i="8"/>
  <c r="M1260" i="8"/>
  <c r="M1261" i="8"/>
  <c r="M1262" i="8"/>
  <c r="M1263" i="8"/>
  <c r="M1264" i="8"/>
  <c r="M1265" i="8"/>
  <c r="M1266" i="8"/>
  <c r="M1267" i="8"/>
  <c r="M1268" i="8"/>
  <c r="M1269" i="8"/>
  <c r="M1270" i="8"/>
  <c r="M1271" i="8"/>
  <c r="M1272" i="8"/>
  <c r="M1273" i="8"/>
  <c r="M1274" i="8"/>
  <c r="M1275" i="8"/>
  <c r="M1276" i="8"/>
  <c r="M1277" i="8"/>
  <c r="M1278" i="8"/>
  <c r="M1279" i="8"/>
  <c r="M1280" i="8"/>
  <c r="M1281" i="8"/>
  <c r="M1282" i="8"/>
  <c r="M1283" i="8"/>
  <c r="M1284" i="8"/>
  <c r="M1285" i="8"/>
  <c r="M1286" i="8"/>
  <c r="M1287" i="8"/>
  <c r="M1288" i="8"/>
  <c r="M1289" i="8"/>
  <c r="M1290" i="8"/>
  <c r="M1291" i="8"/>
  <c r="M1292" i="8"/>
  <c r="M1293" i="8"/>
  <c r="M1294" i="8"/>
  <c r="M1295" i="8"/>
  <c r="M1296" i="8"/>
  <c r="M1297" i="8"/>
  <c r="M1298" i="8"/>
  <c r="M1299" i="8"/>
  <c r="M1300" i="8"/>
  <c r="M1301" i="8"/>
  <c r="M1302" i="8"/>
  <c r="M1303" i="8"/>
  <c r="M1304" i="8"/>
  <c r="M1305" i="8"/>
  <c r="M1306" i="8"/>
  <c r="M1307" i="8"/>
  <c r="M1308" i="8"/>
  <c r="M1309" i="8"/>
  <c r="M1310" i="8"/>
  <c r="M1311" i="8"/>
  <c r="M1312" i="8"/>
  <c r="M1313" i="8"/>
  <c r="M1314" i="8"/>
  <c r="M1315" i="8"/>
  <c r="M1316" i="8"/>
  <c r="M1317" i="8"/>
  <c r="M1318" i="8"/>
  <c r="M1319" i="8"/>
  <c r="M1320" i="8"/>
  <c r="M1321" i="8"/>
  <c r="M1322" i="8"/>
  <c r="M1323" i="8"/>
  <c r="M1324" i="8"/>
  <c r="M1325" i="8"/>
  <c r="M1326" i="8"/>
  <c r="M1327" i="8"/>
  <c r="M1328" i="8"/>
  <c r="M1329" i="8"/>
  <c r="M1330" i="8"/>
  <c r="M1331" i="8"/>
  <c r="M1332" i="8"/>
  <c r="M1333" i="8"/>
  <c r="M1334" i="8"/>
  <c r="M1335" i="8"/>
  <c r="M1336" i="8"/>
  <c r="M1337" i="8"/>
  <c r="M1338" i="8"/>
  <c r="M1339" i="8"/>
  <c r="M1340" i="8"/>
  <c r="M1341" i="8"/>
  <c r="M1342" i="8"/>
  <c r="M1343" i="8"/>
  <c r="M1344" i="8"/>
  <c r="M1345" i="8"/>
  <c r="M1346" i="8"/>
  <c r="M1347" i="8"/>
  <c r="M1348" i="8"/>
  <c r="M1349" i="8"/>
  <c r="M1350" i="8"/>
  <c r="M1351" i="8"/>
  <c r="M1352" i="8"/>
  <c r="M1353" i="8"/>
  <c r="M1354" i="8"/>
  <c r="M1355" i="8"/>
  <c r="M1356" i="8"/>
  <c r="M1357" i="8"/>
  <c r="M1358" i="8"/>
  <c r="M1359" i="8"/>
  <c r="M1360" i="8"/>
  <c r="M1361" i="8"/>
  <c r="M1362" i="8"/>
  <c r="M1363" i="8"/>
  <c r="M1364" i="8"/>
  <c r="M1365" i="8"/>
  <c r="M1366" i="8"/>
  <c r="M1367" i="8"/>
  <c r="M1368" i="8"/>
  <c r="M1369" i="8"/>
  <c r="M1370" i="8"/>
  <c r="M1371" i="8"/>
  <c r="M1372" i="8"/>
  <c r="M1373" i="8"/>
  <c r="M1374" i="8"/>
  <c r="M1375" i="8"/>
  <c r="M1376" i="8"/>
  <c r="M1377" i="8"/>
  <c r="M1378" i="8"/>
  <c r="M1379" i="8"/>
  <c r="M1380" i="8"/>
  <c r="M1381" i="8"/>
  <c r="M1382" i="8"/>
  <c r="M1383" i="8"/>
  <c r="M1384" i="8"/>
  <c r="M1385" i="8"/>
  <c r="M1386" i="8"/>
  <c r="M1387" i="8"/>
  <c r="M1388" i="8"/>
  <c r="M1389" i="8"/>
  <c r="M1390" i="8"/>
  <c r="M1391" i="8"/>
  <c r="M1392" i="8"/>
  <c r="M1393" i="8"/>
  <c r="M1394" i="8"/>
  <c r="M1395" i="8"/>
  <c r="M1396" i="8"/>
  <c r="M1397" i="8"/>
  <c r="M1398" i="8"/>
  <c r="M1399" i="8"/>
  <c r="M1400" i="8"/>
  <c r="M1401" i="8"/>
  <c r="M1402" i="8"/>
  <c r="M1403" i="8"/>
  <c r="M1404" i="8"/>
  <c r="M1405" i="8"/>
  <c r="M1406" i="8"/>
  <c r="M1407" i="8"/>
  <c r="M1408" i="8"/>
  <c r="M1409" i="8"/>
  <c r="M1410" i="8"/>
  <c r="M1411" i="8"/>
  <c r="M1412" i="8"/>
  <c r="M1413" i="8"/>
  <c r="M1414" i="8"/>
  <c r="M1415" i="8"/>
  <c r="M1416" i="8"/>
  <c r="M1417" i="8"/>
  <c r="M1418" i="8"/>
  <c r="M1419" i="8"/>
  <c r="M1420" i="8"/>
  <c r="M1421" i="8"/>
  <c r="M1422" i="8"/>
  <c r="M1423" i="8"/>
  <c r="M1424" i="8"/>
  <c r="M1425" i="8"/>
  <c r="M1426" i="8"/>
  <c r="M1427" i="8"/>
  <c r="M1428" i="8"/>
  <c r="M1429" i="8"/>
  <c r="M1430" i="8"/>
  <c r="M1431" i="8"/>
  <c r="M1432" i="8"/>
  <c r="M1433" i="8"/>
  <c r="M1434" i="8"/>
  <c r="M1435" i="8"/>
  <c r="M1436" i="8"/>
  <c r="M1437" i="8"/>
  <c r="M1438" i="8"/>
  <c r="M1439" i="8"/>
  <c r="M1440" i="8"/>
  <c r="M1441" i="8"/>
  <c r="M1442" i="8"/>
  <c r="M1443" i="8"/>
  <c r="M1444" i="8"/>
  <c r="M1445" i="8"/>
  <c r="M1446" i="8"/>
  <c r="M1447" i="8"/>
  <c r="M1448" i="8"/>
  <c r="M1449" i="8"/>
  <c r="M1450" i="8"/>
  <c r="M1451" i="8"/>
  <c r="M1452" i="8"/>
  <c r="M1453" i="8"/>
  <c r="M1454" i="8"/>
  <c r="M1455" i="8"/>
  <c r="M1456" i="8"/>
  <c r="M1457" i="8"/>
  <c r="M1458" i="8"/>
  <c r="M1459" i="8"/>
  <c r="M1460" i="8"/>
  <c r="M1461" i="8"/>
  <c r="M1462" i="8"/>
  <c r="M1463" i="8"/>
  <c r="M1464" i="8"/>
  <c r="M1465" i="8"/>
  <c r="M1466" i="8"/>
  <c r="M1467" i="8"/>
  <c r="M1468" i="8"/>
  <c r="M1469" i="8"/>
  <c r="M1470" i="8"/>
  <c r="M1471" i="8"/>
  <c r="M1472" i="8"/>
  <c r="M1473" i="8"/>
  <c r="M1474" i="8"/>
  <c r="M1475" i="8"/>
  <c r="M1476" i="8"/>
  <c r="M1477" i="8"/>
  <c r="M1478" i="8"/>
  <c r="M1479" i="8"/>
  <c r="M1480" i="8"/>
  <c r="M1481" i="8"/>
  <c r="M1482" i="8"/>
  <c r="M1483" i="8"/>
  <c r="M1484" i="8"/>
  <c r="M1485" i="8"/>
  <c r="M1486" i="8"/>
  <c r="M1487" i="8"/>
  <c r="M1488" i="8"/>
  <c r="M1489" i="8"/>
  <c r="M1490" i="8"/>
  <c r="M1491" i="8"/>
  <c r="M1492" i="8"/>
  <c r="M1493" i="8"/>
  <c r="M1494" i="8"/>
  <c r="M1495" i="8"/>
  <c r="M1496" i="8"/>
  <c r="M1497" i="8"/>
  <c r="M1498" i="8"/>
  <c r="M1499" i="8"/>
  <c r="M1500" i="8"/>
  <c r="M1501" i="8"/>
  <c r="M1502" i="8"/>
  <c r="M1503" i="8"/>
  <c r="M1504" i="8"/>
  <c r="M1505" i="8"/>
  <c r="M1506" i="8"/>
  <c r="M1507" i="8"/>
  <c r="M1508" i="8"/>
  <c r="M1509" i="8"/>
  <c r="M1510" i="8"/>
  <c r="M1511" i="8"/>
  <c r="M1512" i="8"/>
  <c r="M1513" i="8"/>
  <c r="M1514" i="8"/>
  <c r="M1515" i="8"/>
  <c r="M1516" i="8"/>
  <c r="M1517" i="8"/>
  <c r="M1518" i="8"/>
  <c r="M1519" i="8"/>
  <c r="M1520" i="8"/>
  <c r="M1521" i="8"/>
  <c r="M1522" i="8"/>
  <c r="M1523" i="8"/>
  <c r="M1524" i="8"/>
  <c r="M1525" i="8"/>
  <c r="M1526" i="8"/>
  <c r="M1527" i="8"/>
  <c r="M1528" i="8"/>
  <c r="M1529" i="8"/>
  <c r="M1530" i="8"/>
  <c r="M1531" i="8"/>
  <c r="M1532" i="8"/>
  <c r="M1533" i="8"/>
  <c r="M1534" i="8"/>
  <c r="M1535" i="8"/>
  <c r="M1536" i="8"/>
  <c r="M1537" i="8"/>
  <c r="M1538" i="8"/>
  <c r="M1539" i="8"/>
  <c r="M1540" i="8"/>
  <c r="M1541" i="8"/>
  <c r="M1542" i="8"/>
  <c r="M1543" i="8"/>
  <c r="M1544" i="8"/>
  <c r="M1545" i="8"/>
  <c r="M1546" i="8"/>
  <c r="M1547" i="8"/>
  <c r="M1548" i="8"/>
  <c r="M1549" i="8"/>
  <c r="M1550" i="8"/>
  <c r="M1551" i="8"/>
  <c r="M1552" i="8"/>
  <c r="M1553" i="8"/>
  <c r="M1554" i="8"/>
  <c r="M1555" i="8"/>
  <c r="M1556" i="8"/>
  <c r="M1557" i="8"/>
  <c r="M1558" i="8"/>
  <c r="M1559" i="8"/>
  <c r="M1560" i="8"/>
  <c r="M1561" i="8"/>
  <c r="M1562" i="8"/>
  <c r="M1563" i="8"/>
  <c r="M1564" i="8"/>
  <c r="M1565" i="8"/>
  <c r="M1566" i="8"/>
  <c r="M1567" i="8"/>
  <c r="M1568" i="8"/>
  <c r="M1569" i="8"/>
  <c r="M1570" i="8"/>
  <c r="M1571" i="8"/>
  <c r="M1572" i="8"/>
  <c r="M1573" i="8"/>
  <c r="M1574" i="8"/>
  <c r="M1575" i="8"/>
  <c r="M1576" i="8"/>
  <c r="M1577" i="8"/>
  <c r="M1578" i="8"/>
  <c r="M1579" i="8"/>
  <c r="M1580" i="8"/>
  <c r="M1581" i="8"/>
  <c r="M1582" i="8"/>
  <c r="M1583" i="8"/>
  <c r="M1584" i="8"/>
  <c r="M1585" i="8"/>
  <c r="M1586" i="8"/>
  <c r="M1587" i="8"/>
  <c r="M1588" i="8"/>
  <c r="M1589" i="8"/>
  <c r="M1590" i="8"/>
  <c r="M1591" i="8"/>
  <c r="M1592" i="8"/>
  <c r="M1593" i="8"/>
  <c r="M1594" i="8"/>
  <c r="M1595" i="8"/>
  <c r="M1596" i="8"/>
  <c r="M1597" i="8"/>
  <c r="M1598" i="8"/>
  <c r="M1599" i="8"/>
  <c r="M1600" i="8"/>
  <c r="M1601" i="8"/>
  <c r="M1602" i="8"/>
  <c r="M1603" i="8"/>
  <c r="M1604" i="8"/>
  <c r="M1605" i="8"/>
  <c r="M1606" i="8"/>
  <c r="M1607" i="8"/>
  <c r="M1608" i="8"/>
  <c r="M1609" i="8"/>
  <c r="M1610" i="8"/>
  <c r="M1611" i="8"/>
  <c r="M1612" i="8"/>
  <c r="M1613" i="8"/>
  <c r="M1614" i="8"/>
  <c r="M1615" i="8"/>
  <c r="M1616" i="8"/>
  <c r="M1617" i="8"/>
  <c r="M1618" i="8"/>
  <c r="M1619" i="8"/>
  <c r="M1620" i="8"/>
  <c r="M1621" i="8"/>
  <c r="M1622" i="8"/>
  <c r="M1623" i="8"/>
  <c r="M1624" i="8"/>
  <c r="M1625" i="8"/>
  <c r="M1626" i="8"/>
  <c r="M1627" i="8"/>
  <c r="M1628" i="8"/>
  <c r="M1629" i="8"/>
  <c r="M1630" i="8"/>
  <c r="M1631" i="8"/>
  <c r="M1632" i="8"/>
  <c r="M1633" i="8"/>
  <c r="M1634" i="8"/>
  <c r="M1635" i="8"/>
  <c r="M1636" i="8"/>
  <c r="M1637" i="8"/>
  <c r="M1638" i="8"/>
  <c r="M1639" i="8"/>
  <c r="M1640" i="8"/>
  <c r="M1641" i="8"/>
  <c r="M1642" i="8"/>
  <c r="M1643" i="8"/>
  <c r="M1644" i="8"/>
  <c r="M1645" i="8"/>
  <c r="M1646" i="8"/>
  <c r="M1647" i="8"/>
  <c r="M1648" i="8"/>
  <c r="M1649" i="8"/>
  <c r="M1650" i="8"/>
  <c r="M1651" i="8"/>
  <c r="M1652" i="8"/>
  <c r="M1653" i="8"/>
  <c r="M1654" i="8"/>
  <c r="M1655" i="8"/>
  <c r="M1656" i="8"/>
  <c r="M1657" i="8"/>
  <c r="M1658" i="8"/>
  <c r="M1659" i="8"/>
  <c r="M1660" i="8"/>
  <c r="M1661" i="8"/>
  <c r="M1662" i="8"/>
  <c r="M1663" i="8"/>
  <c r="M1664" i="8"/>
  <c r="M1665" i="8"/>
  <c r="M1666" i="8"/>
  <c r="M1667" i="8"/>
  <c r="M1668" i="8"/>
  <c r="M1669" i="8"/>
  <c r="M1670" i="8"/>
  <c r="M1671" i="8"/>
  <c r="M1672" i="8"/>
  <c r="M1673" i="8"/>
  <c r="M1674" i="8"/>
  <c r="M1675" i="8"/>
  <c r="M1676" i="8"/>
  <c r="M1677" i="8"/>
  <c r="M1678" i="8"/>
  <c r="M1679" i="8"/>
  <c r="M1680" i="8"/>
  <c r="M1681" i="8"/>
  <c r="M1682" i="8"/>
  <c r="M1683" i="8"/>
  <c r="M1684" i="8"/>
  <c r="M1685" i="8"/>
  <c r="M1686" i="8"/>
  <c r="M1687" i="8"/>
  <c r="M1688" i="8"/>
  <c r="M1689" i="8"/>
  <c r="M1690" i="8"/>
  <c r="M1691" i="8"/>
  <c r="M1692" i="8"/>
  <c r="M1693" i="8"/>
  <c r="M1694" i="8"/>
  <c r="M1695" i="8"/>
  <c r="M1696" i="8"/>
  <c r="M1697" i="8"/>
  <c r="M1698" i="8"/>
  <c r="M1699" i="8"/>
  <c r="M1700" i="8"/>
  <c r="M1701" i="8"/>
  <c r="M1702" i="8"/>
  <c r="M1703" i="8"/>
  <c r="M1704" i="8"/>
  <c r="M1705" i="8"/>
  <c r="M1706" i="8"/>
  <c r="M1707" i="8"/>
  <c r="M1708" i="8"/>
  <c r="M1709" i="8"/>
  <c r="M1710" i="8"/>
  <c r="M1711" i="8"/>
  <c r="M1712" i="8"/>
  <c r="M1713" i="8"/>
  <c r="M1714" i="8"/>
  <c r="M1715" i="8"/>
  <c r="M1716" i="8"/>
  <c r="M1717" i="8"/>
  <c r="M1718" i="8"/>
  <c r="M1719" i="8"/>
  <c r="M1720" i="8"/>
  <c r="M1721" i="8"/>
  <c r="M1722" i="8"/>
  <c r="M1723" i="8"/>
  <c r="M1724" i="8"/>
  <c r="M1725" i="8"/>
  <c r="M1726" i="8"/>
  <c r="M1727" i="8"/>
  <c r="M1728" i="8"/>
  <c r="M1729" i="8"/>
  <c r="M1730" i="8"/>
  <c r="M1731" i="8"/>
  <c r="M1732" i="8"/>
  <c r="M1733" i="8"/>
  <c r="M1734" i="8"/>
  <c r="M1735" i="8"/>
  <c r="M1736" i="8"/>
  <c r="M1737" i="8"/>
  <c r="M1738" i="8"/>
  <c r="M1739" i="8"/>
  <c r="M1740" i="8"/>
  <c r="M1741" i="8"/>
  <c r="M1742" i="8"/>
  <c r="M1743" i="8"/>
  <c r="M1744" i="8"/>
  <c r="M1745" i="8"/>
  <c r="M1746" i="8"/>
  <c r="M1747" i="8"/>
  <c r="M1748" i="8"/>
  <c r="M1749" i="8"/>
  <c r="M1750" i="8"/>
  <c r="M1751" i="8"/>
  <c r="M1752" i="8"/>
  <c r="M1753" i="8"/>
  <c r="M1754" i="8"/>
  <c r="M1755" i="8"/>
  <c r="M1756" i="8"/>
  <c r="M1757" i="8"/>
  <c r="M1758" i="8"/>
  <c r="M1759" i="8"/>
  <c r="M1760" i="8"/>
  <c r="M1761" i="8"/>
  <c r="M1762" i="8"/>
  <c r="M1763" i="8"/>
  <c r="M1764" i="8"/>
  <c r="M1765" i="8"/>
  <c r="M1766" i="8"/>
  <c r="M1767" i="8"/>
  <c r="M1768" i="8"/>
  <c r="M1769" i="8"/>
  <c r="M1770" i="8"/>
  <c r="M1771" i="8"/>
  <c r="M1772" i="8"/>
  <c r="M1773" i="8"/>
  <c r="M1774" i="8"/>
  <c r="M1775" i="8"/>
  <c r="M1776" i="8"/>
  <c r="M1777" i="8"/>
  <c r="M1778" i="8"/>
  <c r="M1779" i="8"/>
  <c r="M1780" i="8"/>
  <c r="M1781" i="8"/>
  <c r="M1782" i="8"/>
  <c r="M1783" i="8"/>
  <c r="M1784" i="8"/>
  <c r="M1785" i="8"/>
  <c r="M1786" i="8"/>
  <c r="M1787" i="8"/>
  <c r="M1788" i="8"/>
  <c r="M1789" i="8"/>
  <c r="M1790" i="8"/>
  <c r="M1791" i="8"/>
  <c r="M1792" i="8"/>
  <c r="M1793" i="8"/>
  <c r="M1794" i="8"/>
  <c r="M1795" i="8"/>
  <c r="M1796" i="8"/>
  <c r="M1797" i="8"/>
  <c r="M1798" i="8"/>
  <c r="M1799" i="8"/>
  <c r="M1800" i="8"/>
  <c r="M1801" i="8"/>
  <c r="M1802" i="8"/>
  <c r="M1803" i="8"/>
  <c r="M1804" i="8"/>
  <c r="M1805" i="8"/>
  <c r="M1806" i="8"/>
  <c r="M1807" i="8"/>
  <c r="M1808" i="8"/>
  <c r="M1809" i="8"/>
  <c r="M1810" i="8"/>
  <c r="M1811" i="8"/>
  <c r="M1812" i="8"/>
  <c r="M1813" i="8"/>
  <c r="M1814" i="8"/>
  <c r="M1815" i="8"/>
  <c r="M1816" i="8"/>
  <c r="M1817" i="8"/>
  <c r="M1818" i="8"/>
  <c r="M1819" i="8"/>
  <c r="M1820" i="8"/>
  <c r="M1821" i="8"/>
  <c r="M1822" i="8"/>
  <c r="M1823" i="8"/>
  <c r="M1824" i="8"/>
  <c r="M1825" i="8"/>
  <c r="M1826" i="8"/>
  <c r="M1827" i="8"/>
  <c r="M1828" i="8"/>
  <c r="M1829" i="8"/>
  <c r="M1830" i="8"/>
  <c r="M1831" i="8"/>
  <c r="M1832" i="8"/>
  <c r="M1833" i="8"/>
  <c r="M1834" i="8"/>
  <c r="M1835" i="8"/>
  <c r="M1836" i="8"/>
  <c r="M1837" i="8"/>
  <c r="M1838" i="8"/>
  <c r="M1839" i="8"/>
  <c r="M1840" i="8"/>
  <c r="M1841" i="8"/>
  <c r="M1842" i="8"/>
  <c r="M1843" i="8"/>
  <c r="M1844" i="8"/>
  <c r="M1845" i="8"/>
  <c r="M1846" i="8"/>
  <c r="M1847" i="8"/>
  <c r="M1848" i="8"/>
  <c r="M1849" i="8"/>
  <c r="M1850" i="8"/>
  <c r="M1851" i="8"/>
  <c r="M1852" i="8"/>
  <c r="M1853" i="8"/>
  <c r="M1854" i="8"/>
  <c r="M1855" i="8"/>
  <c r="M1856" i="8"/>
  <c r="M1857" i="8"/>
  <c r="M1858" i="8"/>
  <c r="M1859" i="8"/>
  <c r="M1860" i="8"/>
  <c r="M1861" i="8"/>
  <c r="M1862" i="8"/>
  <c r="M1863" i="8"/>
  <c r="M1864" i="8"/>
  <c r="M1865" i="8"/>
  <c r="M1866" i="8"/>
  <c r="M1867" i="8"/>
  <c r="M1868" i="8"/>
  <c r="M1869" i="8"/>
  <c r="M1870" i="8"/>
  <c r="M1871" i="8"/>
  <c r="M1872" i="8"/>
  <c r="M1873" i="8"/>
  <c r="M1874" i="8"/>
  <c r="M1875" i="8"/>
  <c r="M1876" i="8"/>
  <c r="M1877" i="8"/>
  <c r="M1878" i="8"/>
  <c r="M1879" i="8"/>
  <c r="M1880" i="8"/>
  <c r="M1881" i="8"/>
  <c r="M1882" i="8"/>
  <c r="M1883" i="8"/>
  <c r="M1884" i="8"/>
  <c r="M1885" i="8"/>
  <c r="M1886" i="8"/>
  <c r="M1887" i="8"/>
  <c r="M1888" i="8"/>
  <c r="M1889" i="8"/>
  <c r="M1890" i="8"/>
  <c r="M1891" i="8"/>
  <c r="M1892" i="8"/>
  <c r="M1893" i="8"/>
  <c r="M1894" i="8"/>
  <c r="M1895" i="8"/>
  <c r="M1896" i="8"/>
  <c r="M1897" i="8"/>
  <c r="M1898" i="8"/>
  <c r="M1899" i="8"/>
  <c r="M1900" i="8"/>
  <c r="M1901" i="8"/>
  <c r="M1902" i="8"/>
  <c r="M1903" i="8"/>
  <c r="M1904" i="8"/>
  <c r="M1905" i="8"/>
  <c r="M1906" i="8"/>
  <c r="M1907" i="8"/>
  <c r="M1908" i="8"/>
  <c r="M1909" i="8"/>
  <c r="M1910" i="8"/>
  <c r="M1911" i="8"/>
  <c r="M1912" i="8"/>
  <c r="M1913" i="8"/>
  <c r="M1914" i="8"/>
  <c r="M1915" i="8"/>
  <c r="M1916" i="8"/>
  <c r="M1917" i="8"/>
  <c r="M1918" i="8"/>
  <c r="M1919" i="8"/>
  <c r="M1920" i="8"/>
  <c r="M1921" i="8"/>
  <c r="M1922" i="8"/>
  <c r="M1923" i="8"/>
  <c r="M1924" i="8"/>
  <c r="M1925" i="8"/>
  <c r="M1926" i="8"/>
  <c r="M1927" i="8"/>
  <c r="M1928" i="8"/>
  <c r="M1929" i="8"/>
  <c r="M1930" i="8"/>
  <c r="M1931" i="8"/>
  <c r="M1932" i="8"/>
  <c r="M1933" i="8"/>
  <c r="M1934" i="8"/>
  <c r="M1935" i="8"/>
  <c r="M1936" i="8"/>
  <c r="M1937" i="8"/>
  <c r="M1938" i="8"/>
  <c r="M1939" i="8"/>
  <c r="M1940" i="8"/>
  <c r="M1941" i="8"/>
  <c r="M1942" i="8"/>
  <c r="M1943" i="8"/>
  <c r="M1944" i="8"/>
  <c r="M1945" i="8"/>
  <c r="M1946" i="8"/>
  <c r="M1947" i="8"/>
  <c r="M1948" i="8"/>
  <c r="M1949" i="8"/>
  <c r="M1950" i="8"/>
  <c r="M1951" i="8"/>
  <c r="M1952" i="8"/>
  <c r="M1953" i="8"/>
  <c r="M1954" i="8"/>
  <c r="M1955" i="8"/>
  <c r="M1956" i="8"/>
  <c r="M1957" i="8"/>
  <c r="M1958" i="8"/>
  <c r="M1959" i="8"/>
  <c r="M1960" i="8"/>
  <c r="M1961" i="8"/>
  <c r="M1962" i="8"/>
  <c r="M1963" i="8"/>
  <c r="M1964" i="8"/>
  <c r="M1965" i="8"/>
  <c r="M1966" i="8"/>
  <c r="M1967" i="8"/>
  <c r="M1968" i="8"/>
  <c r="M1969" i="8"/>
  <c r="M1970" i="8"/>
  <c r="M1971" i="8"/>
  <c r="M1972" i="8"/>
  <c r="M1973" i="8"/>
  <c r="M1974" i="8"/>
  <c r="M1975" i="8"/>
  <c r="M1976" i="8"/>
  <c r="M1977" i="8"/>
  <c r="M1978" i="8"/>
  <c r="M1979" i="8"/>
  <c r="M1980" i="8"/>
  <c r="M1981" i="8"/>
  <c r="M1982" i="8"/>
  <c r="M1983" i="8"/>
  <c r="M1984" i="8"/>
  <c r="M1985" i="8"/>
  <c r="M1986" i="8"/>
  <c r="M1987" i="8"/>
  <c r="M1988" i="8"/>
  <c r="M1989" i="8"/>
  <c r="M1990" i="8"/>
  <c r="M1991" i="8"/>
  <c r="M1992" i="8"/>
  <c r="M1993" i="8"/>
  <c r="D24" i="9" l="1"/>
  <c r="B24" i="9"/>
  <c r="C24" i="9"/>
  <c r="E24" i="9"/>
  <c r="D42" i="9"/>
  <c r="E42" i="9"/>
  <c r="B42" i="9"/>
  <c r="C42" i="9"/>
  <c r="D6" i="9"/>
  <c r="E6" i="9"/>
  <c r="B6" i="9"/>
  <c r="C6" i="9"/>
  <c r="B4" i="9"/>
  <c r="D60" i="9"/>
  <c r="B60" i="9"/>
  <c r="C60" i="9"/>
  <c r="E60" i="9"/>
  <c r="E48" i="3"/>
  <c r="C34" i="3"/>
  <c r="D48" i="3"/>
  <c r="B34" i="3"/>
  <c r="D34" i="3"/>
  <c r="B48" i="3"/>
  <c r="E34" i="3"/>
  <c r="C48" i="3"/>
  <c r="D51" i="9"/>
  <c r="C51" i="9"/>
  <c r="D4" i="9"/>
  <c r="C4" i="9"/>
  <c r="E51" i="9"/>
  <c r="E4" i="9"/>
  <c r="B51" i="9"/>
  <c r="E69" i="9"/>
  <c r="D69" i="9"/>
  <c r="C69" i="9"/>
  <c r="B69" i="9"/>
  <c r="F38" i="3"/>
  <c r="B55" i="3"/>
  <c r="E53" i="3"/>
  <c r="E57" i="3"/>
  <c r="B52" i="3"/>
  <c r="C55" i="3"/>
  <c r="C57" i="3"/>
  <c r="B20" i="3"/>
  <c r="F27" i="3"/>
  <c r="F28" i="3"/>
  <c r="D53" i="3"/>
  <c r="B58" i="3"/>
  <c r="D57" i="3"/>
  <c r="E56" i="3"/>
  <c r="E58" i="3"/>
  <c r="D56" i="3"/>
  <c r="E54" i="3"/>
  <c r="B54" i="3"/>
  <c r="D58" i="3"/>
  <c r="C56" i="3"/>
  <c r="D54" i="3"/>
  <c r="B53" i="3"/>
  <c r="C58" i="3"/>
  <c r="B50" i="3"/>
  <c r="C54" i="3"/>
  <c r="E55" i="3"/>
  <c r="F36" i="3"/>
  <c r="C53" i="3"/>
  <c r="B51" i="3"/>
  <c r="D55" i="3"/>
  <c r="F37" i="3"/>
  <c r="B57" i="3"/>
  <c r="B56" i="3"/>
  <c r="F39" i="3"/>
  <c r="F30" i="3"/>
  <c r="F33" i="3"/>
  <c r="F31" i="3"/>
  <c r="F23" i="3"/>
  <c r="F24" i="3"/>
  <c r="F25" i="3"/>
  <c r="F26" i="3"/>
  <c r="F41" i="3"/>
  <c r="F43" i="3"/>
  <c r="F45" i="3"/>
  <c r="F47" i="3"/>
  <c r="F29" i="3"/>
  <c r="F32" i="3"/>
  <c r="F22" i="3"/>
  <c r="F40" i="3"/>
  <c r="F42" i="3"/>
  <c r="F44" i="3"/>
  <c r="F46" i="3"/>
  <c r="F6" i="3"/>
  <c r="F5" i="3"/>
  <c r="F34" i="3" l="1"/>
  <c r="F48" i="3"/>
  <c r="F57" i="3"/>
  <c r="F58" i="3"/>
  <c r="F55" i="3"/>
  <c r="E52" i="3"/>
  <c r="D51" i="3"/>
  <c r="F54" i="3"/>
  <c r="F8" i="3"/>
  <c r="C52" i="3"/>
  <c r="C51" i="3"/>
  <c r="C50" i="3"/>
  <c r="E51" i="3"/>
  <c r="F53" i="3"/>
  <c r="D52" i="3"/>
  <c r="E50" i="3"/>
  <c r="D50" i="3"/>
  <c r="F56" i="3"/>
  <c r="D20" i="3"/>
  <c r="C20" i="3"/>
  <c r="F14" i="3"/>
  <c r="F18" i="3"/>
  <c r="F17" i="3"/>
  <c r="F9" i="3"/>
  <c r="F16" i="3"/>
  <c r="F11" i="3"/>
  <c r="F13" i="3"/>
  <c r="F10" i="3"/>
  <c r="F12" i="3"/>
  <c r="F15" i="3"/>
  <c r="F19" i="3"/>
  <c r="E20" i="3"/>
  <c r="F50" i="3" l="1"/>
  <c r="F51" i="3"/>
  <c r="F52" i="3"/>
  <c r="F2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<sst xmlns="http://schemas.openxmlformats.org/spreadsheetml/2006/main" count="120161" uniqueCount="10211">
  <si>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</si>
  <si>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</si>
  <si>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</si>
  <si>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</si>
  <si>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</si>
  <si>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</si>
  <si>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</si>
  <si>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</si>
  <si>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</si>
  <si>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</si>
  <si>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</si>
  <si>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</si>
  <si>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</si>
  <si>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</si>
  <si>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</si>
  <si>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</si>
  <si>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</si>
  <si>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</si>
  <si>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</si>
  <si>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</si>
  <si>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</si>
  <si>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</si>
  <si>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</si>
  <si>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</si>
  <si>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</si>
  <si>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</si>
  <si>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</si>
  <si>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</si>
  <si>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</si>
  <si>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</si>
  <si>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</si>
  <si>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</si>
  <si>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</si>
  <si>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</si>
  <si>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</si>
  <si>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</si>
  <si>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</si>
  <si>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</si>
  <si>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</si>
  <si>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</si>
  <si>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</si>
  <si>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</si>
  <si>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</si>
  <si>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</si>
  <si>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</si>
  <si>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</si>
  <si>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</si>
  <si>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</si>
  <si>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</si>
  <si>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</si>
  <si>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</si>
  <si>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</si>
  <si>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</si>
  <si>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</si>
  <si>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</si>
  <si>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</si>
  <si>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</si>
  <si>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</si>
  <si>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</si>
  <si>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</si>
  <si>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</si>
  <si>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</si>
  <si>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</si>
  <si>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</si>
  <si>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</si>
  <si>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</si>
  <si>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</si>
  <si>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</si>
  <si>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</si>
  <si>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</si>
  <si>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</si>
  <si>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</si>
  <si>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</si>
  <si>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</si>
  <si>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</si>
  <si>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</si>
  <si>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Conference¬†phone¬†- Charcoal black</t>
  </si>
  <si>
    <t>CA-2017-114412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</si>
  <si>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</si>
  <si>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</si>
  <si>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</si>
  <si>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</si>
  <si>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</si>
  <si>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</si>
  <si>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</si>
  <si>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</si>
  <si>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</si>
  <si>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</si>
  <si>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</si>
  <si>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</si>
  <si>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</si>
  <si>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</si>
  <si>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</si>
  <si>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</si>
  <si>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</si>
  <si>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</si>
  <si>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</si>
  <si>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</si>
  <si>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</si>
  <si>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</si>
  <si>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</si>
  <si>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</si>
  <si>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</si>
  <si>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</si>
  <si>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</si>
  <si>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</si>
  <si>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</si>
  <si>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</si>
  <si>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West Jordan</t>
  </si>
  <si>
    <t>Utah</t>
  </si>
  <si>
    <t>OFF-ST-10000107</t>
  </si>
  <si>
    <t>Fellowes Super Stor/Drawer</t>
  </si>
  <si>
    <t>CA-2014-143336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</si>
  <si>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</si>
  <si>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</si>
  <si>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</si>
  <si>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</si>
  <si>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</si>
  <si>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</si>
  <si>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</si>
  <si>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</si>
  <si>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</si>
  <si>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</si>
  <si>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</si>
  <si>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</si>
  <si>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</si>
  <si>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</si>
  <si>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</si>
  <si>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</si>
  <si>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</si>
  <si>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</si>
  <si>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</si>
  <si>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</si>
  <si>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</si>
  <si>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</si>
  <si>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</si>
  <si>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</si>
  <si>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</si>
  <si>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Orem</t>
  </si>
  <si>
    <t>CA-2016-121755</t>
  </si>
  <si>
    <t>EH-13945</t>
  </si>
  <si>
    <t>OFF-BI-10001634</t>
  </si>
  <si>
    <t>Wilson Jones Active Use Binders</t>
  </si>
  <si>
    <t>TEC-AC-10003027</t>
  </si>
  <si>
    <t>Accessories</t>
  </si>
  <si>
    <t>Imation¬†8GB Mini TravelDrive USB 2.0¬†Flash Drive</t>
  </si>
  <si>
    <t>US-2015-150630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</si>
  <si>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</si>
  <si>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</si>
  <si>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</si>
  <si>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</si>
  <si>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</si>
  <si>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</si>
  <si>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</si>
  <si>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</si>
  <si>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</si>
  <si>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</si>
  <si>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</si>
  <si>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</si>
  <si>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</si>
  <si>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</si>
  <si>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</si>
  <si>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</si>
  <si>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</si>
  <si>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</si>
  <si>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</si>
  <si>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</si>
  <si>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</si>
  <si>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</si>
  <si>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</si>
  <si>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</si>
  <si>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</si>
  <si>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</si>
  <si>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</si>
  <si>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</si>
  <si>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</si>
  <si>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</si>
  <si>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</si>
  <si>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</si>
  <si>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</si>
  <si>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</si>
  <si>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</si>
  <si>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</si>
  <si>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</si>
  <si>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</si>
  <si>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</si>
  <si>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</si>
  <si>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</si>
  <si>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Naperville</t>
  </si>
  <si>
    <t>Illinois</t>
  </si>
  <si>
    <t>TEC-PH-10004093</t>
  </si>
  <si>
    <t>Panasonic Kx-TS550</t>
  </si>
  <si>
    <t>CA-2016-101343</t>
  </si>
  <si>
    <t>RA-19885</t>
  </si>
  <si>
    <t>OFF-ST-10003479</t>
  </si>
  <si>
    <t>Eldon Base for stackable storage shelf, platinum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</si>
  <si>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</si>
  <si>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</si>
  <si>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</si>
  <si>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</si>
  <si>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</si>
  <si>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</si>
  <si>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</si>
  <si>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</si>
  <si>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</si>
  <si>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</si>
  <si>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</si>
  <si>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</si>
  <si>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</si>
  <si>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</si>
  <si>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</si>
  <si>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</si>
  <si>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</si>
  <si>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</si>
  <si>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</si>
  <si>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</si>
  <si>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</si>
  <si>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Dover</t>
  </si>
  <si>
    <t>Delaware</t>
  </si>
  <si>
    <t>TEC-AC-10002167</t>
  </si>
  <si>
    <t>Imation¬†8gb Micro Traveldrive Usb 2.0¬†Flash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</si>
  <si>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</si>
  <si>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</si>
  <si>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</si>
  <si>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</si>
  <si>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</si>
  <si>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</si>
  <si>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</si>
  <si>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</si>
  <si>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</si>
  <si>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</si>
  <si>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</si>
  <si>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</si>
  <si>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</si>
  <si>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</si>
  <si>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</si>
  <si>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</si>
  <si>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</si>
  <si>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</si>
  <si>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</si>
  <si>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</si>
  <si>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</si>
  <si>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</si>
  <si>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</si>
  <si>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</si>
  <si>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</si>
  <si>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</si>
  <si>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</si>
  <si>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</si>
  <si>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</si>
  <si>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</si>
  <si>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</si>
  <si>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</si>
  <si>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</si>
  <si>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</si>
  <si>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</si>
  <si>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</si>
  <si>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</si>
  <si>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</si>
  <si>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</si>
  <si>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</si>
  <si>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</si>
  <si>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</si>
  <si>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</si>
  <si>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</si>
  <si>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</si>
  <si>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</si>
  <si>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</si>
  <si>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</si>
  <si>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</si>
  <si>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</si>
  <si>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</si>
  <si>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</si>
  <si>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</si>
  <si>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</si>
  <si>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</si>
  <si>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</si>
  <si>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</si>
  <si>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</si>
  <si>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</si>
  <si>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</si>
  <si>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</si>
  <si>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</si>
  <si>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</si>
  <si>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</si>
  <si>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</si>
  <si>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</si>
  <si>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</si>
  <si>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</si>
  <si>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</si>
  <si>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</si>
  <si>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</si>
  <si>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</si>
  <si>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</si>
  <si>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</si>
  <si>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</si>
  <si>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</si>
  <si>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</si>
  <si>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</si>
  <si>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</si>
  <si>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</si>
  <si>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</si>
  <si>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</si>
  <si>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</si>
  <si>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</si>
  <si>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</si>
  <si>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</si>
  <si>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</si>
  <si>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</si>
  <si>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</si>
  <si>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</si>
  <si>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</si>
  <si>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</si>
  <si>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</si>
  <si>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</si>
  <si>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</si>
  <si>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</si>
  <si>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</si>
  <si>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</si>
  <si>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</si>
  <si>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</si>
  <si>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</si>
  <si>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</si>
  <si>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</si>
  <si>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</si>
  <si>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</si>
  <si>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</si>
  <si>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</si>
  <si>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</si>
  <si>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</si>
  <si>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</si>
  <si>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</si>
  <si>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</si>
  <si>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</si>
  <si>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</si>
  <si>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</si>
  <si>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</si>
  <si>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CS-12400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</si>
  <si>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</si>
  <si>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</si>
  <si>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</si>
  <si>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</si>
  <si>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</si>
  <si>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</si>
  <si>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</si>
  <si>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</si>
  <si>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</si>
  <si>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Rochester</t>
  </si>
  <si>
    <t>TEC-AC-10001998</t>
  </si>
  <si>
    <t>Logitech¬†LS21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</si>
  <si>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</si>
  <si>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</si>
  <si>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</si>
  <si>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</si>
  <si>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</si>
  <si>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</si>
  <si>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</si>
  <si>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</si>
  <si>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</si>
  <si>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</si>
  <si>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</si>
  <si>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</si>
  <si>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</si>
  <si>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</si>
  <si>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</si>
  <si>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</si>
  <si>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</si>
  <si>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</si>
  <si>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</si>
  <si>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</si>
  <si>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</si>
  <si>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</si>
  <si>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</si>
  <si>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</si>
  <si>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</si>
  <si>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</si>
  <si>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</si>
  <si>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</si>
  <si>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</si>
  <si>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</si>
  <si>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</si>
  <si>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</si>
  <si>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</si>
  <si>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</si>
  <si>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</si>
  <si>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</si>
  <si>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</si>
  <si>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</si>
  <si>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</si>
  <si>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</si>
  <si>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</si>
  <si>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</si>
  <si>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</si>
  <si>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</si>
  <si>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</si>
  <si>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</si>
  <si>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</si>
  <si>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</si>
  <si>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</si>
  <si>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</si>
  <si>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</si>
  <si>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</si>
  <si>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</si>
  <si>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</si>
  <si>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</si>
  <si>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</si>
  <si>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</si>
  <si>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</si>
  <si>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</si>
  <si>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</si>
  <si>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</si>
  <si>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</si>
  <si>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</si>
  <si>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</si>
  <si>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</si>
  <si>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</si>
  <si>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</si>
  <si>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</si>
  <si>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</si>
  <si>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</si>
  <si>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</si>
  <si>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</si>
  <si>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</si>
  <si>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Orland Park</t>
  </si>
  <si>
    <t>TEC-AC-10000844</t>
  </si>
  <si>
    <t>Logitech¬†Gaming G510s - Keyboard</t>
  </si>
  <si>
    <t>CA-2017-146780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</si>
  <si>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</si>
  <si>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</si>
  <si>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</si>
  <si>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</si>
  <si>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</si>
  <si>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</si>
  <si>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</si>
  <si>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</si>
  <si>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</si>
  <si>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</si>
  <si>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</si>
  <si>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</si>
  <si>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</si>
  <si>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</si>
  <si>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</si>
  <si>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</si>
  <si>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</si>
  <si>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</si>
  <si>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</si>
  <si>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</si>
  <si>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</si>
  <si>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</si>
  <si>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</si>
  <si>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</si>
  <si>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</si>
  <si>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</si>
  <si>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</si>
  <si>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</si>
  <si>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</si>
  <si>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</si>
  <si>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</si>
  <si>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</si>
  <si>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</si>
  <si>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</si>
  <si>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</si>
  <si>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</si>
  <si>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</si>
  <si>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</si>
  <si>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</si>
  <si>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</si>
  <si>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</si>
  <si>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</si>
  <si>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</si>
  <si>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</si>
  <si>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</si>
  <si>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FUR-CH-10004063</t>
  </si>
  <si>
    <t>Global Deluxe High-Back Manager's Chair</t>
  </si>
  <si>
    <t>US-2014-134614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</si>
  <si>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</si>
  <si>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</si>
  <si>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</si>
  <si>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</si>
  <si>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</si>
  <si>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</si>
  <si>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</si>
  <si>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</si>
  <si>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</si>
  <si>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</si>
  <si>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</si>
  <si>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</si>
  <si>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</si>
  <si>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</si>
  <si>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</si>
  <si>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</si>
  <si>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</si>
  <si>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</si>
  <si>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</si>
  <si>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</si>
  <si>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</si>
  <si>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</si>
  <si>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</si>
  <si>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</si>
  <si>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</si>
  <si>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</si>
  <si>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</si>
  <si>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</si>
  <si>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</si>
  <si>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</si>
  <si>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</si>
  <si>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</si>
  <si>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</si>
  <si>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</si>
  <si>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</si>
  <si>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</si>
  <si>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</si>
  <si>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</si>
  <si>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</si>
  <si>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</si>
  <si>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</si>
  <si>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</si>
  <si>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</si>
  <si>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</si>
  <si>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</si>
  <si>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</si>
  <si>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</si>
  <si>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</si>
  <si>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</si>
  <si>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</si>
  <si>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</si>
  <si>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</si>
  <si>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</si>
  <si>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</si>
  <si>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</si>
  <si>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</si>
  <si>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</si>
  <si>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</si>
  <si>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</si>
  <si>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</si>
  <si>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</si>
  <si>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</si>
  <si>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</si>
  <si>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</si>
  <si>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</si>
  <si>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</si>
  <si>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</si>
  <si>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</si>
  <si>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Cordless¬†Phone Headset¬†with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</si>
  <si>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</si>
  <si>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</si>
  <si>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</si>
  <si>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</si>
  <si>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</si>
  <si>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</si>
  <si>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</si>
  <si>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</si>
  <si>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</si>
  <si>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</si>
  <si>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Corded¬†Headset</t>
  </si>
  <si>
    <t>CA-2015-124919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</si>
  <si>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</si>
  <si>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</si>
  <si>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</si>
  <si>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</si>
  <si>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</si>
  <si>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</si>
  <si>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</si>
  <si>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</si>
  <si>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</si>
  <si>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</si>
  <si>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OFF-AR-10001547</t>
  </si>
  <si>
    <t>Newell 311</t>
  </si>
  <si>
    <t>CA-2014-104269</t>
  </si>
  <si>
    <t>DB-13060</t>
  </si>
  <si>
    <t>CA-2016-114104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</si>
  <si>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</si>
  <si>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</si>
  <si>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</si>
  <si>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</si>
  <si>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</si>
  <si>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</si>
  <si>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</si>
  <si>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</si>
  <si>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</si>
  <si>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</si>
  <si>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</si>
  <si>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</si>
  <si>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</si>
  <si>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</si>
  <si>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</si>
  <si>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</si>
  <si>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</si>
  <si>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</si>
  <si>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</si>
  <si>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</si>
  <si>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</si>
  <si>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</si>
  <si>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</si>
  <si>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</si>
  <si>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</si>
  <si>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</si>
  <si>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</si>
  <si>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</si>
  <si>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</si>
  <si>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</si>
  <si>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</si>
  <si>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</si>
  <si>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</si>
  <si>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</si>
  <si>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</si>
  <si>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</si>
  <si>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</si>
  <si>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</si>
  <si>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</si>
  <si>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</si>
  <si>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</si>
  <si>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</si>
  <si>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</si>
  <si>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</si>
  <si>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</si>
  <si>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</si>
  <si>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3/6‚Äù x 11‚Äù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</si>
  <si>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</si>
  <si>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</si>
  <si>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</si>
  <si>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</si>
  <si>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</si>
  <si>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</si>
  <si>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</si>
  <si>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</si>
  <si>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</si>
  <si>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</si>
  <si>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</si>
  <si>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</si>
  <si>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</si>
  <si>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</si>
  <si>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</si>
  <si>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</si>
  <si>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</si>
  <si>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</si>
  <si>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</si>
  <si>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</si>
  <si>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</si>
  <si>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</si>
  <si>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</si>
  <si>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</si>
  <si>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</si>
  <si>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</si>
  <si>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</si>
  <si>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</si>
  <si>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Imation¬†Secure+ Hardware Encrypted USB 2.0¬†Flash Drive; 16GB</t>
  </si>
  <si>
    <t>CA-2014-158274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</si>
  <si>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</si>
  <si>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</si>
  <si>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</si>
  <si>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</si>
  <si>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</si>
  <si>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</si>
  <si>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</si>
  <si>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</si>
  <si>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</si>
  <si>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</si>
  <si>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</si>
  <si>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Fairfield</t>
  </si>
  <si>
    <t>Connecticut</t>
  </si>
  <si>
    <t>OFF-BI-10001890</t>
  </si>
  <si>
    <t>Avery Poly Binder Pockets</t>
  </si>
  <si>
    <t>CA-2014-123260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</si>
  <si>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</si>
  <si>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</si>
  <si>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</si>
  <si>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</si>
  <si>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</si>
  <si>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</si>
  <si>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</si>
  <si>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</si>
  <si>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</si>
  <si>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</si>
  <si>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</si>
  <si>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</si>
  <si>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</si>
  <si>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</si>
  <si>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</si>
  <si>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</si>
  <si>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</si>
  <si>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</si>
  <si>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</si>
  <si>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</si>
  <si>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</si>
  <si>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</si>
  <si>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</si>
  <si>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</si>
  <si>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</si>
  <si>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</si>
  <si>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</si>
  <si>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</si>
  <si>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</si>
  <si>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</si>
  <si>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</si>
  <si>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</si>
  <si>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</si>
  <si>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</si>
  <si>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</si>
  <si>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</si>
  <si>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</si>
  <si>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</si>
  <si>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</si>
  <si>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</si>
  <si>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</si>
  <si>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</si>
  <si>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</si>
  <si>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</si>
  <si>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</si>
  <si>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</si>
  <si>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</si>
  <si>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</si>
  <si>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</si>
  <si>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</si>
  <si>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</si>
  <si>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</si>
  <si>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</si>
  <si>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</si>
  <si>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</si>
  <si>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</si>
  <si>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</si>
  <si>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</si>
  <si>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</si>
  <si>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</si>
  <si>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</si>
  <si>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</si>
  <si>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</si>
  <si>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</si>
  <si>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</si>
  <si>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</si>
  <si>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</si>
  <si>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</si>
  <si>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</si>
  <si>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</si>
  <si>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</si>
  <si>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</si>
  <si>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</si>
  <si>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</si>
  <si>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</si>
  <si>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</si>
  <si>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</si>
  <si>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</si>
  <si>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</si>
  <si>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</si>
  <si>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</si>
  <si>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</si>
  <si>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</si>
  <si>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</si>
  <si>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</si>
  <si>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</si>
  <si>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</si>
  <si>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</si>
  <si>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</si>
  <si>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</si>
  <si>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</si>
  <si>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</si>
  <si>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</si>
  <si>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</si>
  <si>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TEC-PH-10002563</t>
  </si>
  <si>
    <t>Adtran 1202752G1</t>
  </si>
  <si>
    <t>CA-2015-169397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</si>
  <si>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</si>
  <si>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</si>
  <si>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</si>
  <si>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</si>
  <si>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</si>
  <si>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</si>
  <si>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</si>
  <si>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</si>
  <si>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</si>
  <si>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</si>
  <si>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</si>
  <si>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</si>
  <si>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</si>
  <si>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</si>
  <si>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</si>
  <si>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</si>
  <si>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</si>
  <si>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</si>
  <si>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</si>
  <si>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</si>
  <si>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</si>
  <si>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</si>
  <si>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</si>
  <si>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</si>
  <si>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</si>
  <si>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</si>
  <si>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</si>
  <si>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</si>
  <si>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</si>
  <si>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</si>
  <si>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</si>
  <si>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</si>
  <si>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</si>
  <si>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</si>
  <si>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</si>
  <si>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</si>
  <si>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</si>
  <si>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</si>
  <si>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</si>
  <si>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</si>
  <si>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Logitech¬†P710e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</si>
  <si>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</si>
  <si>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</si>
  <si>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</si>
  <si>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</si>
  <si>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</si>
  <si>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</si>
  <si>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</si>
  <si>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</si>
  <si>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</si>
  <si>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</si>
  <si>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</si>
  <si>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</si>
  <si>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</si>
  <si>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</si>
  <si>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</si>
  <si>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</si>
  <si>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</si>
  <si>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</si>
  <si>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</si>
  <si>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</si>
  <si>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</si>
  <si>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</si>
  <si>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</si>
  <si>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</si>
  <si>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</si>
  <si>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</si>
  <si>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</si>
  <si>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</si>
  <si>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</si>
  <si>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</si>
  <si>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</si>
  <si>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</si>
  <si>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</si>
  <si>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</si>
  <si>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</si>
  <si>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</si>
  <si>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</si>
  <si>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</si>
  <si>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</si>
  <si>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</si>
  <si>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</si>
  <si>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</si>
  <si>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</si>
  <si>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</si>
  <si>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</si>
  <si>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OFF-ST-10004804</t>
  </si>
  <si>
    <t>Belkin 19" Vented Equipment Shelf, Black</t>
  </si>
  <si>
    <t>TEC-PH-10001580</t>
  </si>
  <si>
    <t>Logitech Mobile Speakerphone P710e -¬†speaker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</si>
  <si>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</si>
  <si>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</si>
  <si>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</si>
  <si>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</si>
  <si>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</si>
  <si>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</si>
  <si>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</si>
  <si>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</si>
  <si>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</si>
  <si>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</si>
  <si>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</si>
  <si>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</si>
  <si>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</si>
  <si>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</si>
  <si>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</si>
  <si>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</si>
  <si>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</si>
  <si>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</si>
  <si>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TEC-PH-10001433</t>
  </si>
  <si>
    <t>Cisco Small Business SPA 502G VoIP phone</t>
  </si>
  <si>
    <t>CA-2015-155040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</si>
  <si>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</si>
  <si>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</si>
  <si>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</si>
  <si>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</si>
  <si>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</si>
  <si>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</si>
  <si>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</si>
  <si>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</si>
  <si>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</si>
  <si>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</si>
  <si>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</si>
  <si>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</si>
  <si>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</si>
  <si>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</si>
  <si>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</si>
  <si>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</si>
  <si>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</si>
  <si>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</si>
  <si>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</si>
  <si>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</si>
  <si>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</si>
  <si>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</si>
  <si>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</si>
  <si>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</si>
  <si>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</si>
  <si>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</si>
  <si>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</si>
  <si>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</si>
  <si>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</si>
  <si>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</si>
  <si>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</si>
  <si>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</si>
  <si>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</si>
  <si>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</si>
  <si>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</si>
  <si>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</si>
  <si>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</si>
  <si>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</si>
  <si>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</si>
  <si>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</si>
  <si>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OFF-PA-10000673</t>
  </si>
  <si>
    <t>Post-it ‚ÄúImportant Message‚Äù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</si>
  <si>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</si>
  <si>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</si>
  <si>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</si>
  <si>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</si>
  <si>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</si>
  <si>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</si>
  <si>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</si>
  <si>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</si>
  <si>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</si>
  <si>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</si>
  <si>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</si>
  <si>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</si>
  <si>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</si>
  <si>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</si>
  <si>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</si>
  <si>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</si>
  <si>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</si>
  <si>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</si>
  <si>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</si>
  <si>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</si>
  <si>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</si>
  <si>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</si>
  <si>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</si>
  <si>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</si>
  <si>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</si>
  <si>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</si>
  <si>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</si>
  <si>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</si>
  <si>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</si>
  <si>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</si>
  <si>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</si>
  <si>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</si>
  <si>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</si>
  <si>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</si>
  <si>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</si>
  <si>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</si>
  <si>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</si>
  <si>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</si>
  <si>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</si>
  <si>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</si>
  <si>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</si>
  <si>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</si>
  <si>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</si>
  <si>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</si>
  <si>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</si>
  <si>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</si>
  <si>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</si>
  <si>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</si>
  <si>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</si>
  <si>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</si>
  <si>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</si>
  <si>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</si>
  <si>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</si>
  <si>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</si>
  <si>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</si>
  <si>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</si>
  <si>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</si>
  <si>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</si>
  <si>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</si>
  <si>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</si>
  <si>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</si>
  <si>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</si>
  <si>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</si>
  <si>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</si>
  <si>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</si>
  <si>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</si>
  <si>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</si>
  <si>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</si>
  <si>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</si>
  <si>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</si>
  <si>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</si>
  <si>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</si>
  <si>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</si>
  <si>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</si>
  <si>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</si>
  <si>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</si>
  <si>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</si>
  <si>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</si>
  <si>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</si>
  <si>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</si>
  <si>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</si>
  <si>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</si>
  <si>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</si>
  <si>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Arlington</t>
  </si>
  <si>
    <t>OFF-AR-10002804</t>
  </si>
  <si>
    <t>Faber Castell Col-Erase Pencils</t>
  </si>
  <si>
    <t>CA-2016-142902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</si>
  <si>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</si>
  <si>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</si>
  <si>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</si>
  <si>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</si>
  <si>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</si>
  <si>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</si>
  <si>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</si>
  <si>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</si>
  <si>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</si>
  <si>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</si>
  <si>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</si>
  <si>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</si>
  <si>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Hackensack</t>
  </si>
  <si>
    <t>FUR-FU-10001588</t>
  </si>
  <si>
    <t>Deflect-o SuperTray Unbreakable Stackable Tray, Letter, Black</t>
  </si>
  <si>
    <t>CA-2014-167850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</si>
  <si>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</si>
  <si>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</si>
  <si>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</si>
  <si>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</si>
  <si>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</si>
  <si>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</si>
  <si>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</si>
  <si>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</si>
  <si>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</si>
  <si>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</si>
  <si>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</si>
  <si>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</si>
  <si>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</si>
  <si>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</si>
  <si>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</si>
  <si>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</si>
  <si>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</si>
  <si>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</si>
  <si>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</si>
  <si>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</si>
  <si>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Long Beach</t>
  </si>
  <si>
    <t>OFF-FA-10000624</t>
  </si>
  <si>
    <t>OIC Binder Clips</t>
  </si>
  <si>
    <t>CA-2016-162138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</si>
  <si>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</si>
  <si>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</si>
  <si>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</si>
  <si>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</si>
  <si>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</si>
  <si>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</si>
  <si>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</si>
  <si>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</si>
  <si>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</si>
  <si>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</si>
  <si>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</si>
  <si>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</si>
  <si>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</si>
  <si>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</si>
  <si>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</si>
  <si>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</si>
  <si>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‚ÄúPillow Soft‚Äù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</si>
  <si>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</si>
  <si>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</si>
  <si>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</si>
  <si>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</si>
  <si>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</si>
  <si>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</si>
  <si>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</si>
  <si>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</si>
  <si>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</si>
  <si>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</si>
  <si>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</si>
  <si>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</si>
  <si>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</si>
  <si>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</si>
  <si>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</si>
  <si>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</si>
  <si>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</si>
  <si>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</si>
  <si>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</si>
  <si>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</si>
  <si>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</si>
  <si>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</si>
  <si>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</si>
  <si>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</si>
  <si>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</si>
  <si>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</si>
  <si>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</si>
  <si>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</si>
  <si>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</si>
  <si>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</si>
  <si>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</si>
  <si>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</si>
  <si>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</si>
  <si>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</si>
  <si>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</si>
  <si>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</si>
  <si>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</si>
  <si>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</si>
  <si>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</si>
  <si>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</si>
  <si>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</si>
  <si>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</si>
  <si>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</si>
  <si>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</si>
  <si>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</si>
  <si>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</si>
  <si>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</si>
  <si>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</si>
  <si>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</si>
  <si>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</si>
  <si>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</si>
  <si>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</si>
  <si>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</si>
  <si>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</si>
  <si>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</si>
  <si>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</si>
  <si>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</si>
  <si>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</si>
  <si>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</si>
  <si>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</si>
  <si>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</si>
  <si>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</si>
  <si>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</si>
  <si>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1/16‚Äù x 11‚Äù</t>
  </si>
  <si>
    <t>CA-2016-130001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</si>
  <si>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</si>
  <si>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</si>
  <si>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</si>
  <si>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</si>
  <si>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</si>
  <si>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</si>
  <si>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</si>
  <si>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</si>
  <si>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</si>
  <si>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</si>
  <si>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</si>
  <si>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</si>
  <si>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</si>
  <si>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</si>
  <si>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</si>
  <si>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</si>
  <si>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</si>
  <si>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CA-2016-155516</t>
  </si>
  <si>
    <t>Same Day</t>
  </si>
  <si>
    <t>MK-17905</t>
  </si>
  <si>
    <t>Manchester</t>
  </si>
  <si>
    <t>OFF-BI-10002412</t>
  </si>
  <si>
    <t>Wilson Jones ‚ÄúSnap‚Äù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</si>
  <si>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</si>
  <si>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</si>
  <si>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</si>
  <si>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</si>
  <si>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</si>
  <si>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</si>
  <si>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</si>
  <si>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</si>
  <si>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</si>
  <si>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</si>
  <si>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</si>
  <si>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</si>
  <si>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</si>
  <si>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Tucson</t>
  </si>
  <si>
    <t>TEC-AC-10003911</t>
  </si>
  <si>
    <t>NETGEAR AC1750 Dual Band Gigabit¬†Smart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</si>
  <si>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</si>
  <si>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</si>
  <si>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</si>
  <si>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</si>
  <si>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</si>
  <si>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</si>
  <si>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</si>
  <si>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</si>
  <si>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</si>
  <si>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</si>
  <si>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</si>
  <si>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</si>
  <si>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</si>
  <si>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</si>
  <si>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</si>
  <si>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</si>
  <si>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</si>
  <si>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</si>
  <si>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</si>
  <si>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</si>
  <si>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</si>
  <si>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</si>
  <si>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</si>
  <si>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</si>
  <si>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</si>
  <si>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</si>
  <si>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</si>
  <si>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</si>
  <si>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</si>
  <si>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TEC-AC-10004708</t>
  </si>
  <si>
    <t>Sony 32GB Class 10 Micro SDHC R40 Memory Card</t>
  </si>
  <si>
    <t>US-2015-168935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</si>
  <si>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</si>
  <si>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</si>
  <si>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</si>
  <si>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</si>
  <si>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</si>
  <si>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</si>
  <si>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</si>
  <si>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</si>
  <si>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</si>
  <si>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</si>
  <si>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</si>
  <si>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</si>
  <si>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</si>
  <si>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</si>
  <si>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</si>
  <si>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</si>
  <si>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</si>
  <si>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MV-18190</t>
  </si>
  <si>
    <t>OFF-BI-10000050</t>
  </si>
  <si>
    <t>Angle-D Binders with Locking Rings, Label Holders</t>
  </si>
  <si>
    <t>US-2014-135972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</si>
  <si>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</si>
  <si>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</si>
  <si>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</si>
  <si>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</si>
  <si>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</si>
  <si>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</si>
  <si>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</si>
  <si>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</si>
  <si>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</si>
  <si>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</si>
  <si>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</si>
  <si>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</si>
  <si>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</si>
  <si>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</si>
  <si>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</si>
  <si>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</si>
  <si>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</si>
  <si>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</si>
  <si>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</si>
  <si>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</si>
  <si>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</si>
  <si>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</si>
  <si>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</si>
  <si>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</si>
  <si>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</si>
  <si>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</si>
  <si>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</si>
  <si>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</si>
  <si>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</si>
  <si>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</si>
  <si>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</si>
  <si>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</si>
  <si>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</si>
  <si>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</si>
  <si>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</si>
  <si>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</si>
  <si>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</si>
  <si>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</si>
  <si>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</si>
  <si>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</si>
  <si>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</si>
  <si>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</si>
  <si>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</si>
  <si>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</si>
  <si>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</si>
  <si>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</si>
  <si>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</si>
  <si>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</si>
  <si>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</si>
  <si>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</si>
  <si>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</si>
  <si>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</si>
  <si>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</si>
  <si>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</si>
  <si>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</si>
  <si>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</si>
  <si>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</si>
  <si>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</si>
  <si>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</si>
  <si>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</si>
  <si>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</si>
  <si>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</si>
  <si>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</si>
  <si>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</si>
  <si>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</si>
  <si>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</si>
  <si>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</si>
  <si>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</si>
  <si>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</si>
  <si>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</si>
  <si>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CJ-12010</t>
  </si>
  <si>
    <t>Huntington Beach</t>
  </si>
  <si>
    <t>OFF-AR-10004344</t>
  </si>
  <si>
    <t>Bulldog Vacuum Base Pencil Sharpener</t>
  </si>
  <si>
    <t>CA-2016-148796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</si>
  <si>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</si>
  <si>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</si>
  <si>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</si>
  <si>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</si>
  <si>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</si>
  <si>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</si>
  <si>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</si>
  <si>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</si>
  <si>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</si>
  <si>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</si>
  <si>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</si>
  <si>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</si>
  <si>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</si>
  <si>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</si>
  <si>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</si>
  <si>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KeyTronic¬†6101 Series -¬†Keyboard¬†-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</si>
  <si>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</si>
  <si>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</si>
  <si>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</si>
  <si>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</si>
  <si>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</si>
  <si>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</si>
  <si>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</si>
  <si>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</si>
  <si>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</si>
  <si>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</si>
  <si>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</si>
  <si>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</si>
  <si>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</si>
  <si>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</si>
  <si>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</si>
  <si>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</si>
  <si>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</si>
  <si>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</si>
  <si>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</si>
  <si>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</si>
  <si>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</si>
  <si>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</si>
  <si>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</si>
  <si>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</si>
  <si>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</si>
  <si>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</si>
  <si>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</si>
  <si>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</si>
  <si>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</si>
  <si>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</si>
  <si>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</si>
  <si>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</si>
  <si>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</si>
  <si>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</si>
  <si>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</si>
  <si>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</si>
  <si>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</si>
  <si>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</si>
  <si>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</si>
  <si>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</si>
  <si>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</si>
  <si>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</si>
  <si>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</si>
  <si>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</si>
  <si>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</si>
  <si>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</si>
  <si>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</si>
  <si>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</si>
  <si>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</si>
  <si>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</si>
  <si>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</si>
  <si>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</si>
  <si>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</si>
  <si>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</si>
  <si>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</si>
  <si>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</si>
  <si>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</si>
  <si>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</si>
  <si>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</si>
  <si>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</si>
  <si>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</si>
  <si>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</si>
  <si>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</si>
  <si>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</si>
  <si>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</si>
  <si>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</si>
  <si>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</si>
  <si>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</si>
  <si>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</si>
  <si>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</si>
  <si>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</si>
  <si>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</si>
  <si>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</si>
  <si>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</si>
  <si>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</si>
  <si>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</si>
  <si>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</si>
  <si>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</si>
  <si>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</si>
  <si>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</si>
  <si>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</si>
  <si>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</si>
  <si>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</si>
  <si>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</si>
  <si>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</si>
  <si>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</si>
  <si>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</si>
  <si>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</si>
  <si>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</si>
  <si>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</si>
  <si>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</si>
  <si>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</si>
  <si>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</si>
  <si>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</si>
  <si>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</si>
  <si>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</si>
  <si>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</si>
  <si>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</si>
  <si>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</si>
  <si>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</si>
  <si>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</si>
  <si>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</si>
  <si>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</si>
  <si>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</si>
  <si>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</si>
  <si>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</si>
  <si>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</si>
  <si>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</si>
  <si>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</si>
  <si>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</si>
  <si>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</si>
  <si>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</si>
  <si>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</si>
  <si>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</si>
  <si>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</si>
  <si>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</si>
  <si>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</si>
  <si>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</si>
  <si>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</si>
  <si>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</si>
  <si>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</si>
  <si>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</si>
  <si>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</si>
  <si>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</si>
  <si>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</si>
  <si>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</si>
  <si>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</si>
  <si>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</si>
  <si>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</si>
  <si>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</si>
  <si>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</si>
  <si>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</si>
  <si>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</si>
  <si>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</si>
  <si>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</si>
  <si>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</si>
  <si>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</si>
  <si>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</si>
  <si>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</si>
  <si>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</si>
  <si>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</si>
  <si>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</si>
  <si>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</si>
  <si>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</si>
  <si>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</si>
  <si>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</si>
  <si>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</si>
  <si>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</si>
  <si>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</si>
  <si>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</si>
  <si>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</si>
  <si>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</si>
  <si>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</si>
  <si>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</si>
  <si>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</si>
  <si>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</si>
  <si>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</si>
  <si>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</si>
  <si>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</si>
  <si>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</si>
  <si>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</si>
  <si>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</si>
  <si>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</si>
  <si>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Imation¬†USB 2.0 Swivel¬†Flash Drive¬†USB¬†flash drive¬†- 4 GB - Pink</t>
  </si>
  <si>
    <t>CA-2014-127691</t>
  </si>
  <si>
    <t>EM-14065</t>
  </si>
  <si>
    <t>TEC-AC-10002567</t>
  </si>
  <si>
    <t>Logitech G602 Wireless Gaming Mouse</t>
  </si>
  <si>
    <t>CA-2017-140963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</si>
  <si>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</si>
  <si>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</si>
  <si>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</si>
  <si>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</si>
  <si>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</si>
  <si>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</si>
  <si>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</si>
  <si>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</si>
  <si>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</si>
  <si>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TEC-PH-10001363</t>
  </si>
  <si>
    <t>Apple iPhone 5S</t>
  </si>
  <si>
    <t>CA-2014-133753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</si>
  <si>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</si>
  <si>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</si>
  <si>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</si>
  <si>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</si>
  <si>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</si>
  <si>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</si>
  <si>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</si>
  <si>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</si>
  <si>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</si>
  <si>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</si>
  <si>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</si>
  <si>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</si>
  <si>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</si>
  <si>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</si>
  <si>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TEC-AC-10000991</t>
  </si>
  <si>
    <t>Sony Micro Vault Click 8 GB USB 2.0 Flash Drive</t>
  </si>
  <si>
    <t>US-2016-120929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</si>
  <si>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</si>
  <si>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</si>
  <si>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</si>
  <si>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</si>
  <si>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</si>
  <si>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</si>
  <si>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</si>
  <si>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</si>
  <si>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</si>
  <si>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</si>
  <si>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</si>
  <si>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</si>
  <si>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</si>
  <si>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</si>
  <si>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</si>
  <si>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</si>
  <si>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</si>
  <si>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</si>
  <si>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</si>
  <si>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</si>
  <si>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</si>
  <si>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</si>
  <si>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</si>
  <si>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</si>
  <si>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</si>
  <si>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</si>
  <si>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</si>
  <si>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</si>
  <si>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</si>
  <si>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</si>
  <si>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</si>
  <si>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</si>
  <si>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</si>
  <si>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</si>
  <si>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</si>
  <si>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</si>
  <si>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</si>
  <si>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</si>
  <si>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</si>
  <si>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</si>
  <si>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</si>
  <si>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</si>
  <si>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</si>
  <si>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</si>
  <si>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</si>
  <si>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</si>
  <si>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</si>
  <si>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</si>
  <si>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</si>
  <si>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</si>
  <si>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</si>
  <si>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</si>
  <si>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</si>
  <si>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</si>
  <si>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</si>
  <si>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</si>
  <si>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</si>
  <si>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</si>
  <si>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</si>
  <si>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</si>
  <si>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</si>
  <si>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</si>
  <si>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</si>
  <si>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</si>
  <si>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</si>
  <si>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</si>
  <si>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</si>
  <si>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</si>
  <si>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</si>
  <si>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</si>
  <si>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</si>
  <si>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</si>
  <si>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</si>
  <si>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</si>
  <si>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US-2016-139486</t>
  </si>
  <si>
    <t>TEC-PH-10003555</t>
  </si>
  <si>
    <t>Motorola HK250 Universal Bluetooth Headset</t>
  </si>
  <si>
    <t>Imation¬†16GB Mini TravelDrive USB 2.0¬†Flash Drive</t>
  </si>
  <si>
    <t>CA-2015-158792</t>
  </si>
  <si>
    <t>BD-11605</t>
  </si>
  <si>
    <t>OFF-FA-10002815</t>
  </si>
  <si>
    <t>CA-2017-113558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</si>
  <si>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</si>
  <si>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</si>
  <si>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</si>
  <si>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</si>
  <si>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</si>
  <si>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</si>
  <si>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</si>
  <si>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</si>
  <si>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</si>
  <si>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</si>
  <si>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</si>
  <si>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</si>
  <si>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</si>
  <si>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</si>
  <si>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</si>
  <si>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</si>
  <si>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</si>
  <si>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</si>
  <si>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</si>
  <si>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</si>
  <si>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</si>
  <si>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</si>
  <si>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</si>
  <si>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</si>
  <si>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</si>
  <si>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</si>
  <si>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</si>
  <si>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</si>
  <si>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</si>
  <si>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</si>
  <si>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</si>
  <si>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</si>
  <si>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</si>
  <si>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</si>
  <si>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</si>
  <si>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</si>
  <si>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</si>
  <si>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</si>
  <si>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</si>
  <si>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</si>
  <si>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</si>
  <si>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</si>
  <si>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</si>
  <si>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</si>
  <si>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</si>
  <si>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</si>
  <si>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</si>
  <si>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</si>
  <si>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</si>
  <si>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</si>
  <si>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</si>
  <si>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</si>
  <si>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</si>
  <si>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</si>
  <si>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</si>
  <si>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</si>
  <si>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</si>
  <si>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Small¬†Office Telephone¬†- Titanium</t>
  </si>
  <si>
    <t>FUR-FU-10000723</t>
  </si>
  <si>
    <t>Deflect-o EconoMat Studded, No Bevel Mat for Low Pile Carpeting</t>
  </si>
  <si>
    <t>CA-2017-162929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</si>
  <si>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</si>
  <si>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</si>
  <si>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</si>
  <si>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</si>
  <si>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</si>
  <si>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</si>
  <si>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</si>
  <si>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</si>
  <si>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</si>
  <si>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</si>
  <si>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</si>
  <si>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</si>
  <si>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</si>
  <si>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</si>
  <si>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</si>
  <si>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</si>
  <si>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</si>
  <si>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</si>
  <si>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</si>
  <si>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</si>
  <si>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</si>
  <si>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</si>
  <si>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</si>
  <si>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</si>
  <si>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</si>
  <si>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</si>
  <si>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</si>
  <si>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</si>
  <si>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</si>
  <si>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</si>
  <si>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</si>
  <si>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‚ÄúJust In Time‚Äù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</si>
  <si>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</si>
  <si>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</si>
  <si>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</si>
  <si>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</si>
  <si>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</si>
  <si>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</si>
  <si>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</si>
  <si>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</si>
  <si>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</si>
  <si>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</si>
  <si>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</si>
  <si>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</si>
  <si>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</si>
  <si>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</si>
  <si>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</si>
  <si>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</si>
  <si>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</si>
  <si>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</si>
  <si>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</si>
  <si>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</si>
  <si>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</si>
  <si>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</si>
  <si>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</si>
  <si>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</si>
  <si>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</si>
  <si>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</si>
  <si>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</si>
  <si>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</si>
  <si>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</si>
  <si>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</si>
  <si>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</si>
  <si>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</si>
  <si>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</si>
  <si>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</si>
  <si>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</si>
  <si>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</si>
  <si>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</si>
  <si>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</si>
  <si>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</si>
  <si>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</si>
  <si>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</si>
  <si>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</si>
  <si>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</si>
  <si>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</si>
  <si>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</si>
  <si>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</si>
  <si>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</si>
  <si>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FUR-FU-10001475</t>
  </si>
  <si>
    <t>Contract Clock, 14", Brown</t>
  </si>
  <si>
    <t>CA-2015-132906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</si>
  <si>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</si>
  <si>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</si>
  <si>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</si>
  <si>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</si>
  <si>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</si>
  <si>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</si>
  <si>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</si>
  <si>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</si>
  <si>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</si>
  <si>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</si>
  <si>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</si>
  <si>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</si>
  <si>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</si>
  <si>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</si>
  <si>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</si>
  <si>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</si>
  <si>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</si>
  <si>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</si>
  <si>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</si>
  <si>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</si>
  <si>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</si>
  <si>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</si>
  <si>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</si>
  <si>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</si>
  <si>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Laredo</t>
  </si>
  <si>
    <t>OFF-AR-10004078</t>
  </si>
  <si>
    <t>Newell 312</t>
  </si>
  <si>
    <t>CA-2014-131450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</si>
  <si>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</si>
  <si>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</si>
  <si>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</si>
  <si>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</si>
  <si>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</si>
  <si>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</si>
  <si>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</si>
  <si>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</si>
  <si>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</si>
  <si>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</si>
  <si>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</si>
  <si>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</si>
  <si>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</si>
  <si>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</si>
  <si>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</si>
  <si>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</si>
  <si>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</si>
  <si>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</si>
  <si>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</si>
  <si>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</si>
  <si>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</si>
  <si>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</si>
  <si>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</si>
  <si>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</si>
  <si>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</si>
  <si>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</si>
  <si>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</si>
  <si>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</si>
  <si>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</si>
  <si>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</si>
  <si>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</si>
  <si>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</si>
  <si>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</si>
  <si>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</si>
  <si>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</si>
  <si>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</si>
  <si>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</si>
  <si>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</si>
  <si>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</si>
  <si>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</si>
  <si>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</si>
  <si>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</si>
  <si>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</si>
  <si>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</si>
  <si>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</si>
  <si>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</si>
  <si>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</si>
  <si>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</si>
  <si>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</si>
  <si>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</si>
  <si>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</si>
  <si>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</si>
  <si>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</si>
  <si>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</si>
  <si>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OFF-BI-10002103</t>
  </si>
  <si>
    <t>Cardinal Slant-D Ring Binder, Heavy Gauge Vinyl</t>
  </si>
  <si>
    <t>CA-2015-138009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</si>
  <si>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</si>
  <si>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</si>
  <si>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</si>
  <si>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</si>
  <si>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</si>
  <si>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</si>
  <si>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</si>
  <si>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</si>
  <si>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</si>
  <si>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</si>
  <si>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</si>
  <si>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</si>
  <si>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</si>
  <si>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</si>
  <si>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</si>
  <si>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</si>
  <si>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</si>
  <si>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</si>
  <si>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</si>
  <si>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</si>
  <si>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</si>
  <si>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</si>
  <si>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</si>
  <si>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</si>
  <si>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Imation¬†32GB Pocket Pro USB 3.0¬†Flash Drive¬†- 32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</si>
  <si>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</si>
  <si>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</si>
  <si>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</si>
  <si>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</si>
  <si>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</si>
  <si>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</si>
  <si>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</si>
  <si>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</si>
  <si>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</si>
  <si>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</si>
  <si>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</si>
  <si>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</si>
  <si>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</si>
  <si>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</si>
  <si>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</si>
  <si>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</si>
  <si>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</si>
  <si>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</si>
  <si>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</si>
  <si>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</si>
  <si>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</si>
  <si>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</si>
  <si>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FUR-FU-10000732</t>
  </si>
  <si>
    <t>Eldon 200 Class Desk Accessories</t>
  </si>
  <si>
    <t>CA-2017-167913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</si>
  <si>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</si>
  <si>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</si>
  <si>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</si>
  <si>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</si>
  <si>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</si>
  <si>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</si>
  <si>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</si>
  <si>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</si>
  <si>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</si>
  <si>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</si>
  <si>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</si>
  <si>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</si>
  <si>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</si>
  <si>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</si>
  <si>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</si>
  <si>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</si>
  <si>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</si>
  <si>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</si>
  <si>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</si>
  <si>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</si>
  <si>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</si>
  <si>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</si>
  <si>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</si>
  <si>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</si>
  <si>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</si>
  <si>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</si>
  <si>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</si>
  <si>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</si>
  <si>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</si>
  <si>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</si>
  <si>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TEC-AC-10001101</t>
  </si>
  <si>
    <t>Sony 16GB Class 10 Micro SDHC R40 Memory Card</t>
  </si>
  <si>
    <t>CA-2016-137239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</si>
  <si>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</si>
  <si>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</si>
  <si>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</si>
  <si>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</si>
  <si>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</si>
  <si>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</si>
  <si>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</si>
  <si>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</si>
  <si>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</si>
  <si>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CA-2015-146563</t>
  </si>
  <si>
    <t>OFF-ST-10001511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</si>
  <si>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</si>
  <si>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</si>
  <si>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</si>
  <si>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</si>
  <si>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</si>
  <si>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</si>
  <si>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</si>
  <si>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</si>
  <si>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</si>
  <si>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OC¬†Speaker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</si>
  <si>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</si>
  <si>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</si>
  <si>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</si>
  <si>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</si>
  <si>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</si>
  <si>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</si>
  <si>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</si>
  <si>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</si>
  <si>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</si>
  <si>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</si>
  <si>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</si>
  <si>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</si>
  <si>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</si>
  <si>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</si>
  <si>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</si>
  <si>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</si>
  <si>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</si>
  <si>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</si>
  <si>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</si>
  <si>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R√©sum√© Paper, 24lb.</t>
  </si>
  <si>
    <t>US-2017-119438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</si>
  <si>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</si>
  <si>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</si>
  <si>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</si>
  <si>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</si>
  <si>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</si>
  <si>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</si>
  <si>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</si>
  <si>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</si>
  <si>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</si>
  <si>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</si>
  <si>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</si>
  <si>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</si>
  <si>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</si>
  <si>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</si>
  <si>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</si>
  <si>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</si>
  <si>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</si>
  <si>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</si>
  <si>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</si>
  <si>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</si>
  <si>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</si>
  <si>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</si>
  <si>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</si>
  <si>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</si>
  <si>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</si>
  <si>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</si>
  <si>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</si>
  <si>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</si>
  <si>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</si>
  <si>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</si>
  <si>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</si>
  <si>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</si>
  <si>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</si>
  <si>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</si>
  <si>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</si>
  <si>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</si>
  <si>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</si>
  <si>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</si>
  <si>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TEC-AC-10002253</t>
  </si>
  <si>
    <t>Imation Bio 8GB USB¬†Flash Drive Imation¬†Corp</t>
  </si>
  <si>
    <t>OFF-PA-10000743</t>
  </si>
  <si>
    <t>Xerox 1977</t>
  </si>
  <si>
    <t>CA-2015-119291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</si>
  <si>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</si>
  <si>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</si>
  <si>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</si>
  <si>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</si>
  <si>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</si>
  <si>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</si>
  <si>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</si>
  <si>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</si>
  <si>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</si>
  <si>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</si>
  <si>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</si>
  <si>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</si>
  <si>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</si>
  <si>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</si>
  <si>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</si>
  <si>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</si>
  <si>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</si>
  <si>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</si>
  <si>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</si>
  <si>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</si>
  <si>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</si>
  <si>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</si>
  <si>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</si>
  <si>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</si>
  <si>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</si>
  <si>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</si>
  <si>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</si>
  <si>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</si>
  <si>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</si>
  <si>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</si>
  <si>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</si>
  <si>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</si>
  <si>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</si>
  <si>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</si>
  <si>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</si>
  <si>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</si>
  <si>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</si>
  <si>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</si>
  <si>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</si>
  <si>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</si>
  <si>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</si>
  <si>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</si>
  <si>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</si>
  <si>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</si>
  <si>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</si>
  <si>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</si>
  <si>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</si>
  <si>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</si>
  <si>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CA-2017-108910</t>
  </si>
  <si>
    <t>FUR-FU-10002253</t>
  </si>
  <si>
    <t>Howard Miller 13" Diameter Pewter Finish Round Wall Clock</t>
  </si>
  <si>
    <t>CA-2014-104472</t>
  </si>
  <si>
    <t>CK-12325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</si>
  <si>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</si>
  <si>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</si>
  <si>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</si>
  <si>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</si>
  <si>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</si>
  <si>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</si>
  <si>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</si>
  <si>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</si>
  <si>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</si>
  <si>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</si>
  <si>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</si>
  <si>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</si>
  <si>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</si>
  <si>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</si>
  <si>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</si>
  <si>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</si>
  <si>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</si>
  <si>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</si>
  <si>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</si>
  <si>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</si>
  <si>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</si>
  <si>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</si>
  <si>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</si>
  <si>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</si>
  <si>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</si>
  <si>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</si>
  <si>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</si>
  <si>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</si>
  <si>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</si>
  <si>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</si>
  <si>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</si>
  <si>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</si>
  <si>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</si>
  <si>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</si>
  <si>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</si>
  <si>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</si>
  <si>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Logitech¬†Illuminated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</si>
  <si>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</si>
  <si>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</si>
  <si>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</si>
  <si>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</si>
  <si>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</si>
  <si>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</si>
  <si>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</si>
  <si>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</si>
  <si>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</si>
  <si>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</si>
  <si>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</si>
  <si>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</si>
  <si>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</si>
  <si>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</si>
  <si>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</si>
  <si>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</si>
  <si>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</si>
  <si>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</si>
  <si>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</si>
  <si>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</si>
  <si>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</si>
  <si>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</si>
  <si>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</si>
  <si>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</si>
  <si>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</si>
  <si>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</si>
  <si>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</si>
  <si>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</si>
  <si>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</si>
  <si>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</si>
  <si>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</si>
  <si>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</si>
  <si>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</si>
  <si>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</si>
  <si>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</si>
  <si>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</si>
  <si>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</si>
  <si>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</si>
  <si>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</si>
  <si>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</si>
  <si>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</si>
  <si>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</si>
  <si>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</si>
  <si>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</si>
  <si>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</si>
  <si>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</si>
  <si>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</si>
  <si>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</si>
  <si>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</si>
  <si>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</si>
  <si>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</si>
  <si>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</si>
  <si>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</si>
  <si>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</si>
  <si>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</si>
  <si>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CA-2014-162775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</si>
  <si>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</si>
  <si>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</si>
  <si>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</si>
  <si>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</si>
  <si>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</si>
  <si>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</si>
  <si>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</si>
  <si>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</si>
  <si>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</si>
  <si>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</si>
  <si>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</si>
  <si>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</si>
  <si>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</si>
  <si>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</si>
  <si>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</si>
  <si>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</si>
  <si>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</si>
  <si>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</si>
  <si>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</si>
  <si>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</si>
  <si>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</si>
  <si>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</si>
  <si>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</si>
  <si>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</si>
  <si>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</si>
  <si>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</si>
  <si>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</si>
  <si>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</si>
  <si>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</si>
  <si>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</si>
  <si>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</si>
  <si>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</si>
  <si>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</si>
  <si>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</si>
  <si>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</si>
  <si>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</si>
  <si>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</si>
  <si>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</si>
  <si>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</si>
  <si>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</si>
  <si>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</si>
  <si>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</si>
  <si>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</si>
  <si>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</si>
  <si>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</si>
  <si>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</si>
  <si>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</si>
  <si>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</si>
  <si>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</si>
  <si>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</si>
  <si>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</si>
  <si>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</si>
  <si>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</si>
  <si>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</si>
  <si>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</si>
  <si>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</si>
  <si>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</si>
  <si>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</si>
  <si>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</si>
  <si>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</si>
  <si>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</si>
  <si>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</si>
  <si>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</si>
  <si>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</si>
  <si>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ES-14020</t>
  </si>
  <si>
    <t>OFF-LA-10001569</t>
  </si>
  <si>
    <t>Avery 499</t>
  </si>
  <si>
    <t>CA-2017-151428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</si>
  <si>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</si>
  <si>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</si>
  <si>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</si>
  <si>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</si>
  <si>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</si>
  <si>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</si>
  <si>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</si>
  <si>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</si>
  <si>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</si>
  <si>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</si>
  <si>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HW-14935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</si>
  <si>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</si>
  <si>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</si>
  <si>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</si>
  <si>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</si>
  <si>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</si>
  <si>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</si>
  <si>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</si>
  <si>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</si>
  <si>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</si>
  <si>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</si>
  <si>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</si>
  <si>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</si>
  <si>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</si>
  <si>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</si>
  <si>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</si>
  <si>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</si>
  <si>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</si>
  <si>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160 -¬†speaker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</si>
  <si>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</si>
  <si>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</si>
  <si>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</si>
  <si>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</si>
  <si>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</si>
  <si>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</si>
  <si>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</si>
  <si>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</si>
  <si>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</si>
  <si>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</si>
  <si>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</si>
  <si>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</si>
  <si>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Santa Ana</t>
  </si>
  <si>
    <t>TEC-AC-10001838</t>
  </si>
  <si>
    <t>Razer Tiamat Over Ear 7.1 Surround Sound PC Gaming Headset</t>
  </si>
  <si>
    <t>CA-2015-106565</t>
  </si>
  <si>
    <t>BW-11110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</si>
  <si>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</si>
  <si>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</si>
  <si>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</si>
  <si>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</si>
  <si>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</si>
  <si>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</si>
  <si>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</si>
  <si>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</si>
  <si>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</si>
  <si>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</si>
  <si>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</si>
  <si>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</si>
  <si>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</si>
  <si>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</si>
  <si>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</si>
  <si>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</si>
  <si>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</si>
  <si>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</si>
  <si>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</si>
  <si>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</si>
  <si>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</si>
  <si>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</si>
  <si>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</si>
  <si>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</si>
  <si>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</si>
  <si>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</si>
  <si>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</si>
  <si>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</si>
  <si>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</si>
  <si>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</si>
  <si>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</si>
  <si>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</si>
  <si>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</si>
  <si>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</si>
  <si>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</si>
  <si>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</si>
  <si>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</si>
  <si>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</si>
  <si>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</si>
  <si>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</si>
  <si>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</si>
  <si>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</si>
  <si>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</si>
  <si>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</si>
  <si>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</si>
  <si>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</si>
  <si>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</si>
  <si>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</si>
  <si>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</si>
  <si>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</si>
  <si>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</si>
  <si>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1/4‚Äù x 11‚Äù</t>
  </si>
  <si>
    <t>US-2016-137547</t>
  </si>
  <si>
    <t>CA-2015-100454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</si>
  <si>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</si>
  <si>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</si>
  <si>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</si>
  <si>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</si>
  <si>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</si>
  <si>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</si>
  <si>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</si>
  <si>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</si>
  <si>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</si>
  <si>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</si>
  <si>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</si>
  <si>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</si>
  <si>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</si>
  <si>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</si>
  <si>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</si>
  <si>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</si>
  <si>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</si>
  <si>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</si>
  <si>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</si>
  <si>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</si>
  <si>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</si>
  <si>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</si>
  <si>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</si>
  <si>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</si>
  <si>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</si>
  <si>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</si>
  <si>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</si>
  <si>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</si>
  <si>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</si>
  <si>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</si>
  <si>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</si>
  <si>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</si>
  <si>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</si>
  <si>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</si>
  <si>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</si>
  <si>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</si>
  <si>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</si>
  <si>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</si>
  <si>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</si>
  <si>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</si>
  <si>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</si>
  <si>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</si>
  <si>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</si>
  <si>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</si>
  <si>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</si>
  <si>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</si>
  <si>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</si>
  <si>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</si>
  <si>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</si>
  <si>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</si>
  <si>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</si>
  <si>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</si>
  <si>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</si>
  <si>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Logitech¬†MX Performance Wireless Mouse</t>
  </si>
  <si>
    <t>OFF-AR-10003958</t>
  </si>
  <si>
    <t>Newell 337</t>
  </si>
  <si>
    <t>TEC-PH-10002923</t>
  </si>
  <si>
    <t>Logitech B530 USB¬†Headset¬†-¬†headset¬†-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</si>
  <si>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</si>
  <si>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</si>
  <si>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</si>
  <si>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</si>
  <si>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</si>
  <si>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</si>
  <si>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</si>
  <si>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</si>
  <si>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</si>
  <si>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</si>
  <si>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</si>
  <si>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</si>
  <si>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</si>
  <si>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</si>
  <si>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</si>
  <si>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</si>
  <si>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</si>
  <si>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</si>
  <si>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</si>
  <si>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</si>
  <si>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</si>
  <si>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</si>
  <si>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</si>
  <si>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</si>
  <si>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</si>
  <si>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</si>
  <si>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</si>
  <si>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</si>
  <si>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</si>
  <si>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</si>
  <si>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</si>
  <si>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</si>
  <si>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</si>
  <si>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</si>
  <si>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</si>
  <si>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</si>
  <si>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</si>
  <si>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</si>
  <si>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</si>
  <si>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</si>
  <si>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</si>
  <si>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</si>
  <si>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</si>
  <si>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</si>
  <si>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Dax Clear Box Frame</t>
  </si>
  <si>
    <t>CA-2015-143602</t>
  </si>
  <si>
    <t>JS-15595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</si>
  <si>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</si>
  <si>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</si>
  <si>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</si>
  <si>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</si>
  <si>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</si>
  <si>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</si>
  <si>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</si>
  <si>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</si>
  <si>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</si>
  <si>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</si>
  <si>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</si>
  <si>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</si>
  <si>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</si>
  <si>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</si>
  <si>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</si>
  <si>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</si>
  <si>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</si>
  <si>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</si>
  <si>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</si>
  <si>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</si>
  <si>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</si>
  <si>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</si>
  <si>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</si>
  <si>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</si>
  <si>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</si>
  <si>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</si>
  <si>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</si>
  <si>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</si>
  <si>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</si>
  <si>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</si>
  <si>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</si>
  <si>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</si>
  <si>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</si>
  <si>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</si>
  <si>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</si>
  <si>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</si>
  <si>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</si>
  <si>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</si>
  <si>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</si>
  <si>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</si>
  <si>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</si>
  <si>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</si>
  <si>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</si>
  <si>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</si>
  <si>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</si>
  <si>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</si>
  <si>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</si>
  <si>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</si>
  <si>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</si>
  <si>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</si>
  <si>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</si>
  <si>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</si>
  <si>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</si>
  <si>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</si>
  <si>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</si>
  <si>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</si>
  <si>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</si>
  <si>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</si>
  <si>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</si>
  <si>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</si>
  <si>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Maxell¬†iVDR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</si>
  <si>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</si>
  <si>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</si>
  <si>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</si>
  <si>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</si>
  <si>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</si>
  <si>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</si>
  <si>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</si>
  <si>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</si>
  <si>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</si>
  <si>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</si>
  <si>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</si>
  <si>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</si>
  <si>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</si>
  <si>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</si>
  <si>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</si>
  <si>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</si>
  <si>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</si>
  <si>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</si>
  <si>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</si>
  <si>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</si>
  <si>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</si>
  <si>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</si>
  <si>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</si>
  <si>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</si>
  <si>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</si>
  <si>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CA-2014-132962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</si>
  <si>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</si>
  <si>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</si>
  <si>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</si>
  <si>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</si>
  <si>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</si>
  <si>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</si>
  <si>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</si>
  <si>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</si>
  <si>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</si>
  <si>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</si>
  <si>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</si>
  <si>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</si>
  <si>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</si>
  <si>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</si>
  <si>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</si>
  <si>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</si>
  <si>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</si>
  <si>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</si>
  <si>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</si>
  <si>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</si>
  <si>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</si>
  <si>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</si>
  <si>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</si>
  <si>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</si>
  <si>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</si>
  <si>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</si>
  <si>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</si>
  <si>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</si>
  <si>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</si>
  <si>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</si>
  <si>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</si>
  <si>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</si>
  <si>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</si>
  <si>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</si>
  <si>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</si>
  <si>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</si>
  <si>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</si>
  <si>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</si>
  <si>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</si>
  <si>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</si>
  <si>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</si>
  <si>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</si>
  <si>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</si>
  <si>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</si>
  <si>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</si>
  <si>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</si>
  <si>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</si>
  <si>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</si>
  <si>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</si>
  <si>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</si>
  <si>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</si>
  <si>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</si>
  <si>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</si>
  <si>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</si>
  <si>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</si>
  <si>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</si>
  <si>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</si>
  <si>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</si>
  <si>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</si>
  <si>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</si>
  <si>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</si>
  <si>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</si>
  <si>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</si>
  <si>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</si>
  <si>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</si>
  <si>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</si>
  <si>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</si>
  <si>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</si>
  <si>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</si>
  <si>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</si>
  <si>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</si>
  <si>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</si>
  <si>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</si>
  <si>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</si>
  <si>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</si>
  <si>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</si>
  <si>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</si>
  <si>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</si>
  <si>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</si>
  <si>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</si>
  <si>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</si>
  <si>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</si>
  <si>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</si>
  <si>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</si>
  <si>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</si>
  <si>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</si>
  <si>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</si>
  <si>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</si>
  <si>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</si>
  <si>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</si>
  <si>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</si>
  <si>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</si>
  <si>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</si>
  <si>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</si>
  <si>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</si>
  <si>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</si>
  <si>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</si>
  <si>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</si>
  <si>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</si>
  <si>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</si>
  <si>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</si>
  <si>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</si>
  <si>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CA-2015-157035</t>
  </si>
  <si>
    <t>OFF-PA-10004156</t>
  </si>
  <si>
    <t>Xerox 188</t>
  </si>
  <si>
    <t>CA-2016-144939</t>
  </si>
  <si>
    <t>CA-2014-163419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</si>
  <si>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</si>
  <si>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</si>
  <si>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</si>
  <si>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</si>
  <si>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</si>
  <si>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</si>
  <si>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</si>
  <si>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</si>
  <si>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</si>
  <si>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</si>
  <si>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</si>
  <si>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</si>
  <si>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</si>
  <si>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</si>
  <si>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</si>
  <si>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</si>
  <si>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</si>
  <si>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</si>
  <si>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</si>
  <si>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</si>
  <si>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CA-2016-110023</t>
  </si>
  <si>
    <t>CA-2016-105585</t>
  </si>
  <si>
    <t>OFF-PA-10003625</t>
  </si>
  <si>
    <t>Xerox 1979</t>
  </si>
  <si>
    <t>CA-2014-117639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</si>
  <si>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</si>
  <si>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</si>
  <si>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</si>
  <si>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</si>
  <si>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</si>
  <si>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</si>
  <si>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</si>
  <si>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</si>
  <si>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</si>
  <si>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</si>
  <si>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</si>
  <si>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</si>
  <si>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</si>
  <si>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</si>
  <si>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</si>
  <si>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</si>
  <si>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</si>
  <si>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</si>
  <si>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</si>
  <si>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</si>
  <si>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</si>
  <si>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</si>
  <si>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</si>
  <si>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</si>
  <si>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</si>
  <si>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</si>
  <si>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</si>
  <si>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</si>
  <si>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</si>
  <si>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</si>
  <si>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</si>
  <si>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</si>
  <si>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</si>
  <si>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</si>
  <si>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</si>
  <si>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</si>
  <si>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</si>
  <si>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</si>
  <si>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</si>
  <si>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</si>
  <si>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</si>
  <si>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</si>
  <si>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</si>
  <si>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</si>
  <si>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</si>
  <si>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</si>
  <si>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</si>
  <si>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</si>
  <si>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</si>
  <si>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</si>
  <si>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</si>
  <si>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</si>
  <si>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</si>
  <si>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</si>
  <si>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</si>
  <si>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</si>
  <si>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</si>
  <si>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</si>
  <si>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</si>
  <si>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</si>
  <si>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</si>
  <si>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</si>
  <si>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</si>
  <si>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OFF-BI-10000320</t>
  </si>
  <si>
    <t>GBC Plastic Binding Combs</t>
  </si>
  <si>
    <t>CA-2016-126529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</si>
  <si>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</si>
  <si>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</si>
  <si>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</si>
  <si>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</si>
  <si>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</si>
  <si>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</si>
  <si>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</si>
  <si>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</si>
  <si>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</si>
  <si>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</si>
  <si>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</si>
  <si>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</si>
  <si>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</si>
  <si>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</si>
  <si>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</si>
  <si>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</si>
  <si>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</si>
  <si>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</si>
  <si>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</si>
  <si>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</si>
  <si>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</si>
  <si>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</si>
  <si>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OFF-BI-10003707</t>
  </si>
  <si>
    <t>Aluminum Screw Posts</t>
  </si>
  <si>
    <t>CA-2017-121818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</si>
  <si>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</si>
  <si>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</si>
  <si>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</si>
  <si>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</si>
  <si>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</si>
  <si>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</si>
  <si>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</si>
  <si>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</si>
  <si>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</si>
  <si>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</si>
  <si>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</si>
  <si>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</si>
  <si>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</si>
  <si>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</si>
  <si>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</si>
  <si>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</si>
  <si>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</si>
  <si>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</si>
  <si>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</si>
  <si>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</si>
  <si>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</si>
  <si>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</si>
  <si>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</si>
  <si>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</si>
  <si>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</si>
  <si>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</si>
  <si>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</si>
  <si>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</si>
  <si>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</si>
  <si>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</si>
  <si>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</si>
  <si>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</si>
  <si>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</si>
  <si>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</si>
  <si>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</si>
  <si>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</si>
  <si>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</si>
  <si>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</si>
  <si>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</si>
  <si>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</si>
  <si>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</si>
  <si>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</si>
  <si>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</si>
  <si>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</si>
  <si>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</si>
  <si>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</si>
  <si>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</si>
  <si>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</si>
  <si>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</si>
  <si>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</si>
  <si>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</si>
  <si>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</si>
  <si>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</si>
  <si>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</si>
  <si>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</si>
  <si>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</si>
  <si>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</si>
  <si>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</si>
  <si>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</si>
  <si>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</si>
  <si>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</si>
  <si>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</si>
  <si>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</si>
  <si>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</si>
  <si>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</si>
  <si>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</si>
  <si>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</si>
  <si>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</si>
  <si>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</si>
  <si>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</si>
  <si>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</si>
  <si>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</si>
  <si>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</si>
  <si>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</si>
  <si>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</si>
  <si>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</si>
  <si>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</si>
  <si>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</si>
  <si>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</si>
  <si>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</si>
  <si>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</si>
  <si>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</si>
  <si>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</si>
  <si>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</si>
  <si>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</si>
  <si>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</si>
  <si>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</si>
  <si>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</si>
  <si>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</si>
  <si>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</si>
  <si>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</si>
  <si>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</si>
  <si>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</si>
  <si>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</si>
  <si>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</si>
  <si>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</si>
  <si>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</si>
  <si>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</si>
  <si>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</si>
  <si>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</si>
  <si>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</si>
  <si>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</si>
  <si>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</si>
  <si>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</si>
  <si>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</si>
  <si>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</si>
  <si>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</si>
  <si>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</si>
  <si>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</si>
  <si>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</si>
  <si>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</si>
  <si>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</si>
  <si>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</si>
  <si>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</si>
  <si>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</si>
  <si>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</si>
  <si>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</si>
  <si>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</si>
  <si>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</si>
  <si>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</si>
  <si>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</si>
  <si>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</si>
  <si>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</si>
  <si>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</si>
  <si>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</si>
  <si>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</si>
  <si>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</si>
  <si>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</si>
  <si>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</si>
  <si>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</si>
  <si>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</si>
  <si>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</si>
  <si>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</si>
  <si>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</si>
  <si>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</si>
  <si>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</si>
  <si>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</si>
  <si>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</si>
  <si>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</si>
  <si>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</si>
  <si>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</si>
  <si>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</si>
  <si>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</si>
  <si>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</si>
  <si>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</si>
  <si>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</si>
  <si>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</si>
  <si>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</si>
  <si>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</si>
  <si>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</si>
  <si>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</si>
  <si>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</si>
  <si>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</si>
  <si>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</si>
  <si>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</si>
  <si>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</si>
  <si>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</si>
  <si>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</si>
  <si>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</si>
  <si>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</si>
  <si>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</si>
  <si>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</si>
  <si>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</si>
  <si>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</si>
  <si>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</si>
  <si>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</si>
  <si>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</si>
  <si>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</si>
  <si>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</si>
  <si>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</si>
  <si>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</si>
  <si>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</si>
  <si>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</si>
  <si>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</si>
  <si>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</si>
  <si>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</si>
  <si>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</si>
  <si>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</si>
  <si>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</si>
  <si>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</si>
  <si>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</si>
  <si>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</si>
  <si>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</si>
  <si>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</si>
  <si>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</si>
  <si>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</si>
  <si>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</si>
  <si>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</si>
  <si>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</si>
  <si>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</si>
  <si>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</si>
  <si>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</si>
  <si>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</si>
  <si>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</si>
  <si>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</si>
  <si>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</si>
  <si>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</si>
  <si>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</si>
  <si>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</si>
  <si>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</si>
  <si>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</si>
  <si>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</si>
  <si>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</si>
  <si>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</si>
  <si>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</si>
  <si>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</si>
  <si>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</si>
  <si>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</si>
  <si>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</si>
  <si>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</si>
  <si>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</si>
  <si>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</si>
  <si>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</si>
  <si>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</si>
  <si>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</si>
  <si>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</si>
  <si>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</si>
  <si>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</si>
  <si>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</si>
  <si>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</si>
  <si>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</si>
  <si>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</si>
  <si>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</si>
  <si>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</si>
  <si>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</si>
  <si>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</si>
  <si>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</si>
  <si>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</si>
  <si>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</si>
  <si>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</si>
  <si>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</si>
  <si>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</si>
  <si>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</si>
  <si>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</si>
  <si>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</si>
  <si>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</si>
  <si>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</si>
  <si>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</si>
  <si>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</si>
  <si>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</si>
  <si>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</si>
  <si>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</si>
  <si>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</si>
  <si>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</si>
  <si>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</si>
  <si>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</si>
  <si>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</si>
  <si>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</si>
  <si>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</si>
  <si>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</si>
  <si>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</si>
  <si>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</si>
  <si>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</si>
  <si>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</si>
  <si>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</si>
  <si>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</si>
  <si>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</si>
  <si>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</si>
  <si>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</si>
  <si>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</si>
  <si>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</si>
  <si>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</si>
  <si>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</si>
  <si>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</si>
  <si>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</si>
  <si>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</si>
  <si>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</si>
  <si>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</si>
  <si>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</si>
  <si>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</si>
  <si>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</si>
  <si>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</si>
  <si>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</si>
  <si>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</si>
  <si>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</si>
  <si>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</si>
  <si>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</si>
  <si>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</si>
  <si>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</si>
  <si>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</si>
  <si>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</si>
  <si>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</si>
  <si>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</si>
  <si>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</si>
  <si>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</si>
  <si>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</si>
  <si>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</si>
  <si>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</si>
  <si>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TEC-PH-10004447</t>
  </si>
  <si>
    <t>Toshiba IPT2010-SD IP¬†Telephone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</si>
  <si>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</si>
  <si>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</si>
  <si>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</si>
  <si>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</si>
  <si>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</si>
  <si>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</si>
  <si>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</si>
  <si>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</si>
  <si>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</si>
  <si>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</si>
  <si>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</si>
  <si>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</si>
  <si>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</si>
  <si>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</si>
  <si>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</si>
  <si>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</si>
  <si>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</si>
  <si>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</si>
  <si>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</si>
  <si>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</si>
  <si>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</si>
  <si>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</si>
  <si>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</si>
  <si>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</si>
  <si>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</si>
  <si>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</si>
  <si>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</si>
  <si>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</si>
  <si>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</si>
  <si>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</si>
  <si>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</si>
  <si>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</si>
  <si>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</si>
  <si>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</si>
  <si>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</si>
  <si>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</si>
  <si>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</si>
  <si>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</si>
  <si>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</si>
  <si>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</si>
  <si>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</si>
  <si>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</si>
  <si>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</si>
  <si>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</si>
  <si>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</si>
  <si>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</si>
  <si>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</si>
  <si>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</si>
  <si>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</si>
  <si>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</si>
  <si>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</si>
  <si>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</si>
  <si>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</si>
  <si>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</si>
  <si>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</si>
  <si>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</si>
  <si>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</si>
  <si>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</si>
  <si>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</si>
  <si>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</si>
  <si>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</si>
  <si>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</si>
  <si>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</si>
  <si>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</si>
  <si>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</si>
  <si>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</si>
  <si>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</si>
  <si>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</si>
  <si>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</si>
  <si>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</si>
  <si>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</si>
  <si>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</si>
  <si>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</si>
  <si>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</si>
  <si>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</si>
  <si>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</si>
  <si>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</si>
  <si>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</si>
  <si>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</si>
  <si>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</si>
  <si>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</si>
  <si>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</si>
  <si>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</si>
  <si>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</si>
  <si>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</si>
  <si>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</si>
  <si>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</si>
  <si>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</si>
  <si>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</si>
  <si>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</si>
  <si>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</si>
  <si>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</si>
  <si>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</si>
  <si>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</si>
  <si>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</si>
  <si>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</si>
  <si>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</si>
  <si>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</si>
  <si>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</si>
  <si>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</si>
  <si>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</si>
  <si>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</si>
  <si>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</si>
  <si>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</si>
  <si>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</si>
  <si>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</si>
  <si>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</si>
  <si>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</si>
  <si>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</si>
  <si>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</si>
  <si>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</si>
  <si>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</si>
  <si>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</si>
  <si>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</si>
  <si>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</si>
  <si>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</si>
  <si>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</si>
  <si>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</si>
  <si>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</si>
  <si>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</si>
  <si>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</si>
  <si>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</si>
  <si>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OFF-PA-10002870</t>
  </si>
  <si>
    <t>Ampad Phone Message Book, Recycled, 400 Message Capacity, 5 ¬æ‚Äù x 11‚Äù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</si>
  <si>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</si>
  <si>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</si>
  <si>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</si>
  <si>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</si>
  <si>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</si>
  <si>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</si>
  <si>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</si>
  <si>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</si>
  <si>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</si>
  <si>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</si>
  <si>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</si>
  <si>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</si>
  <si>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</si>
  <si>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</si>
  <si>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</si>
  <si>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</si>
  <si>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</si>
  <si>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</si>
  <si>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</si>
  <si>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</si>
  <si>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</si>
  <si>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</si>
  <si>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</si>
  <si>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</si>
  <si>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</si>
  <si>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</si>
  <si>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</si>
  <si>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</si>
  <si>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</si>
  <si>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</si>
  <si>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</si>
  <si>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</si>
  <si>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</si>
  <si>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</si>
  <si>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</si>
  <si>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</si>
  <si>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</si>
  <si>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</si>
  <si>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</si>
  <si>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</si>
  <si>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</si>
  <si>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</si>
  <si>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</si>
  <si>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</si>
  <si>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</si>
  <si>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</si>
  <si>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</si>
  <si>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</si>
  <si>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</si>
  <si>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</si>
  <si>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</si>
  <si>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</si>
  <si>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</si>
  <si>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</si>
  <si>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</si>
  <si>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</si>
  <si>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</si>
  <si>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</si>
  <si>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</si>
  <si>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</si>
  <si>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</si>
  <si>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</si>
  <si>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</si>
  <si>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</si>
  <si>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</si>
  <si>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</si>
  <si>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</si>
  <si>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</si>
  <si>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</si>
  <si>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</si>
  <si>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Bluetooth¬†Headset¬†with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</si>
  <si>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</si>
  <si>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</si>
  <si>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</si>
  <si>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</si>
  <si>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</si>
  <si>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</si>
  <si>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</si>
  <si>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</si>
  <si>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</si>
  <si>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</si>
  <si>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</si>
  <si>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</si>
  <si>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</si>
  <si>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</si>
  <si>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</si>
  <si>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</si>
  <si>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</si>
  <si>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</si>
  <si>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</si>
  <si>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</si>
  <si>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</si>
  <si>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</si>
  <si>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</si>
  <si>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</si>
  <si>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</si>
  <si>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</si>
  <si>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</si>
  <si>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</si>
  <si>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</si>
  <si>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</si>
  <si>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</si>
  <si>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</si>
  <si>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</si>
  <si>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</si>
  <si>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</si>
  <si>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</si>
  <si>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</si>
  <si>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</si>
  <si>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</si>
  <si>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</si>
  <si>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</si>
  <si>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</si>
  <si>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</si>
  <si>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</si>
  <si>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</si>
  <si>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</si>
  <si>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</si>
  <si>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</si>
  <si>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</si>
  <si>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</si>
  <si>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</si>
  <si>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</si>
  <si>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</si>
  <si>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</si>
  <si>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</si>
  <si>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</si>
  <si>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</si>
  <si>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</si>
  <si>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</si>
  <si>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</si>
  <si>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</si>
  <si>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</si>
  <si>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</si>
  <si>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</si>
  <si>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</si>
  <si>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</si>
  <si>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</si>
  <si>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</si>
  <si>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</si>
  <si>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</si>
  <si>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</si>
  <si>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</si>
  <si>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</si>
  <si>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</si>
  <si>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</si>
  <si>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</si>
  <si>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</si>
  <si>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</si>
  <si>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</si>
  <si>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</si>
  <si>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</si>
  <si>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</si>
  <si>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3/8‚Äù x 11‚Äù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</si>
  <si>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</si>
  <si>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</si>
  <si>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</si>
  <si>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</si>
  <si>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</si>
  <si>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</si>
  <si>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</si>
  <si>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</si>
  <si>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</si>
  <si>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</si>
  <si>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</si>
  <si>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</si>
  <si>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</si>
  <si>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</si>
  <si>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</si>
  <si>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</si>
  <si>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</si>
  <si>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</si>
  <si>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</si>
  <si>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</si>
  <si>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KT-16465</t>
  </si>
  <si>
    <t>FUR-CH-10002961</t>
  </si>
  <si>
    <t>Leather Task Chair, Black</t>
  </si>
  <si>
    <t>CA-2017-125199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</si>
  <si>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</si>
  <si>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</si>
  <si>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</si>
  <si>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</si>
  <si>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</si>
  <si>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</si>
  <si>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</si>
  <si>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</si>
  <si>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</si>
  <si>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</si>
  <si>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</si>
  <si>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</si>
  <si>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</si>
  <si>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</si>
  <si>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</si>
  <si>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</si>
  <si>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</si>
  <si>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</si>
  <si>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</si>
  <si>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</si>
  <si>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</si>
  <si>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</si>
  <si>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</si>
  <si>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</si>
  <si>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</si>
  <si>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</si>
  <si>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</si>
  <si>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</si>
  <si>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</si>
  <si>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</si>
  <si>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</si>
  <si>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</si>
  <si>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</si>
  <si>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</si>
  <si>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</si>
  <si>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</si>
  <si>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</si>
  <si>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</si>
  <si>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</si>
  <si>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</si>
  <si>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</si>
  <si>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</si>
  <si>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</si>
  <si>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</si>
  <si>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</si>
  <si>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</si>
  <si>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</si>
  <si>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</si>
  <si>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</si>
  <si>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</si>
  <si>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</si>
  <si>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</si>
  <si>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</si>
  <si>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</si>
  <si>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</si>
  <si>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</si>
  <si>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</si>
  <si>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</si>
  <si>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</si>
  <si>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</si>
  <si>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</si>
  <si>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</si>
  <si>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</si>
  <si>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</si>
  <si>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</si>
  <si>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</si>
  <si>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</si>
  <si>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</si>
  <si>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</si>
  <si>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</si>
  <si>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</si>
  <si>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</si>
  <si>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</si>
  <si>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</si>
  <si>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</si>
  <si>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</si>
  <si>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</si>
  <si>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</si>
  <si>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</si>
  <si>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</si>
  <si>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</si>
  <si>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</si>
  <si>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</si>
  <si>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</si>
  <si>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</si>
  <si>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</si>
  <si>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</si>
  <si>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</si>
  <si>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</si>
  <si>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</si>
  <si>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</si>
  <si>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</si>
  <si>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</si>
  <si>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</si>
  <si>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</si>
  <si>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</si>
  <si>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</si>
  <si>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</si>
  <si>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</si>
  <si>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</si>
  <si>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</si>
  <si>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</si>
  <si>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</si>
  <si>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</si>
  <si>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</si>
  <si>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</si>
  <si>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</si>
  <si>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</si>
  <si>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</si>
  <si>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</si>
  <si>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</si>
  <si>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</si>
  <si>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</si>
  <si>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</si>
  <si>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</si>
  <si>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</si>
  <si>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</si>
  <si>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</si>
  <si>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</si>
  <si>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</si>
  <si>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</si>
  <si>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</si>
  <si>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</si>
  <si>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</si>
  <si>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</si>
  <si>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</si>
  <si>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</si>
  <si>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</si>
  <si>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</si>
  <si>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</si>
  <si>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</si>
  <si>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</si>
  <si>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</si>
  <si>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</si>
  <si>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</si>
  <si>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</si>
  <si>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</si>
  <si>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</si>
  <si>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</si>
  <si>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</si>
  <si>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</si>
  <si>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OFF-BI-10004352</t>
  </si>
  <si>
    <t>Wilson Jones DublLock D-Ring Binders</t>
  </si>
  <si>
    <t>CA-2016-133711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</si>
  <si>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</si>
  <si>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</si>
  <si>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</si>
  <si>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</si>
  <si>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</si>
  <si>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</si>
  <si>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</si>
  <si>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</si>
  <si>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</si>
  <si>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</si>
  <si>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</si>
  <si>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</si>
  <si>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</si>
  <si>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</si>
  <si>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</si>
  <si>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</si>
  <si>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</si>
  <si>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</si>
  <si>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</si>
  <si>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</si>
  <si>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</si>
  <si>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</si>
  <si>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</si>
  <si>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</si>
  <si>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</si>
  <si>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Vineland</t>
  </si>
  <si>
    <t>CA-2016-152289</t>
  </si>
  <si>
    <t>US-2016-104794</t>
  </si>
  <si>
    <t>KD-16495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</si>
  <si>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</si>
  <si>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</si>
  <si>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</si>
  <si>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</si>
  <si>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</si>
  <si>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</si>
  <si>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</si>
  <si>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</si>
  <si>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</si>
  <si>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</si>
  <si>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</si>
  <si>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</si>
  <si>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</si>
  <si>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</si>
  <si>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</si>
  <si>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</si>
  <si>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</si>
  <si>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NP-18685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</si>
  <si>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</si>
  <si>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</si>
  <si>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</si>
  <si>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</si>
  <si>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</si>
  <si>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</si>
  <si>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</si>
  <si>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</si>
  <si>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</si>
  <si>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</si>
  <si>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</si>
  <si>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</si>
  <si>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</si>
  <si>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</si>
  <si>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</si>
  <si>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</si>
  <si>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</si>
  <si>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</si>
  <si>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</si>
  <si>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</si>
  <si>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</si>
  <si>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</si>
  <si>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</si>
  <si>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</si>
  <si>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</si>
  <si>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</si>
  <si>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</si>
  <si>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</si>
  <si>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</si>
  <si>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</si>
  <si>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</si>
  <si>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</si>
  <si>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</si>
  <si>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</si>
  <si>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</si>
  <si>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CA-2017-151911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</si>
  <si>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</si>
  <si>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</si>
  <si>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</si>
  <si>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</si>
  <si>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</si>
  <si>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</si>
  <si>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</si>
  <si>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</si>
  <si>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</si>
  <si>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</si>
  <si>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</si>
  <si>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</si>
  <si>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</si>
  <si>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</si>
  <si>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</si>
  <si>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</si>
  <si>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</si>
  <si>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</si>
  <si>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</si>
  <si>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</si>
  <si>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</si>
  <si>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</si>
  <si>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</si>
  <si>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</si>
  <si>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</si>
  <si>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</si>
  <si>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</si>
  <si>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</si>
  <si>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</si>
  <si>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</si>
  <si>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</si>
  <si>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</si>
  <si>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</si>
  <si>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</si>
  <si>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</si>
  <si>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</si>
  <si>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</si>
  <si>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</si>
  <si>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</si>
  <si>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</si>
  <si>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</si>
  <si>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</si>
  <si>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</si>
  <si>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</si>
  <si>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</si>
  <si>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</si>
  <si>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</si>
  <si>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</si>
  <si>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</si>
  <si>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</si>
  <si>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</si>
  <si>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</si>
  <si>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</si>
  <si>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</si>
  <si>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</si>
  <si>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</si>
  <si>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</si>
  <si>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</si>
  <si>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</si>
  <si>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</si>
  <si>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</si>
  <si>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</si>
  <si>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</si>
  <si>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</si>
  <si>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</si>
  <si>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</si>
  <si>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</si>
  <si>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</si>
  <si>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</si>
  <si>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</si>
  <si>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</si>
  <si>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</si>
  <si>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</si>
  <si>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</si>
  <si>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</si>
  <si>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</si>
  <si>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</si>
  <si>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</si>
  <si>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</si>
  <si>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</si>
  <si>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</si>
  <si>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</si>
  <si>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</si>
  <si>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</si>
  <si>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</si>
  <si>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</si>
  <si>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</si>
  <si>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</si>
  <si>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</si>
  <si>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</si>
  <si>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</si>
  <si>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</si>
  <si>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</si>
  <si>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</si>
  <si>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</si>
  <si>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</si>
  <si>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</si>
  <si>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</si>
  <si>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</si>
  <si>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</si>
  <si>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</si>
  <si>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</si>
  <si>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</si>
  <si>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</si>
  <si>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</si>
  <si>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</si>
  <si>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</si>
  <si>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</si>
  <si>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</si>
  <si>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</si>
  <si>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</si>
  <si>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</si>
  <si>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</si>
  <si>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</si>
  <si>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</si>
  <si>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</si>
  <si>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</si>
  <si>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</si>
  <si>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</si>
  <si>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</si>
  <si>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</si>
  <si>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</si>
  <si>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</si>
  <si>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</si>
  <si>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</si>
  <si>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</si>
  <si>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</si>
  <si>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</si>
  <si>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</si>
  <si>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</si>
  <si>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</si>
  <si>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</si>
  <si>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</si>
  <si>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</si>
  <si>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</si>
  <si>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</si>
  <si>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</si>
  <si>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</si>
  <si>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</si>
  <si>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</si>
  <si>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</si>
  <si>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</si>
  <si>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</si>
  <si>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</si>
  <si>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</si>
  <si>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</si>
  <si>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</si>
  <si>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</si>
  <si>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</si>
  <si>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</si>
  <si>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</si>
  <si>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</si>
  <si>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</si>
  <si>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</si>
  <si>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</si>
  <si>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</si>
  <si>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</si>
  <si>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</si>
  <si>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</si>
  <si>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</si>
  <si>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</si>
  <si>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</si>
  <si>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</si>
  <si>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</si>
  <si>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</si>
  <si>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</si>
  <si>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</si>
  <si>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</si>
  <si>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</si>
  <si>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</si>
  <si>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</si>
  <si>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</si>
  <si>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</si>
  <si>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RD-19480</t>
  </si>
  <si>
    <t>TEC-PH-10004830</t>
  </si>
  <si>
    <t>Pyle PRT45 Retro Home¬†Telephone</t>
  </si>
  <si>
    <t>CA-2014-117317</t>
  </si>
  <si>
    <t>OFF-PA-10004519</t>
  </si>
  <si>
    <t>Spiral Phone Message Books with Labels by Adams</t>
  </si>
  <si>
    <t>CA-2015-118423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</si>
  <si>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</si>
  <si>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</si>
  <si>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</si>
  <si>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</si>
  <si>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</si>
  <si>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</si>
  <si>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</si>
  <si>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</si>
  <si>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</si>
  <si>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</si>
  <si>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</si>
  <si>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</si>
  <si>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</si>
  <si>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</si>
  <si>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</si>
  <si>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</si>
  <si>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</si>
  <si>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</si>
  <si>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</si>
  <si>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</si>
  <si>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</si>
  <si>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</si>
  <si>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</si>
  <si>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</si>
  <si>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</si>
  <si>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</si>
  <si>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</si>
  <si>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</si>
  <si>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</si>
  <si>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</si>
  <si>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</si>
  <si>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</si>
  <si>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</si>
  <si>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</si>
  <si>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</si>
  <si>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</si>
  <si>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</si>
  <si>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</si>
  <si>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</si>
  <si>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</si>
  <si>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</si>
  <si>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</si>
  <si>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</si>
  <si>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</si>
  <si>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</si>
  <si>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</si>
  <si>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</si>
  <si>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</si>
  <si>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</si>
  <si>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</si>
  <si>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</si>
  <si>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</si>
  <si>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</si>
  <si>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</si>
  <si>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CA-2015-143119</t>
  </si>
  <si>
    <t>MC-17275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</si>
  <si>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</si>
  <si>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</si>
  <si>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</si>
  <si>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</si>
  <si>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</si>
  <si>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</si>
  <si>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</si>
  <si>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</si>
  <si>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</si>
  <si>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</si>
  <si>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</si>
  <si>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</si>
  <si>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</si>
  <si>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</si>
  <si>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</si>
  <si>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</si>
  <si>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</si>
  <si>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</si>
  <si>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</si>
  <si>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</si>
  <si>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</si>
  <si>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</si>
  <si>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</si>
  <si>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</si>
  <si>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</si>
  <si>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</si>
  <si>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</si>
  <si>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</si>
  <si>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</si>
  <si>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</si>
  <si>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</si>
  <si>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</si>
  <si>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</si>
  <si>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</si>
  <si>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</si>
  <si>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</si>
  <si>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</si>
  <si>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</si>
  <si>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</si>
  <si>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</si>
  <si>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</si>
  <si>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</si>
  <si>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</si>
  <si>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</si>
  <si>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</si>
  <si>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</si>
  <si>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</si>
  <si>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</si>
  <si>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</si>
  <si>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</si>
  <si>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</si>
  <si>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</si>
  <si>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</si>
  <si>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</si>
  <si>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</si>
  <si>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</si>
  <si>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</si>
  <si>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</si>
  <si>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</si>
  <si>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</si>
  <si>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</si>
  <si>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</si>
  <si>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</si>
  <si>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</si>
  <si>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</si>
  <si>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</si>
  <si>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</si>
  <si>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</si>
  <si>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</si>
  <si>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</si>
  <si>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</si>
  <si>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</si>
  <si>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</si>
  <si>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</si>
  <si>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</si>
  <si>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</si>
  <si>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</si>
  <si>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</si>
  <si>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</si>
  <si>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</si>
  <si>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</si>
  <si>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</si>
  <si>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</si>
  <si>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</si>
  <si>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</si>
  <si>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</si>
  <si>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</si>
  <si>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</si>
  <si>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</si>
  <si>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</si>
  <si>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</si>
  <si>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</si>
  <si>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</si>
  <si>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Indianapolis</t>
  </si>
  <si>
    <t>US-2016-154361</t>
  </si>
  <si>
    <t>HZ-14950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</si>
  <si>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</si>
  <si>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</si>
  <si>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</si>
  <si>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</si>
  <si>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</si>
  <si>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</si>
  <si>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</si>
  <si>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</si>
  <si>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</si>
  <si>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</si>
  <si>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</si>
  <si>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</si>
  <si>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</si>
  <si>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</si>
  <si>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</si>
  <si>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</si>
  <si>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</si>
  <si>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</si>
  <si>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</si>
  <si>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</si>
  <si>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</si>
  <si>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</si>
  <si>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</si>
  <si>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</si>
  <si>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</si>
  <si>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</si>
  <si>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</si>
  <si>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</si>
  <si>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</si>
  <si>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</si>
  <si>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</si>
  <si>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</si>
  <si>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</si>
  <si>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</si>
  <si>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</si>
  <si>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</si>
  <si>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</si>
  <si>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</si>
  <si>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</si>
  <si>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</si>
  <si>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</si>
  <si>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</si>
  <si>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</si>
  <si>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</si>
  <si>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</si>
  <si>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</si>
  <si>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</si>
  <si>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</si>
  <si>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</si>
  <si>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</si>
  <si>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</si>
  <si>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</si>
  <si>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</si>
  <si>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</si>
  <si>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</si>
  <si>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</si>
  <si>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</si>
  <si>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</si>
  <si>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</si>
  <si>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</si>
  <si>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</si>
  <si>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</si>
  <si>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</si>
  <si>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</si>
  <si>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</si>
  <si>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</si>
  <si>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</si>
  <si>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</si>
  <si>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</si>
  <si>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</si>
  <si>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</si>
  <si>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</si>
  <si>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</si>
  <si>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</si>
  <si>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</si>
  <si>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</si>
  <si>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</si>
  <si>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</si>
  <si>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</si>
  <si>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</si>
  <si>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</si>
  <si>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</si>
  <si>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</si>
  <si>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</si>
  <si>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</si>
  <si>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</si>
  <si>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</si>
  <si>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</si>
  <si>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</si>
  <si>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</si>
  <si>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</si>
  <si>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</si>
  <si>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</si>
  <si>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</si>
  <si>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</si>
  <si>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</si>
  <si>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</si>
  <si>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</si>
  <si>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</si>
  <si>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</si>
  <si>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</si>
  <si>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</si>
  <si>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</si>
  <si>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</si>
  <si>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</si>
  <si>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</si>
  <si>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</si>
  <si>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</si>
  <si>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</si>
  <si>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</si>
  <si>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</si>
  <si>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</si>
  <si>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</si>
  <si>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</si>
  <si>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</si>
  <si>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</si>
  <si>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</si>
  <si>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</si>
  <si>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</si>
  <si>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</si>
  <si>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</si>
  <si>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</si>
  <si>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</si>
  <si>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</si>
  <si>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RP-19855</t>
  </si>
  <si>
    <t>Kenosha</t>
  </si>
  <si>
    <t>TEC-AC-10004568</t>
  </si>
  <si>
    <t>Maxell¬†LTO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</si>
  <si>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</si>
  <si>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</si>
  <si>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</si>
  <si>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</si>
  <si>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</si>
  <si>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</si>
  <si>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</si>
  <si>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</si>
  <si>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CA-2016-140774</t>
  </si>
  <si>
    <t>BE-11455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</si>
  <si>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</si>
  <si>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</si>
  <si>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</si>
  <si>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</si>
  <si>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</si>
  <si>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</si>
  <si>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</si>
  <si>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</si>
  <si>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</si>
  <si>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</si>
  <si>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</si>
  <si>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</si>
  <si>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</si>
  <si>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</si>
  <si>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</si>
  <si>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</si>
  <si>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</si>
  <si>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</si>
  <si>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</si>
  <si>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</si>
  <si>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</si>
  <si>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</si>
  <si>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</si>
  <si>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</si>
  <si>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</si>
  <si>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</si>
  <si>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</si>
  <si>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</si>
  <si>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</si>
  <si>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</si>
  <si>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</si>
  <si>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</si>
  <si>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</si>
  <si>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</si>
  <si>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</si>
  <si>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</si>
  <si>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</si>
  <si>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</si>
  <si>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</si>
  <si>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</si>
  <si>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</si>
  <si>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</si>
  <si>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</si>
  <si>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</si>
  <si>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</si>
  <si>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</si>
  <si>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</si>
  <si>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</si>
  <si>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</si>
  <si>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</si>
  <si>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</si>
  <si>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</si>
  <si>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</si>
  <si>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</si>
  <si>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</si>
  <si>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</si>
  <si>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</si>
  <si>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</si>
  <si>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</si>
  <si>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</si>
  <si>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</si>
  <si>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</si>
  <si>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</si>
  <si>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</si>
  <si>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</si>
  <si>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</si>
  <si>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</si>
  <si>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</si>
  <si>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</si>
  <si>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</si>
  <si>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</si>
  <si>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</si>
  <si>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</si>
  <si>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</si>
  <si>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</si>
  <si>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</si>
  <si>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</si>
  <si>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</si>
  <si>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</si>
  <si>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</si>
  <si>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</si>
  <si>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</si>
  <si>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</si>
  <si>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</si>
  <si>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</si>
  <si>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</si>
  <si>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</si>
  <si>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</si>
  <si>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</si>
  <si>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</si>
  <si>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</si>
  <si>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</si>
  <si>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</si>
  <si>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</si>
  <si>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</si>
  <si>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</si>
  <si>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</si>
  <si>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</si>
  <si>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</si>
  <si>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</si>
  <si>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</si>
  <si>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</si>
  <si>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</si>
  <si>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</si>
  <si>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</si>
  <si>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</si>
  <si>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</si>
  <si>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</si>
  <si>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Antique¬†Telephone¬†ZL1810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</si>
  <si>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</si>
  <si>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</si>
  <si>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</si>
  <si>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</si>
  <si>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</si>
  <si>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</si>
  <si>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</si>
  <si>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</si>
  <si>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</si>
  <si>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</si>
  <si>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</si>
  <si>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</si>
  <si>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</si>
  <si>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</si>
  <si>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</si>
  <si>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</si>
  <si>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</si>
  <si>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</si>
  <si>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</si>
  <si>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</si>
  <si>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</si>
  <si>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</si>
  <si>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</si>
  <si>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</si>
  <si>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</si>
  <si>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</si>
  <si>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</si>
  <si>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</si>
  <si>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</si>
  <si>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</si>
  <si>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</si>
  <si>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</si>
  <si>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</si>
  <si>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</si>
  <si>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</si>
  <si>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</si>
  <si>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</si>
  <si>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</si>
  <si>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</si>
  <si>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</si>
  <si>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</si>
  <si>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</si>
  <si>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</si>
  <si>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</si>
  <si>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</si>
  <si>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</si>
  <si>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</si>
  <si>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</si>
  <si>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</si>
  <si>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</si>
  <si>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</si>
  <si>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</si>
  <si>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</si>
  <si>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</si>
  <si>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</si>
  <si>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</si>
  <si>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</si>
  <si>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</si>
  <si>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</si>
  <si>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</si>
  <si>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</si>
  <si>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</si>
  <si>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</si>
  <si>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</si>
  <si>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</si>
  <si>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</si>
  <si>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</si>
  <si>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</si>
  <si>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</si>
  <si>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</si>
  <si>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</si>
  <si>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</si>
  <si>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</si>
  <si>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</si>
  <si>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</si>
  <si>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</si>
  <si>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</si>
  <si>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</si>
  <si>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</si>
  <si>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</si>
  <si>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</si>
  <si>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</si>
  <si>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</si>
  <si>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</si>
  <si>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</si>
  <si>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</si>
  <si>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</si>
  <si>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</si>
  <si>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</si>
  <si>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</si>
  <si>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</si>
  <si>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</si>
  <si>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</si>
  <si>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</si>
  <si>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</si>
  <si>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</si>
  <si>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</si>
  <si>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</si>
  <si>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</si>
  <si>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</si>
  <si>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</si>
  <si>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</si>
  <si>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</si>
  <si>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</si>
  <si>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</si>
  <si>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</si>
  <si>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</si>
  <si>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</si>
  <si>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</si>
  <si>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</si>
  <si>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</si>
  <si>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</si>
  <si>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</si>
  <si>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</si>
  <si>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</si>
  <si>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</si>
  <si>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</si>
  <si>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</si>
  <si>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</si>
  <si>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</si>
  <si>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</si>
  <si>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</si>
  <si>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</si>
  <si>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</si>
  <si>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</si>
  <si>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</si>
  <si>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</si>
  <si>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</si>
  <si>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</si>
  <si>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</si>
  <si>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</si>
  <si>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</si>
  <si>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</si>
  <si>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</si>
  <si>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</si>
  <si>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</si>
  <si>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</si>
  <si>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</si>
  <si>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</si>
  <si>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</si>
  <si>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</si>
  <si>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</si>
  <si>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</si>
  <si>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</si>
  <si>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</si>
  <si>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</si>
  <si>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</si>
  <si>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</si>
  <si>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</si>
  <si>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</si>
  <si>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</si>
  <si>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</si>
  <si>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</si>
  <si>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</si>
  <si>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</si>
  <si>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</si>
  <si>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</si>
  <si>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</si>
  <si>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Imation¬†Clip USB¬†flash drive¬†- 8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</si>
  <si>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</si>
  <si>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</si>
  <si>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</si>
  <si>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</si>
  <si>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</si>
  <si>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</si>
  <si>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</si>
  <si>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</si>
  <si>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</si>
  <si>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</si>
  <si>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</si>
  <si>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</si>
  <si>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</si>
  <si>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</si>
  <si>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</si>
  <si>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</si>
  <si>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</si>
  <si>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</si>
  <si>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</si>
  <si>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</si>
  <si>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</si>
  <si>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</si>
  <si>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</si>
  <si>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</si>
  <si>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</si>
  <si>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</si>
  <si>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</si>
  <si>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</si>
  <si>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</si>
  <si>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Edition¬†Headset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</si>
  <si>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</si>
  <si>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</si>
  <si>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</si>
  <si>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</si>
  <si>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</si>
  <si>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</si>
  <si>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</si>
  <si>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</si>
  <si>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</si>
  <si>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</si>
  <si>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</si>
  <si>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</si>
  <si>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</si>
  <si>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</si>
  <si>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</si>
  <si>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</si>
  <si>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</si>
  <si>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</si>
  <si>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</si>
  <si>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</si>
  <si>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</si>
  <si>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</si>
  <si>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</si>
  <si>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</si>
  <si>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</si>
  <si>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</si>
  <si>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</si>
  <si>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</si>
  <si>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</si>
  <si>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</si>
  <si>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</si>
  <si>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</si>
  <si>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</si>
  <si>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</si>
  <si>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</si>
  <si>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</si>
  <si>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</si>
  <si>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</si>
  <si>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</si>
  <si>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</si>
  <si>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</si>
  <si>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</si>
  <si>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</si>
  <si>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</si>
  <si>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</si>
  <si>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</si>
  <si>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</si>
  <si>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</si>
  <si>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</si>
  <si>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</si>
  <si>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</si>
  <si>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</si>
  <si>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</si>
  <si>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</si>
  <si>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</si>
  <si>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</si>
  <si>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</si>
  <si>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</si>
  <si>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</si>
  <si>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</si>
  <si>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</si>
  <si>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</si>
  <si>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</si>
  <si>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</si>
  <si>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</si>
  <si>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</si>
  <si>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</si>
  <si>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</si>
  <si>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</si>
  <si>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</si>
  <si>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</si>
  <si>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</si>
  <si>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</si>
  <si>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</si>
  <si>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</si>
  <si>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</si>
  <si>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</si>
  <si>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</si>
  <si>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</si>
  <si>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</si>
  <si>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</si>
  <si>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</si>
  <si>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</si>
  <si>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</si>
  <si>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</si>
  <si>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</si>
  <si>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</si>
  <si>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</si>
  <si>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</si>
  <si>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</si>
  <si>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</si>
  <si>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</si>
  <si>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</si>
  <si>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</si>
  <si>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</si>
  <si>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</si>
  <si>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</si>
  <si>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</si>
  <si>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</si>
  <si>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</si>
  <si>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</si>
  <si>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</si>
  <si>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</si>
  <si>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</si>
  <si>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-¬†headset¬†- Convertible, Monaural</t>
  </si>
  <si>
    <t>CA-2014-131051</t>
  </si>
  <si>
    <t>CA-2017-140676</t>
  </si>
  <si>
    <t>BF-11080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</si>
  <si>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</si>
  <si>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</si>
  <si>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</si>
  <si>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</si>
  <si>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</si>
  <si>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</si>
  <si>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</si>
  <si>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</si>
  <si>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</si>
  <si>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</si>
  <si>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</si>
  <si>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</si>
  <si>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</si>
  <si>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</si>
  <si>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</si>
  <si>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</si>
  <si>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</si>
  <si>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</si>
  <si>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</si>
  <si>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</si>
  <si>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</si>
  <si>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</si>
  <si>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</si>
  <si>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</si>
  <si>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</si>
  <si>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</si>
  <si>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</si>
  <si>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</si>
  <si>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</si>
  <si>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</si>
  <si>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</si>
  <si>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</si>
  <si>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</si>
  <si>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</si>
  <si>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</si>
  <si>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</si>
  <si>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</si>
  <si>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</si>
  <si>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</si>
  <si>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</si>
  <si>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</si>
  <si>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</si>
  <si>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</si>
  <si>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Conference¬†phone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</si>
  <si>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</si>
  <si>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</si>
  <si>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</si>
  <si>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</si>
  <si>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</si>
  <si>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</si>
  <si>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</si>
  <si>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</si>
  <si>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</si>
  <si>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</si>
  <si>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</si>
  <si>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</si>
  <si>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</si>
  <si>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</si>
  <si>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</si>
  <si>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</si>
  <si>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</si>
  <si>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</si>
  <si>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</si>
  <si>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</si>
  <si>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</si>
  <si>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</si>
  <si>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</si>
  <si>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</si>
  <si>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</si>
  <si>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</si>
  <si>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</si>
  <si>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</si>
  <si>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</si>
  <si>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</si>
  <si>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</si>
  <si>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</si>
  <si>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</si>
  <si>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</si>
  <si>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</si>
  <si>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</si>
  <si>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</si>
  <si>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</si>
  <si>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</si>
  <si>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</si>
  <si>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</si>
  <si>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</si>
  <si>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</si>
  <si>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</si>
  <si>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</si>
  <si>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</si>
  <si>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</si>
  <si>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</si>
  <si>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</si>
  <si>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</si>
  <si>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</si>
  <si>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</si>
  <si>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</si>
  <si>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</si>
  <si>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</si>
  <si>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</si>
  <si>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</si>
  <si>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</si>
  <si>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</si>
  <si>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</si>
  <si>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</si>
  <si>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</si>
  <si>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</si>
  <si>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</si>
  <si>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</si>
  <si>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</si>
  <si>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</si>
  <si>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</si>
  <si>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</si>
  <si>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</si>
  <si>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</si>
  <si>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</si>
  <si>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</si>
  <si>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</si>
  <si>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</si>
  <si>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</si>
  <si>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</si>
  <si>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</si>
  <si>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</si>
  <si>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</si>
  <si>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</si>
  <si>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</si>
  <si>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</si>
  <si>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</si>
  <si>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</si>
  <si>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</si>
  <si>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</si>
  <si>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</si>
  <si>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</si>
  <si>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</si>
  <si>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</si>
  <si>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</si>
  <si>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</si>
  <si>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</si>
  <si>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</si>
  <si>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</si>
  <si>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</si>
  <si>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</si>
  <si>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</si>
  <si>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</si>
  <si>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</si>
  <si>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</si>
  <si>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</si>
  <si>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</si>
  <si>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</si>
  <si>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</si>
  <si>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</si>
  <si>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</si>
  <si>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</si>
  <si>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</si>
  <si>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</si>
  <si>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</si>
  <si>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</si>
  <si>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</si>
  <si>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</si>
  <si>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</si>
  <si>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</si>
  <si>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</si>
  <si>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</si>
  <si>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</si>
  <si>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</si>
  <si>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</si>
  <si>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</si>
  <si>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</si>
  <si>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</si>
  <si>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</si>
  <si>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</si>
  <si>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</si>
  <si>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</si>
  <si>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</si>
  <si>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</si>
  <si>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</si>
  <si>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</si>
  <si>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</si>
  <si>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</si>
  <si>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</si>
  <si>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</si>
  <si>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</si>
  <si>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</si>
  <si>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</si>
  <si>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</si>
  <si>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</si>
  <si>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</si>
  <si>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</si>
  <si>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</si>
  <si>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</si>
  <si>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</si>
  <si>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</si>
  <si>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</si>
  <si>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</si>
  <si>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</si>
  <si>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</si>
  <si>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</si>
  <si>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</si>
  <si>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</si>
  <si>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</si>
  <si>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</si>
  <si>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</si>
  <si>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</si>
  <si>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</si>
  <si>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</si>
  <si>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</si>
  <si>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</si>
  <si>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</si>
  <si>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</si>
  <si>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</si>
  <si>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</si>
  <si>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</si>
  <si>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</si>
  <si>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</si>
  <si>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</si>
  <si>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</si>
  <si>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</si>
  <si>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</si>
  <si>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</si>
  <si>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</si>
  <si>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</si>
  <si>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</si>
  <si>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</si>
  <si>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</si>
  <si>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</si>
  <si>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</si>
  <si>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</si>
  <si>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</si>
  <si>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</si>
  <si>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</si>
  <si>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</si>
  <si>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</si>
  <si>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</si>
  <si>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</si>
  <si>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</si>
  <si>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</si>
  <si>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</si>
  <si>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</si>
  <si>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</si>
  <si>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</si>
  <si>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</si>
  <si>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</si>
  <si>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</si>
  <si>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</si>
  <si>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</si>
  <si>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</si>
  <si>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</si>
  <si>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</si>
  <si>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</si>
  <si>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</si>
  <si>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</si>
  <si>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</si>
  <si>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</si>
  <si>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</si>
  <si>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</si>
  <si>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</si>
  <si>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</si>
  <si>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</si>
  <si>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</si>
  <si>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</si>
  <si>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</si>
  <si>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</si>
  <si>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</si>
  <si>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</si>
  <si>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</si>
  <si>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</si>
  <si>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</si>
  <si>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</si>
  <si>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</si>
  <si>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</si>
  <si>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</si>
  <si>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</si>
  <si>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</si>
  <si>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</si>
  <si>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</si>
  <si>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</si>
  <si>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</si>
  <si>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</si>
  <si>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</si>
  <si>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</si>
  <si>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</si>
  <si>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</si>
  <si>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</si>
  <si>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</si>
  <si>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</si>
  <si>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</si>
  <si>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</si>
  <si>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</si>
  <si>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</si>
  <si>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</si>
  <si>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</si>
  <si>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</si>
  <si>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</si>
  <si>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</si>
  <si>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</si>
  <si>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</si>
  <si>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</si>
  <si>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</si>
  <si>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</si>
  <si>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</si>
  <si>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</si>
  <si>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</si>
  <si>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</si>
  <si>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</si>
  <si>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</si>
  <si>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</si>
  <si>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</si>
  <si>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</si>
  <si>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</si>
  <si>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</si>
  <si>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</si>
  <si>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</si>
  <si>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</si>
  <si>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</si>
  <si>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</si>
  <si>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</si>
  <si>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</si>
  <si>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</si>
  <si>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</si>
  <si>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</si>
  <si>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</si>
  <si>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</si>
  <si>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</si>
  <si>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</si>
  <si>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</si>
  <si>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Imation¬†Secure¬†Drive¬†+ Hardware Encrypted USB¬†flash drive¬†- 16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</si>
  <si>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</si>
  <si>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</si>
  <si>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</si>
  <si>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</si>
  <si>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</si>
  <si>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</si>
  <si>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</si>
  <si>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</si>
  <si>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</si>
  <si>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</si>
  <si>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</si>
  <si>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</si>
  <si>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</si>
  <si>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</si>
  <si>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</si>
  <si>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</si>
  <si>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</si>
  <si>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</si>
  <si>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</si>
  <si>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</si>
  <si>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</si>
  <si>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</si>
  <si>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</si>
  <si>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</si>
  <si>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</si>
  <si>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</si>
  <si>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</si>
  <si>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</si>
  <si>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</si>
  <si>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</si>
  <si>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</si>
  <si>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</si>
  <si>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</si>
  <si>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</si>
  <si>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</si>
  <si>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</si>
  <si>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</si>
  <si>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</si>
  <si>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</si>
  <si>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</si>
  <si>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</si>
  <si>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</si>
  <si>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</si>
  <si>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</si>
  <si>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</si>
  <si>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</si>
  <si>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</si>
  <si>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</si>
  <si>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</si>
  <si>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</si>
  <si>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</si>
  <si>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</si>
  <si>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</si>
  <si>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</si>
  <si>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</si>
  <si>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</si>
  <si>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</si>
  <si>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</si>
  <si>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</si>
  <si>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</si>
  <si>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</si>
  <si>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</si>
  <si>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</si>
  <si>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</si>
  <si>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</si>
  <si>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</si>
  <si>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</si>
  <si>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</si>
  <si>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</si>
  <si>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</si>
  <si>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</si>
  <si>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</si>
  <si>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</si>
  <si>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</si>
  <si>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</si>
  <si>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</si>
  <si>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</si>
  <si>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</si>
  <si>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</si>
  <si>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</si>
  <si>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</si>
  <si>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</si>
  <si>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</si>
  <si>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</si>
  <si>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</si>
  <si>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</si>
  <si>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</si>
  <si>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</si>
  <si>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</si>
  <si>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</si>
  <si>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</si>
  <si>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</si>
  <si>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</si>
  <si>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</si>
  <si>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</si>
  <si>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</si>
  <si>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</si>
  <si>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</si>
  <si>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</si>
  <si>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</si>
  <si>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</si>
  <si>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Logitech¬†VX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</si>
  <si>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</si>
  <si>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</si>
  <si>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</si>
  <si>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</si>
  <si>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</si>
  <si>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</si>
  <si>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</si>
  <si>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</si>
  <si>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</si>
  <si>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</si>
  <si>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</si>
  <si>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</si>
  <si>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</si>
  <si>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</si>
  <si>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</si>
  <si>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</si>
  <si>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</si>
  <si>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</si>
  <si>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</si>
  <si>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</si>
  <si>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</si>
  <si>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</si>
  <si>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</si>
  <si>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</si>
  <si>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</si>
  <si>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</si>
  <si>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</si>
  <si>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</si>
  <si>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</si>
  <si>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</si>
  <si>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</si>
  <si>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</si>
  <si>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</si>
  <si>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</si>
  <si>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</si>
  <si>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</si>
  <si>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</si>
  <si>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</si>
  <si>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</si>
  <si>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</si>
  <si>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</si>
  <si>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</si>
  <si>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</si>
  <si>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</si>
  <si>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</si>
  <si>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</si>
  <si>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</si>
  <si>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</si>
  <si>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</si>
  <si>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</si>
  <si>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</si>
  <si>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</si>
  <si>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</si>
  <si>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</si>
  <si>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</si>
  <si>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</si>
  <si>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</si>
  <si>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</si>
  <si>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</si>
  <si>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</si>
  <si>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</si>
  <si>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</si>
  <si>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</si>
  <si>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</si>
  <si>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</si>
  <si>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</si>
  <si>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</si>
  <si>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</si>
  <si>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</si>
  <si>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</si>
  <si>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</si>
  <si>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</si>
  <si>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</si>
  <si>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</si>
  <si>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</si>
  <si>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</si>
  <si>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</si>
  <si>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</si>
  <si>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</si>
  <si>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</si>
  <si>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</si>
  <si>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</si>
  <si>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</si>
  <si>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</si>
  <si>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</si>
  <si>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</si>
  <si>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</si>
  <si>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</si>
  <si>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</si>
  <si>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</si>
  <si>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</si>
  <si>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</si>
  <si>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</si>
  <si>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</si>
  <si>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</si>
  <si>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</si>
  <si>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</si>
  <si>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</si>
  <si>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</si>
  <si>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</si>
  <si>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</si>
  <si>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</si>
  <si>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</si>
  <si>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</si>
  <si>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</si>
  <si>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</si>
  <si>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</si>
  <si>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</si>
  <si>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</si>
  <si>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</si>
  <si>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</si>
  <si>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</si>
  <si>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</si>
  <si>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</si>
  <si>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</si>
  <si>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</si>
  <si>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</si>
  <si>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</si>
  <si>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</si>
  <si>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</si>
  <si>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</si>
  <si>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</si>
  <si>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</si>
  <si>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</si>
  <si>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</si>
  <si>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</si>
  <si>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</si>
  <si>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</si>
  <si>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</si>
  <si>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</si>
  <si>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</si>
  <si>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</si>
  <si>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</si>
  <si>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</si>
  <si>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</si>
  <si>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</si>
  <si>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</si>
  <si>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</si>
  <si>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</si>
  <si>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</si>
  <si>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</si>
  <si>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</si>
  <si>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</si>
  <si>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</si>
  <si>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</si>
  <si>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</si>
  <si>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</si>
  <si>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</si>
  <si>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</si>
  <si>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</si>
  <si>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</si>
  <si>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</si>
  <si>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</si>
  <si>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</si>
  <si>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</si>
  <si>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</si>
  <si>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</si>
  <si>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</si>
  <si>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</si>
  <si>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</si>
  <si>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</si>
  <si>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</si>
  <si>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</si>
  <si>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</si>
  <si>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</si>
  <si>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</si>
  <si>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</si>
  <si>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</si>
  <si>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</si>
  <si>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</si>
  <si>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</si>
  <si>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</si>
  <si>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</si>
  <si>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</si>
  <si>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</si>
  <si>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</si>
  <si>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</si>
  <si>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</si>
  <si>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</si>
  <si>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</si>
  <si>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</si>
  <si>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</si>
  <si>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</si>
  <si>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</si>
  <si>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</si>
  <si>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</si>
  <si>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</si>
  <si>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</si>
  <si>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</si>
  <si>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</si>
  <si>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</si>
  <si>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</si>
  <si>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</si>
  <si>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</si>
  <si>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</si>
  <si>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</si>
  <si>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</si>
  <si>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</si>
  <si>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</si>
  <si>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</si>
  <si>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</si>
  <si>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</si>
  <si>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</si>
  <si>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</si>
  <si>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KeyTronic¬†KT800P2 -¬†Keyboard¬†-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</si>
  <si>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</si>
  <si>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</si>
  <si>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</si>
  <si>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</si>
  <si>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</si>
  <si>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</si>
  <si>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</si>
  <si>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</si>
  <si>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</si>
  <si>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</si>
  <si>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</si>
  <si>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</si>
  <si>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</si>
  <si>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</si>
  <si>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</si>
  <si>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</si>
  <si>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</si>
  <si>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</si>
  <si>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</si>
  <si>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</si>
  <si>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</si>
  <si>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</si>
  <si>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</si>
  <si>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</si>
  <si>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</si>
  <si>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</si>
  <si>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</si>
  <si>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</si>
  <si>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</si>
  <si>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</si>
  <si>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</si>
  <si>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</si>
  <si>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</si>
  <si>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</si>
  <si>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</si>
  <si>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</si>
  <si>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</si>
  <si>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</si>
  <si>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</si>
  <si>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</si>
  <si>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</si>
  <si>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</si>
  <si>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</si>
  <si>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</si>
  <si>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</si>
  <si>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</si>
  <si>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</si>
  <si>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</si>
  <si>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</si>
  <si>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</si>
  <si>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</si>
  <si>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</si>
  <si>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</si>
  <si>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KeyTronic¬†KT400U2 -¬†Keyboard¬†-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</si>
  <si>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</si>
  <si>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</si>
  <si>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</si>
  <si>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</si>
  <si>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</si>
  <si>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</si>
  <si>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</si>
  <si>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</si>
  <si>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</si>
  <si>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</si>
  <si>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</si>
  <si>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</si>
  <si>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</si>
  <si>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</si>
  <si>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</si>
  <si>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</si>
  <si>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</si>
  <si>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</si>
  <si>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</si>
  <si>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</si>
  <si>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</si>
  <si>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</si>
  <si>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</si>
  <si>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</si>
  <si>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</si>
  <si>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</si>
  <si>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</si>
  <si>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</si>
  <si>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</si>
  <si>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</si>
  <si>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</si>
  <si>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</si>
  <si>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</si>
  <si>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</si>
  <si>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</si>
  <si>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</si>
  <si>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</si>
  <si>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</si>
  <si>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</si>
  <si>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</si>
  <si>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</si>
  <si>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</si>
  <si>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</si>
  <si>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</si>
  <si>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</si>
  <si>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</si>
  <si>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</si>
  <si>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</si>
  <si>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</si>
  <si>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</si>
  <si>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</si>
  <si>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</si>
  <si>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</si>
  <si>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</si>
  <si>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</si>
  <si>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</si>
  <si>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</si>
  <si>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</si>
  <si>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</si>
  <si>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</si>
  <si>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</si>
  <si>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</si>
  <si>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</si>
  <si>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</si>
  <si>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</si>
  <si>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</si>
  <si>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</si>
  <si>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</si>
  <si>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</si>
  <si>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</si>
  <si>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</si>
  <si>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</si>
  <si>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</si>
  <si>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</si>
  <si>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</si>
  <si>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</si>
  <si>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</si>
  <si>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</si>
  <si>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</si>
  <si>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</si>
  <si>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</si>
  <si>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</si>
  <si>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</si>
  <si>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</si>
  <si>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</si>
  <si>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</si>
  <si>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</si>
  <si>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</si>
  <si>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</si>
  <si>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</si>
  <si>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</si>
  <si>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</si>
  <si>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</si>
  <si>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</si>
  <si>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</si>
  <si>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</si>
  <si>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</si>
  <si>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</si>
  <si>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</si>
  <si>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</si>
  <si>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</si>
  <si>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</si>
  <si>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</si>
  <si>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</si>
  <si>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</si>
  <si>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</si>
  <si>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</si>
  <si>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</si>
  <si>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</si>
  <si>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</si>
  <si>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</si>
  <si>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</si>
  <si>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</si>
  <si>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</si>
  <si>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</si>
  <si>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</si>
  <si>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</si>
  <si>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</si>
  <si>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</si>
  <si>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</si>
  <si>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</si>
  <si>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</si>
  <si>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</si>
  <si>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</si>
  <si>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</si>
  <si>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</si>
  <si>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</si>
  <si>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</si>
  <si>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</si>
  <si>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</si>
  <si>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</si>
  <si>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</si>
  <si>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</si>
  <si>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</si>
  <si>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</si>
  <si>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</si>
  <si>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</si>
  <si>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</si>
  <si>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</si>
  <si>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</si>
  <si>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</si>
  <si>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</si>
  <si>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</si>
  <si>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</si>
  <si>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</si>
  <si>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</si>
  <si>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</si>
  <si>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</si>
  <si>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</si>
  <si>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</si>
  <si>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</si>
  <si>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</si>
  <si>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</si>
  <si>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</si>
  <si>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</si>
  <si>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</si>
  <si>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</si>
  <si>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</si>
  <si>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</si>
  <si>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</si>
  <si>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</si>
  <si>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</si>
  <si>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</si>
  <si>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</si>
  <si>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</si>
  <si>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</si>
  <si>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</si>
  <si>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</si>
  <si>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</si>
  <si>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</si>
  <si>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</si>
  <si>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</si>
  <si>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</si>
  <si>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</si>
  <si>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</si>
  <si>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</si>
  <si>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</si>
  <si>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</si>
  <si>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</si>
  <si>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</si>
  <si>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</si>
  <si>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</si>
  <si>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</si>
  <si>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</si>
  <si>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</si>
  <si>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</si>
  <si>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</si>
  <si>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</si>
  <si>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</si>
  <si>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</si>
  <si>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</si>
  <si>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</si>
  <si>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</si>
  <si>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</si>
  <si>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</si>
  <si>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</si>
  <si>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</si>
  <si>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</si>
  <si>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</si>
  <si>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</si>
  <si>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</si>
  <si>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</si>
  <si>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</si>
  <si>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</si>
  <si>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</si>
  <si>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</si>
  <si>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</si>
  <si>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</si>
  <si>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</si>
  <si>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</si>
  <si>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</si>
  <si>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</si>
  <si>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</si>
  <si>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</si>
  <si>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</si>
  <si>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</si>
  <si>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</si>
  <si>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</si>
  <si>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</si>
  <si>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</si>
  <si>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</si>
  <si>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</si>
  <si>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</si>
  <si>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</si>
  <si>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</si>
  <si>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</si>
  <si>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</si>
  <si>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</si>
  <si>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</si>
  <si>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</si>
  <si>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</si>
  <si>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</si>
  <si>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</si>
  <si>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</si>
  <si>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</si>
  <si>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</si>
  <si>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</si>
  <si>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</si>
  <si>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</si>
  <si>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</si>
  <si>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</si>
  <si>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</si>
  <si>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</si>
  <si>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</si>
  <si>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</si>
  <si>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</si>
  <si>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</si>
  <si>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</si>
  <si>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</si>
  <si>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</si>
  <si>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</si>
  <si>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</si>
  <si>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</si>
  <si>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</si>
  <si>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</si>
  <si>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</si>
  <si>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</si>
  <si>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</si>
  <si>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</si>
  <si>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</si>
  <si>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</si>
  <si>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</si>
  <si>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</si>
  <si>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</si>
  <si>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</si>
  <si>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</si>
  <si>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</si>
  <si>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</si>
  <si>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</si>
  <si>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</si>
  <si>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</si>
  <si>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</si>
  <si>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</si>
  <si>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</si>
  <si>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</si>
  <si>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</si>
  <si>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</si>
  <si>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</si>
  <si>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</si>
  <si>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</si>
  <si>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</si>
  <si>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</si>
  <si>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</si>
  <si>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</si>
  <si>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</si>
  <si>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</si>
  <si>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</si>
  <si>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</si>
  <si>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</si>
  <si>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</si>
  <si>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</si>
  <si>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</si>
  <si>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</si>
  <si>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</si>
  <si>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</si>
  <si>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</si>
  <si>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</si>
  <si>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</si>
  <si>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</si>
  <si>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</si>
  <si>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</si>
  <si>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</si>
  <si>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</si>
  <si>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</si>
  <si>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</si>
  <si>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</si>
  <si>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</si>
  <si>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</si>
  <si>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</si>
  <si>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</si>
  <si>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</si>
  <si>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</si>
  <si>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</si>
  <si>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</si>
  <si>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</si>
  <si>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</si>
  <si>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</si>
  <si>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</si>
  <si>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</si>
  <si>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</si>
  <si>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</si>
  <si>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</si>
  <si>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</si>
  <si>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</si>
  <si>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</si>
  <si>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</si>
  <si>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</si>
  <si>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</si>
  <si>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</si>
  <si>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</si>
  <si>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</si>
  <si>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</si>
  <si>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</si>
  <si>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</si>
  <si>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</si>
  <si>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</si>
  <si>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</si>
  <si>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</si>
  <si>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</si>
  <si>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</si>
  <si>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</si>
  <si>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</si>
  <si>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</si>
  <si>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</si>
  <si>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</si>
  <si>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</si>
  <si>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</si>
  <si>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</si>
  <si>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</si>
  <si>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</si>
  <si>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</si>
  <si>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</si>
  <si>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</si>
  <si>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</si>
  <si>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</si>
  <si>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</si>
  <si>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</si>
  <si>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</si>
  <si>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</si>
  <si>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</si>
  <si>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</si>
  <si>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</si>
  <si>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</si>
  <si>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</si>
  <si>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</si>
  <si>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</si>
  <si>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</si>
  <si>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</si>
  <si>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</si>
  <si>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</si>
  <si>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</si>
  <si>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</si>
  <si>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</si>
  <si>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</si>
  <si>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</si>
  <si>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</si>
  <si>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</si>
  <si>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</si>
  <si>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</si>
  <si>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</si>
  <si>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</si>
  <si>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</si>
  <si>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</si>
  <si>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</si>
  <si>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</si>
  <si>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</si>
  <si>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</si>
  <si>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</si>
  <si>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</si>
  <si>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</si>
  <si>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</si>
  <si>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</si>
  <si>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</si>
  <si>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</si>
  <si>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</si>
  <si>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</si>
  <si>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</si>
  <si>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</si>
  <si>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</si>
  <si>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</si>
  <si>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</si>
  <si>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</si>
  <si>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</si>
  <si>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</si>
  <si>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</si>
  <si>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</si>
  <si>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</si>
  <si>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</si>
  <si>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</si>
  <si>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</si>
  <si>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</si>
  <si>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</si>
  <si>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</si>
  <si>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</si>
  <si>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</si>
  <si>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</si>
  <si>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</si>
  <si>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</si>
  <si>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</si>
  <si>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</si>
  <si>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</si>
  <si>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</si>
  <si>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</si>
  <si>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</si>
  <si>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</si>
  <si>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</si>
  <si>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</si>
  <si>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</si>
  <si>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</si>
  <si>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</si>
  <si>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</si>
  <si>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</si>
  <si>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</si>
  <si>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</si>
  <si>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</si>
  <si>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</si>
  <si>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</si>
  <si>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</si>
  <si>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</si>
  <si>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</si>
  <si>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</si>
  <si>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</si>
  <si>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</si>
  <si>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</si>
  <si>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</si>
  <si>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</si>
  <si>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</si>
  <si>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</si>
  <si>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</si>
  <si>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</si>
  <si>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</si>
  <si>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</si>
  <si>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</si>
  <si>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</si>
  <si>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</si>
  <si>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</si>
  <si>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</si>
  <si>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</si>
  <si>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</si>
  <si>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</si>
  <si>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</si>
  <si>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</si>
  <si>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</si>
  <si>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</si>
  <si>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</si>
  <si>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</si>
  <si>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</si>
  <si>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</si>
  <si>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</si>
  <si>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</si>
  <si>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</si>
  <si>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</si>
  <si>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</si>
  <si>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</si>
  <si>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</si>
  <si>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</si>
  <si>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</si>
  <si>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</si>
  <si>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</si>
  <si>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</si>
  <si>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</si>
  <si>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</si>
  <si>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</si>
  <si>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</si>
  <si>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</si>
  <si>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</si>
  <si>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</si>
  <si>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</si>
  <si>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</si>
  <si>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</si>
  <si>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</si>
  <si>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</si>
  <si>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</si>
  <si>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</si>
  <si>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</si>
  <si>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</si>
  <si>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</si>
  <si>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</si>
  <si>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</si>
  <si>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</si>
  <si>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</si>
  <si>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</si>
  <si>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</si>
  <si>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</si>
  <si>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</si>
  <si>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</si>
  <si>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</si>
  <si>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</si>
  <si>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</si>
  <si>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</si>
  <si>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</si>
  <si>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</si>
  <si>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</si>
  <si>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</si>
  <si>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</si>
  <si>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</si>
  <si>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</si>
  <si>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</si>
  <si>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</si>
  <si>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</si>
  <si>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</si>
  <si>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</si>
  <si>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</si>
  <si>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</si>
  <si>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</si>
  <si>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</si>
  <si>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</si>
  <si>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</si>
  <si>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</si>
  <si>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</si>
  <si>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</si>
  <si>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</si>
  <si>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</si>
  <si>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</si>
  <si>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</si>
  <si>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</si>
  <si>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</si>
  <si>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</si>
  <si>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</si>
  <si>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</si>
  <si>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</si>
  <si>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</si>
  <si>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</si>
  <si>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</si>
  <si>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</si>
  <si>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</si>
  <si>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</si>
  <si>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</si>
  <si>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</si>
  <si>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</si>
  <si>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</si>
  <si>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</si>
  <si>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</si>
  <si>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</si>
  <si>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</si>
  <si>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</si>
  <si>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</si>
  <si>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</si>
  <si>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</si>
  <si>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</si>
  <si>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</si>
  <si>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</si>
  <si>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</si>
  <si>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</si>
  <si>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</si>
  <si>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</si>
  <si>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</si>
  <si>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</si>
  <si>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</si>
  <si>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</si>
  <si>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</si>
  <si>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</si>
  <si>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</si>
  <si>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</si>
  <si>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</si>
  <si>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</si>
  <si>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</si>
  <si>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</si>
  <si>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</si>
  <si>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</si>
  <si>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</si>
  <si>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</si>
  <si>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</si>
  <si>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</si>
  <si>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</si>
  <si>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</si>
  <si>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</si>
  <si>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</si>
  <si>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</si>
  <si>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</si>
  <si>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</si>
  <si>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</si>
  <si>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</si>
  <si>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</si>
  <si>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</si>
  <si>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</si>
  <si>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</si>
  <si>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</si>
  <si>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</si>
  <si>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</si>
  <si>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</si>
  <si>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</si>
  <si>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</si>
  <si>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</si>
  <si>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</si>
  <si>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</si>
  <si>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</si>
  <si>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</si>
  <si>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</si>
  <si>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</si>
  <si>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</si>
  <si>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</si>
  <si>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</si>
  <si>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</si>
  <si>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</si>
  <si>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</si>
  <si>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</si>
  <si>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</si>
  <si>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</si>
  <si>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</si>
  <si>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</si>
  <si>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</si>
  <si>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</si>
  <si>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</si>
  <si>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</si>
  <si>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</si>
  <si>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</si>
  <si>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</si>
  <si>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</si>
  <si>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</si>
  <si>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</si>
  <si>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</si>
  <si>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</si>
  <si>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</si>
  <si>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</si>
  <si>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</si>
  <si>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</si>
  <si>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</si>
  <si>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</si>
  <si>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</si>
  <si>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</si>
  <si>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</si>
  <si>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</si>
  <si>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</si>
  <si>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</si>
  <si>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</si>
  <si>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</si>
  <si>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</si>
  <si>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</si>
  <si>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</si>
  <si>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</si>
  <si>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</si>
  <si>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</si>
  <si>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</si>
  <si>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</si>
  <si>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</si>
  <si>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</si>
  <si>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</si>
  <si>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</si>
  <si>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</si>
  <si>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</si>
  <si>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</si>
  <si>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</si>
  <si>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</si>
  <si>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</si>
  <si>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</si>
  <si>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</si>
  <si>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</si>
  <si>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</si>
  <si>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</si>
  <si>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</si>
  <si>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</si>
  <si>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</si>
  <si>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</si>
  <si>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</si>
  <si>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</si>
  <si>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</si>
  <si>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</si>
  <si>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</si>
  <si>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</si>
  <si>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</si>
  <si>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</si>
  <si>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</si>
  <si>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</si>
  <si>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</si>
  <si>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</si>
  <si>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</si>
  <si>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</si>
  <si>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</si>
  <si>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</si>
  <si>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</si>
  <si>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</si>
  <si>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</si>
  <si>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</si>
  <si>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</si>
  <si>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</si>
  <si>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</si>
  <si>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</si>
  <si>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</si>
  <si>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</si>
  <si>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</si>
  <si>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</si>
  <si>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</si>
  <si>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</si>
  <si>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</si>
  <si>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Earpieces¬†Headset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</si>
  <si>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</si>
  <si>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</si>
  <si>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</si>
  <si>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</si>
  <si>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</si>
  <si>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</si>
  <si>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</si>
  <si>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</si>
  <si>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</si>
  <si>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</si>
  <si>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</si>
  <si>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</si>
  <si>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</si>
  <si>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</si>
  <si>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</si>
  <si>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</si>
  <si>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</si>
  <si>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</si>
  <si>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</si>
  <si>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</si>
  <si>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</si>
  <si>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</si>
  <si>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</si>
  <si>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</si>
  <si>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</si>
  <si>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</si>
  <si>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</si>
  <si>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</si>
  <si>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</si>
  <si>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</si>
  <si>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</si>
  <si>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</si>
  <si>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</si>
  <si>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</si>
  <si>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</si>
  <si>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</si>
  <si>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</si>
  <si>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</si>
  <si>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</si>
  <si>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</si>
  <si>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</si>
  <si>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</si>
  <si>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</si>
  <si>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</si>
  <si>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</si>
  <si>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</si>
  <si>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</si>
  <si>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</si>
  <si>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</si>
  <si>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</si>
  <si>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</si>
  <si>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</si>
  <si>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</si>
  <si>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</si>
  <si>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</si>
  <si>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</si>
  <si>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</si>
  <si>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</si>
  <si>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</si>
  <si>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</si>
  <si>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</si>
  <si>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</si>
  <si>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</si>
  <si>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</si>
  <si>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</si>
  <si>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</si>
  <si>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</si>
  <si>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</si>
  <si>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</si>
  <si>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</si>
  <si>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</si>
  <si>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</si>
  <si>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</si>
  <si>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</si>
  <si>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</si>
  <si>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</si>
  <si>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</si>
  <si>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</si>
  <si>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</si>
  <si>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</si>
  <si>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</si>
  <si>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</si>
  <si>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</si>
  <si>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</si>
  <si>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</si>
  <si>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</si>
  <si>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</si>
  <si>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</si>
  <si>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</si>
  <si>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</si>
  <si>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</si>
  <si>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</si>
  <si>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</si>
  <si>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</si>
  <si>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</si>
  <si>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</si>
  <si>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</si>
  <si>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</si>
  <si>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</si>
  <si>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</si>
  <si>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</si>
  <si>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</si>
  <si>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</si>
  <si>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</si>
  <si>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</si>
  <si>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</si>
  <si>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</si>
  <si>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</si>
  <si>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</si>
  <si>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</si>
  <si>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</si>
  <si>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</si>
  <si>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</si>
  <si>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</si>
  <si>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</si>
  <si>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</si>
  <si>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</si>
  <si>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</si>
  <si>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</si>
  <si>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</si>
  <si>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</si>
  <si>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</si>
  <si>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</si>
  <si>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</si>
  <si>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</si>
  <si>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</si>
  <si>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</si>
  <si>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</si>
  <si>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</si>
  <si>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</si>
  <si>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</si>
  <si>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</si>
  <si>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</si>
  <si>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</si>
  <si>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</si>
  <si>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</si>
  <si>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</si>
  <si>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</si>
  <si>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</si>
  <si>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</si>
  <si>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</si>
  <si>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</si>
  <si>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</si>
  <si>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</si>
  <si>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Conference¬†phone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</si>
  <si>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</si>
  <si>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</si>
  <si>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</si>
  <si>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</si>
  <si>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</si>
  <si>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</si>
  <si>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</si>
  <si>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</si>
  <si>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</si>
  <si>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</si>
  <si>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</si>
  <si>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</si>
  <si>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</si>
  <si>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</si>
  <si>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</si>
  <si>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</si>
  <si>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</si>
  <si>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</si>
  <si>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</si>
  <si>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</si>
  <si>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</si>
  <si>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</si>
  <si>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</si>
  <si>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</si>
  <si>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</si>
  <si>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</si>
  <si>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</si>
  <si>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</si>
  <si>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</si>
  <si>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</si>
  <si>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</si>
  <si>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</si>
  <si>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</si>
  <si>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</si>
  <si>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</si>
  <si>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</si>
  <si>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</si>
  <si>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</si>
  <si>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KeyTronic¬†E03601U1 -¬†Keyboard¬†- Beige</t>
  </si>
  <si>
    <t>TEC-AC-10000990</t>
  </si>
  <si>
    <t>Imation Bio 2GB USB¬†Flash Drive Imation¬†Corp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</si>
  <si>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</si>
  <si>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</si>
  <si>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</si>
  <si>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</si>
  <si>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</si>
  <si>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</si>
  <si>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</si>
  <si>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</si>
  <si>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</si>
  <si>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</si>
  <si>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</si>
  <si>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</si>
  <si>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</si>
  <si>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</si>
  <si>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</si>
  <si>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</si>
  <si>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</si>
  <si>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</si>
  <si>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</si>
  <si>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</si>
  <si>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</si>
  <si>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</si>
  <si>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</si>
  <si>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</si>
  <si>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</si>
  <si>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</si>
  <si>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</si>
  <si>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</si>
  <si>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</si>
  <si>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</si>
  <si>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</si>
  <si>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</si>
  <si>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</si>
  <si>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</si>
  <si>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</si>
  <si>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</si>
  <si>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</si>
  <si>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</si>
  <si>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</si>
  <si>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</si>
  <si>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</si>
  <si>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</si>
  <si>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</si>
  <si>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</si>
  <si>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</si>
  <si>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</si>
  <si>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</si>
  <si>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</si>
  <si>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</si>
  <si>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</si>
  <si>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</si>
  <si>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</si>
  <si>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</si>
  <si>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</si>
  <si>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</si>
  <si>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</si>
  <si>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</si>
  <si>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</si>
  <si>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</si>
  <si>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</si>
  <si>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</si>
  <si>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</si>
  <si>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</si>
  <si>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</si>
  <si>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</si>
  <si>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</si>
  <si>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</si>
  <si>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</si>
  <si>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</si>
  <si>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</si>
  <si>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</si>
  <si>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</si>
  <si>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</si>
  <si>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</si>
  <si>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</si>
  <si>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</si>
  <si>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</si>
  <si>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</si>
  <si>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</si>
  <si>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</si>
  <si>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</si>
  <si>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</si>
  <si>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</si>
  <si>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</si>
  <si>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</si>
  <si>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</si>
  <si>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</si>
  <si>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</si>
  <si>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</si>
  <si>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</si>
  <si>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</si>
  <si>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</si>
  <si>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</si>
  <si>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</si>
  <si>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</si>
  <si>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</si>
  <si>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</si>
  <si>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</si>
  <si>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</si>
  <si>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</si>
  <si>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</si>
  <si>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</si>
  <si>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</si>
  <si>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</si>
  <si>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</si>
  <si>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</si>
  <si>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</si>
  <si>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</si>
  <si>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</si>
  <si>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</si>
  <si>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</si>
  <si>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</si>
  <si>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</si>
  <si>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</si>
  <si>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</si>
  <si>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</si>
  <si>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</si>
  <si>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</si>
  <si>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</si>
  <si>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</si>
  <si>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</si>
  <si>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</si>
  <si>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</si>
  <si>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</si>
  <si>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</si>
  <si>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</si>
  <si>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</si>
  <si>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Imation¬†Swivel¬†Flash Drive¬†USB¬†flash drive¬†- 8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</si>
  <si>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</si>
  <si>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</si>
  <si>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</si>
  <si>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</si>
  <si>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</si>
  <si>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</si>
  <si>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</si>
  <si>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</si>
  <si>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</si>
  <si>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</si>
  <si>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</si>
  <si>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</si>
  <si>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</si>
  <si>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</si>
  <si>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</si>
  <si>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</si>
  <si>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</si>
  <si>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</si>
  <si>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</si>
  <si>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</si>
  <si>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</si>
  <si>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</si>
  <si>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</si>
  <si>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</si>
  <si>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</si>
  <si>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</si>
  <si>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</si>
  <si>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</si>
  <si>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</si>
  <si>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</si>
  <si>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</si>
  <si>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</si>
  <si>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</si>
  <si>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</si>
  <si>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</si>
  <si>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</si>
  <si>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</si>
  <si>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</si>
  <si>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</si>
  <si>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</si>
  <si>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</si>
  <si>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</si>
  <si>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</si>
  <si>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</si>
  <si>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</si>
  <si>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</si>
  <si>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</si>
  <si>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</si>
  <si>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</si>
  <si>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</si>
  <si>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</si>
  <si>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</si>
  <si>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</si>
  <si>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</si>
  <si>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</si>
  <si>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</si>
  <si>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</si>
  <si>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</si>
  <si>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</si>
  <si>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</si>
  <si>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</si>
  <si>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</si>
  <si>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</si>
  <si>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</si>
  <si>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</si>
  <si>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</si>
  <si>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</si>
  <si>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</si>
  <si>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</si>
  <si>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</si>
  <si>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</si>
  <si>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</si>
  <si>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</si>
  <si>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</si>
  <si>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</si>
  <si>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</si>
  <si>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</si>
  <si>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</si>
  <si>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</si>
  <si>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</si>
  <si>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</si>
  <si>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</si>
  <si>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</si>
  <si>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</si>
  <si>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</si>
  <si>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</si>
  <si>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</si>
  <si>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</si>
  <si>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</si>
  <si>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</si>
  <si>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</si>
  <si>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</si>
  <si>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</si>
  <si>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</si>
  <si>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</si>
  <si>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</si>
  <si>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</si>
  <si>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</si>
  <si>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</si>
  <si>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</si>
  <si>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</si>
  <si>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</si>
  <si>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</si>
  <si>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</si>
  <si>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</si>
  <si>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</si>
  <si>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</si>
  <si>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</si>
  <si>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</si>
  <si>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</si>
  <si>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</si>
  <si>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</si>
  <si>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</si>
  <si>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</si>
  <si>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</si>
  <si>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</si>
  <si>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</si>
  <si>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</si>
  <si>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</si>
  <si>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</si>
  <si>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</si>
  <si>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</si>
  <si>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</si>
  <si>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</si>
  <si>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</si>
  <si>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</si>
  <si>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</si>
  <si>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</si>
  <si>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</si>
  <si>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</si>
  <si>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</si>
  <si>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</si>
  <si>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</si>
  <si>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</si>
  <si>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</si>
  <si>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</si>
  <si>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</si>
  <si>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</si>
  <si>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</si>
  <si>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</si>
  <si>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</si>
  <si>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</si>
  <si>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</si>
  <si>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</si>
  <si>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</si>
  <si>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</si>
  <si>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</si>
  <si>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</si>
  <si>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</si>
  <si>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</si>
  <si>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</si>
  <si>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</si>
  <si>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</si>
  <si>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</si>
  <si>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</si>
  <si>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</si>
  <si>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</si>
  <si>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</si>
  <si>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</si>
  <si>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</si>
  <si>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</si>
  <si>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</si>
  <si>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</si>
  <si>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</si>
  <si>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</si>
  <si>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</si>
  <si>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</si>
  <si>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</si>
  <si>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</si>
  <si>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</si>
  <si>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</si>
  <si>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</si>
  <si>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</si>
  <si>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</si>
  <si>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</si>
  <si>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</si>
  <si>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</si>
  <si>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</si>
  <si>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</si>
  <si>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</si>
  <si>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</si>
  <si>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</si>
  <si>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</si>
  <si>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</si>
  <si>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</si>
  <si>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</si>
  <si>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</si>
  <si>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</si>
  <si>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</si>
  <si>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</si>
  <si>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</si>
  <si>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</si>
  <si>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</si>
  <si>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</si>
  <si>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</si>
  <si>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</si>
  <si>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</si>
  <si>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</si>
  <si>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</si>
  <si>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</si>
  <si>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</si>
  <si>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</si>
  <si>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</si>
  <si>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</si>
  <si>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</si>
  <si>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</si>
  <si>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</si>
  <si>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</si>
  <si>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</si>
  <si>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</si>
  <si>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</si>
  <si>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</si>
  <si>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</si>
  <si>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</si>
  <si>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</si>
  <si>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</si>
  <si>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</si>
  <si>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</si>
  <si>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</si>
  <si>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</si>
  <si>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</si>
  <si>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</si>
  <si>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</si>
  <si>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</si>
  <si>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</si>
  <si>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</si>
  <si>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</si>
  <si>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</si>
  <si>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</si>
  <si>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</si>
  <si>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</si>
  <si>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</si>
  <si>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</si>
  <si>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</si>
  <si>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</si>
  <si>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</si>
  <si>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</si>
  <si>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</si>
  <si>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</si>
  <si>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</si>
  <si>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</si>
  <si>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</si>
  <si>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</si>
  <si>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</si>
  <si>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</si>
  <si>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</si>
  <si>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</si>
  <si>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</si>
  <si>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</si>
  <si>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</si>
  <si>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</si>
  <si>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</si>
  <si>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</si>
  <si>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</si>
  <si>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</si>
  <si>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</si>
  <si>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</si>
  <si>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</si>
  <si>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</si>
  <si>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</si>
  <si>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</si>
  <si>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</si>
  <si>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</si>
  <si>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</si>
  <si>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</si>
  <si>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</si>
  <si>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</si>
  <si>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</si>
  <si>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</si>
  <si>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</si>
  <si>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</si>
  <si>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</si>
  <si>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</si>
  <si>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</si>
  <si>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</si>
  <si>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</si>
  <si>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</si>
  <si>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</si>
  <si>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</si>
  <si>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</si>
  <si>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</si>
  <si>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</si>
  <si>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</si>
  <si>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</si>
  <si>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</si>
  <si>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</si>
  <si>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</si>
  <si>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</si>
  <si>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</si>
  <si>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</si>
  <si>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</si>
  <si>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</si>
  <si>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</si>
  <si>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</si>
  <si>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</si>
  <si>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</si>
  <si>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</si>
  <si>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</si>
  <si>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</si>
  <si>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</si>
  <si>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</si>
  <si>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</si>
  <si>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</si>
  <si>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</si>
  <si>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</si>
  <si>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</si>
  <si>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</si>
  <si>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</si>
  <si>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</si>
  <si>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</si>
  <si>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</si>
  <si>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</si>
  <si>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</si>
  <si>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</si>
  <si>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</si>
  <si>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</si>
  <si>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</si>
  <si>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</si>
  <si>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</si>
  <si>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</si>
  <si>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</si>
  <si>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</si>
  <si>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</si>
  <si>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</si>
  <si>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</si>
  <si>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</si>
  <si>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</si>
  <si>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</si>
  <si>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</si>
  <si>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</si>
  <si>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</si>
  <si>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</si>
  <si>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</si>
  <si>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</si>
  <si>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</si>
  <si>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</si>
  <si>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</si>
  <si>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</si>
  <si>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</si>
  <si>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</si>
  <si>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</si>
  <si>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</si>
  <si>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</si>
  <si>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</si>
  <si>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</si>
  <si>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</si>
  <si>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</si>
  <si>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</si>
  <si>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IP¬†Phone¬†7961G VoIP¬†phone¬†-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</si>
  <si>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</si>
  <si>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</si>
  <si>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</si>
  <si>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</si>
  <si>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</si>
  <si>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</si>
  <si>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</si>
  <si>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</si>
  <si>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</si>
  <si>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</si>
  <si>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</si>
  <si>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</si>
  <si>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</si>
  <si>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</si>
  <si>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</si>
  <si>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</si>
  <si>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</si>
  <si>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</si>
  <si>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</si>
  <si>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</si>
  <si>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</si>
  <si>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</si>
  <si>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</si>
  <si>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</si>
  <si>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</si>
  <si>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</si>
  <si>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</si>
  <si>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</si>
  <si>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</si>
  <si>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</si>
  <si>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</si>
  <si>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</si>
  <si>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</si>
  <si>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</si>
  <si>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</si>
  <si>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</si>
  <si>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</si>
  <si>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</si>
  <si>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</si>
  <si>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</si>
  <si>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</si>
  <si>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</si>
  <si>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</si>
  <si>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</si>
  <si>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</si>
  <si>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</si>
  <si>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</si>
  <si>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</si>
  <si>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</si>
  <si>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</si>
  <si>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</si>
  <si>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</si>
  <si>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</si>
  <si>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</si>
  <si>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</si>
  <si>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</si>
  <si>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</si>
  <si>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</si>
  <si>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</si>
  <si>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</si>
  <si>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</si>
  <si>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</si>
  <si>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</si>
  <si>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</si>
  <si>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</si>
  <si>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</si>
  <si>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</si>
  <si>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</si>
  <si>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</si>
  <si>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</si>
  <si>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</si>
  <si>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</si>
  <si>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</si>
  <si>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</si>
  <si>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</si>
  <si>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</si>
  <si>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</si>
  <si>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</si>
  <si>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</si>
  <si>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</si>
  <si>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</si>
  <si>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</si>
  <si>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</si>
  <si>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</si>
  <si>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</si>
  <si>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</si>
  <si>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</si>
  <si>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</si>
  <si>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</si>
  <si>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</si>
  <si>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</si>
  <si>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</si>
  <si>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</si>
  <si>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</si>
  <si>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</si>
  <si>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</si>
  <si>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</si>
  <si>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</si>
  <si>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</si>
  <si>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</si>
  <si>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</si>
  <si>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</si>
  <si>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</si>
  <si>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</si>
  <si>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</si>
  <si>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</si>
  <si>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</si>
  <si>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</si>
  <si>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</si>
  <si>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</si>
  <si>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</si>
  <si>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</si>
  <si>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</si>
  <si>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</si>
  <si>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</si>
  <si>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</si>
  <si>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</si>
  <si>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</si>
  <si>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</si>
  <si>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</si>
  <si>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</si>
  <si>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</si>
  <si>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</si>
  <si>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</si>
  <si>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</si>
  <si>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</si>
  <si>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</si>
  <si>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</si>
  <si>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</si>
  <si>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</si>
  <si>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</si>
  <si>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</si>
  <si>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</si>
  <si>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</si>
  <si>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</si>
  <si>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</si>
  <si>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</si>
  <si>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</si>
  <si>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</si>
  <si>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</si>
  <si>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</si>
  <si>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</si>
  <si>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</si>
  <si>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</si>
  <si>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</si>
  <si>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</si>
  <si>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</si>
  <si>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</si>
  <si>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</si>
  <si>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</si>
  <si>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</si>
  <si>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</si>
  <si>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</si>
  <si>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</si>
  <si>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</si>
  <si>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</si>
  <si>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</si>
  <si>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</si>
  <si>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</si>
  <si>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</si>
  <si>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</si>
  <si>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</si>
  <si>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</si>
  <si>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</si>
  <si>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</si>
  <si>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</si>
  <si>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</si>
  <si>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</si>
  <si>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</si>
  <si>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</si>
  <si>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</si>
  <si>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</si>
  <si>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</si>
  <si>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</si>
  <si>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</si>
  <si>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</si>
  <si>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</si>
  <si>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</si>
  <si>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</si>
  <si>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</si>
  <si>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</si>
  <si>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</si>
  <si>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</si>
  <si>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</si>
  <si>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</si>
  <si>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</si>
  <si>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</si>
  <si>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</si>
  <si>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</si>
  <si>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</si>
  <si>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</si>
  <si>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</si>
  <si>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</si>
  <si>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</si>
  <si>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</si>
  <si>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</si>
  <si>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</si>
  <si>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</si>
  <si>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</si>
  <si>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</si>
  <si>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</si>
  <si>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</si>
  <si>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</si>
  <si>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</si>
  <si>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</si>
  <si>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</si>
  <si>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</si>
  <si>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</si>
  <si>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</si>
  <si>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</si>
  <si>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</si>
  <si>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</si>
  <si>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</si>
  <si>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</si>
  <si>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</si>
  <si>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</si>
  <si>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</si>
  <si>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</si>
  <si>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</si>
  <si>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</si>
  <si>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</si>
  <si>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</si>
  <si>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</si>
  <si>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</si>
  <si>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</si>
  <si>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</si>
  <si>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</si>
  <si>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</si>
  <si>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</si>
  <si>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</si>
  <si>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</si>
  <si>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</si>
  <si>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</si>
  <si>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</si>
  <si>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</si>
  <si>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</si>
  <si>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</si>
  <si>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</si>
  <si>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</si>
  <si>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</si>
  <si>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</si>
  <si>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</si>
  <si>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</si>
  <si>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</si>
  <si>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</si>
  <si>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</si>
  <si>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</si>
  <si>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</si>
  <si>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</si>
  <si>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</si>
  <si>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</si>
  <si>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</si>
  <si>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</si>
  <si>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</si>
  <si>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</si>
  <si>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</si>
  <si>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</si>
  <si>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</si>
  <si>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</si>
  <si>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</si>
  <si>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</si>
  <si>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</si>
  <si>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</si>
  <si>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</si>
  <si>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</si>
  <si>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</si>
  <si>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</si>
  <si>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</si>
  <si>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</si>
  <si>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</si>
  <si>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</si>
  <si>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</si>
  <si>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</si>
  <si>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</si>
  <si>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</si>
  <si>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</si>
  <si>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</si>
  <si>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</si>
  <si>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</si>
  <si>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</si>
  <si>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</si>
  <si>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</si>
  <si>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</si>
  <si>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</si>
  <si>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</si>
  <si>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</si>
  <si>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</si>
  <si>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</si>
  <si>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</si>
  <si>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</si>
  <si>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</si>
  <si>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</si>
  <si>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</si>
  <si>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</si>
  <si>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</si>
  <si>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</si>
  <si>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</si>
  <si>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</si>
  <si>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</si>
  <si>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</si>
  <si>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</si>
  <si>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</si>
  <si>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</si>
  <si>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</si>
  <si>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</si>
  <si>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</si>
  <si>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</si>
  <si>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</si>
  <si>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</si>
  <si>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</si>
  <si>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</si>
  <si>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</si>
  <si>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</si>
  <si>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</si>
  <si>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</si>
  <si>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</si>
  <si>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</si>
  <si>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</si>
  <si>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</si>
  <si>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</si>
  <si>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</si>
  <si>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</si>
  <si>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</si>
  <si>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</si>
  <si>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</si>
  <si>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</si>
  <si>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</si>
  <si>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</si>
  <si>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</si>
  <si>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</si>
  <si>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</si>
  <si>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</si>
  <si>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</si>
  <si>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</si>
  <si>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</si>
  <si>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</si>
  <si>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</si>
  <si>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</si>
  <si>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</si>
  <si>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</si>
  <si>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</si>
  <si>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</si>
  <si>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</si>
  <si>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</si>
  <si>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</si>
  <si>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</si>
  <si>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</si>
  <si>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</si>
  <si>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</si>
  <si>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</si>
  <si>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</si>
  <si>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</si>
  <si>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</si>
  <si>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</si>
  <si>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</si>
  <si>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</si>
  <si>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</si>
  <si>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</si>
  <si>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</si>
  <si>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</si>
  <si>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</si>
  <si>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</si>
  <si>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</si>
  <si>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</si>
  <si>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</si>
  <si>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</si>
  <si>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</si>
  <si>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</si>
  <si>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</si>
  <si>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</si>
  <si>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</si>
  <si>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</si>
  <si>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</si>
  <si>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</si>
  <si>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</si>
  <si>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</si>
  <si>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</si>
  <si>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</si>
  <si>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</si>
  <si>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</si>
  <si>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</si>
  <si>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</si>
  <si>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</si>
  <si>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</si>
  <si>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</si>
  <si>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</si>
  <si>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</si>
  <si>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</si>
  <si>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</si>
  <si>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</si>
  <si>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</si>
  <si>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</si>
  <si>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</si>
  <si>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</si>
  <si>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</si>
  <si>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SMPS-640 -¬†speaker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</si>
  <si>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</si>
  <si>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</si>
  <si>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</si>
  <si>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</si>
  <si>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</si>
  <si>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</si>
  <si>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</si>
  <si>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</si>
  <si>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</si>
  <si>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</si>
  <si>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</si>
  <si>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</si>
  <si>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</si>
  <si>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</si>
  <si>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</si>
  <si>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</si>
  <si>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</si>
  <si>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</si>
  <si>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</si>
  <si>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</si>
  <si>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</si>
  <si>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</si>
  <si>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</si>
  <si>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</si>
  <si>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</si>
  <si>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</si>
  <si>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</si>
  <si>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</si>
  <si>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</si>
  <si>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</si>
  <si>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</si>
  <si>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</si>
  <si>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</si>
  <si>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</si>
  <si>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</si>
  <si>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</si>
  <si>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</si>
  <si>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</si>
  <si>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</si>
  <si>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</si>
  <si>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</si>
  <si>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</si>
  <si>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</si>
  <si>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</si>
  <si>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</si>
  <si>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</si>
  <si>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</si>
  <si>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</si>
  <si>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</si>
  <si>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</si>
  <si>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</si>
  <si>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</si>
  <si>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</si>
  <si>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</si>
  <si>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</si>
  <si>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</si>
  <si>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</si>
  <si>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</si>
  <si>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</si>
  <si>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</si>
  <si>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</si>
  <si>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</si>
  <si>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</si>
  <si>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</si>
  <si>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</si>
  <si>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</si>
  <si>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</si>
  <si>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</si>
  <si>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</si>
  <si>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</si>
  <si>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</si>
  <si>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</si>
  <si>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</si>
  <si>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</si>
  <si>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</si>
  <si>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</si>
  <si>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</si>
  <si>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</si>
  <si>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</si>
  <si>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</si>
  <si>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</si>
  <si>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</si>
  <si>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</si>
  <si>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</si>
  <si>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</si>
  <si>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</si>
  <si>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</si>
  <si>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</si>
  <si>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</si>
  <si>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</si>
  <si>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</si>
  <si>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Imation¬†30456 USB¬†Flash Drive¬†8GB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</si>
  <si>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</si>
  <si>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</si>
  <si>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</si>
  <si>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</si>
  <si>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</si>
  <si>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</si>
  <si>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</si>
  <si>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</si>
  <si>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</si>
  <si>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</si>
  <si>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</si>
  <si>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</si>
  <si>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</si>
  <si>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</si>
  <si>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</si>
  <si>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</si>
  <si>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</si>
  <si>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</si>
  <si>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</si>
  <si>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</si>
  <si>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</si>
  <si>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</si>
  <si>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</si>
  <si>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</si>
  <si>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</si>
  <si>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</si>
  <si>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</si>
  <si>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</si>
  <si>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</si>
  <si>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</si>
  <si>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</si>
  <si>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</si>
  <si>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</si>
  <si>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</si>
  <si>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</si>
  <si>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</si>
  <si>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</si>
  <si>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</si>
  <si>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</si>
  <si>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</si>
  <si>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</si>
  <si>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</si>
  <si>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</si>
  <si>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</si>
  <si>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</si>
  <si>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</si>
  <si>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</si>
  <si>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</si>
  <si>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</si>
  <si>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</si>
  <si>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</si>
  <si>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</si>
  <si>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</si>
  <si>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</si>
  <si>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</si>
  <si>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</si>
  <si>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</si>
  <si>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</si>
  <si>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</si>
  <si>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</si>
  <si>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</si>
  <si>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</si>
  <si>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</si>
  <si>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</si>
  <si>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</si>
  <si>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</si>
  <si>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</si>
  <si>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</si>
  <si>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</si>
  <si>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</si>
  <si>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</si>
  <si>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</si>
  <si>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</si>
  <si>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</si>
  <si>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</si>
  <si>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</si>
  <si>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</si>
  <si>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</si>
  <si>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</si>
  <si>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</si>
  <si>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</si>
  <si>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</si>
  <si>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</si>
  <si>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</si>
  <si>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</si>
  <si>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</si>
  <si>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</si>
  <si>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</si>
  <si>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</si>
  <si>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</si>
  <si>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</si>
  <si>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</si>
  <si>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</si>
  <si>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</si>
  <si>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</si>
  <si>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</si>
  <si>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</si>
  <si>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</si>
  <si>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</si>
  <si>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</si>
  <si>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</si>
  <si>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</si>
  <si>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</si>
  <si>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</si>
  <si>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</si>
  <si>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</si>
  <si>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</si>
  <si>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</si>
  <si>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</si>
  <si>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</si>
  <si>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</si>
  <si>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</si>
  <si>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</si>
  <si>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</si>
  <si>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</si>
  <si>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</si>
  <si>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</si>
  <si>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</si>
  <si>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</si>
  <si>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</si>
  <si>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</si>
  <si>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</si>
  <si>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</si>
  <si>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</si>
  <si>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</si>
  <si>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</si>
  <si>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</si>
  <si>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</si>
  <si>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</si>
  <si>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</si>
  <si>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</si>
  <si>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</si>
  <si>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</si>
  <si>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</si>
  <si>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</si>
  <si>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</si>
  <si>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</si>
  <si>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</si>
  <si>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</si>
  <si>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</si>
  <si>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</si>
  <si>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</si>
  <si>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</si>
  <si>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</si>
  <si>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</si>
  <si>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</si>
  <si>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</si>
  <si>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</si>
  <si>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</si>
  <si>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</si>
  <si>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</si>
  <si>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</si>
  <si>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</si>
  <si>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</si>
  <si>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</si>
  <si>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</si>
  <si>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</si>
  <si>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</si>
  <si>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</si>
  <si>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</si>
  <si>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</si>
  <si>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</si>
  <si>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</si>
  <si>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</si>
  <si>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</si>
  <si>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</si>
  <si>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</si>
  <si>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</si>
  <si>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</si>
  <si>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</si>
  <si>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</si>
  <si>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</si>
  <si>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</si>
  <si>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</si>
  <si>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</si>
  <si>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</si>
  <si>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</si>
  <si>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</si>
  <si>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</si>
  <si>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</si>
  <si>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</si>
  <si>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</si>
  <si>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</si>
  <si>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</si>
  <si>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</si>
  <si>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</si>
  <si>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</si>
  <si>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</si>
  <si>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</si>
  <si>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</si>
  <si>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</si>
  <si>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</si>
  <si>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</si>
  <si>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</si>
  <si>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</si>
  <si>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</si>
  <si>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</si>
  <si>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</si>
  <si>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</si>
  <si>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</si>
  <si>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</si>
  <si>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</si>
  <si>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</si>
  <si>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</si>
  <si>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</si>
  <si>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</si>
  <si>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</si>
  <si>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</si>
  <si>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</si>
  <si>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</si>
  <si>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</si>
  <si>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</si>
  <si>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</si>
  <si>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</si>
  <si>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</si>
  <si>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</si>
  <si>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</si>
  <si>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</si>
  <si>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</si>
  <si>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</si>
  <si>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</si>
  <si>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</si>
  <si>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</si>
  <si>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</si>
  <si>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</si>
  <si>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</si>
  <si>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</si>
  <si>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</si>
  <si>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</si>
  <si>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</si>
  <si>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</si>
  <si>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</si>
  <si>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</si>
  <si>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</si>
  <si>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</si>
  <si>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</si>
  <si>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</si>
  <si>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</si>
  <si>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</si>
  <si>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</si>
  <si>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</si>
  <si>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</si>
  <si>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</si>
  <si>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</si>
  <si>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</si>
  <si>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</si>
  <si>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</si>
  <si>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</si>
  <si>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</si>
  <si>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</si>
  <si>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</si>
  <si>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</si>
  <si>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</si>
  <si>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</si>
  <si>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</si>
  <si>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</si>
  <si>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</si>
  <si>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</si>
  <si>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</si>
  <si>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</si>
  <si>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</si>
  <si>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</si>
  <si>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</si>
  <si>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</si>
  <si>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</si>
  <si>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</si>
  <si>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</si>
  <si>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</si>
  <si>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</si>
  <si>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</si>
  <si>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</si>
  <si>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</si>
  <si>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</si>
  <si>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</si>
  <si>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</si>
  <si>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</si>
  <si>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</si>
  <si>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</si>
  <si>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</si>
  <si>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</si>
  <si>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</si>
  <si>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</si>
  <si>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</si>
  <si>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</si>
  <si>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</si>
  <si>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</si>
  <si>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</si>
  <si>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</si>
  <si>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</si>
  <si>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</si>
  <si>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</si>
  <si>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</si>
  <si>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</si>
  <si>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</si>
  <si>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</si>
  <si>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</si>
  <si>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</si>
  <si>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</si>
  <si>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</si>
  <si>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</si>
  <si>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Im√†ge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</si>
  <si>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</si>
  <si>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</si>
  <si>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</si>
  <si>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</si>
  <si>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</si>
  <si>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</si>
  <si>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</si>
  <si>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</si>
  <si>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</si>
  <si>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</si>
  <si>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</si>
  <si>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</si>
  <si>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</si>
  <si>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</si>
  <si>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</si>
  <si>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</si>
  <si>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</si>
  <si>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</si>
  <si>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</si>
  <si>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</si>
  <si>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</si>
  <si>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</si>
  <si>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</si>
  <si>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</si>
  <si>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</si>
  <si>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</si>
  <si>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</si>
  <si>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</si>
  <si>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</si>
  <si>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</si>
  <si>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</si>
  <si>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</si>
  <si>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</si>
  <si>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</si>
  <si>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</si>
  <si>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</si>
  <si>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</si>
  <si>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</si>
  <si>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</si>
  <si>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</si>
  <si>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</si>
  <si>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</si>
  <si>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</si>
  <si>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</si>
  <si>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</si>
  <si>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</si>
  <si>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</si>
  <si>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</si>
  <si>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</si>
  <si>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</si>
  <si>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</si>
  <si>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</si>
  <si>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</si>
  <si>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</si>
  <si>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</si>
  <si>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</si>
  <si>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</si>
  <si>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</si>
  <si>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</si>
  <si>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</si>
  <si>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</si>
  <si>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</si>
  <si>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</si>
  <si>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</si>
  <si>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</si>
  <si>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</si>
  <si>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</si>
  <si>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</si>
  <si>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</si>
  <si>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</si>
  <si>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</si>
  <si>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</si>
  <si>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</si>
  <si>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</si>
  <si>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</si>
  <si>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</si>
  <si>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</si>
  <si>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</si>
  <si>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</si>
  <si>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</si>
  <si>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</si>
  <si>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</si>
  <si>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</si>
  <si>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</si>
  <si>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</si>
  <si>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</si>
  <si>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</si>
  <si>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</si>
  <si>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</si>
  <si>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</si>
  <si>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</si>
  <si>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</si>
  <si>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</si>
  <si>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</si>
  <si>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</si>
  <si>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</si>
  <si>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</si>
  <si>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</si>
  <si>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</si>
  <si>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</si>
  <si>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</si>
  <si>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</si>
  <si>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</si>
  <si>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</si>
  <si>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</si>
  <si>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</si>
  <si>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</si>
  <si>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</si>
  <si>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</si>
  <si>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</si>
  <si>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</si>
  <si>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</si>
  <si>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</si>
  <si>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</si>
  <si>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</si>
  <si>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</si>
  <si>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</si>
  <si>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</si>
  <si>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</si>
  <si>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</si>
  <si>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</si>
  <si>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</si>
  <si>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</si>
  <si>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</si>
  <si>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</si>
  <si>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</si>
  <si>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</si>
  <si>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</si>
  <si>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</si>
  <si>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</si>
  <si>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</si>
  <si>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</si>
  <si>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</si>
  <si>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</si>
  <si>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</si>
  <si>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</si>
  <si>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</si>
  <si>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</si>
  <si>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</si>
  <si>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</si>
  <si>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</si>
  <si>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</si>
  <si>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</si>
  <si>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</si>
  <si>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</si>
  <si>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</si>
  <si>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</si>
  <si>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</si>
  <si>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</si>
  <si>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</si>
  <si>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</si>
  <si>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</si>
  <si>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</si>
  <si>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</si>
  <si>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</si>
  <si>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</si>
  <si>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</si>
  <si>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</si>
  <si>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</si>
  <si>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</si>
  <si>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</si>
  <si>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</si>
  <si>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</si>
  <si>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</si>
  <si>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</si>
  <si>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</si>
  <si>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</si>
  <si>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</si>
  <si>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</si>
  <si>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</si>
  <si>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</si>
  <si>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</si>
  <si>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</si>
  <si>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</si>
  <si>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</si>
  <si>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</si>
  <si>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</si>
  <si>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</si>
  <si>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</si>
  <si>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</si>
  <si>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</si>
  <si>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</si>
  <si>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</si>
  <si>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</si>
  <si>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</si>
  <si>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</si>
  <si>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</si>
  <si>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</si>
  <si>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</si>
  <si>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</si>
  <si>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</si>
  <si>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</si>
  <si>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</si>
  <si>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</si>
  <si>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</si>
  <si>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</si>
  <si>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</si>
  <si>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</si>
  <si>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</si>
  <si>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‚ÄúWhile You Were Out‚Äù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</si>
  <si>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</si>
  <si>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</si>
  <si>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</si>
  <si>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</si>
  <si>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</si>
  <si>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</si>
  <si>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</si>
  <si>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</si>
  <si>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</si>
  <si>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</si>
  <si>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</si>
  <si>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</si>
  <si>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</si>
  <si>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</si>
  <si>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</si>
  <si>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</si>
  <si>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</si>
  <si>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</si>
  <si>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Logitech¬†Z-906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</si>
  <si>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</si>
  <si>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</si>
  <si>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</si>
  <si>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</si>
  <si>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</si>
  <si>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</si>
  <si>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</si>
  <si>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</si>
  <si>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</si>
  <si>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</si>
  <si>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</si>
  <si>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</si>
  <si>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</si>
  <si>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</si>
  <si>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</si>
  <si>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</si>
  <si>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</si>
  <si>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</si>
  <si>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</si>
  <si>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</si>
  <si>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</si>
  <si>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</si>
  <si>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</si>
  <si>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</si>
  <si>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</si>
  <si>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</si>
  <si>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</si>
  <si>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</si>
  <si>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</si>
  <si>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</si>
  <si>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</si>
  <si>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</si>
  <si>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</si>
  <si>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</si>
  <si>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</si>
  <si>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</si>
  <si>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</si>
  <si>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</si>
  <si>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</si>
  <si>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</si>
  <si>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</si>
  <si>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</si>
  <si>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</si>
  <si>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</si>
  <si>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</si>
  <si>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</si>
  <si>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</si>
  <si>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</si>
  <si>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</si>
  <si>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</si>
  <si>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</si>
  <si>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</si>
  <si>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</si>
  <si>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</si>
  <si>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</si>
  <si>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</si>
  <si>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</si>
  <si>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</si>
  <si>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</si>
  <si>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</si>
  <si>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</si>
  <si>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</si>
  <si>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</si>
  <si>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</si>
  <si>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</si>
  <si>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</si>
  <si>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</si>
  <si>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</si>
  <si>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</si>
  <si>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</si>
  <si>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</si>
  <si>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</si>
  <si>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</si>
  <si>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</si>
  <si>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</si>
  <si>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</si>
  <si>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</si>
  <si>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</si>
  <si>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</si>
  <si>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</si>
  <si>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</si>
  <si>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</si>
  <si>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</si>
  <si>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</si>
  <si>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</si>
  <si>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</si>
  <si>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</si>
  <si>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</si>
  <si>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</si>
  <si>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</si>
  <si>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</si>
  <si>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</si>
  <si>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</si>
  <si>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</si>
  <si>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</si>
  <si>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</si>
  <si>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</si>
  <si>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</si>
  <si>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</si>
  <si>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</si>
  <si>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</si>
  <si>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</si>
  <si>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</si>
  <si>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</si>
  <si>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</si>
  <si>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</si>
  <si>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</si>
  <si>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</si>
  <si>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</si>
  <si>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</si>
  <si>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</si>
  <si>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</si>
  <si>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</si>
  <si>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</si>
  <si>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</si>
  <si>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Business¬†Telephones¬†KX-T7736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</si>
  <si>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</si>
  <si>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</si>
  <si>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</si>
  <si>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</si>
  <si>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</si>
  <si>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</si>
  <si>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</si>
  <si>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</si>
  <si>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</si>
  <si>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</si>
  <si>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</si>
  <si>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</si>
  <si>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</si>
  <si>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</si>
  <si>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</si>
  <si>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</si>
  <si>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</si>
  <si>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</si>
  <si>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</si>
  <si>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</si>
  <si>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</si>
  <si>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</si>
  <si>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</si>
  <si>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</si>
  <si>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</si>
  <si>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</si>
  <si>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</si>
  <si>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</si>
  <si>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</si>
  <si>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</si>
  <si>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</si>
  <si>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</si>
  <si>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</si>
  <si>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</si>
  <si>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</si>
  <si>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</si>
  <si>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</si>
  <si>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</si>
  <si>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</si>
  <si>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</si>
  <si>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</si>
  <si>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</si>
  <si>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</si>
  <si>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</si>
  <si>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</si>
  <si>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</si>
  <si>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</si>
  <si>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</si>
  <si>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</si>
  <si>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</si>
  <si>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</si>
  <si>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</si>
  <si>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</si>
  <si>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</si>
  <si>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</si>
  <si>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</si>
  <si>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</si>
  <si>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</si>
  <si>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</si>
  <si>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</si>
  <si>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</si>
  <si>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</si>
  <si>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</si>
  <si>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</si>
  <si>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</si>
  <si>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</si>
  <si>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</si>
  <si>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</si>
  <si>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</si>
  <si>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</si>
  <si>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</si>
  <si>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</si>
  <si>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</si>
  <si>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</si>
  <si>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</si>
  <si>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</si>
  <si>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</si>
  <si>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</si>
  <si>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</si>
  <si>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</si>
  <si>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</si>
  <si>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</si>
  <si>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</si>
  <si>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</si>
  <si>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</si>
  <si>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</si>
  <si>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</si>
  <si>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</si>
  <si>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</si>
  <si>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</si>
  <si>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</si>
  <si>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</si>
  <si>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</si>
  <si>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</si>
  <si>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</si>
  <si>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</si>
  <si>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</si>
  <si>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</si>
  <si>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</si>
  <si>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</si>
  <si>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</si>
  <si>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</si>
  <si>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</si>
  <si>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</si>
  <si>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</si>
  <si>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</si>
  <si>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</si>
  <si>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</si>
  <si>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</si>
  <si>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</si>
  <si>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</si>
  <si>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</si>
  <si>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</si>
  <si>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</si>
  <si>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</si>
  <si>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</si>
  <si>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</si>
  <si>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</si>
  <si>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</si>
  <si>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</si>
  <si>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</si>
  <si>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</si>
  <si>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</si>
  <si>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</si>
  <si>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</si>
  <si>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</si>
  <si>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</si>
  <si>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</si>
  <si>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</si>
  <si>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</si>
  <si>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</si>
  <si>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</si>
  <si>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</si>
  <si>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</si>
  <si>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</si>
  <si>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</si>
  <si>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</si>
  <si>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</si>
  <si>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</si>
  <si>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</si>
  <si>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</si>
  <si>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</si>
  <si>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</si>
  <si>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</si>
  <si>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</si>
  <si>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</si>
  <si>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</si>
  <si>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</si>
  <si>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</si>
  <si>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</si>
  <si>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</si>
  <si>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</si>
  <si>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</si>
  <si>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</si>
  <si>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</si>
  <si>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</si>
  <si>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</si>
  <si>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</si>
  <si>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</si>
  <si>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</si>
  <si>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</si>
  <si>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</si>
  <si>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</si>
  <si>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</si>
  <si>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</si>
  <si>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</si>
  <si>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</si>
  <si>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</si>
  <si>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</si>
  <si>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</si>
  <si>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</si>
  <si>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</si>
  <si>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</si>
  <si>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</si>
  <si>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</si>
  <si>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</si>
  <si>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</si>
  <si>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</si>
  <si>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</si>
  <si>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</si>
  <si>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</si>
  <si>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</si>
  <si>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</si>
  <si>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</si>
  <si>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</si>
  <si>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</si>
  <si>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</si>
  <si>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</si>
  <si>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</si>
  <si>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</si>
  <si>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</si>
  <si>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</si>
  <si>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</si>
  <si>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</si>
  <si>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</si>
  <si>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</si>
  <si>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</si>
  <si>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</si>
  <si>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</si>
  <si>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</si>
  <si>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</si>
  <si>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</si>
  <si>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</si>
  <si>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</si>
  <si>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</si>
  <si>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</si>
  <si>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</si>
  <si>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</si>
  <si>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</si>
  <si>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</si>
  <si>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</si>
  <si>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</si>
  <si>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</si>
  <si>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</si>
  <si>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</si>
  <si>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</si>
  <si>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</si>
  <si>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</si>
  <si>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</si>
  <si>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</si>
  <si>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</si>
  <si>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</si>
  <si>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</si>
  <si>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</si>
  <si>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</si>
  <si>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</si>
  <si>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</si>
  <si>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</si>
  <si>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</si>
  <si>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</si>
  <si>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</si>
  <si>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</si>
  <si>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</si>
  <si>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</si>
  <si>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</si>
  <si>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</si>
  <si>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</si>
  <si>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</si>
  <si>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</si>
  <si>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</si>
  <si>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</si>
  <si>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</si>
  <si>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</si>
  <si>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</si>
  <si>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</si>
  <si>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</si>
  <si>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</si>
  <si>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</si>
  <si>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</si>
  <si>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</si>
  <si>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</si>
  <si>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</si>
  <si>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</si>
  <si>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</si>
  <si>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</si>
  <si>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</si>
  <si>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</si>
  <si>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</si>
  <si>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</si>
  <si>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</si>
  <si>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</si>
  <si>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</si>
  <si>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</si>
  <si>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</si>
  <si>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</si>
  <si>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</si>
  <si>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</si>
  <si>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</si>
  <si>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</si>
  <si>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</si>
  <si>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</si>
  <si>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</si>
  <si>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</si>
  <si>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</si>
  <si>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</si>
  <si>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</si>
  <si>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</si>
  <si>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</si>
  <si>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</si>
  <si>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</si>
  <si>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</si>
  <si>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</si>
  <si>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</si>
  <si>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</si>
  <si>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</si>
  <si>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</si>
  <si>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</si>
  <si>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</si>
  <si>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</si>
  <si>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</si>
  <si>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</si>
  <si>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</si>
  <si>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</si>
  <si>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</si>
  <si>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</si>
  <si>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</si>
  <si>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</si>
  <si>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</si>
  <si>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</si>
  <si>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</si>
  <si>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</si>
  <si>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</si>
  <si>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</si>
  <si>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</si>
  <si>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</si>
  <si>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</si>
  <si>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</si>
  <si>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</si>
  <si>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</si>
  <si>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</si>
  <si>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</si>
  <si>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</si>
  <si>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</si>
  <si>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</si>
  <si>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</si>
  <si>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</si>
  <si>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</si>
  <si>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</si>
  <si>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</si>
  <si>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</si>
  <si>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</si>
  <si>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Logitech¬†Wireless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</si>
  <si>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</si>
  <si>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</si>
  <si>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</si>
  <si>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</si>
  <si>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</si>
  <si>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</si>
  <si>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</si>
  <si>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</si>
  <si>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</si>
  <si>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</si>
  <si>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</si>
  <si>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</si>
  <si>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</si>
  <si>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</si>
  <si>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</si>
  <si>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</si>
  <si>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</si>
  <si>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</si>
  <si>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</si>
  <si>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</si>
  <si>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</si>
  <si>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</si>
  <si>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</si>
  <si>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</si>
  <si>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</si>
  <si>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</si>
  <si>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</si>
  <si>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</si>
  <si>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</si>
  <si>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</si>
  <si>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</si>
  <si>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</si>
  <si>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</si>
  <si>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</si>
  <si>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</si>
  <si>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</si>
  <si>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</si>
  <si>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</si>
  <si>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</si>
  <si>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</si>
  <si>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</si>
  <si>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</si>
  <si>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</si>
  <si>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</si>
  <si>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</si>
  <si>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</si>
  <si>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</si>
  <si>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</si>
  <si>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</si>
  <si>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</si>
  <si>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</si>
  <si>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</si>
  <si>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</si>
  <si>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</si>
  <si>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</si>
  <si>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</si>
  <si>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</si>
  <si>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</si>
  <si>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</si>
  <si>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</si>
  <si>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</si>
  <si>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</si>
  <si>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</si>
  <si>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</si>
  <si>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</si>
  <si>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</si>
  <si>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</si>
  <si>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</si>
  <si>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</si>
  <si>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</si>
  <si>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</si>
  <si>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</si>
  <si>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</si>
  <si>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</si>
  <si>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</si>
  <si>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</si>
  <si>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</si>
  <si>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</si>
  <si>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</si>
  <si>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</si>
  <si>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</si>
  <si>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</si>
  <si>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</si>
  <si>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</si>
  <si>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</si>
  <si>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</si>
  <si>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</si>
  <si>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</si>
  <si>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</si>
  <si>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</si>
  <si>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</si>
  <si>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</si>
  <si>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</si>
  <si>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</si>
  <si>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</si>
  <si>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</si>
  <si>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</si>
  <si>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</si>
  <si>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</si>
  <si>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</si>
  <si>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</si>
  <si>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</si>
  <si>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</si>
  <si>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</si>
  <si>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</si>
  <si>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</si>
  <si>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</si>
  <si>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</si>
  <si>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</si>
  <si>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</si>
  <si>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</si>
  <si>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</si>
  <si>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</si>
  <si>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</si>
  <si>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</si>
  <si>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</si>
  <si>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</si>
  <si>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</si>
  <si>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</si>
  <si>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</si>
  <si>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</si>
  <si>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</si>
  <si>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</si>
  <si>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</si>
  <si>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</si>
  <si>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</si>
  <si>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</si>
  <si>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</si>
  <si>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</si>
  <si>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</si>
  <si>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</si>
  <si>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</si>
  <si>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</si>
  <si>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</si>
  <si>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</si>
  <si>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</si>
  <si>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</si>
  <si>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</si>
  <si>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</si>
  <si>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</si>
  <si>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</si>
  <si>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</si>
  <si>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</si>
  <si>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</si>
  <si>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</si>
  <si>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</si>
  <si>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</si>
  <si>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</si>
  <si>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</si>
  <si>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</si>
  <si>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</si>
  <si>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</si>
  <si>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</si>
  <si>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</si>
  <si>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</si>
  <si>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</si>
  <si>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</si>
  <si>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</si>
  <si>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</si>
  <si>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</si>
  <si>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</si>
  <si>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</si>
  <si>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</si>
  <si>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</si>
  <si>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</si>
  <si>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</si>
  <si>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</si>
  <si>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</si>
  <si>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</si>
  <si>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</si>
  <si>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</si>
  <si>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</si>
  <si>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</si>
  <si>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</si>
  <si>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</si>
  <si>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</si>
  <si>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</si>
  <si>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</si>
  <si>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</si>
  <si>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</si>
  <si>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</si>
  <si>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</si>
  <si>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</si>
  <si>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</si>
  <si>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</si>
  <si>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</si>
  <si>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</si>
  <si>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</si>
  <si>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</si>
  <si>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</si>
  <si>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</si>
  <si>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</si>
  <si>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</si>
  <si>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</si>
  <si>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</si>
  <si>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</si>
  <si>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</si>
  <si>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</si>
  <si>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</si>
  <si>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</si>
  <si>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</si>
  <si>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</si>
  <si>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</si>
  <si>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</si>
  <si>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</si>
  <si>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</si>
  <si>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</si>
  <si>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</si>
  <si>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</si>
  <si>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</si>
  <si>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</si>
  <si>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</si>
  <si>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</si>
  <si>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</si>
  <si>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</si>
  <si>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</si>
  <si>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</si>
  <si>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</si>
  <si>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</si>
  <si>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</si>
  <si>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</si>
  <si>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</si>
  <si>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</si>
  <si>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</si>
  <si>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</si>
  <si>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</si>
  <si>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</si>
  <si>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</si>
  <si>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</si>
  <si>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</si>
  <si>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</si>
  <si>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</si>
  <si>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</si>
  <si>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</si>
  <si>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</si>
  <si>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</si>
  <si>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</si>
  <si>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</si>
  <si>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</si>
  <si>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</si>
  <si>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</si>
  <si>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</si>
  <si>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</si>
  <si>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</si>
  <si>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</si>
  <si>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</si>
  <si>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</si>
  <si>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</si>
  <si>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</si>
  <si>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</si>
  <si>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</si>
  <si>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</si>
  <si>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</si>
  <si>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</si>
  <si>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</si>
  <si>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</si>
  <si>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</si>
  <si>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</si>
  <si>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</si>
  <si>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</si>
  <si>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</si>
  <si>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</si>
  <si>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</si>
  <si>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</si>
  <si>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</si>
  <si>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</si>
  <si>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</si>
  <si>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</si>
  <si>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</si>
  <si>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</si>
  <si>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</si>
  <si>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</si>
  <si>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</si>
  <si>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</si>
  <si>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</si>
  <si>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</si>
  <si>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</si>
  <si>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</si>
  <si>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</si>
  <si>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</si>
  <si>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</si>
  <si>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</si>
  <si>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</si>
  <si>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</si>
  <si>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</si>
  <si>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</si>
  <si>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</si>
  <si>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</si>
  <si>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</si>
  <si>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</si>
  <si>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</si>
  <si>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</si>
  <si>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</si>
  <si>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</si>
  <si>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</si>
  <si>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</si>
  <si>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</si>
  <si>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</si>
  <si>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</si>
  <si>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</si>
  <si>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</si>
  <si>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</si>
  <si>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</si>
  <si>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</si>
  <si>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</si>
  <si>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</si>
  <si>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</si>
  <si>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</si>
  <si>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</si>
  <si>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</si>
  <si>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</si>
  <si>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</si>
  <si>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</si>
  <si>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</si>
  <si>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</si>
  <si>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</si>
  <si>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</si>
  <si>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</si>
  <si>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</si>
  <si>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</si>
  <si>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</si>
  <si>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</si>
  <si>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</si>
  <si>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</si>
  <si>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</si>
  <si>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</si>
  <si>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</si>
  <si>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</si>
  <si>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</si>
  <si>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</si>
  <si>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</si>
  <si>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</si>
  <si>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</si>
  <si>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</si>
  <si>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</si>
  <si>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</si>
  <si>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</si>
  <si>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</si>
  <si>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</si>
  <si>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</si>
  <si>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</si>
  <si>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</si>
  <si>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</si>
  <si>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</si>
  <si>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</si>
  <si>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</si>
  <si>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</si>
  <si>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</si>
  <si>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</si>
  <si>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</si>
  <si>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</si>
  <si>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</si>
  <si>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</si>
  <si>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</si>
  <si>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</si>
  <si>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</si>
  <si>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</si>
  <si>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</si>
  <si>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</si>
  <si>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</si>
  <si>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</si>
  <si>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</si>
  <si>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</si>
  <si>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</si>
  <si>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</si>
  <si>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</si>
  <si>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</si>
  <si>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</si>
  <si>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</si>
  <si>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</si>
  <si>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</si>
  <si>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</si>
  <si>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</si>
  <si>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</si>
  <si>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</si>
  <si>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</si>
  <si>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</si>
  <si>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</si>
  <si>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</si>
  <si>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</si>
  <si>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</si>
  <si>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</si>
  <si>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</si>
  <si>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</si>
  <si>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</si>
  <si>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</si>
  <si>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</si>
  <si>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</si>
  <si>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</si>
  <si>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</si>
  <si>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</si>
  <si>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</si>
  <si>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</si>
  <si>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</si>
  <si>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</si>
  <si>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</si>
  <si>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</si>
  <si>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</si>
  <si>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</si>
  <si>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</si>
  <si>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</si>
  <si>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</si>
  <si>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</si>
  <si>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</si>
  <si>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</si>
  <si>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</si>
  <si>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</si>
  <si>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</si>
  <si>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</si>
  <si>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</si>
  <si>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</si>
  <si>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</si>
  <si>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</si>
  <si>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</si>
  <si>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</si>
  <si>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</si>
  <si>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</si>
  <si>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</si>
  <si>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</si>
  <si>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</si>
  <si>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</si>
  <si>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</si>
  <si>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</si>
  <si>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</si>
  <si>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</si>
  <si>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</si>
  <si>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</si>
  <si>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</si>
  <si>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</si>
  <si>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</si>
  <si>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</si>
  <si>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</si>
  <si>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</si>
  <si>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</si>
  <si>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</si>
  <si>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</si>
  <si>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</si>
  <si>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</si>
  <si>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</si>
  <si>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</si>
  <si>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</si>
  <si>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</si>
  <si>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</si>
  <si>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</si>
  <si>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</si>
  <si>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</si>
  <si>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</si>
  <si>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</si>
  <si>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</si>
  <si>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</si>
  <si>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</si>
  <si>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</si>
  <si>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</si>
  <si>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</si>
  <si>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</si>
  <si>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</si>
  <si>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</si>
  <si>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</si>
  <si>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</si>
  <si>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</si>
  <si>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</si>
  <si>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</si>
  <si>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</si>
  <si>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</si>
  <si>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</si>
  <si>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</si>
  <si>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</si>
  <si>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</si>
  <si>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</si>
  <si>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</si>
  <si>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</si>
  <si>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</si>
  <si>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</si>
  <si>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</si>
  <si>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</si>
  <si>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</si>
  <si>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</si>
  <si>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</si>
  <si>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</si>
  <si>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</si>
  <si>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</si>
  <si>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</si>
  <si>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</si>
  <si>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</si>
  <si>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</si>
  <si>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</si>
  <si>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</si>
  <si>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</si>
  <si>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</si>
  <si>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</si>
  <si>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</si>
  <si>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</si>
  <si>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</si>
  <si>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</si>
  <si>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</si>
  <si>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</si>
  <si>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</si>
  <si>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</si>
  <si>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</si>
  <si>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</si>
  <si>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</si>
  <si>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</si>
  <si>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</si>
  <si>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</si>
  <si>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</si>
  <si>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</si>
  <si>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</si>
  <si>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</si>
  <si>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</si>
  <si>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</si>
  <si>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</si>
  <si>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</si>
  <si>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</si>
  <si>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</si>
  <si>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</si>
  <si>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</si>
  <si>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</si>
  <si>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</si>
  <si>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</si>
  <si>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</si>
  <si>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</si>
  <si>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</si>
  <si>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</si>
  <si>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</si>
  <si>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</si>
  <si>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</si>
  <si>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</si>
  <si>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</si>
  <si>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</si>
  <si>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</si>
  <si>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</si>
  <si>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</si>
  <si>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</si>
  <si>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</si>
  <si>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</si>
  <si>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</si>
  <si>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</si>
  <si>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</si>
  <si>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</si>
  <si>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</si>
  <si>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</si>
  <si>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</si>
  <si>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</si>
  <si>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</si>
  <si>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</si>
  <si>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</si>
  <si>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</si>
  <si>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</si>
  <si>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</si>
  <si>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</si>
  <si>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</si>
  <si>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</si>
  <si>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</si>
  <si>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</si>
  <si>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</si>
  <si>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</si>
  <si>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</si>
  <si>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</si>
  <si>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</si>
  <si>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</si>
  <si>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</si>
  <si>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</si>
  <si>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</si>
  <si>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</si>
  <si>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</si>
  <si>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</si>
  <si>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</si>
  <si>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</si>
  <si>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</si>
  <si>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</si>
  <si>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</si>
  <si>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</si>
  <si>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</si>
  <si>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</si>
  <si>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</si>
  <si>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</si>
  <si>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</si>
  <si>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</si>
  <si>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</si>
  <si>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</si>
  <si>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</si>
  <si>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</si>
  <si>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</si>
  <si>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</si>
  <si>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</si>
  <si>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</si>
  <si>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</si>
  <si>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</si>
  <si>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</si>
  <si>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</si>
  <si>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</si>
  <si>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</si>
  <si>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</si>
  <si>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</si>
  <si>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</si>
  <si>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</si>
  <si>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</si>
  <si>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</si>
  <si>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</si>
  <si>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</si>
  <si>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</si>
  <si>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</si>
  <si>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</si>
  <si>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</si>
  <si>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</si>
  <si>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</si>
  <si>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</si>
  <si>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</si>
  <si>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</si>
  <si>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</si>
  <si>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</si>
  <si>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</si>
  <si>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</si>
  <si>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</si>
  <si>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</si>
  <si>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</si>
  <si>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</si>
  <si>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</si>
  <si>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</si>
  <si>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</si>
  <si>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</si>
  <si>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</si>
  <si>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</si>
  <si>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</si>
  <si>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</si>
  <si>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</si>
  <si>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</si>
  <si>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</si>
  <si>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</si>
  <si>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</si>
  <si>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</si>
  <si>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</si>
  <si>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</si>
  <si>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</si>
  <si>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</si>
  <si>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</si>
  <si>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</si>
  <si>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</si>
  <si>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</si>
  <si>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</si>
  <si>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</si>
  <si>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</si>
  <si>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</si>
  <si>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</si>
  <si>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</si>
  <si>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</si>
  <si>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</si>
  <si>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</si>
  <si>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</si>
  <si>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</si>
  <si>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</si>
  <si>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</si>
  <si>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</si>
  <si>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</si>
  <si>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</si>
  <si>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</si>
  <si>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</si>
  <si>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</si>
  <si>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</si>
  <si>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</si>
  <si>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</si>
  <si>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</si>
  <si>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</si>
  <si>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</si>
  <si>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</si>
  <si>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</si>
  <si>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</si>
  <si>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</si>
  <si>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</si>
  <si>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</si>
  <si>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</si>
  <si>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</si>
  <si>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</si>
  <si>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</si>
  <si>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</si>
  <si>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</si>
  <si>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</si>
  <si>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</si>
  <si>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</si>
  <si>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</si>
  <si>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</si>
  <si>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</si>
  <si>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</si>
  <si>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</si>
  <si>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</si>
  <si>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</si>
  <si>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</si>
  <si>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</si>
  <si>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</si>
  <si>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</si>
  <si>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</si>
  <si>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</si>
  <si>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</si>
  <si>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</si>
  <si>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</si>
  <si>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</si>
  <si>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</si>
  <si>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</si>
  <si>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</si>
  <si>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</si>
  <si>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</si>
  <si>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</si>
  <si>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</si>
  <si>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</si>
  <si>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</si>
  <si>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</si>
  <si>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</si>
  <si>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</si>
  <si>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</si>
  <si>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</si>
  <si>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</si>
  <si>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</si>
  <si>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</si>
  <si>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</si>
  <si>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</si>
  <si>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</si>
  <si>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</si>
  <si>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</si>
  <si>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</si>
  <si>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</si>
  <si>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</si>
  <si>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</si>
  <si>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</si>
  <si>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</si>
  <si>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</si>
  <si>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</si>
  <si>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</si>
  <si>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</si>
  <si>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</si>
  <si>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</si>
  <si>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</si>
  <si>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</si>
  <si>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</si>
  <si>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</si>
  <si>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</si>
  <si>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</si>
  <si>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</si>
  <si>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</si>
  <si>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</si>
  <si>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</si>
  <si>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</si>
  <si>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</si>
  <si>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</si>
  <si>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</si>
  <si>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</si>
  <si>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</si>
  <si>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</si>
  <si>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</si>
  <si>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</si>
  <si>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</si>
  <si>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</si>
  <si>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</si>
  <si>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</si>
  <si>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</si>
  <si>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</si>
  <si>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</si>
  <si>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</si>
  <si>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</si>
  <si>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</si>
  <si>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</si>
  <si>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</si>
  <si>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</si>
  <si>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</si>
  <si>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</si>
  <si>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</si>
  <si>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</si>
  <si>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</si>
  <si>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</si>
  <si>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</si>
  <si>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</si>
  <si>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</si>
  <si>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</si>
  <si>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</si>
  <si>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</si>
  <si>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</si>
  <si>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</si>
  <si>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</si>
  <si>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</si>
  <si>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</si>
  <si>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</si>
  <si>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</si>
  <si>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</si>
  <si>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</si>
  <si>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</si>
  <si>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</si>
  <si>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</si>
  <si>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</si>
  <si>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</si>
  <si>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</si>
  <si>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</si>
  <si>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</si>
  <si>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</si>
  <si>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</si>
  <si>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</si>
  <si>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</si>
  <si>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</si>
  <si>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</si>
  <si>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</si>
  <si>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</si>
  <si>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</si>
  <si>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</si>
  <si>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</si>
  <si>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</si>
  <si>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</si>
  <si>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</si>
  <si>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</si>
  <si>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</si>
  <si>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</si>
  <si>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</si>
  <si>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</si>
  <si>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</si>
  <si>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</si>
  <si>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</si>
  <si>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</si>
  <si>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</si>
  <si>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</si>
  <si>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</si>
  <si>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</si>
  <si>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</si>
  <si>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</si>
  <si>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</si>
  <si>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</si>
  <si>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</si>
  <si>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</si>
  <si>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</si>
  <si>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</si>
  <si>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</si>
  <si>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</si>
  <si>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</si>
  <si>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</si>
  <si>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</si>
  <si>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</si>
  <si>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</si>
  <si>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</si>
  <si>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</si>
  <si>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</si>
  <si>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</si>
  <si>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</si>
  <si>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</si>
  <si>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</si>
  <si>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</si>
  <si>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</si>
  <si>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</si>
  <si>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</si>
  <si>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</si>
  <si>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</si>
  <si>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</si>
  <si>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</si>
  <si>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</si>
  <si>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</si>
  <si>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</si>
  <si>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</si>
  <si>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</si>
  <si>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</si>
  <si>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</si>
  <si>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</si>
  <si>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</si>
  <si>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</si>
  <si>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</si>
  <si>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</si>
  <si>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</si>
  <si>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</si>
  <si>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</si>
  <si>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</si>
  <si>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</si>
  <si>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</si>
  <si>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</si>
  <si>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</si>
  <si>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</si>
  <si>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</si>
  <si>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</si>
  <si>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</si>
  <si>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</si>
  <si>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</si>
  <si>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</si>
  <si>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</si>
  <si>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</si>
  <si>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</si>
  <si>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</si>
  <si>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</si>
  <si>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</si>
  <si>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</si>
  <si>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</si>
  <si>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</si>
  <si>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</si>
  <si>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</si>
  <si>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</si>
  <si>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</si>
  <si>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</si>
  <si>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</si>
  <si>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</si>
  <si>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</si>
  <si>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</si>
  <si>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</si>
  <si>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</si>
  <si>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</si>
  <si>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</si>
  <si>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</si>
  <si>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</si>
  <si>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</si>
  <si>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</si>
  <si>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</si>
  <si>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</si>
  <si>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</si>
  <si>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</si>
  <si>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</si>
  <si>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</si>
  <si>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</si>
  <si>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</si>
  <si>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</si>
  <si>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</si>
  <si>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</si>
  <si>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</si>
  <si>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</si>
  <si>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</si>
  <si>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</si>
  <si>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</si>
  <si>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</si>
  <si>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</si>
  <si>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</si>
  <si>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</si>
  <si>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</si>
  <si>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</si>
  <si>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</si>
  <si>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</si>
  <si>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</si>
  <si>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</si>
  <si>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</si>
  <si>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</si>
  <si>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</si>
  <si>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</si>
  <si>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</si>
  <si>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</si>
  <si>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</si>
  <si>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</si>
  <si>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</si>
  <si>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</si>
  <si>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</si>
  <si>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</si>
  <si>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</si>
  <si>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</si>
  <si>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</si>
  <si>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</si>
  <si>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</si>
  <si>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</si>
  <si>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</si>
  <si>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</si>
  <si>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</si>
  <si>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</si>
  <si>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</si>
  <si>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</si>
  <si>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</si>
  <si>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</si>
  <si>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</si>
  <si>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</si>
  <si>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</si>
  <si>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</si>
  <si>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</si>
  <si>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</si>
  <si>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</si>
  <si>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</si>
  <si>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</si>
  <si>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</si>
  <si>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</si>
  <si>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</si>
  <si>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</si>
  <si>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</si>
  <si>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</si>
  <si>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</si>
  <si>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</si>
  <si>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</si>
  <si>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</si>
  <si>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</si>
  <si>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</si>
  <si>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</si>
  <si>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</si>
  <si>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</si>
  <si>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</si>
  <si>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</si>
  <si>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</si>
  <si>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</si>
  <si>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</si>
  <si>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</si>
  <si>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</si>
  <si>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</si>
  <si>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</si>
  <si>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</si>
  <si>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</si>
  <si>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</si>
  <si>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</si>
  <si>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</si>
  <si>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</si>
  <si>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</si>
  <si>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</si>
  <si>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</si>
  <si>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</si>
  <si>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</si>
  <si>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</si>
  <si>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</si>
  <si>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</si>
  <si>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</si>
  <si>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</si>
  <si>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</si>
  <si>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</si>
  <si>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</si>
  <si>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</si>
  <si>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</si>
  <si>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</si>
  <si>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</si>
  <si>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</si>
  <si>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</si>
  <si>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</si>
  <si>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</si>
  <si>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</si>
  <si>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</si>
  <si>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</si>
  <si>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</si>
  <si>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</si>
  <si>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</si>
  <si>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</si>
  <si>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</si>
  <si>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</si>
  <si>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</si>
  <si>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</si>
  <si>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</si>
  <si>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</si>
  <si>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</si>
  <si>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</si>
  <si>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</si>
  <si>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</si>
  <si>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</si>
  <si>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</si>
  <si>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</si>
  <si>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</si>
  <si>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</si>
  <si>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</si>
  <si>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</si>
  <si>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</si>
  <si>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</si>
  <si>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</si>
  <si>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</si>
  <si>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</si>
  <si>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</si>
  <si>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</si>
  <si>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</si>
  <si>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</si>
  <si>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</si>
  <si>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</si>
  <si>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</si>
  <si>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</si>
  <si>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</si>
  <si>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</si>
  <si>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</si>
  <si>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</si>
  <si>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</si>
  <si>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</si>
  <si>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</si>
  <si>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</si>
  <si>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</si>
  <si>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</si>
  <si>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</si>
  <si>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</si>
  <si>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</si>
  <si>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</si>
  <si>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</si>
  <si>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</si>
  <si>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</si>
  <si>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</si>
  <si>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</si>
  <si>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</si>
  <si>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</si>
  <si>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</si>
  <si>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</si>
  <si>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</si>
  <si>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</si>
  <si>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</si>
  <si>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</si>
  <si>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</si>
  <si>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</si>
  <si>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</si>
  <si>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</si>
  <si>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</si>
  <si>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</si>
  <si>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</si>
  <si>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</si>
  <si>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</si>
  <si>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</si>
  <si>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</si>
  <si>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</si>
  <si>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</si>
  <si>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</si>
  <si>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</si>
  <si>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</si>
  <si>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</si>
  <si>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</si>
  <si>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</si>
  <si>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</si>
  <si>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</si>
  <si>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</si>
  <si>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</si>
  <si>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</si>
  <si>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</si>
  <si>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</si>
  <si>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</si>
  <si>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</si>
  <si>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</si>
  <si>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</si>
  <si>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</si>
  <si>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</si>
  <si>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</si>
  <si>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</si>
  <si>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</si>
  <si>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</si>
  <si>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</si>
  <si>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</si>
  <si>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</si>
  <si>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</si>
  <si>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</si>
  <si>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</si>
  <si>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</si>
  <si>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</si>
  <si>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</si>
  <si>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</si>
  <si>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</si>
  <si>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</si>
  <si>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</si>
  <si>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</si>
  <si>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</si>
  <si>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</si>
  <si>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</si>
  <si>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</si>
  <si>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</si>
  <si>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</si>
  <si>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</si>
  <si>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</si>
  <si>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</si>
  <si>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</si>
  <si>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</si>
  <si>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</si>
  <si>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</si>
  <si>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</si>
  <si>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</si>
  <si>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</si>
  <si>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</si>
  <si>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</si>
  <si>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</si>
  <si>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</si>
  <si>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</si>
  <si>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</si>
  <si>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</si>
  <si>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</si>
  <si>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</si>
  <si>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</si>
  <si>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</si>
  <si>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</si>
  <si>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</si>
  <si>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</si>
  <si>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</si>
  <si>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</si>
  <si>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</si>
  <si>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</si>
  <si>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</si>
  <si>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</si>
  <si>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</si>
  <si>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</si>
  <si>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</si>
  <si>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</si>
  <si>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</si>
  <si>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</si>
  <si>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</si>
  <si>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</si>
  <si>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</si>
  <si>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</si>
  <si>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</si>
  <si>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</si>
  <si>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</si>
  <si>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</si>
  <si>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</si>
  <si>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</si>
  <si>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</si>
  <si>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</si>
  <si>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</si>
  <si>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</si>
  <si>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</si>
  <si>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</si>
  <si>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</si>
  <si>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</si>
  <si>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</si>
  <si>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</si>
  <si>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</si>
  <si>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</si>
  <si>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</si>
  <si>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</si>
  <si>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</si>
  <si>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</si>
  <si>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</si>
  <si>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</si>
  <si>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</si>
  <si>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</si>
  <si>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</si>
  <si>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</si>
  <si>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</si>
  <si>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</si>
  <si>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</si>
  <si>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</si>
  <si>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</si>
  <si>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</si>
  <si>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</si>
  <si>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</si>
  <si>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</si>
  <si>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</si>
  <si>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</si>
  <si>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</si>
  <si>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</si>
  <si>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</si>
  <si>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</si>
  <si>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</si>
  <si>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</si>
  <si>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</si>
  <si>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</si>
  <si>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</si>
  <si>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</si>
  <si>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</si>
  <si>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</si>
  <si>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</si>
  <si>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</si>
  <si>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</si>
  <si>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</si>
  <si>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</si>
  <si>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</si>
  <si>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</si>
  <si>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</si>
  <si>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</si>
  <si>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</si>
  <si>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</si>
  <si>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</si>
  <si>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</si>
  <si>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</si>
  <si>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</si>
  <si>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</si>
  <si>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</si>
  <si>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</si>
  <si>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</si>
  <si>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</si>
  <si>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</si>
  <si>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</si>
  <si>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</si>
  <si>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</si>
  <si>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</si>
  <si>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</si>
  <si>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</si>
  <si>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</si>
  <si>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</si>
  <si>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</si>
  <si>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</si>
  <si>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</si>
  <si>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</si>
  <si>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</si>
  <si>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</si>
  <si>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</si>
  <si>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</si>
  <si>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</si>
  <si>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</si>
  <si>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</si>
  <si>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</si>
  <si>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</si>
  <si>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</si>
  <si>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</si>
  <si>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</si>
  <si>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</si>
  <si>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</si>
  <si>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</si>
  <si>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</si>
  <si>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</si>
  <si>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</si>
  <si>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</si>
  <si>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</si>
  <si>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</si>
  <si>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</si>
  <si>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</si>
  <si>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</si>
  <si>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</si>
  <si>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</si>
  <si>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</si>
  <si>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</si>
  <si>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</si>
  <si>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</si>
  <si>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</si>
  <si>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</si>
  <si>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</si>
  <si>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</si>
  <si>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</si>
  <si>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</si>
  <si>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</si>
  <si>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</si>
  <si>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</si>
  <si>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</si>
  <si>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</si>
  <si>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</si>
  <si>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</si>
  <si>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</si>
  <si>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</si>
  <si>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</si>
  <si>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</si>
  <si>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</si>
  <si>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</si>
  <si>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</si>
  <si>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</si>
  <si>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</si>
  <si>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</si>
  <si>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</si>
  <si>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</si>
  <si>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</si>
  <si>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</si>
  <si>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</si>
  <si>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</si>
  <si>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</si>
  <si>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</si>
  <si>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</si>
  <si>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</si>
  <si>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</si>
  <si>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</si>
  <si>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</si>
  <si>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</si>
  <si>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</si>
  <si>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</si>
  <si>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</si>
  <si>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</si>
  <si>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</si>
  <si>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</si>
  <si>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</si>
  <si>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</si>
  <si>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</si>
  <si>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</si>
  <si>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</si>
  <si>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</si>
  <si>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</si>
  <si>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</si>
  <si>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</si>
  <si>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</si>
  <si>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</si>
  <si>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</si>
  <si>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</si>
  <si>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</si>
  <si>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</si>
  <si>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</si>
  <si>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</si>
  <si>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</si>
  <si>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</si>
  <si>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</si>
  <si>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</si>
  <si>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</si>
  <si>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</si>
  <si>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</si>
  <si>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</si>
  <si>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</si>
  <si>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</si>
  <si>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</si>
  <si>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</si>
  <si>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</si>
  <si>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</si>
  <si>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</si>
  <si>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</si>
  <si>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</si>
  <si>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</si>
  <si>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</si>
  <si>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</si>
  <si>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</si>
  <si>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</si>
  <si>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</si>
  <si>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</si>
  <si>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</si>
  <si>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</si>
  <si>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</si>
  <si>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</si>
  <si>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</si>
  <si>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</si>
  <si>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</si>
  <si>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</si>
  <si>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</si>
  <si>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</si>
  <si>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</si>
  <si>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</si>
  <si>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</si>
  <si>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</si>
  <si>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</si>
  <si>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</si>
  <si>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</si>
  <si>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</si>
  <si>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</si>
  <si>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</si>
  <si>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</si>
  <si>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</si>
  <si>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</si>
  <si>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</si>
  <si>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</si>
  <si>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</si>
  <si>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</si>
  <si>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</si>
  <si>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</si>
  <si>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</si>
  <si>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</si>
  <si>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</si>
  <si>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</si>
  <si>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</si>
  <si>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</si>
  <si>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</si>
  <si>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</si>
  <si>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</si>
  <si>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</si>
  <si>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</si>
  <si>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</si>
  <si>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</si>
  <si>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</si>
  <si>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</si>
  <si>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</si>
  <si>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</si>
  <si>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</si>
  <si>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</si>
  <si>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</si>
  <si>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</si>
  <si>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</si>
  <si>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</si>
  <si>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</si>
  <si>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</si>
  <si>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</si>
  <si>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</si>
  <si>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</si>
  <si>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</si>
  <si>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</si>
  <si>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</si>
  <si>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</si>
  <si>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</si>
  <si>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</si>
  <si>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</si>
  <si>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</si>
  <si>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</si>
  <si>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</si>
  <si>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</si>
  <si>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</si>
  <si>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</si>
  <si>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</si>
  <si>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</si>
  <si>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</si>
  <si>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</si>
  <si>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</si>
  <si>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</si>
  <si>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</si>
  <si>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</si>
  <si>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</si>
  <si>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</si>
  <si>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</si>
  <si>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</si>
  <si>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</si>
  <si>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</si>
  <si>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</si>
  <si>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</si>
  <si>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</si>
  <si>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</si>
  <si>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</si>
  <si>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</si>
  <si>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</si>
  <si>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</si>
  <si>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</si>
  <si>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</si>
  <si>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</si>
  <si>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</si>
  <si>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</si>
  <si>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</si>
  <si>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</si>
  <si>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</si>
  <si>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</si>
  <si>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</si>
  <si>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</si>
  <si>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</si>
  <si>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</si>
  <si>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</si>
  <si>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</si>
  <si>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</si>
  <si>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</si>
  <si>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</si>
  <si>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</si>
  <si>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</si>
  <si>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</si>
  <si>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</si>
  <si>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</si>
  <si>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</si>
  <si>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</si>
  <si>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</si>
  <si>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</si>
  <si>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</si>
  <si>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</si>
  <si>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</si>
  <si>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</si>
  <si>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</si>
  <si>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</si>
  <si>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</si>
  <si>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</si>
  <si>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</si>
  <si>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</si>
  <si>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</si>
  <si>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</si>
  <si>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</si>
  <si>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</si>
  <si>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</si>
  <si>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</si>
  <si>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</si>
  <si>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</si>
  <si>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</si>
  <si>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</si>
  <si>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</si>
  <si>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</si>
  <si>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</si>
  <si>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</si>
  <si>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</si>
  <si>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</si>
  <si>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</si>
  <si>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</si>
  <si>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</si>
  <si>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</si>
  <si>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</si>
  <si>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</si>
  <si>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</si>
  <si>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</si>
  <si>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</si>
  <si>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</si>
  <si>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</si>
  <si>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</si>
  <si>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</si>
  <si>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</si>
  <si>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</si>
  <si>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</si>
  <si>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</si>
  <si>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</si>
  <si>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</si>
  <si>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</si>
  <si>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</si>
  <si>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</si>
  <si>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</si>
  <si>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</si>
  <si>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</si>
  <si>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</si>
  <si>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</si>
  <si>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</si>
  <si>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</si>
  <si>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</si>
  <si>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</si>
  <si>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</si>
  <si>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</si>
  <si>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</si>
  <si>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</si>
  <si>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</si>
  <si>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</si>
  <si>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</si>
  <si>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</si>
  <si>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</si>
  <si>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</si>
  <si>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</si>
  <si>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</si>
  <si>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</si>
  <si>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</si>
  <si>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</si>
  <si>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</si>
  <si>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</si>
  <si>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</si>
  <si>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</si>
  <si>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</si>
  <si>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</si>
  <si>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</si>
  <si>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</si>
  <si>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</si>
  <si>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</si>
  <si>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</si>
  <si>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</si>
  <si>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</si>
  <si>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</si>
  <si>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</si>
  <si>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</si>
  <si>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</si>
  <si>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</si>
  <si>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</si>
  <si>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</si>
  <si>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</si>
  <si>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</si>
  <si>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</si>
  <si>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</si>
  <si>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</si>
  <si>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</si>
  <si>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</si>
  <si>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</si>
  <si>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</si>
  <si>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</si>
  <si>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</si>
  <si>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</si>
  <si>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</si>
  <si>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</si>
  <si>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</si>
  <si>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</si>
  <si>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</si>
  <si>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</si>
  <si>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</si>
  <si>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</si>
  <si>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</si>
  <si>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</si>
  <si>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</si>
  <si>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</si>
  <si>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</si>
  <si>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</si>
  <si>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</si>
  <si>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</si>
  <si>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</si>
  <si>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</si>
  <si>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</si>
  <si>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</si>
  <si>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</si>
  <si>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</si>
  <si>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</si>
  <si>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</si>
  <si>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</si>
  <si>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</si>
  <si>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</si>
  <si>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</si>
  <si>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</si>
  <si>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</si>
  <si>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</si>
  <si>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</si>
  <si>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</si>
  <si>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</si>
  <si>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</si>
  <si>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</si>
  <si>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</si>
  <si>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</si>
  <si>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</si>
  <si>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</si>
  <si>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</si>
  <si>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</si>
  <si>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</si>
  <si>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</si>
  <si>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</si>
  <si>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</si>
  <si>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</si>
  <si>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</si>
  <si>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</si>
  <si>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</si>
  <si>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</si>
  <si>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</si>
  <si>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</si>
  <si>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</si>
  <si>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</si>
  <si>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</si>
  <si>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</si>
  <si>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</si>
  <si>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</si>
  <si>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</si>
  <si>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</si>
  <si>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</si>
  <si>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</si>
  <si>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</si>
  <si>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</si>
  <si>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</si>
  <si>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</si>
  <si>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</si>
  <si>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</si>
  <si>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</si>
  <si>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</si>
  <si>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</si>
  <si>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</si>
  <si>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</si>
  <si>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</si>
  <si>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</si>
  <si>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</si>
  <si>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</si>
  <si>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</si>
  <si>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</si>
  <si>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</si>
  <si>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</si>
  <si>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</si>
  <si>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</si>
  <si>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</si>
  <si>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</si>
  <si>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</si>
  <si>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</si>
  <si>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</si>
  <si>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</si>
  <si>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</si>
  <si>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</si>
  <si>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</si>
  <si>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</si>
  <si>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</si>
  <si>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</si>
  <si>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</si>
  <si>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</si>
  <si>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</si>
  <si>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</si>
  <si>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</si>
  <si>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</si>
  <si>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</si>
  <si>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</si>
  <si>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</si>
  <si>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</si>
  <si>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</si>
  <si>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</si>
  <si>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</si>
  <si>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</si>
  <si>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</si>
  <si>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</si>
  <si>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</si>
  <si>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</si>
  <si>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</si>
  <si>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</si>
  <si>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</si>
  <si>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</si>
  <si>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</si>
  <si>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</si>
  <si>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</si>
  <si>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</si>
  <si>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</si>
  <si>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</si>
  <si>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</si>
  <si>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</si>
  <si>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</si>
  <si>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</si>
  <si>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</si>
  <si>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</si>
  <si>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</si>
  <si>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</si>
  <si>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</si>
  <si>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</si>
  <si>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</si>
  <si>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</si>
  <si>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</si>
  <si>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</si>
  <si>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</si>
  <si>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</si>
  <si>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</si>
  <si>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</si>
  <si>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</si>
  <si>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</si>
  <si>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</si>
  <si>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</si>
  <si>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</si>
  <si>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</si>
  <si>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</si>
  <si>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</si>
  <si>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</si>
  <si>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</si>
  <si>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</si>
  <si>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</si>
  <si>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</si>
  <si>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</si>
  <si>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</si>
  <si>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</si>
  <si>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</si>
  <si>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</si>
  <si>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</si>
  <si>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</si>
  <si>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</si>
  <si>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</si>
  <si>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</si>
  <si>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</si>
  <si>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</si>
  <si>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</si>
  <si>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</si>
  <si>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</si>
  <si>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</si>
  <si>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</si>
  <si>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</si>
  <si>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</si>
  <si>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</si>
  <si>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</si>
  <si>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</si>
  <si>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</si>
  <si>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</si>
  <si>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</si>
  <si>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</si>
  <si>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</si>
  <si>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</si>
  <si>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</si>
  <si>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</si>
  <si>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</si>
  <si>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</si>
  <si>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</si>
  <si>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</si>
  <si>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</si>
  <si>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</si>
  <si>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</si>
  <si>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</si>
  <si>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</si>
  <si>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</si>
  <si>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</si>
  <si>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</si>
  <si>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</si>
  <si>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</si>
  <si>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</si>
  <si>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</si>
  <si>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</si>
  <si>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</si>
  <si>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</si>
  <si>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</si>
  <si>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</si>
  <si>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</si>
  <si>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</si>
  <si>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</si>
  <si>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</si>
  <si>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</si>
  <si>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</si>
  <si>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</si>
  <si>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</si>
  <si>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</si>
  <si>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</si>
  <si>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</si>
  <si>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</si>
  <si>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</si>
  <si>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</si>
  <si>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</si>
  <si>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</si>
  <si>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</si>
  <si>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</si>
  <si>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</si>
  <si>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</si>
  <si>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</si>
  <si>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</si>
  <si>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</si>
  <si>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</si>
  <si>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</si>
  <si>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</si>
  <si>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</si>
  <si>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</si>
  <si>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</si>
  <si>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</si>
  <si>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</si>
  <si>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</si>
  <si>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</si>
  <si>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</si>
  <si>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</si>
  <si>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</si>
  <si>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</si>
  <si>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</si>
  <si>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</si>
  <si>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</si>
  <si>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</si>
  <si>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</si>
  <si>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</si>
  <si>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</si>
  <si>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</si>
  <si>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</si>
  <si>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</si>
  <si>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</si>
  <si>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</si>
  <si>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</si>
  <si>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</si>
  <si>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</si>
  <si>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</si>
  <si>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</si>
  <si>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</si>
  <si>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</si>
  <si>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</si>
  <si>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</si>
  <si>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</si>
  <si>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</si>
  <si>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</si>
  <si>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</si>
  <si>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</si>
  <si>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</si>
  <si>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</si>
  <si>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</si>
  <si>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</si>
  <si>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</si>
  <si>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</si>
  <si>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</si>
  <si>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</si>
  <si>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</si>
  <si>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</si>
  <si>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</si>
  <si>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</si>
  <si>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</si>
  <si>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</si>
  <si>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</si>
  <si>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</si>
  <si>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</si>
  <si>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</si>
  <si>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</si>
  <si>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</si>
  <si>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</si>
  <si>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</si>
  <si>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</si>
  <si>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</si>
  <si>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</si>
  <si>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</si>
  <si>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</si>
  <si>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</si>
  <si>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</si>
  <si>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</si>
  <si>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</si>
  <si>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</si>
  <si>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</si>
  <si>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</si>
  <si>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</si>
  <si>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</si>
  <si>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</si>
  <si>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</si>
  <si>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</si>
  <si>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</si>
  <si>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</si>
  <si>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</si>
  <si>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</si>
  <si>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</si>
  <si>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</si>
  <si>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</si>
  <si>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</si>
  <si>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</si>
  <si>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</si>
  <si>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</si>
  <si>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</si>
  <si>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</si>
  <si>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</si>
  <si>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</si>
  <si>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</si>
  <si>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</si>
  <si>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</si>
  <si>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</si>
  <si>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</si>
  <si>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</si>
  <si>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</si>
  <si>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</si>
  <si>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</si>
  <si>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</si>
  <si>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</si>
  <si>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</si>
  <si>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</si>
  <si>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</si>
  <si>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</si>
  <si>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</si>
  <si>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</si>
  <si>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</si>
  <si>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</si>
  <si>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</si>
  <si>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</si>
  <si>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</si>
  <si>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</si>
  <si>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</si>
  <si>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</si>
  <si>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</si>
  <si>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</si>
  <si>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</si>
  <si>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</si>
  <si>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</si>
  <si>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</si>
  <si>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</si>
  <si>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</si>
  <si>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</si>
  <si>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</si>
  <si>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</si>
  <si>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</si>
  <si>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</si>
  <si>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</si>
  <si>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</si>
  <si>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</si>
  <si>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</si>
  <si>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</si>
  <si>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</si>
  <si>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</si>
  <si>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</si>
  <si>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</si>
  <si>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</si>
  <si>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</si>
  <si>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</si>
  <si>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</si>
  <si>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</si>
  <si>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</si>
  <si>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</si>
  <si>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</si>
  <si>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</si>
  <si>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</si>
  <si>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</si>
  <si>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</si>
  <si>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</si>
  <si>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</si>
  <si>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</si>
  <si>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</si>
  <si>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</si>
  <si>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</si>
  <si>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</si>
  <si>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</si>
  <si>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</si>
  <si>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</si>
  <si>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</si>
  <si>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</si>
  <si>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</si>
  <si>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</si>
  <si>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</si>
  <si>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</si>
  <si>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</si>
  <si>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</si>
  <si>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</si>
  <si>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</si>
  <si>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</si>
  <si>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</si>
  <si>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</si>
  <si>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</si>
  <si>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</si>
  <si>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</si>
  <si>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</si>
  <si>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</si>
  <si>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</si>
  <si>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</si>
  <si>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</si>
  <si>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</si>
  <si>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</si>
  <si>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</si>
  <si>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</si>
  <si>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</si>
  <si>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</si>
  <si>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</si>
  <si>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</si>
  <si>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</si>
  <si>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</si>
  <si>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</si>
  <si>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</si>
  <si>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</si>
  <si>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</si>
  <si>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</si>
  <si>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</si>
  <si>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</si>
  <si>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</si>
  <si>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</si>
  <si>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</si>
  <si>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</si>
  <si>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</si>
  <si>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</si>
  <si>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</si>
  <si>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</si>
  <si>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</si>
  <si>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</si>
  <si>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</si>
  <si>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</si>
  <si>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</si>
  <si>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</si>
  <si>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</si>
  <si>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</si>
  <si>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</si>
  <si>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</si>
  <si>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</si>
  <si>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</si>
  <si>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</si>
  <si>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</si>
  <si>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</si>
  <si>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</si>
  <si>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</si>
  <si>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</si>
  <si>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</si>
  <si>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</si>
  <si>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</si>
  <si>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</si>
  <si>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</si>
  <si>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</si>
  <si>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</si>
  <si>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</si>
  <si>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</si>
  <si>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</si>
  <si>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</si>
  <si>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</si>
  <si>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</si>
  <si>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</si>
  <si>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</si>
  <si>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</si>
  <si>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</si>
  <si>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</si>
  <si>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</si>
  <si>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</si>
  <si>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</si>
  <si>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</si>
  <si>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</si>
  <si>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</si>
  <si>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</si>
  <si>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</si>
  <si>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</si>
  <si>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</si>
  <si>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</si>
  <si>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</si>
  <si>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</si>
  <si>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</si>
  <si>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</si>
  <si>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</si>
  <si>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</si>
  <si>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</si>
  <si>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</si>
  <si>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</si>
  <si>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</si>
  <si>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</si>
  <si>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</si>
  <si>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</si>
  <si>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</si>
  <si>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</si>
  <si>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</si>
  <si>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</si>
  <si>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</si>
  <si>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</si>
  <si>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</si>
  <si>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</si>
  <si>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</si>
  <si>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</si>
  <si>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</si>
  <si>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</si>
  <si>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</si>
  <si>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</si>
  <si>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</si>
  <si>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</si>
  <si>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</si>
  <si>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</si>
  <si>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</si>
  <si>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</si>
  <si>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</si>
  <si>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</si>
  <si>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</si>
  <si>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</si>
  <si>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</si>
  <si>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</si>
  <si>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</si>
  <si>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</si>
  <si>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</si>
  <si>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</si>
  <si>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</si>
  <si>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</si>
  <si>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</si>
  <si>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</si>
  <si>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</si>
  <si>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</si>
  <si>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</si>
  <si>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</si>
  <si>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</si>
  <si>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</si>
  <si>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</si>
  <si>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</si>
  <si>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</si>
  <si>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</si>
  <si>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</si>
  <si>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</si>
  <si>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</si>
  <si>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</si>
  <si>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</si>
  <si>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</si>
  <si>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</si>
  <si>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</si>
  <si>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</si>
  <si>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</si>
  <si>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</si>
  <si>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</si>
  <si>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</si>
  <si>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</si>
  <si>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</si>
  <si>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</si>
  <si>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</si>
  <si>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</si>
  <si>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</si>
  <si>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</si>
  <si>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</si>
  <si>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</si>
  <si>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</si>
  <si>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</si>
  <si>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</si>
  <si>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</si>
  <si>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</si>
  <si>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</si>
  <si>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</si>
  <si>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</si>
  <si>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</si>
  <si>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</si>
  <si>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</si>
  <si>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</si>
  <si>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</si>
  <si>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</si>
  <si>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</si>
  <si>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</si>
  <si>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</si>
  <si>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</si>
  <si>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</si>
  <si>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</si>
  <si>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</si>
  <si>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</si>
  <si>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</si>
  <si>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</si>
  <si>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</si>
  <si>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</si>
  <si>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</si>
  <si>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</si>
  <si>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</si>
  <si>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</si>
  <si>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</si>
  <si>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</si>
  <si>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</si>
  <si>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</si>
  <si>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</si>
  <si>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</si>
  <si>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</si>
  <si>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</si>
  <si>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</si>
  <si>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</si>
  <si>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</si>
  <si>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</si>
  <si>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</si>
  <si>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</si>
  <si>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</si>
  <si>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</si>
  <si>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</si>
  <si>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</si>
  <si>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</si>
  <si>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</si>
  <si>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</si>
  <si>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</si>
  <si>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</si>
  <si>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</si>
  <si>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</si>
  <si>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</si>
  <si>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</si>
  <si>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</si>
  <si>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</si>
  <si>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</si>
  <si>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</si>
  <si>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</si>
  <si>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</si>
  <si>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</si>
  <si>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</si>
  <si>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</si>
  <si>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</si>
  <si>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</si>
  <si>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</si>
  <si>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</si>
  <si>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</si>
  <si>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</si>
  <si>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</si>
  <si>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</si>
  <si>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</si>
  <si>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</si>
  <si>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</si>
  <si>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</si>
  <si>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Missing Values</t>
  </si>
  <si>
    <t>Duplicate records</t>
  </si>
  <si>
    <t>Negative Profits</t>
  </si>
  <si>
    <t>Unusual Discounts</t>
  </si>
  <si>
    <t>2014</t>
  </si>
  <si>
    <t>2015</t>
  </si>
  <si>
    <t>2016</t>
  </si>
  <si>
    <t>2017</t>
  </si>
  <si>
    <t>Date Issues</t>
  </si>
  <si>
    <t>Shipping Days</t>
  </si>
  <si>
    <t>Profit Margin</t>
  </si>
  <si>
    <t>Grand Total</t>
  </si>
  <si>
    <t>Monthly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</si>
  <si>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</si>
  <si>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</si>
  <si>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</si>
  <si>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</si>
  <si>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</si>
  <si>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</si>
  <si>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</si>
  <si>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</si>
  <si>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</si>
  <si>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</si>
  <si>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</si>
  <si>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</si>
  <si>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 Number</t>
  </si>
  <si>
    <t>Grand Monthly Orders</t>
  </si>
  <si>
    <t>Monthly Orders</t>
  </si>
  <si>
    <t>Data Issues</t>
  </si>
  <si>
    <t>Annual Sales</t>
  </si>
  <si>
    <t>Grand Sales</t>
  </si>
  <si>
    <t>Monthly Profit</t>
  </si>
  <si>
    <t>Annual Profit</t>
  </si>
  <si>
    <t xml:space="preserve"> </t>
  </si>
  <si>
    <t>Feb</t>
  </si>
  <si>
    <t>Jan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</si>
  <si>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</si>
  <si>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</si>
  <si>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</si>
  <si>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</si>
  <si>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</si>
  <si>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</si>
  <si>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</si>
  <si>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</si>
  <si>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</si>
  <si>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Categroy</t>
  </si>
  <si>
    <t>Sales by Category</t>
  </si>
  <si>
    <t>Total</t>
  </si>
  <si>
    <t>Profit by Category</t>
  </si>
  <si>
    <t>Total Sales</t>
  </si>
  <si>
    <t>Total Profit</t>
  </si>
  <si>
    <t>Total Orders</t>
  </si>
  <si>
    <t>Average Order Value</t>
  </si>
  <si>
    <t>Quantity per Category</t>
  </si>
  <si>
    <t>Negative Profits (%)</t>
  </si>
  <si>
    <t>Negative Profit</t>
  </si>
  <si>
    <t>Total Distinct Orders</t>
  </si>
  <si>
    <t>Average Orders</t>
  </si>
  <si>
    <t>Max Orders</t>
  </si>
  <si>
    <t>Min Orders</t>
  </si>
  <si>
    <t>Average Sales</t>
  </si>
  <si>
    <t>Max Sales</t>
  </si>
  <si>
    <t>Min Sales</t>
  </si>
  <si>
    <t>Average Profit</t>
  </si>
  <si>
    <t>Max Profit</t>
  </si>
  <si>
    <t>Min Profit</t>
  </si>
  <si>
    <t>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</si>
</sst>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56082"/>
        <bgColor theme="4"/>
      </patternFill>
    </fill>
    <fill>
      <patternFill patternType="solid">
        <fgColor rgb="FF16759E"/>
        <bgColor theme="4"/>
      </patternFill>
    </fill>
    <fill>
      <patternFill patternType="solid">
        <fgColor rgb="FF16759E"/>
        <bgColor indexed="64"/>
      </patternFill>
    </fill>
    <fill>
      <patternFill patternType="solid">
        <fgColor rgb="FF16759E"/>
        <bgColor theme="4" tint="0.79998168889431442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14" fontId="0" fillId="0" borderId="0" xfId="0" applyNumberFormat="1"/>
    <xf numFmtId="0" fontId="0" fillId="34" borderId="10" xfId="0" applyFill="1" applyBorder="1"/>
    <xf numFmtId="0" fontId="0" fillId="34" borderId="11" xfId="0" applyFill="1" applyBorder="1"/>
    <xf numFmtId="0" fontId="0" fillId="0" borderId="10" xfId="0" applyBorder="1"/>
    <xf numFmtId="0" fontId="0" fillId="0" borderId="11" xfId="0" applyBorder="1"/>
    <xf numFmtId="14" fontId="0" fillId="0" borderId="11" xfId="0" applyNumberFormat="1" applyBorder="1"/>
    <xf numFmtId="14" fontId="0" fillId="34" borderId="11" xfId="0" applyNumberFormat="1" applyFill="1" applyBorder="1"/>
    <xf numFmtId="0" fontId="0" fillId="34" borderId="13" xfId="0" applyFill="1" applyBorder="1"/>
    <xf numFmtId="14" fontId="0" fillId="34" borderId="13" xfId="0" applyNumberFormat="1" applyFill="1" applyBorder="1"/>
    <xf numFmtId="0" fontId="13" fillId="33" borderId="0" xfId="0" applyFont="1" applyFill="1"/>
    <xf numFmtId="14" fontId="13" fillId="33" borderId="0" xfId="0" applyNumberFormat="1" applyFont="1" applyFill="1"/>
    <xf numFmtId="44" fontId="13" fillId="33" borderId="0" xfId="0" applyNumberFormat="1" applyFont="1" applyFill="1"/>
    <xf numFmtId="44" fontId="0" fillId="0" borderId="0" xfId="0" applyNumberFormat="1"/>
    <xf numFmtId="0" fontId="13" fillId="33" borderId="16" xfId="0" applyFont="1" applyFill="1" applyBorder="1"/>
    <xf numFmtId="44" fontId="0" fillId="0" borderId="11" xfId="0" applyNumberFormat="1" applyBorder="1"/>
    <xf numFmtId="44" fontId="0" fillId="34" borderId="11" xfId="0" applyNumberFormat="1" applyFill="1" applyBorder="1"/>
    <xf numFmtId="44" fontId="0" fillId="34" borderId="13" xfId="0" applyNumberFormat="1" applyFill="1" applyBorder="1"/>
    <xf numFmtId="44" fontId="0" fillId="0" borderId="12" xfId="0" applyNumberFormat="1" applyBorder="1"/>
    <xf numFmtId="44" fontId="0" fillId="34" borderId="12" xfId="0" applyNumberFormat="1" applyFill="1" applyBorder="1"/>
    <xf numFmtId="44" fontId="0" fillId="34" borderId="14" xfId="0" applyNumberFormat="1" applyFill="1" applyBorder="1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49" fontId="0" fillId="0" borderId="11" xfId="0" applyNumberFormat="1" applyBorder="1"/>
    <xf numFmtId="49" fontId="0" fillId="34" borderId="11" xfId="0" applyNumberFormat="1" applyFill="1" applyBorder="1"/>
    <xf numFmtId="49" fontId="0" fillId="34" borderId="13" xfId="0" applyNumberFormat="1" applyFill="1" applyBorder="1"/>
    <xf numFmtId="1" fontId="0" fillId="0" borderId="11" xfId="0" applyNumberFormat="1" applyBorder="1"/>
    <xf numFmtId="1" fontId="0" fillId="34" borderId="11" xfId="0" applyNumberFormat="1" applyFill="1" applyBorder="1"/>
    <xf numFmtId="1" fontId="0" fillId="34" borderId="13" xfId="0" applyNumberFormat="1" applyFill="1" applyBorder="1"/>
    <xf numFmtId="49" fontId="13" fillId="33" borderId="0" xfId="0" applyNumberFormat="1" applyFont="1" applyFill="1"/>
    <xf numFmtId="1" fontId="13" fillId="33" borderId="0" xfId="0" applyNumberFormat="1" applyFont="1" applyFill="1"/>
    <xf numFmtId="9" fontId="13" fillId="33" borderId="0" xfId="0" applyNumberFormat="1" applyFont="1" applyFill="1"/>
    <xf numFmtId="9" fontId="0" fillId="0" borderId="0" xfId="0" applyNumberFormat="1"/>
    <xf numFmtId="9" fontId="0" fillId="0" borderId="11" xfId="0" applyNumberFormat="1" applyBorder="1"/>
    <xf numFmtId="9" fontId="0" fillId="34" borderId="11" xfId="0" applyNumberFormat="1" applyFill="1" applyBorder="1"/>
    <xf numFmtId="9" fontId="0" fillId="34" borderId="13" xfId="0" applyNumberFormat="1" applyFill="1" applyBorder="1"/>
    <xf numFmtId="0" fontId="13" fillId="33" borderId="19" xfId="0" applyFont="1" applyFill="1" applyBorder="1"/>
    <xf numFmtId="0" fontId="13" fillId="33" borderId="13" xfId="0" applyFont="1" applyFill="1" applyBorder="1"/>
    <xf numFmtId="0" fontId="13" fillId="33" borderId="14" xfId="0" applyFont="1" applyFill="1" applyBorder="1"/>
    <xf numFmtId="0" fontId="0" fillId="34" borderId="14" xfId="0" applyFill="1" applyBorder="1"/>
    <xf numFmtId="0" fontId="13" fillId="33" borderId="20" xfId="0" applyFont="1" applyFill="1" applyBorder="1"/>
    <xf numFmtId="0" fontId="13" fillId="35" borderId="16" xfId="0" applyFont="1" applyFill="1" applyBorder="1"/>
    <xf numFmtId="0" fontId="13" fillId="36" borderId="15" xfId="0" applyFont="1" applyFill="1" applyBorder="1"/>
    <xf numFmtId="0" fontId="17" fillId="37" borderId="0" xfId="0" applyFont="1" applyFill="1"/>
    <xf numFmtId="0" fontId="13" fillId="36" borderId="17" xfId="0" applyFont="1" applyFill="1" applyBorder="1"/>
    <xf numFmtId="0" fontId="17" fillId="38" borderId="17" xfId="0" applyFont="1" applyFill="1" applyBorder="1"/>
    <xf numFmtId="0" fontId="17" fillId="37" borderId="17" xfId="0" applyFont="1" applyFill="1" applyBorder="1"/>
    <xf numFmtId="0" fontId="17" fillId="38" borderId="15" xfId="0" applyFont="1" applyFill="1" applyBorder="1"/>
    <xf numFmtId="0" fontId="13" fillId="36" borderId="18" xfId="0" applyFont="1" applyFill="1" applyBorder="1"/>
    <xf numFmtId="0" fontId="17" fillId="38" borderId="0" xfId="0" applyFont="1" applyFill="1"/>
    <xf numFmtId="1" fontId="17" fillId="37" borderId="0" xfId="0" applyNumberFormat="1" applyFont="1" applyFill="1"/>
    <xf numFmtId="10" fontId="0" fillId="0" borderId="0" xfId="0" applyNumberFormat="1"/>
    <xf numFmtId="164" fontId="0" fillId="0" borderId="0" xfId="42" applyNumberFormat="1" applyFont="1"/>
    <xf numFmtId="9" fontId="13" fillId="33" borderId="0" xfId="43" applyFont="1" applyFill="1"/>
    <xf numFmtId="9" fontId="0" fillId="0" borderId="0" xfId="43" applyFont="1"/>
    <xf numFmtId="9" fontId="0" fillId="34" borderId="0" xfId="43" applyFont="1" applyFill="1"/>
    <xf numFmtId="165" fontId="0" fillId="0" borderId="0" xfId="43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3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_(* #,##0_);_(* \(#,##0\);_(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16759E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16759E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16759E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bgColor rgb="FF16759E"/>
        </patternFill>
      </fill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3" formatCode="0%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9" formatCode="m/d/yy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19" formatCode="m/d/yy"/>
    </dxf>
    <dxf>
      <border outline="0">
        <bottom style="thin">
          <color rgb="FF44B3E1"/>
        </bottom>
      </border>
    </dxf>
    <dxf>
      <numFmt numFmtId="2" formatCode="0.0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3" formatCode="0%"/>
    </dxf>
    <dxf>
      <numFmt numFmtId="1" formatCode="0"/>
    </dxf>
    <dxf>
      <numFmt numFmtId="19" formatCode="m/d/yy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19" formatCode="m/d/yy"/>
    </dxf>
    <dxf>
      <border outline="0"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3" formatCode="0%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m/d/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m/d/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m/d/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3" formatCode="0%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9" formatCode="m/d/yy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9" formatCode="m/d/yy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mruColors>
      <color rgb="FF009EFF"/>
      <color rgb="FF16759E"/>
      <color rgb="FF156082"/>
      <color rgb="FF19A3DC"/>
      <color rgb="FF0059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68C04B7-FD44-9C45-8806-B797027EA250}" name="Table12" displayName="Table12" ref="A1:V1993" totalsRowShown="0" headerRowDxfId="130" tableBorderDxfId="129">
  <autoFilter ref="A1:V1993" xr:uid="{368C04B7-FD44-9C45-8806-B797027EA250}"/>
  <tableColumns count="22">
    <tableColumn id="1" xr3:uid="{D8A067AE-9387-4B48-A8A3-7B78950693E7}" name="Row ID"/>
    <tableColumn id="2" xr3:uid="{F5CA570C-CB16-B149-B576-6392A03066C3}" name="Order ID"/>
    <tableColumn id="3" xr3:uid="{F2DA0B2F-6059-004E-BF38-8C4714E9BC30}" name="Order Date" dataDxfId="128"/>
    <tableColumn id="22" xr3:uid="{641E2C9C-16B6-0F47-9BF1-18539D6CCACB}" name="Month Number" dataDxfId="127">
      <calculatedColumnFormula>MONTH(Table12[[#This Row],[Order Date]])</calculatedColumnFormula>
    </tableColumn>
    <tableColumn id="12" xr3:uid="{52E129C8-0861-4D43-9E47-B9A6BD9C1CE8}" name="Product ID"/>
    <tableColumn id="15" xr3:uid="{73D84BB4-ABAB-6743-A677-84C695C6818C}" name="Product Name"/>
    <tableColumn id="13" xr3:uid="{A6CFDCE5-B2DF-D742-8195-A685F7DB9EDF}" name="Category" dataDxfId="126"/>
    <tableColumn id="14" xr3:uid="{D9983551-F6C5-694A-B210-F1CDB6C8D9F0}" name="Sub-Category" dataDxfId="125"/>
    <tableColumn id="6" xr3:uid="{C5901B95-927F-B64E-B1DB-8CDC04DB4AF6}" name="Customer ID"/>
    <tableColumn id="7" xr3:uid="{EA16DF06-5042-2240-8602-61E5035B610C}" name="Segment" dataDxfId="124"/>
    <tableColumn id="17" xr3:uid="{812A8866-FB68-AE4D-A4B3-E8DAFADBA0A0}" name="Quantity" dataDxfId="123"/>
    <tableColumn id="4" xr3:uid="{0D5D1C04-AC70-D44E-80F7-154D38FA58B5}" name="Ship Date" dataDxfId="122"/>
    <tableColumn id="20" xr3:uid="{A51A60A6-54ED-DC40-82DA-AA54D17A6CE8}" name="Shipping Days" dataDxfId="121">
      <calculatedColumnFormula>Table12[[#This Row],[Ship Date]]-Table12[[#This Row],[Order Date]]</calculatedColumnFormula>
    </tableColumn>
    <tableColumn id="5" xr3:uid="{978E29D1-76D6-A14F-9734-35FA8912B10B}" name="Ship Mode" dataDxfId="120"/>
    <tableColumn id="8" xr3:uid="{3A8B9A17-BB8B-3A48-AB42-FB7A9823A1C3}" name="Country" dataDxfId="119"/>
    <tableColumn id="10" xr3:uid="{22A4D4ED-05AD-3F4C-903D-0B499D16267E}" name="State" dataDxfId="118"/>
    <tableColumn id="11" xr3:uid="{9AF70ED8-3BEB-2D4F-95C6-8AB4669EC017}" name="Region" dataDxfId="117"/>
    <tableColumn id="9" xr3:uid="{BACA80DE-AF5C-0F46-A090-7C8BE0571CD3}" name="City" dataDxfId="116"/>
    <tableColumn id="18" xr3:uid="{52EEB239-DFAD-7E43-BE14-21834DFD7F6E}" name="Discount" dataDxfId="115"/>
    <tableColumn id="16" xr3:uid="{580B70CC-C8AD-8D44-AE93-5D2C16D9EFF2}" name="Sales" dataDxfId="114"/>
    <tableColumn id="19" xr3:uid="{30B8D7FB-5E7B-9440-B3DD-54ACE798BF39}" name="Profit" dataDxfId="113"/>
    <tableColumn id="21" xr3:uid="{5641C08B-CBD4-5C45-822E-FD1EB6E54D6D}" name="Profit Margin" dataCellStyle="Percent">
      <calculatedColumnFormula>IFERROR(Table12[[#This Row],[Profit]]/Table12[[#This Row],[Sales]],0)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971CE2E-DA4B-D84C-94D4-B32A1F4A7FE7}" name="Table11" displayName="Table11" ref="A1:V2103" totalsRowShown="0" dataDxfId="112" tableBorderDxfId="111">
  <autoFilter ref="A1:V2103" xr:uid="{0971CE2E-DA4B-D84C-94D4-B32A1F4A7FE7}"/>
  <tableColumns count="22">
    <tableColumn id="1" xr3:uid="{F92F3209-59A2-1042-825F-275985DEC699}" name="Row ID" dataDxfId="110"/>
    <tableColumn id="2" xr3:uid="{E3CADD7B-E70B-1045-BE85-0774D921296F}" name="Order ID" dataDxfId="109"/>
    <tableColumn id="3" xr3:uid="{C93C8FCD-1AA0-FF4C-A906-D487AAEE3E4C}" name="Order Date" dataDxfId="108"/>
    <tableColumn id="21" xr3:uid="{593EB8AF-D2CA-7F4E-A6A3-ED5C767BCA75}" name="Month Number" dataDxfId="107">
      <calculatedColumnFormula>MONTH(Table11[[#This Row],[Order Date]])</calculatedColumnFormula>
    </tableColumn>
    <tableColumn id="12" xr3:uid="{ED4CCDFA-64AD-1848-909A-116782A6DB7F}" name="Product ID" dataDxfId="106"/>
    <tableColumn id="15" xr3:uid="{6446D999-0422-C544-BCA3-831C6BD4B368}" name="Product Name" dataDxfId="105"/>
    <tableColumn id="13" xr3:uid="{0B8B8BF4-E9A4-8D41-BDD6-5FF8D94DC165}" name="Category" dataDxfId="104"/>
    <tableColumn id="14" xr3:uid="{891FEED3-682E-1B49-BFC7-89410E514655}" name="Sub-Category" dataDxfId="103"/>
    <tableColumn id="6" xr3:uid="{30A634B1-D239-264C-BE79-C63CA89CEB9E}" name="Customer ID" dataDxfId="102"/>
    <tableColumn id="7" xr3:uid="{AB4B7CF0-F3E3-0C44-A942-895680B0FE11}" name="Segment" dataDxfId="101"/>
    <tableColumn id="17" xr3:uid="{F57DD5AA-8255-7049-A44F-CD68D2A95A1D}" name="Quantity" dataDxfId="100"/>
    <tableColumn id="4" xr3:uid="{C40F1512-C7EC-3D42-8421-93862BC20EC1}" name="Ship Date" dataDxfId="99"/>
    <tableColumn id="20" xr3:uid="{6DB7F457-1300-7B44-B71D-2A3EF39F6AE8}" name="Shipping Days" dataDxfId="98">
      <calculatedColumnFormula>Table11[[#This Row],[Ship Date]]-Table11[[#This Row],[Order Date]]</calculatedColumnFormula>
    </tableColumn>
    <tableColumn id="5" xr3:uid="{E82C4327-1599-F043-8540-9282400282AE}" name="Ship Mode" dataDxfId="97"/>
    <tableColumn id="8" xr3:uid="{0EBD3236-EC14-F24F-B000-98EFE89133DE}" name="Country" dataDxfId="96"/>
    <tableColumn id="10" xr3:uid="{7729B692-AC5C-C449-99E4-A21E32D2CB49}" name="State" dataDxfId="95"/>
    <tableColumn id="11" xr3:uid="{D822DD9B-9C16-6A4E-8045-415A9F8F0375}" name="Region" dataDxfId="94"/>
    <tableColumn id="9" xr3:uid="{818A45DC-9804-3B49-BD93-B23E53D19663}" name="City" dataDxfId="93"/>
    <tableColumn id="18" xr3:uid="{A6BE6F91-39E5-6249-9258-A8E654716C4E}" name="Discount" dataDxfId="92"/>
    <tableColumn id="16" xr3:uid="{0C04500C-4D1F-D242-BFD1-3057B2BB5696}" name="Sales" dataDxfId="91"/>
    <tableColumn id="19" xr3:uid="{D46E01F2-D5F2-AF4A-9BA6-93FB4FC8407A}" name="Profit" dataDxfId="90"/>
    <tableColumn id="23" xr3:uid="{712E8FDB-2293-D848-BB10-5FC8DD7B8056}" name="Profit Margin" dataDxfId="89" dataCellStyle="Percent">
      <calculatedColumnFormula>Table11[[#This Row],[Profit]]/Table11[[#This Row],[Sales]]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F3BE2A1-5FED-6C4C-9E6C-17BF76A1B382}" name="Table10" displayName="Table10" ref="A1:V2588" totalsRowShown="0" tableBorderDxfId="88">
  <autoFilter ref="A1:V2588" xr:uid="{FF3BE2A1-5FED-6C4C-9E6C-17BF76A1B382}"/>
  <tableColumns count="22">
    <tableColumn id="1" xr3:uid="{24530A5F-147C-9C4F-AE8B-7FB479E1B543}" name="Row ID"/>
    <tableColumn id="2" xr3:uid="{C8687688-A42E-DA42-AC2B-81C0C7CA6A46}" name="Order ID"/>
    <tableColumn id="3" xr3:uid="{6FCCF914-B322-D240-92B0-84C457C80D0D}" name="Order Date" dataDxfId="87"/>
    <tableColumn id="21" xr3:uid="{5EF8981D-6769-3C44-BB16-0B823E5C789A}" name="Month Number" dataDxfId="86">
      <calculatedColumnFormula>MONTH(Table10[[#This Row],[Order Date]])</calculatedColumnFormula>
    </tableColumn>
    <tableColumn id="12" xr3:uid="{1627E34F-2228-0748-8CEF-8F588653E79A}" name="Product ID"/>
    <tableColumn id="15" xr3:uid="{94DDB5DA-0982-F840-8A49-EB47A9D7C786}" name="Product Name"/>
    <tableColumn id="13" xr3:uid="{31B88349-C36F-4242-BB04-33BDB9337984}" name="Category" dataDxfId="85"/>
    <tableColumn id="14" xr3:uid="{1B7DE73C-3013-104D-8DE7-78963FFB8F79}" name="Sub-Category" dataDxfId="84"/>
    <tableColumn id="6" xr3:uid="{30CF5EEF-247B-8649-8938-FCFFAF270820}" name="Customer ID"/>
    <tableColumn id="7" xr3:uid="{9009F166-9F2B-CA4E-B952-FFCBE515CC31}" name="Segment"/>
    <tableColumn id="17" xr3:uid="{B406AFD8-1E4F-144E-BBEE-867CECBF0197}" name="Quantity" dataDxfId="83"/>
    <tableColumn id="4" xr3:uid="{4E123F16-67A0-484C-ABD1-C0C2D2C570A2}" name="Ship Date" dataDxfId="82"/>
    <tableColumn id="20" xr3:uid="{53FE0ACD-B263-1F4F-806F-CAFFC9A9FF64}" name="Shipping Days" dataDxfId="81">
      <calculatedColumnFormula>Table10[[#This Row],[Ship Date]]-Table10[[#This Row],[Order Date]]</calculatedColumnFormula>
    </tableColumn>
    <tableColumn id="5" xr3:uid="{3C8383C6-80B6-1E4F-9A9A-56970496F77C}" name="Ship Mode"/>
    <tableColumn id="8" xr3:uid="{EB401643-ABAE-7C4E-BAAF-72F257CBEB82}" name="Country"/>
    <tableColumn id="10" xr3:uid="{34F0DBA6-9A68-8C46-AF13-25DD9A06F534}" name="State"/>
    <tableColumn id="11" xr3:uid="{EDCA2499-1339-8340-9A8D-05270D102299}" name="Region"/>
    <tableColumn id="9" xr3:uid="{C695723E-B188-B441-BA33-C0B416DE5B24}" name="City"/>
    <tableColumn id="18" xr3:uid="{63DC146F-CF54-8C4C-AA02-F84D8F825F58}" name="Discount" dataDxfId="80"/>
    <tableColumn id="16" xr3:uid="{210A8096-9003-4A41-A9F8-576043BBA007}" name="Sales" dataDxfId="79"/>
    <tableColumn id="19" xr3:uid="{0F7E27A3-65BA-6A4B-BA95-068A60991D58}" name="Profit" dataDxfId="78"/>
    <tableColumn id="22" xr3:uid="{0073E7C8-3469-9F4B-A7FF-01FDA8D6B1B0}" name="Profit Margin" dataDxfId="77">
      <calculatedColumnFormula>Table10[[#This Row],[Profit]]/Table10[[#This Row],[Sales]]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1F8531-7C97-1348-AE0D-D9213F7D5518}" name="Table3" displayName="Table3" ref="A1:V3313" totalsRowShown="0" tableBorderDxfId="76">
  <autoFilter ref="A1:V3313" xr:uid="{D91F8531-7C97-1348-AE0D-D9213F7D5518}"/>
  <tableColumns count="22">
    <tableColumn id="1" xr3:uid="{8530F02A-44A3-7942-93BA-1CBF35DBCB20}" name="Row ID"/>
    <tableColumn id="2" xr3:uid="{A237D791-79BA-824C-9746-17741B1FFC8F}" name="Order ID"/>
    <tableColumn id="3" xr3:uid="{B8A26B98-BD2E-004C-B319-196CBC8FD3A9}" name="Order Date" dataDxfId="75"/>
    <tableColumn id="21" xr3:uid="{9B0B4C92-09CB-574F-BF79-218C5B747015}" name="Month Number" dataDxfId="74">
      <calculatedColumnFormula>MONTH(Table3[[#This Row],[Order Date]])</calculatedColumnFormula>
    </tableColumn>
    <tableColumn id="12" xr3:uid="{44D12B8B-B898-AA49-91F7-307AD6FC7C1B}" name="Product ID"/>
    <tableColumn id="15" xr3:uid="{D78EEB48-EF00-B149-91FB-14432F2F8A01}" name="Product Name"/>
    <tableColumn id="13" xr3:uid="{DAF2F119-B61B-7541-B655-8ED20161CE66}" name="Category" dataDxfId="73"/>
    <tableColumn id="14" xr3:uid="{74743BDE-B90A-2A45-AE4F-817D62AF0E9C}" name="Sub-Category" dataDxfId="72"/>
    <tableColumn id="6" xr3:uid="{C1859645-1EE3-344E-9B87-C4398D995B60}" name="Customer ID"/>
    <tableColumn id="7" xr3:uid="{DBE48E2C-EB3B-BB45-B10F-ACC424C846A1}" name="Segment"/>
    <tableColumn id="17" xr3:uid="{5A8DB5B8-7AA6-1E43-B21A-ABED9D69F812}" name="Quantity" dataDxfId="71"/>
    <tableColumn id="4" xr3:uid="{D7230C7C-A4A1-1648-AD5A-ED8FF8913D5C}" name="Ship Date" dataDxfId="70"/>
    <tableColumn id="20" xr3:uid="{2A90894A-738B-8045-AD8C-56DA14BFCD61}" name="Shipping Days" dataDxfId="69">
      <calculatedColumnFormula>Table3[[#This Row],[Ship Date]]-Table3[[#This Row],[Order Date]]</calculatedColumnFormula>
    </tableColumn>
    <tableColumn id="5" xr3:uid="{BAAD3219-71E7-594F-85F3-DD40DA7D7FEC}" name="Ship Mode" dataDxfId="68"/>
    <tableColumn id="8" xr3:uid="{0510588D-DB9D-DC40-99CC-1B2030EE100A}" name="Country" dataDxfId="67"/>
    <tableColumn id="10" xr3:uid="{95FE90CF-1E08-4548-88DE-9C43521F38F9}" name="State" dataDxfId="66"/>
    <tableColumn id="11" xr3:uid="{DA17A573-6BED-D747-AB40-0F53BD658182}" name="Region" dataDxfId="65"/>
    <tableColumn id="9" xr3:uid="{C8404878-B3E9-E149-B5A7-987F1E1B9530}" name="City" dataDxfId="64"/>
    <tableColumn id="18" xr3:uid="{4202D725-FCC4-374C-893A-D9EDA2269BD9}" name="Discount" dataDxfId="63"/>
    <tableColumn id="16" xr3:uid="{F347A9E1-8A69-0845-B295-492FB6C3AA1C}" name="Sales" dataDxfId="62"/>
    <tableColumn id="19" xr3:uid="{FB3BE456-2DDD-994C-BC8C-DDA5001327FB}" name="Profit" dataDxfId="61"/>
    <tableColumn id="22" xr3:uid="{D05D7DEE-C033-5347-9F1D-D5D26A2E3748}" name="Profit Margin" dataCellStyle="Percent">
      <calculatedColumnFormula>Table3[[#This Row],[Profit]]/Table3[[#This Row],[Sales]]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43A104F-3746-8F4A-8AAB-9E4A37CD6B9D}" name="Table14" displayName="Table14" ref="A1:F6" totalsRowShown="0" headerRowDxfId="60" tableBorderDxfId="59">
  <autoFilter ref="A1:F6" xr:uid="{D43A104F-3746-8F4A-8AAB-9E4A37CD6B9D}"/>
  <tableColumns count="6">
    <tableColumn id="1" xr3:uid="{C077A409-DE83-E445-A295-19A55CC161D4}" name="Data Issues" dataDxfId="58"/>
    <tableColumn id="2" xr3:uid="{CC36D015-A12A-7346-9113-92670FD083AE}" name="2014"/>
    <tableColumn id="3" xr3:uid="{887C8370-6453-7D4E-B9CD-9AAE102DE08F}" name="2015"/>
    <tableColumn id="4" xr3:uid="{49BDE0AD-20B5-4F41-88EF-AFC7B0989669}" name="2016"/>
    <tableColumn id="5" xr3:uid="{64AFC179-0DEF-644E-A313-CF0B2BF0A777}" name="2017"/>
    <tableColumn id="6" xr3:uid="{E16C5102-9AA8-9748-B11B-D91DB0804A7E}" name="Grand Total" dataDxfId="57">
      <calculatedColumnFormula>SUM(Table14[[#This Row],[2014]:[2017]])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BB4D17-AAAE-8446-8B84-23CE186320E5}" name="Table2" displayName="Table2" ref="A21:F34" totalsRowShown="0" headerRowDxfId="56" headerRowBorderDxfId="55" tableBorderDxfId="54">
  <autoFilter ref="A21:F34" xr:uid="{92BB4D17-AAAE-8446-8B84-23CE186320E5}"/>
  <tableColumns count="6">
    <tableColumn id="1" xr3:uid="{BB9910B5-AE17-A14C-AA8B-9F45BB59D889}" name="Monthly Sales" dataDxfId="53"/>
    <tableColumn id="2" xr3:uid="{D5D41967-C3F7-264B-AA97-D54015FFA9A2}" name="2014" dataDxfId="52"/>
    <tableColumn id="3" xr3:uid="{8D746025-4B7B-0D46-A835-0BA574451971}" name="2015" dataDxfId="51"/>
    <tableColumn id="4" xr3:uid="{88C6B688-EE51-DA42-BBD7-2E00F2D7CAA8}" name="2016" dataDxfId="50"/>
    <tableColumn id="5" xr3:uid="{78216783-AEA1-AE4A-AE81-ED03553EE9D1}" name="2017" dataDxfId="49"/>
    <tableColumn id="6" xr3:uid="{02DE5F1E-6859-D54E-87BB-A20BA7336B67}" name="Grand Sales" dataDxfId="48">
      <calculatedColumnFormula>SUM(Table2[[#This Row],[2014]:[2017]])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5B469F-8BDC-5F49-ACC1-72C697F5FAA9}" name="Table25" displayName="Table25" ref="A35:F48" totalsRowShown="0" headerRowDxfId="47" headerRowBorderDxfId="46" tableBorderDxfId="45">
  <autoFilter ref="A35:F48" xr:uid="{3A5B469F-8BDC-5F49-ACC1-72C697F5FAA9}"/>
  <tableColumns count="6">
    <tableColumn id="1" xr3:uid="{658A2E62-8343-A349-8CA8-C33D6E8515E5}" name="Monthly Profit" dataDxfId="44"/>
    <tableColumn id="2" xr3:uid="{4E825C93-6C54-AB41-B446-F7A327301E17}" name="2014" dataDxfId="43"/>
    <tableColumn id="3" xr3:uid="{DED2C400-9E21-634F-84DC-92AFD53BD639}" name="2015" dataDxfId="42"/>
    <tableColumn id="4" xr3:uid="{CF44768F-41D4-314B-9BE4-2FF985C5CDE9}" name="2016" dataDxfId="41"/>
    <tableColumn id="5" xr3:uid="{EF477054-3A1C-264A-A23F-B5CBD6CE46DD}" name="2017" dataDxfId="40"/>
    <tableColumn id="6" xr3:uid="{A8FC6276-F926-B745-9D94-65C33CC0C470}" name="Grand Sales" dataDxfId="39">
      <calculatedColumnFormula>SUM(Table25[[#This Row],[2014]:[2017]])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329569-8D8F-BE45-B4B1-A1CC23F84E30}" name="Table256" displayName="Table256" ref="A50:F58" headerRowCount="0" totalsRowShown="0" headerRowBorderDxfId="38" tableBorderDxfId="37">
  <tableColumns count="6">
    <tableColumn id="1" xr3:uid="{ABF8FE02-C80A-E84C-B6A1-6E6874E911A2}" name="Column1" dataDxfId="36"/>
    <tableColumn id="2" xr3:uid="{38EB7B00-4C92-C647-93BB-E5ED29B0C746}" name="Column2" dataDxfId="35"/>
    <tableColumn id="3" xr3:uid="{17A9193D-56CA-8A4D-8D68-7949D1D145D0}" name="Column3" dataDxfId="34"/>
    <tableColumn id="4" xr3:uid="{5C730180-F74B-9942-B683-3651A0E5A9B9}" name="Column4" dataDxfId="33"/>
    <tableColumn id="5" xr3:uid="{FA7146A8-FE28-FE4A-B3B8-BA1B1DCDF32E}" name="Column5" dataDxfId="32"/>
    <tableColumn id="6" xr3:uid="{F44DEFD9-3FEB-A947-9377-9FC9C54E3E20}" name="Column6" dataDxfId="31">
      <calculatedColumnFormula>SUM(Table256[[#This Row],[Column2]:[Column5]])</calculatedColumnFormula>
    </tableColumn>
  </tableColumns>
  <tableStyleInfo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D4C42B-167F-B54C-BAD3-D6430D7326AA}" name="Table6" displayName="Table6" ref="A1:E6" totalsRowShown="0">
  <autoFilter ref="A1:E6" xr:uid="{44D4C42B-167F-B54C-BAD3-D6430D7326AA}"/>
  <tableColumns count="5">
    <tableColumn id="1" xr3:uid="{47989DCA-A083-8447-BA99-8194B0807F13}" name="KPI"/>
    <tableColumn id="2" xr3:uid="{C26AFCB3-03CE-8944-AFC3-28E918B4A88D}" name="2014" dataDxfId="30"/>
    <tableColumn id="3" xr3:uid="{AEBBD5A2-F461-F04F-A44D-913B8C87B0A1}" name="2015" dataDxfId="29"/>
    <tableColumn id="4" xr3:uid="{CFF62E42-45A4-184A-BC2E-6512DD8E4F15}" name="2016" dataDxfId="28"/>
    <tableColumn id="5" xr3:uid="{89404BC2-E3CC-3544-BF68-A277631B17D6}" name="2017" dataDxfId="2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4907BD0-0746-0543-93F1-F0F3270BBA89}" name="Table7" displayName="Table7" ref="A11:E24" totalsRowShown="0">
  <autoFilter ref="A11:E24" xr:uid="{14907BD0-0746-0543-93F1-F0F3270BBA89}"/>
  <tableColumns count="5">
    <tableColumn id="1" xr3:uid="{FD5A06E9-1502-CA49-8E4B-9F30F5351009}" name="Monthly Sales"/>
    <tableColumn id="2" xr3:uid="{75663575-F08D-494E-ADD6-24C3AC83F446}" name="2014" dataDxfId="26"/>
    <tableColumn id="3" xr3:uid="{447515BD-9FB5-0A41-99D2-39E57D542493}" name="2015" dataDxfId="25"/>
    <tableColumn id="4" xr3:uid="{55E5F13D-BA46-3249-BDDD-CF07091562E6}" name="2016" dataDxfId="24"/>
    <tableColumn id="5" xr3:uid="{0153638B-8949-FE4A-B808-2D857AF1B4B0}" name="2017" dataDxfId="2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752373-FD8B-3E41-82F1-4B2E30ADE71B}" name="Table8" displayName="Table8" ref="A29:E42" totalsRowShown="0">
  <autoFilter ref="A29:E42" xr:uid="{46752373-FD8B-3E41-82F1-4B2E30ADE71B}"/>
  <tableColumns count="5">
    <tableColumn id="1" xr3:uid="{DE7558D0-0A48-DA40-90BB-0BBF23A71E44}" name="Monthly Profit"/>
    <tableColumn id="2" xr3:uid="{68DDA6B2-C9C8-7440-BE0B-E57AC92A1E02}" name="2014" dataDxfId="22"/>
    <tableColumn id="3" xr3:uid="{353D7042-F721-5B4E-8AC9-A58B8CE266E8}" name="2015" dataDxfId="21"/>
    <tableColumn id="4" xr3:uid="{8C6C85D0-7A57-BA4D-AEF4-E560DD1AD528}" name="2016" dataDxfId="20"/>
    <tableColumn id="5" xr3:uid="{E997D493-012C-7C4C-9B1D-7EA6BEF3688F}" name="2017" dataDxfId="19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CFFCF85-F685-C547-B9E2-039D5295BA3A}" name="Table13" displayName="Table13" ref="A47:E51" totalsRowShown="0" headerRowDxfId="13" dataDxfId="14" dataCellStyle="Comma">
  <autoFilter ref="A47:E51" xr:uid="{1CFFCF85-F685-C547-B9E2-039D5295BA3A}"/>
  <tableColumns count="5">
    <tableColumn id="1" xr3:uid="{6676F2C1-BFFA-F545-8915-9F05C5C1ED01}" name="Categroy"/>
    <tableColumn id="2" xr3:uid="{2C47ED93-40F9-A34E-A57E-24EB2D698F8A}" name="2014" dataDxfId="18" dataCellStyle="Comma"/>
    <tableColumn id="3" xr3:uid="{AEFDB8B3-EBCF-C946-A931-610666D4749A}" name="2015" dataDxfId="17" dataCellStyle="Comma"/>
    <tableColumn id="4" xr3:uid="{869135EB-A3C3-A942-8619-036D4FC4DBFE}" name="2016" dataDxfId="16" dataCellStyle="Comma"/>
    <tableColumn id="5" xr3:uid="{87DCEE9A-F041-5A48-B4F9-3789A7F86AC5}" name="2017" dataDxfId="15" dataCellStyle="Comm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E22481C-846A-9B42-ABC1-0201F30DC038}" name="Table15" displayName="Table15" ref="A56:E60" totalsRowShown="0">
  <autoFilter ref="A56:E60" xr:uid="{1E22481C-846A-9B42-ABC1-0201F30DC038}"/>
  <tableColumns count="5">
    <tableColumn id="1" xr3:uid="{AA62DE87-B1B3-254A-9384-19E01749B795}" name="Categroy"/>
    <tableColumn id="2" xr3:uid="{D4BD1DA2-F137-3340-9D17-C880A06A989E}" name="2014" dataDxfId="12"/>
    <tableColumn id="3" xr3:uid="{52A9588D-522B-3F45-A0DB-62C083E4BBCD}" name="2015" dataDxfId="11"/>
    <tableColumn id="4" xr3:uid="{536F6372-E990-7346-857E-0E01081D54E2}" name="2016" dataDxfId="10"/>
    <tableColumn id="5" xr3:uid="{B447C82F-6BD4-7C49-AA0F-711F6E94ABCD}" name="2017" dataDxfId="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96CB327-4F8F-9D48-A9B8-7B05DB65AFBB}" name="Table16" displayName="Table16" ref="A65:E69" totalsRowShown="0">
  <autoFilter ref="A65:E69" xr:uid="{696CB327-4F8F-9D48-A9B8-7B05DB65AFBB}"/>
  <tableColumns count="5">
    <tableColumn id="1" xr3:uid="{2E437333-436F-B845-B87C-1C29EF5869E7}" name="Categroy"/>
    <tableColumn id="2" xr3:uid="{FF6CA895-022C-4B46-9C6D-1D08CBB132E3}" name="2014" dataDxfId="8"/>
    <tableColumn id="3" xr3:uid="{BB373219-AFCF-5244-9B53-1C2135486779}" name="2015" dataDxfId="7"/>
    <tableColumn id="4" xr3:uid="{F57E0402-01DC-5D42-A372-0F9615FA7E11}" name="2016" dataDxfId="6"/>
    <tableColumn id="5" xr3:uid="{2DB7C9C1-00A5-304F-A1CD-850AEE9FC730}" name="2017" dataDxfId="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3ED558A-0E6D-1040-BED6-E5B8570681D0}" name="Table17" displayName="Table17" ref="A74:E76" totalsRowShown="0">
  <autoFilter ref="A74:E76" xr:uid="{83ED558A-0E6D-1040-BED6-E5B8570681D0}"/>
  <tableColumns count="5">
    <tableColumn id="1" xr3:uid="{0DB58D38-B515-C943-865A-D062667079F5}" name="Profit"/>
    <tableColumn id="2" xr3:uid="{CCEDB22B-802F-CE4A-A3B9-D2F112988A58}" name="2014">
      <calculatedColumnFormula>B$75/Analysis!B$20</calculatedColumnFormula>
    </tableColumn>
    <tableColumn id="3" xr3:uid="{0E48A690-9222-404F-A577-0DACC49F8C7D}" name="2015">
      <calculatedColumnFormula>C$75/Analysis!C$20</calculatedColumnFormula>
    </tableColumn>
    <tableColumn id="4" xr3:uid="{1ADC0E6B-F358-054A-9E45-5B36746ED516}" name="2016">
      <calculatedColumnFormula>D$75/Analysis!D$20</calculatedColumnFormula>
    </tableColumn>
    <tableColumn id="5" xr3:uid="{D08ECD23-886B-E544-9E3A-3AD95CC1AB5D}" name="2017">
      <calculatedColumnFormula>E$75/Analysis!E$20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7" Type="http://schemas.openxmlformats.org/officeDocument/2006/relationships/table" Target="../tables/table15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79CC6-F524-104E-B785-3BC9EF2ECF0D}">
  <dimension ref="A1:V1993"/>
  <sheetViews>
    <sheetView tabSelected="1" zoomScale="93" zoomScaleNormal="93" workbookViewId="0">
      <selection activeCell="D6" sqref="D6"/>
    </sheetView>
  </sheetViews>
  <sheetFormatPr baseColWidth="10" defaultRowHeight="16" x14ac:dyDescent="0.2"/>
  <cols>
    <col min="1" max="1" width="11.1640625" bestFit="1" customWidth="1"/>
    <col min="2" max="2" width="14.83203125" bestFit="1" customWidth="1"/>
    <col min="3" max="3" width="12.6640625" bestFit="1" customWidth="1"/>
    <col min="4" max="4" width="12.6640625" style="22" customWidth="1"/>
    <col min="5" max="5" width="16.6640625" bestFit="1" customWidth="1"/>
    <col min="6" max="6" width="89.33203125" bestFit="1" customWidth="1"/>
    <col min="7" max="7" width="13.1640625" bestFit="1" customWidth="1"/>
    <col min="8" max="8" width="14.83203125" bestFit="1" customWidth="1"/>
    <col min="9" max="9" width="14.1640625" bestFit="1" customWidth="1"/>
    <col min="10" max="10" width="11.1640625" bestFit="1" customWidth="1"/>
    <col min="11" max="11" width="10.6640625" bestFit="1" customWidth="1"/>
    <col min="12" max="12" width="11.5" bestFit="1" customWidth="1"/>
    <col min="13" max="13" width="11.5" customWidth="1"/>
    <col min="14" max="14" width="13.33203125" bestFit="1" customWidth="1"/>
    <col min="15" max="15" width="12" bestFit="1" customWidth="1"/>
    <col min="16" max="16" width="14" bestFit="1" customWidth="1"/>
    <col min="17" max="17" width="9.33203125" bestFit="1" customWidth="1"/>
    <col min="18" max="18" width="17.5" bestFit="1" customWidth="1"/>
    <col min="19" max="19" width="11.1640625" bestFit="1" customWidth="1"/>
    <col min="20" max="20" width="11.5" bestFit="1" customWidth="1"/>
    <col min="21" max="21" width="11.1640625" bestFit="1" customWidth="1"/>
    <col min="22" max="22" width="10.83203125" style="55"/>
    <col min="23" max="23" width="11.5" bestFit="1" customWidth="1"/>
    <col min="24" max="24" width="13.5" bestFit="1" customWidth="1"/>
    <col min="25" max="25" width="11.1640625" bestFit="1" customWidth="1"/>
    <col min="31" max="31" width="9.33203125" bestFit="1" customWidth="1"/>
    <col min="32" max="33" width="9.1640625" bestFit="1" customWidth="1"/>
    <col min="34" max="34" width="10.6640625" bestFit="1" customWidth="1"/>
    <col min="35" max="35" width="9.1640625" bestFit="1" customWidth="1"/>
    <col min="36" max="36" width="10.6640625" bestFit="1" customWidth="1"/>
    <col min="37" max="37" width="11.1640625" bestFit="1" customWidth="1"/>
    <col min="38" max="38" width="10.83203125" bestFit="1" customWidth="1"/>
  </cols>
  <sheetData>
    <row r="1" spans="1:22" x14ac:dyDescent="0.2">
      <c r="A1" s="10" t="s">
        <v>0</v>
      </c>
      <c r="B1" s="10" t="s">
        <v>1</v>
      </c>
      <c r="C1" s="11" t="s">
        <v>2</v>
      </c>
      <c r="D1" s="31" t="s">
        <v>10169</v>
      </c>
      <c r="E1" s="10" t="s">
        <v>11</v>
      </c>
      <c r="F1" s="10" t="s">
        <v>14</v>
      </c>
      <c r="G1" s="30" t="s">
        <v>12</v>
      </c>
      <c r="H1" s="30" t="s">
        <v>13</v>
      </c>
      <c r="I1" s="10" t="s">
        <v>5</v>
      </c>
      <c r="J1" s="30" t="s">
        <v>6</v>
      </c>
      <c r="K1" s="31" t="s">
        <v>16</v>
      </c>
      <c r="L1" s="11" t="s">
        <v>3</v>
      </c>
      <c r="M1" s="31" t="s">
        <v>10153</v>
      </c>
      <c r="N1" s="30" t="s">
        <v>4</v>
      </c>
      <c r="O1" s="30" t="s">
        <v>7</v>
      </c>
      <c r="P1" s="30" t="s">
        <v>9</v>
      </c>
      <c r="Q1" s="30" t="s">
        <v>10</v>
      </c>
      <c r="R1" s="30" t="s">
        <v>8</v>
      </c>
      <c r="S1" s="32" t="s">
        <v>17</v>
      </c>
      <c r="T1" s="12" t="s">
        <v>15</v>
      </c>
      <c r="U1" s="12" t="s">
        <v>18</v>
      </c>
      <c r="V1" s="54" t="s">
        <v>10154</v>
      </c>
    </row>
    <row r="2" spans="1:22" x14ac:dyDescent="0.2">
      <c r="A2">
        <v>1</v>
      </c>
      <c r="B2" t="s">
        <v>8985</v>
      </c>
      <c r="C2" s="1">
        <v>41642</v>
      </c>
      <c r="D2" s="22">
        <f>MONTH(Table12[[#This Row],[Order Date]])</f>
        <v>1</v>
      </c>
      <c r="E2" t="s">
        <v>5922</v>
      </c>
      <c r="F2" t="s">
        <v>5923</v>
      </c>
      <c r="G2" s="23" t="s">
        <v>41</v>
      </c>
      <c r="H2" s="23" t="s">
        <v>82</v>
      </c>
      <c r="I2" t="s">
        <v>224</v>
      </c>
      <c r="J2" s="23" t="s">
        <v>22</v>
      </c>
      <c r="K2" s="22">
        <v>2</v>
      </c>
      <c r="L2" s="1">
        <v>41646</v>
      </c>
      <c r="M2" s="22">
        <f>Table12[[#This Row],[Ship Date]]-Table12[[#This Row],[Order Date]]</f>
        <v>4</v>
      </c>
      <c r="N2" s="23" t="s">
        <v>45</v>
      </c>
      <c r="O2" s="23" t="s">
        <v>23</v>
      </c>
      <c r="P2" s="23" t="s">
        <v>94</v>
      </c>
      <c r="Q2" s="23" t="s">
        <v>95</v>
      </c>
      <c r="R2" s="23" t="s">
        <v>165</v>
      </c>
      <c r="S2" s="33">
        <v>0.2</v>
      </c>
      <c r="T2" s="13">
        <v>16.448</v>
      </c>
      <c r="U2" s="13">
        <v>5.5511999999999997</v>
      </c>
      <c r="V2" s="55">
        <f>IFERROR(Table12[[#This Row],[Profit]]/Table12[[#This Row],[Sales]],0)</f>
        <v>0.33749999999999997</v>
      </c>
    </row>
    <row r="3" spans="1:22" x14ac:dyDescent="0.2">
      <c r="A3">
        <v>2</v>
      </c>
      <c r="B3" t="s">
        <v>2079</v>
      </c>
      <c r="C3" s="1">
        <v>41643</v>
      </c>
      <c r="D3" s="22">
        <f>MONTH(Table12[[#This Row],[Order Date]])</f>
        <v>1</v>
      </c>
      <c r="E3" t="s">
        <v>2081</v>
      </c>
      <c r="F3" t="s">
        <v>2082</v>
      </c>
      <c r="G3" s="23" t="s">
        <v>41</v>
      </c>
      <c r="H3" s="23" t="s">
        <v>42</v>
      </c>
      <c r="I3" t="s">
        <v>2080</v>
      </c>
      <c r="J3" s="23" t="s">
        <v>92</v>
      </c>
      <c r="K3" s="22">
        <v>3</v>
      </c>
      <c r="L3" s="1">
        <v>41647</v>
      </c>
      <c r="M3" s="22">
        <f>Table12[[#This Row],[Ship Date]]-Table12[[#This Row],[Order Date]]</f>
        <v>4</v>
      </c>
      <c r="N3" s="23" t="s">
        <v>45</v>
      </c>
      <c r="O3" s="23" t="s">
        <v>23</v>
      </c>
      <c r="P3" s="23" t="s">
        <v>189</v>
      </c>
      <c r="Q3" s="23" t="s">
        <v>95</v>
      </c>
      <c r="R3" s="23" t="s">
        <v>188</v>
      </c>
      <c r="S3" s="33">
        <v>0.2</v>
      </c>
      <c r="T3" s="13">
        <v>11.784000000000001</v>
      </c>
      <c r="U3" s="13">
        <v>4.2717000000000001</v>
      </c>
      <c r="V3" s="55">
        <f>IFERROR(Table12[[#This Row],[Profit]]/Table12[[#This Row],[Sales]],0)</f>
        <v>0.36249999999999999</v>
      </c>
    </row>
    <row r="4" spans="1:22" x14ac:dyDescent="0.2">
      <c r="A4">
        <v>3</v>
      </c>
      <c r="B4" t="s">
        <v>2079</v>
      </c>
      <c r="C4" s="1">
        <v>41643</v>
      </c>
      <c r="D4" s="22">
        <f>MONTH(Table12[[#This Row],[Order Date]])</f>
        <v>1</v>
      </c>
      <c r="E4" t="s">
        <v>1443</v>
      </c>
      <c r="F4" t="s">
        <v>1444</v>
      </c>
      <c r="G4" s="23" t="s">
        <v>41</v>
      </c>
      <c r="H4" s="23" t="s">
        <v>53</v>
      </c>
      <c r="I4" t="s">
        <v>2080</v>
      </c>
      <c r="J4" s="23" t="s">
        <v>92</v>
      </c>
      <c r="K4" s="22">
        <v>3</v>
      </c>
      <c r="L4" s="1">
        <v>41647</v>
      </c>
      <c r="M4" s="22">
        <f>Table12[[#This Row],[Ship Date]]-Table12[[#This Row],[Order Date]]</f>
        <v>4</v>
      </c>
      <c r="N4" s="23" t="s">
        <v>45</v>
      </c>
      <c r="O4" s="23" t="s">
        <v>23</v>
      </c>
      <c r="P4" s="23" t="s">
        <v>189</v>
      </c>
      <c r="Q4" s="23" t="s">
        <v>95</v>
      </c>
      <c r="R4" s="23" t="s">
        <v>188</v>
      </c>
      <c r="S4" s="33">
        <v>0.2</v>
      </c>
      <c r="T4" s="13">
        <v>272.73599999999999</v>
      </c>
      <c r="U4" s="13">
        <v>-64.774799999999999</v>
      </c>
      <c r="V4" s="55">
        <f>IFERROR(Table12[[#This Row],[Profit]]/Table12[[#This Row],[Sales]],0)</f>
        <v>-0.23750000000000002</v>
      </c>
    </row>
    <row r="5" spans="1:22" x14ac:dyDescent="0.2">
      <c r="A5">
        <v>4</v>
      </c>
      <c r="B5" t="s">
        <v>2079</v>
      </c>
      <c r="C5" s="1">
        <v>41643</v>
      </c>
      <c r="D5" s="22">
        <f>MONTH(Table12[[#This Row],[Order Date]])</f>
        <v>1</v>
      </c>
      <c r="E5" t="s">
        <v>2083</v>
      </c>
      <c r="F5" t="s">
        <v>2084</v>
      </c>
      <c r="G5" s="23" t="s">
        <v>41</v>
      </c>
      <c r="H5" s="23" t="s">
        <v>68</v>
      </c>
      <c r="I5" t="s">
        <v>2080</v>
      </c>
      <c r="J5" s="23" t="s">
        <v>92</v>
      </c>
      <c r="K5" s="22">
        <v>2</v>
      </c>
      <c r="L5" s="1">
        <v>41647</v>
      </c>
      <c r="M5" s="22">
        <f>Table12[[#This Row],[Ship Date]]-Table12[[#This Row],[Order Date]]</f>
        <v>4</v>
      </c>
      <c r="N5" s="23" t="s">
        <v>45</v>
      </c>
      <c r="O5" s="23" t="s">
        <v>23</v>
      </c>
      <c r="P5" s="23" t="s">
        <v>189</v>
      </c>
      <c r="Q5" s="23" t="s">
        <v>95</v>
      </c>
      <c r="R5" s="23" t="s">
        <v>188</v>
      </c>
      <c r="S5" s="33">
        <v>0.8</v>
      </c>
      <c r="T5" s="13">
        <v>3.54</v>
      </c>
      <c r="U5" s="13">
        <v>-5.4870000000000001</v>
      </c>
      <c r="V5" s="55">
        <f>IFERROR(Table12[[#This Row],[Profit]]/Table12[[#This Row],[Sales]],0)</f>
        <v>-1.55</v>
      </c>
    </row>
    <row r="6" spans="1:22" x14ac:dyDescent="0.2">
      <c r="A6">
        <v>5</v>
      </c>
      <c r="B6" t="s">
        <v>3947</v>
      </c>
      <c r="C6" s="1">
        <v>41644</v>
      </c>
      <c r="D6" s="22">
        <f>MONTH(Table12[[#This Row],[Order Date]])</f>
        <v>1</v>
      </c>
      <c r="E6" t="s">
        <v>1257</v>
      </c>
      <c r="F6" t="s">
        <v>1258</v>
      </c>
      <c r="G6" s="23" t="s">
        <v>41</v>
      </c>
      <c r="H6" s="23" t="s">
        <v>61</v>
      </c>
      <c r="I6" t="s">
        <v>3471</v>
      </c>
      <c r="J6" s="23" t="s">
        <v>22</v>
      </c>
      <c r="K6" s="22">
        <v>3</v>
      </c>
      <c r="L6" s="1">
        <v>41651</v>
      </c>
      <c r="M6" s="22">
        <f>Table12[[#This Row],[Ship Date]]-Table12[[#This Row],[Order Date]]</f>
        <v>7</v>
      </c>
      <c r="N6" s="23" t="s">
        <v>45</v>
      </c>
      <c r="O6" s="23" t="s">
        <v>23</v>
      </c>
      <c r="P6" s="23" t="s">
        <v>132</v>
      </c>
      <c r="Q6" s="23" t="s">
        <v>133</v>
      </c>
      <c r="R6" s="23" t="s">
        <v>131</v>
      </c>
      <c r="S6" s="33">
        <v>0.2</v>
      </c>
      <c r="T6" s="13">
        <v>19.536000000000001</v>
      </c>
      <c r="U6" s="13">
        <v>4.8840000000000003</v>
      </c>
      <c r="V6" s="55">
        <f>IFERROR(Table12[[#This Row],[Profit]]/Table12[[#This Row],[Sales]],0)</f>
        <v>0.25</v>
      </c>
    </row>
    <row r="7" spans="1:22" x14ac:dyDescent="0.2">
      <c r="A7">
        <v>6</v>
      </c>
      <c r="B7" t="s">
        <v>7394</v>
      </c>
      <c r="C7" s="1">
        <v>41645</v>
      </c>
      <c r="D7" s="22">
        <f>MONTH(Table12[[#This Row],[Order Date]])</f>
        <v>1</v>
      </c>
      <c r="E7" t="s">
        <v>1747</v>
      </c>
      <c r="F7" t="s">
        <v>1748</v>
      </c>
      <c r="G7" s="23" t="s">
        <v>41</v>
      </c>
      <c r="H7" s="23" t="s">
        <v>82</v>
      </c>
      <c r="I7" t="s">
        <v>6255</v>
      </c>
      <c r="J7" s="23" t="s">
        <v>22</v>
      </c>
      <c r="K7" s="22">
        <v>3</v>
      </c>
      <c r="L7" s="1">
        <v>41647</v>
      </c>
      <c r="M7" s="22">
        <f>Table12[[#This Row],[Ship Date]]-Table12[[#This Row],[Order Date]]</f>
        <v>2</v>
      </c>
      <c r="N7" s="23" t="s">
        <v>20</v>
      </c>
      <c r="O7" s="23" t="s">
        <v>23</v>
      </c>
      <c r="P7" s="23" t="s">
        <v>38</v>
      </c>
      <c r="Q7" s="23" t="s">
        <v>39</v>
      </c>
      <c r="R7" s="23" t="s">
        <v>37</v>
      </c>
      <c r="S7" s="33">
        <v>0</v>
      </c>
      <c r="T7" s="13">
        <v>19.440000000000001</v>
      </c>
      <c r="U7" s="13">
        <v>9.3312000000000008</v>
      </c>
      <c r="V7" s="55">
        <f>IFERROR(Table12[[#This Row],[Profit]]/Table12[[#This Row],[Sales]],0)</f>
        <v>0.48000000000000004</v>
      </c>
    </row>
    <row r="8" spans="1:22" x14ac:dyDescent="0.2">
      <c r="A8">
        <v>7</v>
      </c>
      <c r="B8" t="s">
        <v>8553</v>
      </c>
      <c r="C8" s="1">
        <v>41645</v>
      </c>
      <c r="D8" s="22">
        <f>MONTH(Table12[[#This Row],[Order Date]])</f>
        <v>1</v>
      </c>
      <c r="E8" t="s">
        <v>1118</v>
      </c>
      <c r="F8" t="s">
        <v>1119</v>
      </c>
      <c r="G8" s="23" t="s">
        <v>41</v>
      </c>
      <c r="H8" s="23" t="s">
        <v>61</v>
      </c>
      <c r="I8" t="s">
        <v>5934</v>
      </c>
      <c r="J8" s="23" t="s">
        <v>36</v>
      </c>
      <c r="K8" s="22">
        <v>3</v>
      </c>
      <c r="L8" s="1">
        <v>41646</v>
      </c>
      <c r="M8" s="22">
        <f>Table12[[#This Row],[Ship Date]]-Table12[[#This Row],[Order Date]]</f>
        <v>1</v>
      </c>
      <c r="N8" s="23" t="s">
        <v>169</v>
      </c>
      <c r="O8" s="23" t="s">
        <v>23</v>
      </c>
      <c r="P8" s="23" t="s">
        <v>1125</v>
      </c>
      <c r="Q8" s="23" t="s">
        <v>26</v>
      </c>
      <c r="R8" s="23" t="s">
        <v>6978</v>
      </c>
      <c r="S8" s="33">
        <v>0</v>
      </c>
      <c r="T8" s="13">
        <v>12.78</v>
      </c>
      <c r="U8" s="13">
        <v>5.2397999999999998</v>
      </c>
      <c r="V8" s="55">
        <f>IFERROR(Table12[[#This Row],[Profit]]/Table12[[#This Row],[Sales]],0)</f>
        <v>0.41000000000000003</v>
      </c>
    </row>
    <row r="9" spans="1:22" x14ac:dyDescent="0.2">
      <c r="A9">
        <v>8</v>
      </c>
      <c r="B9" t="s">
        <v>8721</v>
      </c>
      <c r="C9" s="1">
        <v>41645</v>
      </c>
      <c r="D9" s="22">
        <f>MONTH(Table12[[#This Row],[Order Date]])</f>
        <v>1</v>
      </c>
      <c r="E9" t="s">
        <v>472</v>
      </c>
      <c r="F9" t="s">
        <v>473</v>
      </c>
      <c r="G9" s="23" t="s">
        <v>28</v>
      </c>
      <c r="H9" s="23" t="s">
        <v>32</v>
      </c>
      <c r="I9" t="s">
        <v>3454</v>
      </c>
      <c r="J9" s="23" t="s">
        <v>92</v>
      </c>
      <c r="K9" s="22">
        <v>9</v>
      </c>
      <c r="L9" s="1">
        <v>41649</v>
      </c>
      <c r="M9" s="22">
        <f>Table12[[#This Row],[Ship Date]]-Table12[[#This Row],[Order Date]]</f>
        <v>4</v>
      </c>
      <c r="N9" s="23" t="s">
        <v>45</v>
      </c>
      <c r="O9" s="23" t="s">
        <v>23</v>
      </c>
      <c r="P9" s="23" t="s">
        <v>25</v>
      </c>
      <c r="Q9" s="23" t="s">
        <v>26</v>
      </c>
      <c r="R9" s="23" t="s">
        <v>24</v>
      </c>
      <c r="S9" s="33">
        <v>0</v>
      </c>
      <c r="T9" s="13">
        <v>2573.8200000000002</v>
      </c>
      <c r="U9" s="13">
        <v>746.40779999999995</v>
      </c>
      <c r="V9" s="55">
        <f>IFERROR(Table12[[#This Row],[Profit]]/Table12[[#This Row],[Sales]],0)</f>
        <v>0.28999999999999998</v>
      </c>
    </row>
    <row r="10" spans="1:22" x14ac:dyDescent="0.2">
      <c r="A10">
        <v>9</v>
      </c>
      <c r="B10" t="s">
        <v>8721</v>
      </c>
      <c r="C10" s="1">
        <v>41645</v>
      </c>
      <c r="D10" s="22">
        <f>MONTH(Table12[[#This Row],[Order Date]])</f>
        <v>1</v>
      </c>
      <c r="E10" t="s">
        <v>1947</v>
      </c>
      <c r="F10" t="s">
        <v>1948</v>
      </c>
      <c r="G10" s="23" t="s">
        <v>41</v>
      </c>
      <c r="H10" s="23" t="s">
        <v>68</v>
      </c>
      <c r="I10" t="s">
        <v>3454</v>
      </c>
      <c r="J10" s="23" t="s">
        <v>92</v>
      </c>
      <c r="K10" s="22">
        <v>2</v>
      </c>
      <c r="L10" s="1">
        <v>41649</v>
      </c>
      <c r="M10" s="22">
        <f>Table12[[#This Row],[Ship Date]]-Table12[[#This Row],[Order Date]]</f>
        <v>4</v>
      </c>
      <c r="N10" s="23" t="s">
        <v>45</v>
      </c>
      <c r="O10" s="23" t="s">
        <v>23</v>
      </c>
      <c r="P10" s="23" t="s">
        <v>25</v>
      </c>
      <c r="Q10" s="23" t="s">
        <v>26</v>
      </c>
      <c r="R10" s="23" t="s">
        <v>24</v>
      </c>
      <c r="S10" s="33">
        <v>0</v>
      </c>
      <c r="T10" s="13">
        <v>609.98</v>
      </c>
      <c r="U10" s="13">
        <v>274.49099999999999</v>
      </c>
      <c r="V10" s="55">
        <f>IFERROR(Table12[[#This Row],[Profit]]/Table12[[#This Row],[Sales]],0)</f>
        <v>0.44999999999999996</v>
      </c>
    </row>
    <row r="11" spans="1:22" x14ac:dyDescent="0.2">
      <c r="A11">
        <v>10</v>
      </c>
      <c r="B11" t="s">
        <v>8721</v>
      </c>
      <c r="C11" s="1">
        <v>41645</v>
      </c>
      <c r="D11" s="22">
        <f>MONTH(Table12[[#This Row],[Order Date]])</f>
        <v>1</v>
      </c>
      <c r="E11" t="s">
        <v>1538</v>
      </c>
      <c r="F11" t="s">
        <v>1539</v>
      </c>
      <c r="G11" s="23" t="s">
        <v>41</v>
      </c>
      <c r="H11" s="23" t="s">
        <v>61</v>
      </c>
      <c r="I11" t="s">
        <v>3454</v>
      </c>
      <c r="J11" s="23" t="s">
        <v>92</v>
      </c>
      <c r="K11" s="22">
        <v>2</v>
      </c>
      <c r="L11" s="1">
        <v>41649</v>
      </c>
      <c r="M11" s="22">
        <f>Table12[[#This Row],[Ship Date]]-Table12[[#This Row],[Order Date]]</f>
        <v>4</v>
      </c>
      <c r="N11" s="23" t="s">
        <v>45</v>
      </c>
      <c r="O11" s="23" t="s">
        <v>23</v>
      </c>
      <c r="P11" s="23" t="s">
        <v>25</v>
      </c>
      <c r="Q11" s="23" t="s">
        <v>26</v>
      </c>
      <c r="R11" s="23" t="s">
        <v>24</v>
      </c>
      <c r="S11" s="33">
        <v>0</v>
      </c>
      <c r="T11" s="13">
        <v>5.48</v>
      </c>
      <c r="U11" s="13">
        <v>1.4796</v>
      </c>
      <c r="V11" s="55">
        <f>IFERROR(Table12[[#This Row],[Profit]]/Table12[[#This Row],[Sales]],0)</f>
        <v>0.26999999999999996</v>
      </c>
    </row>
    <row r="12" spans="1:22" x14ac:dyDescent="0.2">
      <c r="A12">
        <v>11</v>
      </c>
      <c r="B12" t="s">
        <v>8721</v>
      </c>
      <c r="C12" s="1">
        <v>41645</v>
      </c>
      <c r="D12" s="22">
        <f>MONTH(Table12[[#This Row],[Order Date]])</f>
        <v>1</v>
      </c>
      <c r="E12" t="s">
        <v>172</v>
      </c>
      <c r="F12" t="s">
        <v>173</v>
      </c>
      <c r="G12" s="23" t="s">
        <v>64</v>
      </c>
      <c r="H12" s="23" t="s">
        <v>65</v>
      </c>
      <c r="I12" t="s">
        <v>3454</v>
      </c>
      <c r="J12" s="23" t="s">
        <v>92</v>
      </c>
      <c r="K12" s="22">
        <v>2</v>
      </c>
      <c r="L12" s="1">
        <v>41649</v>
      </c>
      <c r="M12" s="22">
        <f>Table12[[#This Row],[Ship Date]]-Table12[[#This Row],[Order Date]]</f>
        <v>4</v>
      </c>
      <c r="N12" s="23" t="s">
        <v>45</v>
      </c>
      <c r="O12" s="23" t="s">
        <v>23</v>
      </c>
      <c r="P12" s="23" t="s">
        <v>25</v>
      </c>
      <c r="Q12" s="23" t="s">
        <v>26</v>
      </c>
      <c r="R12" s="23" t="s">
        <v>24</v>
      </c>
      <c r="S12" s="33">
        <v>0</v>
      </c>
      <c r="T12" s="13">
        <v>391.98</v>
      </c>
      <c r="U12" s="13">
        <v>113.6742</v>
      </c>
      <c r="V12" s="55">
        <f>IFERROR(Table12[[#This Row],[Profit]]/Table12[[#This Row],[Sales]],0)</f>
        <v>0.28999999999999998</v>
      </c>
    </row>
    <row r="13" spans="1:22" x14ac:dyDescent="0.2">
      <c r="A13">
        <v>12</v>
      </c>
      <c r="B13" t="s">
        <v>8721</v>
      </c>
      <c r="C13" s="1">
        <v>41645</v>
      </c>
      <c r="D13" s="22">
        <f>MONTH(Table12[[#This Row],[Order Date]])</f>
        <v>1</v>
      </c>
      <c r="E13" t="s">
        <v>2984</v>
      </c>
      <c r="F13" t="s">
        <v>2985</v>
      </c>
      <c r="G13" s="23" t="s">
        <v>64</v>
      </c>
      <c r="H13" s="23" t="s">
        <v>65</v>
      </c>
      <c r="I13" t="s">
        <v>3454</v>
      </c>
      <c r="J13" s="23" t="s">
        <v>92</v>
      </c>
      <c r="K13" s="22">
        <v>4</v>
      </c>
      <c r="L13" s="1">
        <v>41649</v>
      </c>
      <c r="M13" s="22">
        <f>Table12[[#This Row],[Ship Date]]-Table12[[#This Row],[Order Date]]</f>
        <v>4</v>
      </c>
      <c r="N13" s="23" t="s">
        <v>45</v>
      </c>
      <c r="O13" s="23" t="s">
        <v>23</v>
      </c>
      <c r="P13" s="23" t="s">
        <v>25</v>
      </c>
      <c r="Q13" s="23" t="s">
        <v>26</v>
      </c>
      <c r="R13" s="23" t="s">
        <v>24</v>
      </c>
      <c r="S13" s="33">
        <v>0</v>
      </c>
      <c r="T13" s="13">
        <v>755.96</v>
      </c>
      <c r="U13" s="13">
        <v>204.10919999999999</v>
      </c>
      <c r="V13" s="55">
        <f>IFERROR(Table12[[#This Row],[Profit]]/Table12[[#This Row],[Sales]],0)</f>
        <v>0.26999999999999996</v>
      </c>
    </row>
    <row r="14" spans="1:22" x14ac:dyDescent="0.2">
      <c r="A14">
        <v>13</v>
      </c>
      <c r="B14" t="s">
        <v>8721</v>
      </c>
      <c r="C14" s="1">
        <v>41645</v>
      </c>
      <c r="D14" s="22">
        <f>MONTH(Table12[[#This Row],[Order Date]])</f>
        <v>1</v>
      </c>
      <c r="E14" t="s">
        <v>5725</v>
      </c>
      <c r="F14" t="s">
        <v>5726</v>
      </c>
      <c r="G14" s="23" t="s">
        <v>41</v>
      </c>
      <c r="H14" s="23" t="s">
        <v>240</v>
      </c>
      <c r="I14" t="s">
        <v>3454</v>
      </c>
      <c r="J14" s="23" t="s">
        <v>92</v>
      </c>
      <c r="K14" s="22">
        <v>4</v>
      </c>
      <c r="L14" s="1">
        <v>41649</v>
      </c>
      <c r="M14" s="22">
        <f>Table12[[#This Row],[Ship Date]]-Table12[[#This Row],[Order Date]]</f>
        <v>4</v>
      </c>
      <c r="N14" s="23" t="s">
        <v>45</v>
      </c>
      <c r="O14" s="23" t="s">
        <v>23</v>
      </c>
      <c r="P14" s="23" t="s">
        <v>25</v>
      </c>
      <c r="Q14" s="23" t="s">
        <v>26</v>
      </c>
      <c r="R14" s="23" t="s">
        <v>24</v>
      </c>
      <c r="S14" s="33">
        <v>0</v>
      </c>
      <c r="T14" s="13">
        <v>31.12</v>
      </c>
      <c r="U14" s="13">
        <v>0.31119999999999998</v>
      </c>
      <c r="V14" s="55">
        <f>IFERROR(Table12[[#This Row],[Profit]]/Table12[[#This Row],[Sales]],0)</f>
        <v>9.9999999999999985E-3</v>
      </c>
    </row>
    <row r="15" spans="1:22" x14ac:dyDescent="0.2">
      <c r="A15">
        <v>14</v>
      </c>
      <c r="B15" t="s">
        <v>8721</v>
      </c>
      <c r="C15" s="1">
        <v>41645</v>
      </c>
      <c r="D15" s="22">
        <f>MONTH(Table12[[#This Row],[Order Date]])</f>
        <v>1</v>
      </c>
      <c r="E15" t="s">
        <v>2700</v>
      </c>
      <c r="F15" t="s">
        <v>2701</v>
      </c>
      <c r="G15" s="23" t="s">
        <v>41</v>
      </c>
      <c r="H15" s="23" t="s">
        <v>82</v>
      </c>
      <c r="I15" t="s">
        <v>3454</v>
      </c>
      <c r="J15" s="23" t="s">
        <v>92</v>
      </c>
      <c r="K15" s="22">
        <v>1</v>
      </c>
      <c r="L15" s="1">
        <v>41649</v>
      </c>
      <c r="M15" s="22">
        <f>Table12[[#This Row],[Ship Date]]-Table12[[#This Row],[Order Date]]</f>
        <v>4</v>
      </c>
      <c r="N15" s="23" t="s">
        <v>45</v>
      </c>
      <c r="O15" s="23" t="s">
        <v>23</v>
      </c>
      <c r="P15" s="23" t="s">
        <v>25</v>
      </c>
      <c r="Q15" s="23" t="s">
        <v>26</v>
      </c>
      <c r="R15" s="23" t="s">
        <v>24</v>
      </c>
      <c r="S15" s="33">
        <v>0</v>
      </c>
      <c r="T15" s="13">
        <v>6.54</v>
      </c>
      <c r="U15" s="13">
        <v>3.0084</v>
      </c>
      <c r="V15" s="55">
        <f>IFERROR(Table12[[#This Row],[Profit]]/Table12[[#This Row],[Sales]],0)</f>
        <v>0.45999999999999996</v>
      </c>
    </row>
    <row r="16" spans="1:22" x14ac:dyDescent="0.2">
      <c r="A16">
        <v>15</v>
      </c>
      <c r="B16" t="s">
        <v>8810</v>
      </c>
      <c r="C16" s="1">
        <v>41646</v>
      </c>
      <c r="D16" s="22">
        <f>MONTH(Table12[[#This Row],[Order Date]])</f>
        <v>1</v>
      </c>
      <c r="E16" t="s">
        <v>1517</v>
      </c>
      <c r="F16" t="s">
        <v>1518</v>
      </c>
      <c r="G16" s="23" t="s">
        <v>28</v>
      </c>
      <c r="H16" s="23" t="s">
        <v>58</v>
      </c>
      <c r="I16" t="s">
        <v>6810</v>
      </c>
      <c r="J16" s="23" t="s">
        <v>22</v>
      </c>
      <c r="K16" s="22">
        <v>3</v>
      </c>
      <c r="L16" s="1">
        <v>41651</v>
      </c>
      <c r="M16" s="22">
        <f>Table12[[#This Row],[Ship Date]]-Table12[[#This Row],[Order Date]]</f>
        <v>5</v>
      </c>
      <c r="N16" s="23" t="s">
        <v>45</v>
      </c>
      <c r="O16" s="23" t="s">
        <v>23</v>
      </c>
      <c r="P16" s="23" t="s">
        <v>94</v>
      </c>
      <c r="Q16" s="23" t="s">
        <v>95</v>
      </c>
      <c r="R16" s="23" t="s">
        <v>1488</v>
      </c>
      <c r="S16" s="33">
        <v>0.6</v>
      </c>
      <c r="T16" s="13">
        <v>76.727999999999994</v>
      </c>
      <c r="U16" s="13">
        <v>-53.709600000000002</v>
      </c>
      <c r="V16" s="55">
        <f>IFERROR(Table12[[#This Row],[Profit]]/Table12[[#This Row],[Sales]],0)</f>
        <v>-0.70000000000000007</v>
      </c>
    </row>
    <row r="17" spans="1:22" x14ac:dyDescent="0.2">
      <c r="A17">
        <v>16</v>
      </c>
      <c r="B17" t="s">
        <v>8810</v>
      </c>
      <c r="C17" s="1">
        <v>41646</v>
      </c>
      <c r="D17" s="22">
        <f>MONTH(Table12[[#This Row],[Order Date]])</f>
        <v>1</v>
      </c>
      <c r="E17" t="s">
        <v>3403</v>
      </c>
      <c r="F17" t="s">
        <v>3404</v>
      </c>
      <c r="G17" s="23" t="s">
        <v>41</v>
      </c>
      <c r="H17" s="23" t="s">
        <v>68</v>
      </c>
      <c r="I17" t="s">
        <v>6810</v>
      </c>
      <c r="J17" s="23" t="s">
        <v>22</v>
      </c>
      <c r="K17" s="22">
        <v>7</v>
      </c>
      <c r="L17" s="1">
        <v>41651</v>
      </c>
      <c r="M17" s="22">
        <f>Table12[[#This Row],[Ship Date]]-Table12[[#This Row],[Order Date]]</f>
        <v>5</v>
      </c>
      <c r="N17" s="23" t="s">
        <v>45</v>
      </c>
      <c r="O17" s="23" t="s">
        <v>23</v>
      </c>
      <c r="P17" s="23" t="s">
        <v>94</v>
      </c>
      <c r="Q17" s="23" t="s">
        <v>95</v>
      </c>
      <c r="R17" s="23" t="s">
        <v>1488</v>
      </c>
      <c r="S17" s="33">
        <v>0.8</v>
      </c>
      <c r="T17" s="13">
        <v>10.43</v>
      </c>
      <c r="U17" s="13">
        <v>-18.252500000000001</v>
      </c>
      <c r="V17" s="55">
        <f>IFERROR(Table12[[#This Row],[Profit]]/Table12[[#This Row],[Sales]],0)</f>
        <v>-1.7500000000000002</v>
      </c>
    </row>
    <row r="18" spans="1:22" x14ac:dyDescent="0.2">
      <c r="A18">
        <v>17</v>
      </c>
      <c r="B18" t="s">
        <v>1751</v>
      </c>
      <c r="C18" s="1">
        <v>41648</v>
      </c>
      <c r="D18" s="22">
        <f>MONTH(Table12[[#This Row],[Order Date]])</f>
        <v>1</v>
      </c>
      <c r="E18" t="s">
        <v>1754</v>
      </c>
      <c r="F18" t="s">
        <v>1755</v>
      </c>
      <c r="G18" s="23" t="s">
        <v>41</v>
      </c>
      <c r="H18" s="23" t="s">
        <v>61</v>
      </c>
      <c r="I18" t="s">
        <v>1752</v>
      </c>
      <c r="J18" s="23" t="s">
        <v>22</v>
      </c>
      <c r="K18" s="22">
        <v>2</v>
      </c>
      <c r="L18" s="1">
        <v>41652</v>
      </c>
      <c r="M18" s="22">
        <f>Table12[[#This Row],[Ship Date]]-Table12[[#This Row],[Order Date]]</f>
        <v>4</v>
      </c>
      <c r="N18" s="23" t="s">
        <v>45</v>
      </c>
      <c r="O18" s="23" t="s">
        <v>23</v>
      </c>
      <c r="P18" s="23" t="s">
        <v>94</v>
      </c>
      <c r="Q18" s="23" t="s">
        <v>95</v>
      </c>
      <c r="R18" s="23" t="s">
        <v>1753</v>
      </c>
      <c r="S18" s="33">
        <v>0.2</v>
      </c>
      <c r="T18" s="13">
        <v>9.3439999999999994</v>
      </c>
      <c r="U18" s="13">
        <v>1.1679999999999999</v>
      </c>
      <c r="V18" s="55">
        <f>IFERROR(Table12[[#This Row],[Profit]]/Table12[[#This Row],[Sales]],0)</f>
        <v>0.125</v>
      </c>
    </row>
    <row r="19" spans="1:22" x14ac:dyDescent="0.2">
      <c r="A19">
        <v>18</v>
      </c>
      <c r="B19" t="s">
        <v>1751</v>
      </c>
      <c r="C19" s="1">
        <v>41648</v>
      </c>
      <c r="D19" s="22">
        <f>MONTH(Table12[[#This Row],[Order Date]])</f>
        <v>1</v>
      </c>
      <c r="E19" t="s">
        <v>743</v>
      </c>
      <c r="F19" t="s">
        <v>744</v>
      </c>
      <c r="G19" s="23" t="s">
        <v>64</v>
      </c>
      <c r="H19" s="23" t="s">
        <v>144</v>
      </c>
      <c r="I19" t="s">
        <v>1752</v>
      </c>
      <c r="J19" s="23" t="s">
        <v>22</v>
      </c>
      <c r="K19" s="22">
        <v>3</v>
      </c>
      <c r="L19" s="1">
        <v>41652</v>
      </c>
      <c r="M19" s="22">
        <f>Table12[[#This Row],[Ship Date]]-Table12[[#This Row],[Order Date]]</f>
        <v>4</v>
      </c>
      <c r="N19" s="23" t="s">
        <v>45</v>
      </c>
      <c r="O19" s="23" t="s">
        <v>23</v>
      </c>
      <c r="P19" s="23" t="s">
        <v>94</v>
      </c>
      <c r="Q19" s="23" t="s">
        <v>95</v>
      </c>
      <c r="R19" s="23" t="s">
        <v>1753</v>
      </c>
      <c r="S19" s="33">
        <v>0.2</v>
      </c>
      <c r="T19" s="13">
        <v>31.2</v>
      </c>
      <c r="U19" s="13">
        <v>9.75</v>
      </c>
      <c r="V19" s="55">
        <f>IFERROR(Table12[[#This Row],[Profit]]/Table12[[#This Row],[Sales]],0)</f>
        <v>0.3125</v>
      </c>
    </row>
    <row r="20" spans="1:22" x14ac:dyDescent="0.2">
      <c r="A20">
        <v>19</v>
      </c>
      <c r="B20" t="s">
        <v>2354</v>
      </c>
      <c r="C20" s="1">
        <v>41649</v>
      </c>
      <c r="D20" s="22">
        <f>MONTH(Table12[[#This Row],[Order Date]])</f>
        <v>1</v>
      </c>
      <c r="E20" t="s">
        <v>2356</v>
      </c>
      <c r="F20" t="s">
        <v>2357</v>
      </c>
      <c r="G20" s="23" t="s">
        <v>41</v>
      </c>
      <c r="H20" s="23" t="s">
        <v>42</v>
      </c>
      <c r="I20" t="s">
        <v>2355</v>
      </c>
      <c r="J20" s="23" t="s">
        <v>36</v>
      </c>
      <c r="K20" s="22">
        <v>1</v>
      </c>
      <c r="L20" s="1">
        <v>41654</v>
      </c>
      <c r="M20" s="22">
        <f>Table12[[#This Row],[Ship Date]]-Table12[[#This Row],[Order Date]]</f>
        <v>5</v>
      </c>
      <c r="N20" s="23" t="s">
        <v>45</v>
      </c>
      <c r="O20" s="23" t="s">
        <v>23</v>
      </c>
      <c r="P20" s="23" t="s">
        <v>285</v>
      </c>
      <c r="Q20" s="23" t="s">
        <v>26</v>
      </c>
      <c r="R20" s="23" t="s">
        <v>284</v>
      </c>
      <c r="S20" s="33">
        <v>0</v>
      </c>
      <c r="T20" s="13">
        <v>2.89</v>
      </c>
      <c r="U20" s="13">
        <v>1.3583000000000001</v>
      </c>
      <c r="V20" s="55">
        <f>IFERROR(Table12[[#This Row],[Profit]]/Table12[[#This Row],[Sales]],0)</f>
        <v>0.47000000000000003</v>
      </c>
    </row>
    <row r="21" spans="1:22" x14ac:dyDescent="0.2">
      <c r="A21">
        <v>20</v>
      </c>
      <c r="B21" t="s">
        <v>2354</v>
      </c>
      <c r="C21" s="1">
        <v>41649</v>
      </c>
      <c r="D21" s="22">
        <f>MONTH(Table12[[#This Row],[Order Date]])</f>
        <v>1</v>
      </c>
      <c r="E21" t="s">
        <v>2358</v>
      </c>
      <c r="F21" t="s">
        <v>2359</v>
      </c>
      <c r="G21" s="23" t="s">
        <v>28</v>
      </c>
      <c r="H21" s="23" t="s">
        <v>58</v>
      </c>
      <c r="I21" t="s">
        <v>2355</v>
      </c>
      <c r="J21" s="23" t="s">
        <v>36</v>
      </c>
      <c r="K21" s="22">
        <v>1</v>
      </c>
      <c r="L21" s="1">
        <v>41654</v>
      </c>
      <c r="M21" s="22">
        <f>Table12[[#This Row],[Ship Date]]-Table12[[#This Row],[Order Date]]</f>
        <v>5</v>
      </c>
      <c r="N21" s="23" t="s">
        <v>45</v>
      </c>
      <c r="O21" s="23" t="s">
        <v>23</v>
      </c>
      <c r="P21" s="23" t="s">
        <v>285</v>
      </c>
      <c r="Q21" s="23" t="s">
        <v>26</v>
      </c>
      <c r="R21" s="23" t="s">
        <v>284</v>
      </c>
      <c r="S21" s="33">
        <v>0</v>
      </c>
      <c r="T21" s="13">
        <v>51.94</v>
      </c>
      <c r="U21" s="13">
        <v>21.295400000000001</v>
      </c>
      <c r="V21" s="55">
        <f>IFERROR(Table12[[#This Row],[Profit]]/Table12[[#This Row],[Sales]],0)</f>
        <v>0.41000000000000003</v>
      </c>
    </row>
    <row r="22" spans="1:22" x14ac:dyDescent="0.2">
      <c r="A22">
        <v>21</v>
      </c>
      <c r="B22" t="s">
        <v>2028</v>
      </c>
      <c r="C22" s="1">
        <v>41650</v>
      </c>
      <c r="D22" s="22">
        <f>MONTH(Table12[[#This Row],[Order Date]])</f>
        <v>1</v>
      </c>
      <c r="E22" t="s">
        <v>1803</v>
      </c>
      <c r="F22" t="s">
        <v>1804</v>
      </c>
      <c r="G22" s="23" t="s">
        <v>28</v>
      </c>
      <c r="H22" s="23" t="s">
        <v>58</v>
      </c>
      <c r="I22" t="s">
        <v>2029</v>
      </c>
      <c r="J22" s="23" t="s">
        <v>22</v>
      </c>
      <c r="K22" s="22">
        <v>2</v>
      </c>
      <c r="L22" s="1">
        <v>41653</v>
      </c>
      <c r="M22" s="22">
        <f>Table12[[#This Row],[Ship Date]]-Table12[[#This Row],[Order Date]]</f>
        <v>3</v>
      </c>
      <c r="N22" s="23" t="s">
        <v>169</v>
      </c>
      <c r="O22" s="23" t="s">
        <v>23</v>
      </c>
      <c r="P22" s="23" t="s">
        <v>218</v>
      </c>
      <c r="Q22" s="23" t="s">
        <v>133</v>
      </c>
      <c r="R22" s="23" t="s">
        <v>217</v>
      </c>
      <c r="S22" s="33">
        <v>0</v>
      </c>
      <c r="T22" s="13">
        <v>9.94</v>
      </c>
      <c r="U22" s="13">
        <v>3.0813999999999999</v>
      </c>
      <c r="V22" s="55">
        <f>IFERROR(Table12[[#This Row],[Profit]]/Table12[[#This Row],[Sales]],0)</f>
        <v>0.31</v>
      </c>
    </row>
    <row r="23" spans="1:22" x14ac:dyDescent="0.2">
      <c r="A23">
        <v>22</v>
      </c>
      <c r="B23" t="s">
        <v>2127</v>
      </c>
      <c r="C23" s="1">
        <v>41652</v>
      </c>
      <c r="D23" s="22">
        <f>MONTH(Table12[[#This Row],[Order Date]])</f>
        <v>1</v>
      </c>
      <c r="E23" t="s">
        <v>590</v>
      </c>
      <c r="F23" t="s">
        <v>591</v>
      </c>
      <c r="G23" s="23" t="s">
        <v>41</v>
      </c>
      <c r="H23" s="23" t="s">
        <v>155</v>
      </c>
      <c r="I23" t="s">
        <v>2128</v>
      </c>
      <c r="J23" s="23" t="s">
        <v>36</v>
      </c>
      <c r="K23" s="22">
        <v>2</v>
      </c>
      <c r="L23" s="1">
        <v>41654</v>
      </c>
      <c r="M23" s="22">
        <f>Table12[[#This Row],[Ship Date]]-Table12[[#This Row],[Order Date]]</f>
        <v>2</v>
      </c>
      <c r="N23" s="23" t="s">
        <v>20</v>
      </c>
      <c r="O23" s="23" t="s">
        <v>23</v>
      </c>
      <c r="P23" s="23" t="s">
        <v>650</v>
      </c>
      <c r="Q23" s="23" t="s">
        <v>26</v>
      </c>
      <c r="R23" s="23" t="s">
        <v>2129</v>
      </c>
      <c r="S23" s="33">
        <v>0</v>
      </c>
      <c r="T23" s="13">
        <v>11.36</v>
      </c>
      <c r="U23" s="13">
        <v>5.3391999999999999</v>
      </c>
      <c r="V23" s="55">
        <f>IFERROR(Table12[[#This Row],[Profit]]/Table12[[#This Row],[Sales]],0)</f>
        <v>0.47000000000000003</v>
      </c>
    </row>
    <row r="24" spans="1:22" x14ac:dyDescent="0.2">
      <c r="A24">
        <v>23</v>
      </c>
      <c r="B24" t="s">
        <v>2127</v>
      </c>
      <c r="C24" s="1">
        <v>41652</v>
      </c>
      <c r="D24" s="22">
        <f>MONTH(Table12[[#This Row],[Order Date]])</f>
        <v>1</v>
      </c>
      <c r="E24" t="s">
        <v>2130</v>
      </c>
      <c r="F24" t="s">
        <v>2131</v>
      </c>
      <c r="G24" s="23" t="s">
        <v>41</v>
      </c>
      <c r="H24" s="23" t="s">
        <v>155</v>
      </c>
      <c r="I24" t="s">
        <v>2128</v>
      </c>
      <c r="J24" s="23" t="s">
        <v>36</v>
      </c>
      <c r="K24" s="22">
        <v>3</v>
      </c>
      <c r="L24" s="1">
        <v>41654</v>
      </c>
      <c r="M24" s="22">
        <f>Table12[[#This Row],[Ship Date]]-Table12[[#This Row],[Order Date]]</f>
        <v>2</v>
      </c>
      <c r="N24" s="23" t="s">
        <v>20</v>
      </c>
      <c r="O24" s="23" t="s">
        <v>23</v>
      </c>
      <c r="P24" s="23" t="s">
        <v>650</v>
      </c>
      <c r="Q24" s="23" t="s">
        <v>26</v>
      </c>
      <c r="R24" s="23" t="s">
        <v>2129</v>
      </c>
      <c r="S24" s="33">
        <v>0</v>
      </c>
      <c r="T24" s="13">
        <v>50.94</v>
      </c>
      <c r="U24" s="13">
        <v>25.47</v>
      </c>
      <c r="V24" s="55">
        <f>IFERROR(Table12[[#This Row],[Profit]]/Table12[[#This Row],[Sales]],0)</f>
        <v>0.5</v>
      </c>
    </row>
    <row r="25" spans="1:22" x14ac:dyDescent="0.2">
      <c r="A25">
        <v>24</v>
      </c>
      <c r="B25" t="s">
        <v>2127</v>
      </c>
      <c r="C25" s="1">
        <v>41652</v>
      </c>
      <c r="D25" s="22">
        <f>MONTH(Table12[[#This Row],[Order Date]])</f>
        <v>1</v>
      </c>
      <c r="E25" t="s">
        <v>2132</v>
      </c>
      <c r="F25" t="s">
        <v>2133</v>
      </c>
      <c r="G25" s="23" t="s">
        <v>64</v>
      </c>
      <c r="H25" s="23" t="s">
        <v>144</v>
      </c>
      <c r="I25" t="s">
        <v>2128</v>
      </c>
      <c r="J25" s="23" t="s">
        <v>36</v>
      </c>
      <c r="K25" s="22">
        <v>6</v>
      </c>
      <c r="L25" s="1">
        <v>41654</v>
      </c>
      <c r="M25" s="22">
        <f>Table12[[#This Row],[Ship Date]]-Table12[[#This Row],[Order Date]]</f>
        <v>2</v>
      </c>
      <c r="N25" s="23" t="s">
        <v>20</v>
      </c>
      <c r="O25" s="23" t="s">
        <v>23</v>
      </c>
      <c r="P25" s="23" t="s">
        <v>650</v>
      </c>
      <c r="Q25" s="23" t="s">
        <v>26</v>
      </c>
      <c r="R25" s="23" t="s">
        <v>2129</v>
      </c>
      <c r="S25" s="33">
        <v>0</v>
      </c>
      <c r="T25" s="13">
        <v>646.74</v>
      </c>
      <c r="U25" s="13">
        <v>258.69600000000003</v>
      </c>
      <c r="V25" s="55">
        <f>IFERROR(Table12[[#This Row],[Profit]]/Table12[[#This Row],[Sales]],0)</f>
        <v>0.4</v>
      </c>
    </row>
    <row r="26" spans="1:22" x14ac:dyDescent="0.2">
      <c r="A26">
        <v>25</v>
      </c>
      <c r="B26" t="s">
        <v>2127</v>
      </c>
      <c r="C26" s="1">
        <v>41652</v>
      </c>
      <c r="D26" s="22">
        <f>MONTH(Table12[[#This Row],[Order Date]])</f>
        <v>1</v>
      </c>
      <c r="E26" t="s">
        <v>2134</v>
      </c>
      <c r="F26" t="s">
        <v>2135</v>
      </c>
      <c r="G26" s="23" t="s">
        <v>41</v>
      </c>
      <c r="H26" s="23" t="s">
        <v>68</v>
      </c>
      <c r="I26" t="s">
        <v>2128</v>
      </c>
      <c r="J26" s="23" t="s">
        <v>36</v>
      </c>
      <c r="K26" s="22">
        <v>3</v>
      </c>
      <c r="L26" s="1">
        <v>41654</v>
      </c>
      <c r="M26" s="22">
        <f>Table12[[#This Row],[Ship Date]]-Table12[[#This Row],[Order Date]]</f>
        <v>2</v>
      </c>
      <c r="N26" s="23" t="s">
        <v>20</v>
      </c>
      <c r="O26" s="23" t="s">
        <v>23</v>
      </c>
      <c r="P26" s="23" t="s">
        <v>650</v>
      </c>
      <c r="Q26" s="23" t="s">
        <v>26</v>
      </c>
      <c r="R26" s="23" t="s">
        <v>2129</v>
      </c>
      <c r="S26" s="33">
        <v>0</v>
      </c>
      <c r="T26" s="13">
        <v>5.64</v>
      </c>
      <c r="U26" s="13">
        <v>2.7071999999999998</v>
      </c>
      <c r="V26" s="55">
        <f>IFERROR(Table12[[#This Row],[Profit]]/Table12[[#This Row],[Sales]],0)</f>
        <v>0.48</v>
      </c>
    </row>
    <row r="27" spans="1:22" x14ac:dyDescent="0.2">
      <c r="A27">
        <v>26</v>
      </c>
      <c r="B27" t="s">
        <v>2127</v>
      </c>
      <c r="C27" s="1">
        <v>41652</v>
      </c>
      <c r="D27" s="22">
        <f>MONTH(Table12[[#This Row],[Order Date]])</f>
        <v>1</v>
      </c>
      <c r="E27" t="s">
        <v>2136</v>
      </c>
      <c r="F27" t="s">
        <v>2137</v>
      </c>
      <c r="G27" s="23" t="s">
        <v>41</v>
      </c>
      <c r="H27" s="23" t="s">
        <v>53</v>
      </c>
      <c r="I27" t="s">
        <v>2128</v>
      </c>
      <c r="J27" s="23" t="s">
        <v>36</v>
      </c>
      <c r="K27" s="22">
        <v>6</v>
      </c>
      <c r="L27" s="1">
        <v>41654</v>
      </c>
      <c r="M27" s="22">
        <f>Table12[[#This Row],[Ship Date]]-Table12[[#This Row],[Order Date]]</f>
        <v>2</v>
      </c>
      <c r="N27" s="23" t="s">
        <v>20</v>
      </c>
      <c r="O27" s="23" t="s">
        <v>23</v>
      </c>
      <c r="P27" s="23" t="s">
        <v>650</v>
      </c>
      <c r="Q27" s="23" t="s">
        <v>26</v>
      </c>
      <c r="R27" s="23" t="s">
        <v>2129</v>
      </c>
      <c r="S27" s="33">
        <v>0</v>
      </c>
      <c r="T27" s="13">
        <v>572.58000000000004</v>
      </c>
      <c r="U27" s="13">
        <v>34.354799999999997</v>
      </c>
      <c r="V27" s="55">
        <f>IFERROR(Table12[[#This Row],[Profit]]/Table12[[#This Row],[Sales]],0)</f>
        <v>5.9999999999999991E-2</v>
      </c>
    </row>
    <row r="28" spans="1:22" x14ac:dyDescent="0.2">
      <c r="A28">
        <v>27</v>
      </c>
      <c r="B28" t="s">
        <v>5502</v>
      </c>
      <c r="C28" s="1">
        <v>41652</v>
      </c>
      <c r="D28" s="22">
        <f>MONTH(Table12[[#This Row],[Order Date]])</f>
        <v>1</v>
      </c>
      <c r="E28" t="s">
        <v>5463</v>
      </c>
      <c r="F28" t="s">
        <v>5464</v>
      </c>
      <c r="G28" s="23" t="s">
        <v>28</v>
      </c>
      <c r="H28" s="23" t="s">
        <v>32</v>
      </c>
      <c r="I28" t="s">
        <v>3293</v>
      </c>
      <c r="J28" s="23" t="s">
        <v>22</v>
      </c>
      <c r="K28" s="22">
        <v>6</v>
      </c>
      <c r="L28" s="1">
        <v>41655</v>
      </c>
      <c r="M28" s="22">
        <f>Table12[[#This Row],[Ship Date]]-Table12[[#This Row],[Order Date]]</f>
        <v>3</v>
      </c>
      <c r="N28" s="23" t="s">
        <v>20</v>
      </c>
      <c r="O28" s="23" t="s">
        <v>23</v>
      </c>
      <c r="P28" s="23" t="s">
        <v>342</v>
      </c>
      <c r="Q28" s="23" t="s">
        <v>26</v>
      </c>
      <c r="R28" s="23" t="s">
        <v>5503</v>
      </c>
      <c r="S28" s="33">
        <v>0</v>
      </c>
      <c r="T28" s="13">
        <v>545.94000000000005</v>
      </c>
      <c r="U28" s="13">
        <v>87.350399999999993</v>
      </c>
      <c r="V28" s="55">
        <f>IFERROR(Table12[[#This Row],[Profit]]/Table12[[#This Row],[Sales]],0)</f>
        <v>0.15999999999999998</v>
      </c>
    </row>
    <row r="29" spans="1:22" x14ac:dyDescent="0.2">
      <c r="A29">
        <v>28</v>
      </c>
      <c r="B29" t="s">
        <v>7132</v>
      </c>
      <c r="C29" s="1">
        <v>41652</v>
      </c>
      <c r="D29" s="22">
        <f>MONTH(Table12[[#This Row],[Order Date]])</f>
        <v>1</v>
      </c>
      <c r="E29" t="s">
        <v>4435</v>
      </c>
      <c r="F29" t="s">
        <v>4436</v>
      </c>
      <c r="G29" s="23" t="s">
        <v>41</v>
      </c>
      <c r="H29" s="23" t="s">
        <v>53</v>
      </c>
      <c r="I29" t="s">
        <v>1583</v>
      </c>
      <c r="J29" s="23" t="s">
        <v>22</v>
      </c>
      <c r="K29" s="22">
        <v>5</v>
      </c>
      <c r="L29" s="1">
        <v>41657</v>
      </c>
      <c r="M29" s="22">
        <f>Table12[[#This Row],[Ship Date]]-Table12[[#This Row],[Order Date]]</f>
        <v>5</v>
      </c>
      <c r="N29" s="23" t="s">
        <v>45</v>
      </c>
      <c r="O29" s="23" t="s">
        <v>23</v>
      </c>
      <c r="P29" s="23" t="s">
        <v>38</v>
      </c>
      <c r="Q29" s="23" t="s">
        <v>39</v>
      </c>
      <c r="R29" s="23" t="s">
        <v>114</v>
      </c>
      <c r="S29" s="33">
        <v>0</v>
      </c>
      <c r="T29" s="13">
        <v>1325.85</v>
      </c>
      <c r="U29" s="13">
        <v>238.65299999999999</v>
      </c>
      <c r="V29" s="55">
        <f>IFERROR(Table12[[#This Row],[Profit]]/Table12[[#This Row],[Sales]],0)</f>
        <v>0.18</v>
      </c>
    </row>
    <row r="30" spans="1:22" x14ac:dyDescent="0.2">
      <c r="A30">
        <v>29</v>
      </c>
      <c r="B30" t="s">
        <v>7132</v>
      </c>
      <c r="C30" s="1">
        <v>41652</v>
      </c>
      <c r="D30" s="22">
        <f>MONTH(Table12[[#This Row],[Order Date]])</f>
        <v>1</v>
      </c>
      <c r="E30" t="s">
        <v>4328</v>
      </c>
      <c r="F30" t="s">
        <v>4329</v>
      </c>
      <c r="G30" s="23" t="s">
        <v>28</v>
      </c>
      <c r="H30" s="23" t="s">
        <v>29</v>
      </c>
      <c r="I30" t="s">
        <v>1583</v>
      </c>
      <c r="J30" s="23" t="s">
        <v>22</v>
      </c>
      <c r="K30" s="22">
        <v>3</v>
      </c>
      <c r="L30" s="1">
        <v>41657</v>
      </c>
      <c r="M30" s="22">
        <f>Table12[[#This Row],[Ship Date]]-Table12[[#This Row],[Order Date]]</f>
        <v>5</v>
      </c>
      <c r="N30" s="23" t="s">
        <v>45</v>
      </c>
      <c r="O30" s="23" t="s">
        <v>23</v>
      </c>
      <c r="P30" s="23" t="s">
        <v>38</v>
      </c>
      <c r="Q30" s="23" t="s">
        <v>39</v>
      </c>
      <c r="R30" s="23" t="s">
        <v>114</v>
      </c>
      <c r="S30" s="33">
        <v>0.15</v>
      </c>
      <c r="T30" s="13">
        <v>333.99900000000002</v>
      </c>
      <c r="U30" s="13">
        <v>3.9293999999999998</v>
      </c>
      <c r="V30" s="55">
        <f>IFERROR(Table12[[#This Row],[Profit]]/Table12[[#This Row],[Sales]],0)</f>
        <v>1.1764705882352939E-2</v>
      </c>
    </row>
    <row r="31" spans="1:22" x14ac:dyDescent="0.2">
      <c r="A31">
        <v>30</v>
      </c>
      <c r="B31" t="s">
        <v>7132</v>
      </c>
      <c r="C31" s="1">
        <v>41652</v>
      </c>
      <c r="D31" s="22">
        <f>MONTH(Table12[[#This Row],[Order Date]])</f>
        <v>1</v>
      </c>
      <c r="E31" t="s">
        <v>680</v>
      </c>
      <c r="F31" t="s">
        <v>681</v>
      </c>
      <c r="G31" s="23" t="s">
        <v>41</v>
      </c>
      <c r="H31" s="23" t="s">
        <v>61</v>
      </c>
      <c r="I31" t="s">
        <v>1583</v>
      </c>
      <c r="J31" s="23" t="s">
        <v>22</v>
      </c>
      <c r="K31" s="22">
        <v>5</v>
      </c>
      <c r="L31" s="1">
        <v>41657</v>
      </c>
      <c r="M31" s="22">
        <f>Table12[[#This Row],[Ship Date]]-Table12[[#This Row],[Order Date]]</f>
        <v>5</v>
      </c>
      <c r="N31" s="23" t="s">
        <v>45</v>
      </c>
      <c r="O31" s="23" t="s">
        <v>23</v>
      </c>
      <c r="P31" s="23" t="s">
        <v>38</v>
      </c>
      <c r="Q31" s="23" t="s">
        <v>39</v>
      </c>
      <c r="R31" s="23" t="s">
        <v>114</v>
      </c>
      <c r="S31" s="33">
        <v>0</v>
      </c>
      <c r="T31" s="13">
        <v>19.899999999999999</v>
      </c>
      <c r="U31" s="13">
        <v>6.5670000000000002</v>
      </c>
      <c r="V31" s="55">
        <f>IFERROR(Table12[[#This Row],[Profit]]/Table12[[#This Row],[Sales]],0)</f>
        <v>0.33</v>
      </c>
    </row>
    <row r="32" spans="1:22" x14ac:dyDescent="0.2">
      <c r="A32">
        <v>31</v>
      </c>
      <c r="B32" t="s">
        <v>9956</v>
      </c>
      <c r="C32" s="1">
        <v>41652</v>
      </c>
      <c r="D32" s="22">
        <f>MONTH(Table12[[#This Row],[Order Date]])</f>
        <v>1</v>
      </c>
      <c r="E32" t="s">
        <v>2445</v>
      </c>
      <c r="F32" t="s">
        <v>2446</v>
      </c>
      <c r="G32" s="23" t="s">
        <v>41</v>
      </c>
      <c r="H32" s="23" t="s">
        <v>82</v>
      </c>
      <c r="I32" t="s">
        <v>3425</v>
      </c>
      <c r="J32" s="23" t="s">
        <v>22</v>
      </c>
      <c r="K32" s="22">
        <v>7</v>
      </c>
      <c r="L32" s="1">
        <v>41657</v>
      </c>
      <c r="M32" s="22">
        <f>Table12[[#This Row],[Ship Date]]-Table12[[#This Row],[Order Date]]</f>
        <v>5</v>
      </c>
      <c r="N32" s="23" t="s">
        <v>45</v>
      </c>
      <c r="O32" s="23" t="s">
        <v>23</v>
      </c>
      <c r="P32" s="23" t="s">
        <v>441</v>
      </c>
      <c r="Q32" s="23" t="s">
        <v>133</v>
      </c>
      <c r="R32" s="23" t="s">
        <v>536</v>
      </c>
      <c r="S32" s="33">
        <v>0.2</v>
      </c>
      <c r="T32" s="13">
        <v>37.408000000000001</v>
      </c>
      <c r="U32" s="13">
        <v>13.0928</v>
      </c>
      <c r="V32" s="55">
        <f>IFERROR(Table12[[#This Row],[Profit]]/Table12[[#This Row],[Sales]],0)</f>
        <v>0.35</v>
      </c>
    </row>
    <row r="33" spans="1:22" x14ac:dyDescent="0.2">
      <c r="A33">
        <v>32</v>
      </c>
      <c r="B33" t="s">
        <v>9956</v>
      </c>
      <c r="C33" s="1">
        <v>41652</v>
      </c>
      <c r="D33" s="22">
        <f>MONTH(Table12[[#This Row],[Order Date]])</f>
        <v>1</v>
      </c>
      <c r="E33" t="s">
        <v>6008</v>
      </c>
      <c r="F33" t="s">
        <v>6009</v>
      </c>
      <c r="G33" s="23" t="s">
        <v>41</v>
      </c>
      <c r="H33" s="23" t="s">
        <v>68</v>
      </c>
      <c r="I33" t="s">
        <v>3425</v>
      </c>
      <c r="J33" s="23" t="s">
        <v>22</v>
      </c>
      <c r="K33" s="22">
        <v>2</v>
      </c>
      <c r="L33" s="1">
        <v>41657</v>
      </c>
      <c r="M33" s="22">
        <f>Table12[[#This Row],[Ship Date]]-Table12[[#This Row],[Order Date]]</f>
        <v>5</v>
      </c>
      <c r="N33" s="23" t="s">
        <v>45</v>
      </c>
      <c r="O33" s="23" t="s">
        <v>23</v>
      </c>
      <c r="P33" s="23" t="s">
        <v>441</v>
      </c>
      <c r="Q33" s="23" t="s">
        <v>133</v>
      </c>
      <c r="R33" s="23" t="s">
        <v>536</v>
      </c>
      <c r="S33" s="33">
        <v>0.7</v>
      </c>
      <c r="T33" s="13">
        <v>3.4380000000000002</v>
      </c>
      <c r="U33" s="13">
        <v>-2.5211999999999999</v>
      </c>
      <c r="V33" s="55">
        <f>IFERROR(Table12[[#This Row],[Profit]]/Table12[[#This Row],[Sales]],0)</f>
        <v>-0.73333333333333328</v>
      </c>
    </row>
    <row r="34" spans="1:22" x14ac:dyDescent="0.2">
      <c r="A34">
        <v>33</v>
      </c>
      <c r="B34" t="s">
        <v>8146</v>
      </c>
      <c r="C34" s="1">
        <v>41653</v>
      </c>
      <c r="D34" s="22">
        <f>MONTH(Table12[[#This Row],[Order Date]])</f>
        <v>1</v>
      </c>
      <c r="E34" t="s">
        <v>3187</v>
      </c>
      <c r="F34" t="s">
        <v>3188</v>
      </c>
      <c r="G34" s="23" t="s">
        <v>28</v>
      </c>
      <c r="H34" s="23" t="s">
        <v>29</v>
      </c>
      <c r="I34" t="s">
        <v>275</v>
      </c>
      <c r="J34" s="23" t="s">
        <v>36</v>
      </c>
      <c r="K34" s="22">
        <v>4</v>
      </c>
      <c r="L34" s="1">
        <v>41654</v>
      </c>
      <c r="M34" s="22">
        <f>Table12[[#This Row],[Ship Date]]-Table12[[#This Row],[Order Date]]</f>
        <v>1</v>
      </c>
      <c r="N34" s="23" t="s">
        <v>169</v>
      </c>
      <c r="O34" s="23" t="s">
        <v>23</v>
      </c>
      <c r="P34" s="23" t="s">
        <v>132</v>
      </c>
      <c r="Q34" s="23" t="s">
        <v>133</v>
      </c>
      <c r="R34" s="23" t="s">
        <v>131</v>
      </c>
      <c r="S34" s="33">
        <v>0.5</v>
      </c>
      <c r="T34" s="13">
        <v>61.96</v>
      </c>
      <c r="U34" s="13">
        <v>-53.285600000000002</v>
      </c>
      <c r="V34" s="55">
        <f>IFERROR(Table12[[#This Row],[Profit]]/Table12[[#This Row],[Sales]],0)</f>
        <v>-0.86</v>
      </c>
    </row>
    <row r="35" spans="1:22" x14ac:dyDescent="0.2">
      <c r="A35">
        <v>34</v>
      </c>
      <c r="B35" t="s">
        <v>4207</v>
      </c>
      <c r="C35" s="1">
        <v>41654</v>
      </c>
      <c r="D35" s="22">
        <f>MONTH(Table12[[#This Row],[Order Date]])</f>
        <v>1</v>
      </c>
      <c r="E35" t="s">
        <v>897</v>
      </c>
      <c r="F35" t="s">
        <v>898</v>
      </c>
      <c r="G35" s="23" t="s">
        <v>64</v>
      </c>
      <c r="H35" s="23" t="s">
        <v>144</v>
      </c>
      <c r="I35" t="s">
        <v>4208</v>
      </c>
      <c r="J35" s="23" t="s">
        <v>22</v>
      </c>
      <c r="K35" s="22">
        <v>5</v>
      </c>
      <c r="L35" s="1">
        <v>41656</v>
      </c>
      <c r="M35" s="22">
        <f>Table12[[#This Row],[Ship Date]]-Table12[[#This Row],[Order Date]]</f>
        <v>2</v>
      </c>
      <c r="N35" s="23" t="s">
        <v>169</v>
      </c>
      <c r="O35" s="23" t="s">
        <v>23</v>
      </c>
      <c r="P35" s="23" t="s">
        <v>1125</v>
      </c>
      <c r="Q35" s="23" t="s">
        <v>26</v>
      </c>
      <c r="R35" s="23" t="s">
        <v>2871</v>
      </c>
      <c r="S35" s="33">
        <v>0</v>
      </c>
      <c r="T35" s="13">
        <v>149.94999999999999</v>
      </c>
      <c r="U35" s="13">
        <v>65.977999999999994</v>
      </c>
      <c r="V35" s="55">
        <f>IFERROR(Table12[[#This Row],[Profit]]/Table12[[#This Row],[Sales]],0)</f>
        <v>0.44</v>
      </c>
    </row>
    <row r="36" spans="1:22" x14ac:dyDescent="0.2">
      <c r="A36">
        <v>35</v>
      </c>
      <c r="B36" t="s">
        <v>2580</v>
      </c>
      <c r="C36" s="1">
        <v>41655</v>
      </c>
      <c r="D36" s="22">
        <f>MONTH(Table12[[#This Row],[Order Date]])</f>
        <v>1</v>
      </c>
      <c r="E36" t="s">
        <v>2581</v>
      </c>
      <c r="F36" t="s">
        <v>2582</v>
      </c>
      <c r="G36" s="23" t="s">
        <v>28</v>
      </c>
      <c r="H36" s="23" t="s">
        <v>58</v>
      </c>
      <c r="I36" t="s">
        <v>840</v>
      </c>
      <c r="J36" s="23" t="s">
        <v>22</v>
      </c>
      <c r="K36" s="22">
        <v>6</v>
      </c>
      <c r="L36" s="1">
        <v>41657</v>
      </c>
      <c r="M36" s="22">
        <f>Table12[[#This Row],[Ship Date]]-Table12[[#This Row],[Order Date]]</f>
        <v>2</v>
      </c>
      <c r="N36" s="23" t="s">
        <v>20</v>
      </c>
      <c r="O36" s="23" t="s">
        <v>23</v>
      </c>
      <c r="P36" s="23" t="s">
        <v>132</v>
      </c>
      <c r="Q36" s="23" t="s">
        <v>133</v>
      </c>
      <c r="R36" s="23" t="s">
        <v>131</v>
      </c>
      <c r="S36" s="33">
        <v>0.2</v>
      </c>
      <c r="T36" s="13">
        <v>127.104</v>
      </c>
      <c r="U36" s="13">
        <v>28.598400000000002</v>
      </c>
      <c r="V36" s="55">
        <f>IFERROR(Table12[[#This Row],[Profit]]/Table12[[#This Row],[Sales]],0)</f>
        <v>0.22500000000000001</v>
      </c>
    </row>
    <row r="37" spans="1:22" x14ac:dyDescent="0.2">
      <c r="A37">
        <v>36</v>
      </c>
      <c r="B37" t="s">
        <v>2580</v>
      </c>
      <c r="C37" s="1">
        <v>41655</v>
      </c>
      <c r="D37" s="22">
        <f>MONTH(Table12[[#This Row],[Order Date]])</f>
        <v>1</v>
      </c>
      <c r="E37" t="s">
        <v>1064</v>
      </c>
      <c r="F37" t="s">
        <v>1065</v>
      </c>
      <c r="G37" s="23" t="s">
        <v>64</v>
      </c>
      <c r="H37" s="23" t="s">
        <v>65</v>
      </c>
      <c r="I37" t="s">
        <v>840</v>
      </c>
      <c r="J37" s="23" t="s">
        <v>22</v>
      </c>
      <c r="K37" s="22">
        <v>3</v>
      </c>
      <c r="L37" s="1">
        <v>41657</v>
      </c>
      <c r="M37" s="22">
        <f>Table12[[#This Row],[Ship Date]]-Table12[[#This Row],[Order Date]]</f>
        <v>2</v>
      </c>
      <c r="N37" s="23" t="s">
        <v>20</v>
      </c>
      <c r="O37" s="23" t="s">
        <v>23</v>
      </c>
      <c r="P37" s="23" t="s">
        <v>132</v>
      </c>
      <c r="Q37" s="23" t="s">
        <v>133</v>
      </c>
      <c r="R37" s="23" t="s">
        <v>131</v>
      </c>
      <c r="S37" s="33">
        <v>0.4</v>
      </c>
      <c r="T37" s="13">
        <v>124.2</v>
      </c>
      <c r="U37" s="13">
        <v>-31.05</v>
      </c>
      <c r="V37" s="55">
        <f>IFERROR(Table12[[#This Row],[Profit]]/Table12[[#This Row],[Sales]],0)</f>
        <v>-0.25</v>
      </c>
    </row>
    <row r="38" spans="1:22" x14ac:dyDescent="0.2">
      <c r="A38">
        <v>37</v>
      </c>
      <c r="B38" t="s">
        <v>2580</v>
      </c>
      <c r="C38" s="1">
        <v>41655</v>
      </c>
      <c r="D38" s="22">
        <f>MONTH(Table12[[#This Row],[Order Date]])</f>
        <v>1</v>
      </c>
      <c r="E38" t="s">
        <v>1990</v>
      </c>
      <c r="F38" t="s">
        <v>1991</v>
      </c>
      <c r="G38" s="23" t="s">
        <v>41</v>
      </c>
      <c r="H38" s="23" t="s">
        <v>68</v>
      </c>
      <c r="I38" t="s">
        <v>840</v>
      </c>
      <c r="J38" s="23" t="s">
        <v>22</v>
      </c>
      <c r="K38" s="22">
        <v>2</v>
      </c>
      <c r="L38" s="1">
        <v>41657</v>
      </c>
      <c r="M38" s="22">
        <f>Table12[[#This Row],[Ship Date]]-Table12[[#This Row],[Order Date]]</f>
        <v>2</v>
      </c>
      <c r="N38" s="23" t="s">
        <v>20</v>
      </c>
      <c r="O38" s="23" t="s">
        <v>23</v>
      </c>
      <c r="P38" s="23" t="s">
        <v>132</v>
      </c>
      <c r="Q38" s="23" t="s">
        <v>133</v>
      </c>
      <c r="R38" s="23" t="s">
        <v>131</v>
      </c>
      <c r="S38" s="33">
        <v>0.7</v>
      </c>
      <c r="T38" s="13">
        <v>18.588000000000001</v>
      </c>
      <c r="U38" s="13">
        <v>-13.6312</v>
      </c>
      <c r="V38" s="55">
        <f>IFERROR(Table12[[#This Row],[Profit]]/Table12[[#This Row],[Sales]],0)</f>
        <v>-0.73333333333333328</v>
      </c>
    </row>
    <row r="39" spans="1:22" x14ac:dyDescent="0.2">
      <c r="A39">
        <v>38</v>
      </c>
      <c r="B39" t="s">
        <v>2580</v>
      </c>
      <c r="C39" s="1">
        <v>41655</v>
      </c>
      <c r="D39" s="22">
        <f>MONTH(Table12[[#This Row],[Order Date]])</f>
        <v>1</v>
      </c>
      <c r="E39" t="s">
        <v>1058</v>
      </c>
      <c r="F39" t="s">
        <v>1059</v>
      </c>
      <c r="G39" s="23" t="s">
        <v>41</v>
      </c>
      <c r="H39" s="23" t="s">
        <v>42</v>
      </c>
      <c r="I39" t="s">
        <v>840</v>
      </c>
      <c r="J39" s="23" t="s">
        <v>22</v>
      </c>
      <c r="K39" s="22">
        <v>3</v>
      </c>
      <c r="L39" s="1">
        <v>41657</v>
      </c>
      <c r="M39" s="22">
        <f>Table12[[#This Row],[Ship Date]]-Table12[[#This Row],[Order Date]]</f>
        <v>2</v>
      </c>
      <c r="N39" s="23" t="s">
        <v>20</v>
      </c>
      <c r="O39" s="23" t="s">
        <v>23</v>
      </c>
      <c r="P39" s="23" t="s">
        <v>132</v>
      </c>
      <c r="Q39" s="23" t="s">
        <v>133</v>
      </c>
      <c r="R39" s="23" t="s">
        <v>131</v>
      </c>
      <c r="S39" s="33">
        <v>0.2</v>
      </c>
      <c r="T39" s="13">
        <v>30.071999999999999</v>
      </c>
      <c r="U39" s="13">
        <v>10.1493</v>
      </c>
      <c r="V39" s="55">
        <f>IFERROR(Table12[[#This Row],[Profit]]/Table12[[#This Row],[Sales]],0)</f>
        <v>0.33750000000000002</v>
      </c>
    </row>
    <row r="40" spans="1:22" x14ac:dyDescent="0.2">
      <c r="A40">
        <v>39</v>
      </c>
      <c r="B40" t="s">
        <v>7419</v>
      </c>
      <c r="C40" s="1">
        <v>41657</v>
      </c>
      <c r="D40" s="22">
        <f>MONTH(Table12[[#This Row],[Order Date]])</f>
        <v>1</v>
      </c>
      <c r="E40" t="s">
        <v>4552</v>
      </c>
      <c r="F40" t="s">
        <v>4553</v>
      </c>
      <c r="G40" s="23" t="s">
        <v>41</v>
      </c>
      <c r="H40" s="23" t="s">
        <v>71</v>
      </c>
      <c r="I40" t="s">
        <v>5765</v>
      </c>
      <c r="J40" s="23" t="s">
        <v>36</v>
      </c>
      <c r="K40" s="22">
        <v>4</v>
      </c>
      <c r="L40" s="1">
        <v>41660</v>
      </c>
      <c r="M40" s="22">
        <f>Table12[[#This Row],[Ship Date]]-Table12[[#This Row],[Order Date]]</f>
        <v>3</v>
      </c>
      <c r="N40" s="23" t="s">
        <v>20</v>
      </c>
      <c r="O40" s="23" t="s">
        <v>23</v>
      </c>
      <c r="P40" s="23" t="s">
        <v>374</v>
      </c>
      <c r="Q40" s="23" t="s">
        <v>39</v>
      </c>
      <c r="R40" s="23" t="s">
        <v>284</v>
      </c>
      <c r="S40" s="33">
        <v>0.2</v>
      </c>
      <c r="T40" s="13">
        <v>64.864000000000004</v>
      </c>
      <c r="U40" s="13">
        <v>6.4863999999999997</v>
      </c>
      <c r="V40" s="55">
        <f>IFERROR(Table12[[#This Row],[Profit]]/Table12[[#This Row],[Sales]],0)</f>
        <v>9.9999999999999992E-2</v>
      </c>
    </row>
    <row r="41" spans="1:22" x14ac:dyDescent="0.2">
      <c r="A41">
        <v>40</v>
      </c>
      <c r="B41" t="s">
        <v>7506</v>
      </c>
      <c r="C41" s="1">
        <v>41658</v>
      </c>
      <c r="D41" s="22">
        <f>MONTH(Table12[[#This Row],[Order Date]])</f>
        <v>1</v>
      </c>
      <c r="E41" t="s">
        <v>2854</v>
      </c>
      <c r="F41" t="s">
        <v>2855</v>
      </c>
      <c r="G41" s="23" t="s">
        <v>41</v>
      </c>
      <c r="H41" s="23" t="s">
        <v>68</v>
      </c>
      <c r="I41" t="s">
        <v>2607</v>
      </c>
      <c r="J41" s="23" t="s">
        <v>22</v>
      </c>
      <c r="K41" s="22">
        <v>10</v>
      </c>
      <c r="L41" s="1">
        <v>41659</v>
      </c>
      <c r="M41" s="22">
        <f>Table12[[#This Row],[Ship Date]]-Table12[[#This Row],[Order Date]]</f>
        <v>1</v>
      </c>
      <c r="N41" s="23" t="s">
        <v>169</v>
      </c>
      <c r="O41" s="23" t="s">
        <v>23</v>
      </c>
      <c r="P41" s="23" t="s">
        <v>277</v>
      </c>
      <c r="Q41" s="23" t="s">
        <v>39</v>
      </c>
      <c r="R41" s="23" t="s">
        <v>550</v>
      </c>
      <c r="S41" s="33">
        <v>0.7</v>
      </c>
      <c r="T41" s="13">
        <v>32.340000000000003</v>
      </c>
      <c r="U41" s="13">
        <v>-23.716000000000001</v>
      </c>
      <c r="V41" s="55">
        <f>IFERROR(Table12[[#This Row],[Profit]]/Table12[[#This Row],[Sales]],0)</f>
        <v>-0.73333333333333328</v>
      </c>
    </row>
    <row r="42" spans="1:22" x14ac:dyDescent="0.2">
      <c r="A42">
        <v>41</v>
      </c>
      <c r="B42" t="s">
        <v>7506</v>
      </c>
      <c r="C42" s="1">
        <v>41658</v>
      </c>
      <c r="D42" s="22">
        <f>MONTH(Table12[[#This Row],[Order Date]])</f>
        <v>1</v>
      </c>
      <c r="E42" t="s">
        <v>616</v>
      </c>
      <c r="F42" t="s">
        <v>4766</v>
      </c>
      <c r="G42" s="23" t="s">
        <v>41</v>
      </c>
      <c r="H42" s="23" t="s">
        <v>82</v>
      </c>
      <c r="I42" t="s">
        <v>2607</v>
      </c>
      <c r="J42" s="23" t="s">
        <v>22</v>
      </c>
      <c r="K42" s="22">
        <v>4</v>
      </c>
      <c r="L42" s="1">
        <v>41659</v>
      </c>
      <c r="M42" s="22">
        <f>Table12[[#This Row],[Ship Date]]-Table12[[#This Row],[Order Date]]</f>
        <v>1</v>
      </c>
      <c r="N42" s="23" t="s">
        <v>169</v>
      </c>
      <c r="O42" s="23" t="s">
        <v>23</v>
      </c>
      <c r="P42" s="23" t="s">
        <v>277</v>
      </c>
      <c r="Q42" s="23" t="s">
        <v>39</v>
      </c>
      <c r="R42" s="23" t="s">
        <v>550</v>
      </c>
      <c r="S42" s="33">
        <v>0.2</v>
      </c>
      <c r="T42" s="13">
        <v>56.064</v>
      </c>
      <c r="U42" s="13">
        <v>19.622399999999999</v>
      </c>
      <c r="V42" s="55">
        <f>IFERROR(Table12[[#This Row],[Profit]]/Table12[[#This Row],[Sales]],0)</f>
        <v>0.35</v>
      </c>
    </row>
    <row r="43" spans="1:22" x14ac:dyDescent="0.2">
      <c r="A43">
        <v>42</v>
      </c>
      <c r="B43" t="s">
        <v>7506</v>
      </c>
      <c r="C43" s="1">
        <v>41658</v>
      </c>
      <c r="D43" s="22">
        <f>MONTH(Table12[[#This Row],[Order Date]])</f>
        <v>1</v>
      </c>
      <c r="E43" t="s">
        <v>448</v>
      </c>
      <c r="F43" t="s">
        <v>449</v>
      </c>
      <c r="G43" s="23" t="s">
        <v>41</v>
      </c>
      <c r="H43" s="23" t="s">
        <v>155</v>
      </c>
      <c r="I43" t="s">
        <v>2607</v>
      </c>
      <c r="J43" s="23" t="s">
        <v>22</v>
      </c>
      <c r="K43" s="22">
        <v>5</v>
      </c>
      <c r="L43" s="1">
        <v>41659</v>
      </c>
      <c r="M43" s="22">
        <f>Table12[[#This Row],[Ship Date]]-Table12[[#This Row],[Order Date]]</f>
        <v>1</v>
      </c>
      <c r="N43" s="23" t="s">
        <v>169</v>
      </c>
      <c r="O43" s="23" t="s">
        <v>23</v>
      </c>
      <c r="P43" s="23" t="s">
        <v>277</v>
      </c>
      <c r="Q43" s="23" t="s">
        <v>39</v>
      </c>
      <c r="R43" s="23" t="s">
        <v>550</v>
      </c>
      <c r="S43" s="33">
        <v>0.2</v>
      </c>
      <c r="T43" s="13">
        <v>108.72</v>
      </c>
      <c r="U43" s="13">
        <v>36.692999999999998</v>
      </c>
      <c r="V43" s="55">
        <f>IFERROR(Table12[[#This Row],[Profit]]/Table12[[#This Row],[Sales]],0)</f>
        <v>0.33749999999999997</v>
      </c>
    </row>
    <row r="44" spans="1:22" x14ac:dyDescent="0.2">
      <c r="A44">
        <v>43</v>
      </c>
      <c r="B44" t="s">
        <v>7506</v>
      </c>
      <c r="C44" s="1">
        <v>41658</v>
      </c>
      <c r="D44" s="22">
        <f>MONTH(Table12[[#This Row],[Order Date]])</f>
        <v>1</v>
      </c>
      <c r="E44" t="s">
        <v>1276</v>
      </c>
      <c r="F44" t="s">
        <v>1277</v>
      </c>
      <c r="G44" s="23" t="s">
        <v>28</v>
      </c>
      <c r="H44" s="23" t="s">
        <v>29</v>
      </c>
      <c r="I44" t="s">
        <v>2607</v>
      </c>
      <c r="J44" s="23" t="s">
        <v>22</v>
      </c>
      <c r="K44" s="22">
        <v>5</v>
      </c>
      <c r="L44" s="1">
        <v>41659</v>
      </c>
      <c r="M44" s="22">
        <f>Table12[[#This Row],[Ship Date]]-Table12[[#This Row],[Order Date]]</f>
        <v>1</v>
      </c>
      <c r="N44" s="23" t="s">
        <v>169</v>
      </c>
      <c r="O44" s="23" t="s">
        <v>23</v>
      </c>
      <c r="P44" s="23" t="s">
        <v>277</v>
      </c>
      <c r="Q44" s="23" t="s">
        <v>39</v>
      </c>
      <c r="R44" s="23" t="s">
        <v>550</v>
      </c>
      <c r="S44" s="33">
        <v>0.7</v>
      </c>
      <c r="T44" s="13">
        <v>181.47</v>
      </c>
      <c r="U44" s="13">
        <v>-320.59699999999998</v>
      </c>
      <c r="V44" s="55">
        <f>IFERROR(Table12[[#This Row],[Profit]]/Table12[[#This Row],[Sales]],0)</f>
        <v>-1.7666666666666666</v>
      </c>
    </row>
    <row r="45" spans="1:22" x14ac:dyDescent="0.2">
      <c r="A45">
        <v>44</v>
      </c>
      <c r="B45" t="s">
        <v>2874</v>
      </c>
      <c r="C45" s="1">
        <v>41659</v>
      </c>
      <c r="D45" s="22">
        <f>MONTH(Table12[[#This Row],[Order Date]])</f>
        <v>1</v>
      </c>
      <c r="E45" t="s">
        <v>2876</v>
      </c>
      <c r="F45" t="s">
        <v>2877</v>
      </c>
      <c r="G45" s="23" t="s">
        <v>64</v>
      </c>
      <c r="H45" s="23" t="s">
        <v>65</v>
      </c>
      <c r="I45" t="s">
        <v>2425</v>
      </c>
      <c r="J45" s="23" t="s">
        <v>22</v>
      </c>
      <c r="K45" s="22">
        <v>7</v>
      </c>
      <c r="L45" s="1">
        <v>41665</v>
      </c>
      <c r="M45" s="22">
        <f>Table12[[#This Row],[Ship Date]]-Table12[[#This Row],[Order Date]]</f>
        <v>6</v>
      </c>
      <c r="N45" s="23" t="s">
        <v>45</v>
      </c>
      <c r="O45" s="23" t="s">
        <v>23</v>
      </c>
      <c r="P45" s="23" t="s">
        <v>1510</v>
      </c>
      <c r="Q45" s="23" t="s">
        <v>26</v>
      </c>
      <c r="R45" s="23" t="s">
        <v>2875</v>
      </c>
      <c r="S45" s="33">
        <v>0</v>
      </c>
      <c r="T45" s="13">
        <v>699.93</v>
      </c>
      <c r="U45" s="13">
        <v>181.98179999999999</v>
      </c>
      <c r="V45" s="55">
        <f>IFERROR(Table12[[#This Row],[Profit]]/Table12[[#This Row],[Sales]],0)</f>
        <v>0.26</v>
      </c>
    </row>
    <row r="46" spans="1:22" x14ac:dyDescent="0.2">
      <c r="A46">
        <v>45</v>
      </c>
      <c r="B46" t="s">
        <v>2874</v>
      </c>
      <c r="C46" s="1">
        <v>41659</v>
      </c>
      <c r="D46" s="22">
        <f>MONTH(Table12[[#This Row],[Order Date]])</f>
        <v>1</v>
      </c>
      <c r="E46" t="s">
        <v>2878</v>
      </c>
      <c r="F46" t="s">
        <v>2879</v>
      </c>
      <c r="G46" s="23" t="s">
        <v>41</v>
      </c>
      <c r="H46" s="23" t="s">
        <v>61</v>
      </c>
      <c r="I46" t="s">
        <v>2425</v>
      </c>
      <c r="J46" s="23" t="s">
        <v>22</v>
      </c>
      <c r="K46" s="22">
        <v>7</v>
      </c>
      <c r="L46" s="1">
        <v>41665</v>
      </c>
      <c r="M46" s="22">
        <f>Table12[[#This Row],[Ship Date]]-Table12[[#This Row],[Order Date]]</f>
        <v>6</v>
      </c>
      <c r="N46" s="23" t="s">
        <v>45</v>
      </c>
      <c r="O46" s="23" t="s">
        <v>23</v>
      </c>
      <c r="P46" s="23" t="s">
        <v>1510</v>
      </c>
      <c r="Q46" s="23" t="s">
        <v>26</v>
      </c>
      <c r="R46" s="23" t="s">
        <v>2875</v>
      </c>
      <c r="S46" s="33">
        <v>0</v>
      </c>
      <c r="T46" s="13">
        <v>22.96</v>
      </c>
      <c r="U46" s="13">
        <v>6.6584000000000003</v>
      </c>
      <c r="V46" s="55">
        <f>IFERROR(Table12[[#This Row],[Profit]]/Table12[[#This Row],[Sales]],0)</f>
        <v>0.28999999999999998</v>
      </c>
    </row>
    <row r="47" spans="1:22" x14ac:dyDescent="0.2">
      <c r="A47">
        <v>46</v>
      </c>
      <c r="B47" t="s">
        <v>2874</v>
      </c>
      <c r="C47" s="1">
        <v>41659</v>
      </c>
      <c r="D47" s="22">
        <f>MONTH(Table12[[#This Row],[Order Date]])</f>
        <v>1</v>
      </c>
      <c r="E47" t="s">
        <v>315</v>
      </c>
      <c r="F47" t="s">
        <v>316</v>
      </c>
      <c r="G47" s="23" t="s">
        <v>28</v>
      </c>
      <c r="H47" s="23" t="s">
        <v>58</v>
      </c>
      <c r="I47" t="s">
        <v>2425</v>
      </c>
      <c r="J47" s="23" t="s">
        <v>22</v>
      </c>
      <c r="K47" s="22">
        <v>4</v>
      </c>
      <c r="L47" s="1">
        <v>41665</v>
      </c>
      <c r="M47" s="22">
        <f>Table12[[#This Row],[Ship Date]]-Table12[[#This Row],[Order Date]]</f>
        <v>6</v>
      </c>
      <c r="N47" s="23" t="s">
        <v>45</v>
      </c>
      <c r="O47" s="23" t="s">
        <v>23</v>
      </c>
      <c r="P47" s="23" t="s">
        <v>1510</v>
      </c>
      <c r="Q47" s="23" t="s">
        <v>26</v>
      </c>
      <c r="R47" s="23" t="s">
        <v>2875</v>
      </c>
      <c r="S47" s="33">
        <v>0</v>
      </c>
      <c r="T47" s="13">
        <v>38.6</v>
      </c>
      <c r="U47" s="13">
        <v>11.58</v>
      </c>
      <c r="V47" s="55">
        <f>IFERROR(Table12[[#This Row],[Profit]]/Table12[[#This Row],[Sales]],0)</f>
        <v>0.3</v>
      </c>
    </row>
    <row r="48" spans="1:22" x14ac:dyDescent="0.2">
      <c r="A48">
        <v>47</v>
      </c>
      <c r="B48" t="s">
        <v>2874</v>
      </c>
      <c r="C48" s="1">
        <v>41659</v>
      </c>
      <c r="D48" s="22">
        <f>MONTH(Table12[[#This Row],[Order Date]])</f>
        <v>1</v>
      </c>
      <c r="E48" t="s">
        <v>1555</v>
      </c>
      <c r="F48" t="s">
        <v>1556</v>
      </c>
      <c r="G48" s="23" t="s">
        <v>41</v>
      </c>
      <c r="H48" s="23" t="s">
        <v>61</v>
      </c>
      <c r="I48" t="s">
        <v>2425</v>
      </c>
      <c r="J48" s="23" t="s">
        <v>22</v>
      </c>
      <c r="K48" s="22">
        <v>3</v>
      </c>
      <c r="L48" s="1">
        <v>41665</v>
      </c>
      <c r="M48" s="22">
        <f>Table12[[#This Row],[Ship Date]]-Table12[[#This Row],[Order Date]]</f>
        <v>6</v>
      </c>
      <c r="N48" s="23" t="s">
        <v>45</v>
      </c>
      <c r="O48" s="23" t="s">
        <v>23</v>
      </c>
      <c r="P48" s="23" t="s">
        <v>1510</v>
      </c>
      <c r="Q48" s="23" t="s">
        <v>26</v>
      </c>
      <c r="R48" s="23" t="s">
        <v>2875</v>
      </c>
      <c r="S48" s="33">
        <v>0</v>
      </c>
      <c r="T48" s="13">
        <v>6.63</v>
      </c>
      <c r="U48" s="13">
        <v>1.7901</v>
      </c>
      <c r="V48" s="55">
        <f>IFERROR(Table12[[#This Row],[Profit]]/Table12[[#This Row],[Sales]],0)</f>
        <v>0.27</v>
      </c>
    </row>
    <row r="49" spans="1:22" x14ac:dyDescent="0.2">
      <c r="A49">
        <v>48</v>
      </c>
      <c r="B49" t="s">
        <v>2874</v>
      </c>
      <c r="C49" s="1">
        <v>41659</v>
      </c>
      <c r="D49" s="22">
        <f>MONTH(Table12[[#This Row],[Order Date]])</f>
        <v>1</v>
      </c>
      <c r="E49" t="s">
        <v>2880</v>
      </c>
      <c r="F49" t="s">
        <v>591</v>
      </c>
      <c r="G49" s="23" t="s">
        <v>41</v>
      </c>
      <c r="H49" s="23" t="s">
        <v>155</v>
      </c>
      <c r="I49" t="s">
        <v>2425</v>
      </c>
      <c r="J49" s="23" t="s">
        <v>22</v>
      </c>
      <c r="K49" s="22">
        <v>3</v>
      </c>
      <c r="L49" s="1">
        <v>41665</v>
      </c>
      <c r="M49" s="22">
        <f>Table12[[#This Row],[Ship Date]]-Table12[[#This Row],[Order Date]]</f>
        <v>6</v>
      </c>
      <c r="N49" s="23" t="s">
        <v>45</v>
      </c>
      <c r="O49" s="23" t="s">
        <v>23</v>
      </c>
      <c r="P49" s="23" t="s">
        <v>1510</v>
      </c>
      <c r="Q49" s="23" t="s">
        <v>26</v>
      </c>
      <c r="R49" s="23" t="s">
        <v>2875</v>
      </c>
      <c r="S49" s="33">
        <v>0</v>
      </c>
      <c r="T49" s="13">
        <v>23.34</v>
      </c>
      <c r="U49" s="13">
        <v>10.969799999999999</v>
      </c>
      <c r="V49" s="55">
        <f>IFERROR(Table12[[#This Row],[Profit]]/Table12[[#This Row],[Sales]],0)</f>
        <v>0.47</v>
      </c>
    </row>
    <row r="50" spans="1:22" x14ac:dyDescent="0.2">
      <c r="A50">
        <v>49</v>
      </c>
      <c r="B50" t="s">
        <v>2874</v>
      </c>
      <c r="C50" s="1">
        <v>41659</v>
      </c>
      <c r="D50" s="22">
        <f>MONTH(Table12[[#This Row],[Order Date]])</f>
        <v>1</v>
      </c>
      <c r="E50" t="s">
        <v>1406</v>
      </c>
      <c r="F50" t="s">
        <v>1407</v>
      </c>
      <c r="G50" s="23" t="s">
        <v>28</v>
      </c>
      <c r="H50" s="23" t="s">
        <v>32</v>
      </c>
      <c r="I50" t="s">
        <v>2425</v>
      </c>
      <c r="J50" s="23" t="s">
        <v>22</v>
      </c>
      <c r="K50" s="22">
        <v>3</v>
      </c>
      <c r="L50" s="1">
        <v>41665</v>
      </c>
      <c r="M50" s="22">
        <f>Table12[[#This Row],[Ship Date]]-Table12[[#This Row],[Order Date]]</f>
        <v>6</v>
      </c>
      <c r="N50" s="23" t="s">
        <v>45</v>
      </c>
      <c r="O50" s="23" t="s">
        <v>23</v>
      </c>
      <c r="P50" s="23" t="s">
        <v>1510</v>
      </c>
      <c r="Q50" s="23" t="s">
        <v>26</v>
      </c>
      <c r="R50" s="23" t="s">
        <v>2875</v>
      </c>
      <c r="S50" s="33">
        <v>0</v>
      </c>
      <c r="T50" s="13">
        <v>1067.94</v>
      </c>
      <c r="U50" s="13">
        <v>224.26740000000001</v>
      </c>
      <c r="V50" s="55">
        <f>IFERROR(Table12[[#This Row],[Profit]]/Table12[[#This Row],[Sales]],0)</f>
        <v>0.21</v>
      </c>
    </row>
    <row r="51" spans="1:22" x14ac:dyDescent="0.2">
      <c r="A51">
        <v>50</v>
      </c>
      <c r="B51" t="s">
        <v>7687</v>
      </c>
      <c r="C51" s="1">
        <v>41659</v>
      </c>
      <c r="D51" s="22">
        <f>MONTH(Table12[[#This Row],[Order Date]])</f>
        <v>1</v>
      </c>
      <c r="E51" t="s">
        <v>1271</v>
      </c>
      <c r="F51" t="s">
        <v>1272</v>
      </c>
      <c r="G51" s="23" t="s">
        <v>41</v>
      </c>
      <c r="H51" s="23" t="s">
        <v>82</v>
      </c>
      <c r="I51" t="s">
        <v>4656</v>
      </c>
      <c r="J51" s="23" t="s">
        <v>22</v>
      </c>
      <c r="K51" s="22">
        <v>2</v>
      </c>
      <c r="L51" s="1">
        <v>41664</v>
      </c>
      <c r="M51" s="22">
        <f>Table12[[#This Row],[Ship Date]]-Table12[[#This Row],[Order Date]]</f>
        <v>5</v>
      </c>
      <c r="N51" s="23" t="s">
        <v>45</v>
      </c>
      <c r="O51" s="23" t="s">
        <v>23</v>
      </c>
      <c r="P51" s="23" t="s">
        <v>38</v>
      </c>
      <c r="Q51" s="23" t="s">
        <v>39</v>
      </c>
      <c r="R51" s="23" t="s">
        <v>37</v>
      </c>
      <c r="S51" s="33">
        <v>0</v>
      </c>
      <c r="T51" s="13">
        <v>19.36</v>
      </c>
      <c r="U51" s="13">
        <v>9.2927999999999997</v>
      </c>
      <c r="V51" s="55">
        <f>IFERROR(Table12[[#This Row],[Profit]]/Table12[[#This Row],[Sales]],0)</f>
        <v>0.48</v>
      </c>
    </row>
    <row r="52" spans="1:22" x14ac:dyDescent="0.2">
      <c r="A52">
        <v>51</v>
      </c>
      <c r="B52" t="s">
        <v>7687</v>
      </c>
      <c r="C52" s="1">
        <v>41659</v>
      </c>
      <c r="D52" s="22">
        <f>MONTH(Table12[[#This Row],[Order Date]])</f>
        <v>1</v>
      </c>
      <c r="E52" t="s">
        <v>315</v>
      </c>
      <c r="F52" t="s">
        <v>316</v>
      </c>
      <c r="G52" s="23" t="s">
        <v>28</v>
      </c>
      <c r="H52" s="23" t="s">
        <v>58</v>
      </c>
      <c r="I52" t="s">
        <v>4656</v>
      </c>
      <c r="J52" s="23" t="s">
        <v>22</v>
      </c>
      <c r="K52" s="22">
        <v>2</v>
      </c>
      <c r="L52" s="1">
        <v>41664</v>
      </c>
      <c r="M52" s="22">
        <f>Table12[[#This Row],[Ship Date]]-Table12[[#This Row],[Order Date]]</f>
        <v>5</v>
      </c>
      <c r="N52" s="23" t="s">
        <v>45</v>
      </c>
      <c r="O52" s="23" t="s">
        <v>23</v>
      </c>
      <c r="P52" s="23" t="s">
        <v>38</v>
      </c>
      <c r="Q52" s="23" t="s">
        <v>39</v>
      </c>
      <c r="R52" s="23" t="s">
        <v>37</v>
      </c>
      <c r="S52" s="33">
        <v>0</v>
      </c>
      <c r="T52" s="13">
        <v>19.3</v>
      </c>
      <c r="U52" s="13">
        <v>5.79</v>
      </c>
      <c r="V52" s="55">
        <f>IFERROR(Table12[[#This Row],[Profit]]/Table12[[#This Row],[Sales]],0)</f>
        <v>0.3</v>
      </c>
    </row>
    <row r="53" spans="1:22" x14ac:dyDescent="0.2">
      <c r="A53">
        <v>52</v>
      </c>
      <c r="B53" t="s">
        <v>8064</v>
      </c>
      <c r="C53" s="1">
        <v>41659</v>
      </c>
      <c r="D53" s="22">
        <f>MONTH(Table12[[#This Row],[Order Date]])</f>
        <v>1</v>
      </c>
      <c r="E53" t="s">
        <v>52</v>
      </c>
      <c r="F53" t="s">
        <v>54</v>
      </c>
      <c r="G53" s="23" t="s">
        <v>41</v>
      </c>
      <c r="H53" s="23" t="s">
        <v>53</v>
      </c>
      <c r="I53" t="s">
        <v>1467</v>
      </c>
      <c r="J53" s="23" t="s">
        <v>22</v>
      </c>
      <c r="K53" s="22">
        <v>1</v>
      </c>
      <c r="L53" s="1">
        <v>41665</v>
      </c>
      <c r="M53" s="22">
        <f>Table12[[#This Row],[Ship Date]]-Table12[[#This Row],[Order Date]]</f>
        <v>6</v>
      </c>
      <c r="N53" s="23" t="s">
        <v>45</v>
      </c>
      <c r="O53" s="23" t="s">
        <v>23</v>
      </c>
      <c r="P53" s="23" t="s">
        <v>212</v>
      </c>
      <c r="Q53" s="23" t="s">
        <v>95</v>
      </c>
      <c r="R53" s="23" t="s">
        <v>211</v>
      </c>
      <c r="S53" s="33">
        <v>0</v>
      </c>
      <c r="T53" s="13">
        <v>13.98</v>
      </c>
      <c r="U53" s="13">
        <v>4.0541999999999998</v>
      </c>
      <c r="V53" s="55">
        <f>IFERROR(Table12[[#This Row],[Profit]]/Table12[[#This Row],[Sales]],0)</f>
        <v>0.28999999999999998</v>
      </c>
    </row>
    <row r="54" spans="1:22" x14ac:dyDescent="0.2">
      <c r="A54">
        <v>53</v>
      </c>
      <c r="B54" t="s">
        <v>8064</v>
      </c>
      <c r="C54" s="1">
        <v>41659</v>
      </c>
      <c r="D54" s="22">
        <f>MONTH(Table12[[#This Row],[Order Date]])</f>
        <v>1</v>
      </c>
      <c r="E54" t="s">
        <v>959</v>
      </c>
      <c r="F54" t="s">
        <v>960</v>
      </c>
      <c r="G54" s="23" t="s">
        <v>28</v>
      </c>
      <c r="H54" s="23" t="s">
        <v>58</v>
      </c>
      <c r="I54" t="s">
        <v>1467</v>
      </c>
      <c r="J54" s="23" t="s">
        <v>22</v>
      </c>
      <c r="K54" s="22">
        <v>3</v>
      </c>
      <c r="L54" s="1">
        <v>41665</v>
      </c>
      <c r="M54" s="22">
        <f>Table12[[#This Row],[Ship Date]]-Table12[[#This Row],[Order Date]]</f>
        <v>6</v>
      </c>
      <c r="N54" s="23" t="s">
        <v>45</v>
      </c>
      <c r="O54" s="23" t="s">
        <v>23</v>
      </c>
      <c r="P54" s="23" t="s">
        <v>212</v>
      </c>
      <c r="Q54" s="23" t="s">
        <v>95</v>
      </c>
      <c r="R54" s="23" t="s">
        <v>211</v>
      </c>
      <c r="S54" s="33">
        <v>0</v>
      </c>
      <c r="T54" s="13">
        <v>272.94</v>
      </c>
      <c r="U54" s="13">
        <v>30.023399999999999</v>
      </c>
      <c r="V54" s="55">
        <f>IFERROR(Table12[[#This Row],[Profit]]/Table12[[#This Row],[Sales]],0)</f>
        <v>0.11</v>
      </c>
    </row>
    <row r="55" spans="1:22" x14ac:dyDescent="0.2">
      <c r="A55">
        <v>54</v>
      </c>
      <c r="B55" t="s">
        <v>8064</v>
      </c>
      <c r="C55" s="1">
        <v>41659</v>
      </c>
      <c r="D55" s="22">
        <f>MONTH(Table12[[#This Row],[Order Date]])</f>
        <v>1</v>
      </c>
      <c r="E55" t="s">
        <v>1831</v>
      </c>
      <c r="F55" t="s">
        <v>1832</v>
      </c>
      <c r="G55" s="23" t="s">
        <v>41</v>
      </c>
      <c r="H55" s="23" t="s">
        <v>68</v>
      </c>
      <c r="I55" t="s">
        <v>1467</v>
      </c>
      <c r="J55" s="23" t="s">
        <v>22</v>
      </c>
      <c r="K55" s="22">
        <v>5</v>
      </c>
      <c r="L55" s="1">
        <v>41665</v>
      </c>
      <c r="M55" s="22">
        <f>Table12[[#This Row],[Ship Date]]-Table12[[#This Row],[Order Date]]</f>
        <v>6</v>
      </c>
      <c r="N55" s="23" t="s">
        <v>45</v>
      </c>
      <c r="O55" s="23" t="s">
        <v>23</v>
      </c>
      <c r="P55" s="23" t="s">
        <v>212</v>
      </c>
      <c r="Q55" s="23" t="s">
        <v>95</v>
      </c>
      <c r="R55" s="23" t="s">
        <v>211</v>
      </c>
      <c r="S55" s="33">
        <v>0</v>
      </c>
      <c r="T55" s="13">
        <v>19.05</v>
      </c>
      <c r="U55" s="13">
        <v>8.9535</v>
      </c>
      <c r="V55" s="55">
        <f>IFERROR(Table12[[#This Row],[Profit]]/Table12[[#This Row],[Sales]],0)</f>
        <v>0.47</v>
      </c>
    </row>
    <row r="56" spans="1:22" x14ac:dyDescent="0.2">
      <c r="A56">
        <v>55</v>
      </c>
      <c r="B56" t="s">
        <v>8064</v>
      </c>
      <c r="C56" s="1">
        <v>41659</v>
      </c>
      <c r="D56" s="22">
        <f>MONTH(Table12[[#This Row],[Order Date]])</f>
        <v>1</v>
      </c>
      <c r="E56" t="s">
        <v>96</v>
      </c>
      <c r="F56" t="s">
        <v>97</v>
      </c>
      <c r="G56" s="23" t="s">
        <v>41</v>
      </c>
      <c r="H56" s="23" t="s">
        <v>71</v>
      </c>
      <c r="I56" t="s">
        <v>1467</v>
      </c>
      <c r="J56" s="23" t="s">
        <v>22</v>
      </c>
      <c r="K56" s="22">
        <v>4</v>
      </c>
      <c r="L56" s="1">
        <v>41665</v>
      </c>
      <c r="M56" s="22">
        <f>Table12[[#This Row],[Ship Date]]-Table12[[#This Row],[Order Date]]</f>
        <v>6</v>
      </c>
      <c r="N56" s="23" t="s">
        <v>45</v>
      </c>
      <c r="O56" s="23" t="s">
        <v>23</v>
      </c>
      <c r="P56" s="23" t="s">
        <v>212</v>
      </c>
      <c r="Q56" s="23" t="s">
        <v>95</v>
      </c>
      <c r="R56" s="23" t="s">
        <v>211</v>
      </c>
      <c r="S56" s="33">
        <v>0.1</v>
      </c>
      <c r="T56" s="13">
        <v>247.71600000000001</v>
      </c>
      <c r="U56" s="13">
        <v>93.581599999999995</v>
      </c>
      <c r="V56" s="55">
        <f>IFERROR(Table12[[#This Row],[Profit]]/Table12[[#This Row],[Sales]],0)</f>
        <v>0.37777777777777777</v>
      </c>
    </row>
    <row r="57" spans="1:22" x14ac:dyDescent="0.2">
      <c r="A57">
        <v>56</v>
      </c>
      <c r="B57" t="s">
        <v>8064</v>
      </c>
      <c r="C57" s="1">
        <v>41659</v>
      </c>
      <c r="D57" s="22">
        <f>MONTH(Table12[[#This Row],[Order Date]])</f>
        <v>1</v>
      </c>
      <c r="E57" t="s">
        <v>4673</v>
      </c>
      <c r="F57" t="s">
        <v>4674</v>
      </c>
      <c r="G57" s="23" t="s">
        <v>41</v>
      </c>
      <c r="H57" s="23" t="s">
        <v>53</v>
      </c>
      <c r="I57" t="s">
        <v>1467</v>
      </c>
      <c r="J57" s="23" t="s">
        <v>22</v>
      </c>
      <c r="K57" s="22">
        <v>2</v>
      </c>
      <c r="L57" s="1">
        <v>41665</v>
      </c>
      <c r="M57" s="22">
        <f>Table12[[#This Row],[Ship Date]]-Table12[[#This Row],[Order Date]]</f>
        <v>6</v>
      </c>
      <c r="N57" s="23" t="s">
        <v>45</v>
      </c>
      <c r="O57" s="23" t="s">
        <v>23</v>
      </c>
      <c r="P57" s="23" t="s">
        <v>212</v>
      </c>
      <c r="Q57" s="23" t="s">
        <v>95</v>
      </c>
      <c r="R57" s="23" t="s">
        <v>211</v>
      </c>
      <c r="S57" s="33">
        <v>0</v>
      </c>
      <c r="T57" s="13">
        <v>66.58</v>
      </c>
      <c r="U57" s="13">
        <v>15.979200000000001</v>
      </c>
      <c r="V57" s="55">
        <f>IFERROR(Table12[[#This Row],[Profit]]/Table12[[#This Row],[Sales]],0)</f>
        <v>0.24000000000000002</v>
      </c>
    </row>
    <row r="58" spans="1:22" x14ac:dyDescent="0.2">
      <c r="A58">
        <v>57</v>
      </c>
      <c r="B58" t="s">
        <v>8064</v>
      </c>
      <c r="C58" s="1">
        <v>41659</v>
      </c>
      <c r="D58" s="22">
        <f>MONTH(Table12[[#This Row],[Order Date]])</f>
        <v>1</v>
      </c>
      <c r="E58" t="s">
        <v>3733</v>
      </c>
      <c r="F58" t="s">
        <v>3734</v>
      </c>
      <c r="G58" s="23" t="s">
        <v>41</v>
      </c>
      <c r="H58" s="23" t="s">
        <v>61</v>
      </c>
      <c r="I58" t="s">
        <v>1467</v>
      </c>
      <c r="J58" s="23" t="s">
        <v>22</v>
      </c>
      <c r="K58" s="22">
        <v>3</v>
      </c>
      <c r="L58" s="1">
        <v>41665</v>
      </c>
      <c r="M58" s="22">
        <f>Table12[[#This Row],[Ship Date]]-Table12[[#This Row],[Order Date]]</f>
        <v>6</v>
      </c>
      <c r="N58" s="23" t="s">
        <v>45</v>
      </c>
      <c r="O58" s="23" t="s">
        <v>23</v>
      </c>
      <c r="P58" s="23" t="s">
        <v>212</v>
      </c>
      <c r="Q58" s="23" t="s">
        <v>95</v>
      </c>
      <c r="R58" s="23" t="s">
        <v>211</v>
      </c>
      <c r="S58" s="33">
        <v>0</v>
      </c>
      <c r="T58" s="13">
        <v>43.92</v>
      </c>
      <c r="U58" s="13">
        <v>12.736800000000001</v>
      </c>
      <c r="V58" s="55">
        <f>IFERROR(Table12[[#This Row],[Profit]]/Table12[[#This Row],[Sales]],0)</f>
        <v>0.28999999999999998</v>
      </c>
    </row>
    <row r="59" spans="1:22" x14ac:dyDescent="0.2">
      <c r="A59">
        <v>58</v>
      </c>
      <c r="B59" t="s">
        <v>8064</v>
      </c>
      <c r="C59" s="1">
        <v>41659</v>
      </c>
      <c r="D59" s="22">
        <f>MONTH(Table12[[#This Row],[Order Date]])</f>
        <v>1</v>
      </c>
      <c r="E59" t="s">
        <v>3007</v>
      </c>
      <c r="F59" t="s">
        <v>3008</v>
      </c>
      <c r="G59" s="23" t="s">
        <v>28</v>
      </c>
      <c r="H59" s="23" t="s">
        <v>58</v>
      </c>
      <c r="I59" t="s">
        <v>1467</v>
      </c>
      <c r="J59" s="23" t="s">
        <v>22</v>
      </c>
      <c r="K59" s="22">
        <v>3</v>
      </c>
      <c r="L59" s="1">
        <v>41665</v>
      </c>
      <c r="M59" s="22">
        <f>Table12[[#This Row],[Ship Date]]-Table12[[#This Row],[Order Date]]</f>
        <v>6</v>
      </c>
      <c r="N59" s="23" t="s">
        <v>45</v>
      </c>
      <c r="O59" s="23" t="s">
        <v>23</v>
      </c>
      <c r="P59" s="23" t="s">
        <v>212</v>
      </c>
      <c r="Q59" s="23" t="s">
        <v>95</v>
      </c>
      <c r="R59" s="23" t="s">
        <v>211</v>
      </c>
      <c r="S59" s="33">
        <v>0</v>
      </c>
      <c r="T59" s="13">
        <v>14.73</v>
      </c>
      <c r="U59" s="13">
        <v>4.8609</v>
      </c>
      <c r="V59" s="55">
        <f>IFERROR(Table12[[#This Row],[Profit]]/Table12[[#This Row],[Sales]],0)</f>
        <v>0.33</v>
      </c>
    </row>
    <row r="60" spans="1:22" x14ac:dyDescent="0.2">
      <c r="A60">
        <v>59</v>
      </c>
      <c r="B60" t="s">
        <v>8064</v>
      </c>
      <c r="C60" s="1">
        <v>41659</v>
      </c>
      <c r="D60" s="22">
        <f>MONTH(Table12[[#This Row],[Order Date]])</f>
        <v>1</v>
      </c>
      <c r="E60" t="s">
        <v>3421</v>
      </c>
      <c r="F60" t="s">
        <v>1073</v>
      </c>
      <c r="G60" s="23" t="s">
        <v>41</v>
      </c>
      <c r="H60" s="23" t="s">
        <v>68</v>
      </c>
      <c r="I60" t="s">
        <v>1467</v>
      </c>
      <c r="J60" s="23" t="s">
        <v>22</v>
      </c>
      <c r="K60" s="22">
        <v>5</v>
      </c>
      <c r="L60" s="1">
        <v>41665</v>
      </c>
      <c r="M60" s="22">
        <f>Table12[[#This Row],[Ship Date]]-Table12[[#This Row],[Order Date]]</f>
        <v>6</v>
      </c>
      <c r="N60" s="23" t="s">
        <v>45</v>
      </c>
      <c r="O60" s="23" t="s">
        <v>23</v>
      </c>
      <c r="P60" s="23" t="s">
        <v>212</v>
      </c>
      <c r="Q60" s="23" t="s">
        <v>95</v>
      </c>
      <c r="R60" s="23" t="s">
        <v>211</v>
      </c>
      <c r="S60" s="33">
        <v>0</v>
      </c>
      <c r="T60" s="13">
        <v>29.7</v>
      </c>
      <c r="U60" s="13">
        <v>13.365</v>
      </c>
      <c r="V60" s="55">
        <f>IFERROR(Table12[[#This Row],[Profit]]/Table12[[#This Row],[Sales]],0)</f>
        <v>0.45</v>
      </c>
    </row>
    <row r="61" spans="1:22" x14ac:dyDescent="0.2">
      <c r="A61">
        <v>60</v>
      </c>
      <c r="B61" t="s">
        <v>8520</v>
      </c>
      <c r="C61" s="1">
        <v>41659</v>
      </c>
      <c r="D61" s="22">
        <f>MONTH(Table12[[#This Row],[Order Date]])</f>
        <v>1</v>
      </c>
      <c r="E61" t="s">
        <v>4218</v>
      </c>
      <c r="F61" t="s">
        <v>4219</v>
      </c>
      <c r="G61" s="23" t="s">
        <v>41</v>
      </c>
      <c r="H61" s="23" t="s">
        <v>68</v>
      </c>
      <c r="I61" t="s">
        <v>1167</v>
      </c>
      <c r="J61" s="23" t="s">
        <v>36</v>
      </c>
      <c r="K61" s="22">
        <v>1</v>
      </c>
      <c r="L61" s="1">
        <v>41665</v>
      </c>
      <c r="M61" s="22">
        <f>Table12[[#This Row],[Ship Date]]-Table12[[#This Row],[Order Date]]</f>
        <v>6</v>
      </c>
      <c r="N61" s="23" t="s">
        <v>45</v>
      </c>
      <c r="O61" s="23" t="s">
        <v>23</v>
      </c>
      <c r="P61" s="23" t="s">
        <v>299</v>
      </c>
      <c r="Q61" s="23" t="s">
        <v>26</v>
      </c>
      <c r="R61" s="23" t="s">
        <v>3345</v>
      </c>
      <c r="S61" s="33">
        <v>0.7</v>
      </c>
      <c r="T61" s="13">
        <v>67.194000000000003</v>
      </c>
      <c r="U61" s="13">
        <v>-51.5154</v>
      </c>
      <c r="V61" s="55">
        <f>IFERROR(Table12[[#This Row],[Profit]]/Table12[[#This Row],[Sales]],0)</f>
        <v>-0.76666666666666661</v>
      </c>
    </row>
    <row r="62" spans="1:22" x14ac:dyDescent="0.2">
      <c r="A62">
        <v>61</v>
      </c>
      <c r="B62" t="s">
        <v>10141</v>
      </c>
      <c r="C62" s="1">
        <v>41660</v>
      </c>
      <c r="D62" s="22">
        <f>MONTH(Table12[[#This Row],[Order Date]])</f>
        <v>1</v>
      </c>
      <c r="E62" t="s">
        <v>4152</v>
      </c>
      <c r="F62" t="s">
        <v>4153</v>
      </c>
      <c r="G62" s="23" t="s">
        <v>28</v>
      </c>
      <c r="H62" s="23" t="s">
        <v>58</v>
      </c>
      <c r="I62" t="s">
        <v>3570</v>
      </c>
      <c r="J62" s="23" t="s">
        <v>22</v>
      </c>
      <c r="K62" s="22">
        <v>3</v>
      </c>
      <c r="L62" s="1">
        <v>41662</v>
      </c>
      <c r="M62" s="22">
        <f>Table12[[#This Row],[Ship Date]]-Table12[[#This Row],[Order Date]]</f>
        <v>2</v>
      </c>
      <c r="N62" s="23" t="s">
        <v>20</v>
      </c>
      <c r="O62" s="23" t="s">
        <v>23</v>
      </c>
      <c r="P62" s="23" t="s">
        <v>48</v>
      </c>
      <c r="Q62" s="23" t="s">
        <v>26</v>
      </c>
      <c r="R62" s="23" t="s">
        <v>1253</v>
      </c>
      <c r="S62" s="33">
        <v>0.2</v>
      </c>
      <c r="T62" s="13">
        <v>25.248000000000001</v>
      </c>
      <c r="U62" s="13">
        <v>4.1028000000000002</v>
      </c>
      <c r="V62" s="55">
        <f>IFERROR(Table12[[#This Row],[Profit]]/Table12[[#This Row],[Sales]],0)</f>
        <v>0.16250000000000001</v>
      </c>
    </row>
    <row r="63" spans="1:22" x14ac:dyDescent="0.2">
      <c r="A63">
        <v>62</v>
      </c>
      <c r="B63" t="s">
        <v>9676</v>
      </c>
      <c r="C63" s="1">
        <v>41662</v>
      </c>
      <c r="D63" s="22">
        <f>MONTH(Table12[[#This Row],[Order Date]])</f>
        <v>1</v>
      </c>
      <c r="E63" t="s">
        <v>502</v>
      </c>
      <c r="F63" t="s">
        <v>503</v>
      </c>
      <c r="G63" s="23" t="s">
        <v>41</v>
      </c>
      <c r="H63" s="23" t="s">
        <v>82</v>
      </c>
      <c r="I63" t="s">
        <v>8324</v>
      </c>
      <c r="J63" s="23" t="s">
        <v>22</v>
      </c>
      <c r="K63" s="22">
        <v>6</v>
      </c>
      <c r="L63" s="1">
        <v>41667</v>
      </c>
      <c r="M63" s="22">
        <f>Table12[[#This Row],[Ship Date]]-Table12[[#This Row],[Order Date]]</f>
        <v>5</v>
      </c>
      <c r="N63" s="23" t="s">
        <v>45</v>
      </c>
      <c r="O63" s="23" t="s">
        <v>23</v>
      </c>
      <c r="P63" s="23" t="s">
        <v>1229</v>
      </c>
      <c r="Q63" s="23" t="s">
        <v>39</v>
      </c>
      <c r="R63" s="23" t="s">
        <v>1228</v>
      </c>
      <c r="S63" s="33">
        <v>0</v>
      </c>
      <c r="T63" s="13">
        <v>40.08</v>
      </c>
      <c r="U63" s="13">
        <v>19.238399999999999</v>
      </c>
      <c r="V63" s="55">
        <f>IFERROR(Table12[[#This Row],[Profit]]/Table12[[#This Row],[Sales]],0)</f>
        <v>0.48</v>
      </c>
    </row>
    <row r="64" spans="1:22" x14ac:dyDescent="0.2">
      <c r="A64">
        <v>63</v>
      </c>
      <c r="B64" t="s">
        <v>10090</v>
      </c>
      <c r="C64" s="1">
        <v>41662</v>
      </c>
      <c r="D64" s="22">
        <f>MONTH(Table12[[#This Row],[Order Date]])</f>
        <v>1</v>
      </c>
      <c r="E64" t="s">
        <v>1693</v>
      </c>
      <c r="F64" t="s">
        <v>1694</v>
      </c>
      <c r="G64" s="23" t="s">
        <v>41</v>
      </c>
      <c r="H64" s="23" t="s">
        <v>240</v>
      </c>
      <c r="I64" t="s">
        <v>4827</v>
      </c>
      <c r="J64" s="23" t="s">
        <v>22</v>
      </c>
      <c r="K64" s="22">
        <v>3</v>
      </c>
      <c r="L64" s="1">
        <v>41666</v>
      </c>
      <c r="M64" s="22">
        <f>Table12[[#This Row],[Ship Date]]-Table12[[#This Row],[Order Date]]</f>
        <v>4</v>
      </c>
      <c r="N64" s="23" t="s">
        <v>45</v>
      </c>
      <c r="O64" s="23" t="s">
        <v>23</v>
      </c>
      <c r="P64" s="23" t="s">
        <v>226</v>
      </c>
      <c r="Q64" s="23" t="s">
        <v>95</v>
      </c>
      <c r="R64" s="23" t="s">
        <v>3766</v>
      </c>
      <c r="S64" s="33">
        <v>0</v>
      </c>
      <c r="T64" s="13">
        <v>5.94</v>
      </c>
      <c r="U64" s="13">
        <v>0</v>
      </c>
      <c r="V64" s="55">
        <f>IFERROR(Table12[[#This Row],[Profit]]/Table12[[#This Row],[Sales]],0)</f>
        <v>0</v>
      </c>
    </row>
    <row r="65" spans="1:22" x14ac:dyDescent="0.2">
      <c r="A65">
        <v>64</v>
      </c>
      <c r="B65" t="s">
        <v>5055</v>
      </c>
      <c r="C65" s="1">
        <v>41665</v>
      </c>
      <c r="D65" s="22">
        <f>MONTH(Table12[[#This Row],[Order Date]])</f>
        <v>1</v>
      </c>
      <c r="E65" t="s">
        <v>5056</v>
      </c>
      <c r="F65" t="s">
        <v>5057</v>
      </c>
      <c r="G65" s="23" t="s">
        <v>28</v>
      </c>
      <c r="H65" s="23" t="s">
        <v>58</v>
      </c>
      <c r="I65" t="s">
        <v>1325</v>
      </c>
      <c r="J65" s="23" t="s">
        <v>92</v>
      </c>
      <c r="K65" s="22">
        <v>3</v>
      </c>
      <c r="L65" s="1">
        <v>41670</v>
      </c>
      <c r="M65" s="22">
        <f>Table12[[#This Row],[Ship Date]]-Table12[[#This Row],[Order Date]]</f>
        <v>5</v>
      </c>
      <c r="N65" s="23" t="s">
        <v>45</v>
      </c>
      <c r="O65" s="23" t="s">
        <v>23</v>
      </c>
      <c r="P65" s="23" t="s">
        <v>285</v>
      </c>
      <c r="Q65" s="23" t="s">
        <v>26</v>
      </c>
      <c r="R65" s="23" t="s">
        <v>2476</v>
      </c>
      <c r="S65" s="33">
        <v>0</v>
      </c>
      <c r="T65" s="13">
        <v>62.82</v>
      </c>
      <c r="U65" s="13">
        <v>30.7818</v>
      </c>
      <c r="V65" s="55">
        <f>IFERROR(Table12[[#This Row],[Profit]]/Table12[[#This Row],[Sales]],0)</f>
        <v>0.49</v>
      </c>
    </row>
    <row r="66" spans="1:22" x14ac:dyDescent="0.2">
      <c r="A66">
        <v>65</v>
      </c>
      <c r="B66" t="s">
        <v>5055</v>
      </c>
      <c r="C66" s="1">
        <v>41665</v>
      </c>
      <c r="D66" s="22">
        <f>MONTH(Table12[[#This Row],[Order Date]])</f>
        <v>1</v>
      </c>
      <c r="E66" t="s">
        <v>2932</v>
      </c>
      <c r="F66" t="s">
        <v>2933</v>
      </c>
      <c r="G66" s="23" t="s">
        <v>41</v>
      </c>
      <c r="H66" s="23" t="s">
        <v>53</v>
      </c>
      <c r="I66" t="s">
        <v>1325</v>
      </c>
      <c r="J66" s="23" t="s">
        <v>92</v>
      </c>
      <c r="K66" s="22">
        <v>8</v>
      </c>
      <c r="L66" s="1">
        <v>41670</v>
      </c>
      <c r="M66" s="22">
        <f>Table12[[#This Row],[Ship Date]]-Table12[[#This Row],[Order Date]]</f>
        <v>5</v>
      </c>
      <c r="N66" s="23" t="s">
        <v>45</v>
      </c>
      <c r="O66" s="23" t="s">
        <v>23</v>
      </c>
      <c r="P66" s="23" t="s">
        <v>285</v>
      </c>
      <c r="Q66" s="23" t="s">
        <v>26</v>
      </c>
      <c r="R66" s="23" t="s">
        <v>2476</v>
      </c>
      <c r="S66" s="33">
        <v>0</v>
      </c>
      <c r="T66" s="13">
        <v>489.92</v>
      </c>
      <c r="U66" s="13">
        <v>0</v>
      </c>
      <c r="V66" s="55">
        <f>IFERROR(Table12[[#This Row],[Profit]]/Table12[[#This Row],[Sales]],0)</f>
        <v>0</v>
      </c>
    </row>
    <row r="67" spans="1:22" x14ac:dyDescent="0.2">
      <c r="A67">
        <v>66</v>
      </c>
      <c r="B67" t="s">
        <v>5055</v>
      </c>
      <c r="C67" s="1">
        <v>41665</v>
      </c>
      <c r="D67" s="22">
        <f>MONTH(Table12[[#This Row],[Order Date]])</f>
        <v>1</v>
      </c>
      <c r="E67" t="s">
        <v>3209</v>
      </c>
      <c r="F67" t="s">
        <v>3210</v>
      </c>
      <c r="G67" s="23" t="s">
        <v>41</v>
      </c>
      <c r="H67" s="23" t="s">
        <v>82</v>
      </c>
      <c r="I67" t="s">
        <v>1325</v>
      </c>
      <c r="J67" s="23" t="s">
        <v>92</v>
      </c>
      <c r="K67" s="22">
        <v>3</v>
      </c>
      <c r="L67" s="1">
        <v>41670</v>
      </c>
      <c r="M67" s="22">
        <f>Table12[[#This Row],[Ship Date]]-Table12[[#This Row],[Order Date]]</f>
        <v>5</v>
      </c>
      <c r="N67" s="23" t="s">
        <v>45</v>
      </c>
      <c r="O67" s="23" t="s">
        <v>23</v>
      </c>
      <c r="P67" s="23" t="s">
        <v>285</v>
      </c>
      <c r="Q67" s="23" t="s">
        <v>26</v>
      </c>
      <c r="R67" s="23" t="s">
        <v>2476</v>
      </c>
      <c r="S67" s="33">
        <v>0</v>
      </c>
      <c r="T67" s="13">
        <v>19.440000000000001</v>
      </c>
      <c r="U67" s="13">
        <v>9.3312000000000008</v>
      </c>
      <c r="V67" s="55">
        <f>IFERROR(Table12[[#This Row],[Profit]]/Table12[[#This Row],[Sales]],0)</f>
        <v>0.48000000000000004</v>
      </c>
    </row>
    <row r="68" spans="1:22" x14ac:dyDescent="0.2">
      <c r="A68">
        <v>67</v>
      </c>
      <c r="B68" t="s">
        <v>5055</v>
      </c>
      <c r="C68" s="1">
        <v>41665</v>
      </c>
      <c r="D68" s="22">
        <f>MONTH(Table12[[#This Row],[Order Date]])</f>
        <v>1</v>
      </c>
      <c r="E68" t="s">
        <v>4744</v>
      </c>
      <c r="F68" t="s">
        <v>4745</v>
      </c>
      <c r="G68" s="23" t="s">
        <v>41</v>
      </c>
      <c r="H68" s="23" t="s">
        <v>82</v>
      </c>
      <c r="I68" t="s">
        <v>1325</v>
      </c>
      <c r="J68" s="23" t="s">
        <v>92</v>
      </c>
      <c r="K68" s="22">
        <v>2</v>
      </c>
      <c r="L68" s="1">
        <v>41670</v>
      </c>
      <c r="M68" s="22">
        <f>Table12[[#This Row],[Ship Date]]-Table12[[#This Row],[Order Date]]</f>
        <v>5</v>
      </c>
      <c r="N68" s="23" t="s">
        <v>45</v>
      </c>
      <c r="O68" s="23" t="s">
        <v>23</v>
      </c>
      <c r="P68" s="23" t="s">
        <v>285</v>
      </c>
      <c r="Q68" s="23" t="s">
        <v>26</v>
      </c>
      <c r="R68" s="23" t="s">
        <v>2476</v>
      </c>
      <c r="S68" s="33">
        <v>0</v>
      </c>
      <c r="T68" s="13">
        <v>16.68</v>
      </c>
      <c r="U68" s="13">
        <v>8.34</v>
      </c>
      <c r="V68" s="55">
        <f>IFERROR(Table12[[#This Row],[Profit]]/Table12[[#This Row],[Sales]],0)</f>
        <v>0.5</v>
      </c>
    </row>
    <row r="69" spans="1:22" x14ac:dyDescent="0.2">
      <c r="A69">
        <v>68</v>
      </c>
      <c r="B69" t="s">
        <v>5055</v>
      </c>
      <c r="C69" s="1">
        <v>41665</v>
      </c>
      <c r="D69" s="22">
        <f>MONTH(Table12[[#This Row],[Order Date]])</f>
        <v>1</v>
      </c>
      <c r="E69" t="s">
        <v>5058</v>
      </c>
      <c r="F69" t="s">
        <v>5059</v>
      </c>
      <c r="G69" s="23" t="s">
        <v>64</v>
      </c>
      <c r="H69" s="23" t="s">
        <v>65</v>
      </c>
      <c r="I69" t="s">
        <v>1325</v>
      </c>
      <c r="J69" s="23" t="s">
        <v>92</v>
      </c>
      <c r="K69" s="22">
        <v>13</v>
      </c>
      <c r="L69" s="1">
        <v>41670</v>
      </c>
      <c r="M69" s="22">
        <f>Table12[[#This Row],[Ship Date]]-Table12[[#This Row],[Order Date]]</f>
        <v>5</v>
      </c>
      <c r="N69" s="23" t="s">
        <v>45</v>
      </c>
      <c r="O69" s="23" t="s">
        <v>23</v>
      </c>
      <c r="P69" s="23" t="s">
        <v>285</v>
      </c>
      <c r="Q69" s="23" t="s">
        <v>26</v>
      </c>
      <c r="R69" s="23" t="s">
        <v>2476</v>
      </c>
      <c r="S69" s="33">
        <v>0</v>
      </c>
      <c r="T69" s="13">
        <v>155.35</v>
      </c>
      <c r="U69" s="13">
        <v>0</v>
      </c>
      <c r="V69" s="55">
        <f>IFERROR(Table12[[#This Row],[Profit]]/Table12[[#This Row],[Sales]],0)</f>
        <v>0</v>
      </c>
    </row>
    <row r="70" spans="1:22" x14ac:dyDescent="0.2">
      <c r="A70">
        <v>69</v>
      </c>
      <c r="B70" t="s">
        <v>5055</v>
      </c>
      <c r="C70" s="1">
        <v>41665</v>
      </c>
      <c r="D70" s="22">
        <f>MONTH(Table12[[#This Row],[Order Date]])</f>
        <v>1</v>
      </c>
      <c r="E70" t="s">
        <v>5060</v>
      </c>
      <c r="F70" t="s">
        <v>5061</v>
      </c>
      <c r="G70" s="23" t="s">
        <v>28</v>
      </c>
      <c r="H70" s="23" t="s">
        <v>58</v>
      </c>
      <c r="I70" t="s">
        <v>1325</v>
      </c>
      <c r="J70" s="23" t="s">
        <v>92</v>
      </c>
      <c r="K70" s="22">
        <v>3</v>
      </c>
      <c r="L70" s="1">
        <v>41670</v>
      </c>
      <c r="M70" s="22">
        <f>Table12[[#This Row],[Ship Date]]-Table12[[#This Row],[Order Date]]</f>
        <v>5</v>
      </c>
      <c r="N70" s="23" t="s">
        <v>45</v>
      </c>
      <c r="O70" s="23" t="s">
        <v>23</v>
      </c>
      <c r="P70" s="23" t="s">
        <v>285</v>
      </c>
      <c r="Q70" s="23" t="s">
        <v>26</v>
      </c>
      <c r="R70" s="23" t="s">
        <v>2476</v>
      </c>
      <c r="S70" s="33">
        <v>0</v>
      </c>
      <c r="T70" s="13">
        <v>12.42</v>
      </c>
      <c r="U70" s="13">
        <v>4.4711999999999996</v>
      </c>
      <c r="V70" s="55">
        <f>IFERROR(Table12[[#This Row],[Profit]]/Table12[[#This Row],[Sales]],0)</f>
        <v>0.36</v>
      </c>
    </row>
    <row r="71" spans="1:22" x14ac:dyDescent="0.2">
      <c r="A71">
        <v>70</v>
      </c>
      <c r="B71" t="s">
        <v>5055</v>
      </c>
      <c r="C71" s="1">
        <v>41665</v>
      </c>
      <c r="D71" s="22">
        <f>MONTH(Table12[[#This Row],[Order Date]])</f>
        <v>1</v>
      </c>
      <c r="E71" t="s">
        <v>1839</v>
      </c>
      <c r="F71" t="s">
        <v>1840</v>
      </c>
      <c r="G71" s="23" t="s">
        <v>64</v>
      </c>
      <c r="H71" s="23" t="s">
        <v>65</v>
      </c>
      <c r="I71" t="s">
        <v>1325</v>
      </c>
      <c r="J71" s="23" t="s">
        <v>92</v>
      </c>
      <c r="K71" s="22">
        <v>2</v>
      </c>
      <c r="L71" s="1">
        <v>41670</v>
      </c>
      <c r="M71" s="22">
        <f>Table12[[#This Row],[Ship Date]]-Table12[[#This Row],[Order Date]]</f>
        <v>5</v>
      </c>
      <c r="N71" s="23" t="s">
        <v>45</v>
      </c>
      <c r="O71" s="23" t="s">
        <v>23</v>
      </c>
      <c r="P71" s="23" t="s">
        <v>285</v>
      </c>
      <c r="Q71" s="23" t="s">
        <v>26</v>
      </c>
      <c r="R71" s="23" t="s">
        <v>2476</v>
      </c>
      <c r="S71" s="33">
        <v>0</v>
      </c>
      <c r="T71" s="13">
        <v>187.98</v>
      </c>
      <c r="U71" s="13">
        <v>52.634399999999999</v>
      </c>
      <c r="V71" s="55">
        <f>IFERROR(Table12[[#This Row],[Profit]]/Table12[[#This Row],[Sales]],0)</f>
        <v>0.28000000000000003</v>
      </c>
    </row>
    <row r="72" spans="1:22" x14ac:dyDescent="0.2">
      <c r="A72">
        <v>71</v>
      </c>
      <c r="B72" t="s">
        <v>9078</v>
      </c>
      <c r="C72" s="1">
        <v>41665</v>
      </c>
      <c r="D72" s="22">
        <f>MONTH(Table12[[#This Row],[Order Date]])</f>
        <v>1</v>
      </c>
      <c r="E72" t="s">
        <v>3281</v>
      </c>
      <c r="F72" t="s">
        <v>3282</v>
      </c>
      <c r="G72" s="23" t="s">
        <v>41</v>
      </c>
      <c r="H72" s="23" t="s">
        <v>68</v>
      </c>
      <c r="I72" t="s">
        <v>5355</v>
      </c>
      <c r="J72" s="23" t="s">
        <v>36</v>
      </c>
      <c r="K72" s="22">
        <v>2</v>
      </c>
      <c r="L72" s="1">
        <v>41668</v>
      </c>
      <c r="M72" s="22">
        <f>Table12[[#This Row],[Ship Date]]-Table12[[#This Row],[Order Date]]</f>
        <v>3</v>
      </c>
      <c r="N72" s="23" t="s">
        <v>169</v>
      </c>
      <c r="O72" s="23" t="s">
        <v>23</v>
      </c>
      <c r="P72" s="23" t="s">
        <v>4725</v>
      </c>
      <c r="Q72" s="23" t="s">
        <v>95</v>
      </c>
      <c r="R72" s="23" t="s">
        <v>9079</v>
      </c>
      <c r="S72" s="33">
        <v>0</v>
      </c>
      <c r="T72" s="13">
        <v>10.68</v>
      </c>
      <c r="U72" s="13">
        <v>5.0195999999999996</v>
      </c>
      <c r="V72" s="55">
        <f>IFERROR(Table12[[#This Row],[Profit]]/Table12[[#This Row],[Sales]],0)</f>
        <v>0.47</v>
      </c>
    </row>
    <row r="73" spans="1:22" x14ac:dyDescent="0.2">
      <c r="A73">
        <v>72</v>
      </c>
      <c r="B73" t="s">
        <v>9078</v>
      </c>
      <c r="C73" s="1">
        <v>41665</v>
      </c>
      <c r="D73" s="22">
        <f>MONTH(Table12[[#This Row],[Order Date]])</f>
        <v>1</v>
      </c>
      <c r="E73" t="s">
        <v>2166</v>
      </c>
      <c r="F73" t="s">
        <v>2167</v>
      </c>
      <c r="G73" s="23" t="s">
        <v>28</v>
      </c>
      <c r="H73" s="23" t="s">
        <v>29</v>
      </c>
      <c r="I73" t="s">
        <v>5355</v>
      </c>
      <c r="J73" s="23" t="s">
        <v>36</v>
      </c>
      <c r="K73" s="22">
        <v>2</v>
      </c>
      <c r="L73" s="1">
        <v>41668</v>
      </c>
      <c r="M73" s="22">
        <f>Table12[[#This Row],[Ship Date]]-Table12[[#This Row],[Order Date]]</f>
        <v>3</v>
      </c>
      <c r="N73" s="23" t="s">
        <v>169</v>
      </c>
      <c r="O73" s="23" t="s">
        <v>23</v>
      </c>
      <c r="P73" s="23" t="s">
        <v>4725</v>
      </c>
      <c r="Q73" s="23" t="s">
        <v>95</v>
      </c>
      <c r="R73" s="23" t="s">
        <v>9079</v>
      </c>
      <c r="S73" s="33">
        <v>0</v>
      </c>
      <c r="T73" s="13">
        <v>141.96</v>
      </c>
      <c r="U73" s="13">
        <v>39.748800000000003</v>
      </c>
      <c r="V73" s="55">
        <f>IFERROR(Table12[[#This Row],[Profit]]/Table12[[#This Row],[Sales]],0)</f>
        <v>0.28000000000000003</v>
      </c>
    </row>
    <row r="74" spans="1:22" x14ac:dyDescent="0.2">
      <c r="A74">
        <v>73</v>
      </c>
      <c r="B74" t="s">
        <v>6227</v>
      </c>
      <c r="C74" s="1">
        <v>41666</v>
      </c>
      <c r="D74" s="22">
        <f>MONTH(Table12[[#This Row],[Order Date]])</f>
        <v>1</v>
      </c>
      <c r="E74" t="s">
        <v>4611</v>
      </c>
      <c r="F74" t="s">
        <v>4612</v>
      </c>
      <c r="G74" s="23" t="s">
        <v>41</v>
      </c>
      <c r="H74" s="23" t="s">
        <v>53</v>
      </c>
      <c r="I74" t="s">
        <v>6228</v>
      </c>
      <c r="J74" s="23" t="s">
        <v>22</v>
      </c>
      <c r="K74" s="22">
        <v>1</v>
      </c>
      <c r="L74" s="1">
        <v>41672</v>
      </c>
      <c r="M74" s="22">
        <f>Table12[[#This Row],[Ship Date]]-Table12[[#This Row],[Order Date]]</f>
        <v>6</v>
      </c>
      <c r="N74" s="23" t="s">
        <v>45</v>
      </c>
      <c r="O74" s="23" t="s">
        <v>23</v>
      </c>
      <c r="P74" s="23" t="s">
        <v>38</v>
      </c>
      <c r="Q74" s="23" t="s">
        <v>39</v>
      </c>
      <c r="R74" s="23" t="s">
        <v>836</v>
      </c>
      <c r="S74" s="33">
        <v>0</v>
      </c>
      <c r="T74" s="13">
        <v>57.23</v>
      </c>
      <c r="U74" s="13">
        <v>14.307499999999999</v>
      </c>
      <c r="V74" s="55">
        <f>IFERROR(Table12[[#This Row],[Profit]]/Table12[[#This Row],[Sales]],0)</f>
        <v>0.25</v>
      </c>
    </row>
    <row r="75" spans="1:22" x14ac:dyDescent="0.2">
      <c r="A75">
        <v>74</v>
      </c>
      <c r="B75" t="s">
        <v>6227</v>
      </c>
      <c r="C75" s="1">
        <v>41666</v>
      </c>
      <c r="D75" s="22">
        <f>MONTH(Table12[[#This Row],[Order Date]])</f>
        <v>1</v>
      </c>
      <c r="E75" t="s">
        <v>6229</v>
      </c>
      <c r="F75" t="s">
        <v>6230</v>
      </c>
      <c r="G75" s="23" t="s">
        <v>28</v>
      </c>
      <c r="H75" s="23" t="s">
        <v>50</v>
      </c>
      <c r="I75" t="s">
        <v>6228</v>
      </c>
      <c r="J75" s="23" t="s">
        <v>22</v>
      </c>
      <c r="K75" s="22">
        <v>3</v>
      </c>
      <c r="L75" s="1">
        <v>41672</v>
      </c>
      <c r="M75" s="22">
        <f>Table12[[#This Row],[Ship Date]]-Table12[[#This Row],[Order Date]]</f>
        <v>6</v>
      </c>
      <c r="N75" s="23" t="s">
        <v>45</v>
      </c>
      <c r="O75" s="23" t="s">
        <v>23</v>
      </c>
      <c r="P75" s="23" t="s">
        <v>38</v>
      </c>
      <c r="Q75" s="23" t="s">
        <v>39</v>
      </c>
      <c r="R75" s="23" t="s">
        <v>836</v>
      </c>
      <c r="S75" s="33">
        <v>0.2</v>
      </c>
      <c r="T75" s="13">
        <v>333</v>
      </c>
      <c r="U75" s="13">
        <v>-16.649999999999999</v>
      </c>
      <c r="V75" s="55">
        <f>IFERROR(Table12[[#This Row],[Profit]]/Table12[[#This Row],[Sales]],0)</f>
        <v>-4.9999999999999996E-2</v>
      </c>
    </row>
    <row r="76" spans="1:22" x14ac:dyDescent="0.2">
      <c r="A76">
        <v>75</v>
      </c>
      <c r="B76" t="s">
        <v>6227</v>
      </c>
      <c r="C76" s="1">
        <v>41666</v>
      </c>
      <c r="D76" s="22">
        <f>MONTH(Table12[[#This Row],[Order Date]])</f>
        <v>1</v>
      </c>
      <c r="E76" t="s">
        <v>6231</v>
      </c>
      <c r="F76" t="s">
        <v>6232</v>
      </c>
      <c r="G76" s="23" t="s">
        <v>41</v>
      </c>
      <c r="H76" s="23" t="s">
        <v>61</v>
      </c>
      <c r="I76" t="s">
        <v>6228</v>
      </c>
      <c r="J76" s="23" t="s">
        <v>22</v>
      </c>
      <c r="K76" s="22">
        <v>4</v>
      </c>
      <c r="L76" s="1">
        <v>41672</v>
      </c>
      <c r="M76" s="22">
        <f>Table12[[#This Row],[Ship Date]]-Table12[[#This Row],[Order Date]]</f>
        <v>6</v>
      </c>
      <c r="N76" s="23" t="s">
        <v>45</v>
      </c>
      <c r="O76" s="23" t="s">
        <v>23</v>
      </c>
      <c r="P76" s="23" t="s">
        <v>38</v>
      </c>
      <c r="Q76" s="23" t="s">
        <v>39</v>
      </c>
      <c r="R76" s="23" t="s">
        <v>836</v>
      </c>
      <c r="S76" s="33">
        <v>0</v>
      </c>
      <c r="T76" s="13">
        <v>36.44</v>
      </c>
      <c r="U76" s="13">
        <v>12.0252</v>
      </c>
      <c r="V76" s="55">
        <f>IFERROR(Table12[[#This Row],[Profit]]/Table12[[#This Row],[Sales]],0)</f>
        <v>0.33</v>
      </c>
    </row>
    <row r="77" spans="1:22" x14ac:dyDescent="0.2">
      <c r="A77">
        <v>76</v>
      </c>
      <c r="B77" t="s">
        <v>5619</v>
      </c>
      <c r="C77" s="1">
        <v>41667</v>
      </c>
      <c r="D77" s="22">
        <f>MONTH(Table12[[#This Row],[Order Date]])</f>
        <v>1</v>
      </c>
      <c r="E77" t="s">
        <v>700</v>
      </c>
      <c r="F77" t="s">
        <v>701</v>
      </c>
      <c r="G77" s="23" t="s">
        <v>41</v>
      </c>
      <c r="H77" s="23" t="s">
        <v>68</v>
      </c>
      <c r="I77" t="s">
        <v>1603</v>
      </c>
      <c r="J77" s="23" t="s">
        <v>22</v>
      </c>
      <c r="K77" s="22">
        <v>1</v>
      </c>
      <c r="L77" s="1">
        <v>41673</v>
      </c>
      <c r="M77" s="22">
        <f>Table12[[#This Row],[Ship Date]]-Table12[[#This Row],[Order Date]]</f>
        <v>6</v>
      </c>
      <c r="N77" s="23" t="s">
        <v>45</v>
      </c>
      <c r="O77" s="23" t="s">
        <v>23</v>
      </c>
      <c r="P77" s="23" t="s">
        <v>238</v>
      </c>
      <c r="Q77" s="23" t="s">
        <v>133</v>
      </c>
      <c r="R77" s="23" t="s">
        <v>237</v>
      </c>
      <c r="S77" s="33">
        <v>0.2</v>
      </c>
      <c r="T77" s="13">
        <v>3.9279999999999999</v>
      </c>
      <c r="U77" s="13">
        <v>1.3257000000000001</v>
      </c>
      <c r="V77" s="55">
        <f>IFERROR(Table12[[#This Row],[Profit]]/Table12[[#This Row],[Sales]],0)</f>
        <v>0.33750000000000002</v>
      </c>
    </row>
    <row r="78" spans="1:22" x14ac:dyDescent="0.2">
      <c r="A78">
        <v>77</v>
      </c>
      <c r="B78" t="s">
        <v>8098</v>
      </c>
      <c r="C78" s="1">
        <v>41669</v>
      </c>
      <c r="D78" s="22">
        <f>MONTH(Table12[[#This Row],[Order Date]])</f>
        <v>1</v>
      </c>
      <c r="E78" t="s">
        <v>1790</v>
      </c>
      <c r="F78" t="s">
        <v>1791</v>
      </c>
      <c r="G78" s="23" t="s">
        <v>41</v>
      </c>
      <c r="H78" s="23" t="s">
        <v>82</v>
      </c>
      <c r="I78" t="s">
        <v>1211</v>
      </c>
      <c r="J78" s="23" t="s">
        <v>22</v>
      </c>
      <c r="K78" s="22">
        <v>2</v>
      </c>
      <c r="L78" s="1">
        <v>41674</v>
      </c>
      <c r="M78" s="22">
        <f>Table12[[#This Row],[Ship Date]]-Table12[[#This Row],[Order Date]]</f>
        <v>5</v>
      </c>
      <c r="N78" s="23" t="s">
        <v>45</v>
      </c>
      <c r="O78" s="23" t="s">
        <v>23</v>
      </c>
      <c r="P78" s="23" t="s">
        <v>212</v>
      </c>
      <c r="Q78" s="23" t="s">
        <v>95</v>
      </c>
      <c r="R78" s="23" t="s">
        <v>775</v>
      </c>
      <c r="S78" s="33">
        <v>0</v>
      </c>
      <c r="T78" s="13">
        <v>10.56</v>
      </c>
      <c r="U78" s="13">
        <v>4.7519999999999998</v>
      </c>
      <c r="V78" s="55">
        <f>IFERROR(Table12[[#This Row],[Profit]]/Table12[[#This Row],[Sales]],0)</f>
        <v>0.44999999999999996</v>
      </c>
    </row>
    <row r="79" spans="1:22" x14ac:dyDescent="0.2">
      <c r="A79">
        <v>78</v>
      </c>
      <c r="B79" t="s">
        <v>8098</v>
      </c>
      <c r="C79" s="1">
        <v>41669</v>
      </c>
      <c r="D79" s="22">
        <f>MONTH(Table12[[#This Row],[Order Date]])</f>
        <v>1</v>
      </c>
      <c r="E79" t="s">
        <v>604</v>
      </c>
      <c r="F79" t="s">
        <v>605</v>
      </c>
      <c r="G79" s="23" t="s">
        <v>41</v>
      </c>
      <c r="H79" s="23" t="s">
        <v>53</v>
      </c>
      <c r="I79" t="s">
        <v>1211</v>
      </c>
      <c r="J79" s="23" t="s">
        <v>22</v>
      </c>
      <c r="K79" s="22">
        <v>2</v>
      </c>
      <c r="L79" s="1">
        <v>41674</v>
      </c>
      <c r="M79" s="22">
        <f>Table12[[#This Row],[Ship Date]]-Table12[[#This Row],[Order Date]]</f>
        <v>5</v>
      </c>
      <c r="N79" s="23" t="s">
        <v>45</v>
      </c>
      <c r="O79" s="23" t="s">
        <v>23</v>
      </c>
      <c r="P79" s="23" t="s">
        <v>212</v>
      </c>
      <c r="Q79" s="23" t="s">
        <v>95</v>
      </c>
      <c r="R79" s="23" t="s">
        <v>775</v>
      </c>
      <c r="S79" s="33">
        <v>0</v>
      </c>
      <c r="T79" s="13">
        <v>229.94</v>
      </c>
      <c r="U79" s="13">
        <v>6.8982000000000001</v>
      </c>
      <c r="V79" s="55">
        <f>IFERROR(Table12[[#This Row],[Profit]]/Table12[[#This Row],[Sales]],0)</f>
        <v>3.0000000000000002E-2</v>
      </c>
    </row>
    <row r="80" spans="1:22" x14ac:dyDescent="0.2">
      <c r="A80">
        <v>79</v>
      </c>
      <c r="B80" t="s">
        <v>5875</v>
      </c>
      <c r="C80" s="1">
        <v>41670</v>
      </c>
      <c r="D80" s="22">
        <f>MONTH(Table12[[#This Row],[Order Date]])</f>
        <v>1</v>
      </c>
      <c r="E80" t="s">
        <v>3899</v>
      </c>
      <c r="F80" t="s">
        <v>3900</v>
      </c>
      <c r="G80" s="23" t="s">
        <v>28</v>
      </c>
      <c r="H80" s="23" t="s">
        <v>29</v>
      </c>
      <c r="I80" t="s">
        <v>5876</v>
      </c>
      <c r="J80" s="23" t="s">
        <v>22</v>
      </c>
      <c r="K80" s="22">
        <v>2</v>
      </c>
      <c r="L80" s="1">
        <v>41672</v>
      </c>
      <c r="M80" s="22">
        <f>Table12[[#This Row],[Ship Date]]-Table12[[#This Row],[Order Date]]</f>
        <v>2</v>
      </c>
      <c r="N80" s="23" t="s">
        <v>169</v>
      </c>
      <c r="O80" s="23" t="s">
        <v>23</v>
      </c>
      <c r="P80" s="23" t="s">
        <v>38</v>
      </c>
      <c r="Q80" s="23" t="s">
        <v>39</v>
      </c>
      <c r="R80" s="23" t="s">
        <v>1865</v>
      </c>
      <c r="S80" s="33">
        <v>0.15</v>
      </c>
      <c r="T80" s="13">
        <v>290.666</v>
      </c>
      <c r="U80" s="13">
        <v>3.4196</v>
      </c>
      <c r="V80" s="55">
        <f>IFERROR(Table12[[#This Row],[Profit]]/Table12[[#This Row],[Sales]],0)</f>
        <v>1.1764705882352941E-2</v>
      </c>
    </row>
    <row r="81" spans="1:22" x14ac:dyDescent="0.2">
      <c r="A81">
        <v>80</v>
      </c>
      <c r="B81" t="s">
        <v>1629</v>
      </c>
      <c r="C81" s="1">
        <v>41671</v>
      </c>
      <c r="D81" s="22">
        <f>MONTH(Table12[[#This Row],[Order Date]])</f>
        <v>2</v>
      </c>
      <c r="E81" t="s">
        <v>1632</v>
      </c>
      <c r="F81" t="s">
        <v>1633</v>
      </c>
      <c r="G81" s="23" t="s">
        <v>64</v>
      </c>
      <c r="H81" s="23" t="s">
        <v>144</v>
      </c>
      <c r="I81" t="s">
        <v>1630</v>
      </c>
      <c r="J81" s="23" t="s">
        <v>22</v>
      </c>
      <c r="K81" s="22">
        <v>6</v>
      </c>
      <c r="L81" s="1">
        <v>41673</v>
      </c>
      <c r="M81" s="22">
        <f>Table12[[#This Row],[Ship Date]]-Table12[[#This Row],[Order Date]]</f>
        <v>2</v>
      </c>
      <c r="N81" s="23" t="s">
        <v>169</v>
      </c>
      <c r="O81" s="23" t="s">
        <v>23</v>
      </c>
      <c r="P81" s="23" t="s">
        <v>103</v>
      </c>
      <c r="Q81" s="23" t="s">
        <v>95</v>
      </c>
      <c r="R81" s="23" t="s">
        <v>1631</v>
      </c>
      <c r="S81" s="33">
        <v>0</v>
      </c>
      <c r="T81" s="13">
        <v>468.9</v>
      </c>
      <c r="U81" s="13">
        <v>206.316</v>
      </c>
      <c r="V81" s="55">
        <f>IFERROR(Table12[[#This Row],[Profit]]/Table12[[#This Row],[Sales]],0)</f>
        <v>0.44</v>
      </c>
    </row>
    <row r="82" spans="1:22" x14ac:dyDescent="0.2">
      <c r="A82">
        <v>81</v>
      </c>
      <c r="B82" t="s">
        <v>3874</v>
      </c>
      <c r="C82" s="1">
        <v>41672</v>
      </c>
      <c r="D82" s="22">
        <f>MONTH(Table12[[#This Row],[Order Date]])</f>
        <v>2</v>
      </c>
      <c r="E82" t="s">
        <v>3876</v>
      </c>
      <c r="F82" t="s">
        <v>498</v>
      </c>
      <c r="G82" s="23" t="s">
        <v>41</v>
      </c>
      <c r="H82" s="23" t="s">
        <v>240</v>
      </c>
      <c r="I82" t="s">
        <v>3875</v>
      </c>
      <c r="J82" s="23" t="s">
        <v>92</v>
      </c>
      <c r="K82" s="22">
        <v>5</v>
      </c>
      <c r="L82" s="1">
        <v>41676</v>
      </c>
      <c r="M82" s="22">
        <f>Table12[[#This Row],[Ship Date]]-Table12[[#This Row],[Order Date]]</f>
        <v>4</v>
      </c>
      <c r="N82" s="23" t="s">
        <v>45</v>
      </c>
      <c r="O82" s="23" t="s">
        <v>23</v>
      </c>
      <c r="P82" s="23" t="s">
        <v>38</v>
      </c>
      <c r="Q82" s="23" t="s">
        <v>39</v>
      </c>
      <c r="R82" s="23" t="s">
        <v>836</v>
      </c>
      <c r="S82" s="33">
        <v>0</v>
      </c>
      <c r="T82" s="13">
        <v>12.35</v>
      </c>
      <c r="U82" s="13">
        <v>5.8045</v>
      </c>
      <c r="V82" s="55">
        <f>IFERROR(Table12[[#This Row],[Profit]]/Table12[[#This Row],[Sales]],0)</f>
        <v>0.47000000000000003</v>
      </c>
    </row>
    <row r="83" spans="1:22" x14ac:dyDescent="0.2">
      <c r="A83">
        <v>82</v>
      </c>
      <c r="B83" t="s">
        <v>9664</v>
      </c>
      <c r="C83" s="1">
        <v>41672</v>
      </c>
      <c r="D83" s="22">
        <f>MONTH(Table12[[#This Row],[Order Date]])</f>
        <v>2</v>
      </c>
      <c r="E83" t="s">
        <v>3449</v>
      </c>
      <c r="F83" t="s">
        <v>3450</v>
      </c>
      <c r="G83" s="23" t="s">
        <v>41</v>
      </c>
      <c r="H83" s="23" t="s">
        <v>68</v>
      </c>
      <c r="I83" t="s">
        <v>3841</v>
      </c>
      <c r="J83" s="23" t="s">
        <v>22</v>
      </c>
      <c r="K83" s="22">
        <v>2</v>
      </c>
      <c r="L83" s="1">
        <v>41679</v>
      </c>
      <c r="M83" s="22">
        <f>Table12[[#This Row],[Ship Date]]-Table12[[#This Row],[Order Date]]</f>
        <v>7</v>
      </c>
      <c r="N83" s="23" t="s">
        <v>45</v>
      </c>
      <c r="O83" s="23" t="s">
        <v>23</v>
      </c>
      <c r="P83" s="23" t="s">
        <v>48</v>
      </c>
      <c r="Q83" s="23" t="s">
        <v>26</v>
      </c>
      <c r="R83" s="23" t="s">
        <v>1018</v>
      </c>
      <c r="S83" s="33">
        <v>0.7</v>
      </c>
      <c r="T83" s="13">
        <v>18.335999999999999</v>
      </c>
      <c r="U83" s="13">
        <v>-12.224</v>
      </c>
      <c r="V83" s="55">
        <f>IFERROR(Table12[[#This Row],[Profit]]/Table12[[#This Row],[Sales]],0)</f>
        <v>-0.66666666666666674</v>
      </c>
    </row>
    <row r="84" spans="1:22" x14ac:dyDescent="0.2">
      <c r="A84">
        <v>83</v>
      </c>
      <c r="B84" t="s">
        <v>9664</v>
      </c>
      <c r="C84" s="1">
        <v>41672</v>
      </c>
      <c r="D84" s="22">
        <f>MONTH(Table12[[#This Row],[Order Date]])</f>
        <v>2</v>
      </c>
      <c r="E84" t="s">
        <v>5190</v>
      </c>
      <c r="F84" t="s">
        <v>5191</v>
      </c>
      <c r="G84" s="23" t="s">
        <v>64</v>
      </c>
      <c r="H84" s="23" t="s">
        <v>65</v>
      </c>
      <c r="I84" t="s">
        <v>3841</v>
      </c>
      <c r="J84" s="23" t="s">
        <v>22</v>
      </c>
      <c r="K84" s="22">
        <v>5</v>
      </c>
      <c r="L84" s="1">
        <v>41679</v>
      </c>
      <c r="M84" s="22">
        <f>Table12[[#This Row],[Ship Date]]-Table12[[#This Row],[Order Date]]</f>
        <v>7</v>
      </c>
      <c r="N84" s="23" t="s">
        <v>45</v>
      </c>
      <c r="O84" s="23" t="s">
        <v>23</v>
      </c>
      <c r="P84" s="23" t="s">
        <v>48</v>
      </c>
      <c r="Q84" s="23" t="s">
        <v>26</v>
      </c>
      <c r="R84" s="23" t="s">
        <v>1018</v>
      </c>
      <c r="S84" s="33">
        <v>0.2</v>
      </c>
      <c r="T84" s="13">
        <v>180.96</v>
      </c>
      <c r="U84" s="13">
        <v>13.571999999999999</v>
      </c>
      <c r="V84" s="55">
        <f>IFERROR(Table12[[#This Row],[Profit]]/Table12[[#This Row],[Sales]],0)</f>
        <v>7.4999999999999997E-2</v>
      </c>
    </row>
    <row r="85" spans="1:22" x14ac:dyDescent="0.2">
      <c r="A85">
        <v>84</v>
      </c>
      <c r="B85" t="s">
        <v>3569</v>
      </c>
      <c r="C85" s="1">
        <v>41673</v>
      </c>
      <c r="D85" s="22">
        <f>MONTH(Table12[[#This Row],[Order Date]])</f>
        <v>2</v>
      </c>
      <c r="E85" t="s">
        <v>961</v>
      </c>
      <c r="F85" t="s">
        <v>962</v>
      </c>
      <c r="G85" s="23" t="s">
        <v>41</v>
      </c>
      <c r="H85" s="23" t="s">
        <v>68</v>
      </c>
      <c r="I85" t="s">
        <v>3570</v>
      </c>
      <c r="J85" s="23" t="s">
        <v>22</v>
      </c>
      <c r="K85" s="22">
        <v>2</v>
      </c>
      <c r="L85" s="1">
        <v>41676</v>
      </c>
      <c r="M85" s="22">
        <f>Table12[[#This Row],[Ship Date]]-Table12[[#This Row],[Order Date]]</f>
        <v>3</v>
      </c>
      <c r="N85" s="23" t="s">
        <v>20</v>
      </c>
      <c r="O85" s="23" t="s">
        <v>23</v>
      </c>
      <c r="P85" s="23" t="s">
        <v>87</v>
      </c>
      <c r="Q85" s="23" t="s">
        <v>39</v>
      </c>
      <c r="R85" s="23" t="s">
        <v>86</v>
      </c>
      <c r="S85" s="33">
        <v>0.2</v>
      </c>
      <c r="T85" s="13">
        <v>83.84</v>
      </c>
      <c r="U85" s="13">
        <v>27.248000000000001</v>
      </c>
      <c r="V85" s="55">
        <f>IFERROR(Table12[[#This Row],[Profit]]/Table12[[#This Row],[Sales]],0)</f>
        <v>0.32500000000000001</v>
      </c>
    </row>
    <row r="86" spans="1:22" x14ac:dyDescent="0.2">
      <c r="A86">
        <v>85</v>
      </c>
      <c r="B86" t="s">
        <v>3569</v>
      </c>
      <c r="C86" s="1">
        <v>41673</v>
      </c>
      <c r="D86" s="22">
        <f>MONTH(Table12[[#This Row],[Order Date]])</f>
        <v>2</v>
      </c>
      <c r="E86" t="s">
        <v>1900</v>
      </c>
      <c r="F86" t="s">
        <v>1901</v>
      </c>
      <c r="G86" s="23" t="s">
        <v>41</v>
      </c>
      <c r="H86" s="23" t="s">
        <v>68</v>
      </c>
      <c r="I86" t="s">
        <v>3570</v>
      </c>
      <c r="J86" s="23" t="s">
        <v>22</v>
      </c>
      <c r="K86" s="22">
        <v>3</v>
      </c>
      <c r="L86" s="1">
        <v>41676</v>
      </c>
      <c r="M86" s="22">
        <f>Table12[[#This Row],[Ship Date]]-Table12[[#This Row],[Order Date]]</f>
        <v>3</v>
      </c>
      <c r="N86" s="23" t="s">
        <v>20</v>
      </c>
      <c r="O86" s="23" t="s">
        <v>23</v>
      </c>
      <c r="P86" s="23" t="s">
        <v>87</v>
      </c>
      <c r="Q86" s="23" t="s">
        <v>39</v>
      </c>
      <c r="R86" s="23" t="s">
        <v>86</v>
      </c>
      <c r="S86" s="33">
        <v>0.2</v>
      </c>
      <c r="T86" s="13">
        <v>13.272</v>
      </c>
      <c r="U86" s="13">
        <v>4.3133999999999997</v>
      </c>
      <c r="V86" s="55">
        <f>IFERROR(Table12[[#This Row],[Profit]]/Table12[[#This Row],[Sales]],0)</f>
        <v>0.32499999999999996</v>
      </c>
    </row>
    <row r="87" spans="1:22" x14ac:dyDescent="0.2">
      <c r="A87">
        <v>86</v>
      </c>
      <c r="B87" t="s">
        <v>3616</v>
      </c>
      <c r="C87" s="1">
        <v>41674</v>
      </c>
      <c r="D87" s="22">
        <f>MONTH(Table12[[#This Row],[Order Date]])</f>
        <v>2</v>
      </c>
      <c r="E87" t="s">
        <v>2251</v>
      </c>
      <c r="F87" t="s">
        <v>2252</v>
      </c>
      <c r="G87" s="23" t="s">
        <v>41</v>
      </c>
      <c r="H87" s="23" t="s">
        <v>68</v>
      </c>
      <c r="I87" t="s">
        <v>3617</v>
      </c>
      <c r="J87" s="23" t="s">
        <v>92</v>
      </c>
      <c r="K87" s="22">
        <v>3</v>
      </c>
      <c r="L87" s="1">
        <v>41678</v>
      </c>
      <c r="M87" s="22">
        <f>Table12[[#This Row],[Ship Date]]-Table12[[#This Row],[Order Date]]</f>
        <v>4</v>
      </c>
      <c r="N87" s="23" t="s">
        <v>45</v>
      </c>
      <c r="O87" s="23" t="s">
        <v>23</v>
      </c>
      <c r="P87" s="23" t="s">
        <v>38</v>
      </c>
      <c r="Q87" s="23" t="s">
        <v>39</v>
      </c>
      <c r="R87" s="23" t="s">
        <v>836</v>
      </c>
      <c r="S87" s="33">
        <v>0.2</v>
      </c>
      <c r="T87" s="13">
        <v>82.896000000000001</v>
      </c>
      <c r="U87" s="13">
        <v>29.0136</v>
      </c>
      <c r="V87" s="55">
        <f>IFERROR(Table12[[#This Row],[Profit]]/Table12[[#This Row],[Sales]],0)</f>
        <v>0.35</v>
      </c>
    </row>
    <row r="88" spans="1:22" x14ac:dyDescent="0.2">
      <c r="A88">
        <v>87</v>
      </c>
      <c r="B88" t="s">
        <v>3616</v>
      </c>
      <c r="C88" s="1">
        <v>41674</v>
      </c>
      <c r="D88" s="22">
        <f>MONTH(Table12[[#This Row],[Order Date]])</f>
        <v>2</v>
      </c>
      <c r="E88" t="s">
        <v>2520</v>
      </c>
      <c r="F88" t="s">
        <v>2521</v>
      </c>
      <c r="G88" s="23" t="s">
        <v>41</v>
      </c>
      <c r="H88" s="23" t="s">
        <v>82</v>
      </c>
      <c r="I88" t="s">
        <v>3617</v>
      </c>
      <c r="J88" s="23" t="s">
        <v>92</v>
      </c>
      <c r="K88" s="22">
        <v>4</v>
      </c>
      <c r="L88" s="1">
        <v>41678</v>
      </c>
      <c r="M88" s="22">
        <f>Table12[[#This Row],[Ship Date]]-Table12[[#This Row],[Order Date]]</f>
        <v>4</v>
      </c>
      <c r="N88" s="23" t="s">
        <v>45</v>
      </c>
      <c r="O88" s="23" t="s">
        <v>23</v>
      </c>
      <c r="P88" s="23" t="s">
        <v>38</v>
      </c>
      <c r="Q88" s="23" t="s">
        <v>39</v>
      </c>
      <c r="R88" s="23" t="s">
        <v>836</v>
      </c>
      <c r="S88" s="33">
        <v>0</v>
      </c>
      <c r="T88" s="13">
        <v>34.24</v>
      </c>
      <c r="U88" s="13">
        <v>16.0928</v>
      </c>
      <c r="V88" s="55">
        <f>IFERROR(Table12[[#This Row],[Profit]]/Table12[[#This Row],[Sales]],0)</f>
        <v>0.47</v>
      </c>
    </row>
    <row r="89" spans="1:22" x14ac:dyDescent="0.2">
      <c r="A89">
        <v>88</v>
      </c>
      <c r="B89" t="s">
        <v>9339</v>
      </c>
      <c r="C89" s="1">
        <v>41674</v>
      </c>
      <c r="D89" s="22">
        <f>MONTH(Table12[[#This Row],[Order Date]])</f>
        <v>2</v>
      </c>
      <c r="E89" t="s">
        <v>2854</v>
      </c>
      <c r="F89" t="s">
        <v>2855</v>
      </c>
      <c r="G89" s="23" t="s">
        <v>41</v>
      </c>
      <c r="H89" s="23" t="s">
        <v>68</v>
      </c>
      <c r="I89" t="s">
        <v>7958</v>
      </c>
      <c r="J89" s="23" t="s">
        <v>36</v>
      </c>
      <c r="K89" s="22">
        <v>2</v>
      </c>
      <c r="L89" s="1">
        <v>41678</v>
      </c>
      <c r="M89" s="22">
        <f>Table12[[#This Row],[Ship Date]]-Table12[[#This Row],[Order Date]]</f>
        <v>4</v>
      </c>
      <c r="N89" s="23" t="s">
        <v>20</v>
      </c>
      <c r="O89" s="23" t="s">
        <v>23</v>
      </c>
      <c r="P89" s="23" t="s">
        <v>38</v>
      </c>
      <c r="Q89" s="23" t="s">
        <v>39</v>
      </c>
      <c r="R89" s="23" t="s">
        <v>2944</v>
      </c>
      <c r="S89" s="33">
        <v>0.2</v>
      </c>
      <c r="T89" s="13">
        <v>17.248000000000001</v>
      </c>
      <c r="U89" s="13">
        <v>6.0368000000000004</v>
      </c>
      <c r="V89" s="55">
        <f>IFERROR(Table12[[#This Row],[Profit]]/Table12[[#This Row],[Sales]],0)</f>
        <v>0.35</v>
      </c>
    </row>
    <row r="90" spans="1:22" x14ac:dyDescent="0.2">
      <c r="A90">
        <v>89</v>
      </c>
      <c r="B90" t="s">
        <v>4319</v>
      </c>
      <c r="C90" s="1">
        <v>41676</v>
      </c>
      <c r="D90" s="22">
        <f>MONTH(Table12[[#This Row],[Order Date]])</f>
        <v>2</v>
      </c>
      <c r="E90" t="s">
        <v>1868</v>
      </c>
      <c r="F90" t="s">
        <v>1869</v>
      </c>
      <c r="G90" s="23" t="s">
        <v>41</v>
      </c>
      <c r="H90" s="23" t="s">
        <v>42</v>
      </c>
      <c r="I90" t="s">
        <v>4058</v>
      </c>
      <c r="J90" s="23" t="s">
        <v>36</v>
      </c>
      <c r="K90" s="22">
        <v>4</v>
      </c>
      <c r="L90" s="1">
        <v>41679</v>
      </c>
      <c r="M90" s="22">
        <f>Table12[[#This Row],[Ship Date]]-Table12[[#This Row],[Order Date]]</f>
        <v>3</v>
      </c>
      <c r="N90" s="23" t="s">
        <v>169</v>
      </c>
      <c r="O90" s="23" t="s">
        <v>23</v>
      </c>
      <c r="P90" s="23" t="s">
        <v>285</v>
      </c>
      <c r="Q90" s="23" t="s">
        <v>26</v>
      </c>
      <c r="R90" s="23" t="s">
        <v>4320</v>
      </c>
      <c r="S90" s="33">
        <v>0</v>
      </c>
      <c r="T90" s="13">
        <v>15</v>
      </c>
      <c r="U90" s="13">
        <v>7.2</v>
      </c>
      <c r="V90" s="55">
        <f>IFERROR(Table12[[#This Row],[Profit]]/Table12[[#This Row],[Sales]],0)</f>
        <v>0.48000000000000004</v>
      </c>
    </row>
    <row r="91" spans="1:22" x14ac:dyDescent="0.2">
      <c r="A91">
        <v>90</v>
      </c>
      <c r="B91" t="s">
        <v>4319</v>
      </c>
      <c r="C91" s="1">
        <v>41676</v>
      </c>
      <c r="D91" s="22">
        <f>MONTH(Table12[[#This Row],[Order Date]])</f>
        <v>2</v>
      </c>
      <c r="E91" t="s">
        <v>1052</v>
      </c>
      <c r="F91" t="s">
        <v>1053</v>
      </c>
      <c r="G91" s="23" t="s">
        <v>64</v>
      </c>
      <c r="H91" s="23" t="s">
        <v>65</v>
      </c>
      <c r="I91" t="s">
        <v>4058</v>
      </c>
      <c r="J91" s="23" t="s">
        <v>36</v>
      </c>
      <c r="K91" s="22">
        <v>1</v>
      </c>
      <c r="L91" s="1">
        <v>41679</v>
      </c>
      <c r="M91" s="22">
        <f>Table12[[#This Row],[Ship Date]]-Table12[[#This Row],[Order Date]]</f>
        <v>3</v>
      </c>
      <c r="N91" s="23" t="s">
        <v>169</v>
      </c>
      <c r="O91" s="23" t="s">
        <v>23</v>
      </c>
      <c r="P91" s="23" t="s">
        <v>285</v>
      </c>
      <c r="Q91" s="23" t="s">
        <v>26</v>
      </c>
      <c r="R91" s="23" t="s">
        <v>4320</v>
      </c>
      <c r="S91" s="33">
        <v>0</v>
      </c>
      <c r="T91" s="13">
        <v>161.61000000000001</v>
      </c>
      <c r="U91" s="13">
        <v>42.018599999999999</v>
      </c>
      <c r="V91" s="55">
        <f>IFERROR(Table12[[#This Row],[Profit]]/Table12[[#This Row],[Sales]],0)</f>
        <v>0.25999999999999995</v>
      </c>
    </row>
    <row r="92" spans="1:22" x14ac:dyDescent="0.2">
      <c r="A92">
        <v>91</v>
      </c>
      <c r="B92" t="s">
        <v>4319</v>
      </c>
      <c r="C92" s="1">
        <v>41676</v>
      </c>
      <c r="D92" s="22">
        <f>MONTH(Table12[[#This Row],[Order Date]])</f>
        <v>2</v>
      </c>
      <c r="E92" t="s">
        <v>3983</v>
      </c>
      <c r="F92" t="s">
        <v>3984</v>
      </c>
      <c r="G92" s="23" t="s">
        <v>64</v>
      </c>
      <c r="H92" s="23" t="s">
        <v>65</v>
      </c>
      <c r="I92" t="s">
        <v>4058</v>
      </c>
      <c r="J92" s="23" t="s">
        <v>36</v>
      </c>
      <c r="K92" s="22">
        <v>5</v>
      </c>
      <c r="L92" s="1">
        <v>41679</v>
      </c>
      <c r="M92" s="22">
        <f>Table12[[#This Row],[Ship Date]]-Table12[[#This Row],[Order Date]]</f>
        <v>3</v>
      </c>
      <c r="N92" s="23" t="s">
        <v>169</v>
      </c>
      <c r="O92" s="23" t="s">
        <v>23</v>
      </c>
      <c r="P92" s="23" t="s">
        <v>285</v>
      </c>
      <c r="Q92" s="23" t="s">
        <v>26</v>
      </c>
      <c r="R92" s="23" t="s">
        <v>4320</v>
      </c>
      <c r="S92" s="33">
        <v>0</v>
      </c>
      <c r="T92" s="13">
        <v>144.94999999999999</v>
      </c>
      <c r="U92" s="13">
        <v>42.035499999999999</v>
      </c>
      <c r="V92" s="55">
        <f>IFERROR(Table12[[#This Row],[Profit]]/Table12[[#This Row],[Sales]],0)</f>
        <v>0.29000000000000004</v>
      </c>
    </row>
    <row r="93" spans="1:22" x14ac:dyDescent="0.2">
      <c r="A93">
        <v>92</v>
      </c>
      <c r="B93" t="s">
        <v>9569</v>
      </c>
      <c r="C93" s="1">
        <v>41676</v>
      </c>
      <c r="D93" s="22">
        <f>MONTH(Table12[[#This Row],[Order Date]])</f>
        <v>2</v>
      </c>
      <c r="E93" t="s">
        <v>5170</v>
      </c>
      <c r="F93" t="s">
        <v>5171</v>
      </c>
      <c r="G93" s="23" t="s">
        <v>41</v>
      </c>
      <c r="H93" s="23" t="s">
        <v>68</v>
      </c>
      <c r="I93" t="s">
        <v>840</v>
      </c>
      <c r="J93" s="23" t="s">
        <v>22</v>
      </c>
      <c r="K93" s="22">
        <v>2</v>
      </c>
      <c r="L93" s="1">
        <v>41680</v>
      </c>
      <c r="M93" s="22">
        <f>Table12[[#This Row],[Ship Date]]-Table12[[#This Row],[Order Date]]</f>
        <v>4</v>
      </c>
      <c r="N93" s="23" t="s">
        <v>20</v>
      </c>
      <c r="O93" s="23" t="s">
        <v>23</v>
      </c>
      <c r="P93" s="23" t="s">
        <v>189</v>
      </c>
      <c r="Q93" s="23" t="s">
        <v>95</v>
      </c>
      <c r="R93" s="23" t="s">
        <v>9570</v>
      </c>
      <c r="S93" s="33">
        <v>0.8</v>
      </c>
      <c r="T93" s="13">
        <v>8.952</v>
      </c>
      <c r="U93" s="13">
        <v>-14.770799999999999</v>
      </c>
      <c r="V93" s="55">
        <f>IFERROR(Table12[[#This Row],[Profit]]/Table12[[#This Row],[Sales]],0)</f>
        <v>-1.65</v>
      </c>
    </row>
    <row r="94" spans="1:22" x14ac:dyDescent="0.2">
      <c r="A94">
        <v>93</v>
      </c>
      <c r="B94" t="s">
        <v>2318</v>
      </c>
      <c r="C94" s="1">
        <v>41677</v>
      </c>
      <c r="D94" s="22">
        <f>MONTH(Table12[[#This Row],[Order Date]])</f>
        <v>2</v>
      </c>
      <c r="E94" t="s">
        <v>2321</v>
      </c>
      <c r="F94" t="s">
        <v>2322</v>
      </c>
      <c r="G94" s="23" t="s">
        <v>64</v>
      </c>
      <c r="H94" s="23" t="s">
        <v>144</v>
      </c>
      <c r="I94" t="s">
        <v>2319</v>
      </c>
      <c r="J94" s="23" t="s">
        <v>36</v>
      </c>
      <c r="K94" s="22">
        <v>7</v>
      </c>
      <c r="L94" s="1">
        <v>41682</v>
      </c>
      <c r="M94" s="22">
        <f>Table12[[#This Row],[Ship Date]]-Table12[[#This Row],[Order Date]]</f>
        <v>5</v>
      </c>
      <c r="N94" s="23" t="s">
        <v>45</v>
      </c>
      <c r="O94" s="23" t="s">
        <v>23</v>
      </c>
      <c r="P94" s="23" t="s">
        <v>695</v>
      </c>
      <c r="Q94" s="23" t="s">
        <v>133</v>
      </c>
      <c r="R94" s="23" t="s">
        <v>2320</v>
      </c>
      <c r="S94" s="33">
        <v>0</v>
      </c>
      <c r="T94" s="13">
        <v>115.36</v>
      </c>
      <c r="U94" s="13">
        <v>49.604799999999997</v>
      </c>
      <c r="V94" s="55">
        <f>IFERROR(Table12[[#This Row],[Profit]]/Table12[[#This Row],[Sales]],0)</f>
        <v>0.43</v>
      </c>
    </row>
    <row r="95" spans="1:22" x14ac:dyDescent="0.2">
      <c r="A95">
        <v>94</v>
      </c>
      <c r="B95" t="s">
        <v>9425</v>
      </c>
      <c r="C95" s="1">
        <v>41677</v>
      </c>
      <c r="D95" s="22">
        <f>MONTH(Table12[[#This Row],[Order Date]])</f>
        <v>2</v>
      </c>
      <c r="E95" t="s">
        <v>2473</v>
      </c>
      <c r="F95" t="s">
        <v>2474</v>
      </c>
      <c r="G95" s="23" t="s">
        <v>41</v>
      </c>
      <c r="H95" s="23" t="s">
        <v>53</v>
      </c>
      <c r="I95" t="s">
        <v>2128</v>
      </c>
      <c r="J95" s="23" t="s">
        <v>36</v>
      </c>
      <c r="K95" s="22">
        <v>4</v>
      </c>
      <c r="L95" s="1">
        <v>41680</v>
      </c>
      <c r="M95" s="22">
        <f>Table12[[#This Row],[Ship Date]]-Table12[[#This Row],[Order Date]]</f>
        <v>3</v>
      </c>
      <c r="N95" s="23" t="s">
        <v>20</v>
      </c>
      <c r="O95" s="23" t="s">
        <v>23</v>
      </c>
      <c r="P95" s="23" t="s">
        <v>238</v>
      </c>
      <c r="Q95" s="23" t="s">
        <v>133</v>
      </c>
      <c r="R95" s="23" t="s">
        <v>237</v>
      </c>
      <c r="S95" s="33">
        <v>0</v>
      </c>
      <c r="T95" s="13">
        <v>64.959999999999994</v>
      </c>
      <c r="U95" s="13">
        <v>9.7439999999999998</v>
      </c>
      <c r="V95" s="55">
        <f>IFERROR(Table12[[#This Row],[Profit]]/Table12[[#This Row],[Sales]],0)</f>
        <v>0.15000000000000002</v>
      </c>
    </row>
    <row r="96" spans="1:22" x14ac:dyDescent="0.2">
      <c r="A96">
        <v>95</v>
      </c>
      <c r="B96" t="s">
        <v>9734</v>
      </c>
      <c r="C96" s="1">
        <v>41678</v>
      </c>
      <c r="D96" s="22">
        <f>MONTH(Table12[[#This Row],[Order Date]])</f>
        <v>2</v>
      </c>
      <c r="E96" t="s">
        <v>6858</v>
      </c>
      <c r="F96" t="s">
        <v>6859</v>
      </c>
      <c r="G96" s="23" t="s">
        <v>28</v>
      </c>
      <c r="H96" s="23" t="s">
        <v>58</v>
      </c>
      <c r="I96" t="s">
        <v>1028</v>
      </c>
      <c r="J96" s="23" t="s">
        <v>92</v>
      </c>
      <c r="K96" s="22">
        <v>2</v>
      </c>
      <c r="L96" s="1">
        <v>41679</v>
      </c>
      <c r="M96" s="22">
        <f>Table12[[#This Row],[Ship Date]]-Table12[[#This Row],[Order Date]]</f>
        <v>1</v>
      </c>
      <c r="N96" s="23" t="s">
        <v>169</v>
      </c>
      <c r="O96" s="23" t="s">
        <v>23</v>
      </c>
      <c r="P96" s="23" t="s">
        <v>1229</v>
      </c>
      <c r="Q96" s="23" t="s">
        <v>39</v>
      </c>
      <c r="R96" s="23" t="s">
        <v>3568</v>
      </c>
      <c r="S96" s="33">
        <v>0</v>
      </c>
      <c r="T96" s="13">
        <v>14.56</v>
      </c>
      <c r="U96" s="13">
        <v>5.5327999999999999</v>
      </c>
      <c r="V96" s="55">
        <f>IFERROR(Table12[[#This Row],[Profit]]/Table12[[#This Row],[Sales]],0)</f>
        <v>0.38</v>
      </c>
    </row>
    <row r="97" spans="1:22" x14ac:dyDescent="0.2">
      <c r="A97">
        <v>96</v>
      </c>
      <c r="B97" t="s">
        <v>7622</v>
      </c>
      <c r="C97" s="1">
        <v>41681</v>
      </c>
      <c r="D97" s="22">
        <f>MONTH(Table12[[#This Row],[Order Date]])</f>
        <v>2</v>
      </c>
      <c r="E97" t="s">
        <v>1632</v>
      </c>
      <c r="F97" t="s">
        <v>1633</v>
      </c>
      <c r="G97" s="23" t="s">
        <v>64</v>
      </c>
      <c r="H97" s="23" t="s">
        <v>144</v>
      </c>
      <c r="I97" t="s">
        <v>1314</v>
      </c>
      <c r="J97" s="23" t="s">
        <v>22</v>
      </c>
      <c r="K97" s="22">
        <v>3</v>
      </c>
      <c r="L97" s="1">
        <v>41685</v>
      </c>
      <c r="M97" s="22">
        <f>Table12[[#This Row],[Ship Date]]-Table12[[#This Row],[Order Date]]</f>
        <v>4</v>
      </c>
      <c r="N97" s="23" t="s">
        <v>45</v>
      </c>
      <c r="O97" s="23" t="s">
        <v>23</v>
      </c>
      <c r="P97" s="23" t="s">
        <v>285</v>
      </c>
      <c r="Q97" s="23" t="s">
        <v>26</v>
      </c>
      <c r="R97" s="23" t="s">
        <v>4320</v>
      </c>
      <c r="S97" s="33">
        <v>0</v>
      </c>
      <c r="T97" s="13">
        <v>234.45</v>
      </c>
      <c r="U97" s="13">
        <v>103.158</v>
      </c>
      <c r="V97" s="55">
        <f>IFERROR(Table12[[#This Row],[Profit]]/Table12[[#This Row],[Sales]],0)</f>
        <v>0.44</v>
      </c>
    </row>
    <row r="98" spans="1:22" x14ac:dyDescent="0.2">
      <c r="A98">
        <v>97</v>
      </c>
      <c r="B98" t="s">
        <v>7622</v>
      </c>
      <c r="C98" s="1">
        <v>41681</v>
      </c>
      <c r="D98" s="22">
        <f>MONTH(Table12[[#This Row],[Order Date]])</f>
        <v>2</v>
      </c>
      <c r="E98" t="s">
        <v>3551</v>
      </c>
      <c r="F98" t="s">
        <v>3552</v>
      </c>
      <c r="G98" s="23" t="s">
        <v>28</v>
      </c>
      <c r="H98" s="23" t="s">
        <v>50</v>
      </c>
      <c r="I98" t="s">
        <v>1314</v>
      </c>
      <c r="J98" s="23" t="s">
        <v>22</v>
      </c>
      <c r="K98" s="22">
        <v>6</v>
      </c>
      <c r="L98" s="1">
        <v>41685</v>
      </c>
      <c r="M98" s="22">
        <f>Table12[[#This Row],[Ship Date]]-Table12[[#This Row],[Order Date]]</f>
        <v>4</v>
      </c>
      <c r="N98" s="23" t="s">
        <v>45</v>
      </c>
      <c r="O98" s="23" t="s">
        <v>23</v>
      </c>
      <c r="P98" s="23" t="s">
        <v>285</v>
      </c>
      <c r="Q98" s="23" t="s">
        <v>26</v>
      </c>
      <c r="R98" s="23" t="s">
        <v>4320</v>
      </c>
      <c r="S98" s="33">
        <v>0</v>
      </c>
      <c r="T98" s="13">
        <v>1256.22</v>
      </c>
      <c r="U98" s="13">
        <v>75.373199999999997</v>
      </c>
      <c r="V98" s="55">
        <f>IFERROR(Table12[[#This Row],[Profit]]/Table12[[#This Row],[Sales]],0)</f>
        <v>0.06</v>
      </c>
    </row>
    <row r="99" spans="1:22" x14ac:dyDescent="0.2">
      <c r="A99">
        <v>98</v>
      </c>
      <c r="B99" t="s">
        <v>7622</v>
      </c>
      <c r="C99" s="1">
        <v>41681</v>
      </c>
      <c r="D99" s="22">
        <f>MONTH(Table12[[#This Row],[Order Date]])</f>
        <v>2</v>
      </c>
      <c r="E99" t="s">
        <v>207</v>
      </c>
      <c r="F99" t="s">
        <v>208</v>
      </c>
      <c r="G99" s="23" t="s">
        <v>41</v>
      </c>
      <c r="H99" s="23" t="s">
        <v>68</v>
      </c>
      <c r="I99" t="s">
        <v>1314</v>
      </c>
      <c r="J99" s="23" t="s">
        <v>22</v>
      </c>
      <c r="K99" s="22">
        <v>2</v>
      </c>
      <c r="L99" s="1">
        <v>41685</v>
      </c>
      <c r="M99" s="22">
        <f>Table12[[#This Row],[Ship Date]]-Table12[[#This Row],[Order Date]]</f>
        <v>4</v>
      </c>
      <c r="N99" s="23" t="s">
        <v>45</v>
      </c>
      <c r="O99" s="23" t="s">
        <v>23</v>
      </c>
      <c r="P99" s="23" t="s">
        <v>285</v>
      </c>
      <c r="Q99" s="23" t="s">
        <v>26</v>
      </c>
      <c r="R99" s="23" t="s">
        <v>4320</v>
      </c>
      <c r="S99" s="33">
        <v>0</v>
      </c>
      <c r="T99" s="13">
        <v>17.46</v>
      </c>
      <c r="U99" s="13">
        <v>8.2062000000000008</v>
      </c>
      <c r="V99" s="55">
        <f>IFERROR(Table12[[#This Row],[Profit]]/Table12[[#This Row],[Sales]],0)</f>
        <v>0.47000000000000003</v>
      </c>
    </row>
    <row r="100" spans="1:22" x14ac:dyDescent="0.2">
      <c r="A100">
        <v>99</v>
      </c>
      <c r="B100" t="s">
        <v>9728</v>
      </c>
      <c r="C100" s="1">
        <v>41681</v>
      </c>
      <c r="D100" s="22">
        <f>MONTH(Table12[[#This Row],[Order Date]])</f>
        <v>2</v>
      </c>
      <c r="E100" t="s">
        <v>272</v>
      </c>
      <c r="F100" t="s">
        <v>273</v>
      </c>
      <c r="G100" s="23" t="s">
        <v>28</v>
      </c>
      <c r="H100" s="23" t="s">
        <v>32</v>
      </c>
      <c r="I100" t="s">
        <v>2314</v>
      </c>
      <c r="J100" s="23" t="s">
        <v>22</v>
      </c>
      <c r="K100" s="22">
        <v>1</v>
      </c>
      <c r="L100" s="1">
        <v>41685</v>
      </c>
      <c r="M100" s="22">
        <f>Table12[[#This Row],[Ship Date]]-Table12[[#This Row],[Order Date]]</f>
        <v>4</v>
      </c>
      <c r="N100" s="23" t="s">
        <v>20</v>
      </c>
      <c r="O100" s="23" t="s">
        <v>23</v>
      </c>
      <c r="P100" s="23" t="s">
        <v>528</v>
      </c>
      <c r="Q100" s="23" t="s">
        <v>95</v>
      </c>
      <c r="R100" s="23" t="s">
        <v>341</v>
      </c>
      <c r="S100" s="33">
        <v>0</v>
      </c>
      <c r="T100" s="13">
        <v>60.89</v>
      </c>
      <c r="U100" s="13">
        <v>15.2225</v>
      </c>
      <c r="V100" s="55">
        <f>IFERROR(Table12[[#This Row],[Profit]]/Table12[[#This Row],[Sales]],0)</f>
        <v>0.25</v>
      </c>
    </row>
    <row r="101" spans="1:22" x14ac:dyDescent="0.2">
      <c r="A101">
        <v>100</v>
      </c>
      <c r="B101" t="s">
        <v>9728</v>
      </c>
      <c r="C101" s="1">
        <v>41681</v>
      </c>
      <c r="D101" s="22">
        <f>MONTH(Table12[[#This Row],[Order Date]])</f>
        <v>2</v>
      </c>
      <c r="E101" t="s">
        <v>2362</v>
      </c>
      <c r="F101" t="s">
        <v>2363</v>
      </c>
      <c r="G101" s="23" t="s">
        <v>41</v>
      </c>
      <c r="H101" s="23" t="s">
        <v>42</v>
      </c>
      <c r="I101" t="s">
        <v>2314</v>
      </c>
      <c r="J101" s="23" t="s">
        <v>22</v>
      </c>
      <c r="K101" s="22">
        <v>3</v>
      </c>
      <c r="L101" s="1">
        <v>41685</v>
      </c>
      <c r="M101" s="22">
        <f>Table12[[#This Row],[Ship Date]]-Table12[[#This Row],[Order Date]]</f>
        <v>4</v>
      </c>
      <c r="N101" s="23" t="s">
        <v>20</v>
      </c>
      <c r="O101" s="23" t="s">
        <v>23</v>
      </c>
      <c r="P101" s="23" t="s">
        <v>528</v>
      </c>
      <c r="Q101" s="23" t="s">
        <v>95</v>
      </c>
      <c r="R101" s="23" t="s">
        <v>341</v>
      </c>
      <c r="S101" s="33">
        <v>0</v>
      </c>
      <c r="T101" s="13">
        <v>14.94</v>
      </c>
      <c r="U101" s="13">
        <v>6.8723999999999998</v>
      </c>
      <c r="V101" s="55">
        <f>IFERROR(Table12[[#This Row],[Profit]]/Table12[[#This Row],[Sales]],0)</f>
        <v>0.46</v>
      </c>
    </row>
    <row r="102" spans="1:22" x14ac:dyDescent="0.2">
      <c r="A102">
        <v>101</v>
      </c>
      <c r="B102" t="s">
        <v>9728</v>
      </c>
      <c r="C102" s="1">
        <v>41681</v>
      </c>
      <c r="D102" s="22">
        <f>MONTH(Table12[[#This Row],[Order Date]])</f>
        <v>2</v>
      </c>
      <c r="E102" t="s">
        <v>1857</v>
      </c>
      <c r="F102" t="s">
        <v>1858</v>
      </c>
      <c r="G102" s="23" t="s">
        <v>41</v>
      </c>
      <c r="H102" s="23" t="s">
        <v>68</v>
      </c>
      <c r="I102" t="s">
        <v>2314</v>
      </c>
      <c r="J102" s="23" t="s">
        <v>22</v>
      </c>
      <c r="K102" s="22">
        <v>2</v>
      </c>
      <c r="L102" s="1">
        <v>41685</v>
      </c>
      <c r="M102" s="22">
        <f>Table12[[#This Row],[Ship Date]]-Table12[[#This Row],[Order Date]]</f>
        <v>4</v>
      </c>
      <c r="N102" s="23" t="s">
        <v>20</v>
      </c>
      <c r="O102" s="23" t="s">
        <v>23</v>
      </c>
      <c r="P102" s="23" t="s">
        <v>528</v>
      </c>
      <c r="Q102" s="23" t="s">
        <v>95</v>
      </c>
      <c r="R102" s="23" t="s">
        <v>341</v>
      </c>
      <c r="S102" s="33">
        <v>0</v>
      </c>
      <c r="T102" s="13">
        <v>9.64</v>
      </c>
      <c r="U102" s="13">
        <v>4.4344000000000001</v>
      </c>
      <c r="V102" s="55">
        <f>IFERROR(Table12[[#This Row],[Profit]]/Table12[[#This Row],[Sales]],0)</f>
        <v>0.45999999999999996</v>
      </c>
    </row>
    <row r="103" spans="1:22" x14ac:dyDescent="0.2">
      <c r="A103">
        <v>102</v>
      </c>
      <c r="B103" t="s">
        <v>9728</v>
      </c>
      <c r="C103" s="1">
        <v>41681</v>
      </c>
      <c r="D103" s="22">
        <f>MONTH(Table12[[#This Row],[Order Date]])</f>
        <v>2</v>
      </c>
      <c r="E103" t="s">
        <v>4795</v>
      </c>
      <c r="F103" t="s">
        <v>4796</v>
      </c>
      <c r="G103" s="23" t="s">
        <v>28</v>
      </c>
      <c r="H103" s="23" t="s">
        <v>58</v>
      </c>
      <c r="I103" t="s">
        <v>2314</v>
      </c>
      <c r="J103" s="23" t="s">
        <v>22</v>
      </c>
      <c r="K103" s="22">
        <v>3</v>
      </c>
      <c r="L103" s="1">
        <v>41685</v>
      </c>
      <c r="M103" s="22">
        <f>Table12[[#This Row],[Ship Date]]-Table12[[#This Row],[Order Date]]</f>
        <v>4</v>
      </c>
      <c r="N103" s="23" t="s">
        <v>20</v>
      </c>
      <c r="O103" s="23" t="s">
        <v>23</v>
      </c>
      <c r="P103" s="23" t="s">
        <v>528</v>
      </c>
      <c r="Q103" s="23" t="s">
        <v>95</v>
      </c>
      <c r="R103" s="23" t="s">
        <v>341</v>
      </c>
      <c r="S103" s="33">
        <v>0</v>
      </c>
      <c r="T103" s="13">
        <v>332.94</v>
      </c>
      <c r="U103" s="13">
        <v>53.270400000000002</v>
      </c>
      <c r="V103" s="55">
        <f>IFERROR(Table12[[#This Row],[Profit]]/Table12[[#This Row],[Sales]],0)</f>
        <v>0.16</v>
      </c>
    </row>
    <row r="104" spans="1:22" x14ac:dyDescent="0.2">
      <c r="A104">
        <v>103</v>
      </c>
      <c r="B104" t="s">
        <v>9728</v>
      </c>
      <c r="C104" s="1">
        <v>41681</v>
      </c>
      <c r="D104" s="22">
        <f>MONTH(Table12[[#This Row],[Order Date]])</f>
        <v>2</v>
      </c>
      <c r="E104" t="s">
        <v>290</v>
      </c>
      <c r="F104" t="s">
        <v>5518</v>
      </c>
      <c r="G104" s="23" t="s">
        <v>41</v>
      </c>
      <c r="H104" s="23" t="s">
        <v>68</v>
      </c>
      <c r="I104" t="s">
        <v>2314</v>
      </c>
      <c r="J104" s="23" t="s">
        <v>22</v>
      </c>
      <c r="K104" s="22">
        <v>3</v>
      </c>
      <c r="L104" s="1">
        <v>41685</v>
      </c>
      <c r="M104" s="22">
        <f>Table12[[#This Row],[Ship Date]]-Table12[[#This Row],[Order Date]]</f>
        <v>4</v>
      </c>
      <c r="N104" s="23" t="s">
        <v>20</v>
      </c>
      <c r="O104" s="23" t="s">
        <v>23</v>
      </c>
      <c r="P104" s="23" t="s">
        <v>528</v>
      </c>
      <c r="Q104" s="23" t="s">
        <v>95</v>
      </c>
      <c r="R104" s="23" t="s">
        <v>341</v>
      </c>
      <c r="S104" s="33">
        <v>0</v>
      </c>
      <c r="T104" s="13">
        <v>51.9</v>
      </c>
      <c r="U104" s="13">
        <v>24.393000000000001</v>
      </c>
      <c r="V104" s="55">
        <f>IFERROR(Table12[[#This Row],[Profit]]/Table12[[#This Row],[Sales]],0)</f>
        <v>0.47000000000000003</v>
      </c>
    </row>
    <row r="105" spans="1:22" x14ac:dyDescent="0.2">
      <c r="A105">
        <v>104</v>
      </c>
      <c r="B105" t="s">
        <v>9728</v>
      </c>
      <c r="C105" s="1">
        <v>41681</v>
      </c>
      <c r="D105" s="22">
        <f>MONTH(Table12[[#This Row],[Order Date]])</f>
        <v>2</v>
      </c>
      <c r="E105" t="s">
        <v>1953</v>
      </c>
      <c r="F105" t="s">
        <v>1954</v>
      </c>
      <c r="G105" s="23" t="s">
        <v>41</v>
      </c>
      <c r="H105" s="23" t="s">
        <v>53</v>
      </c>
      <c r="I105" t="s">
        <v>2314</v>
      </c>
      <c r="J105" s="23" t="s">
        <v>22</v>
      </c>
      <c r="K105" s="22">
        <v>2</v>
      </c>
      <c r="L105" s="1">
        <v>41685</v>
      </c>
      <c r="M105" s="22">
        <f>Table12[[#This Row],[Ship Date]]-Table12[[#This Row],[Order Date]]</f>
        <v>4</v>
      </c>
      <c r="N105" s="23" t="s">
        <v>20</v>
      </c>
      <c r="O105" s="23" t="s">
        <v>23</v>
      </c>
      <c r="P105" s="23" t="s">
        <v>528</v>
      </c>
      <c r="Q105" s="23" t="s">
        <v>95</v>
      </c>
      <c r="R105" s="23" t="s">
        <v>341</v>
      </c>
      <c r="S105" s="33">
        <v>0</v>
      </c>
      <c r="T105" s="13">
        <v>64.959999999999994</v>
      </c>
      <c r="U105" s="13">
        <v>2.5983999999999998</v>
      </c>
      <c r="V105" s="55">
        <f>IFERROR(Table12[[#This Row],[Profit]]/Table12[[#This Row],[Sales]],0)</f>
        <v>0.04</v>
      </c>
    </row>
    <row r="106" spans="1:22" x14ac:dyDescent="0.2">
      <c r="A106">
        <v>105</v>
      </c>
      <c r="B106" t="s">
        <v>1401</v>
      </c>
      <c r="C106" s="1">
        <v>41682</v>
      </c>
      <c r="D106" s="22">
        <f>MONTH(Table12[[#This Row],[Order Date]])</f>
        <v>2</v>
      </c>
      <c r="E106" t="s">
        <v>1403</v>
      </c>
      <c r="F106" t="s">
        <v>1404</v>
      </c>
      <c r="G106" s="23" t="s">
        <v>28</v>
      </c>
      <c r="H106" s="23" t="s">
        <v>32</v>
      </c>
      <c r="I106" t="s">
        <v>1402</v>
      </c>
      <c r="J106" s="23" t="s">
        <v>22</v>
      </c>
      <c r="K106" s="22">
        <v>2</v>
      </c>
      <c r="L106" s="1">
        <v>41688</v>
      </c>
      <c r="M106" s="22">
        <f>Table12[[#This Row],[Ship Date]]-Table12[[#This Row],[Order Date]]</f>
        <v>6</v>
      </c>
      <c r="N106" s="23" t="s">
        <v>45</v>
      </c>
      <c r="O106" s="23" t="s">
        <v>23</v>
      </c>
      <c r="P106" s="23" t="s">
        <v>38</v>
      </c>
      <c r="Q106" s="23" t="s">
        <v>39</v>
      </c>
      <c r="R106" s="23" t="s">
        <v>79</v>
      </c>
      <c r="S106" s="33">
        <v>0.2</v>
      </c>
      <c r="T106" s="13">
        <v>129.56800000000001</v>
      </c>
      <c r="U106" s="13">
        <v>-24.294</v>
      </c>
      <c r="V106" s="55">
        <f>IFERROR(Table12[[#This Row],[Profit]]/Table12[[#This Row],[Sales]],0)</f>
        <v>-0.1875</v>
      </c>
    </row>
    <row r="107" spans="1:22" x14ac:dyDescent="0.2">
      <c r="A107">
        <v>106</v>
      </c>
      <c r="B107" t="s">
        <v>7507</v>
      </c>
      <c r="C107" s="1">
        <v>41684</v>
      </c>
      <c r="D107" s="22">
        <f>MONTH(Table12[[#This Row],[Order Date]])</f>
        <v>2</v>
      </c>
      <c r="E107" t="s">
        <v>3277</v>
      </c>
      <c r="F107" t="s">
        <v>3278</v>
      </c>
      <c r="G107" s="23" t="s">
        <v>41</v>
      </c>
      <c r="H107" s="23" t="s">
        <v>82</v>
      </c>
      <c r="I107" t="s">
        <v>3413</v>
      </c>
      <c r="J107" s="23" t="s">
        <v>22</v>
      </c>
      <c r="K107" s="22">
        <v>3</v>
      </c>
      <c r="L107" s="1">
        <v>41689</v>
      </c>
      <c r="M107" s="22">
        <f>Table12[[#This Row],[Ship Date]]-Table12[[#This Row],[Order Date]]</f>
        <v>5</v>
      </c>
      <c r="N107" s="23" t="s">
        <v>20</v>
      </c>
      <c r="O107" s="23" t="s">
        <v>23</v>
      </c>
      <c r="P107" s="23" t="s">
        <v>94</v>
      </c>
      <c r="Q107" s="23" t="s">
        <v>95</v>
      </c>
      <c r="R107" s="23" t="s">
        <v>165</v>
      </c>
      <c r="S107" s="33">
        <v>0.2</v>
      </c>
      <c r="T107" s="13">
        <v>16.175999999999998</v>
      </c>
      <c r="U107" s="13">
        <v>6.0659999999999998</v>
      </c>
      <c r="V107" s="55">
        <f>IFERROR(Table12[[#This Row],[Profit]]/Table12[[#This Row],[Sales]],0)</f>
        <v>0.375</v>
      </c>
    </row>
    <row r="108" spans="1:22" x14ac:dyDescent="0.2">
      <c r="A108">
        <v>107</v>
      </c>
      <c r="B108" t="s">
        <v>10036</v>
      </c>
      <c r="C108" s="1">
        <v>41684</v>
      </c>
      <c r="D108" s="22">
        <f>MONTH(Table12[[#This Row],[Order Date]])</f>
        <v>2</v>
      </c>
      <c r="E108" t="s">
        <v>3897</v>
      </c>
      <c r="F108" t="s">
        <v>3898</v>
      </c>
      <c r="G108" s="23" t="s">
        <v>64</v>
      </c>
      <c r="H108" s="23" t="s">
        <v>144</v>
      </c>
      <c r="I108" t="s">
        <v>3738</v>
      </c>
      <c r="J108" s="23" t="s">
        <v>36</v>
      </c>
      <c r="K108" s="22">
        <v>3</v>
      </c>
      <c r="L108" s="1">
        <v>41688</v>
      </c>
      <c r="M108" s="22">
        <f>Table12[[#This Row],[Ship Date]]-Table12[[#This Row],[Order Date]]</f>
        <v>4</v>
      </c>
      <c r="N108" s="23" t="s">
        <v>45</v>
      </c>
      <c r="O108" s="23" t="s">
        <v>23</v>
      </c>
      <c r="P108" s="23" t="s">
        <v>87</v>
      </c>
      <c r="Q108" s="23" t="s">
        <v>39</v>
      </c>
      <c r="R108" s="23" t="s">
        <v>86</v>
      </c>
      <c r="S108" s="33">
        <v>0</v>
      </c>
      <c r="T108" s="13">
        <v>239.97</v>
      </c>
      <c r="U108" s="13">
        <v>86.389200000000002</v>
      </c>
      <c r="V108" s="55">
        <f>IFERROR(Table12[[#This Row],[Profit]]/Table12[[#This Row],[Sales]],0)</f>
        <v>0.36</v>
      </c>
    </row>
    <row r="109" spans="1:22" x14ac:dyDescent="0.2">
      <c r="A109">
        <v>108</v>
      </c>
      <c r="B109" t="s">
        <v>10036</v>
      </c>
      <c r="C109" s="1">
        <v>41684</v>
      </c>
      <c r="D109" s="22">
        <f>MONTH(Table12[[#This Row],[Order Date]])</f>
        <v>2</v>
      </c>
      <c r="E109" t="s">
        <v>4972</v>
      </c>
      <c r="F109" t="s">
        <v>4973</v>
      </c>
      <c r="G109" s="23" t="s">
        <v>41</v>
      </c>
      <c r="H109" s="23" t="s">
        <v>71</v>
      </c>
      <c r="I109" t="s">
        <v>3738</v>
      </c>
      <c r="J109" s="23" t="s">
        <v>36</v>
      </c>
      <c r="K109" s="22">
        <v>2</v>
      </c>
      <c r="L109" s="1">
        <v>41688</v>
      </c>
      <c r="M109" s="22">
        <f>Table12[[#This Row],[Ship Date]]-Table12[[#This Row],[Order Date]]</f>
        <v>4</v>
      </c>
      <c r="N109" s="23" t="s">
        <v>45</v>
      </c>
      <c r="O109" s="23" t="s">
        <v>23</v>
      </c>
      <c r="P109" s="23" t="s">
        <v>87</v>
      </c>
      <c r="Q109" s="23" t="s">
        <v>39</v>
      </c>
      <c r="R109" s="23" t="s">
        <v>86</v>
      </c>
      <c r="S109" s="33">
        <v>0</v>
      </c>
      <c r="T109" s="13">
        <v>81.96</v>
      </c>
      <c r="U109" s="13">
        <v>22.948799999999999</v>
      </c>
      <c r="V109" s="55">
        <f>IFERROR(Table12[[#This Row],[Profit]]/Table12[[#This Row],[Sales]],0)</f>
        <v>0.28000000000000003</v>
      </c>
    </row>
    <row r="110" spans="1:22" x14ac:dyDescent="0.2">
      <c r="A110">
        <v>109</v>
      </c>
      <c r="B110" t="s">
        <v>10036</v>
      </c>
      <c r="C110" s="1">
        <v>41684</v>
      </c>
      <c r="D110" s="22">
        <f>MONTH(Table12[[#This Row],[Order Date]])</f>
        <v>2</v>
      </c>
      <c r="E110" t="s">
        <v>5247</v>
      </c>
      <c r="F110" t="s">
        <v>5248</v>
      </c>
      <c r="G110" s="23" t="s">
        <v>41</v>
      </c>
      <c r="H110" s="23" t="s">
        <v>513</v>
      </c>
      <c r="I110" t="s">
        <v>3738</v>
      </c>
      <c r="J110" s="23" t="s">
        <v>36</v>
      </c>
      <c r="K110" s="22">
        <v>2</v>
      </c>
      <c r="L110" s="1">
        <v>41688</v>
      </c>
      <c r="M110" s="22">
        <f>Table12[[#This Row],[Ship Date]]-Table12[[#This Row],[Order Date]]</f>
        <v>4</v>
      </c>
      <c r="N110" s="23" t="s">
        <v>45</v>
      </c>
      <c r="O110" s="23" t="s">
        <v>23</v>
      </c>
      <c r="P110" s="23" t="s">
        <v>87</v>
      </c>
      <c r="Q110" s="23" t="s">
        <v>39</v>
      </c>
      <c r="R110" s="23" t="s">
        <v>86</v>
      </c>
      <c r="S110" s="33">
        <v>0</v>
      </c>
      <c r="T110" s="13">
        <v>238.62</v>
      </c>
      <c r="U110" s="13">
        <v>4.7724000000000002</v>
      </c>
      <c r="V110" s="55">
        <f>IFERROR(Table12[[#This Row],[Profit]]/Table12[[#This Row],[Sales]],0)</f>
        <v>0.02</v>
      </c>
    </row>
    <row r="111" spans="1:22" x14ac:dyDescent="0.2">
      <c r="A111">
        <v>110</v>
      </c>
      <c r="B111" t="s">
        <v>8701</v>
      </c>
      <c r="C111" s="1">
        <v>41685</v>
      </c>
      <c r="D111" s="22">
        <f>MONTH(Table12[[#This Row],[Order Date]])</f>
        <v>2</v>
      </c>
      <c r="E111" t="s">
        <v>3023</v>
      </c>
      <c r="F111" t="s">
        <v>3024</v>
      </c>
      <c r="G111" s="23" t="s">
        <v>41</v>
      </c>
      <c r="H111" s="23" t="s">
        <v>68</v>
      </c>
      <c r="I111" t="s">
        <v>2120</v>
      </c>
      <c r="J111" s="23" t="s">
        <v>36</v>
      </c>
      <c r="K111" s="22">
        <v>5</v>
      </c>
      <c r="L111" s="1">
        <v>41689</v>
      </c>
      <c r="M111" s="22">
        <f>Table12[[#This Row],[Ship Date]]-Table12[[#This Row],[Order Date]]</f>
        <v>4</v>
      </c>
      <c r="N111" s="23" t="s">
        <v>45</v>
      </c>
      <c r="O111" s="23" t="s">
        <v>23</v>
      </c>
      <c r="P111" s="23" t="s">
        <v>87</v>
      </c>
      <c r="Q111" s="23" t="s">
        <v>39</v>
      </c>
      <c r="R111" s="23" t="s">
        <v>86</v>
      </c>
      <c r="S111" s="33">
        <v>0.2</v>
      </c>
      <c r="T111" s="13">
        <v>21.36</v>
      </c>
      <c r="U111" s="13">
        <v>7.2089999999999996</v>
      </c>
      <c r="V111" s="55">
        <f>IFERROR(Table12[[#This Row],[Profit]]/Table12[[#This Row],[Sales]],0)</f>
        <v>0.33749999999999997</v>
      </c>
    </row>
    <row r="112" spans="1:22" x14ac:dyDescent="0.2">
      <c r="A112">
        <v>111</v>
      </c>
      <c r="B112" t="s">
        <v>3246</v>
      </c>
      <c r="C112" s="1">
        <v>41686</v>
      </c>
      <c r="D112" s="22">
        <f>MONTH(Table12[[#This Row],[Order Date]])</f>
        <v>2</v>
      </c>
      <c r="E112" t="s">
        <v>2585</v>
      </c>
      <c r="F112" t="s">
        <v>2586</v>
      </c>
      <c r="G112" s="23" t="s">
        <v>41</v>
      </c>
      <c r="H112" s="23" t="s">
        <v>68</v>
      </c>
      <c r="I112" t="s">
        <v>3247</v>
      </c>
      <c r="J112" s="23" t="s">
        <v>22</v>
      </c>
      <c r="K112" s="22">
        <v>3</v>
      </c>
      <c r="L112" s="1">
        <v>41691</v>
      </c>
      <c r="M112" s="22">
        <f>Table12[[#This Row],[Ship Date]]-Table12[[#This Row],[Order Date]]</f>
        <v>5</v>
      </c>
      <c r="N112" s="23" t="s">
        <v>45</v>
      </c>
      <c r="O112" s="23" t="s">
        <v>23</v>
      </c>
      <c r="P112" s="23" t="s">
        <v>94</v>
      </c>
      <c r="Q112" s="23" t="s">
        <v>95</v>
      </c>
      <c r="R112" s="23" t="s">
        <v>718</v>
      </c>
      <c r="S112" s="33">
        <v>0.8</v>
      </c>
      <c r="T112" s="13">
        <v>1.08</v>
      </c>
      <c r="U112" s="13">
        <v>-1.728</v>
      </c>
      <c r="V112" s="55">
        <f>IFERROR(Table12[[#This Row],[Profit]]/Table12[[#This Row],[Sales]],0)</f>
        <v>-1.5999999999999999</v>
      </c>
    </row>
    <row r="113" spans="1:22" x14ac:dyDescent="0.2">
      <c r="A113">
        <v>112</v>
      </c>
      <c r="B113" t="s">
        <v>3246</v>
      </c>
      <c r="C113" s="1">
        <v>41686</v>
      </c>
      <c r="D113" s="22">
        <f>MONTH(Table12[[#This Row],[Order Date]])</f>
        <v>2</v>
      </c>
      <c r="E113" t="s">
        <v>3248</v>
      </c>
      <c r="F113" t="s">
        <v>3249</v>
      </c>
      <c r="G113" s="23" t="s">
        <v>41</v>
      </c>
      <c r="H113" s="23" t="s">
        <v>71</v>
      </c>
      <c r="I113" t="s">
        <v>3247</v>
      </c>
      <c r="J113" s="23" t="s">
        <v>22</v>
      </c>
      <c r="K113" s="22">
        <v>2</v>
      </c>
      <c r="L113" s="1">
        <v>41691</v>
      </c>
      <c r="M113" s="22">
        <f>Table12[[#This Row],[Ship Date]]-Table12[[#This Row],[Order Date]]</f>
        <v>5</v>
      </c>
      <c r="N113" s="23" t="s">
        <v>45</v>
      </c>
      <c r="O113" s="23" t="s">
        <v>23</v>
      </c>
      <c r="P113" s="23" t="s">
        <v>94</v>
      </c>
      <c r="Q113" s="23" t="s">
        <v>95</v>
      </c>
      <c r="R113" s="23" t="s">
        <v>718</v>
      </c>
      <c r="S113" s="33">
        <v>0.8</v>
      </c>
      <c r="T113" s="13">
        <v>7.96</v>
      </c>
      <c r="U113" s="13">
        <v>-13.93</v>
      </c>
      <c r="V113" s="55">
        <f>IFERROR(Table12[[#This Row],[Profit]]/Table12[[#This Row],[Sales]],0)</f>
        <v>-1.75</v>
      </c>
    </row>
    <row r="114" spans="1:22" x14ac:dyDescent="0.2">
      <c r="A114">
        <v>113</v>
      </c>
      <c r="B114" t="s">
        <v>9887</v>
      </c>
      <c r="C114" s="1">
        <v>41687</v>
      </c>
      <c r="D114" s="22">
        <f>MONTH(Table12[[#This Row],[Order Date]])</f>
        <v>2</v>
      </c>
      <c r="E114" t="s">
        <v>4102</v>
      </c>
      <c r="F114" t="s">
        <v>2673</v>
      </c>
      <c r="G114" s="23" t="s">
        <v>41</v>
      </c>
      <c r="H114" s="23" t="s">
        <v>61</v>
      </c>
      <c r="I114" t="s">
        <v>840</v>
      </c>
      <c r="J114" s="23" t="s">
        <v>22</v>
      </c>
      <c r="K114" s="22">
        <v>14</v>
      </c>
      <c r="L114" s="1">
        <v>41694</v>
      </c>
      <c r="M114" s="22">
        <f>Table12[[#This Row],[Ship Date]]-Table12[[#This Row],[Order Date]]</f>
        <v>7</v>
      </c>
      <c r="N114" s="23" t="s">
        <v>45</v>
      </c>
      <c r="O114" s="23" t="s">
        <v>23</v>
      </c>
      <c r="P114" s="23" t="s">
        <v>189</v>
      </c>
      <c r="Q114" s="23" t="s">
        <v>95</v>
      </c>
      <c r="R114" s="23" t="s">
        <v>271</v>
      </c>
      <c r="S114" s="33">
        <v>0.2</v>
      </c>
      <c r="T114" s="13">
        <v>54.207999999999998</v>
      </c>
      <c r="U114" s="13">
        <v>8.8087999999999997</v>
      </c>
      <c r="V114" s="55">
        <f>IFERROR(Table12[[#This Row],[Profit]]/Table12[[#This Row],[Sales]],0)</f>
        <v>0.16250000000000001</v>
      </c>
    </row>
    <row r="115" spans="1:22" x14ac:dyDescent="0.2">
      <c r="A115">
        <v>114</v>
      </c>
      <c r="B115" t="s">
        <v>7900</v>
      </c>
      <c r="C115" s="1">
        <v>41688</v>
      </c>
      <c r="D115" s="22">
        <f>MONTH(Table12[[#This Row],[Order Date]])</f>
        <v>2</v>
      </c>
      <c r="E115" t="s">
        <v>6306</v>
      </c>
      <c r="F115" t="s">
        <v>6307</v>
      </c>
      <c r="G115" s="23" t="s">
        <v>28</v>
      </c>
      <c r="H115" s="23" t="s">
        <v>58</v>
      </c>
      <c r="I115" t="s">
        <v>1375</v>
      </c>
      <c r="J115" s="23" t="s">
        <v>22</v>
      </c>
      <c r="K115" s="22">
        <v>5</v>
      </c>
      <c r="L115" s="1">
        <v>41688</v>
      </c>
      <c r="M115" s="22">
        <f>Table12[[#This Row],[Ship Date]]-Table12[[#This Row],[Order Date]]</f>
        <v>0</v>
      </c>
      <c r="N115" s="23" t="s">
        <v>1141</v>
      </c>
      <c r="O115" s="23" t="s">
        <v>23</v>
      </c>
      <c r="P115" s="23" t="s">
        <v>94</v>
      </c>
      <c r="Q115" s="23" t="s">
        <v>95</v>
      </c>
      <c r="R115" s="23" t="s">
        <v>4325</v>
      </c>
      <c r="S115" s="33">
        <v>0.6</v>
      </c>
      <c r="T115" s="13">
        <v>25.16</v>
      </c>
      <c r="U115" s="13">
        <v>-11.321999999999999</v>
      </c>
      <c r="V115" s="55">
        <f>IFERROR(Table12[[#This Row],[Profit]]/Table12[[#This Row],[Sales]],0)</f>
        <v>-0.44999999999999996</v>
      </c>
    </row>
    <row r="116" spans="1:22" x14ac:dyDescent="0.2">
      <c r="A116">
        <v>115</v>
      </c>
      <c r="B116" t="s">
        <v>9121</v>
      </c>
      <c r="C116" s="1">
        <v>41688</v>
      </c>
      <c r="D116" s="22">
        <f>MONTH(Table12[[#This Row],[Order Date]])</f>
        <v>2</v>
      </c>
      <c r="E116" t="s">
        <v>6051</v>
      </c>
      <c r="F116" t="s">
        <v>6052</v>
      </c>
      <c r="G116" s="23" t="s">
        <v>41</v>
      </c>
      <c r="H116" s="23" t="s">
        <v>53</v>
      </c>
      <c r="I116" t="s">
        <v>7149</v>
      </c>
      <c r="J116" s="23" t="s">
        <v>22</v>
      </c>
      <c r="K116" s="22">
        <v>2</v>
      </c>
      <c r="L116" s="1">
        <v>41694</v>
      </c>
      <c r="M116" s="22">
        <f>Table12[[#This Row],[Ship Date]]-Table12[[#This Row],[Order Date]]</f>
        <v>6</v>
      </c>
      <c r="N116" s="23" t="s">
        <v>45</v>
      </c>
      <c r="O116" s="23" t="s">
        <v>23</v>
      </c>
      <c r="P116" s="23" t="s">
        <v>94</v>
      </c>
      <c r="Q116" s="23" t="s">
        <v>95</v>
      </c>
      <c r="R116" s="23" t="s">
        <v>997</v>
      </c>
      <c r="S116" s="33">
        <v>0.2</v>
      </c>
      <c r="T116" s="13">
        <v>12.624000000000001</v>
      </c>
      <c r="U116" s="13">
        <v>-2.5247999999999999</v>
      </c>
      <c r="V116" s="55">
        <f>IFERROR(Table12[[#This Row],[Profit]]/Table12[[#This Row],[Sales]],0)</f>
        <v>-0.19999999999999998</v>
      </c>
    </row>
    <row r="117" spans="1:22" x14ac:dyDescent="0.2">
      <c r="A117">
        <v>116</v>
      </c>
      <c r="B117" t="s">
        <v>6824</v>
      </c>
      <c r="C117" s="1">
        <v>41690</v>
      </c>
      <c r="D117" s="22">
        <f>MONTH(Table12[[#This Row],[Order Date]])</f>
        <v>2</v>
      </c>
      <c r="E117" t="s">
        <v>4245</v>
      </c>
      <c r="F117" t="s">
        <v>4246</v>
      </c>
      <c r="G117" s="23" t="s">
        <v>64</v>
      </c>
      <c r="H117" s="23" t="s">
        <v>144</v>
      </c>
      <c r="I117" t="s">
        <v>187</v>
      </c>
      <c r="J117" s="23" t="s">
        <v>36</v>
      </c>
      <c r="K117" s="22">
        <v>3</v>
      </c>
      <c r="L117" s="1">
        <v>41696</v>
      </c>
      <c r="M117" s="22">
        <f>Table12[[#This Row],[Ship Date]]-Table12[[#This Row],[Order Date]]</f>
        <v>6</v>
      </c>
      <c r="N117" s="23" t="s">
        <v>45</v>
      </c>
      <c r="O117" s="23" t="s">
        <v>23</v>
      </c>
      <c r="P117" s="23" t="s">
        <v>226</v>
      </c>
      <c r="Q117" s="23" t="s">
        <v>95</v>
      </c>
      <c r="R117" s="23" t="s">
        <v>1294</v>
      </c>
      <c r="S117" s="33">
        <v>0</v>
      </c>
      <c r="T117" s="13">
        <v>62.31</v>
      </c>
      <c r="U117" s="13">
        <v>22.4316</v>
      </c>
      <c r="V117" s="55">
        <f>IFERROR(Table12[[#This Row],[Profit]]/Table12[[#This Row],[Sales]],0)</f>
        <v>0.36</v>
      </c>
    </row>
    <row r="118" spans="1:22" x14ac:dyDescent="0.2">
      <c r="A118">
        <v>117</v>
      </c>
      <c r="B118" t="s">
        <v>6824</v>
      </c>
      <c r="C118" s="1">
        <v>41690</v>
      </c>
      <c r="D118" s="22">
        <f>MONTH(Table12[[#This Row],[Order Date]])</f>
        <v>2</v>
      </c>
      <c r="E118" t="s">
        <v>1824</v>
      </c>
      <c r="F118" t="s">
        <v>1825</v>
      </c>
      <c r="G118" s="23" t="s">
        <v>28</v>
      </c>
      <c r="H118" s="23" t="s">
        <v>58</v>
      </c>
      <c r="I118" t="s">
        <v>187</v>
      </c>
      <c r="J118" s="23" t="s">
        <v>36</v>
      </c>
      <c r="K118" s="22">
        <v>4</v>
      </c>
      <c r="L118" s="1">
        <v>41696</v>
      </c>
      <c r="M118" s="22">
        <f>Table12[[#This Row],[Ship Date]]-Table12[[#This Row],[Order Date]]</f>
        <v>6</v>
      </c>
      <c r="N118" s="23" t="s">
        <v>45</v>
      </c>
      <c r="O118" s="23" t="s">
        <v>23</v>
      </c>
      <c r="P118" s="23" t="s">
        <v>226</v>
      </c>
      <c r="Q118" s="23" t="s">
        <v>95</v>
      </c>
      <c r="R118" s="23" t="s">
        <v>1294</v>
      </c>
      <c r="S118" s="33">
        <v>0</v>
      </c>
      <c r="T118" s="13">
        <v>20.32</v>
      </c>
      <c r="U118" s="13">
        <v>6.9088000000000003</v>
      </c>
      <c r="V118" s="55">
        <f>IFERROR(Table12[[#This Row],[Profit]]/Table12[[#This Row],[Sales]],0)</f>
        <v>0.34</v>
      </c>
    </row>
    <row r="119" spans="1:22" x14ac:dyDescent="0.2">
      <c r="A119">
        <v>118</v>
      </c>
      <c r="B119" t="s">
        <v>9290</v>
      </c>
      <c r="C119" s="1">
        <v>41690</v>
      </c>
      <c r="D119" s="22">
        <f>MONTH(Table12[[#This Row],[Order Date]])</f>
        <v>2</v>
      </c>
      <c r="E119" t="s">
        <v>5969</v>
      </c>
      <c r="F119" t="s">
        <v>5970</v>
      </c>
      <c r="G119" s="23" t="s">
        <v>41</v>
      </c>
      <c r="H119" s="23" t="s">
        <v>82</v>
      </c>
      <c r="I119" t="s">
        <v>1892</v>
      </c>
      <c r="J119" s="23" t="s">
        <v>92</v>
      </c>
      <c r="K119" s="22">
        <v>2</v>
      </c>
      <c r="L119" s="1">
        <v>41694</v>
      </c>
      <c r="M119" s="22">
        <f>Table12[[#This Row],[Ship Date]]-Table12[[#This Row],[Order Date]]</f>
        <v>4</v>
      </c>
      <c r="N119" s="23" t="s">
        <v>45</v>
      </c>
      <c r="O119" s="23" t="s">
        <v>23</v>
      </c>
      <c r="P119" s="23" t="s">
        <v>38</v>
      </c>
      <c r="Q119" s="23" t="s">
        <v>39</v>
      </c>
      <c r="R119" s="23" t="s">
        <v>37</v>
      </c>
      <c r="S119" s="33">
        <v>0</v>
      </c>
      <c r="T119" s="13">
        <v>12.96</v>
      </c>
      <c r="U119" s="13">
        <v>6.2207999999999997</v>
      </c>
      <c r="V119" s="55">
        <f>IFERROR(Table12[[#This Row],[Profit]]/Table12[[#This Row],[Sales]],0)</f>
        <v>0.47999999999999993</v>
      </c>
    </row>
    <row r="120" spans="1:22" x14ac:dyDescent="0.2">
      <c r="A120">
        <v>119</v>
      </c>
      <c r="B120" t="s">
        <v>5405</v>
      </c>
      <c r="C120" s="1">
        <v>41691</v>
      </c>
      <c r="D120" s="22">
        <f>MONTH(Table12[[#This Row],[Order Date]])</f>
        <v>2</v>
      </c>
      <c r="E120" t="s">
        <v>2083</v>
      </c>
      <c r="F120" t="s">
        <v>2084</v>
      </c>
      <c r="G120" s="23" t="s">
        <v>41</v>
      </c>
      <c r="H120" s="23" t="s">
        <v>68</v>
      </c>
      <c r="I120" t="s">
        <v>4845</v>
      </c>
      <c r="J120" s="23" t="s">
        <v>22</v>
      </c>
      <c r="K120" s="22">
        <v>5</v>
      </c>
      <c r="L120" s="1">
        <v>41695</v>
      </c>
      <c r="M120" s="22">
        <f>Table12[[#This Row],[Ship Date]]-Table12[[#This Row],[Order Date]]</f>
        <v>4</v>
      </c>
      <c r="N120" s="23" t="s">
        <v>45</v>
      </c>
      <c r="O120" s="23" t="s">
        <v>23</v>
      </c>
      <c r="P120" s="23" t="s">
        <v>189</v>
      </c>
      <c r="Q120" s="23" t="s">
        <v>95</v>
      </c>
      <c r="R120" s="23" t="s">
        <v>5048</v>
      </c>
      <c r="S120" s="33">
        <v>0.8</v>
      </c>
      <c r="T120" s="13">
        <v>8.85</v>
      </c>
      <c r="U120" s="13">
        <v>-13.717499999999999</v>
      </c>
      <c r="V120" s="55">
        <f>IFERROR(Table12[[#This Row],[Profit]]/Table12[[#This Row],[Sales]],0)</f>
        <v>-1.55</v>
      </c>
    </row>
    <row r="121" spans="1:22" x14ac:dyDescent="0.2">
      <c r="A121">
        <v>120</v>
      </c>
      <c r="B121" t="s">
        <v>8783</v>
      </c>
      <c r="C121" s="1">
        <v>41692</v>
      </c>
      <c r="D121" s="22">
        <f>MONTH(Table12[[#This Row],[Order Date]])</f>
        <v>2</v>
      </c>
      <c r="E121" t="s">
        <v>2003</v>
      </c>
      <c r="F121" t="s">
        <v>2004</v>
      </c>
      <c r="G121" s="23" t="s">
        <v>41</v>
      </c>
      <c r="H121" s="23" t="s">
        <v>82</v>
      </c>
      <c r="I121" t="s">
        <v>1483</v>
      </c>
      <c r="J121" s="23" t="s">
        <v>22</v>
      </c>
      <c r="K121" s="22">
        <v>3</v>
      </c>
      <c r="L121" s="1">
        <v>41694</v>
      </c>
      <c r="M121" s="22">
        <f>Table12[[#This Row],[Ship Date]]-Table12[[#This Row],[Order Date]]</f>
        <v>2</v>
      </c>
      <c r="N121" s="23" t="s">
        <v>169</v>
      </c>
      <c r="O121" s="23" t="s">
        <v>23</v>
      </c>
      <c r="P121" s="23" t="s">
        <v>38</v>
      </c>
      <c r="Q121" s="23" t="s">
        <v>39</v>
      </c>
      <c r="R121" s="23" t="s">
        <v>7214</v>
      </c>
      <c r="S121" s="33">
        <v>0</v>
      </c>
      <c r="T121" s="13">
        <v>19.440000000000001</v>
      </c>
      <c r="U121" s="13">
        <v>9.3312000000000008</v>
      </c>
      <c r="V121" s="55">
        <f>IFERROR(Table12[[#This Row],[Profit]]/Table12[[#This Row],[Sales]],0)</f>
        <v>0.48000000000000004</v>
      </c>
    </row>
    <row r="122" spans="1:22" x14ac:dyDescent="0.2">
      <c r="A122">
        <v>121</v>
      </c>
      <c r="B122" t="s">
        <v>8172</v>
      </c>
      <c r="C122" s="1">
        <v>41693</v>
      </c>
      <c r="D122" s="22">
        <f>MONTH(Table12[[#This Row],[Order Date]])</f>
        <v>2</v>
      </c>
      <c r="E122" t="s">
        <v>2975</v>
      </c>
      <c r="F122" t="s">
        <v>2976</v>
      </c>
      <c r="G122" s="23" t="s">
        <v>41</v>
      </c>
      <c r="H122" s="23" t="s">
        <v>42</v>
      </c>
      <c r="I122" t="s">
        <v>5531</v>
      </c>
      <c r="J122" s="23" t="s">
        <v>92</v>
      </c>
      <c r="K122" s="22">
        <v>3</v>
      </c>
      <c r="L122" s="1">
        <v>41697</v>
      </c>
      <c r="M122" s="22">
        <f>Table12[[#This Row],[Ship Date]]-Table12[[#This Row],[Order Date]]</f>
        <v>4</v>
      </c>
      <c r="N122" s="23" t="s">
        <v>45</v>
      </c>
      <c r="O122" s="23" t="s">
        <v>23</v>
      </c>
      <c r="P122" s="23" t="s">
        <v>94</v>
      </c>
      <c r="Q122" s="23" t="s">
        <v>95</v>
      </c>
      <c r="R122" s="23" t="s">
        <v>3679</v>
      </c>
      <c r="S122" s="33">
        <v>0.2</v>
      </c>
      <c r="T122" s="13">
        <v>6.9359999999999999</v>
      </c>
      <c r="U122" s="13">
        <v>2.3409</v>
      </c>
      <c r="V122" s="55">
        <f>IFERROR(Table12[[#This Row],[Profit]]/Table12[[#This Row],[Sales]],0)</f>
        <v>0.33750000000000002</v>
      </c>
    </row>
    <row r="123" spans="1:22" x14ac:dyDescent="0.2">
      <c r="A123">
        <v>122</v>
      </c>
      <c r="B123" t="s">
        <v>8172</v>
      </c>
      <c r="C123" s="1">
        <v>41693</v>
      </c>
      <c r="D123" s="22">
        <f>MONTH(Table12[[#This Row],[Order Date]])</f>
        <v>2</v>
      </c>
      <c r="E123" t="s">
        <v>2683</v>
      </c>
      <c r="F123" t="s">
        <v>2684</v>
      </c>
      <c r="G123" s="23" t="s">
        <v>41</v>
      </c>
      <c r="H123" s="23" t="s">
        <v>68</v>
      </c>
      <c r="I123" t="s">
        <v>5531</v>
      </c>
      <c r="J123" s="23" t="s">
        <v>92</v>
      </c>
      <c r="K123" s="22">
        <v>3</v>
      </c>
      <c r="L123" s="1">
        <v>41697</v>
      </c>
      <c r="M123" s="22">
        <f>Table12[[#This Row],[Ship Date]]-Table12[[#This Row],[Order Date]]</f>
        <v>4</v>
      </c>
      <c r="N123" s="23" t="s">
        <v>45</v>
      </c>
      <c r="O123" s="23" t="s">
        <v>23</v>
      </c>
      <c r="P123" s="23" t="s">
        <v>94</v>
      </c>
      <c r="Q123" s="23" t="s">
        <v>95</v>
      </c>
      <c r="R123" s="23" t="s">
        <v>3679</v>
      </c>
      <c r="S123" s="33">
        <v>0.8</v>
      </c>
      <c r="T123" s="13">
        <v>4.4279999999999999</v>
      </c>
      <c r="U123" s="13">
        <v>-6.8634000000000004</v>
      </c>
      <c r="V123" s="55">
        <f>IFERROR(Table12[[#This Row],[Profit]]/Table12[[#This Row],[Sales]],0)</f>
        <v>-1.55</v>
      </c>
    </row>
    <row r="124" spans="1:22" x14ac:dyDescent="0.2">
      <c r="A124">
        <v>123</v>
      </c>
      <c r="B124" t="s">
        <v>7534</v>
      </c>
      <c r="C124" s="1">
        <v>41694</v>
      </c>
      <c r="D124" s="22">
        <f>MONTH(Table12[[#This Row],[Order Date]])</f>
        <v>2</v>
      </c>
      <c r="E124" t="s">
        <v>5922</v>
      </c>
      <c r="F124" t="s">
        <v>5923</v>
      </c>
      <c r="G124" s="23" t="s">
        <v>41</v>
      </c>
      <c r="H124" s="23" t="s">
        <v>82</v>
      </c>
      <c r="I124" t="s">
        <v>2711</v>
      </c>
      <c r="J124" s="23" t="s">
        <v>22</v>
      </c>
      <c r="K124" s="22">
        <v>4</v>
      </c>
      <c r="L124" s="1">
        <v>41700</v>
      </c>
      <c r="M124" s="22">
        <f>Table12[[#This Row],[Ship Date]]-Table12[[#This Row],[Order Date]]</f>
        <v>6</v>
      </c>
      <c r="N124" s="23" t="s">
        <v>45</v>
      </c>
      <c r="O124" s="23" t="s">
        <v>23</v>
      </c>
      <c r="P124" s="23" t="s">
        <v>374</v>
      </c>
      <c r="Q124" s="23" t="s">
        <v>39</v>
      </c>
      <c r="R124" s="23" t="s">
        <v>4162</v>
      </c>
      <c r="S124" s="33">
        <v>0.2</v>
      </c>
      <c r="T124" s="13">
        <v>32.896000000000001</v>
      </c>
      <c r="U124" s="13">
        <v>11.102399999999999</v>
      </c>
      <c r="V124" s="55">
        <f>IFERROR(Table12[[#This Row],[Profit]]/Table12[[#This Row],[Sales]],0)</f>
        <v>0.33749999999999997</v>
      </c>
    </row>
    <row r="125" spans="1:22" x14ac:dyDescent="0.2">
      <c r="A125">
        <v>124</v>
      </c>
      <c r="B125" t="s">
        <v>7534</v>
      </c>
      <c r="C125" s="1">
        <v>41694</v>
      </c>
      <c r="D125" s="22">
        <f>MONTH(Table12[[#This Row],[Order Date]])</f>
        <v>2</v>
      </c>
      <c r="E125" t="s">
        <v>6249</v>
      </c>
      <c r="F125" t="s">
        <v>6250</v>
      </c>
      <c r="G125" s="23" t="s">
        <v>41</v>
      </c>
      <c r="H125" s="23" t="s">
        <v>82</v>
      </c>
      <c r="I125" t="s">
        <v>2711</v>
      </c>
      <c r="J125" s="23" t="s">
        <v>22</v>
      </c>
      <c r="K125" s="22">
        <v>3</v>
      </c>
      <c r="L125" s="1">
        <v>41700</v>
      </c>
      <c r="M125" s="22">
        <f>Table12[[#This Row],[Ship Date]]-Table12[[#This Row],[Order Date]]</f>
        <v>6</v>
      </c>
      <c r="N125" s="23" t="s">
        <v>45</v>
      </c>
      <c r="O125" s="23" t="s">
        <v>23</v>
      </c>
      <c r="P125" s="23" t="s">
        <v>374</v>
      </c>
      <c r="Q125" s="23" t="s">
        <v>39</v>
      </c>
      <c r="R125" s="23" t="s">
        <v>4162</v>
      </c>
      <c r="S125" s="33">
        <v>0.2</v>
      </c>
      <c r="T125" s="13">
        <v>22.776</v>
      </c>
      <c r="U125" s="13">
        <v>7.6868999999999996</v>
      </c>
      <c r="V125" s="55">
        <f>IFERROR(Table12[[#This Row],[Profit]]/Table12[[#This Row],[Sales]],0)</f>
        <v>0.33749999999999997</v>
      </c>
    </row>
    <row r="126" spans="1:22" x14ac:dyDescent="0.2">
      <c r="A126">
        <v>125</v>
      </c>
      <c r="B126" t="s">
        <v>9857</v>
      </c>
      <c r="C126" s="1">
        <v>41697</v>
      </c>
      <c r="D126" s="22">
        <f>MONTH(Table12[[#This Row],[Order Date]])</f>
        <v>2</v>
      </c>
      <c r="E126" t="s">
        <v>1671</v>
      </c>
      <c r="F126" t="s">
        <v>1672</v>
      </c>
      <c r="G126" s="23" t="s">
        <v>41</v>
      </c>
      <c r="H126" s="23" t="s">
        <v>61</v>
      </c>
      <c r="I126" t="s">
        <v>4316</v>
      </c>
      <c r="J126" s="23" t="s">
        <v>22</v>
      </c>
      <c r="K126" s="22">
        <v>4</v>
      </c>
      <c r="L126" s="1">
        <v>41701</v>
      </c>
      <c r="M126" s="22">
        <f>Table12[[#This Row],[Ship Date]]-Table12[[#This Row],[Order Date]]</f>
        <v>4</v>
      </c>
      <c r="N126" s="23" t="s">
        <v>169</v>
      </c>
      <c r="O126" s="23" t="s">
        <v>23</v>
      </c>
      <c r="P126" s="23" t="s">
        <v>441</v>
      </c>
      <c r="Q126" s="23" t="s">
        <v>133</v>
      </c>
      <c r="R126" s="23" t="s">
        <v>440</v>
      </c>
      <c r="S126" s="33">
        <v>0.2</v>
      </c>
      <c r="T126" s="13">
        <v>19.456</v>
      </c>
      <c r="U126" s="13">
        <v>3.4047999999999998</v>
      </c>
      <c r="V126" s="55">
        <f>IFERROR(Table12[[#This Row],[Profit]]/Table12[[#This Row],[Sales]],0)</f>
        <v>0.17499999999999999</v>
      </c>
    </row>
    <row r="127" spans="1:22" x14ac:dyDescent="0.2">
      <c r="A127">
        <v>126</v>
      </c>
      <c r="B127" t="s">
        <v>568</v>
      </c>
      <c r="C127" s="1">
        <v>41699</v>
      </c>
      <c r="D127" s="22">
        <f>MONTH(Table12[[#This Row],[Order Date]])</f>
        <v>3</v>
      </c>
      <c r="E127" t="s">
        <v>472</v>
      </c>
      <c r="F127" t="s">
        <v>473</v>
      </c>
      <c r="G127" s="23" t="s">
        <v>28</v>
      </c>
      <c r="H127" s="23" t="s">
        <v>32</v>
      </c>
      <c r="I127" t="s">
        <v>569</v>
      </c>
      <c r="J127" s="23" t="s">
        <v>22</v>
      </c>
      <c r="K127" s="22">
        <v>2</v>
      </c>
      <c r="L127" s="1">
        <v>41704</v>
      </c>
      <c r="M127" s="22">
        <f>Table12[[#This Row],[Ship Date]]-Table12[[#This Row],[Order Date]]</f>
        <v>5</v>
      </c>
      <c r="N127" s="23" t="s">
        <v>20</v>
      </c>
      <c r="O127" s="23" t="s">
        <v>23</v>
      </c>
      <c r="P127" s="23" t="s">
        <v>87</v>
      </c>
      <c r="Q127" s="23" t="s">
        <v>39</v>
      </c>
      <c r="R127" s="23" t="s">
        <v>86</v>
      </c>
      <c r="S127" s="33">
        <v>0.2</v>
      </c>
      <c r="T127" s="13">
        <v>457.56799999999998</v>
      </c>
      <c r="U127" s="13">
        <v>51.476399999999998</v>
      </c>
      <c r="V127" s="55">
        <f>IFERROR(Table12[[#This Row],[Profit]]/Table12[[#This Row],[Sales]],0)</f>
        <v>0.1125</v>
      </c>
    </row>
    <row r="128" spans="1:22" x14ac:dyDescent="0.2">
      <c r="A128">
        <v>127</v>
      </c>
      <c r="B128" t="s">
        <v>7674</v>
      </c>
      <c r="C128" s="1">
        <v>41699</v>
      </c>
      <c r="D128" s="22">
        <f>MONTH(Table12[[#This Row],[Order Date]])</f>
        <v>3</v>
      </c>
      <c r="E128" t="s">
        <v>2989</v>
      </c>
      <c r="F128" t="s">
        <v>2990</v>
      </c>
      <c r="G128" s="23" t="s">
        <v>64</v>
      </c>
      <c r="H128" s="23" t="s">
        <v>65</v>
      </c>
      <c r="I128" t="s">
        <v>2682</v>
      </c>
      <c r="J128" s="23" t="s">
        <v>92</v>
      </c>
      <c r="K128" s="22">
        <v>3</v>
      </c>
      <c r="L128" s="1">
        <v>41703</v>
      </c>
      <c r="M128" s="22">
        <f>Table12[[#This Row],[Ship Date]]-Table12[[#This Row],[Order Date]]</f>
        <v>4</v>
      </c>
      <c r="N128" s="23" t="s">
        <v>45</v>
      </c>
      <c r="O128" s="23" t="s">
        <v>23</v>
      </c>
      <c r="P128" s="23" t="s">
        <v>238</v>
      </c>
      <c r="Q128" s="23" t="s">
        <v>133</v>
      </c>
      <c r="R128" s="23" t="s">
        <v>237</v>
      </c>
      <c r="S128" s="33">
        <v>0</v>
      </c>
      <c r="T128" s="13">
        <v>5.94</v>
      </c>
      <c r="U128" s="13">
        <v>1.6037999999999999</v>
      </c>
      <c r="V128" s="55">
        <f>IFERROR(Table12[[#This Row],[Profit]]/Table12[[#This Row],[Sales]],0)</f>
        <v>0.26999999999999996</v>
      </c>
    </row>
    <row r="129" spans="1:22" x14ac:dyDescent="0.2">
      <c r="A129">
        <v>128</v>
      </c>
      <c r="B129" t="s">
        <v>8179</v>
      </c>
      <c r="C129" s="1">
        <v>41699</v>
      </c>
      <c r="D129" s="22">
        <f>MONTH(Table12[[#This Row],[Order Date]])</f>
        <v>3</v>
      </c>
      <c r="E129" t="s">
        <v>343</v>
      </c>
      <c r="F129" t="s">
        <v>344</v>
      </c>
      <c r="G129" s="23" t="s">
        <v>28</v>
      </c>
      <c r="H129" s="23" t="s">
        <v>32</v>
      </c>
      <c r="I129" t="s">
        <v>5376</v>
      </c>
      <c r="J129" s="23" t="s">
        <v>92</v>
      </c>
      <c r="K129" s="22">
        <v>6</v>
      </c>
      <c r="L129" s="1">
        <v>41703</v>
      </c>
      <c r="M129" s="22">
        <f>Table12[[#This Row],[Ship Date]]-Table12[[#This Row],[Order Date]]</f>
        <v>4</v>
      </c>
      <c r="N129" s="23" t="s">
        <v>45</v>
      </c>
      <c r="O129" s="23" t="s">
        <v>23</v>
      </c>
      <c r="P129" s="23" t="s">
        <v>189</v>
      </c>
      <c r="Q129" s="23" t="s">
        <v>95</v>
      </c>
      <c r="R129" s="23" t="s">
        <v>4869</v>
      </c>
      <c r="S129" s="33">
        <v>0.3</v>
      </c>
      <c r="T129" s="13">
        <v>634.11599999999999</v>
      </c>
      <c r="U129" s="13">
        <v>-172.1172</v>
      </c>
      <c r="V129" s="55">
        <f>IFERROR(Table12[[#This Row],[Profit]]/Table12[[#This Row],[Sales]],0)</f>
        <v>-0.27142857142857141</v>
      </c>
    </row>
    <row r="130" spans="1:22" x14ac:dyDescent="0.2">
      <c r="A130">
        <v>129</v>
      </c>
      <c r="B130" t="s">
        <v>8179</v>
      </c>
      <c r="C130" s="1">
        <v>41699</v>
      </c>
      <c r="D130" s="22">
        <f>MONTH(Table12[[#This Row],[Order Date]])</f>
        <v>3</v>
      </c>
      <c r="E130" t="s">
        <v>7572</v>
      </c>
      <c r="F130" t="s">
        <v>7573</v>
      </c>
      <c r="G130" s="23" t="s">
        <v>41</v>
      </c>
      <c r="H130" s="23" t="s">
        <v>82</v>
      </c>
      <c r="I130" t="s">
        <v>5376</v>
      </c>
      <c r="J130" s="23" t="s">
        <v>92</v>
      </c>
      <c r="K130" s="22">
        <v>3</v>
      </c>
      <c r="L130" s="1">
        <v>41703</v>
      </c>
      <c r="M130" s="22">
        <f>Table12[[#This Row],[Ship Date]]-Table12[[#This Row],[Order Date]]</f>
        <v>4</v>
      </c>
      <c r="N130" s="23" t="s">
        <v>45</v>
      </c>
      <c r="O130" s="23" t="s">
        <v>23</v>
      </c>
      <c r="P130" s="23" t="s">
        <v>189</v>
      </c>
      <c r="Q130" s="23" t="s">
        <v>95</v>
      </c>
      <c r="R130" s="23" t="s">
        <v>4869</v>
      </c>
      <c r="S130" s="33">
        <v>0.2</v>
      </c>
      <c r="T130" s="13">
        <v>17.472000000000001</v>
      </c>
      <c r="U130" s="13">
        <v>5.6783999999999999</v>
      </c>
      <c r="V130" s="55">
        <f>IFERROR(Table12[[#This Row],[Profit]]/Table12[[#This Row],[Sales]],0)</f>
        <v>0.32499999999999996</v>
      </c>
    </row>
    <row r="131" spans="1:22" x14ac:dyDescent="0.2">
      <c r="A131">
        <v>130</v>
      </c>
      <c r="B131" t="s">
        <v>8973</v>
      </c>
      <c r="C131" s="1">
        <v>41699</v>
      </c>
      <c r="D131" s="22">
        <f>MONTH(Table12[[#This Row],[Order Date]])</f>
        <v>3</v>
      </c>
      <c r="E131" t="s">
        <v>4313</v>
      </c>
      <c r="F131" t="s">
        <v>4314</v>
      </c>
      <c r="G131" s="23" t="s">
        <v>41</v>
      </c>
      <c r="H131" s="23" t="s">
        <v>240</v>
      </c>
      <c r="I131" t="s">
        <v>4910</v>
      </c>
      <c r="J131" s="23" t="s">
        <v>22</v>
      </c>
      <c r="K131" s="22">
        <v>5</v>
      </c>
      <c r="L131" s="1">
        <v>41703</v>
      </c>
      <c r="M131" s="22">
        <f>Table12[[#This Row],[Ship Date]]-Table12[[#This Row],[Order Date]]</f>
        <v>4</v>
      </c>
      <c r="N131" s="23" t="s">
        <v>45</v>
      </c>
      <c r="O131" s="23" t="s">
        <v>23</v>
      </c>
      <c r="P131" s="23" t="s">
        <v>94</v>
      </c>
      <c r="Q131" s="23" t="s">
        <v>95</v>
      </c>
      <c r="R131" s="23" t="s">
        <v>3679</v>
      </c>
      <c r="S131" s="33">
        <v>0.2</v>
      </c>
      <c r="T131" s="13">
        <v>18.84</v>
      </c>
      <c r="U131" s="13">
        <v>-3.5325000000000002</v>
      </c>
      <c r="V131" s="55">
        <f>IFERROR(Table12[[#This Row],[Profit]]/Table12[[#This Row],[Sales]],0)</f>
        <v>-0.1875</v>
      </c>
    </row>
    <row r="132" spans="1:22" x14ac:dyDescent="0.2">
      <c r="A132">
        <v>131</v>
      </c>
      <c r="B132" t="s">
        <v>8973</v>
      </c>
      <c r="C132" s="1">
        <v>41699</v>
      </c>
      <c r="D132" s="22">
        <f>MONTH(Table12[[#This Row],[Order Date]])</f>
        <v>3</v>
      </c>
      <c r="E132" t="s">
        <v>2979</v>
      </c>
      <c r="F132" t="s">
        <v>2980</v>
      </c>
      <c r="G132" s="23" t="s">
        <v>28</v>
      </c>
      <c r="H132" s="23" t="s">
        <v>32</v>
      </c>
      <c r="I132" t="s">
        <v>4910</v>
      </c>
      <c r="J132" s="23" t="s">
        <v>22</v>
      </c>
      <c r="K132" s="22">
        <v>6</v>
      </c>
      <c r="L132" s="1">
        <v>41703</v>
      </c>
      <c r="M132" s="22">
        <f>Table12[[#This Row],[Ship Date]]-Table12[[#This Row],[Order Date]]</f>
        <v>4</v>
      </c>
      <c r="N132" s="23" t="s">
        <v>45</v>
      </c>
      <c r="O132" s="23" t="s">
        <v>23</v>
      </c>
      <c r="P132" s="23" t="s">
        <v>94</v>
      </c>
      <c r="Q132" s="23" t="s">
        <v>95</v>
      </c>
      <c r="R132" s="23" t="s">
        <v>3679</v>
      </c>
      <c r="S132" s="33">
        <v>0.3</v>
      </c>
      <c r="T132" s="13">
        <v>362.25</v>
      </c>
      <c r="U132" s="13">
        <v>0</v>
      </c>
      <c r="V132" s="55">
        <f>IFERROR(Table12[[#This Row],[Profit]]/Table12[[#This Row],[Sales]],0)</f>
        <v>0</v>
      </c>
    </row>
    <row r="133" spans="1:22" x14ac:dyDescent="0.2">
      <c r="A133">
        <v>132</v>
      </c>
      <c r="B133" t="s">
        <v>8973</v>
      </c>
      <c r="C133" s="1">
        <v>41699</v>
      </c>
      <c r="D133" s="22">
        <f>MONTH(Table12[[#This Row],[Order Date]])</f>
        <v>3</v>
      </c>
      <c r="E133" t="s">
        <v>2581</v>
      </c>
      <c r="F133" t="s">
        <v>2582</v>
      </c>
      <c r="G133" s="23" t="s">
        <v>28</v>
      </c>
      <c r="H133" s="23" t="s">
        <v>58</v>
      </c>
      <c r="I133" t="s">
        <v>4910</v>
      </c>
      <c r="J133" s="23" t="s">
        <v>22</v>
      </c>
      <c r="K133" s="22">
        <v>6</v>
      </c>
      <c r="L133" s="1">
        <v>41703</v>
      </c>
      <c r="M133" s="22">
        <f>Table12[[#This Row],[Ship Date]]-Table12[[#This Row],[Order Date]]</f>
        <v>4</v>
      </c>
      <c r="N133" s="23" t="s">
        <v>45</v>
      </c>
      <c r="O133" s="23" t="s">
        <v>23</v>
      </c>
      <c r="P133" s="23" t="s">
        <v>94</v>
      </c>
      <c r="Q133" s="23" t="s">
        <v>95</v>
      </c>
      <c r="R133" s="23" t="s">
        <v>3679</v>
      </c>
      <c r="S133" s="33">
        <v>0.6</v>
      </c>
      <c r="T133" s="13">
        <v>63.552</v>
      </c>
      <c r="U133" s="13">
        <v>-34.953600000000002</v>
      </c>
      <c r="V133" s="55">
        <f>IFERROR(Table12[[#This Row],[Profit]]/Table12[[#This Row],[Sales]],0)</f>
        <v>-0.55000000000000004</v>
      </c>
    </row>
    <row r="134" spans="1:22" x14ac:dyDescent="0.2">
      <c r="A134">
        <v>133</v>
      </c>
      <c r="B134" t="s">
        <v>8973</v>
      </c>
      <c r="C134" s="1">
        <v>41699</v>
      </c>
      <c r="D134" s="22">
        <f>MONTH(Table12[[#This Row],[Order Date]])</f>
        <v>3</v>
      </c>
      <c r="E134" t="s">
        <v>1383</v>
      </c>
      <c r="F134" t="s">
        <v>1384</v>
      </c>
      <c r="G134" s="23" t="s">
        <v>41</v>
      </c>
      <c r="H134" s="23" t="s">
        <v>53</v>
      </c>
      <c r="I134" t="s">
        <v>4910</v>
      </c>
      <c r="J134" s="23" t="s">
        <v>22</v>
      </c>
      <c r="K134" s="22">
        <v>3</v>
      </c>
      <c r="L134" s="1">
        <v>41703</v>
      </c>
      <c r="M134" s="22">
        <f>Table12[[#This Row],[Ship Date]]-Table12[[#This Row],[Order Date]]</f>
        <v>4</v>
      </c>
      <c r="N134" s="23" t="s">
        <v>45</v>
      </c>
      <c r="O134" s="23" t="s">
        <v>23</v>
      </c>
      <c r="P134" s="23" t="s">
        <v>94</v>
      </c>
      <c r="Q134" s="23" t="s">
        <v>95</v>
      </c>
      <c r="R134" s="23" t="s">
        <v>3679</v>
      </c>
      <c r="S134" s="33">
        <v>0.2</v>
      </c>
      <c r="T134" s="13">
        <v>129.55199999999999</v>
      </c>
      <c r="U134" s="13">
        <v>-22.671600000000002</v>
      </c>
      <c r="V134" s="55">
        <f>IFERROR(Table12[[#This Row],[Profit]]/Table12[[#This Row],[Sales]],0)</f>
        <v>-0.17500000000000002</v>
      </c>
    </row>
    <row r="135" spans="1:22" x14ac:dyDescent="0.2">
      <c r="A135">
        <v>134</v>
      </c>
      <c r="B135" t="s">
        <v>9166</v>
      </c>
      <c r="C135" s="1">
        <v>41699</v>
      </c>
      <c r="D135" s="22">
        <f>MONTH(Table12[[#This Row],[Order Date]])</f>
        <v>3</v>
      </c>
      <c r="E135" t="s">
        <v>4611</v>
      </c>
      <c r="F135" t="s">
        <v>4612</v>
      </c>
      <c r="G135" s="23" t="s">
        <v>41</v>
      </c>
      <c r="H135" s="23" t="s">
        <v>53</v>
      </c>
      <c r="I135" t="s">
        <v>4088</v>
      </c>
      <c r="J135" s="23" t="s">
        <v>22</v>
      </c>
      <c r="K135" s="22">
        <v>3</v>
      </c>
      <c r="L135" s="1">
        <v>41705</v>
      </c>
      <c r="M135" s="22">
        <f>Table12[[#This Row],[Ship Date]]-Table12[[#This Row],[Order Date]]</f>
        <v>6</v>
      </c>
      <c r="N135" s="23" t="s">
        <v>45</v>
      </c>
      <c r="O135" s="23" t="s">
        <v>23</v>
      </c>
      <c r="P135" s="23" t="s">
        <v>94</v>
      </c>
      <c r="Q135" s="23" t="s">
        <v>95</v>
      </c>
      <c r="R135" s="23" t="s">
        <v>165</v>
      </c>
      <c r="S135" s="33">
        <v>0.2</v>
      </c>
      <c r="T135" s="13">
        <v>137.352</v>
      </c>
      <c r="U135" s="13">
        <v>8.5845000000000002</v>
      </c>
      <c r="V135" s="55">
        <f>IFERROR(Table12[[#This Row],[Profit]]/Table12[[#This Row],[Sales]],0)</f>
        <v>6.25E-2</v>
      </c>
    </row>
    <row r="136" spans="1:22" x14ac:dyDescent="0.2">
      <c r="A136">
        <v>135</v>
      </c>
      <c r="B136" t="s">
        <v>9166</v>
      </c>
      <c r="C136" s="1">
        <v>41699</v>
      </c>
      <c r="D136" s="22">
        <f>MONTH(Table12[[#This Row],[Order Date]])</f>
        <v>3</v>
      </c>
      <c r="E136" t="s">
        <v>4681</v>
      </c>
      <c r="F136" t="s">
        <v>4682</v>
      </c>
      <c r="G136" s="23" t="s">
        <v>28</v>
      </c>
      <c r="H136" s="23" t="s">
        <v>50</v>
      </c>
      <c r="I136" t="s">
        <v>4088</v>
      </c>
      <c r="J136" s="23" t="s">
        <v>22</v>
      </c>
      <c r="K136" s="22">
        <v>3</v>
      </c>
      <c r="L136" s="1">
        <v>41705</v>
      </c>
      <c r="M136" s="22">
        <f>Table12[[#This Row],[Ship Date]]-Table12[[#This Row],[Order Date]]</f>
        <v>6</v>
      </c>
      <c r="N136" s="23" t="s">
        <v>45</v>
      </c>
      <c r="O136" s="23" t="s">
        <v>23</v>
      </c>
      <c r="P136" s="23" t="s">
        <v>94</v>
      </c>
      <c r="Q136" s="23" t="s">
        <v>95</v>
      </c>
      <c r="R136" s="23" t="s">
        <v>165</v>
      </c>
      <c r="S136" s="33">
        <v>0.3</v>
      </c>
      <c r="T136" s="13">
        <v>376.50900000000001</v>
      </c>
      <c r="U136" s="13">
        <v>-43.029600000000002</v>
      </c>
      <c r="V136" s="55">
        <f>IFERROR(Table12[[#This Row],[Profit]]/Table12[[#This Row],[Sales]],0)</f>
        <v>-0.11428571428571428</v>
      </c>
    </row>
    <row r="137" spans="1:22" x14ac:dyDescent="0.2">
      <c r="A137">
        <v>136</v>
      </c>
      <c r="B137" t="s">
        <v>7885</v>
      </c>
      <c r="C137" s="1">
        <v>41700</v>
      </c>
      <c r="D137" s="22">
        <f>MONTH(Table12[[#This Row],[Order Date]])</f>
        <v>3</v>
      </c>
      <c r="E137" t="s">
        <v>590</v>
      </c>
      <c r="F137" t="s">
        <v>591</v>
      </c>
      <c r="G137" s="23" t="s">
        <v>41</v>
      </c>
      <c r="H137" s="23" t="s">
        <v>155</v>
      </c>
      <c r="I137" t="s">
        <v>4736</v>
      </c>
      <c r="J137" s="23" t="s">
        <v>92</v>
      </c>
      <c r="K137" s="22">
        <v>2</v>
      </c>
      <c r="L137" s="1">
        <v>41706</v>
      </c>
      <c r="M137" s="22">
        <f>Table12[[#This Row],[Ship Date]]-Table12[[#This Row],[Order Date]]</f>
        <v>6</v>
      </c>
      <c r="N137" s="23" t="s">
        <v>45</v>
      </c>
      <c r="O137" s="23" t="s">
        <v>23</v>
      </c>
      <c r="P137" s="23" t="s">
        <v>238</v>
      </c>
      <c r="Q137" s="23" t="s">
        <v>133</v>
      </c>
      <c r="R137" s="23" t="s">
        <v>237</v>
      </c>
      <c r="S137" s="33">
        <v>0</v>
      </c>
      <c r="T137" s="13">
        <v>11.36</v>
      </c>
      <c r="U137" s="13">
        <v>5.3391999999999999</v>
      </c>
      <c r="V137" s="55">
        <f>IFERROR(Table12[[#This Row],[Profit]]/Table12[[#This Row],[Sales]],0)</f>
        <v>0.47000000000000003</v>
      </c>
    </row>
    <row r="138" spans="1:22" x14ac:dyDescent="0.2">
      <c r="A138">
        <v>137</v>
      </c>
      <c r="B138" t="s">
        <v>7885</v>
      </c>
      <c r="C138" s="1">
        <v>41700</v>
      </c>
      <c r="D138" s="22">
        <f>MONTH(Table12[[#This Row],[Order Date]])</f>
        <v>3</v>
      </c>
      <c r="E138" t="s">
        <v>253</v>
      </c>
      <c r="F138" t="s">
        <v>254</v>
      </c>
      <c r="G138" s="23" t="s">
        <v>41</v>
      </c>
      <c r="H138" s="23" t="s">
        <v>82</v>
      </c>
      <c r="I138" t="s">
        <v>4736</v>
      </c>
      <c r="J138" s="23" t="s">
        <v>92</v>
      </c>
      <c r="K138" s="22">
        <v>5</v>
      </c>
      <c r="L138" s="1">
        <v>41706</v>
      </c>
      <c r="M138" s="22">
        <f>Table12[[#This Row],[Ship Date]]-Table12[[#This Row],[Order Date]]</f>
        <v>6</v>
      </c>
      <c r="N138" s="23" t="s">
        <v>45</v>
      </c>
      <c r="O138" s="23" t="s">
        <v>23</v>
      </c>
      <c r="P138" s="23" t="s">
        <v>238</v>
      </c>
      <c r="Q138" s="23" t="s">
        <v>133</v>
      </c>
      <c r="R138" s="23" t="s">
        <v>237</v>
      </c>
      <c r="S138" s="33">
        <v>0</v>
      </c>
      <c r="T138" s="13">
        <v>36.4</v>
      </c>
      <c r="U138" s="13">
        <v>17.472000000000001</v>
      </c>
      <c r="V138" s="55">
        <f>IFERROR(Table12[[#This Row],[Profit]]/Table12[[#This Row],[Sales]],0)</f>
        <v>0.48000000000000004</v>
      </c>
    </row>
    <row r="139" spans="1:22" x14ac:dyDescent="0.2">
      <c r="A139">
        <v>138</v>
      </c>
      <c r="B139" t="s">
        <v>10122</v>
      </c>
      <c r="C139" s="1">
        <v>41700</v>
      </c>
      <c r="D139" s="22">
        <f>MONTH(Table12[[#This Row],[Order Date]])</f>
        <v>3</v>
      </c>
      <c r="E139" t="s">
        <v>5433</v>
      </c>
      <c r="F139" t="s">
        <v>5434</v>
      </c>
      <c r="G139" s="23" t="s">
        <v>41</v>
      </c>
      <c r="H139" s="23" t="s">
        <v>82</v>
      </c>
      <c r="I139" t="s">
        <v>3462</v>
      </c>
      <c r="J139" s="23" t="s">
        <v>36</v>
      </c>
      <c r="K139" s="22">
        <v>1</v>
      </c>
      <c r="L139" s="1">
        <v>41704</v>
      </c>
      <c r="M139" s="22">
        <f>Table12[[#This Row],[Ship Date]]-Table12[[#This Row],[Order Date]]</f>
        <v>4</v>
      </c>
      <c r="N139" s="23" t="s">
        <v>45</v>
      </c>
      <c r="O139" s="23" t="s">
        <v>23</v>
      </c>
      <c r="P139" s="23" t="s">
        <v>132</v>
      </c>
      <c r="Q139" s="23" t="s">
        <v>133</v>
      </c>
      <c r="R139" s="23" t="s">
        <v>131</v>
      </c>
      <c r="S139" s="33">
        <v>0.2</v>
      </c>
      <c r="T139" s="13">
        <v>3.4239999999999999</v>
      </c>
      <c r="U139" s="13">
        <v>1.07</v>
      </c>
      <c r="V139" s="55">
        <f>IFERROR(Table12[[#This Row],[Profit]]/Table12[[#This Row],[Sales]],0)</f>
        <v>0.3125</v>
      </c>
    </row>
    <row r="140" spans="1:22" x14ac:dyDescent="0.2">
      <c r="A140">
        <v>139</v>
      </c>
      <c r="B140" t="s">
        <v>10122</v>
      </c>
      <c r="C140" s="1">
        <v>41700</v>
      </c>
      <c r="D140" s="22">
        <f>MONTH(Table12[[#This Row],[Order Date]])</f>
        <v>3</v>
      </c>
      <c r="E140" t="s">
        <v>2491</v>
      </c>
      <c r="F140" t="s">
        <v>2492</v>
      </c>
      <c r="G140" s="23" t="s">
        <v>64</v>
      </c>
      <c r="H140" s="23" t="s">
        <v>144</v>
      </c>
      <c r="I140" t="s">
        <v>3462</v>
      </c>
      <c r="J140" s="23" t="s">
        <v>36</v>
      </c>
      <c r="K140" s="22">
        <v>3</v>
      </c>
      <c r="L140" s="1">
        <v>41704</v>
      </c>
      <c r="M140" s="22">
        <f>Table12[[#This Row],[Ship Date]]-Table12[[#This Row],[Order Date]]</f>
        <v>4</v>
      </c>
      <c r="N140" s="23" t="s">
        <v>45</v>
      </c>
      <c r="O140" s="23" t="s">
        <v>23</v>
      </c>
      <c r="P140" s="23" t="s">
        <v>132</v>
      </c>
      <c r="Q140" s="23" t="s">
        <v>133</v>
      </c>
      <c r="R140" s="23" t="s">
        <v>131</v>
      </c>
      <c r="S140" s="33">
        <v>0.2</v>
      </c>
      <c r="T140" s="13">
        <v>151.19999999999999</v>
      </c>
      <c r="U140" s="13">
        <v>32.130000000000003</v>
      </c>
      <c r="V140" s="55">
        <f>IFERROR(Table12[[#This Row],[Profit]]/Table12[[#This Row],[Sales]],0)</f>
        <v>0.21250000000000002</v>
      </c>
    </row>
    <row r="141" spans="1:22" x14ac:dyDescent="0.2">
      <c r="A141">
        <v>140</v>
      </c>
      <c r="B141" t="s">
        <v>1669</v>
      </c>
      <c r="C141" s="1">
        <v>41701</v>
      </c>
      <c r="D141" s="22">
        <f>MONTH(Table12[[#This Row],[Order Date]])</f>
        <v>3</v>
      </c>
      <c r="E141" t="s">
        <v>1671</v>
      </c>
      <c r="F141" t="s">
        <v>1672</v>
      </c>
      <c r="G141" s="23" t="s">
        <v>41</v>
      </c>
      <c r="H141" s="23" t="s">
        <v>61</v>
      </c>
      <c r="I141" t="s">
        <v>1670</v>
      </c>
      <c r="J141" s="23" t="s">
        <v>22</v>
      </c>
      <c r="K141" s="22">
        <v>4</v>
      </c>
      <c r="L141" s="1">
        <v>41705</v>
      </c>
      <c r="M141" s="22">
        <f>Table12[[#This Row],[Ship Date]]-Table12[[#This Row],[Order Date]]</f>
        <v>4</v>
      </c>
      <c r="N141" s="23" t="s">
        <v>20</v>
      </c>
      <c r="O141" s="23" t="s">
        <v>23</v>
      </c>
      <c r="P141" s="23" t="s">
        <v>80</v>
      </c>
      <c r="Q141" s="23" t="s">
        <v>26</v>
      </c>
      <c r="R141" s="23" t="s">
        <v>461</v>
      </c>
      <c r="S141" s="33">
        <v>0.2</v>
      </c>
      <c r="T141" s="13">
        <v>19.456</v>
      </c>
      <c r="U141" s="13">
        <v>3.4047999999999998</v>
      </c>
      <c r="V141" s="55">
        <f>IFERROR(Table12[[#This Row],[Profit]]/Table12[[#This Row],[Sales]],0)</f>
        <v>0.17499999999999999</v>
      </c>
    </row>
    <row r="142" spans="1:22" x14ac:dyDescent="0.2">
      <c r="A142">
        <v>141</v>
      </c>
      <c r="B142" t="s">
        <v>2945</v>
      </c>
      <c r="C142" s="1">
        <v>41701</v>
      </c>
      <c r="D142" s="22">
        <f>MONTH(Table12[[#This Row],[Order Date]])</f>
        <v>3</v>
      </c>
      <c r="E142" t="s">
        <v>2947</v>
      </c>
      <c r="F142" t="s">
        <v>2948</v>
      </c>
      <c r="G142" s="23" t="s">
        <v>64</v>
      </c>
      <c r="H142" s="23" t="s">
        <v>65</v>
      </c>
      <c r="I142" t="s">
        <v>2946</v>
      </c>
      <c r="J142" s="23" t="s">
        <v>92</v>
      </c>
      <c r="K142" s="22">
        <v>1</v>
      </c>
      <c r="L142" s="1">
        <v>41706</v>
      </c>
      <c r="M142" s="22">
        <f>Table12[[#This Row],[Ship Date]]-Table12[[#This Row],[Order Date]]</f>
        <v>5</v>
      </c>
      <c r="N142" s="23" t="s">
        <v>45</v>
      </c>
      <c r="O142" s="23" t="s">
        <v>23</v>
      </c>
      <c r="P142" s="23" t="s">
        <v>238</v>
      </c>
      <c r="Q142" s="23" t="s">
        <v>133</v>
      </c>
      <c r="R142" s="23" t="s">
        <v>237</v>
      </c>
      <c r="S142" s="33">
        <v>0</v>
      </c>
      <c r="T142" s="13">
        <v>9.99</v>
      </c>
      <c r="U142" s="13">
        <v>4.5953999999999997</v>
      </c>
      <c r="V142" s="55">
        <f>IFERROR(Table12[[#This Row],[Profit]]/Table12[[#This Row],[Sales]],0)</f>
        <v>0.45999999999999996</v>
      </c>
    </row>
    <row r="143" spans="1:22" x14ac:dyDescent="0.2">
      <c r="A143">
        <v>142</v>
      </c>
      <c r="B143" t="s">
        <v>2945</v>
      </c>
      <c r="C143" s="1">
        <v>41701</v>
      </c>
      <c r="D143" s="22">
        <f>MONTH(Table12[[#This Row],[Order Date]])</f>
        <v>3</v>
      </c>
      <c r="E143" t="s">
        <v>961</v>
      </c>
      <c r="F143" t="s">
        <v>962</v>
      </c>
      <c r="G143" s="23" t="s">
        <v>41</v>
      </c>
      <c r="H143" s="23" t="s">
        <v>68</v>
      </c>
      <c r="I143" t="s">
        <v>2946</v>
      </c>
      <c r="J143" s="23" t="s">
        <v>92</v>
      </c>
      <c r="K143" s="22">
        <v>3</v>
      </c>
      <c r="L143" s="1">
        <v>41706</v>
      </c>
      <c r="M143" s="22">
        <f>Table12[[#This Row],[Ship Date]]-Table12[[#This Row],[Order Date]]</f>
        <v>5</v>
      </c>
      <c r="N143" s="23" t="s">
        <v>45</v>
      </c>
      <c r="O143" s="23" t="s">
        <v>23</v>
      </c>
      <c r="P143" s="23" t="s">
        <v>238</v>
      </c>
      <c r="Q143" s="23" t="s">
        <v>133</v>
      </c>
      <c r="R143" s="23" t="s">
        <v>237</v>
      </c>
      <c r="S143" s="33">
        <v>0.2</v>
      </c>
      <c r="T143" s="13">
        <v>125.76</v>
      </c>
      <c r="U143" s="13">
        <v>40.872</v>
      </c>
      <c r="V143" s="55">
        <f>IFERROR(Table12[[#This Row],[Profit]]/Table12[[#This Row],[Sales]],0)</f>
        <v>0.32500000000000001</v>
      </c>
    </row>
    <row r="144" spans="1:22" x14ac:dyDescent="0.2">
      <c r="A144">
        <v>143</v>
      </c>
      <c r="B144" t="s">
        <v>2945</v>
      </c>
      <c r="C144" s="1">
        <v>41701</v>
      </c>
      <c r="D144" s="22">
        <f>MONTH(Table12[[#This Row],[Order Date]])</f>
        <v>3</v>
      </c>
      <c r="E144" t="s">
        <v>2949</v>
      </c>
      <c r="F144" t="s">
        <v>2950</v>
      </c>
      <c r="G144" s="23" t="s">
        <v>41</v>
      </c>
      <c r="H144" s="23" t="s">
        <v>68</v>
      </c>
      <c r="I144" t="s">
        <v>2946</v>
      </c>
      <c r="J144" s="23" t="s">
        <v>92</v>
      </c>
      <c r="K144" s="22">
        <v>5</v>
      </c>
      <c r="L144" s="1">
        <v>41706</v>
      </c>
      <c r="M144" s="22">
        <f>Table12[[#This Row],[Ship Date]]-Table12[[#This Row],[Order Date]]</f>
        <v>5</v>
      </c>
      <c r="N144" s="23" t="s">
        <v>45</v>
      </c>
      <c r="O144" s="23" t="s">
        <v>23</v>
      </c>
      <c r="P144" s="23" t="s">
        <v>238</v>
      </c>
      <c r="Q144" s="23" t="s">
        <v>133</v>
      </c>
      <c r="R144" s="23" t="s">
        <v>237</v>
      </c>
      <c r="S144" s="33">
        <v>0.2</v>
      </c>
      <c r="T144" s="13">
        <v>25.32</v>
      </c>
      <c r="U144" s="13">
        <v>9.1784999999999997</v>
      </c>
      <c r="V144" s="55">
        <f>IFERROR(Table12[[#This Row],[Profit]]/Table12[[#This Row],[Sales]],0)</f>
        <v>0.36249999999999999</v>
      </c>
    </row>
    <row r="145" spans="1:22" x14ac:dyDescent="0.2">
      <c r="A145">
        <v>144</v>
      </c>
      <c r="B145" t="s">
        <v>8594</v>
      </c>
      <c r="C145" s="1">
        <v>41701</v>
      </c>
      <c r="D145" s="22">
        <f>MONTH(Table12[[#This Row],[Order Date]])</f>
        <v>3</v>
      </c>
      <c r="E145" t="s">
        <v>7371</v>
      </c>
      <c r="F145" t="s">
        <v>7372</v>
      </c>
      <c r="G145" s="23" t="s">
        <v>41</v>
      </c>
      <c r="H145" s="23" t="s">
        <v>42</v>
      </c>
      <c r="I145" t="s">
        <v>2400</v>
      </c>
      <c r="J145" s="23" t="s">
        <v>36</v>
      </c>
      <c r="K145" s="22">
        <v>3</v>
      </c>
      <c r="L145" s="1">
        <v>41706</v>
      </c>
      <c r="M145" s="22">
        <f>Table12[[#This Row],[Ship Date]]-Table12[[#This Row],[Order Date]]</f>
        <v>5</v>
      </c>
      <c r="N145" s="23" t="s">
        <v>45</v>
      </c>
      <c r="O145" s="23" t="s">
        <v>23</v>
      </c>
      <c r="P145" s="23" t="s">
        <v>441</v>
      </c>
      <c r="Q145" s="23" t="s">
        <v>133</v>
      </c>
      <c r="R145" s="23" t="s">
        <v>440</v>
      </c>
      <c r="S145" s="33">
        <v>0.2</v>
      </c>
      <c r="T145" s="13">
        <v>15.12</v>
      </c>
      <c r="U145" s="13">
        <v>4.9139999999999997</v>
      </c>
      <c r="V145" s="55">
        <f>IFERROR(Table12[[#This Row],[Profit]]/Table12[[#This Row],[Sales]],0)</f>
        <v>0.32500000000000001</v>
      </c>
    </row>
    <row r="146" spans="1:22" x14ac:dyDescent="0.2">
      <c r="A146">
        <v>145</v>
      </c>
      <c r="B146" t="s">
        <v>8594</v>
      </c>
      <c r="C146" s="1">
        <v>41701</v>
      </c>
      <c r="D146" s="22">
        <f>MONTH(Table12[[#This Row],[Order Date]])</f>
        <v>3</v>
      </c>
      <c r="E146" t="s">
        <v>1276</v>
      </c>
      <c r="F146" t="s">
        <v>1277</v>
      </c>
      <c r="G146" s="23" t="s">
        <v>28</v>
      </c>
      <c r="H146" s="23" t="s">
        <v>29</v>
      </c>
      <c r="I146" t="s">
        <v>2400</v>
      </c>
      <c r="J146" s="23" t="s">
        <v>36</v>
      </c>
      <c r="K146" s="22">
        <v>5</v>
      </c>
      <c r="L146" s="1">
        <v>41706</v>
      </c>
      <c r="M146" s="22">
        <f>Table12[[#This Row],[Ship Date]]-Table12[[#This Row],[Order Date]]</f>
        <v>5</v>
      </c>
      <c r="N146" s="23" t="s">
        <v>45</v>
      </c>
      <c r="O146" s="23" t="s">
        <v>23</v>
      </c>
      <c r="P146" s="23" t="s">
        <v>441</v>
      </c>
      <c r="Q146" s="23" t="s">
        <v>133</v>
      </c>
      <c r="R146" s="23" t="s">
        <v>440</v>
      </c>
      <c r="S146" s="33">
        <v>0.5</v>
      </c>
      <c r="T146" s="13">
        <v>302.45</v>
      </c>
      <c r="U146" s="13">
        <v>-199.61699999999999</v>
      </c>
      <c r="V146" s="55">
        <f>IFERROR(Table12[[#This Row],[Profit]]/Table12[[#This Row],[Sales]],0)</f>
        <v>-0.66</v>
      </c>
    </row>
    <row r="147" spans="1:22" x14ac:dyDescent="0.2">
      <c r="A147">
        <v>146</v>
      </c>
      <c r="B147" t="s">
        <v>8594</v>
      </c>
      <c r="C147" s="1">
        <v>41701</v>
      </c>
      <c r="D147" s="22">
        <f>MONTH(Table12[[#This Row],[Order Date]])</f>
        <v>3</v>
      </c>
      <c r="E147" t="s">
        <v>2404</v>
      </c>
      <c r="F147" t="s">
        <v>2405</v>
      </c>
      <c r="G147" s="23" t="s">
        <v>41</v>
      </c>
      <c r="H147" s="23" t="s">
        <v>53</v>
      </c>
      <c r="I147" t="s">
        <v>2400</v>
      </c>
      <c r="J147" s="23" t="s">
        <v>36</v>
      </c>
      <c r="K147" s="22">
        <v>8</v>
      </c>
      <c r="L147" s="1">
        <v>41706</v>
      </c>
      <c r="M147" s="22">
        <f>Table12[[#This Row],[Ship Date]]-Table12[[#This Row],[Order Date]]</f>
        <v>5</v>
      </c>
      <c r="N147" s="23" t="s">
        <v>45</v>
      </c>
      <c r="O147" s="23" t="s">
        <v>23</v>
      </c>
      <c r="P147" s="23" t="s">
        <v>441</v>
      </c>
      <c r="Q147" s="23" t="s">
        <v>133</v>
      </c>
      <c r="R147" s="23" t="s">
        <v>440</v>
      </c>
      <c r="S147" s="33">
        <v>0.2</v>
      </c>
      <c r="T147" s="13">
        <v>44.671999999999997</v>
      </c>
      <c r="U147" s="13">
        <v>-10.0512</v>
      </c>
      <c r="V147" s="55">
        <f>IFERROR(Table12[[#This Row],[Profit]]/Table12[[#This Row],[Sales]],0)</f>
        <v>-0.22500000000000001</v>
      </c>
    </row>
    <row r="148" spans="1:22" x14ac:dyDescent="0.2">
      <c r="A148">
        <v>147</v>
      </c>
      <c r="B148" t="s">
        <v>8657</v>
      </c>
      <c r="C148" s="1">
        <v>41701</v>
      </c>
      <c r="D148" s="22">
        <f>MONTH(Table12[[#This Row],[Order Date]])</f>
        <v>3</v>
      </c>
      <c r="E148" t="s">
        <v>4317</v>
      </c>
      <c r="F148" t="s">
        <v>4318</v>
      </c>
      <c r="G148" s="23" t="s">
        <v>41</v>
      </c>
      <c r="H148" s="23" t="s">
        <v>71</v>
      </c>
      <c r="I148" t="s">
        <v>5991</v>
      </c>
      <c r="J148" s="23" t="s">
        <v>22</v>
      </c>
      <c r="K148" s="22">
        <v>3</v>
      </c>
      <c r="L148" s="1">
        <v>41705</v>
      </c>
      <c r="M148" s="22">
        <f>Table12[[#This Row],[Ship Date]]-Table12[[#This Row],[Order Date]]</f>
        <v>4</v>
      </c>
      <c r="N148" s="23" t="s">
        <v>45</v>
      </c>
      <c r="O148" s="23" t="s">
        <v>23</v>
      </c>
      <c r="P148" s="23" t="s">
        <v>94</v>
      </c>
      <c r="Q148" s="23" t="s">
        <v>95</v>
      </c>
      <c r="R148" s="23" t="s">
        <v>165</v>
      </c>
      <c r="S148" s="33">
        <v>0.8</v>
      </c>
      <c r="T148" s="13">
        <v>176.77199999999999</v>
      </c>
      <c r="U148" s="13">
        <v>-459.60719999999998</v>
      </c>
      <c r="V148" s="55">
        <f>IFERROR(Table12[[#This Row],[Profit]]/Table12[[#This Row],[Sales]],0)</f>
        <v>-2.6</v>
      </c>
    </row>
    <row r="149" spans="1:22" x14ac:dyDescent="0.2">
      <c r="A149">
        <v>148</v>
      </c>
      <c r="B149" t="s">
        <v>9414</v>
      </c>
      <c r="C149" s="1">
        <v>41701</v>
      </c>
      <c r="D149" s="22">
        <f>MONTH(Table12[[#This Row],[Order Date]])</f>
        <v>3</v>
      </c>
      <c r="E149" t="s">
        <v>3356</v>
      </c>
      <c r="F149" t="s">
        <v>3357</v>
      </c>
      <c r="G149" s="23" t="s">
        <v>28</v>
      </c>
      <c r="H149" s="23" t="s">
        <v>50</v>
      </c>
      <c r="I149" t="s">
        <v>3074</v>
      </c>
      <c r="J149" s="23" t="s">
        <v>22</v>
      </c>
      <c r="K149" s="22">
        <v>3</v>
      </c>
      <c r="L149" s="1">
        <v>41705</v>
      </c>
      <c r="M149" s="22">
        <f>Table12[[#This Row],[Ship Date]]-Table12[[#This Row],[Order Date]]</f>
        <v>4</v>
      </c>
      <c r="N149" s="23" t="s">
        <v>45</v>
      </c>
      <c r="O149" s="23" t="s">
        <v>23</v>
      </c>
      <c r="P149" s="23" t="s">
        <v>38</v>
      </c>
      <c r="Q149" s="23" t="s">
        <v>39</v>
      </c>
      <c r="R149" s="23" t="s">
        <v>836</v>
      </c>
      <c r="S149" s="33">
        <v>0.2</v>
      </c>
      <c r="T149" s="13">
        <v>626.35199999999998</v>
      </c>
      <c r="U149" s="13">
        <v>-23.488199999999999</v>
      </c>
      <c r="V149" s="55">
        <f>IFERROR(Table12[[#This Row],[Profit]]/Table12[[#This Row],[Sales]],0)</f>
        <v>-3.7499999999999999E-2</v>
      </c>
    </row>
    <row r="150" spans="1:22" x14ac:dyDescent="0.2">
      <c r="A150">
        <v>149</v>
      </c>
      <c r="B150" t="s">
        <v>3657</v>
      </c>
      <c r="C150" s="1">
        <v>41702</v>
      </c>
      <c r="D150" s="22">
        <f>MONTH(Table12[[#This Row],[Order Date]])</f>
        <v>3</v>
      </c>
      <c r="E150" t="s">
        <v>3658</v>
      </c>
      <c r="F150" t="s">
        <v>3659</v>
      </c>
      <c r="G150" s="23" t="s">
        <v>41</v>
      </c>
      <c r="H150" s="23" t="s">
        <v>53</v>
      </c>
      <c r="I150" t="s">
        <v>431</v>
      </c>
      <c r="J150" s="23" t="s">
        <v>22</v>
      </c>
      <c r="K150" s="22">
        <v>5</v>
      </c>
      <c r="L150" s="1">
        <v>41702</v>
      </c>
      <c r="M150" s="22">
        <f>Table12[[#This Row],[Ship Date]]-Table12[[#This Row],[Order Date]]</f>
        <v>0</v>
      </c>
      <c r="N150" s="23" t="s">
        <v>1141</v>
      </c>
      <c r="O150" s="23" t="s">
        <v>23</v>
      </c>
      <c r="P150" s="23" t="s">
        <v>342</v>
      </c>
      <c r="Q150" s="23" t="s">
        <v>26</v>
      </c>
      <c r="R150" s="23" t="s">
        <v>341</v>
      </c>
      <c r="S150" s="33">
        <v>0</v>
      </c>
      <c r="T150" s="13">
        <v>354.9</v>
      </c>
      <c r="U150" s="13">
        <v>17.745000000000001</v>
      </c>
      <c r="V150" s="55">
        <f>IFERROR(Table12[[#This Row],[Profit]]/Table12[[#This Row],[Sales]],0)</f>
        <v>0.05</v>
      </c>
    </row>
    <row r="151" spans="1:22" x14ac:dyDescent="0.2">
      <c r="A151">
        <v>150</v>
      </c>
      <c r="B151" t="s">
        <v>6748</v>
      </c>
      <c r="C151" s="1">
        <v>41702</v>
      </c>
      <c r="D151" s="22">
        <f>MONTH(Table12[[#This Row],[Order Date]])</f>
        <v>3</v>
      </c>
      <c r="E151" t="s">
        <v>1102</v>
      </c>
      <c r="F151" t="s">
        <v>1103</v>
      </c>
      <c r="G151" s="23" t="s">
        <v>41</v>
      </c>
      <c r="H151" s="23" t="s">
        <v>61</v>
      </c>
      <c r="I151" t="s">
        <v>1402</v>
      </c>
      <c r="J151" s="23" t="s">
        <v>22</v>
      </c>
      <c r="K151" s="22">
        <v>3</v>
      </c>
      <c r="L151" s="1">
        <v>41707</v>
      </c>
      <c r="M151" s="22">
        <f>Table12[[#This Row],[Ship Date]]-Table12[[#This Row],[Order Date]]</f>
        <v>5</v>
      </c>
      <c r="N151" s="23" t="s">
        <v>45</v>
      </c>
      <c r="O151" s="23" t="s">
        <v>23</v>
      </c>
      <c r="P151" s="23" t="s">
        <v>48</v>
      </c>
      <c r="Q151" s="23" t="s">
        <v>26</v>
      </c>
      <c r="R151" s="23" t="s">
        <v>6749</v>
      </c>
      <c r="S151" s="33">
        <v>0.2</v>
      </c>
      <c r="T151" s="13">
        <v>15.552</v>
      </c>
      <c r="U151" s="13">
        <v>2.3328000000000002</v>
      </c>
      <c r="V151" s="55">
        <f>IFERROR(Table12[[#This Row],[Profit]]/Table12[[#This Row],[Sales]],0)</f>
        <v>0.15000000000000002</v>
      </c>
    </row>
    <row r="152" spans="1:22" x14ac:dyDescent="0.2">
      <c r="A152">
        <v>151</v>
      </c>
      <c r="B152" t="s">
        <v>9288</v>
      </c>
      <c r="C152" s="1">
        <v>41703</v>
      </c>
      <c r="D152" s="22">
        <f>MONTH(Table12[[#This Row],[Order Date]])</f>
        <v>3</v>
      </c>
      <c r="E152" t="s">
        <v>1381</v>
      </c>
      <c r="F152" t="s">
        <v>1382</v>
      </c>
      <c r="G152" s="23" t="s">
        <v>41</v>
      </c>
      <c r="H152" s="23" t="s">
        <v>61</v>
      </c>
      <c r="I152" t="s">
        <v>3640</v>
      </c>
      <c r="J152" s="23" t="s">
        <v>22</v>
      </c>
      <c r="K152" s="22">
        <v>3</v>
      </c>
      <c r="L152" s="1">
        <v>41706</v>
      </c>
      <c r="M152" s="22">
        <f>Table12[[#This Row],[Ship Date]]-Table12[[#This Row],[Order Date]]</f>
        <v>3</v>
      </c>
      <c r="N152" s="23" t="s">
        <v>20</v>
      </c>
      <c r="O152" s="23" t="s">
        <v>23</v>
      </c>
      <c r="P152" s="23" t="s">
        <v>238</v>
      </c>
      <c r="Q152" s="23" t="s">
        <v>133</v>
      </c>
      <c r="R152" s="23" t="s">
        <v>2806</v>
      </c>
      <c r="S152" s="33">
        <v>0</v>
      </c>
      <c r="T152" s="13">
        <v>59.52</v>
      </c>
      <c r="U152" s="13">
        <v>15.475199999999999</v>
      </c>
      <c r="V152" s="55">
        <f>IFERROR(Table12[[#This Row],[Profit]]/Table12[[#This Row],[Sales]],0)</f>
        <v>0.25999999999999995</v>
      </c>
    </row>
    <row r="153" spans="1:22" x14ac:dyDescent="0.2">
      <c r="A153">
        <v>152</v>
      </c>
      <c r="B153" t="s">
        <v>9288</v>
      </c>
      <c r="C153" s="1">
        <v>41703</v>
      </c>
      <c r="D153" s="22">
        <f>MONTH(Table12[[#This Row],[Order Date]])</f>
        <v>3</v>
      </c>
      <c r="E153" t="s">
        <v>948</v>
      </c>
      <c r="F153" t="s">
        <v>949</v>
      </c>
      <c r="G153" s="23" t="s">
        <v>64</v>
      </c>
      <c r="H153" s="23" t="s">
        <v>144</v>
      </c>
      <c r="I153" t="s">
        <v>3640</v>
      </c>
      <c r="J153" s="23" t="s">
        <v>22</v>
      </c>
      <c r="K153" s="22">
        <v>3</v>
      </c>
      <c r="L153" s="1">
        <v>41706</v>
      </c>
      <c r="M153" s="22">
        <f>Table12[[#This Row],[Ship Date]]-Table12[[#This Row],[Order Date]]</f>
        <v>3</v>
      </c>
      <c r="N153" s="23" t="s">
        <v>20</v>
      </c>
      <c r="O153" s="23" t="s">
        <v>23</v>
      </c>
      <c r="P153" s="23" t="s">
        <v>238</v>
      </c>
      <c r="Q153" s="23" t="s">
        <v>133</v>
      </c>
      <c r="R153" s="23" t="s">
        <v>2806</v>
      </c>
      <c r="S153" s="33">
        <v>0</v>
      </c>
      <c r="T153" s="13">
        <v>479.97</v>
      </c>
      <c r="U153" s="13">
        <v>177.5889</v>
      </c>
      <c r="V153" s="55">
        <f>IFERROR(Table12[[#This Row],[Profit]]/Table12[[#This Row],[Sales]],0)</f>
        <v>0.37</v>
      </c>
    </row>
    <row r="154" spans="1:22" x14ac:dyDescent="0.2">
      <c r="A154">
        <v>153</v>
      </c>
      <c r="B154" t="s">
        <v>9288</v>
      </c>
      <c r="C154" s="1">
        <v>41703</v>
      </c>
      <c r="D154" s="22">
        <f>MONTH(Table12[[#This Row],[Order Date]])</f>
        <v>3</v>
      </c>
      <c r="E154" t="s">
        <v>2266</v>
      </c>
      <c r="F154" t="s">
        <v>2267</v>
      </c>
      <c r="G154" s="23" t="s">
        <v>41</v>
      </c>
      <c r="H154" s="23" t="s">
        <v>513</v>
      </c>
      <c r="I154" t="s">
        <v>3640</v>
      </c>
      <c r="J154" s="23" t="s">
        <v>22</v>
      </c>
      <c r="K154" s="22">
        <v>2</v>
      </c>
      <c r="L154" s="1">
        <v>41706</v>
      </c>
      <c r="M154" s="22">
        <f>Table12[[#This Row],[Ship Date]]-Table12[[#This Row],[Order Date]]</f>
        <v>3</v>
      </c>
      <c r="N154" s="23" t="s">
        <v>20</v>
      </c>
      <c r="O154" s="23" t="s">
        <v>23</v>
      </c>
      <c r="P154" s="23" t="s">
        <v>238</v>
      </c>
      <c r="Q154" s="23" t="s">
        <v>133</v>
      </c>
      <c r="R154" s="23" t="s">
        <v>2806</v>
      </c>
      <c r="S154" s="33">
        <v>0</v>
      </c>
      <c r="T154" s="13">
        <v>18.62</v>
      </c>
      <c r="U154" s="13">
        <v>5.3997999999999999</v>
      </c>
      <c r="V154" s="55">
        <f>IFERROR(Table12[[#This Row],[Profit]]/Table12[[#This Row],[Sales]],0)</f>
        <v>0.28999999999999998</v>
      </c>
    </row>
    <row r="155" spans="1:22" x14ac:dyDescent="0.2">
      <c r="A155">
        <v>154</v>
      </c>
      <c r="B155" t="s">
        <v>9288</v>
      </c>
      <c r="C155" s="1">
        <v>41703</v>
      </c>
      <c r="D155" s="22">
        <f>MONTH(Table12[[#This Row],[Order Date]])</f>
        <v>3</v>
      </c>
      <c r="E155" t="s">
        <v>4876</v>
      </c>
      <c r="F155" t="s">
        <v>4877</v>
      </c>
      <c r="G155" s="23" t="s">
        <v>41</v>
      </c>
      <c r="H155" s="23" t="s">
        <v>68</v>
      </c>
      <c r="I155" t="s">
        <v>3640</v>
      </c>
      <c r="J155" s="23" t="s">
        <v>22</v>
      </c>
      <c r="K155" s="22">
        <v>6</v>
      </c>
      <c r="L155" s="1">
        <v>41706</v>
      </c>
      <c r="M155" s="22">
        <f>Table12[[#This Row],[Ship Date]]-Table12[[#This Row],[Order Date]]</f>
        <v>3</v>
      </c>
      <c r="N155" s="23" t="s">
        <v>20</v>
      </c>
      <c r="O155" s="23" t="s">
        <v>23</v>
      </c>
      <c r="P155" s="23" t="s">
        <v>238</v>
      </c>
      <c r="Q155" s="23" t="s">
        <v>133</v>
      </c>
      <c r="R155" s="23" t="s">
        <v>2806</v>
      </c>
      <c r="S155" s="33">
        <v>0.2</v>
      </c>
      <c r="T155" s="13">
        <v>49.631999999999998</v>
      </c>
      <c r="U155" s="13">
        <v>16.750800000000002</v>
      </c>
      <c r="V155" s="55">
        <f>IFERROR(Table12[[#This Row],[Profit]]/Table12[[#This Row],[Sales]],0)</f>
        <v>0.33750000000000002</v>
      </c>
    </row>
    <row r="156" spans="1:22" x14ac:dyDescent="0.2">
      <c r="A156">
        <v>155</v>
      </c>
      <c r="B156" t="s">
        <v>9288</v>
      </c>
      <c r="C156" s="1">
        <v>41703</v>
      </c>
      <c r="D156" s="22">
        <f>MONTH(Table12[[#This Row],[Order Date]])</f>
        <v>3</v>
      </c>
      <c r="E156" t="s">
        <v>4203</v>
      </c>
      <c r="F156" t="s">
        <v>4204</v>
      </c>
      <c r="G156" s="23" t="s">
        <v>41</v>
      </c>
      <c r="H156" s="23" t="s">
        <v>82</v>
      </c>
      <c r="I156" t="s">
        <v>3640</v>
      </c>
      <c r="J156" s="23" t="s">
        <v>22</v>
      </c>
      <c r="K156" s="22">
        <v>2</v>
      </c>
      <c r="L156" s="1">
        <v>41706</v>
      </c>
      <c r="M156" s="22">
        <f>Table12[[#This Row],[Ship Date]]-Table12[[#This Row],[Order Date]]</f>
        <v>3</v>
      </c>
      <c r="N156" s="23" t="s">
        <v>20</v>
      </c>
      <c r="O156" s="23" t="s">
        <v>23</v>
      </c>
      <c r="P156" s="23" t="s">
        <v>238</v>
      </c>
      <c r="Q156" s="23" t="s">
        <v>133</v>
      </c>
      <c r="R156" s="23" t="s">
        <v>2806</v>
      </c>
      <c r="S156" s="33">
        <v>0</v>
      </c>
      <c r="T156" s="13">
        <v>97.82</v>
      </c>
      <c r="U156" s="13">
        <v>45.9754</v>
      </c>
      <c r="V156" s="55">
        <f>IFERROR(Table12[[#This Row],[Profit]]/Table12[[#This Row],[Sales]],0)</f>
        <v>0.47000000000000003</v>
      </c>
    </row>
    <row r="157" spans="1:22" x14ac:dyDescent="0.2">
      <c r="A157">
        <v>156</v>
      </c>
      <c r="B157" t="s">
        <v>7148</v>
      </c>
      <c r="C157" s="1">
        <v>41705</v>
      </c>
      <c r="D157" s="22">
        <f>MONTH(Table12[[#This Row],[Order Date]])</f>
        <v>3</v>
      </c>
      <c r="E157" t="s">
        <v>786</v>
      </c>
      <c r="F157" t="s">
        <v>787</v>
      </c>
      <c r="G157" s="23" t="s">
        <v>28</v>
      </c>
      <c r="H157" s="23" t="s">
        <v>32</v>
      </c>
      <c r="I157" t="s">
        <v>7149</v>
      </c>
      <c r="J157" s="23" t="s">
        <v>22</v>
      </c>
      <c r="K157" s="22">
        <v>1</v>
      </c>
      <c r="L157" s="1">
        <v>41706</v>
      </c>
      <c r="M157" s="22">
        <f>Table12[[#This Row],[Ship Date]]-Table12[[#This Row],[Order Date]]</f>
        <v>1</v>
      </c>
      <c r="N157" s="23" t="s">
        <v>169</v>
      </c>
      <c r="O157" s="23" t="s">
        <v>23</v>
      </c>
      <c r="P157" s="23" t="s">
        <v>87</v>
      </c>
      <c r="Q157" s="23" t="s">
        <v>39</v>
      </c>
      <c r="R157" s="23" t="s">
        <v>86</v>
      </c>
      <c r="S157" s="33">
        <v>0.2</v>
      </c>
      <c r="T157" s="13">
        <v>48.712000000000003</v>
      </c>
      <c r="U157" s="13">
        <v>5.4801000000000002</v>
      </c>
      <c r="V157" s="55">
        <f>IFERROR(Table12[[#This Row],[Profit]]/Table12[[#This Row],[Sales]],0)</f>
        <v>0.1125</v>
      </c>
    </row>
    <row r="158" spans="1:22" x14ac:dyDescent="0.2">
      <c r="A158">
        <v>157</v>
      </c>
      <c r="B158" t="s">
        <v>7148</v>
      </c>
      <c r="C158" s="1">
        <v>41705</v>
      </c>
      <c r="D158" s="22">
        <f>MONTH(Table12[[#This Row],[Order Date]])</f>
        <v>3</v>
      </c>
      <c r="E158" t="s">
        <v>908</v>
      </c>
      <c r="F158" t="s">
        <v>909</v>
      </c>
      <c r="G158" s="23" t="s">
        <v>41</v>
      </c>
      <c r="H158" s="23" t="s">
        <v>61</v>
      </c>
      <c r="I158" t="s">
        <v>7149</v>
      </c>
      <c r="J158" s="23" t="s">
        <v>22</v>
      </c>
      <c r="K158" s="22">
        <v>3</v>
      </c>
      <c r="L158" s="1">
        <v>41706</v>
      </c>
      <c r="M158" s="22">
        <f>Table12[[#This Row],[Ship Date]]-Table12[[#This Row],[Order Date]]</f>
        <v>1</v>
      </c>
      <c r="N158" s="23" t="s">
        <v>169</v>
      </c>
      <c r="O158" s="23" t="s">
        <v>23</v>
      </c>
      <c r="P158" s="23" t="s">
        <v>87</v>
      </c>
      <c r="Q158" s="23" t="s">
        <v>39</v>
      </c>
      <c r="R158" s="23" t="s">
        <v>86</v>
      </c>
      <c r="S158" s="33">
        <v>0</v>
      </c>
      <c r="T158" s="13">
        <v>17.940000000000001</v>
      </c>
      <c r="U158" s="13">
        <v>4.6643999999999997</v>
      </c>
      <c r="V158" s="55">
        <f>IFERROR(Table12[[#This Row],[Profit]]/Table12[[#This Row],[Sales]],0)</f>
        <v>0.25999999999999995</v>
      </c>
    </row>
    <row r="159" spans="1:22" x14ac:dyDescent="0.2">
      <c r="A159">
        <v>158</v>
      </c>
      <c r="B159" t="s">
        <v>7148</v>
      </c>
      <c r="C159" s="1">
        <v>41705</v>
      </c>
      <c r="D159" s="22">
        <f>MONTH(Table12[[#This Row],[Order Date]])</f>
        <v>3</v>
      </c>
      <c r="E159" t="s">
        <v>2995</v>
      </c>
      <c r="F159" t="s">
        <v>2996</v>
      </c>
      <c r="G159" s="23" t="s">
        <v>41</v>
      </c>
      <c r="H159" s="23" t="s">
        <v>53</v>
      </c>
      <c r="I159" t="s">
        <v>7149</v>
      </c>
      <c r="J159" s="23" t="s">
        <v>22</v>
      </c>
      <c r="K159" s="22">
        <v>3</v>
      </c>
      <c r="L159" s="1">
        <v>41706</v>
      </c>
      <c r="M159" s="22">
        <f>Table12[[#This Row],[Ship Date]]-Table12[[#This Row],[Order Date]]</f>
        <v>1</v>
      </c>
      <c r="N159" s="23" t="s">
        <v>169</v>
      </c>
      <c r="O159" s="23" t="s">
        <v>23</v>
      </c>
      <c r="P159" s="23" t="s">
        <v>87</v>
      </c>
      <c r="Q159" s="23" t="s">
        <v>39</v>
      </c>
      <c r="R159" s="23" t="s">
        <v>86</v>
      </c>
      <c r="S159" s="33">
        <v>0</v>
      </c>
      <c r="T159" s="13">
        <v>242.94</v>
      </c>
      <c r="U159" s="13">
        <v>4.8587999999999996</v>
      </c>
      <c r="V159" s="55">
        <f>IFERROR(Table12[[#This Row],[Profit]]/Table12[[#This Row],[Sales]],0)</f>
        <v>1.9999999999999997E-2</v>
      </c>
    </row>
    <row r="160" spans="1:22" x14ac:dyDescent="0.2">
      <c r="A160">
        <v>159</v>
      </c>
      <c r="B160" t="s">
        <v>7342</v>
      </c>
      <c r="C160" s="1">
        <v>41705</v>
      </c>
      <c r="D160" s="22">
        <f>MONTH(Table12[[#This Row],[Order Date]])</f>
        <v>3</v>
      </c>
      <c r="E160" t="s">
        <v>3794</v>
      </c>
      <c r="F160" t="s">
        <v>3795</v>
      </c>
      <c r="G160" s="23" t="s">
        <v>41</v>
      </c>
      <c r="H160" s="23" t="s">
        <v>68</v>
      </c>
      <c r="I160" t="s">
        <v>3493</v>
      </c>
      <c r="J160" s="23" t="s">
        <v>92</v>
      </c>
      <c r="K160" s="22">
        <v>2</v>
      </c>
      <c r="L160" s="1">
        <v>41709</v>
      </c>
      <c r="M160" s="22">
        <f>Table12[[#This Row],[Ship Date]]-Table12[[#This Row],[Order Date]]</f>
        <v>4</v>
      </c>
      <c r="N160" s="23" t="s">
        <v>20</v>
      </c>
      <c r="O160" s="23" t="s">
        <v>23</v>
      </c>
      <c r="P160" s="23" t="s">
        <v>87</v>
      </c>
      <c r="Q160" s="23" t="s">
        <v>39</v>
      </c>
      <c r="R160" s="23" t="s">
        <v>1216</v>
      </c>
      <c r="S160" s="33">
        <v>0.2</v>
      </c>
      <c r="T160" s="13">
        <v>107.648</v>
      </c>
      <c r="U160" s="13">
        <v>33.64</v>
      </c>
      <c r="V160" s="55">
        <f>IFERROR(Table12[[#This Row],[Profit]]/Table12[[#This Row],[Sales]],0)</f>
        <v>0.3125</v>
      </c>
    </row>
    <row r="161" spans="1:22" x14ac:dyDescent="0.2">
      <c r="A161">
        <v>160</v>
      </c>
      <c r="B161" t="s">
        <v>9963</v>
      </c>
      <c r="C161" s="1">
        <v>41705</v>
      </c>
      <c r="D161" s="22">
        <f>MONTH(Table12[[#This Row],[Order Date]])</f>
        <v>3</v>
      </c>
      <c r="E161" t="s">
        <v>419</v>
      </c>
      <c r="F161" t="s">
        <v>420</v>
      </c>
      <c r="G161" s="23" t="s">
        <v>41</v>
      </c>
      <c r="H161" s="23" t="s">
        <v>61</v>
      </c>
      <c r="I161" t="s">
        <v>8751</v>
      </c>
      <c r="J161" s="23" t="s">
        <v>36</v>
      </c>
      <c r="K161" s="22">
        <v>5</v>
      </c>
      <c r="L161" s="1">
        <v>41710</v>
      </c>
      <c r="M161" s="22">
        <f>Table12[[#This Row],[Ship Date]]-Table12[[#This Row],[Order Date]]</f>
        <v>5</v>
      </c>
      <c r="N161" s="23" t="s">
        <v>45</v>
      </c>
      <c r="O161" s="23" t="s">
        <v>23</v>
      </c>
      <c r="P161" s="23" t="s">
        <v>87</v>
      </c>
      <c r="Q161" s="23" t="s">
        <v>39</v>
      </c>
      <c r="R161" s="23" t="s">
        <v>86</v>
      </c>
      <c r="S161" s="33">
        <v>0</v>
      </c>
      <c r="T161" s="13">
        <v>20.65</v>
      </c>
      <c r="U161" s="13">
        <v>9.4990000000000006</v>
      </c>
      <c r="V161" s="55">
        <f>IFERROR(Table12[[#This Row],[Profit]]/Table12[[#This Row],[Sales]],0)</f>
        <v>0.46000000000000008</v>
      </c>
    </row>
    <row r="162" spans="1:22" x14ac:dyDescent="0.2">
      <c r="A162">
        <v>161</v>
      </c>
      <c r="B162" t="s">
        <v>9963</v>
      </c>
      <c r="C162" s="1">
        <v>41705</v>
      </c>
      <c r="D162" s="22">
        <f>MONTH(Table12[[#This Row],[Order Date]])</f>
        <v>3</v>
      </c>
      <c r="E162" t="s">
        <v>1247</v>
      </c>
      <c r="F162" t="s">
        <v>1248</v>
      </c>
      <c r="G162" s="23" t="s">
        <v>41</v>
      </c>
      <c r="H162" s="23" t="s">
        <v>53</v>
      </c>
      <c r="I162" t="s">
        <v>8751</v>
      </c>
      <c r="J162" s="23" t="s">
        <v>36</v>
      </c>
      <c r="K162" s="22">
        <v>5</v>
      </c>
      <c r="L162" s="1">
        <v>41710</v>
      </c>
      <c r="M162" s="22">
        <f>Table12[[#This Row],[Ship Date]]-Table12[[#This Row],[Order Date]]</f>
        <v>5</v>
      </c>
      <c r="N162" s="23" t="s">
        <v>45</v>
      </c>
      <c r="O162" s="23" t="s">
        <v>23</v>
      </c>
      <c r="P162" s="23" t="s">
        <v>87</v>
      </c>
      <c r="Q162" s="23" t="s">
        <v>39</v>
      </c>
      <c r="R162" s="23" t="s">
        <v>86</v>
      </c>
      <c r="S162" s="33">
        <v>0</v>
      </c>
      <c r="T162" s="13">
        <v>204.9</v>
      </c>
      <c r="U162" s="13">
        <v>0</v>
      </c>
      <c r="V162" s="55">
        <f>IFERROR(Table12[[#This Row],[Profit]]/Table12[[#This Row],[Sales]],0)</f>
        <v>0</v>
      </c>
    </row>
    <row r="163" spans="1:22" x14ac:dyDescent="0.2">
      <c r="A163">
        <v>162</v>
      </c>
      <c r="B163" t="s">
        <v>9963</v>
      </c>
      <c r="C163" s="1">
        <v>41705</v>
      </c>
      <c r="D163" s="22">
        <f>MONTH(Table12[[#This Row],[Order Date]])</f>
        <v>3</v>
      </c>
      <c r="E163" t="s">
        <v>9765</v>
      </c>
      <c r="F163" t="s">
        <v>9766</v>
      </c>
      <c r="G163" s="23" t="s">
        <v>28</v>
      </c>
      <c r="H163" s="23" t="s">
        <v>32</v>
      </c>
      <c r="I163" t="s">
        <v>8751</v>
      </c>
      <c r="J163" s="23" t="s">
        <v>36</v>
      </c>
      <c r="K163" s="22">
        <v>6</v>
      </c>
      <c r="L163" s="1">
        <v>41710</v>
      </c>
      <c r="M163" s="22">
        <f>Table12[[#This Row],[Ship Date]]-Table12[[#This Row],[Order Date]]</f>
        <v>5</v>
      </c>
      <c r="N163" s="23" t="s">
        <v>45</v>
      </c>
      <c r="O163" s="23" t="s">
        <v>23</v>
      </c>
      <c r="P163" s="23" t="s">
        <v>87</v>
      </c>
      <c r="Q163" s="23" t="s">
        <v>39</v>
      </c>
      <c r="R163" s="23" t="s">
        <v>86</v>
      </c>
      <c r="S163" s="33">
        <v>0.2</v>
      </c>
      <c r="T163" s="13">
        <v>436.70400000000001</v>
      </c>
      <c r="U163" s="13">
        <v>21.8352</v>
      </c>
      <c r="V163" s="55">
        <f>IFERROR(Table12[[#This Row],[Profit]]/Table12[[#This Row],[Sales]],0)</f>
        <v>0.05</v>
      </c>
    </row>
    <row r="164" spans="1:22" x14ac:dyDescent="0.2">
      <c r="A164">
        <v>163</v>
      </c>
      <c r="B164" t="s">
        <v>9963</v>
      </c>
      <c r="C164" s="1">
        <v>41705</v>
      </c>
      <c r="D164" s="22">
        <f>MONTH(Table12[[#This Row],[Order Date]])</f>
        <v>3</v>
      </c>
      <c r="E164" t="s">
        <v>5673</v>
      </c>
      <c r="F164" t="s">
        <v>5674</v>
      </c>
      <c r="G164" s="23" t="s">
        <v>28</v>
      </c>
      <c r="H164" s="23" t="s">
        <v>32</v>
      </c>
      <c r="I164" t="s">
        <v>8751</v>
      </c>
      <c r="J164" s="23" t="s">
        <v>36</v>
      </c>
      <c r="K164" s="22">
        <v>2</v>
      </c>
      <c r="L164" s="1">
        <v>41710</v>
      </c>
      <c r="M164" s="22">
        <f>Table12[[#This Row],[Ship Date]]-Table12[[#This Row],[Order Date]]</f>
        <v>5</v>
      </c>
      <c r="N164" s="23" t="s">
        <v>45</v>
      </c>
      <c r="O164" s="23" t="s">
        <v>23</v>
      </c>
      <c r="P164" s="23" t="s">
        <v>87</v>
      </c>
      <c r="Q164" s="23" t="s">
        <v>39</v>
      </c>
      <c r="R164" s="23" t="s">
        <v>86</v>
      </c>
      <c r="S164" s="33">
        <v>0.2</v>
      </c>
      <c r="T164" s="13">
        <v>481.56799999999998</v>
      </c>
      <c r="U164" s="13">
        <v>54.176400000000001</v>
      </c>
      <c r="V164" s="55">
        <f>IFERROR(Table12[[#This Row],[Profit]]/Table12[[#This Row],[Sales]],0)</f>
        <v>0.1125</v>
      </c>
    </row>
    <row r="165" spans="1:22" x14ac:dyDescent="0.2">
      <c r="A165">
        <v>164</v>
      </c>
      <c r="B165" t="s">
        <v>2961</v>
      </c>
      <c r="C165" s="1">
        <v>41708</v>
      </c>
      <c r="D165" s="22">
        <f>MONTH(Table12[[#This Row],[Order Date]])</f>
        <v>3</v>
      </c>
      <c r="E165" t="s">
        <v>2963</v>
      </c>
      <c r="F165" t="s">
        <v>2964</v>
      </c>
      <c r="G165" s="23" t="s">
        <v>41</v>
      </c>
      <c r="H165" s="23" t="s">
        <v>82</v>
      </c>
      <c r="I165" t="s">
        <v>2548</v>
      </c>
      <c r="J165" s="23" t="s">
        <v>22</v>
      </c>
      <c r="K165" s="22">
        <v>2</v>
      </c>
      <c r="L165" s="1">
        <v>41712</v>
      </c>
      <c r="M165" s="22">
        <f>Table12[[#This Row],[Ship Date]]-Table12[[#This Row],[Order Date]]</f>
        <v>4</v>
      </c>
      <c r="N165" s="23" t="s">
        <v>45</v>
      </c>
      <c r="O165" s="23" t="s">
        <v>23</v>
      </c>
      <c r="P165" s="23" t="s">
        <v>212</v>
      </c>
      <c r="Q165" s="23" t="s">
        <v>95</v>
      </c>
      <c r="R165" s="23" t="s">
        <v>2962</v>
      </c>
      <c r="S165" s="33">
        <v>0</v>
      </c>
      <c r="T165" s="13">
        <v>22.38</v>
      </c>
      <c r="U165" s="13">
        <v>10.7424</v>
      </c>
      <c r="V165" s="55">
        <f>IFERROR(Table12[[#This Row],[Profit]]/Table12[[#This Row],[Sales]],0)</f>
        <v>0.48000000000000004</v>
      </c>
    </row>
    <row r="166" spans="1:22" x14ac:dyDescent="0.2">
      <c r="A166">
        <v>165</v>
      </c>
      <c r="B166" t="s">
        <v>4434</v>
      </c>
      <c r="C166" s="1">
        <v>41708</v>
      </c>
      <c r="D166" s="22">
        <f>MONTH(Table12[[#This Row],[Order Date]])</f>
        <v>3</v>
      </c>
      <c r="E166" t="s">
        <v>4435</v>
      </c>
      <c r="F166" t="s">
        <v>4436</v>
      </c>
      <c r="G166" s="23" t="s">
        <v>41</v>
      </c>
      <c r="H166" s="23" t="s">
        <v>53</v>
      </c>
      <c r="I166" t="s">
        <v>3047</v>
      </c>
      <c r="J166" s="23" t="s">
        <v>22</v>
      </c>
      <c r="K166" s="22">
        <v>3</v>
      </c>
      <c r="L166" s="1">
        <v>41715</v>
      </c>
      <c r="M166" s="22">
        <f>Table12[[#This Row],[Ship Date]]-Table12[[#This Row],[Order Date]]</f>
        <v>7</v>
      </c>
      <c r="N166" s="23" t="s">
        <v>45</v>
      </c>
      <c r="O166" s="23" t="s">
        <v>23</v>
      </c>
      <c r="P166" s="23" t="s">
        <v>405</v>
      </c>
      <c r="Q166" s="23" t="s">
        <v>39</v>
      </c>
      <c r="R166" s="23" t="s">
        <v>711</v>
      </c>
      <c r="S166" s="33">
        <v>0.2</v>
      </c>
      <c r="T166" s="13">
        <v>636.40800000000002</v>
      </c>
      <c r="U166" s="13">
        <v>-15.9102</v>
      </c>
      <c r="V166" s="55">
        <f>IFERROR(Table12[[#This Row],[Profit]]/Table12[[#This Row],[Sales]],0)</f>
        <v>-2.4999999999999998E-2</v>
      </c>
    </row>
    <row r="167" spans="1:22" x14ac:dyDescent="0.2">
      <c r="A167">
        <v>166</v>
      </c>
      <c r="B167" t="s">
        <v>4434</v>
      </c>
      <c r="C167" s="1">
        <v>41708</v>
      </c>
      <c r="D167" s="22">
        <f>MONTH(Table12[[#This Row],[Order Date]])</f>
        <v>3</v>
      </c>
      <c r="E167" t="s">
        <v>3728</v>
      </c>
      <c r="F167" t="s">
        <v>3729</v>
      </c>
      <c r="G167" s="23" t="s">
        <v>41</v>
      </c>
      <c r="H167" s="23" t="s">
        <v>61</v>
      </c>
      <c r="I167" t="s">
        <v>3047</v>
      </c>
      <c r="J167" s="23" t="s">
        <v>22</v>
      </c>
      <c r="K167" s="22">
        <v>4</v>
      </c>
      <c r="L167" s="1">
        <v>41715</v>
      </c>
      <c r="M167" s="22">
        <f>Table12[[#This Row],[Ship Date]]-Table12[[#This Row],[Order Date]]</f>
        <v>7</v>
      </c>
      <c r="N167" s="23" t="s">
        <v>45</v>
      </c>
      <c r="O167" s="23" t="s">
        <v>23</v>
      </c>
      <c r="P167" s="23" t="s">
        <v>405</v>
      </c>
      <c r="Q167" s="23" t="s">
        <v>39</v>
      </c>
      <c r="R167" s="23" t="s">
        <v>711</v>
      </c>
      <c r="S167" s="33">
        <v>0.2</v>
      </c>
      <c r="T167" s="13">
        <v>83.168000000000006</v>
      </c>
      <c r="U167" s="13">
        <v>9.3564000000000007</v>
      </c>
      <c r="V167" s="55">
        <f>IFERROR(Table12[[#This Row],[Profit]]/Table12[[#This Row],[Sales]],0)</f>
        <v>0.1125</v>
      </c>
    </row>
    <row r="168" spans="1:22" x14ac:dyDescent="0.2">
      <c r="A168">
        <v>167</v>
      </c>
      <c r="B168" t="s">
        <v>3614</v>
      </c>
      <c r="C168" s="1">
        <v>41709</v>
      </c>
      <c r="D168" s="22">
        <f>MONTH(Table12[[#This Row],[Order Date]])</f>
        <v>3</v>
      </c>
      <c r="E168" t="s">
        <v>3615</v>
      </c>
      <c r="F168" t="s">
        <v>1137</v>
      </c>
      <c r="G168" s="23" t="s">
        <v>28</v>
      </c>
      <c r="H168" s="23" t="s">
        <v>58</v>
      </c>
      <c r="I168" t="s">
        <v>1767</v>
      </c>
      <c r="J168" s="23" t="s">
        <v>22</v>
      </c>
      <c r="K168" s="22">
        <v>5</v>
      </c>
      <c r="L168" s="1">
        <v>41714</v>
      </c>
      <c r="M168" s="22">
        <f>Table12[[#This Row],[Ship Date]]-Table12[[#This Row],[Order Date]]</f>
        <v>5</v>
      </c>
      <c r="N168" s="23" t="s">
        <v>20</v>
      </c>
      <c r="O168" s="23" t="s">
        <v>23</v>
      </c>
      <c r="P168" s="23" t="s">
        <v>441</v>
      </c>
      <c r="Q168" s="23" t="s">
        <v>133</v>
      </c>
      <c r="R168" s="23" t="s">
        <v>440</v>
      </c>
      <c r="S168" s="33">
        <v>0.2</v>
      </c>
      <c r="T168" s="13">
        <v>8.32</v>
      </c>
      <c r="U168" s="13">
        <v>2.2879999999999998</v>
      </c>
      <c r="V168" s="55">
        <f>IFERROR(Table12[[#This Row],[Profit]]/Table12[[#This Row],[Sales]],0)</f>
        <v>0.27499999999999997</v>
      </c>
    </row>
    <row r="169" spans="1:22" x14ac:dyDescent="0.2">
      <c r="A169">
        <v>168</v>
      </c>
      <c r="B169" t="s">
        <v>3614</v>
      </c>
      <c r="C169" s="1">
        <v>41709</v>
      </c>
      <c r="D169" s="22">
        <f>MONTH(Table12[[#This Row],[Order Date]])</f>
        <v>3</v>
      </c>
      <c r="E169" t="s">
        <v>2906</v>
      </c>
      <c r="F169" t="s">
        <v>2907</v>
      </c>
      <c r="G169" s="23" t="s">
        <v>41</v>
      </c>
      <c r="H169" s="23" t="s">
        <v>240</v>
      </c>
      <c r="I169" t="s">
        <v>1767</v>
      </c>
      <c r="J169" s="23" t="s">
        <v>22</v>
      </c>
      <c r="K169" s="22">
        <v>6</v>
      </c>
      <c r="L169" s="1">
        <v>41714</v>
      </c>
      <c r="M169" s="22">
        <f>Table12[[#This Row],[Ship Date]]-Table12[[#This Row],[Order Date]]</f>
        <v>5</v>
      </c>
      <c r="N169" s="23" t="s">
        <v>20</v>
      </c>
      <c r="O169" s="23" t="s">
        <v>23</v>
      </c>
      <c r="P169" s="23" t="s">
        <v>441</v>
      </c>
      <c r="Q169" s="23" t="s">
        <v>133</v>
      </c>
      <c r="R169" s="23" t="s">
        <v>440</v>
      </c>
      <c r="S169" s="33">
        <v>0.2</v>
      </c>
      <c r="T169" s="13">
        <v>10.464</v>
      </c>
      <c r="U169" s="13">
        <v>1.7003999999999999</v>
      </c>
      <c r="V169" s="55">
        <f>IFERROR(Table12[[#This Row],[Profit]]/Table12[[#This Row],[Sales]],0)</f>
        <v>0.16249999999999998</v>
      </c>
    </row>
    <row r="170" spans="1:22" x14ac:dyDescent="0.2">
      <c r="A170">
        <v>169</v>
      </c>
      <c r="B170" t="s">
        <v>5931</v>
      </c>
      <c r="C170" s="1">
        <v>41709</v>
      </c>
      <c r="D170" s="22">
        <f>MONTH(Table12[[#This Row],[Order Date]])</f>
        <v>3</v>
      </c>
      <c r="E170" t="s">
        <v>1936</v>
      </c>
      <c r="F170" t="s">
        <v>1937</v>
      </c>
      <c r="G170" s="23" t="s">
        <v>41</v>
      </c>
      <c r="H170" s="23" t="s">
        <v>82</v>
      </c>
      <c r="I170" t="s">
        <v>4394</v>
      </c>
      <c r="J170" s="23" t="s">
        <v>22</v>
      </c>
      <c r="K170" s="22">
        <v>14</v>
      </c>
      <c r="L170" s="1">
        <v>41712</v>
      </c>
      <c r="M170" s="22">
        <f>Table12[[#This Row],[Ship Date]]-Table12[[#This Row],[Order Date]]</f>
        <v>3</v>
      </c>
      <c r="N170" s="23" t="s">
        <v>20</v>
      </c>
      <c r="O170" s="23" t="s">
        <v>23</v>
      </c>
      <c r="P170" s="23" t="s">
        <v>238</v>
      </c>
      <c r="Q170" s="23" t="s">
        <v>133</v>
      </c>
      <c r="R170" s="23" t="s">
        <v>237</v>
      </c>
      <c r="S170" s="33">
        <v>0</v>
      </c>
      <c r="T170" s="13">
        <v>108.92</v>
      </c>
      <c r="U170" s="13">
        <v>49.014000000000003</v>
      </c>
      <c r="V170" s="55">
        <f>IFERROR(Table12[[#This Row],[Profit]]/Table12[[#This Row],[Sales]],0)</f>
        <v>0.45</v>
      </c>
    </row>
    <row r="171" spans="1:22" x14ac:dyDescent="0.2">
      <c r="A171">
        <v>170</v>
      </c>
      <c r="B171" t="s">
        <v>8465</v>
      </c>
      <c r="C171" s="1">
        <v>41709</v>
      </c>
      <c r="D171" s="22">
        <f>MONTH(Table12[[#This Row],[Order Date]])</f>
        <v>3</v>
      </c>
      <c r="E171" t="s">
        <v>1424</v>
      </c>
      <c r="F171" t="s">
        <v>1425</v>
      </c>
      <c r="G171" s="23" t="s">
        <v>41</v>
      </c>
      <c r="H171" s="23" t="s">
        <v>71</v>
      </c>
      <c r="I171" t="s">
        <v>3909</v>
      </c>
      <c r="J171" s="23" t="s">
        <v>36</v>
      </c>
      <c r="K171" s="22">
        <v>3</v>
      </c>
      <c r="L171" s="1">
        <v>41711</v>
      </c>
      <c r="M171" s="22">
        <f>Table12[[#This Row],[Ship Date]]-Table12[[#This Row],[Order Date]]</f>
        <v>2</v>
      </c>
      <c r="N171" s="23" t="s">
        <v>20</v>
      </c>
      <c r="O171" s="23" t="s">
        <v>23</v>
      </c>
      <c r="P171" s="23" t="s">
        <v>25</v>
      </c>
      <c r="Q171" s="23" t="s">
        <v>26</v>
      </c>
      <c r="R171" s="23" t="s">
        <v>1294</v>
      </c>
      <c r="S171" s="33">
        <v>0</v>
      </c>
      <c r="T171" s="13">
        <v>146.76</v>
      </c>
      <c r="U171" s="13">
        <v>38.157600000000002</v>
      </c>
      <c r="V171" s="55">
        <f>IFERROR(Table12[[#This Row],[Profit]]/Table12[[#This Row],[Sales]],0)</f>
        <v>0.26</v>
      </c>
    </row>
    <row r="172" spans="1:22" x14ac:dyDescent="0.2">
      <c r="A172">
        <v>171</v>
      </c>
      <c r="B172" t="s">
        <v>8465</v>
      </c>
      <c r="C172" s="1">
        <v>41709</v>
      </c>
      <c r="D172" s="22">
        <f>MONTH(Table12[[#This Row],[Order Date]])</f>
        <v>3</v>
      </c>
      <c r="E172" t="s">
        <v>2321</v>
      </c>
      <c r="F172" t="s">
        <v>2322</v>
      </c>
      <c r="G172" s="23" t="s">
        <v>64</v>
      </c>
      <c r="H172" s="23" t="s">
        <v>144</v>
      </c>
      <c r="I172" t="s">
        <v>3909</v>
      </c>
      <c r="J172" s="23" t="s">
        <v>36</v>
      </c>
      <c r="K172" s="22">
        <v>2</v>
      </c>
      <c r="L172" s="1">
        <v>41711</v>
      </c>
      <c r="M172" s="22">
        <f>Table12[[#This Row],[Ship Date]]-Table12[[#This Row],[Order Date]]</f>
        <v>2</v>
      </c>
      <c r="N172" s="23" t="s">
        <v>20</v>
      </c>
      <c r="O172" s="23" t="s">
        <v>23</v>
      </c>
      <c r="P172" s="23" t="s">
        <v>25</v>
      </c>
      <c r="Q172" s="23" t="s">
        <v>26</v>
      </c>
      <c r="R172" s="23" t="s">
        <v>1294</v>
      </c>
      <c r="S172" s="33">
        <v>0</v>
      </c>
      <c r="T172" s="13">
        <v>32.96</v>
      </c>
      <c r="U172" s="13">
        <v>14.172800000000001</v>
      </c>
      <c r="V172" s="55">
        <f>IFERROR(Table12[[#This Row],[Profit]]/Table12[[#This Row],[Sales]],0)</f>
        <v>0.43</v>
      </c>
    </row>
    <row r="173" spans="1:22" x14ac:dyDescent="0.2">
      <c r="A173">
        <v>172</v>
      </c>
      <c r="B173" t="s">
        <v>8465</v>
      </c>
      <c r="C173" s="1">
        <v>41709</v>
      </c>
      <c r="D173" s="22">
        <f>MONTH(Table12[[#This Row],[Order Date]])</f>
        <v>3</v>
      </c>
      <c r="E173" t="s">
        <v>1609</v>
      </c>
      <c r="F173" t="s">
        <v>1610</v>
      </c>
      <c r="G173" s="23" t="s">
        <v>64</v>
      </c>
      <c r="H173" s="23" t="s">
        <v>65</v>
      </c>
      <c r="I173" t="s">
        <v>3909</v>
      </c>
      <c r="J173" s="23" t="s">
        <v>36</v>
      </c>
      <c r="K173" s="22">
        <v>3</v>
      </c>
      <c r="L173" s="1">
        <v>41711</v>
      </c>
      <c r="M173" s="22">
        <f>Table12[[#This Row],[Ship Date]]-Table12[[#This Row],[Order Date]]</f>
        <v>2</v>
      </c>
      <c r="N173" s="23" t="s">
        <v>20</v>
      </c>
      <c r="O173" s="23" t="s">
        <v>23</v>
      </c>
      <c r="P173" s="23" t="s">
        <v>25</v>
      </c>
      <c r="Q173" s="23" t="s">
        <v>26</v>
      </c>
      <c r="R173" s="23" t="s">
        <v>1294</v>
      </c>
      <c r="S173" s="33">
        <v>0</v>
      </c>
      <c r="T173" s="13">
        <v>587.97</v>
      </c>
      <c r="U173" s="13">
        <v>164.63159999999999</v>
      </c>
      <c r="V173" s="55">
        <f>IFERROR(Table12[[#This Row],[Profit]]/Table12[[#This Row],[Sales]],0)</f>
        <v>0.27999999999999997</v>
      </c>
    </row>
    <row r="174" spans="1:22" x14ac:dyDescent="0.2">
      <c r="A174">
        <v>173</v>
      </c>
      <c r="B174" t="s">
        <v>8465</v>
      </c>
      <c r="C174" s="1">
        <v>41709</v>
      </c>
      <c r="D174" s="22">
        <f>MONTH(Table12[[#This Row],[Order Date]])</f>
        <v>3</v>
      </c>
      <c r="E174" t="s">
        <v>5496</v>
      </c>
      <c r="F174" t="s">
        <v>5497</v>
      </c>
      <c r="G174" s="23" t="s">
        <v>41</v>
      </c>
      <c r="H174" s="23" t="s">
        <v>82</v>
      </c>
      <c r="I174" t="s">
        <v>3909</v>
      </c>
      <c r="J174" s="23" t="s">
        <v>36</v>
      </c>
      <c r="K174" s="22">
        <v>3</v>
      </c>
      <c r="L174" s="1">
        <v>41711</v>
      </c>
      <c r="M174" s="22">
        <f>Table12[[#This Row],[Ship Date]]-Table12[[#This Row],[Order Date]]</f>
        <v>2</v>
      </c>
      <c r="N174" s="23" t="s">
        <v>20</v>
      </c>
      <c r="O174" s="23" t="s">
        <v>23</v>
      </c>
      <c r="P174" s="23" t="s">
        <v>25</v>
      </c>
      <c r="Q174" s="23" t="s">
        <v>26</v>
      </c>
      <c r="R174" s="23" t="s">
        <v>1294</v>
      </c>
      <c r="S174" s="33">
        <v>0</v>
      </c>
      <c r="T174" s="13">
        <v>14.94</v>
      </c>
      <c r="U174" s="13">
        <v>7.0217999999999998</v>
      </c>
      <c r="V174" s="55">
        <f>IFERROR(Table12[[#This Row],[Profit]]/Table12[[#This Row],[Sales]],0)</f>
        <v>0.47000000000000003</v>
      </c>
    </row>
    <row r="175" spans="1:22" x14ac:dyDescent="0.2">
      <c r="A175">
        <v>174</v>
      </c>
      <c r="B175" t="s">
        <v>9159</v>
      </c>
      <c r="C175" s="1">
        <v>41709</v>
      </c>
      <c r="D175" s="22">
        <f>MONTH(Table12[[#This Row],[Order Date]])</f>
        <v>3</v>
      </c>
      <c r="E175" t="s">
        <v>6292</v>
      </c>
      <c r="F175" t="s">
        <v>6293</v>
      </c>
      <c r="G175" s="23" t="s">
        <v>41</v>
      </c>
      <c r="H175" s="23" t="s">
        <v>61</v>
      </c>
      <c r="I175" t="s">
        <v>4508</v>
      </c>
      <c r="J175" s="23" t="s">
        <v>22</v>
      </c>
      <c r="K175" s="22">
        <v>3</v>
      </c>
      <c r="L175" s="1">
        <v>41713</v>
      </c>
      <c r="M175" s="22">
        <f>Table12[[#This Row],[Ship Date]]-Table12[[#This Row],[Order Date]]</f>
        <v>4</v>
      </c>
      <c r="N175" s="23" t="s">
        <v>45</v>
      </c>
      <c r="O175" s="23" t="s">
        <v>23</v>
      </c>
      <c r="P175" s="23" t="s">
        <v>38</v>
      </c>
      <c r="Q175" s="23" t="s">
        <v>39</v>
      </c>
      <c r="R175" s="23" t="s">
        <v>501</v>
      </c>
      <c r="S175" s="33">
        <v>0</v>
      </c>
      <c r="T175" s="13">
        <v>7.98</v>
      </c>
      <c r="U175" s="13">
        <v>2.0748000000000002</v>
      </c>
      <c r="V175" s="55">
        <f>IFERROR(Table12[[#This Row],[Profit]]/Table12[[#This Row],[Sales]],0)</f>
        <v>0.26</v>
      </c>
    </row>
    <row r="176" spans="1:22" x14ac:dyDescent="0.2">
      <c r="A176">
        <v>175</v>
      </c>
      <c r="B176" t="s">
        <v>4156</v>
      </c>
      <c r="C176" s="1">
        <v>41712</v>
      </c>
      <c r="D176" s="22">
        <f>MONTH(Table12[[#This Row],[Order Date]])</f>
        <v>3</v>
      </c>
      <c r="E176" t="s">
        <v>1790</v>
      </c>
      <c r="F176" t="s">
        <v>1791</v>
      </c>
      <c r="G176" s="23" t="s">
        <v>41</v>
      </c>
      <c r="H176" s="23" t="s">
        <v>82</v>
      </c>
      <c r="I176" t="s">
        <v>1201</v>
      </c>
      <c r="J176" s="23" t="s">
        <v>36</v>
      </c>
      <c r="K176" s="22">
        <v>2</v>
      </c>
      <c r="L176" s="1">
        <v>41716</v>
      </c>
      <c r="M176" s="22">
        <f>Table12[[#This Row],[Ship Date]]-Table12[[#This Row],[Order Date]]</f>
        <v>4</v>
      </c>
      <c r="N176" s="23" t="s">
        <v>45</v>
      </c>
      <c r="O176" s="23" t="s">
        <v>23</v>
      </c>
      <c r="P176" s="23" t="s">
        <v>38</v>
      </c>
      <c r="Q176" s="23" t="s">
        <v>39</v>
      </c>
      <c r="R176" s="23" t="s">
        <v>1286</v>
      </c>
      <c r="S176" s="33">
        <v>0</v>
      </c>
      <c r="T176" s="13">
        <v>10.56</v>
      </c>
      <c r="U176" s="13">
        <v>4.7519999999999998</v>
      </c>
      <c r="V176" s="55">
        <f>IFERROR(Table12[[#This Row],[Profit]]/Table12[[#This Row],[Sales]],0)</f>
        <v>0.44999999999999996</v>
      </c>
    </row>
    <row r="177" spans="1:22" x14ac:dyDescent="0.2">
      <c r="A177">
        <v>176</v>
      </c>
      <c r="B177" t="s">
        <v>4156</v>
      </c>
      <c r="C177" s="1">
        <v>41712</v>
      </c>
      <c r="D177" s="22">
        <f>MONTH(Table12[[#This Row],[Order Date]])</f>
        <v>3</v>
      </c>
      <c r="E177" t="s">
        <v>4157</v>
      </c>
      <c r="F177" t="s">
        <v>4158</v>
      </c>
      <c r="G177" s="23" t="s">
        <v>41</v>
      </c>
      <c r="H177" s="23" t="s">
        <v>61</v>
      </c>
      <c r="I177" t="s">
        <v>1201</v>
      </c>
      <c r="J177" s="23" t="s">
        <v>36</v>
      </c>
      <c r="K177" s="22">
        <v>1</v>
      </c>
      <c r="L177" s="1">
        <v>41716</v>
      </c>
      <c r="M177" s="22">
        <f>Table12[[#This Row],[Ship Date]]-Table12[[#This Row],[Order Date]]</f>
        <v>4</v>
      </c>
      <c r="N177" s="23" t="s">
        <v>45</v>
      </c>
      <c r="O177" s="23" t="s">
        <v>23</v>
      </c>
      <c r="P177" s="23" t="s">
        <v>38</v>
      </c>
      <c r="Q177" s="23" t="s">
        <v>39</v>
      </c>
      <c r="R177" s="23" t="s">
        <v>1286</v>
      </c>
      <c r="S177" s="33">
        <v>0</v>
      </c>
      <c r="T177" s="13">
        <v>3.38</v>
      </c>
      <c r="U177" s="13">
        <v>1.2505999999999999</v>
      </c>
      <c r="V177" s="55">
        <f>IFERROR(Table12[[#This Row],[Profit]]/Table12[[#This Row],[Sales]],0)</f>
        <v>0.37</v>
      </c>
    </row>
    <row r="178" spans="1:22" x14ac:dyDescent="0.2">
      <c r="A178">
        <v>177</v>
      </c>
      <c r="B178" t="s">
        <v>5361</v>
      </c>
      <c r="C178" s="1">
        <v>41712</v>
      </c>
      <c r="D178" s="22">
        <f>MONTH(Table12[[#This Row],[Order Date]])</f>
        <v>3</v>
      </c>
      <c r="E178" t="s">
        <v>1588</v>
      </c>
      <c r="F178" t="s">
        <v>1589</v>
      </c>
      <c r="G178" s="23" t="s">
        <v>28</v>
      </c>
      <c r="H178" s="23" t="s">
        <v>32</v>
      </c>
      <c r="I178" t="s">
        <v>2034</v>
      </c>
      <c r="J178" s="23" t="s">
        <v>92</v>
      </c>
      <c r="K178" s="22">
        <v>4</v>
      </c>
      <c r="L178" s="1">
        <v>41717</v>
      </c>
      <c r="M178" s="22">
        <f>Table12[[#This Row],[Ship Date]]-Table12[[#This Row],[Order Date]]</f>
        <v>5</v>
      </c>
      <c r="N178" s="23" t="s">
        <v>45</v>
      </c>
      <c r="O178" s="23" t="s">
        <v>23</v>
      </c>
      <c r="P178" s="23" t="s">
        <v>285</v>
      </c>
      <c r="Q178" s="23" t="s">
        <v>26</v>
      </c>
      <c r="R178" s="23" t="s">
        <v>4320</v>
      </c>
      <c r="S178" s="33">
        <v>0</v>
      </c>
      <c r="T178" s="13">
        <v>1139.92</v>
      </c>
      <c r="U178" s="13">
        <v>284.98</v>
      </c>
      <c r="V178" s="55">
        <f>IFERROR(Table12[[#This Row],[Profit]]/Table12[[#This Row],[Sales]],0)</f>
        <v>0.25</v>
      </c>
    </row>
    <row r="179" spans="1:22" x14ac:dyDescent="0.2">
      <c r="A179">
        <v>178</v>
      </c>
      <c r="B179" t="s">
        <v>6946</v>
      </c>
      <c r="C179" s="1">
        <v>41712</v>
      </c>
      <c r="D179" s="22">
        <f>MONTH(Table12[[#This Row],[Order Date]])</f>
        <v>3</v>
      </c>
      <c r="E179" t="s">
        <v>4876</v>
      </c>
      <c r="F179" t="s">
        <v>4877</v>
      </c>
      <c r="G179" s="23" t="s">
        <v>41</v>
      </c>
      <c r="H179" s="23" t="s">
        <v>68</v>
      </c>
      <c r="I179" t="s">
        <v>5114</v>
      </c>
      <c r="J179" s="23" t="s">
        <v>22</v>
      </c>
      <c r="K179" s="22">
        <v>4</v>
      </c>
      <c r="L179" s="1">
        <v>41717</v>
      </c>
      <c r="M179" s="22">
        <f>Table12[[#This Row],[Ship Date]]-Table12[[#This Row],[Order Date]]</f>
        <v>5</v>
      </c>
      <c r="N179" s="23" t="s">
        <v>45</v>
      </c>
      <c r="O179" s="23" t="s">
        <v>23</v>
      </c>
      <c r="P179" s="23" t="s">
        <v>109</v>
      </c>
      <c r="Q179" s="23" t="s">
        <v>39</v>
      </c>
      <c r="R179" s="23" t="s">
        <v>6947</v>
      </c>
      <c r="S179" s="33">
        <v>0.2</v>
      </c>
      <c r="T179" s="13">
        <v>33.088000000000001</v>
      </c>
      <c r="U179" s="13">
        <v>11.167199999999999</v>
      </c>
      <c r="V179" s="55">
        <f>IFERROR(Table12[[#This Row],[Profit]]/Table12[[#This Row],[Sales]],0)</f>
        <v>0.33749999999999997</v>
      </c>
    </row>
    <row r="180" spans="1:22" x14ac:dyDescent="0.2">
      <c r="A180">
        <v>179</v>
      </c>
      <c r="B180" t="s">
        <v>6946</v>
      </c>
      <c r="C180" s="1">
        <v>41712</v>
      </c>
      <c r="D180" s="22">
        <f>MONTH(Table12[[#This Row],[Order Date]])</f>
        <v>3</v>
      </c>
      <c r="E180" t="s">
        <v>1572</v>
      </c>
      <c r="F180" t="s">
        <v>1573</v>
      </c>
      <c r="G180" s="23" t="s">
        <v>41</v>
      </c>
      <c r="H180" s="23" t="s">
        <v>53</v>
      </c>
      <c r="I180" t="s">
        <v>5114</v>
      </c>
      <c r="J180" s="23" t="s">
        <v>22</v>
      </c>
      <c r="K180" s="22">
        <v>1</v>
      </c>
      <c r="L180" s="1">
        <v>41717</v>
      </c>
      <c r="M180" s="22">
        <f>Table12[[#This Row],[Ship Date]]-Table12[[#This Row],[Order Date]]</f>
        <v>5</v>
      </c>
      <c r="N180" s="23" t="s">
        <v>45</v>
      </c>
      <c r="O180" s="23" t="s">
        <v>23</v>
      </c>
      <c r="P180" s="23" t="s">
        <v>109</v>
      </c>
      <c r="Q180" s="23" t="s">
        <v>39</v>
      </c>
      <c r="R180" s="23" t="s">
        <v>6947</v>
      </c>
      <c r="S180" s="33">
        <v>0</v>
      </c>
      <c r="T180" s="13">
        <v>80.98</v>
      </c>
      <c r="U180" s="13">
        <v>3.2391999999999999</v>
      </c>
      <c r="V180" s="55">
        <f>IFERROR(Table12[[#This Row],[Profit]]/Table12[[#This Row],[Sales]],0)</f>
        <v>3.9999999999999994E-2</v>
      </c>
    </row>
    <row r="181" spans="1:22" x14ac:dyDescent="0.2">
      <c r="A181">
        <v>180</v>
      </c>
      <c r="B181" t="s">
        <v>6946</v>
      </c>
      <c r="C181" s="1">
        <v>41712</v>
      </c>
      <c r="D181" s="22">
        <f>MONTH(Table12[[#This Row],[Order Date]])</f>
        <v>3</v>
      </c>
      <c r="E181" t="s">
        <v>6948</v>
      </c>
      <c r="F181" t="s">
        <v>6949</v>
      </c>
      <c r="G181" s="23" t="s">
        <v>64</v>
      </c>
      <c r="H181" s="23" t="s">
        <v>144</v>
      </c>
      <c r="I181" t="s">
        <v>5114</v>
      </c>
      <c r="J181" s="23" t="s">
        <v>22</v>
      </c>
      <c r="K181" s="22">
        <v>12</v>
      </c>
      <c r="L181" s="1">
        <v>41717</v>
      </c>
      <c r="M181" s="22">
        <f>Table12[[#This Row],[Ship Date]]-Table12[[#This Row],[Order Date]]</f>
        <v>5</v>
      </c>
      <c r="N181" s="23" t="s">
        <v>45</v>
      </c>
      <c r="O181" s="23" t="s">
        <v>23</v>
      </c>
      <c r="P181" s="23" t="s">
        <v>109</v>
      </c>
      <c r="Q181" s="23" t="s">
        <v>39</v>
      </c>
      <c r="R181" s="23" t="s">
        <v>6947</v>
      </c>
      <c r="S181" s="33">
        <v>0</v>
      </c>
      <c r="T181" s="13">
        <v>82.8</v>
      </c>
      <c r="U181" s="13">
        <v>6.6239999999999997</v>
      </c>
      <c r="V181" s="55">
        <f>IFERROR(Table12[[#This Row],[Profit]]/Table12[[#This Row],[Sales]],0)</f>
        <v>0.08</v>
      </c>
    </row>
    <row r="182" spans="1:22" x14ac:dyDescent="0.2">
      <c r="A182">
        <v>181</v>
      </c>
      <c r="B182" t="s">
        <v>6946</v>
      </c>
      <c r="C182" s="1">
        <v>41712</v>
      </c>
      <c r="D182" s="22">
        <f>MONTH(Table12[[#This Row],[Order Date]])</f>
        <v>3</v>
      </c>
      <c r="E182" t="s">
        <v>2338</v>
      </c>
      <c r="F182" t="s">
        <v>2339</v>
      </c>
      <c r="G182" s="23" t="s">
        <v>41</v>
      </c>
      <c r="H182" s="23" t="s">
        <v>53</v>
      </c>
      <c r="I182" t="s">
        <v>5114</v>
      </c>
      <c r="J182" s="23" t="s">
        <v>22</v>
      </c>
      <c r="K182" s="22">
        <v>2</v>
      </c>
      <c r="L182" s="1">
        <v>41717</v>
      </c>
      <c r="M182" s="22">
        <f>Table12[[#This Row],[Ship Date]]-Table12[[#This Row],[Order Date]]</f>
        <v>5</v>
      </c>
      <c r="N182" s="23" t="s">
        <v>45</v>
      </c>
      <c r="O182" s="23" t="s">
        <v>23</v>
      </c>
      <c r="P182" s="23" t="s">
        <v>109</v>
      </c>
      <c r="Q182" s="23" t="s">
        <v>39</v>
      </c>
      <c r="R182" s="23" t="s">
        <v>6947</v>
      </c>
      <c r="S182" s="33">
        <v>0</v>
      </c>
      <c r="T182" s="13">
        <v>21.36</v>
      </c>
      <c r="U182" s="13">
        <v>5.7671999999999999</v>
      </c>
      <c r="V182" s="55">
        <f>IFERROR(Table12[[#This Row],[Profit]]/Table12[[#This Row],[Sales]],0)</f>
        <v>0.27</v>
      </c>
    </row>
    <row r="183" spans="1:22" x14ac:dyDescent="0.2">
      <c r="A183">
        <v>182</v>
      </c>
      <c r="B183" t="s">
        <v>6946</v>
      </c>
      <c r="C183" s="1">
        <v>41712</v>
      </c>
      <c r="D183" s="22">
        <f>MONTH(Table12[[#This Row],[Order Date]])</f>
        <v>3</v>
      </c>
      <c r="E183" t="s">
        <v>6098</v>
      </c>
      <c r="F183" t="s">
        <v>6099</v>
      </c>
      <c r="G183" s="23" t="s">
        <v>41</v>
      </c>
      <c r="H183" s="23" t="s">
        <v>68</v>
      </c>
      <c r="I183" t="s">
        <v>5114</v>
      </c>
      <c r="J183" s="23" t="s">
        <v>22</v>
      </c>
      <c r="K183" s="22">
        <v>2</v>
      </c>
      <c r="L183" s="1">
        <v>41717</v>
      </c>
      <c r="M183" s="22">
        <f>Table12[[#This Row],[Ship Date]]-Table12[[#This Row],[Order Date]]</f>
        <v>5</v>
      </c>
      <c r="N183" s="23" t="s">
        <v>45</v>
      </c>
      <c r="O183" s="23" t="s">
        <v>23</v>
      </c>
      <c r="P183" s="23" t="s">
        <v>109</v>
      </c>
      <c r="Q183" s="23" t="s">
        <v>39</v>
      </c>
      <c r="R183" s="23" t="s">
        <v>6947</v>
      </c>
      <c r="S183" s="33">
        <v>0.2</v>
      </c>
      <c r="T183" s="13">
        <v>62.048000000000002</v>
      </c>
      <c r="U183" s="13">
        <v>20.165600000000001</v>
      </c>
      <c r="V183" s="55">
        <f>IFERROR(Table12[[#This Row],[Profit]]/Table12[[#This Row],[Sales]],0)</f>
        <v>0.32500000000000001</v>
      </c>
    </row>
    <row r="184" spans="1:22" x14ac:dyDescent="0.2">
      <c r="A184">
        <v>183</v>
      </c>
      <c r="B184" t="s">
        <v>9814</v>
      </c>
      <c r="C184" s="1">
        <v>41712</v>
      </c>
      <c r="D184" s="22">
        <f>MONTH(Table12[[#This Row],[Order Date]])</f>
        <v>3</v>
      </c>
      <c r="E184" t="s">
        <v>5197</v>
      </c>
      <c r="F184" t="s">
        <v>5198</v>
      </c>
      <c r="G184" s="23" t="s">
        <v>64</v>
      </c>
      <c r="H184" s="23" t="s">
        <v>602</v>
      </c>
      <c r="I184" t="s">
        <v>391</v>
      </c>
      <c r="J184" s="23" t="s">
        <v>92</v>
      </c>
      <c r="K184" s="22">
        <v>2</v>
      </c>
      <c r="L184" s="1">
        <v>41715</v>
      </c>
      <c r="M184" s="22">
        <f>Table12[[#This Row],[Ship Date]]-Table12[[#This Row],[Order Date]]</f>
        <v>3</v>
      </c>
      <c r="N184" s="23" t="s">
        <v>169</v>
      </c>
      <c r="O184" s="23" t="s">
        <v>23</v>
      </c>
      <c r="P184" s="23" t="s">
        <v>189</v>
      </c>
      <c r="Q184" s="23" t="s">
        <v>95</v>
      </c>
      <c r="R184" s="23" t="s">
        <v>271</v>
      </c>
      <c r="S184" s="33">
        <v>0.3</v>
      </c>
      <c r="T184" s="13">
        <v>574.91</v>
      </c>
      <c r="U184" s="13">
        <v>156.047</v>
      </c>
      <c r="V184" s="55">
        <f>IFERROR(Table12[[#This Row],[Profit]]/Table12[[#This Row],[Sales]],0)</f>
        <v>0.27142857142857146</v>
      </c>
    </row>
    <row r="185" spans="1:22" x14ac:dyDescent="0.2">
      <c r="A185">
        <v>184</v>
      </c>
      <c r="B185" t="s">
        <v>9814</v>
      </c>
      <c r="C185" s="1">
        <v>41712</v>
      </c>
      <c r="D185" s="22">
        <f>MONTH(Table12[[#This Row],[Order Date]])</f>
        <v>3</v>
      </c>
      <c r="E185" t="s">
        <v>7464</v>
      </c>
      <c r="F185" t="s">
        <v>7465</v>
      </c>
      <c r="G185" s="23" t="s">
        <v>41</v>
      </c>
      <c r="H185" s="23" t="s">
        <v>82</v>
      </c>
      <c r="I185" t="s">
        <v>391</v>
      </c>
      <c r="J185" s="23" t="s">
        <v>92</v>
      </c>
      <c r="K185" s="22">
        <v>2</v>
      </c>
      <c r="L185" s="1">
        <v>41715</v>
      </c>
      <c r="M185" s="22">
        <f>Table12[[#This Row],[Ship Date]]-Table12[[#This Row],[Order Date]]</f>
        <v>3</v>
      </c>
      <c r="N185" s="23" t="s">
        <v>169</v>
      </c>
      <c r="O185" s="23" t="s">
        <v>23</v>
      </c>
      <c r="P185" s="23" t="s">
        <v>189</v>
      </c>
      <c r="Q185" s="23" t="s">
        <v>95</v>
      </c>
      <c r="R185" s="23" t="s">
        <v>271</v>
      </c>
      <c r="S185" s="33">
        <v>0.2</v>
      </c>
      <c r="T185" s="13">
        <v>8.4480000000000004</v>
      </c>
      <c r="U185" s="13">
        <v>2.64</v>
      </c>
      <c r="V185" s="55">
        <f>IFERROR(Table12[[#This Row],[Profit]]/Table12[[#This Row],[Sales]],0)</f>
        <v>0.3125</v>
      </c>
    </row>
    <row r="186" spans="1:22" x14ac:dyDescent="0.2">
      <c r="A186">
        <v>185</v>
      </c>
      <c r="B186" t="s">
        <v>9886</v>
      </c>
      <c r="C186" s="1">
        <v>41712</v>
      </c>
      <c r="D186" s="22">
        <f>MONTH(Table12[[#This Row],[Order Date]])</f>
        <v>3</v>
      </c>
      <c r="E186" t="s">
        <v>2198</v>
      </c>
      <c r="F186" t="s">
        <v>2199</v>
      </c>
      <c r="G186" s="23" t="s">
        <v>41</v>
      </c>
      <c r="H186" s="23" t="s">
        <v>82</v>
      </c>
      <c r="I186" t="s">
        <v>6604</v>
      </c>
      <c r="J186" s="23" t="s">
        <v>92</v>
      </c>
      <c r="K186" s="22">
        <v>6</v>
      </c>
      <c r="L186" s="1">
        <v>41716</v>
      </c>
      <c r="M186" s="22">
        <f>Table12[[#This Row],[Ship Date]]-Table12[[#This Row],[Order Date]]</f>
        <v>4</v>
      </c>
      <c r="N186" s="23" t="s">
        <v>45</v>
      </c>
      <c r="O186" s="23" t="s">
        <v>23</v>
      </c>
      <c r="P186" s="23" t="s">
        <v>48</v>
      </c>
      <c r="Q186" s="23" t="s">
        <v>26</v>
      </c>
      <c r="R186" s="23" t="s">
        <v>1345</v>
      </c>
      <c r="S186" s="33">
        <v>0.2</v>
      </c>
      <c r="T186" s="13">
        <v>91.055999999999997</v>
      </c>
      <c r="U186" s="13">
        <v>31.869599999999998</v>
      </c>
      <c r="V186" s="55">
        <f>IFERROR(Table12[[#This Row],[Profit]]/Table12[[#This Row],[Sales]],0)</f>
        <v>0.35</v>
      </c>
    </row>
    <row r="187" spans="1:22" x14ac:dyDescent="0.2">
      <c r="A187">
        <v>186</v>
      </c>
      <c r="B187" t="s">
        <v>1772</v>
      </c>
      <c r="C187" s="1">
        <v>41713</v>
      </c>
      <c r="D187" s="22">
        <f>MONTH(Table12[[#This Row],[Order Date]])</f>
        <v>3</v>
      </c>
      <c r="E187" t="s">
        <v>1774</v>
      </c>
      <c r="F187" t="s">
        <v>1775</v>
      </c>
      <c r="G187" s="23" t="s">
        <v>41</v>
      </c>
      <c r="H187" s="23" t="s">
        <v>53</v>
      </c>
      <c r="I187" t="s">
        <v>1773</v>
      </c>
      <c r="J187" s="23" t="s">
        <v>22</v>
      </c>
      <c r="K187" s="22">
        <v>1</v>
      </c>
      <c r="L187" s="1">
        <v>41717</v>
      </c>
      <c r="M187" s="22">
        <f>Table12[[#This Row],[Ship Date]]-Table12[[#This Row],[Order Date]]</f>
        <v>4</v>
      </c>
      <c r="N187" s="23" t="s">
        <v>45</v>
      </c>
      <c r="O187" s="23" t="s">
        <v>23</v>
      </c>
      <c r="P187" s="23" t="s">
        <v>48</v>
      </c>
      <c r="Q187" s="23" t="s">
        <v>26</v>
      </c>
      <c r="R187" s="23" t="s">
        <v>793</v>
      </c>
      <c r="S187" s="33">
        <v>0.2</v>
      </c>
      <c r="T187" s="13">
        <v>142.77600000000001</v>
      </c>
      <c r="U187" s="13">
        <v>17.847000000000001</v>
      </c>
      <c r="V187" s="55">
        <f>IFERROR(Table12[[#This Row],[Profit]]/Table12[[#This Row],[Sales]],0)</f>
        <v>0.125</v>
      </c>
    </row>
    <row r="188" spans="1:22" x14ac:dyDescent="0.2">
      <c r="A188">
        <v>187</v>
      </c>
      <c r="B188" t="s">
        <v>1772</v>
      </c>
      <c r="C188" s="1">
        <v>41713</v>
      </c>
      <c r="D188" s="22">
        <f>MONTH(Table12[[#This Row],[Order Date]])</f>
        <v>3</v>
      </c>
      <c r="E188" t="s">
        <v>1007</v>
      </c>
      <c r="F188" t="s">
        <v>1008</v>
      </c>
      <c r="G188" s="23" t="s">
        <v>28</v>
      </c>
      <c r="H188" s="23" t="s">
        <v>58</v>
      </c>
      <c r="I188" t="s">
        <v>1773</v>
      </c>
      <c r="J188" s="23" t="s">
        <v>22</v>
      </c>
      <c r="K188" s="22">
        <v>3</v>
      </c>
      <c r="L188" s="1">
        <v>41717</v>
      </c>
      <c r="M188" s="22">
        <f>Table12[[#This Row],[Ship Date]]-Table12[[#This Row],[Order Date]]</f>
        <v>4</v>
      </c>
      <c r="N188" s="23" t="s">
        <v>45</v>
      </c>
      <c r="O188" s="23" t="s">
        <v>23</v>
      </c>
      <c r="P188" s="23" t="s">
        <v>48</v>
      </c>
      <c r="Q188" s="23" t="s">
        <v>26</v>
      </c>
      <c r="R188" s="23" t="s">
        <v>793</v>
      </c>
      <c r="S188" s="33">
        <v>0.2</v>
      </c>
      <c r="T188" s="13">
        <v>45.695999999999998</v>
      </c>
      <c r="U188" s="13">
        <v>5.1407999999999996</v>
      </c>
      <c r="V188" s="55">
        <f>IFERROR(Table12[[#This Row],[Profit]]/Table12[[#This Row],[Sales]],0)</f>
        <v>0.1125</v>
      </c>
    </row>
    <row r="189" spans="1:22" x14ac:dyDescent="0.2">
      <c r="A189">
        <v>188</v>
      </c>
      <c r="B189" t="s">
        <v>1772</v>
      </c>
      <c r="C189" s="1">
        <v>41713</v>
      </c>
      <c r="D189" s="22">
        <f>MONTH(Table12[[#This Row],[Order Date]])</f>
        <v>3</v>
      </c>
      <c r="E189" t="s">
        <v>1346</v>
      </c>
      <c r="F189" t="s">
        <v>1347</v>
      </c>
      <c r="G189" s="23" t="s">
        <v>41</v>
      </c>
      <c r="H189" s="23" t="s">
        <v>68</v>
      </c>
      <c r="I189" t="s">
        <v>1773</v>
      </c>
      <c r="J189" s="23" t="s">
        <v>22</v>
      </c>
      <c r="K189" s="22">
        <v>3</v>
      </c>
      <c r="L189" s="1">
        <v>41717</v>
      </c>
      <c r="M189" s="22">
        <f>Table12[[#This Row],[Ship Date]]-Table12[[#This Row],[Order Date]]</f>
        <v>4</v>
      </c>
      <c r="N189" s="23" t="s">
        <v>45</v>
      </c>
      <c r="O189" s="23" t="s">
        <v>23</v>
      </c>
      <c r="P189" s="23" t="s">
        <v>48</v>
      </c>
      <c r="Q189" s="23" t="s">
        <v>26</v>
      </c>
      <c r="R189" s="23" t="s">
        <v>793</v>
      </c>
      <c r="S189" s="33">
        <v>0.7</v>
      </c>
      <c r="T189" s="13">
        <v>7.218</v>
      </c>
      <c r="U189" s="13">
        <v>-5.5338000000000003</v>
      </c>
      <c r="V189" s="55">
        <f>IFERROR(Table12[[#This Row],[Profit]]/Table12[[#This Row],[Sales]],0)</f>
        <v>-0.76666666666666672</v>
      </c>
    </row>
    <row r="190" spans="1:22" x14ac:dyDescent="0.2">
      <c r="A190">
        <v>189</v>
      </c>
      <c r="B190" t="s">
        <v>1772</v>
      </c>
      <c r="C190" s="1">
        <v>41713</v>
      </c>
      <c r="D190" s="22">
        <f>MONTH(Table12[[#This Row],[Order Date]])</f>
        <v>3</v>
      </c>
      <c r="E190" t="s">
        <v>1322</v>
      </c>
      <c r="F190" t="s">
        <v>1323</v>
      </c>
      <c r="G190" s="23" t="s">
        <v>41</v>
      </c>
      <c r="H190" s="23" t="s">
        <v>68</v>
      </c>
      <c r="I190" t="s">
        <v>1773</v>
      </c>
      <c r="J190" s="23" t="s">
        <v>22</v>
      </c>
      <c r="K190" s="22">
        <v>4</v>
      </c>
      <c r="L190" s="1">
        <v>41717</v>
      </c>
      <c r="M190" s="22">
        <f>Table12[[#This Row],[Ship Date]]-Table12[[#This Row],[Order Date]]</f>
        <v>4</v>
      </c>
      <c r="N190" s="23" t="s">
        <v>45</v>
      </c>
      <c r="O190" s="23" t="s">
        <v>23</v>
      </c>
      <c r="P190" s="23" t="s">
        <v>48</v>
      </c>
      <c r="Q190" s="23" t="s">
        <v>26</v>
      </c>
      <c r="R190" s="23" t="s">
        <v>793</v>
      </c>
      <c r="S190" s="33">
        <v>0.7</v>
      </c>
      <c r="T190" s="13">
        <v>43.188000000000002</v>
      </c>
      <c r="U190" s="13">
        <v>-31.671199999999999</v>
      </c>
      <c r="V190" s="55">
        <f>IFERROR(Table12[[#This Row],[Profit]]/Table12[[#This Row],[Sales]],0)</f>
        <v>-0.73333333333333328</v>
      </c>
    </row>
    <row r="191" spans="1:22" x14ac:dyDescent="0.2">
      <c r="A191">
        <v>190</v>
      </c>
      <c r="B191" t="s">
        <v>1772</v>
      </c>
      <c r="C191" s="1">
        <v>41713</v>
      </c>
      <c r="D191" s="22">
        <f>MONTH(Table12[[#This Row],[Order Date]])</f>
        <v>3</v>
      </c>
      <c r="E191" t="s">
        <v>1776</v>
      </c>
      <c r="F191" t="s">
        <v>1777</v>
      </c>
      <c r="G191" s="23" t="s">
        <v>41</v>
      </c>
      <c r="H191" s="23" t="s">
        <v>82</v>
      </c>
      <c r="I191" t="s">
        <v>1773</v>
      </c>
      <c r="J191" s="23" t="s">
        <v>22</v>
      </c>
      <c r="K191" s="22">
        <v>3</v>
      </c>
      <c r="L191" s="1">
        <v>41717</v>
      </c>
      <c r="M191" s="22">
        <f>Table12[[#This Row],[Ship Date]]-Table12[[#This Row],[Order Date]]</f>
        <v>4</v>
      </c>
      <c r="N191" s="23" t="s">
        <v>45</v>
      </c>
      <c r="O191" s="23" t="s">
        <v>23</v>
      </c>
      <c r="P191" s="23" t="s">
        <v>48</v>
      </c>
      <c r="Q191" s="23" t="s">
        <v>26</v>
      </c>
      <c r="R191" s="23" t="s">
        <v>793</v>
      </c>
      <c r="S191" s="33">
        <v>0.2</v>
      </c>
      <c r="T191" s="13">
        <v>131.904</v>
      </c>
      <c r="U191" s="13">
        <v>47.815199999999997</v>
      </c>
      <c r="V191" s="55">
        <f>IFERROR(Table12[[#This Row],[Profit]]/Table12[[#This Row],[Sales]],0)</f>
        <v>0.36249999999999999</v>
      </c>
    </row>
    <row r="192" spans="1:22" x14ac:dyDescent="0.2">
      <c r="A192">
        <v>191</v>
      </c>
      <c r="B192" t="s">
        <v>5941</v>
      </c>
      <c r="C192" s="1">
        <v>41714</v>
      </c>
      <c r="D192" s="22">
        <f>MONTH(Table12[[#This Row],[Order Date]])</f>
        <v>3</v>
      </c>
      <c r="E192" t="s">
        <v>5942</v>
      </c>
      <c r="F192" t="s">
        <v>5943</v>
      </c>
      <c r="G192" s="23" t="s">
        <v>64</v>
      </c>
      <c r="H192" s="23" t="s">
        <v>65</v>
      </c>
      <c r="I192" t="s">
        <v>4736</v>
      </c>
      <c r="J192" s="23" t="s">
        <v>92</v>
      </c>
      <c r="K192" s="22">
        <v>2</v>
      </c>
      <c r="L192" s="1">
        <v>41719</v>
      </c>
      <c r="M192" s="22">
        <f>Table12[[#This Row],[Ship Date]]-Table12[[#This Row],[Order Date]]</f>
        <v>5</v>
      </c>
      <c r="N192" s="23" t="s">
        <v>20</v>
      </c>
      <c r="O192" s="23" t="s">
        <v>23</v>
      </c>
      <c r="P192" s="23" t="s">
        <v>80</v>
      </c>
      <c r="Q192" s="23" t="s">
        <v>26</v>
      </c>
      <c r="R192" s="23" t="s">
        <v>4054</v>
      </c>
      <c r="S192" s="33">
        <v>0.2</v>
      </c>
      <c r="T192" s="13">
        <v>471.92</v>
      </c>
      <c r="U192" s="13">
        <v>29.495000000000001</v>
      </c>
      <c r="V192" s="55">
        <f>IFERROR(Table12[[#This Row],[Profit]]/Table12[[#This Row],[Sales]],0)</f>
        <v>6.25E-2</v>
      </c>
    </row>
    <row r="193" spans="1:22" x14ac:dyDescent="0.2">
      <c r="A193">
        <v>192</v>
      </c>
      <c r="B193" t="s">
        <v>3276</v>
      </c>
      <c r="C193" s="1">
        <v>41715</v>
      </c>
      <c r="D193" s="22">
        <f>MONTH(Table12[[#This Row],[Order Date]])</f>
        <v>3</v>
      </c>
      <c r="E193" t="s">
        <v>2021</v>
      </c>
      <c r="F193" t="s">
        <v>2022</v>
      </c>
      <c r="G193" s="23" t="s">
        <v>41</v>
      </c>
      <c r="H193" s="23" t="s">
        <v>71</v>
      </c>
      <c r="I193" t="s">
        <v>1554</v>
      </c>
      <c r="J193" s="23" t="s">
        <v>22</v>
      </c>
      <c r="K193" s="22">
        <v>2</v>
      </c>
      <c r="L193" s="1">
        <v>41722</v>
      </c>
      <c r="M193" s="22">
        <f>Table12[[#This Row],[Ship Date]]-Table12[[#This Row],[Order Date]]</f>
        <v>7</v>
      </c>
      <c r="N193" s="23" t="s">
        <v>45</v>
      </c>
      <c r="O193" s="23" t="s">
        <v>23</v>
      </c>
      <c r="P193" s="23" t="s">
        <v>204</v>
      </c>
      <c r="Q193" s="23" t="s">
        <v>95</v>
      </c>
      <c r="R193" s="23" t="s">
        <v>823</v>
      </c>
      <c r="S193" s="33">
        <v>0</v>
      </c>
      <c r="T193" s="13">
        <v>93.78</v>
      </c>
      <c r="U193" s="13">
        <v>36.574199999999998</v>
      </c>
      <c r="V193" s="55">
        <f>IFERROR(Table12[[#This Row],[Profit]]/Table12[[#This Row],[Sales]],0)</f>
        <v>0.38999999999999996</v>
      </c>
    </row>
    <row r="194" spans="1:22" x14ac:dyDescent="0.2">
      <c r="A194">
        <v>193</v>
      </c>
      <c r="B194" t="s">
        <v>3276</v>
      </c>
      <c r="C194" s="1">
        <v>41715</v>
      </c>
      <c r="D194" s="22">
        <f>MONTH(Table12[[#This Row],[Order Date]])</f>
        <v>3</v>
      </c>
      <c r="E194" t="s">
        <v>3277</v>
      </c>
      <c r="F194" t="s">
        <v>3278</v>
      </c>
      <c r="G194" s="23" t="s">
        <v>41</v>
      </c>
      <c r="H194" s="23" t="s">
        <v>82</v>
      </c>
      <c r="I194" t="s">
        <v>1554</v>
      </c>
      <c r="J194" s="23" t="s">
        <v>22</v>
      </c>
      <c r="K194" s="22">
        <v>7</v>
      </c>
      <c r="L194" s="1">
        <v>41722</v>
      </c>
      <c r="M194" s="22">
        <f>Table12[[#This Row],[Ship Date]]-Table12[[#This Row],[Order Date]]</f>
        <v>7</v>
      </c>
      <c r="N194" s="23" t="s">
        <v>45</v>
      </c>
      <c r="O194" s="23" t="s">
        <v>23</v>
      </c>
      <c r="P194" s="23" t="s">
        <v>204</v>
      </c>
      <c r="Q194" s="23" t="s">
        <v>95</v>
      </c>
      <c r="R194" s="23" t="s">
        <v>823</v>
      </c>
      <c r="S194" s="33">
        <v>0</v>
      </c>
      <c r="T194" s="13">
        <v>47.18</v>
      </c>
      <c r="U194" s="13">
        <v>23.59</v>
      </c>
      <c r="V194" s="55">
        <f>IFERROR(Table12[[#This Row],[Profit]]/Table12[[#This Row],[Sales]],0)</f>
        <v>0.5</v>
      </c>
    </row>
    <row r="195" spans="1:22" x14ac:dyDescent="0.2">
      <c r="A195">
        <v>194</v>
      </c>
      <c r="B195" t="s">
        <v>3276</v>
      </c>
      <c r="C195" s="1">
        <v>41715</v>
      </c>
      <c r="D195" s="22">
        <f>MONTH(Table12[[#This Row],[Order Date]])</f>
        <v>3</v>
      </c>
      <c r="E195" t="s">
        <v>3279</v>
      </c>
      <c r="F195" t="s">
        <v>3280</v>
      </c>
      <c r="G195" s="23" t="s">
        <v>41</v>
      </c>
      <c r="H195" s="23" t="s">
        <v>61</v>
      </c>
      <c r="I195" t="s">
        <v>1554</v>
      </c>
      <c r="J195" s="23" t="s">
        <v>22</v>
      </c>
      <c r="K195" s="22">
        <v>6</v>
      </c>
      <c r="L195" s="1">
        <v>41722</v>
      </c>
      <c r="M195" s="22">
        <f>Table12[[#This Row],[Ship Date]]-Table12[[#This Row],[Order Date]]</f>
        <v>7</v>
      </c>
      <c r="N195" s="23" t="s">
        <v>45</v>
      </c>
      <c r="O195" s="23" t="s">
        <v>23</v>
      </c>
      <c r="P195" s="23" t="s">
        <v>204</v>
      </c>
      <c r="Q195" s="23" t="s">
        <v>95</v>
      </c>
      <c r="R195" s="23" t="s">
        <v>823</v>
      </c>
      <c r="S195" s="33">
        <v>0</v>
      </c>
      <c r="T195" s="13">
        <v>19.68</v>
      </c>
      <c r="U195" s="13">
        <v>5.7072000000000003</v>
      </c>
      <c r="V195" s="55">
        <f>IFERROR(Table12[[#This Row],[Profit]]/Table12[[#This Row],[Sales]],0)</f>
        <v>0.29000000000000004</v>
      </c>
    </row>
    <row r="196" spans="1:22" x14ac:dyDescent="0.2">
      <c r="A196">
        <v>195</v>
      </c>
      <c r="B196" t="s">
        <v>3276</v>
      </c>
      <c r="C196" s="1">
        <v>41715</v>
      </c>
      <c r="D196" s="22">
        <f>MONTH(Table12[[#This Row],[Order Date]])</f>
        <v>3</v>
      </c>
      <c r="E196" t="s">
        <v>3281</v>
      </c>
      <c r="F196" t="s">
        <v>3282</v>
      </c>
      <c r="G196" s="23" t="s">
        <v>41</v>
      </c>
      <c r="H196" s="23" t="s">
        <v>68</v>
      </c>
      <c r="I196" t="s">
        <v>1554</v>
      </c>
      <c r="J196" s="23" t="s">
        <v>22</v>
      </c>
      <c r="K196" s="22">
        <v>10</v>
      </c>
      <c r="L196" s="1">
        <v>41722</v>
      </c>
      <c r="M196" s="22">
        <f>Table12[[#This Row],[Ship Date]]-Table12[[#This Row],[Order Date]]</f>
        <v>7</v>
      </c>
      <c r="N196" s="23" t="s">
        <v>45</v>
      </c>
      <c r="O196" s="23" t="s">
        <v>23</v>
      </c>
      <c r="P196" s="23" t="s">
        <v>204</v>
      </c>
      <c r="Q196" s="23" t="s">
        <v>95</v>
      </c>
      <c r="R196" s="23" t="s">
        <v>823</v>
      </c>
      <c r="S196" s="33">
        <v>0</v>
      </c>
      <c r="T196" s="13">
        <v>53.4</v>
      </c>
      <c r="U196" s="13">
        <v>25.097999999999999</v>
      </c>
      <c r="V196" s="55">
        <f>IFERROR(Table12[[#This Row],[Profit]]/Table12[[#This Row],[Sales]],0)</f>
        <v>0.47</v>
      </c>
    </row>
    <row r="197" spans="1:22" x14ac:dyDescent="0.2">
      <c r="A197">
        <v>196</v>
      </c>
      <c r="B197" t="s">
        <v>3276</v>
      </c>
      <c r="C197" s="1">
        <v>41715</v>
      </c>
      <c r="D197" s="22">
        <f>MONTH(Table12[[#This Row],[Order Date]])</f>
        <v>3</v>
      </c>
      <c r="E197" t="s">
        <v>3283</v>
      </c>
      <c r="F197" t="s">
        <v>3284</v>
      </c>
      <c r="G197" s="23" t="s">
        <v>41</v>
      </c>
      <c r="H197" s="23" t="s">
        <v>68</v>
      </c>
      <c r="I197" t="s">
        <v>1554</v>
      </c>
      <c r="J197" s="23" t="s">
        <v>22</v>
      </c>
      <c r="K197" s="22">
        <v>6</v>
      </c>
      <c r="L197" s="1">
        <v>41722</v>
      </c>
      <c r="M197" s="22">
        <f>Table12[[#This Row],[Ship Date]]-Table12[[#This Row],[Order Date]]</f>
        <v>7</v>
      </c>
      <c r="N197" s="23" t="s">
        <v>45</v>
      </c>
      <c r="O197" s="23" t="s">
        <v>23</v>
      </c>
      <c r="P197" s="23" t="s">
        <v>204</v>
      </c>
      <c r="Q197" s="23" t="s">
        <v>95</v>
      </c>
      <c r="R197" s="23" t="s">
        <v>823</v>
      </c>
      <c r="S197" s="33">
        <v>0</v>
      </c>
      <c r="T197" s="13">
        <v>35.880000000000003</v>
      </c>
      <c r="U197" s="13">
        <v>17.2224</v>
      </c>
      <c r="V197" s="55">
        <f>IFERROR(Table12[[#This Row],[Profit]]/Table12[[#This Row],[Sales]],0)</f>
        <v>0.48</v>
      </c>
    </row>
    <row r="198" spans="1:22" x14ac:dyDescent="0.2">
      <c r="A198">
        <v>197</v>
      </c>
      <c r="B198" t="s">
        <v>4778</v>
      </c>
      <c r="C198" s="1">
        <v>41715</v>
      </c>
      <c r="D198" s="22">
        <f>MONTH(Table12[[#This Row],[Order Date]])</f>
        <v>3</v>
      </c>
      <c r="E198" t="s">
        <v>796</v>
      </c>
      <c r="F198" t="s">
        <v>797</v>
      </c>
      <c r="G198" s="23" t="s">
        <v>28</v>
      </c>
      <c r="H198" s="23" t="s">
        <v>50</v>
      </c>
      <c r="I198" t="s">
        <v>2118</v>
      </c>
      <c r="J198" s="23" t="s">
        <v>36</v>
      </c>
      <c r="K198" s="22">
        <v>7</v>
      </c>
      <c r="L198" s="1">
        <v>41719</v>
      </c>
      <c r="M198" s="22">
        <f>Table12[[#This Row],[Ship Date]]-Table12[[#This Row],[Order Date]]</f>
        <v>4</v>
      </c>
      <c r="N198" s="23" t="s">
        <v>45</v>
      </c>
      <c r="O198" s="23" t="s">
        <v>23</v>
      </c>
      <c r="P198" s="23" t="s">
        <v>238</v>
      </c>
      <c r="Q198" s="23" t="s">
        <v>133</v>
      </c>
      <c r="R198" s="23" t="s">
        <v>237</v>
      </c>
      <c r="S198" s="33">
        <v>0.4</v>
      </c>
      <c r="T198" s="13">
        <v>1579.7460000000001</v>
      </c>
      <c r="U198" s="13">
        <v>-447.59469999999999</v>
      </c>
      <c r="V198" s="55">
        <f>IFERROR(Table12[[#This Row],[Profit]]/Table12[[#This Row],[Sales]],0)</f>
        <v>-0.28333333333333333</v>
      </c>
    </row>
    <row r="199" spans="1:22" x14ac:dyDescent="0.2">
      <c r="A199">
        <v>198</v>
      </c>
      <c r="B199" t="s">
        <v>4778</v>
      </c>
      <c r="C199" s="1">
        <v>41715</v>
      </c>
      <c r="D199" s="22">
        <f>MONTH(Table12[[#This Row],[Order Date]])</f>
        <v>3</v>
      </c>
      <c r="E199" t="s">
        <v>4704</v>
      </c>
      <c r="F199" t="s">
        <v>4705</v>
      </c>
      <c r="G199" s="23" t="s">
        <v>28</v>
      </c>
      <c r="H199" s="23" t="s">
        <v>50</v>
      </c>
      <c r="I199" t="s">
        <v>2118</v>
      </c>
      <c r="J199" s="23" t="s">
        <v>36</v>
      </c>
      <c r="K199" s="22">
        <v>4</v>
      </c>
      <c r="L199" s="1">
        <v>41719</v>
      </c>
      <c r="M199" s="22">
        <f>Table12[[#This Row],[Ship Date]]-Table12[[#This Row],[Order Date]]</f>
        <v>4</v>
      </c>
      <c r="N199" s="23" t="s">
        <v>45</v>
      </c>
      <c r="O199" s="23" t="s">
        <v>23</v>
      </c>
      <c r="P199" s="23" t="s">
        <v>238</v>
      </c>
      <c r="Q199" s="23" t="s">
        <v>133</v>
      </c>
      <c r="R199" s="23" t="s">
        <v>237</v>
      </c>
      <c r="S199" s="33">
        <v>0.4</v>
      </c>
      <c r="T199" s="13">
        <v>1071.576</v>
      </c>
      <c r="U199" s="13">
        <v>-553.64760000000001</v>
      </c>
      <c r="V199" s="55">
        <f>IFERROR(Table12[[#This Row],[Profit]]/Table12[[#This Row],[Sales]],0)</f>
        <v>-0.51666666666666672</v>
      </c>
    </row>
    <row r="200" spans="1:22" x14ac:dyDescent="0.2">
      <c r="A200">
        <v>199</v>
      </c>
      <c r="B200" t="s">
        <v>4778</v>
      </c>
      <c r="C200" s="1">
        <v>41715</v>
      </c>
      <c r="D200" s="22">
        <f>MONTH(Table12[[#This Row],[Order Date]])</f>
        <v>3</v>
      </c>
      <c r="E200" t="s">
        <v>4131</v>
      </c>
      <c r="F200" t="s">
        <v>4132</v>
      </c>
      <c r="G200" s="23" t="s">
        <v>28</v>
      </c>
      <c r="H200" s="23" t="s">
        <v>50</v>
      </c>
      <c r="I200" t="s">
        <v>2118</v>
      </c>
      <c r="J200" s="23" t="s">
        <v>36</v>
      </c>
      <c r="K200" s="22">
        <v>3</v>
      </c>
      <c r="L200" s="1">
        <v>41719</v>
      </c>
      <c r="M200" s="22">
        <f>Table12[[#This Row],[Ship Date]]-Table12[[#This Row],[Order Date]]</f>
        <v>4</v>
      </c>
      <c r="N200" s="23" t="s">
        <v>45</v>
      </c>
      <c r="O200" s="23" t="s">
        <v>23</v>
      </c>
      <c r="P200" s="23" t="s">
        <v>238</v>
      </c>
      <c r="Q200" s="23" t="s">
        <v>133</v>
      </c>
      <c r="R200" s="23" t="s">
        <v>237</v>
      </c>
      <c r="S200" s="33">
        <v>0.4</v>
      </c>
      <c r="T200" s="13">
        <v>613.90800000000002</v>
      </c>
      <c r="U200" s="13">
        <v>-122.7816</v>
      </c>
      <c r="V200" s="55">
        <f>IFERROR(Table12[[#This Row],[Profit]]/Table12[[#This Row],[Sales]],0)</f>
        <v>-0.19999999999999998</v>
      </c>
    </row>
    <row r="201" spans="1:22" x14ac:dyDescent="0.2">
      <c r="A201">
        <v>200</v>
      </c>
      <c r="B201" t="s">
        <v>4778</v>
      </c>
      <c r="C201" s="1">
        <v>41715</v>
      </c>
      <c r="D201" s="22">
        <f>MONTH(Table12[[#This Row],[Order Date]])</f>
        <v>3</v>
      </c>
      <c r="E201" t="s">
        <v>4779</v>
      </c>
      <c r="F201" t="s">
        <v>4780</v>
      </c>
      <c r="G201" s="23" t="s">
        <v>41</v>
      </c>
      <c r="H201" s="23" t="s">
        <v>82</v>
      </c>
      <c r="I201" t="s">
        <v>2118</v>
      </c>
      <c r="J201" s="23" t="s">
        <v>36</v>
      </c>
      <c r="K201" s="22">
        <v>7</v>
      </c>
      <c r="L201" s="1">
        <v>41719</v>
      </c>
      <c r="M201" s="22">
        <f>Table12[[#This Row],[Ship Date]]-Table12[[#This Row],[Order Date]]</f>
        <v>4</v>
      </c>
      <c r="N201" s="23" t="s">
        <v>45</v>
      </c>
      <c r="O201" s="23" t="s">
        <v>23</v>
      </c>
      <c r="P201" s="23" t="s">
        <v>238</v>
      </c>
      <c r="Q201" s="23" t="s">
        <v>133</v>
      </c>
      <c r="R201" s="23" t="s">
        <v>237</v>
      </c>
      <c r="S201" s="33">
        <v>0</v>
      </c>
      <c r="T201" s="13">
        <v>34.86</v>
      </c>
      <c r="U201" s="13">
        <v>16.3842</v>
      </c>
      <c r="V201" s="55">
        <f>IFERROR(Table12[[#This Row],[Profit]]/Table12[[#This Row],[Sales]],0)</f>
        <v>0.47000000000000003</v>
      </c>
    </row>
    <row r="202" spans="1:22" x14ac:dyDescent="0.2">
      <c r="A202">
        <v>201</v>
      </c>
      <c r="B202" t="s">
        <v>4778</v>
      </c>
      <c r="C202" s="1">
        <v>41715</v>
      </c>
      <c r="D202" s="22">
        <f>MONTH(Table12[[#This Row],[Order Date]])</f>
        <v>3</v>
      </c>
      <c r="E202" t="s">
        <v>4781</v>
      </c>
      <c r="F202" t="s">
        <v>4782</v>
      </c>
      <c r="G202" s="23" t="s">
        <v>41</v>
      </c>
      <c r="H202" s="23" t="s">
        <v>82</v>
      </c>
      <c r="I202" t="s">
        <v>2118</v>
      </c>
      <c r="J202" s="23" t="s">
        <v>36</v>
      </c>
      <c r="K202" s="22">
        <v>4</v>
      </c>
      <c r="L202" s="1">
        <v>41719</v>
      </c>
      <c r="M202" s="22">
        <f>Table12[[#This Row],[Ship Date]]-Table12[[#This Row],[Order Date]]</f>
        <v>4</v>
      </c>
      <c r="N202" s="23" t="s">
        <v>45</v>
      </c>
      <c r="O202" s="23" t="s">
        <v>23</v>
      </c>
      <c r="P202" s="23" t="s">
        <v>238</v>
      </c>
      <c r="Q202" s="23" t="s">
        <v>133</v>
      </c>
      <c r="R202" s="23" t="s">
        <v>237</v>
      </c>
      <c r="S202" s="33">
        <v>0</v>
      </c>
      <c r="T202" s="13">
        <v>155.04</v>
      </c>
      <c r="U202" s="13">
        <v>75.9696</v>
      </c>
      <c r="V202" s="55">
        <f>IFERROR(Table12[[#This Row],[Profit]]/Table12[[#This Row],[Sales]],0)</f>
        <v>0.49000000000000005</v>
      </c>
    </row>
    <row r="203" spans="1:22" x14ac:dyDescent="0.2">
      <c r="A203">
        <v>202</v>
      </c>
      <c r="B203" t="s">
        <v>7242</v>
      </c>
      <c r="C203" s="1">
        <v>41715</v>
      </c>
      <c r="D203" s="22">
        <f>MONTH(Table12[[#This Row],[Order Date]])</f>
        <v>3</v>
      </c>
      <c r="E203" t="s">
        <v>1134</v>
      </c>
      <c r="F203" t="s">
        <v>1135</v>
      </c>
      <c r="G203" s="23" t="s">
        <v>41</v>
      </c>
      <c r="H203" s="23" t="s">
        <v>61</v>
      </c>
      <c r="I203" t="s">
        <v>4881</v>
      </c>
      <c r="J203" s="23" t="s">
        <v>22</v>
      </c>
      <c r="K203" s="22">
        <v>2</v>
      </c>
      <c r="L203" s="1">
        <v>41715</v>
      </c>
      <c r="M203" s="22">
        <f>Table12[[#This Row],[Ship Date]]-Table12[[#This Row],[Order Date]]</f>
        <v>0</v>
      </c>
      <c r="N203" s="23" t="s">
        <v>1141</v>
      </c>
      <c r="O203" s="23" t="s">
        <v>23</v>
      </c>
      <c r="P203" s="23" t="s">
        <v>94</v>
      </c>
      <c r="Q203" s="23" t="s">
        <v>95</v>
      </c>
      <c r="R203" s="23" t="s">
        <v>718</v>
      </c>
      <c r="S203" s="33">
        <v>0.2</v>
      </c>
      <c r="T203" s="13">
        <v>4.4480000000000004</v>
      </c>
      <c r="U203" s="13">
        <v>0.33360000000000001</v>
      </c>
      <c r="V203" s="55">
        <f>IFERROR(Table12[[#This Row],[Profit]]/Table12[[#This Row],[Sales]],0)</f>
        <v>7.4999999999999997E-2</v>
      </c>
    </row>
    <row r="204" spans="1:22" x14ac:dyDescent="0.2">
      <c r="A204">
        <v>203</v>
      </c>
      <c r="B204" t="s">
        <v>7242</v>
      </c>
      <c r="C204" s="1">
        <v>41715</v>
      </c>
      <c r="D204" s="22">
        <f>MONTH(Table12[[#This Row],[Order Date]])</f>
        <v>3</v>
      </c>
      <c r="E204" t="s">
        <v>2501</v>
      </c>
      <c r="F204" t="s">
        <v>6101</v>
      </c>
      <c r="G204" s="23" t="s">
        <v>41</v>
      </c>
      <c r="H204" s="23" t="s">
        <v>82</v>
      </c>
      <c r="I204" t="s">
        <v>4881</v>
      </c>
      <c r="J204" s="23" t="s">
        <v>22</v>
      </c>
      <c r="K204" s="22">
        <v>1</v>
      </c>
      <c r="L204" s="1">
        <v>41715</v>
      </c>
      <c r="M204" s="22">
        <f>Table12[[#This Row],[Ship Date]]-Table12[[#This Row],[Order Date]]</f>
        <v>0</v>
      </c>
      <c r="N204" s="23" t="s">
        <v>1141</v>
      </c>
      <c r="O204" s="23" t="s">
        <v>23</v>
      </c>
      <c r="P204" s="23" t="s">
        <v>94</v>
      </c>
      <c r="Q204" s="23" t="s">
        <v>95</v>
      </c>
      <c r="R204" s="23" t="s">
        <v>718</v>
      </c>
      <c r="S204" s="33">
        <v>0.2</v>
      </c>
      <c r="T204" s="13">
        <v>5.1840000000000002</v>
      </c>
      <c r="U204" s="13">
        <v>1.8792</v>
      </c>
      <c r="V204" s="55">
        <f>IFERROR(Table12[[#This Row],[Profit]]/Table12[[#This Row],[Sales]],0)</f>
        <v>0.36249999999999999</v>
      </c>
    </row>
    <row r="205" spans="1:22" x14ac:dyDescent="0.2">
      <c r="A205">
        <v>204</v>
      </c>
      <c r="B205" t="s">
        <v>7242</v>
      </c>
      <c r="C205" s="1">
        <v>41715</v>
      </c>
      <c r="D205" s="22">
        <f>MONTH(Table12[[#This Row],[Order Date]])</f>
        <v>3</v>
      </c>
      <c r="E205" t="s">
        <v>81</v>
      </c>
      <c r="F205" t="s">
        <v>83</v>
      </c>
      <c r="G205" s="23" t="s">
        <v>41</v>
      </c>
      <c r="H205" s="23" t="s">
        <v>82</v>
      </c>
      <c r="I205" t="s">
        <v>4881</v>
      </c>
      <c r="J205" s="23" t="s">
        <v>22</v>
      </c>
      <c r="K205" s="22">
        <v>3</v>
      </c>
      <c r="L205" s="1">
        <v>41715</v>
      </c>
      <c r="M205" s="22">
        <f>Table12[[#This Row],[Ship Date]]-Table12[[#This Row],[Order Date]]</f>
        <v>0</v>
      </c>
      <c r="N205" s="23" t="s">
        <v>1141</v>
      </c>
      <c r="O205" s="23" t="s">
        <v>23</v>
      </c>
      <c r="P205" s="23" t="s">
        <v>94</v>
      </c>
      <c r="Q205" s="23" t="s">
        <v>95</v>
      </c>
      <c r="R205" s="23" t="s">
        <v>718</v>
      </c>
      <c r="S205" s="33">
        <v>0.2</v>
      </c>
      <c r="T205" s="13">
        <v>15.552</v>
      </c>
      <c r="U205" s="13">
        <v>5.4432</v>
      </c>
      <c r="V205" s="55">
        <f>IFERROR(Table12[[#This Row],[Profit]]/Table12[[#This Row],[Sales]],0)</f>
        <v>0.35000000000000003</v>
      </c>
    </row>
    <row r="206" spans="1:22" x14ac:dyDescent="0.2">
      <c r="A206">
        <v>205</v>
      </c>
      <c r="B206" t="s">
        <v>8698</v>
      </c>
      <c r="C206" s="1">
        <v>41715</v>
      </c>
      <c r="D206" s="22">
        <f>MONTH(Table12[[#This Row],[Order Date]])</f>
        <v>3</v>
      </c>
      <c r="E206" t="s">
        <v>1831</v>
      </c>
      <c r="F206" t="s">
        <v>1832</v>
      </c>
      <c r="G206" s="23" t="s">
        <v>41</v>
      </c>
      <c r="H206" s="23" t="s">
        <v>68</v>
      </c>
      <c r="I206" t="s">
        <v>7958</v>
      </c>
      <c r="J206" s="23" t="s">
        <v>36</v>
      </c>
      <c r="K206" s="22">
        <v>3</v>
      </c>
      <c r="L206" s="1">
        <v>41719</v>
      </c>
      <c r="M206" s="22">
        <f>Table12[[#This Row],[Ship Date]]-Table12[[#This Row],[Order Date]]</f>
        <v>4</v>
      </c>
      <c r="N206" s="23" t="s">
        <v>45</v>
      </c>
      <c r="O206" s="23" t="s">
        <v>23</v>
      </c>
      <c r="P206" s="23" t="s">
        <v>1315</v>
      </c>
      <c r="Q206" s="23" t="s">
        <v>26</v>
      </c>
      <c r="R206" s="23" t="s">
        <v>293</v>
      </c>
      <c r="S206" s="33">
        <v>0</v>
      </c>
      <c r="T206" s="13">
        <v>11.43</v>
      </c>
      <c r="U206" s="13">
        <v>5.3720999999999997</v>
      </c>
      <c r="V206" s="55">
        <f>IFERROR(Table12[[#This Row],[Profit]]/Table12[[#This Row],[Sales]],0)</f>
        <v>0.47</v>
      </c>
    </row>
    <row r="207" spans="1:22" x14ac:dyDescent="0.2">
      <c r="A207">
        <v>206</v>
      </c>
      <c r="B207" t="s">
        <v>8698</v>
      </c>
      <c r="C207" s="1">
        <v>41715</v>
      </c>
      <c r="D207" s="22">
        <f>MONTH(Table12[[#This Row],[Order Date]])</f>
        <v>3</v>
      </c>
      <c r="E207" t="s">
        <v>1181</v>
      </c>
      <c r="F207" t="s">
        <v>1182</v>
      </c>
      <c r="G207" s="23" t="s">
        <v>41</v>
      </c>
      <c r="H207" s="23" t="s">
        <v>68</v>
      </c>
      <c r="I207" t="s">
        <v>7958</v>
      </c>
      <c r="J207" s="23" t="s">
        <v>36</v>
      </c>
      <c r="K207" s="22">
        <v>2</v>
      </c>
      <c r="L207" s="1">
        <v>41719</v>
      </c>
      <c r="M207" s="22">
        <f>Table12[[#This Row],[Ship Date]]-Table12[[#This Row],[Order Date]]</f>
        <v>4</v>
      </c>
      <c r="N207" s="23" t="s">
        <v>45</v>
      </c>
      <c r="O207" s="23" t="s">
        <v>23</v>
      </c>
      <c r="P207" s="23" t="s">
        <v>1315</v>
      </c>
      <c r="Q207" s="23" t="s">
        <v>26</v>
      </c>
      <c r="R207" s="23" t="s">
        <v>293</v>
      </c>
      <c r="S207" s="33">
        <v>0</v>
      </c>
      <c r="T207" s="13">
        <v>30.44</v>
      </c>
      <c r="U207" s="13">
        <v>14.9156</v>
      </c>
      <c r="V207" s="55">
        <f>IFERROR(Table12[[#This Row],[Profit]]/Table12[[#This Row],[Sales]],0)</f>
        <v>0.49</v>
      </c>
    </row>
    <row r="208" spans="1:22" x14ac:dyDescent="0.2">
      <c r="A208">
        <v>207</v>
      </c>
      <c r="B208" t="s">
        <v>8698</v>
      </c>
      <c r="C208" s="1">
        <v>41715</v>
      </c>
      <c r="D208" s="22">
        <f>MONTH(Table12[[#This Row],[Order Date]])</f>
        <v>3</v>
      </c>
      <c r="E208" t="s">
        <v>809</v>
      </c>
      <c r="F208" t="s">
        <v>810</v>
      </c>
      <c r="G208" s="23" t="s">
        <v>41</v>
      </c>
      <c r="H208" s="23" t="s">
        <v>82</v>
      </c>
      <c r="I208" t="s">
        <v>7958</v>
      </c>
      <c r="J208" s="23" t="s">
        <v>36</v>
      </c>
      <c r="K208" s="22">
        <v>2</v>
      </c>
      <c r="L208" s="1">
        <v>41719</v>
      </c>
      <c r="M208" s="22">
        <f>Table12[[#This Row],[Ship Date]]-Table12[[#This Row],[Order Date]]</f>
        <v>4</v>
      </c>
      <c r="N208" s="23" t="s">
        <v>45</v>
      </c>
      <c r="O208" s="23" t="s">
        <v>23</v>
      </c>
      <c r="P208" s="23" t="s">
        <v>1315</v>
      </c>
      <c r="Q208" s="23" t="s">
        <v>26</v>
      </c>
      <c r="R208" s="23" t="s">
        <v>293</v>
      </c>
      <c r="S208" s="33">
        <v>0</v>
      </c>
      <c r="T208" s="13">
        <v>12.96</v>
      </c>
      <c r="U208" s="13">
        <v>6.3503999999999996</v>
      </c>
      <c r="V208" s="55">
        <f>IFERROR(Table12[[#This Row],[Profit]]/Table12[[#This Row],[Sales]],0)</f>
        <v>0.48999999999999994</v>
      </c>
    </row>
    <row r="209" spans="1:22" x14ac:dyDescent="0.2">
      <c r="A209">
        <v>208</v>
      </c>
      <c r="B209" t="s">
        <v>8698</v>
      </c>
      <c r="C209" s="1">
        <v>41715</v>
      </c>
      <c r="D209" s="22">
        <f>MONTH(Table12[[#This Row],[Order Date]])</f>
        <v>3</v>
      </c>
      <c r="E209" t="s">
        <v>7412</v>
      </c>
      <c r="F209" t="s">
        <v>7413</v>
      </c>
      <c r="G209" s="23" t="s">
        <v>41</v>
      </c>
      <c r="H209" s="23" t="s">
        <v>82</v>
      </c>
      <c r="I209" t="s">
        <v>7958</v>
      </c>
      <c r="J209" s="23" t="s">
        <v>36</v>
      </c>
      <c r="K209" s="22">
        <v>4</v>
      </c>
      <c r="L209" s="1">
        <v>41719</v>
      </c>
      <c r="M209" s="22">
        <f>Table12[[#This Row],[Ship Date]]-Table12[[#This Row],[Order Date]]</f>
        <v>4</v>
      </c>
      <c r="N209" s="23" t="s">
        <v>45</v>
      </c>
      <c r="O209" s="23" t="s">
        <v>23</v>
      </c>
      <c r="P209" s="23" t="s">
        <v>1315</v>
      </c>
      <c r="Q209" s="23" t="s">
        <v>26</v>
      </c>
      <c r="R209" s="23" t="s">
        <v>293</v>
      </c>
      <c r="S209" s="33">
        <v>0</v>
      </c>
      <c r="T209" s="13">
        <v>16</v>
      </c>
      <c r="U209" s="13">
        <v>7.68</v>
      </c>
      <c r="V209" s="55">
        <f>IFERROR(Table12[[#This Row],[Profit]]/Table12[[#This Row],[Sales]],0)</f>
        <v>0.48</v>
      </c>
    </row>
    <row r="210" spans="1:22" x14ac:dyDescent="0.2">
      <c r="A210">
        <v>209</v>
      </c>
      <c r="B210" t="s">
        <v>8698</v>
      </c>
      <c r="C210" s="1">
        <v>41715</v>
      </c>
      <c r="D210" s="22">
        <f>MONTH(Table12[[#This Row],[Order Date]])</f>
        <v>3</v>
      </c>
      <c r="E210" t="s">
        <v>3197</v>
      </c>
      <c r="F210" t="s">
        <v>3198</v>
      </c>
      <c r="G210" s="23" t="s">
        <v>41</v>
      </c>
      <c r="H210" s="23" t="s">
        <v>71</v>
      </c>
      <c r="I210" t="s">
        <v>7958</v>
      </c>
      <c r="J210" s="23" t="s">
        <v>36</v>
      </c>
      <c r="K210" s="22">
        <v>3</v>
      </c>
      <c r="L210" s="1">
        <v>41719</v>
      </c>
      <c r="M210" s="22">
        <f>Table12[[#This Row],[Ship Date]]-Table12[[#This Row],[Order Date]]</f>
        <v>4</v>
      </c>
      <c r="N210" s="23" t="s">
        <v>45</v>
      </c>
      <c r="O210" s="23" t="s">
        <v>23</v>
      </c>
      <c r="P210" s="23" t="s">
        <v>1315</v>
      </c>
      <c r="Q210" s="23" t="s">
        <v>26</v>
      </c>
      <c r="R210" s="23" t="s">
        <v>293</v>
      </c>
      <c r="S210" s="33">
        <v>0</v>
      </c>
      <c r="T210" s="13">
        <v>32.67</v>
      </c>
      <c r="U210" s="13">
        <v>8.4941999999999993</v>
      </c>
      <c r="V210" s="55">
        <f>IFERROR(Table12[[#This Row],[Profit]]/Table12[[#This Row],[Sales]],0)</f>
        <v>0.25999999999999995</v>
      </c>
    </row>
    <row r="211" spans="1:22" x14ac:dyDescent="0.2">
      <c r="A211">
        <v>210</v>
      </c>
      <c r="B211" t="s">
        <v>9002</v>
      </c>
      <c r="C211" s="1">
        <v>41715</v>
      </c>
      <c r="D211" s="22">
        <f>MONTH(Table12[[#This Row],[Order Date]])</f>
        <v>3</v>
      </c>
      <c r="E211" t="s">
        <v>3294</v>
      </c>
      <c r="F211" t="s">
        <v>3295</v>
      </c>
      <c r="G211" s="23" t="s">
        <v>41</v>
      </c>
      <c r="H211" s="23" t="s">
        <v>82</v>
      </c>
      <c r="I211" t="s">
        <v>3182</v>
      </c>
      <c r="J211" s="23" t="s">
        <v>36</v>
      </c>
      <c r="K211" s="22">
        <v>6</v>
      </c>
      <c r="L211" s="1">
        <v>41718</v>
      </c>
      <c r="M211" s="22">
        <f>Table12[[#This Row],[Ship Date]]-Table12[[#This Row],[Order Date]]</f>
        <v>3</v>
      </c>
      <c r="N211" s="23" t="s">
        <v>20</v>
      </c>
      <c r="O211" s="23" t="s">
        <v>23</v>
      </c>
      <c r="P211" s="23" t="s">
        <v>132</v>
      </c>
      <c r="Q211" s="23" t="s">
        <v>133</v>
      </c>
      <c r="R211" s="23" t="s">
        <v>131</v>
      </c>
      <c r="S211" s="33">
        <v>0.2</v>
      </c>
      <c r="T211" s="13">
        <v>126.624</v>
      </c>
      <c r="U211" s="13">
        <v>41.152799999999999</v>
      </c>
      <c r="V211" s="55">
        <f>IFERROR(Table12[[#This Row],[Profit]]/Table12[[#This Row],[Sales]],0)</f>
        <v>0.32500000000000001</v>
      </c>
    </row>
    <row r="212" spans="1:22" x14ac:dyDescent="0.2">
      <c r="A212">
        <v>211</v>
      </c>
      <c r="B212" t="s">
        <v>5196</v>
      </c>
      <c r="C212" s="1">
        <v>41716</v>
      </c>
      <c r="D212" s="22">
        <f>MONTH(Table12[[#This Row],[Order Date]])</f>
        <v>3</v>
      </c>
      <c r="E212" t="s">
        <v>5197</v>
      </c>
      <c r="F212" t="s">
        <v>5198</v>
      </c>
      <c r="G212" s="23" t="s">
        <v>64</v>
      </c>
      <c r="H212" s="23" t="s">
        <v>602</v>
      </c>
      <c r="I212" t="s">
        <v>4661</v>
      </c>
      <c r="J212" s="23" t="s">
        <v>92</v>
      </c>
      <c r="K212" s="22">
        <v>4</v>
      </c>
      <c r="L212" s="1">
        <v>41721</v>
      </c>
      <c r="M212" s="22">
        <f>Table12[[#This Row],[Ship Date]]-Table12[[#This Row],[Order Date]]</f>
        <v>5</v>
      </c>
      <c r="N212" s="23" t="s">
        <v>45</v>
      </c>
      <c r="O212" s="23" t="s">
        <v>23</v>
      </c>
      <c r="P212" s="23" t="s">
        <v>48</v>
      </c>
      <c r="Q212" s="23" t="s">
        <v>26</v>
      </c>
      <c r="R212" s="23" t="s">
        <v>1345</v>
      </c>
      <c r="S212" s="33">
        <v>0.5</v>
      </c>
      <c r="T212" s="13">
        <v>821.3</v>
      </c>
      <c r="U212" s="13">
        <v>-16.425999999999998</v>
      </c>
      <c r="V212" s="55">
        <f>IFERROR(Table12[[#This Row],[Profit]]/Table12[[#This Row],[Sales]],0)</f>
        <v>-0.02</v>
      </c>
    </row>
    <row r="213" spans="1:22" x14ac:dyDescent="0.2">
      <c r="A213">
        <v>212</v>
      </c>
      <c r="B213" t="s">
        <v>5196</v>
      </c>
      <c r="C213" s="1">
        <v>41716</v>
      </c>
      <c r="D213" s="22">
        <f>MONTH(Table12[[#This Row],[Order Date]])</f>
        <v>3</v>
      </c>
      <c r="E213" t="s">
        <v>5199</v>
      </c>
      <c r="F213" t="s">
        <v>5200</v>
      </c>
      <c r="G213" s="23" t="s">
        <v>64</v>
      </c>
      <c r="H213" s="23" t="s">
        <v>602</v>
      </c>
      <c r="I213" t="s">
        <v>4661</v>
      </c>
      <c r="J213" s="23" t="s">
        <v>92</v>
      </c>
      <c r="K213" s="22">
        <v>6</v>
      </c>
      <c r="L213" s="1">
        <v>41721</v>
      </c>
      <c r="M213" s="22">
        <f>Table12[[#This Row],[Ship Date]]-Table12[[#This Row],[Order Date]]</f>
        <v>5</v>
      </c>
      <c r="N213" s="23" t="s">
        <v>45</v>
      </c>
      <c r="O213" s="23" t="s">
        <v>23</v>
      </c>
      <c r="P213" s="23" t="s">
        <v>48</v>
      </c>
      <c r="Q213" s="23" t="s">
        <v>26</v>
      </c>
      <c r="R213" s="23" t="s">
        <v>1345</v>
      </c>
      <c r="S213" s="33">
        <v>0.5</v>
      </c>
      <c r="T213" s="13">
        <v>22638.48</v>
      </c>
      <c r="U213" s="13">
        <v>-1811.0784000000001</v>
      </c>
      <c r="V213" s="55">
        <f>IFERROR(Table12[[#This Row],[Profit]]/Table12[[#This Row],[Sales]],0)</f>
        <v>-0.08</v>
      </c>
    </row>
    <row r="214" spans="1:22" x14ac:dyDescent="0.2">
      <c r="A214">
        <v>213</v>
      </c>
      <c r="B214" t="s">
        <v>5196</v>
      </c>
      <c r="C214" s="1">
        <v>41716</v>
      </c>
      <c r="D214" s="22">
        <f>MONTH(Table12[[#This Row],[Order Date]])</f>
        <v>3</v>
      </c>
      <c r="E214" t="s">
        <v>502</v>
      </c>
      <c r="F214" t="s">
        <v>503</v>
      </c>
      <c r="G214" s="23" t="s">
        <v>41</v>
      </c>
      <c r="H214" s="23" t="s">
        <v>82</v>
      </c>
      <c r="I214" t="s">
        <v>4661</v>
      </c>
      <c r="J214" s="23" t="s">
        <v>92</v>
      </c>
      <c r="K214" s="22">
        <v>4</v>
      </c>
      <c r="L214" s="1">
        <v>41721</v>
      </c>
      <c r="M214" s="22">
        <f>Table12[[#This Row],[Ship Date]]-Table12[[#This Row],[Order Date]]</f>
        <v>5</v>
      </c>
      <c r="N214" s="23" t="s">
        <v>45</v>
      </c>
      <c r="O214" s="23" t="s">
        <v>23</v>
      </c>
      <c r="P214" s="23" t="s">
        <v>48</v>
      </c>
      <c r="Q214" s="23" t="s">
        <v>26</v>
      </c>
      <c r="R214" s="23" t="s">
        <v>1345</v>
      </c>
      <c r="S214" s="33">
        <v>0.2</v>
      </c>
      <c r="T214" s="13">
        <v>21.376000000000001</v>
      </c>
      <c r="U214" s="13">
        <v>7.4816000000000003</v>
      </c>
      <c r="V214" s="55">
        <f>IFERROR(Table12[[#This Row],[Profit]]/Table12[[#This Row],[Sales]],0)</f>
        <v>0.35</v>
      </c>
    </row>
    <row r="215" spans="1:22" x14ac:dyDescent="0.2">
      <c r="A215">
        <v>214</v>
      </c>
      <c r="B215" t="s">
        <v>5196</v>
      </c>
      <c r="C215" s="1">
        <v>41716</v>
      </c>
      <c r="D215" s="22">
        <f>MONTH(Table12[[#This Row],[Order Date]])</f>
        <v>3</v>
      </c>
      <c r="E215" t="s">
        <v>5201</v>
      </c>
      <c r="F215" t="s">
        <v>5202</v>
      </c>
      <c r="G215" s="23" t="s">
        <v>41</v>
      </c>
      <c r="H215" s="23" t="s">
        <v>61</v>
      </c>
      <c r="I215" t="s">
        <v>4661</v>
      </c>
      <c r="J215" s="23" t="s">
        <v>92</v>
      </c>
      <c r="K215" s="22">
        <v>3</v>
      </c>
      <c r="L215" s="1">
        <v>41721</v>
      </c>
      <c r="M215" s="22">
        <f>Table12[[#This Row],[Ship Date]]-Table12[[#This Row],[Order Date]]</f>
        <v>5</v>
      </c>
      <c r="N215" s="23" t="s">
        <v>45</v>
      </c>
      <c r="O215" s="23" t="s">
        <v>23</v>
      </c>
      <c r="P215" s="23" t="s">
        <v>48</v>
      </c>
      <c r="Q215" s="23" t="s">
        <v>26</v>
      </c>
      <c r="R215" s="23" t="s">
        <v>1345</v>
      </c>
      <c r="S215" s="33">
        <v>0.2</v>
      </c>
      <c r="T215" s="13">
        <v>8.016</v>
      </c>
      <c r="U215" s="13">
        <v>1.002</v>
      </c>
      <c r="V215" s="55">
        <f>IFERROR(Table12[[#This Row],[Profit]]/Table12[[#This Row],[Sales]],0)</f>
        <v>0.125</v>
      </c>
    </row>
    <row r="216" spans="1:22" x14ac:dyDescent="0.2">
      <c r="A216">
        <v>215</v>
      </c>
      <c r="B216" t="s">
        <v>5196</v>
      </c>
      <c r="C216" s="1">
        <v>41716</v>
      </c>
      <c r="D216" s="22">
        <f>MONTH(Table12[[#This Row],[Order Date]])</f>
        <v>3</v>
      </c>
      <c r="E216" t="s">
        <v>3490</v>
      </c>
      <c r="F216" t="s">
        <v>5133</v>
      </c>
      <c r="G216" s="23" t="s">
        <v>28</v>
      </c>
      <c r="H216" s="23" t="s">
        <v>58</v>
      </c>
      <c r="I216" t="s">
        <v>4661</v>
      </c>
      <c r="J216" s="23" t="s">
        <v>92</v>
      </c>
      <c r="K216" s="22">
        <v>2</v>
      </c>
      <c r="L216" s="1">
        <v>41721</v>
      </c>
      <c r="M216" s="22">
        <f>Table12[[#This Row],[Ship Date]]-Table12[[#This Row],[Order Date]]</f>
        <v>5</v>
      </c>
      <c r="N216" s="23" t="s">
        <v>45</v>
      </c>
      <c r="O216" s="23" t="s">
        <v>23</v>
      </c>
      <c r="P216" s="23" t="s">
        <v>48</v>
      </c>
      <c r="Q216" s="23" t="s">
        <v>26</v>
      </c>
      <c r="R216" s="23" t="s">
        <v>1345</v>
      </c>
      <c r="S216" s="33">
        <v>0.2</v>
      </c>
      <c r="T216" s="13">
        <v>30.768000000000001</v>
      </c>
      <c r="U216" s="13">
        <v>8.0765999999999991</v>
      </c>
      <c r="V216" s="55">
        <f>IFERROR(Table12[[#This Row],[Profit]]/Table12[[#This Row],[Sales]],0)</f>
        <v>0.26249999999999996</v>
      </c>
    </row>
    <row r="217" spans="1:22" x14ac:dyDescent="0.2">
      <c r="A217">
        <v>216</v>
      </c>
      <c r="B217" t="s">
        <v>5196</v>
      </c>
      <c r="C217" s="1">
        <v>41716</v>
      </c>
      <c r="D217" s="22">
        <f>MONTH(Table12[[#This Row],[Order Date]])</f>
        <v>3</v>
      </c>
      <c r="E217" t="s">
        <v>1883</v>
      </c>
      <c r="F217" t="s">
        <v>498</v>
      </c>
      <c r="G217" s="23" t="s">
        <v>41</v>
      </c>
      <c r="H217" s="23" t="s">
        <v>240</v>
      </c>
      <c r="I217" t="s">
        <v>4661</v>
      </c>
      <c r="J217" s="23" t="s">
        <v>92</v>
      </c>
      <c r="K217" s="22">
        <v>3</v>
      </c>
      <c r="L217" s="1">
        <v>41721</v>
      </c>
      <c r="M217" s="22">
        <f>Table12[[#This Row],[Ship Date]]-Table12[[#This Row],[Order Date]]</f>
        <v>5</v>
      </c>
      <c r="N217" s="23" t="s">
        <v>45</v>
      </c>
      <c r="O217" s="23" t="s">
        <v>23</v>
      </c>
      <c r="P217" s="23" t="s">
        <v>48</v>
      </c>
      <c r="Q217" s="23" t="s">
        <v>26</v>
      </c>
      <c r="R217" s="23" t="s">
        <v>1345</v>
      </c>
      <c r="S217" s="33">
        <v>0.2</v>
      </c>
      <c r="T217" s="13">
        <v>18.936</v>
      </c>
      <c r="U217" s="13">
        <v>5.9175000000000004</v>
      </c>
      <c r="V217" s="55">
        <f>IFERROR(Table12[[#This Row],[Profit]]/Table12[[#This Row],[Sales]],0)</f>
        <v>0.3125</v>
      </c>
    </row>
    <row r="218" spans="1:22" x14ac:dyDescent="0.2">
      <c r="A218">
        <v>217</v>
      </c>
      <c r="B218" t="s">
        <v>5196</v>
      </c>
      <c r="C218" s="1">
        <v>41716</v>
      </c>
      <c r="D218" s="22">
        <f>MONTH(Table12[[#This Row],[Order Date]])</f>
        <v>3</v>
      </c>
      <c r="E218" t="s">
        <v>4085</v>
      </c>
      <c r="F218" t="s">
        <v>4086</v>
      </c>
      <c r="G218" s="23" t="s">
        <v>28</v>
      </c>
      <c r="H218" s="23" t="s">
        <v>58</v>
      </c>
      <c r="I218" t="s">
        <v>4661</v>
      </c>
      <c r="J218" s="23" t="s">
        <v>92</v>
      </c>
      <c r="K218" s="22">
        <v>3</v>
      </c>
      <c r="L218" s="1">
        <v>41721</v>
      </c>
      <c r="M218" s="22">
        <f>Table12[[#This Row],[Ship Date]]-Table12[[#This Row],[Order Date]]</f>
        <v>5</v>
      </c>
      <c r="N218" s="23" t="s">
        <v>45</v>
      </c>
      <c r="O218" s="23" t="s">
        <v>23</v>
      </c>
      <c r="P218" s="23" t="s">
        <v>48</v>
      </c>
      <c r="Q218" s="23" t="s">
        <v>26</v>
      </c>
      <c r="R218" s="23" t="s">
        <v>1345</v>
      </c>
      <c r="S218" s="33">
        <v>0.2</v>
      </c>
      <c r="T218" s="13">
        <v>122.352</v>
      </c>
      <c r="U218" s="13">
        <v>15.294</v>
      </c>
      <c r="V218" s="55">
        <f>IFERROR(Table12[[#This Row],[Profit]]/Table12[[#This Row],[Sales]],0)</f>
        <v>0.125</v>
      </c>
    </row>
    <row r="219" spans="1:22" x14ac:dyDescent="0.2">
      <c r="A219">
        <v>218</v>
      </c>
      <c r="B219" t="s">
        <v>7946</v>
      </c>
      <c r="C219" s="1">
        <v>41716</v>
      </c>
      <c r="D219" s="22">
        <f>MONTH(Table12[[#This Row],[Order Date]])</f>
        <v>3</v>
      </c>
      <c r="E219" t="s">
        <v>6331</v>
      </c>
      <c r="F219" t="s">
        <v>6332</v>
      </c>
      <c r="G219" s="23" t="s">
        <v>28</v>
      </c>
      <c r="H219" s="23" t="s">
        <v>29</v>
      </c>
      <c r="I219" t="s">
        <v>6543</v>
      </c>
      <c r="J219" s="23" t="s">
        <v>92</v>
      </c>
      <c r="K219" s="22">
        <v>10</v>
      </c>
      <c r="L219" s="1">
        <v>41719</v>
      </c>
      <c r="M219" s="22">
        <f>Table12[[#This Row],[Ship Date]]-Table12[[#This Row],[Order Date]]</f>
        <v>3</v>
      </c>
      <c r="N219" s="23" t="s">
        <v>20</v>
      </c>
      <c r="O219" s="23" t="s">
        <v>23</v>
      </c>
      <c r="P219" s="23" t="s">
        <v>38</v>
      </c>
      <c r="Q219" s="23" t="s">
        <v>39</v>
      </c>
      <c r="R219" s="23" t="s">
        <v>114</v>
      </c>
      <c r="S219" s="33">
        <v>0.15</v>
      </c>
      <c r="T219" s="13">
        <v>1198.33</v>
      </c>
      <c r="U219" s="13">
        <v>70.489999999999995</v>
      </c>
      <c r="V219" s="55">
        <f>IFERROR(Table12[[#This Row],[Profit]]/Table12[[#This Row],[Sales]],0)</f>
        <v>5.8823529411764705E-2</v>
      </c>
    </row>
    <row r="220" spans="1:22" x14ac:dyDescent="0.2">
      <c r="A220">
        <v>219</v>
      </c>
      <c r="B220" t="s">
        <v>8645</v>
      </c>
      <c r="C220" s="1">
        <v>41716</v>
      </c>
      <c r="D220" s="22">
        <f>MONTH(Table12[[#This Row],[Order Date]])</f>
        <v>3</v>
      </c>
      <c r="E220" t="s">
        <v>4625</v>
      </c>
      <c r="F220" t="s">
        <v>4626</v>
      </c>
      <c r="G220" s="23" t="s">
        <v>28</v>
      </c>
      <c r="H220" s="23" t="s">
        <v>58</v>
      </c>
      <c r="I220" t="s">
        <v>2465</v>
      </c>
      <c r="J220" s="23" t="s">
        <v>92</v>
      </c>
      <c r="K220" s="22">
        <v>2</v>
      </c>
      <c r="L220" s="1">
        <v>41722</v>
      </c>
      <c r="M220" s="22">
        <f>Table12[[#This Row],[Ship Date]]-Table12[[#This Row],[Order Date]]</f>
        <v>6</v>
      </c>
      <c r="N220" s="23" t="s">
        <v>45</v>
      </c>
      <c r="O220" s="23" t="s">
        <v>23</v>
      </c>
      <c r="P220" s="23" t="s">
        <v>38</v>
      </c>
      <c r="Q220" s="23" t="s">
        <v>39</v>
      </c>
      <c r="R220" s="23" t="s">
        <v>8646</v>
      </c>
      <c r="S220" s="33">
        <v>0</v>
      </c>
      <c r="T220" s="13">
        <v>111</v>
      </c>
      <c r="U220" s="13">
        <v>14.43</v>
      </c>
      <c r="V220" s="55">
        <f>IFERROR(Table12[[#This Row],[Profit]]/Table12[[#This Row],[Sales]],0)</f>
        <v>0.13</v>
      </c>
    </row>
    <row r="221" spans="1:22" x14ac:dyDescent="0.2">
      <c r="A221">
        <v>220</v>
      </c>
      <c r="B221" t="s">
        <v>8645</v>
      </c>
      <c r="C221" s="1">
        <v>41716</v>
      </c>
      <c r="D221" s="22">
        <f>MONTH(Table12[[#This Row],[Order Date]])</f>
        <v>3</v>
      </c>
      <c r="E221" t="s">
        <v>769</v>
      </c>
      <c r="F221" t="s">
        <v>770</v>
      </c>
      <c r="G221" s="23" t="s">
        <v>64</v>
      </c>
      <c r="H221" s="23" t="s">
        <v>602</v>
      </c>
      <c r="I221" t="s">
        <v>2465</v>
      </c>
      <c r="J221" s="23" t="s">
        <v>92</v>
      </c>
      <c r="K221" s="22">
        <v>4</v>
      </c>
      <c r="L221" s="1">
        <v>41722</v>
      </c>
      <c r="M221" s="22">
        <f>Table12[[#This Row],[Ship Date]]-Table12[[#This Row],[Order Date]]</f>
        <v>6</v>
      </c>
      <c r="N221" s="23" t="s">
        <v>45</v>
      </c>
      <c r="O221" s="23" t="s">
        <v>23</v>
      </c>
      <c r="P221" s="23" t="s">
        <v>38</v>
      </c>
      <c r="Q221" s="23" t="s">
        <v>39</v>
      </c>
      <c r="R221" s="23" t="s">
        <v>8646</v>
      </c>
      <c r="S221" s="33">
        <v>0.2</v>
      </c>
      <c r="T221" s="13">
        <v>1279.9680000000001</v>
      </c>
      <c r="U221" s="13">
        <v>415.9896</v>
      </c>
      <c r="V221" s="55">
        <f>IFERROR(Table12[[#This Row],[Profit]]/Table12[[#This Row],[Sales]],0)</f>
        <v>0.32499999999999996</v>
      </c>
    </row>
    <row r="222" spans="1:22" x14ac:dyDescent="0.2">
      <c r="A222">
        <v>221</v>
      </c>
      <c r="B222" t="s">
        <v>8645</v>
      </c>
      <c r="C222" s="1">
        <v>41716</v>
      </c>
      <c r="D222" s="22">
        <f>MONTH(Table12[[#This Row],[Order Date]])</f>
        <v>3</v>
      </c>
      <c r="E222" t="s">
        <v>4435</v>
      </c>
      <c r="F222" t="s">
        <v>4436</v>
      </c>
      <c r="G222" s="23" t="s">
        <v>41</v>
      </c>
      <c r="H222" s="23" t="s">
        <v>53</v>
      </c>
      <c r="I222" t="s">
        <v>2465</v>
      </c>
      <c r="J222" s="23" t="s">
        <v>92</v>
      </c>
      <c r="K222" s="22">
        <v>7</v>
      </c>
      <c r="L222" s="1">
        <v>41722</v>
      </c>
      <c r="M222" s="22">
        <f>Table12[[#This Row],[Ship Date]]-Table12[[#This Row],[Order Date]]</f>
        <v>6</v>
      </c>
      <c r="N222" s="23" t="s">
        <v>45</v>
      </c>
      <c r="O222" s="23" t="s">
        <v>23</v>
      </c>
      <c r="P222" s="23" t="s">
        <v>38</v>
      </c>
      <c r="Q222" s="23" t="s">
        <v>39</v>
      </c>
      <c r="R222" s="23" t="s">
        <v>8646</v>
      </c>
      <c r="S222" s="33">
        <v>0</v>
      </c>
      <c r="T222" s="13">
        <v>1856.19</v>
      </c>
      <c r="U222" s="13">
        <v>334.11419999999998</v>
      </c>
      <c r="V222" s="55">
        <f>IFERROR(Table12[[#This Row],[Profit]]/Table12[[#This Row],[Sales]],0)</f>
        <v>0.18</v>
      </c>
    </row>
    <row r="223" spans="1:22" x14ac:dyDescent="0.2">
      <c r="A223">
        <v>222</v>
      </c>
      <c r="B223" t="s">
        <v>7953</v>
      </c>
      <c r="C223" s="1">
        <v>41717</v>
      </c>
      <c r="D223" s="22">
        <f>MONTH(Table12[[#This Row],[Order Date]])</f>
        <v>3</v>
      </c>
      <c r="E223" t="s">
        <v>1792</v>
      </c>
      <c r="F223" t="s">
        <v>1793</v>
      </c>
      <c r="G223" s="23" t="s">
        <v>64</v>
      </c>
      <c r="H223" s="23" t="s">
        <v>65</v>
      </c>
      <c r="I223" t="s">
        <v>1577</v>
      </c>
      <c r="J223" s="23" t="s">
        <v>36</v>
      </c>
      <c r="K223" s="22">
        <v>3</v>
      </c>
      <c r="L223" s="1">
        <v>41719</v>
      </c>
      <c r="M223" s="22">
        <f>Table12[[#This Row],[Ship Date]]-Table12[[#This Row],[Order Date]]</f>
        <v>2</v>
      </c>
      <c r="N223" s="23" t="s">
        <v>169</v>
      </c>
      <c r="O223" s="23" t="s">
        <v>23</v>
      </c>
      <c r="P223" s="23" t="s">
        <v>48</v>
      </c>
      <c r="Q223" s="23" t="s">
        <v>26</v>
      </c>
      <c r="R223" s="23" t="s">
        <v>1587</v>
      </c>
      <c r="S223" s="33">
        <v>0.2</v>
      </c>
      <c r="T223" s="13">
        <v>323.976</v>
      </c>
      <c r="U223" s="13">
        <v>28.347899999999999</v>
      </c>
      <c r="V223" s="55">
        <f>IFERROR(Table12[[#This Row],[Profit]]/Table12[[#This Row],[Sales]],0)</f>
        <v>8.7499999999999994E-2</v>
      </c>
    </row>
    <row r="224" spans="1:22" x14ac:dyDescent="0.2">
      <c r="A224">
        <v>223</v>
      </c>
      <c r="B224" t="s">
        <v>7953</v>
      </c>
      <c r="C224" s="1">
        <v>41717</v>
      </c>
      <c r="D224" s="22">
        <f>MONTH(Table12[[#This Row],[Order Date]])</f>
        <v>3</v>
      </c>
      <c r="E224" t="s">
        <v>4030</v>
      </c>
      <c r="F224" t="s">
        <v>4031</v>
      </c>
      <c r="G224" s="23" t="s">
        <v>41</v>
      </c>
      <c r="H224" s="23" t="s">
        <v>42</v>
      </c>
      <c r="I224" t="s">
        <v>1577</v>
      </c>
      <c r="J224" s="23" t="s">
        <v>36</v>
      </c>
      <c r="K224" s="22">
        <v>4</v>
      </c>
      <c r="L224" s="1">
        <v>41719</v>
      </c>
      <c r="M224" s="22">
        <f>Table12[[#This Row],[Ship Date]]-Table12[[#This Row],[Order Date]]</f>
        <v>2</v>
      </c>
      <c r="N224" s="23" t="s">
        <v>169</v>
      </c>
      <c r="O224" s="23" t="s">
        <v>23</v>
      </c>
      <c r="P224" s="23" t="s">
        <v>48</v>
      </c>
      <c r="Q224" s="23" t="s">
        <v>26</v>
      </c>
      <c r="R224" s="23" t="s">
        <v>1587</v>
      </c>
      <c r="S224" s="33">
        <v>0.2</v>
      </c>
      <c r="T224" s="13">
        <v>11.808</v>
      </c>
      <c r="U224" s="13">
        <v>3.9851999999999999</v>
      </c>
      <c r="V224" s="55">
        <f>IFERROR(Table12[[#This Row],[Profit]]/Table12[[#This Row],[Sales]],0)</f>
        <v>0.33749999999999997</v>
      </c>
    </row>
    <row r="225" spans="1:22" x14ac:dyDescent="0.2">
      <c r="A225">
        <v>224</v>
      </c>
      <c r="B225" t="s">
        <v>7953</v>
      </c>
      <c r="C225" s="1">
        <v>41717</v>
      </c>
      <c r="D225" s="22">
        <f>MONTH(Table12[[#This Row],[Order Date]])</f>
        <v>3</v>
      </c>
      <c r="E225" t="s">
        <v>1311</v>
      </c>
      <c r="F225" t="s">
        <v>1312</v>
      </c>
      <c r="G225" s="23" t="s">
        <v>41</v>
      </c>
      <c r="H225" s="23" t="s">
        <v>53</v>
      </c>
      <c r="I225" t="s">
        <v>1577</v>
      </c>
      <c r="J225" s="23" t="s">
        <v>36</v>
      </c>
      <c r="K225" s="22">
        <v>3</v>
      </c>
      <c r="L225" s="1">
        <v>41719</v>
      </c>
      <c r="M225" s="22">
        <f>Table12[[#This Row],[Ship Date]]-Table12[[#This Row],[Order Date]]</f>
        <v>2</v>
      </c>
      <c r="N225" s="23" t="s">
        <v>169</v>
      </c>
      <c r="O225" s="23" t="s">
        <v>23</v>
      </c>
      <c r="P225" s="23" t="s">
        <v>48</v>
      </c>
      <c r="Q225" s="23" t="s">
        <v>26</v>
      </c>
      <c r="R225" s="23" t="s">
        <v>1587</v>
      </c>
      <c r="S225" s="33">
        <v>0.2</v>
      </c>
      <c r="T225" s="13">
        <v>26.16</v>
      </c>
      <c r="U225" s="13">
        <v>1.962</v>
      </c>
      <c r="V225" s="55">
        <f>IFERROR(Table12[[#This Row],[Profit]]/Table12[[#This Row],[Sales]],0)</f>
        <v>7.4999999999999997E-2</v>
      </c>
    </row>
    <row r="226" spans="1:22" x14ac:dyDescent="0.2">
      <c r="A226">
        <v>225</v>
      </c>
      <c r="B226" t="s">
        <v>7953</v>
      </c>
      <c r="C226" s="1">
        <v>41717</v>
      </c>
      <c r="D226" s="22">
        <f>MONTH(Table12[[#This Row],[Order Date]])</f>
        <v>3</v>
      </c>
      <c r="E226" t="s">
        <v>5170</v>
      </c>
      <c r="F226" t="s">
        <v>5171</v>
      </c>
      <c r="G226" s="23" t="s">
        <v>41</v>
      </c>
      <c r="H226" s="23" t="s">
        <v>68</v>
      </c>
      <c r="I226" t="s">
        <v>1577</v>
      </c>
      <c r="J226" s="23" t="s">
        <v>36</v>
      </c>
      <c r="K226" s="22">
        <v>5</v>
      </c>
      <c r="L226" s="1">
        <v>41719</v>
      </c>
      <c r="M226" s="22">
        <f>Table12[[#This Row],[Ship Date]]-Table12[[#This Row],[Order Date]]</f>
        <v>2</v>
      </c>
      <c r="N226" s="23" t="s">
        <v>169</v>
      </c>
      <c r="O226" s="23" t="s">
        <v>23</v>
      </c>
      <c r="P226" s="23" t="s">
        <v>48</v>
      </c>
      <c r="Q226" s="23" t="s">
        <v>26</v>
      </c>
      <c r="R226" s="23" t="s">
        <v>1587</v>
      </c>
      <c r="S226" s="33">
        <v>0.7</v>
      </c>
      <c r="T226" s="13">
        <v>33.57</v>
      </c>
      <c r="U226" s="13">
        <v>-25.736999999999998</v>
      </c>
      <c r="V226" s="55">
        <f>IFERROR(Table12[[#This Row],[Profit]]/Table12[[#This Row],[Sales]],0)</f>
        <v>-0.76666666666666661</v>
      </c>
    </row>
    <row r="227" spans="1:22" x14ac:dyDescent="0.2">
      <c r="A227">
        <v>226</v>
      </c>
      <c r="B227" t="s">
        <v>7953</v>
      </c>
      <c r="C227" s="1">
        <v>41717</v>
      </c>
      <c r="D227" s="22">
        <f>MONTH(Table12[[#This Row],[Order Date]])</f>
        <v>3</v>
      </c>
      <c r="E227" t="s">
        <v>3615</v>
      </c>
      <c r="F227" t="s">
        <v>1137</v>
      </c>
      <c r="G227" s="23" t="s">
        <v>28</v>
      </c>
      <c r="H227" s="23" t="s">
        <v>58</v>
      </c>
      <c r="I227" t="s">
        <v>1577</v>
      </c>
      <c r="J227" s="23" t="s">
        <v>36</v>
      </c>
      <c r="K227" s="22">
        <v>3</v>
      </c>
      <c r="L227" s="1">
        <v>41719</v>
      </c>
      <c r="M227" s="22">
        <f>Table12[[#This Row],[Ship Date]]-Table12[[#This Row],[Order Date]]</f>
        <v>2</v>
      </c>
      <c r="N227" s="23" t="s">
        <v>169</v>
      </c>
      <c r="O227" s="23" t="s">
        <v>23</v>
      </c>
      <c r="P227" s="23" t="s">
        <v>48</v>
      </c>
      <c r="Q227" s="23" t="s">
        <v>26</v>
      </c>
      <c r="R227" s="23" t="s">
        <v>1587</v>
      </c>
      <c r="S227" s="33">
        <v>0.2</v>
      </c>
      <c r="T227" s="13">
        <v>4.992</v>
      </c>
      <c r="U227" s="13">
        <v>1.3728</v>
      </c>
      <c r="V227" s="55">
        <f>IFERROR(Table12[[#This Row],[Profit]]/Table12[[#This Row],[Sales]],0)</f>
        <v>0.27500000000000002</v>
      </c>
    </row>
    <row r="228" spans="1:22" x14ac:dyDescent="0.2">
      <c r="A228">
        <v>227</v>
      </c>
      <c r="B228" t="s">
        <v>7953</v>
      </c>
      <c r="C228" s="1">
        <v>41717</v>
      </c>
      <c r="D228" s="22">
        <f>MONTH(Table12[[#This Row],[Order Date]])</f>
        <v>3</v>
      </c>
      <c r="E228" t="s">
        <v>6888</v>
      </c>
      <c r="F228" t="s">
        <v>6889</v>
      </c>
      <c r="G228" s="23" t="s">
        <v>28</v>
      </c>
      <c r="H228" s="23" t="s">
        <v>58</v>
      </c>
      <c r="I228" t="s">
        <v>1577</v>
      </c>
      <c r="J228" s="23" t="s">
        <v>36</v>
      </c>
      <c r="K228" s="22">
        <v>3</v>
      </c>
      <c r="L228" s="1">
        <v>41719</v>
      </c>
      <c r="M228" s="22">
        <f>Table12[[#This Row],[Ship Date]]-Table12[[#This Row],[Order Date]]</f>
        <v>2</v>
      </c>
      <c r="N228" s="23" t="s">
        <v>169</v>
      </c>
      <c r="O228" s="23" t="s">
        <v>23</v>
      </c>
      <c r="P228" s="23" t="s">
        <v>48</v>
      </c>
      <c r="Q228" s="23" t="s">
        <v>26</v>
      </c>
      <c r="R228" s="23" t="s">
        <v>1587</v>
      </c>
      <c r="S228" s="33">
        <v>0.2</v>
      </c>
      <c r="T228" s="13">
        <v>20.015999999999998</v>
      </c>
      <c r="U228" s="13">
        <v>5.5044000000000004</v>
      </c>
      <c r="V228" s="55">
        <f>IFERROR(Table12[[#This Row],[Profit]]/Table12[[#This Row],[Sales]],0)</f>
        <v>0.27500000000000002</v>
      </c>
    </row>
    <row r="229" spans="1:22" x14ac:dyDescent="0.2">
      <c r="A229">
        <v>228</v>
      </c>
      <c r="B229" t="s">
        <v>7953</v>
      </c>
      <c r="C229" s="1">
        <v>41717</v>
      </c>
      <c r="D229" s="22">
        <f>MONTH(Table12[[#This Row],[Order Date]])</f>
        <v>3</v>
      </c>
      <c r="E229" t="s">
        <v>7906</v>
      </c>
      <c r="F229" t="s">
        <v>7907</v>
      </c>
      <c r="G229" s="23" t="s">
        <v>64</v>
      </c>
      <c r="H229" s="23" t="s">
        <v>144</v>
      </c>
      <c r="I229" t="s">
        <v>1577</v>
      </c>
      <c r="J229" s="23" t="s">
        <v>36</v>
      </c>
      <c r="K229" s="22">
        <v>2</v>
      </c>
      <c r="L229" s="1">
        <v>41719</v>
      </c>
      <c r="M229" s="22">
        <f>Table12[[#This Row],[Ship Date]]-Table12[[#This Row],[Order Date]]</f>
        <v>2</v>
      </c>
      <c r="N229" s="23" t="s">
        <v>169</v>
      </c>
      <c r="O229" s="23" t="s">
        <v>23</v>
      </c>
      <c r="P229" s="23" t="s">
        <v>48</v>
      </c>
      <c r="Q229" s="23" t="s">
        <v>26</v>
      </c>
      <c r="R229" s="23" t="s">
        <v>1587</v>
      </c>
      <c r="S229" s="33">
        <v>0.2</v>
      </c>
      <c r="T229" s="13">
        <v>170.24</v>
      </c>
      <c r="U229" s="13">
        <v>53.2</v>
      </c>
      <c r="V229" s="55">
        <f>IFERROR(Table12[[#This Row],[Profit]]/Table12[[#This Row],[Sales]],0)</f>
        <v>0.3125</v>
      </c>
    </row>
    <row r="230" spans="1:22" x14ac:dyDescent="0.2">
      <c r="A230">
        <v>229</v>
      </c>
      <c r="B230" t="s">
        <v>685</v>
      </c>
      <c r="C230" s="1">
        <v>41719</v>
      </c>
      <c r="D230" s="22">
        <f>MONTH(Table12[[#This Row],[Order Date]])</f>
        <v>3</v>
      </c>
      <c r="E230" t="s">
        <v>688</v>
      </c>
      <c r="F230" t="s">
        <v>689</v>
      </c>
      <c r="G230" s="23" t="s">
        <v>41</v>
      </c>
      <c r="H230" s="23" t="s">
        <v>61</v>
      </c>
      <c r="I230" t="s">
        <v>686</v>
      </c>
      <c r="J230" s="23" t="s">
        <v>22</v>
      </c>
      <c r="K230" s="22">
        <v>2</v>
      </c>
      <c r="L230" s="1">
        <v>41723</v>
      </c>
      <c r="M230" s="22">
        <f>Table12[[#This Row],[Ship Date]]-Table12[[#This Row],[Order Date]]</f>
        <v>4</v>
      </c>
      <c r="N230" s="23" t="s">
        <v>45</v>
      </c>
      <c r="O230" s="23" t="s">
        <v>23</v>
      </c>
      <c r="P230" s="23" t="s">
        <v>441</v>
      </c>
      <c r="Q230" s="23" t="s">
        <v>133</v>
      </c>
      <c r="R230" s="23" t="s">
        <v>687</v>
      </c>
      <c r="S230" s="33">
        <v>0.2</v>
      </c>
      <c r="T230" s="13">
        <v>7.4080000000000004</v>
      </c>
      <c r="U230" s="13">
        <v>1.2038</v>
      </c>
      <c r="V230" s="55">
        <f>IFERROR(Table12[[#This Row],[Profit]]/Table12[[#This Row],[Sales]],0)</f>
        <v>0.16249999999999998</v>
      </c>
    </row>
    <row r="231" spans="1:22" x14ac:dyDescent="0.2">
      <c r="A231">
        <v>230</v>
      </c>
      <c r="B231" t="s">
        <v>685</v>
      </c>
      <c r="C231" s="1">
        <v>41719</v>
      </c>
      <c r="D231" s="22">
        <f>MONTH(Table12[[#This Row],[Order Date]])</f>
        <v>3</v>
      </c>
      <c r="E231" t="s">
        <v>690</v>
      </c>
      <c r="F231" t="s">
        <v>691</v>
      </c>
      <c r="G231" s="23" t="s">
        <v>41</v>
      </c>
      <c r="H231" s="23" t="s">
        <v>61</v>
      </c>
      <c r="I231" t="s">
        <v>686</v>
      </c>
      <c r="J231" s="23" t="s">
        <v>22</v>
      </c>
      <c r="K231" s="22">
        <v>3</v>
      </c>
      <c r="L231" s="1">
        <v>41723</v>
      </c>
      <c r="M231" s="22">
        <f>Table12[[#This Row],[Ship Date]]-Table12[[#This Row],[Order Date]]</f>
        <v>4</v>
      </c>
      <c r="N231" s="23" t="s">
        <v>45</v>
      </c>
      <c r="O231" s="23" t="s">
        <v>23</v>
      </c>
      <c r="P231" s="23" t="s">
        <v>441</v>
      </c>
      <c r="Q231" s="23" t="s">
        <v>133</v>
      </c>
      <c r="R231" s="23" t="s">
        <v>687</v>
      </c>
      <c r="S231" s="33">
        <v>0.2</v>
      </c>
      <c r="T231" s="13">
        <v>6.048</v>
      </c>
      <c r="U231" s="13">
        <v>1.5875999999999999</v>
      </c>
      <c r="V231" s="55">
        <f>IFERROR(Table12[[#This Row],[Profit]]/Table12[[#This Row],[Sales]],0)</f>
        <v>0.26249999999999996</v>
      </c>
    </row>
    <row r="232" spans="1:22" x14ac:dyDescent="0.2">
      <c r="A232">
        <v>231</v>
      </c>
      <c r="B232" t="s">
        <v>7504</v>
      </c>
      <c r="C232" s="1">
        <v>41719</v>
      </c>
      <c r="D232" s="22">
        <f>MONTH(Table12[[#This Row],[Order Date]])</f>
        <v>3</v>
      </c>
      <c r="E232" t="s">
        <v>5758</v>
      </c>
      <c r="F232" t="s">
        <v>5759</v>
      </c>
      <c r="G232" s="23" t="s">
        <v>41</v>
      </c>
      <c r="H232" s="23" t="s">
        <v>53</v>
      </c>
      <c r="I232" t="s">
        <v>1012</v>
      </c>
      <c r="J232" s="23" t="s">
        <v>36</v>
      </c>
      <c r="K232" s="22">
        <v>1</v>
      </c>
      <c r="L232" s="1">
        <v>41723</v>
      </c>
      <c r="M232" s="22">
        <f>Table12[[#This Row],[Ship Date]]-Table12[[#This Row],[Order Date]]</f>
        <v>4</v>
      </c>
      <c r="N232" s="23" t="s">
        <v>45</v>
      </c>
      <c r="O232" s="23" t="s">
        <v>23</v>
      </c>
      <c r="P232" s="23" t="s">
        <v>80</v>
      </c>
      <c r="Q232" s="23" t="s">
        <v>26</v>
      </c>
      <c r="R232" s="23" t="s">
        <v>2188</v>
      </c>
      <c r="S232" s="33">
        <v>0.2</v>
      </c>
      <c r="T232" s="13">
        <v>16.271999999999998</v>
      </c>
      <c r="U232" s="13">
        <v>-3.8645999999999998</v>
      </c>
      <c r="V232" s="55">
        <f>IFERROR(Table12[[#This Row],[Profit]]/Table12[[#This Row],[Sales]],0)</f>
        <v>-0.23750000000000002</v>
      </c>
    </row>
    <row r="233" spans="1:22" x14ac:dyDescent="0.2">
      <c r="A233">
        <v>232</v>
      </c>
      <c r="B233" t="s">
        <v>8770</v>
      </c>
      <c r="C233" s="1">
        <v>41719</v>
      </c>
      <c r="D233" s="22">
        <f>MONTH(Table12[[#This Row],[Order Date]])</f>
        <v>3</v>
      </c>
      <c r="E233" t="s">
        <v>6175</v>
      </c>
      <c r="F233" t="s">
        <v>6176</v>
      </c>
      <c r="G233" s="23" t="s">
        <v>64</v>
      </c>
      <c r="H233" s="23" t="s">
        <v>65</v>
      </c>
      <c r="I233" t="s">
        <v>893</v>
      </c>
      <c r="J233" s="23" t="s">
        <v>36</v>
      </c>
      <c r="K233" s="22">
        <v>7</v>
      </c>
      <c r="L233" s="1">
        <v>41723</v>
      </c>
      <c r="M233" s="22">
        <f>Table12[[#This Row],[Ship Date]]-Table12[[#This Row],[Order Date]]</f>
        <v>4</v>
      </c>
      <c r="N233" s="23" t="s">
        <v>45</v>
      </c>
      <c r="O233" s="23" t="s">
        <v>23</v>
      </c>
      <c r="P233" s="23" t="s">
        <v>285</v>
      </c>
      <c r="Q233" s="23" t="s">
        <v>26</v>
      </c>
      <c r="R233" s="23" t="s">
        <v>284</v>
      </c>
      <c r="S233" s="33">
        <v>0</v>
      </c>
      <c r="T233" s="13">
        <v>3499.93</v>
      </c>
      <c r="U233" s="13">
        <v>909.98180000000002</v>
      </c>
      <c r="V233" s="55">
        <f>IFERROR(Table12[[#This Row],[Profit]]/Table12[[#This Row],[Sales]],0)</f>
        <v>0.26</v>
      </c>
    </row>
    <row r="234" spans="1:22" x14ac:dyDescent="0.2">
      <c r="A234">
        <v>233</v>
      </c>
      <c r="B234" t="s">
        <v>8770</v>
      </c>
      <c r="C234" s="1">
        <v>41719</v>
      </c>
      <c r="D234" s="22">
        <f>MONTH(Table12[[#This Row],[Order Date]])</f>
        <v>3</v>
      </c>
      <c r="E234" t="s">
        <v>6125</v>
      </c>
      <c r="F234" t="s">
        <v>6126</v>
      </c>
      <c r="G234" s="23" t="s">
        <v>41</v>
      </c>
      <c r="H234" s="23" t="s">
        <v>42</v>
      </c>
      <c r="I234" t="s">
        <v>893</v>
      </c>
      <c r="J234" s="23" t="s">
        <v>36</v>
      </c>
      <c r="K234" s="22">
        <v>5</v>
      </c>
      <c r="L234" s="1">
        <v>41723</v>
      </c>
      <c r="M234" s="22">
        <f>Table12[[#This Row],[Ship Date]]-Table12[[#This Row],[Order Date]]</f>
        <v>4</v>
      </c>
      <c r="N234" s="23" t="s">
        <v>45</v>
      </c>
      <c r="O234" s="23" t="s">
        <v>23</v>
      </c>
      <c r="P234" s="23" t="s">
        <v>285</v>
      </c>
      <c r="Q234" s="23" t="s">
        <v>26</v>
      </c>
      <c r="R234" s="23" t="s">
        <v>284</v>
      </c>
      <c r="S234" s="33">
        <v>0</v>
      </c>
      <c r="T234" s="13">
        <v>14.4</v>
      </c>
      <c r="U234" s="13">
        <v>6.6239999999999997</v>
      </c>
      <c r="V234" s="55">
        <f>IFERROR(Table12[[#This Row],[Profit]]/Table12[[#This Row],[Sales]],0)</f>
        <v>0.45999999999999996</v>
      </c>
    </row>
    <row r="235" spans="1:22" x14ac:dyDescent="0.2">
      <c r="A235">
        <v>234</v>
      </c>
      <c r="B235" t="s">
        <v>8770</v>
      </c>
      <c r="C235" s="1">
        <v>41719</v>
      </c>
      <c r="D235" s="22">
        <f>MONTH(Table12[[#This Row],[Order Date]])</f>
        <v>3</v>
      </c>
      <c r="E235" t="s">
        <v>3975</v>
      </c>
      <c r="F235" t="s">
        <v>3976</v>
      </c>
      <c r="G235" s="23" t="s">
        <v>41</v>
      </c>
      <c r="H235" s="23" t="s">
        <v>82</v>
      </c>
      <c r="I235" t="s">
        <v>893</v>
      </c>
      <c r="J235" s="23" t="s">
        <v>36</v>
      </c>
      <c r="K235" s="22">
        <v>3</v>
      </c>
      <c r="L235" s="1">
        <v>41723</v>
      </c>
      <c r="M235" s="22">
        <f>Table12[[#This Row],[Ship Date]]-Table12[[#This Row],[Order Date]]</f>
        <v>4</v>
      </c>
      <c r="N235" s="23" t="s">
        <v>45</v>
      </c>
      <c r="O235" s="23" t="s">
        <v>23</v>
      </c>
      <c r="P235" s="23" t="s">
        <v>285</v>
      </c>
      <c r="Q235" s="23" t="s">
        <v>26</v>
      </c>
      <c r="R235" s="23" t="s">
        <v>284</v>
      </c>
      <c r="S235" s="33">
        <v>0</v>
      </c>
      <c r="T235" s="13">
        <v>122.97</v>
      </c>
      <c r="U235" s="13">
        <v>60.255299999999998</v>
      </c>
      <c r="V235" s="55">
        <f>IFERROR(Table12[[#This Row],[Profit]]/Table12[[#This Row],[Sales]],0)</f>
        <v>0.49</v>
      </c>
    </row>
    <row r="236" spans="1:22" x14ac:dyDescent="0.2">
      <c r="A236">
        <v>235</v>
      </c>
      <c r="B236" t="s">
        <v>8770</v>
      </c>
      <c r="C236" s="1">
        <v>41719</v>
      </c>
      <c r="D236" s="22">
        <f>MONTH(Table12[[#This Row],[Order Date]])</f>
        <v>3</v>
      </c>
      <c r="E236" t="s">
        <v>1298</v>
      </c>
      <c r="F236" t="s">
        <v>1299</v>
      </c>
      <c r="G236" s="23" t="s">
        <v>41</v>
      </c>
      <c r="H236" s="23" t="s">
        <v>61</v>
      </c>
      <c r="I236" t="s">
        <v>893</v>
      </c>
      <c r="J236" s="23" t="s">
        <v>36</v>
      </c>
      <c r="K236" s="22">
        <v>4</v>
      </c>
      <c r="L236" s="1">
        <v>41723</v>
      </c>
      <c r="M236" s="22">
        <f>Table12[[#This Row],[Ship Date]]-Table12[[#This Row],[Order Date]]</f>
        <v>4</v>
      </c>
      <c r="N236" s="23" t="s">
        <v>45</v>
      </c>
      <c r="O236" s="23" t="s">
        <v>23</v>
      </c>
      <c r="P236" s="23" t="s">
        <v>285</v>
      </c>
      <c r="Q236" s="23" t="s">
        <v>26</v>
      </c>
      <c r="R236" s="23" t="s">
        <v>284</v>
      </c>
      <c r="S236" s="33">
        <v>0</v>
      </c>
      <c r="T236" s="13">
        <v>9.32</v>
      </c>
      <c r="U236" s="13">
        <v>2.7027999999999999</v>
      </c>
      <c r="V236" s="55">
        <f>IFERROR(Table12[[#This Row],[Profit]]/Table12[[#This Row],[Sales]],0)</f>
        <v>0.28999999999999998</v>
      </c>
    </row>
    <row r="237" spans="1:22" x14ac:dyDescent="0.2">
      <c r="A237">
        <v>236</v>
      </c>
      <c r="B237" t="s">
        <v>8770</v>
      </c>
      <c r="C237" s="1">
        <v>41719</v>
      </c>
      <c r="D237" s="22">
        <f>MONTH(Table12[[#This Row],[Order Date]])</f>
        <v>3</v>
      </c>
      <c r="E237" t="s">
        <v>2755</v>
      </c>
      <c r="F237" t="s">
        <v>2756</v>
      </c>
      <c r="G237" s="23" t="s">
        <v>41</v>
      </c>
      <c r="H237" s="23" t="s">
        <v>68</v>
      </c>
      <c r="I237" t="s">
        <v>893</v>
      </c>
      <c r="J237" s="23" t="s">
        <v>36</v>
      </c>
      <c r="K237" s="22">
        <v>3</v>
      </c>
      <c r="L237" s="1">
        <v>41723</v>
      </c>
      <c r="M237" s="22">
        <f>Table12[[#This Row],[Ship Date]]-Table12[[#This Row],[Order Date]]</f>
        <v>4</v>
      </c>
      <c r="N237" s="23" t="s">
        <v>45</v>
      </c>
      <c r="O237" s="23" t="s">
        <v>23</v>
      </c>
      <c r="P237" s="23" t="s">
        <v>285</v>
      </c>
      <c r="Q237" s="23" t="s">
        <v>26</v>
      </c>
      <c r="R237" s="23" t="s">
        <v>284</v>
      </c>
      <c r="S237" s="33">
        <v>0</v>
      </c>
      <c r="T237" s="13">
        <v>122.94</v>
      </c>
      <c r="U237" s="13">
        <v>59.011200000000002</v>
      </c>
      <c r="V237" s="55">
        <f>IFERROR(Table12[[#This Row],[Profit]]/Table12[[#This Row],[Sales]],0)</f>
        <v>0.48000000000000004</v>
      </c>
    </row>
    <row r="238" spans="1:22" x14ac:dyDescent="0.2">
      <c r="A238">
        <v>237</v>
      </c>
      <c r="B238" t="s">
        <v>9191</v>
      </c>
      <c r="C238" s="1">
        <v>41719</v>
      </c>
      <c r="D238" s="22">
        <f>MONTH(Table12[[#This Row],[Order Date]])</f>
        <v>3</v>
      </c>
      <c r="E238" t="s">
        <v>748</v>
      </c>
      <c r="F238" t="s">
        <v>749</v>
      </c>
      <c r="G238" s="23" t="s">
        <v>41</v>
      </c>
      <c r="H238" s="23" t="s">
        <v>42</v>
      </c>
      <c r="I238" t="s">
        <v>2217</v>
      </c>
      <c r="J238" s="23" t="s">
        <v>22</v>
      </c>
      <c r="K238" s="22">
        <v>5</v>
      </c>
      <c r="L238" s="1">
        <v>41723</v>
      </c>
      <c r="M238" s="22">
        <f>Table12[[#This Row],[Ship Date]]-Table12[[#This Row],[Order Date]]</f>
        <v>4</v>
      </c>
      <c r="N238" s="23" t="s">
        <v>45</v>
      </c>
      <c r="O238" s="23" t="s">
        <v>23</v>
      </c>
      <c r="P238" s="23" t="s">
        <v>299</v>
      </c>
      <c r="Q238" s="23" t="s">
        <v>26</v>
      </c>
      <c r="R238" s="23" t="s">
        <v>4558</v>
      </c>
      <c r="S238" s="33">
        <v>0.2</v>
      </c>
      <c r="T238" s="13">
        <v>59.2</v>
      </c>
      <c r="U238" s="13">
        <v>22.2</v>
      </c>
      <c r="V238" s="55">
        <f>IFERROR(Table12[[#This Row],[Profit]]/Table12[[#This Row],[Sales]],0)</f>
        <v>0.37499999999999994</v>
      </c>
    </row>
    <row r="239" spans="1:22" x14ac:dyDescent="0.2">
      <c r="A239">
        <v>238</v>
      </c>
      <c r="B239" t="s">
        <v>9191</v>
      </c>
      <c r="C239" s="1">
        <v>41719</v>
      </c>
      <c r="D239" s="22">
        <f>MONTH(Table12[[#This Row],[Order Date]])</f>
        <v>3</v>
      </c>
      <c r="E239" t="s">
        <v>3465</v>
      </c>
      <c r="F239" t="s">
        <v>3466</v>
      </c>
      <c r="G239" s="23" t="s">
        <v>28</v>
      </c>
      <c r="H239" s="23" t="s">
        <v>58</v>
      </c>
      <c r="I239" t="s">
        <v>2217</v>
      </c>
      <c r="J239" s="23" t="s">
        <v>22</v>
      </c>
      <c r="K239" s="22">
        <v>3</v>
      </c>
      <c r="L239" s="1">
        <v>41723</v>
      </c>
      <c r="M239" s="22">
        <f>Table12[[#This Row],[Ship Date]]-Table12[[#This Row],[Order Date]]</f>
        <v>4</v>
      </c>
      <c r="N239" s="23" t="s">
        <v>45</v>
      </c>
      <c r="O239" s="23" t="s">
        <v>23</v>
      </c>
      <c r="P239" s="23" t="s">
        <v>299</v>
      </c>
      <c r="Q239" s="23" t="s">
        <v>26</v>
      </c>
      <c r="R239" s="23" t="s">
        <v>4558</v>
      </c>
      <c r="S239" s="33">
        <v>0.2</v>
      </c>
      <c r="T239" s="13">
        <v>32.951999999999998</v>
      </c>
      <c r="U239" s="13">
        <v>6.5903999999999998</v>
      </c>
      <c r="V239" s="55">
        <f>IFERROR(Table12[[#This Row],[Profit]]/Table12[[#This Row],[Sales]],0)</f>
        <v>0.2</v>
      </c>
    </row>
    <row r="240" spans="1:22" x14ac:dyDescent="0.2">
      <c r="A240">
        <v>239</v>
      </c>
      <c r="B240" t="s">
        <v>9191</v>
      </c>
      <c r="C240" s="1">
        <v>41719</v>
      </c>
      <c r="D240" s="22">
        <f>MONTH(Table12[[#This Row],[Order Date]])</f>
        <v>3</v>
      </c>
      <c r="E240" t="s">
        <v>5463</v>
      </c>
      <c r="F240" t="s">
        <v>5464</v>
      </c>
      <c r="G240" s="23" t="s">
        <v>28</v>
      </c>
      <c r="H240" s="23" t="s">
        <v>32</v>
      </c>
      <c r="I240" t="s">
        <v>2217</v>
      </c>
      <c r="J240" s="23" t="s">
        <v>22</v>
      </c>
      <c r="K240" s="22">
        <v>3</v>
      </c>
      <c r="L240" s="1">
        <v>41723</v>
      </c>
      <c r="M240" s="22">
        <f>Table12[[#This Row],[Ship Date]]-Table12[[#This Row],[Order Date]]</f>
        <v>4</v>
      </c>
      <c r="N240" s="23" t="s">
        <v>45</v>
      </c>
      <c r="O240" s="23" t="s">
        <v>23</v>
      </c>
      <c r="P240" s="23" t="s">
        <v>299</v>
      </c>
      <c r="Q240" s="23" t="s">
        <v>26</v>
      </c>
      <c r="R240" s="23" t="s">
        <v>4558</v>
      </c>
      <c r="S240" s="33">
        <v>0.2</v>
      </c>
      <c r="T240" s="13">
        <v>218.376</v>
      </c>
      <c r="U240" s="13">
        <v>-10.918799999999999</v>
      </c>
      <c r="V240" s="55">
        <f>IFERROR(Table12[[#This Row],[Profit]]/Table12[[#This Row],[Sales]],0)</f>
        <v>-4.9999999999999996E-2</v>
      </c>
    </row>
    <row r="241" spans="1:22" x14ac:dyDescent="0.2">
      <c r="A241">
        <v>240</v>
      </c>
      <c r="B241" t="s">
        <v>3961</v>
      </c>
      <c r="C241" s="1">
        <v>41720</v>
      </c>
      <c r="D241" s="22">
        <f>MONTH(Table12[[#This Row],[Order Date]])</f>
        <v>3</v>
      </c>
      <c r="E241" t="s">
        <v>227</v>
      </c>
      <c r="F241" t="s">
        <v>228</v>
      </c>
      <c r="G241" s="23" t="s">
        <v>41</v>
      </c>
      <c r="H241" s="23" t="s">
        <v>68</v>
      </c>
      <c r="I241" t="s">
        <v>3962</v>
      </c>
      <c r="J241" s="23" t="s">
        <v>22</v>
      </c>
      <c r="K241" s="22">
        <v>4</v>
      </c>
      <c r="L241" s="1">
        <v>41724</v>
      </c>
      <c r="M241" s="22">
        <f>Table12[[#This Row],[Ship Date]]-Table12[[#This Row],[Order Date]]</f>
        <v>4</v>
      </c>
      <c r="N241" s="23" t="s">
        <v>45</v>
      </c>
      <c r="O241" s="23" t="s">
        <v>23</v>
      </c>
      <c r="P241" s="23" t="s">
        <v>80</v>
      </c>
      <c r="Q241" s="23" t="s">
        <v>26</v>
      </c>
      <c r="R241" s="23" t="s">
        <v>3963</v>
      </c>
      <c r="S241" s="33">
        <v>0.7</v>
      </c>
      <c r="T241" s="13">
        <v>7.6440000000000001</v>
      </c>
      <c r="U241" s="13">
        <v>-5.8604000000000003</v>
      </c>
      <c r="V241" s="55">
        <f>IFERROR(Table12[[#This Row],[Profit]]/Table12[[#This Row],[Sales]],0)</f>
        <v>-0.76666666666666672</v>
      </c>
    </row>
    <row r="242" spans="1:22" x14ac:dyDescent="0.2">
      <c r="A242">
        <v>241</v>
      </c>
      <c r="B242" t="s">
        <v>3961</v>
      </c>
      <c r="C242" s="1">
        <v>41720</v>
      </c>
      <c r="D242" s="22">
        <f>MONTH(Table12[[#This Row],[Order Date]])</f>
        <v>3</v>
      </c>
      <c r="E242" t="s">
        <v>546</v>
      </c>
      <c r="F242" t="s">
        <v>547</v>
      </c>
      <c r="G242" s="23" t="s">
        <v>41</v>
      </c>
      <c r="H242" s="23" t="s">
        <v>68</v>
      </c>
      <c r="I242" t="s">
        <v>3962</v>
      </c>
      <c r="J242" s="23" t="s">
        <v>22</v>
      </c>
      <c r="K242" s="22">
        <v>5</v>
      </c>
      <c r="L242" s="1">
        <v>41724</v>
      </c>
      <c r="M242" s="22">
        <f>Table12[[#This Row],[Ship Date]]-Table12[[#This Row],[Order Date]]</f>
        <v>4</v>
      </c>
      <c r="N242" s="23" t="s">
        <v>45</v>
      </c>
      <c r="O242" s="23" t="s">
        <v>23</v>
      </c>
      <c r="P242" s="23" t="s">
        <v>80</v>
      </c>
      <c r="Q242" s="23" t="s">
        <v>26</v>
      </c>
      <c r="R242" s="23" t="s">
        <v>3963</v>
      </c>
      <c r="S242" s="33">
        <v>0.7</v>
      </c>
      <c r="T242" s="13">
        <v>51.465000000000003</v>
      </c>
      <c r="U242" s="13">
        <v>-39.456499999999998</v>
      </c>
      <c r="V242" s="55">
        <f>IFERROR(Table12[[#This Row],[Profit]]/Table12[[#This Row],[Sales]],0)</f>
        <v>-0.76666666666666661</v>
      </c>
    </row>
    <row r="243" spans="1:22" x14ac:dyDescent="0.2">
      <c r="A243">
        <v>242</v>
      </c>
      <c r="B243" t="s">
        <v>5396</v>
      </c>
      <c r="C243" s="1">
        <v>41720</v>
      </c>
      <c r="D243" s="22">
        <f>MONTH(Table12[[#This Row],[Order Date]])</f>
        <v>3</v>
      </c>
      <c r="E243" t="s">
        <v>4810</v>
      </c>
      <c r="F243" t="s">
        <v>4811</v>
      </c>
      <c r="G243" s="23" t="s">
        <v>41</v>
      </c>
      <c r="H243" s="23" t="s">
        <v>82</v>
      </c>
      <c r="I243" t="s">
        <v>5397</v>
      </c>
      <c r="J243" s="23" t="s">
        <v>36</v>
      </c>
      <c r="K243" s="22">
        <v>3</v>
      </c>
      <c r="L243" s="1">
        <v>41724</v>
      </c>
      <c r="M243" s="22">
        <f>Table12[[#This Row],[Ship Date]]-Table12[[#This Row],[Order Date]]</f>
        <v>4</v>
      </c>
      <c r="N243" s="23" t="s">
        <v>45</v>
      </c>
      <c r="O243" s="23" t="s">
        <v>23</v>
      </c>
      <c r="P243" s="23" t="s">
        <v>277</v>
      </c>
      <c r="Q243" s="23" t="s">
        <v>39</v>
      </c>
      <c r="R243" s="23" t="s">
        <v>1159</v>
      </c>
      <c r="S243" s="33">
        <v>0.2</v>
      </c>
      <c r="T243" s="13">
        <v>74.352000000000004</v>
      </c>
      <c r="U243" s="13">
        <v>23.234999999999999</v>
      </c>
      <c r="V243" s="55">
        <f>IFERROR(Table12[[#This Row],[Profit]]/Table12[[#This Row],[Sales]],0)</f>
        <v>0.3125</v>
      </c>
    </row>
    <row r="244" spans="1:22" x14ac:dyDescent="0.2">
      <c r="A244">
        <v>243</v>
      </c>
      <c r="B244" t="s">
        <v>5396</v>
      </c>
      <c r="C244" s="1">
        <v>41720</v>
      </c>
      <c r="D244" s="22">
        <f>MONTH(Table12[[#This Row],[Order Date]])</f>
        <v>3</v>
      </c>
      <c r="E244" t="s">
        <v>1847</v>
      </c>
      <c r="F244" t="s">
        <v>1848</v>
      </c>
      <c r="G244" s="23" t="s">
        <v>28</v>
      </c>
      <c r="H244" s="23" t="s">
        <v>32</v>
      </c>
      <c r="I244" t="s">
        <v>5397</v>
      </c>
      <c r="J244" s="23" t="s">
        <v>36</v>
      </c>
      <c r="K244" s="22">
        <v>3</v>
      </c>
      <c r="L244" s="1">
        <v>41724</v>
      </c>
      <c r="M244" s="22">
        <f>Table12[[#This Row],[Ship Date]]-Table12[[#This Row],[Order Date]]</f>
        <v>4</v>
      </c>
      <c r="N244" s="23" t="s">
        <v>45</v>
      </c>
      <c r="O244" s="23" t="s">
        <v>23</v>
      </c>
      <c r="P244" s="23" t="s">
        <v>277</v>
      </c>
      <c r="Q244" s="23" t="s">
        <v>39</v>
      </c>
      <c r="R244" s="23" t="s">
        <v>1159</v>
      </c>
      <c r="S244" s="33">
        <v>0.2</v>
      </c>
      <c r="T244" s="13">
        <v>314.35199999999998</v>
      </c>
      <c r="U244" s="13">
        <v>-35.364600000000003</v>
      </c>
      <c r="V244" s="55">
        <f>IFERROR(Table12[[#This Row],[Profit]]/Table12[[#This Row],[Sales]],0)</f>
        <v>-0.11250000000000002</v>
      </c>
    </row>
    <row r="245" spans="1:22" x14ac:dyDescent="0.2">
      <c r="A245">
        <v>244</v>
      </c>
      <c r="B245" t="s">
        <v>6691</v>
      </c>
      <c r="C245" s="1">
        <v>41720</v>
      </c>
      <c r="D245" s="22">
        <f>MONTH(Table12[[#This Row],[Order Date]])</f>
        <v>3</v>
      </c>
      <c r="E245" t="s">
        <v>1257</v>
      </c>
      <c r="F245" t="s">
        <v>1258</v>
      </c>
      <c r="G245" s="23" t="s">
        <v>41</v>
      </c>
      <c r="H245" s="23" t="s">
        <v>61</v>
      </c>
      <c r="I245" t="s">
        <v>6180</v>
      </c>
      <c r="J245" s="23" t="s">
        <v>22</v>
      </c>
      <c r="K245" s="22">
        <v>2</v>
      </c>
      <c r="L245" s="1">
        <v>41720</v>
      </c>
      <c r="M245" s="22">
        <f>Table12[[#This Row],[Ship Date]]-Table12[[#This Row],[Order Date]]</f>
        <v>0</v>
      </c>
      <c r="N245" s="23" t="s">
        <v>1141</v>
      </c>
      <c r="O245" s="23" t="s">
        <v>23</v>
      </c>
      <c r="P245" s="23" t="s">
        <v>226</v>
      </c>
      <c r="Q245" s="23" t="s">
        <v>95</v>
      </c>
      <c r="R245" s="23" t="s">
        <v>6692</v>
      </c>
      <c r="S245" s="33">
        <v>0</v>
      </c>
      <c r="T245" s="13">
        <v>16.28</v>
      </c>
      <c r="U245" s="13">
        <v>6.5119999999999996</v>
      </c>
      <c r="V245" s="55">
        <f>IFERROR(Table12[[#This Row],[Profit]]/Table12[[#This Row],[Sales]],0)</f>
        <v>0.39999999999999997</v>
      </c>
    </row>
    <row r="246" spans="1:22" x14ac:dyDescent="0.2">
      <c r="A246">
        <v>245</v>
      </c>
      <c r="B246" t="s">
        <v>6028</v>
      </c>
      <c r="C246" s="1">
        <v>41721</v>
      </c>
      <c r="D246" s="22">
        <f>MONTH(Table12[[#This Row],[Order Date]])</f>
        <v>3</v>
      </c>
      <c r="E246" t="s">
        <v>1866</v>
      </c>
      <c r="F246" t="s">
        <v>1867</v>
      </c>
      <c r="G246" s="23" t="s">
        <v>41</v>
      </c>
      <c r="H246" s="23" t="s">
        <v>53</v>
      </c>
      <c r="I246" t="s">
        <v>210</v>
      </c>
      <c r="J246" s="23" t="s">
        <v>22</v>
      </c>
      <c r="K246" s="22">
        <v>2</v>
      </c>
      <c r="L246" s="1">
        <v>41724</v>
      </c>
      <c r="M246" s="22">
        <f>Table12[[#This Row],[Ship Date]]-Table12[[#This Row],[Order Date]]</f>
        <v>3</v>
      </c>
      <c r="N246" s="23" t="s">
        <v>20</v>
      </c>
      <c r="O246" s="23" t="s">
        <v>23</v>
      </c>
      <c r="P246" s="23" t="s">
        <v>38</v>
      </c>
      <c r="Q246" s="23" t="s">
        <v>39</v>
      </c>
      <c r="R246" s="23" t="s">
        <v>37</v>
      </c>
      <c r="S246" s="33">
        <v>0</v>
      </c>
      <c r="T246" s="13">
        <v>330.4</v>
      </c>
      <c r="U246" s="13">
        <v>85.903999999999996</v>
      </c>
      <c r="V246" s="55">
        <f>IFERROR(Table12[[#This Row],[Profit]]/Table12[[#This Row],[Sales]],0)</f>
        <v>0.26</v>
      </c>
    </row>
    <row r="247" spans="1:22" x14ac:dyDescent="0.2">
      <c r="A247">
        <v>246</v>
      </c>
      <c r="B247" t="s">
        <v>6028</v>
      </c>
      <c r="C247" s="1">
        <v>41721</v>
      </c>
      <c r="D247" s="22">
        <f>MONTH(Table12[[#This Row],[Order Date]])</f>
        <v>3</v>
      </c>
      <c r="E247" t="s">
        <v>6029</v>
      </c>
      <c r="F247" t="s">
        <v>6030</v>
      </c>
      <c r="G247" s="23" t="s">
        <v>64</v>
      </c>
      <c r="H247" s="23" t="s">
        <v>65</v>
      </c>
      <c r="I247" t="s">
        <v>210</v>
      </c>
      <c r="J247" s="23" t="s">
        <v>22</v>
      </c>
      <c r="K247" s="22">
        <v>6</v>
      </c>
      <c r="L247" s="1">
        <v>41724</v>
      </c>
      <c r="M247" s="22">
        <f>Table12[[#This Row],[Ship Date]]-Table12[[#This Row],[Order Date]]</f>
        <v>3</v>
      </c>
      <c r="N247" s="23" t="s">
        <v>20</v>
      </c>
      <c r="O247" s="23" t="s">
        <v>23</v>
      </c>
      <c r="P247" s="23" t="s">
        <v>38</v>
      </c>
      <c r="Q247" s="23" t="s">
        <v>39</v>
      </c>
      <c r="R247" s="23" t="s">
        <v>37</v>
      </c>
      <c r="S247" s="33">
        <v>0.2</v>
      </c>
      <c r="T247" s="13">
        <v>604.75199999999995</v>
      </c>
      <c r="U247" s="13">
        <v>37.796999999999997</v>
      </c>
      <c r="V247" s="55">
        <f>IFERROR(Table12[[#This Row],[Profit]]/Table12[[#This Row],[Sales]],0)</f>
        <v>6.25E-2</v>
      </c>
    </row>
    <row r="248" spans="1:22" x14ac:dyDescent="0.2">
      <c r="A248">
        <v>247</v>
      </c>
      <c r="B248" t="s">
        <v>8204</v>
      </c>
      <c r="C248" s="1">
        <v>41721</v>
      </c>
      <c r="D248" s="22">
        <f>MONTH(Table12[[#This Row],[Order Date]])</f>
        <v>3</v>
      </c>
      <c r="E248" t="s">
        <v>2123</v>
      </c>
      <c r="F248" t="s">
        <v>2124</v>
      </c>
      <c r="G248" s="23" t="s">
        <v>41</v>
      </c>
      <c r="H248" s="23" t="s">
        <v>42</v>
      </c>
      <c r="I248" t="s">
        <v>5781</v>
      </c>
      <c r="J248" s="23" t="s">
        <v>22</v>
      </c>
      <c r="K248" s="22">
        <v>3</v>
      </c>
      <c r="L248" s="1">
        <v>41724</v>
      </c>
      <c r="M248" s="22">
        <f>Table12[[#This Row],[Ship Date]]-Table12[[#This Row],[Order Date]]</f>
        <v>3</v>
      </c>
      <c r="N248" s="23" t="s">
        <v>169</v>
      </c>
      <c r="O248" s="23" t="s">
        <v>23</v>
      </c>
      <c r="P248" s="23" t="s">
        <v>48</v>
      </c>
      <c r="Q248" s="23" t="s">
        <v>26</v>
      </c>
      <c r="R248" s="23" t="s">
        <v>8205</v>
      </c>
      <c r="S248" s="33">
        <v>0.2</v>
      </c>
      <c r="T248" s="13">
        <v>9.9120000000000008</v>
      </c>
      <c r="U248" s="13">
        <v>3.2214</v>
      </c>
      <c r="V248" s="55">
        <f>IFERROR(Table12[[#This Row],[Profit]]/Table12[[#This Row],[Sales]],0)</f>
        <v>0.32499999999999996</v>
      </c>
    </row>
    <row r="249" spans="1:22" x14ac:dyDescent="0.2">
      <c r="A249">
        <v>248</v>
      </c>
      <c r="B249" t="s">
        <v>6791</v>
      </c>
      <c r="C249" s="1">
        <v>41722</v>
      </c>
      <c r="D249" s="22">
        <f>MONTH(Table12[[#This Row],[Order Date]])</f>
        <v>3</v>
      </c>
      <c r="E249" t="s">
        <v>6792</v>
      </c>
      <c r="F249" t="s">
        <v>6793</v>
      </c>
      <c r="G249" s="23" t="s">
        <v>41</v>
      </c>
      <c r="H249" s="23" t="s">
        <v>82</v>
      </c>
      <c r="I249" t="s">
        <v>2203</v>
      </c>
      <c r="J249" s="23" t="s">
        <v>22</v>
      </c>
      <c r="K249" s="22">
        <v>5</v>
      </c>
      <c r="L249" s="1">
        <v>41726</v>
      </c>
      <c r="M249" s="22">
        <f>Table12[[#This Row],[Ship Date]]-Table12[[#This Row],[Order Date]]</f>
        <v>4</v>
      </c>
      <c r="N249" s="23" t="s">
        <v>45</v>
      </c>
      <c r="O249" s="23" t="s">
        <v>23</v>
      </c>
      <c r="P249" s="23" t="s">
        <v>238</v>
      </c>
      <c r="Q249" s="23" t="s">
        <v>133</v>
      </c>
      <c r="R249" s="23" t="s">
        <v>237</v>
      </c>
      <c r="S249" s="33">
        <v>0</v>
      </c>
      <c r="T249" s="13">
        <v>24.9</v>
      </c>
      <c r="U249" s="13">
        <v>11.702999999999999</v>
      </c>
      <c r="V249" s="55">
        <f>IFERROR(Table12[[#This Row],[Profit]]/Table12[[#This Row],[Sales]],0)</f>
        <v>0.47000000000000003</v>
      </c>
    </row>
    <row r="250" spans="1:22" x14ac:dyDescent="0.2">
      <c r="A250">
        <v>249</v>
      </c>
      <c r="B250" t="s">
        <v>8898</v>
      </c>
      <c r="C250" s="1">
        <v>41722</v>
      </c>
      <c r="D250" s="22">
        <f>MONTH(Table12[[#This Row],[Order Date]])</f>
        <v>3</v>
      </c>
      <c r="E250" t="s">
        <v>7045</v>
      </c>
      <c r="F250" t="s">
        <v>7046</v>
      </c>
      <c r="G250" s="23" t="s">
        <v>28</v>
      </c>
      <c r="H250" s="23" t="s">
        <v>58</v>
      </c>
      <c r="I250" t="s">
        <v>2787</v>
      </c>
      <c r="J250" s="23" t="s">
        <v>22</v>
      </c>
      <c r="K250" s="22">
        <v>2</v>
      </c>
      <c r="L250" s="1">
        <v>41727</v>
      </c>
      <c r="M250" s="22">
        <f>Table12[[#This Row],[Ship Date]]-Table12[[#This Row],[Order Date]]</f>
        <v>5</v>
      </c>
      <c r="N250" s="23" t="s">
        <v>20</v>
      </c>
      <c r="O250" s="23" t="s">
        <v>23</v>
      </c>
      <c r="P250" s="23" t="s">
        <v>38</v>
      </c>
      <c r="Q250" s="23" t="s">
        <v>39</v>
      </c>
      <c r="R250" s="23" t="s">
        <v>3080</v>
      </c>
      <c r="S250" s="33">
        <v>0</v>
      </c>
      <c r="T250" s="13">
        <v>40.479999999999997</v>
      </c>
      <c r="U250" s="13">
        <v>14.572800000000001</v>
      </c>
      <c r="V250" s="55">
        <f>IFERROR(Table12[[#This Row],[Profit]]/Table12[[#This Row],[Sales]],0)</f>
        <v>0.36000000000000004</v>
      </c>
    </row>
    <row r="251" spans="1:22" x14ac:dyDescent="0.2">
      <c r="A251">
        <v>250</v>
      </c>
      <c r="B251" t="s">
        <v>4880</v>
      </c>
      <c r="C251" s="1">
        <v>41723</v>
      </c>
      <c r="D251" s="22">
        <f>MONTH(Table12[[#This Row],[Order Date]])</f>
        <v>3</v>
      </c>
      <c r="E251" t="s">
        <v>4882</v>
      </c>
      <c r="F251" t="s">
        <v>4883</v>
      </c>
      <c r="G251" s="23" t="s">
        <v>28</v>
      </c>
      <c r="H251" s="23" t="s">
        <v>32</v>
      </c>
      <c r="I251" t="s">
        <v>4881</v>
      </c>
      <c r="J251" s="23" t="s">
        <v>22</v>
      </c>
      <c r="K251" s="22">
        <v>7</v>
      </c>
      <c r="L251" s="1">
        <v>41730</v>
      </c>
      <c r="M251" s="22">
        <f>Table12[[#This Row],[Ship Date]]-Table12[[#This Row],[Order Date]]</f>
        <v>7</v>
      </c>
      <c r="N251" s="23" t="s">
        <v>45</v>
      </c>
      <c r="O251" s="23" t="s">
        <v>23</v>
      </c>
      <c r="P251" s="23" t="s">
        <v>238</v>
      </c>
      <c r="Q251" s="23" t="s">
        <v>133</v>
      </c>
      <c r="R251" s="23" t="s">
        <v>237</v>
      </c>
      <c r="S251" s="33">
        <v>0.1</v>
      </c>
      <c r="T251" s="13">
        <v>366.786</v>
      </c>
      <c r="U251" s="13">
        <v>65.206400000000002</v>
      </c>
      <c r="V251" s="55">
        <f>IFERROR(Table12[[#This Row],[Profit]]/Table12[[#This Row],[Sales]],0)</f>
        <v>0.17777777777777778</v>
      </c>
    </row>
    <row r="252" spans="1:22" x14ac:dyDescent="0.2">
      <c r="A252">
        <v>251</v>
      </c>
      <c r="B252" t="s">
        <v>9758</v>
      </c>
      <c r="C252" s="1">
        <v>41723</v>
      </c>
      <c r="D252" s="22">
        <f>MONTH(Table12[[#This Row],[Order Date]])</f>
        <v>3</v>
      </c>
      <c r="E252" t="s">
        <v>3279</v>
      </c>
      <c r="F252" t="s">
        <v>3280</v>
      </c>
      <c r="G252" s="23" t="s">
        <v>41</v>
      </c>
      <c r="H252" s="23" t="s">
        <v>61</v>
      </c>
      <c r="I252" t="s">
        <v>1810</v>
      </c>
      <c r="J252" s="23" t="s">
        <v>22</v>
      </c>
      <c r="K252" s="22">
        <v>2</v>
      </c>
      <c r="L252" s="1">
        <v>41728</v>
      </c>
      <c r="M252" s="22">
        <f>Table12[[#This Row],[Ship Date]]-Table12[[#This Row],[Order Date]]</f>
        <v>5</v>
      </c>
      <c r="N252" s="23" t="s">
        <v>45</v>
      </c>
      <c r="O252" s="23" t="s">
        <v>23</v>
      </c>
      <c r="P252" s="23" t="s">
        <v>38</v>
      </c>
      <c r="Q252" s="23" t="s">
        <v>39</v>
      </c>
      <c r="R252" s="23" t="s">
        <v>114</v>
      </c>
      <c r="S252" s="33">
        <v>0</v>
      </c>
      <c r="T252" s="13">
        <v>6.56</v>
      </c>
      <c r="U252" s="13">
        <v>1.9024000000000001</v>
      </c>
      <c r="V252" s="55">
        <f>IFERROR(Table12[[#This Row],[Profit]]/Table12[[#This Row],[Sales]],0)</f>
        <v>0.29000000000000004</v>
      </c>
    </row>
    <row r="253" spans="1:22" x14ac:dyDescent="0.2">
      <c r="A253">
        <v>252</v>
      </c>
      <c r="B253" t="s">
        <v>9758</v>
      </c>
      <c r="C253" s="1">
        <v>41723</v>
      </c>
      <c r="D253" s="22">
        <f>MONTH(Table12[[#This Row],[Order Date]])</f>
        <v>3</v>
      </c>
      <c r="E253" t="s">
        <v>5445</v>
      </c>
      <c r="F253" t="s">
        <v>5446</v>
      </c>
      <c r="G253" s="23" t="s">
        <v>41</v>
      </c>
      <c r="H253" s="23" t="s">
        <v>61</v>
      </c>
      <c r="I253" t="s">
        <v>1810</v>
      </c>
      <c r="J253" s="23" t="s">
        <v>22</v>
      </c>
      <c r="K253" s="22">
        <v>2</v>
      </c>
      <c r="L253" s="1">
        <v>41728</v>
      </c>
      <c r="M253" s="22">
        <f>Table12[[#This Row],[Ship Date]]-Table12[[#This Row],[Order Date]]</f>
        <v>5</v>
      </c>
      <c r="N253" s="23" t="s">
        <v>45</v>
      </c>
      <c r="O253" s="23" t="s">
        <v>23</v>
      </c>
      <c r="P253" s="23" t="s">
        <v>38</v>
      </c>
      <c r="Q253" s="23" t="s">
        <v>39</v>
      </c>
      <c r="R253" s="23" t="s">
        <v>114</v>
      </c>
      <c r="S253" s="33">
        <v>0</v>
      </c>
      <c r="T253" s="13">
        <v>14.88</v>
      </c>
      <c r="U253" s="13">
        <v>3.72</v>
      </c>
      <c r="V253" s="55">
        <f>IFERROR(Table12[[#This Row],[Profit]]/Table12[[#This Row],[Sales]],0)</f>
        <v>0.25</v>
      </c>
    </row>
    <row r="254" spans="1:22" x14ac:dyDescent="0.2">
      <c r="A254">
        <v>253</v>
      </c>
      <c r="B254" t="s">
        <v>9758</v>
      </c>
      <c r="C254" s="1">
        <v>41723</v>
      </c>
      <c r="D254" s="22">
        <f>MONTH(Table12[[#This Row],[Order Date]])</f>
        <v>3</v>
      </c>
      <c r="E254" t="s">
        <v>6111</v>
      </c>
      <c r="F254" t="s">
        <v>6112</v>
      </c>
      <c r="G254" s="23" t="s">
        <v>64</v>
      </c>
      <c r="H254" s="23" t="s">
        <v>144</v>
      </c>
      <c r="I254" t="s">
        <v>1810</v>
      </c>
      <c r="J254" s="23" t="s">
        <v>22</v>
      </c>
      <c r="K254" s="22">
        <v>4</v>
      </c>
      <c r="L254" s="1">
        <v>41728</v>
      </c>
      <c r="M254" s="22">
        <f>Table12[[#This Row],[Ship Date]]-Table12[[#This Row],[Order Date]]</f>
        <v>5</v>
      </c>
      <c r="N254" s="23" t="s">
        <v>45</v>
      </c>
      <c r="O254" s="23" t="s">
        <v>23</v>
      </c>
      <c r="P254" s="23" t="s">
        <v>38</v>
      </c>
      <c r="Q254" s="23" t="s">
        <v>39</v>
      </c>
      <c r="R254" s="23" t="s">
        <v>114</v>
      </c>
      <c r="S254" s="33">
        <v>0</v>
      </c>
      <c r="T254" s="13">
        <v>45.48</v>
      </c>
      <c r="U254" s="13">
        <v>15.917999999999999</v>
      </c>
      <c r="V254" s="55">
        <f>IFERROR(Table12[[#This Row],[Profit]]/Table12[[#This Row],[Sales]],0)</f>
        <v>0.35000000000000003</v>
      </c>
    </row>
    <row r="255" spans="1:22" x14ac:dyDescent="0.2">
      <c r="A255">
        <v>254</v>
      </c>
      <c r="B255" t="s">
        <v>9758</v>
      </c>
      <c r="C255" s="1">
        <v>41723</v>
      </c>
      <c r="D255" s="22">
        <f>MONTH(Table12[[#This Row],[Order Date]])</f>
        <v>3</v>
      </c>
      <c r="E255" t="s">
        <v>2596</v>
      </c>
      <c r="F255" t="s">
        <v>2597</v>
      </c>
      <c r="G255" s="23" t="s">
        <v>41</v>
      </c>
      <c r="H255" s="23" t="s">
        <v>61</v>
      </c>
      <c r="I255" t="s">
        <v>1810</v>
      </c>
      <c r="J255" s="23" t="s">
        <v>22</v>
      </c>
      <c r="K255" s="22">
        <v>6</v>
      </c>
      <c r="L255" s="1">
        <v>41728</v>
      </c>
      <c r="M255" s="22">
        <f>Table12[[#This Row],[Ship Date]]-Table12[[#This Row],[Order Date]]</f>
        <v>5</v>
      </c>
      <c r="N255" s="23" t="s">
        <v>45</v>
      </c>
      <c r="O255" s="23" t="s">
        <v>23</v>
      </c>
      <c r="P255" s="23" t="s">
        <v>38</v>
      </c>
      <c r="Q255" s="23" t="s">
        <v>39</v>
      </c>
      <c r="R255" s="23" t="s">
        <v>114</v>
      </c>
      <c r="S255" s="33">
        <v>0</v>
      </c>
      <c r="T255" s="13">
        <v>25.44</v>
      </c>
      <c r="U255" s="13">
        <v>9.9215999999999998</v>
      </c>
      <c r="V255" s="55">
        <f>IFERROR(Table12[[#This Row],[Profit]]/Table12[[#This Row],[Sales]],0)</f>
        <v>0.38999999999999996</v>
      </c>
    </row>
    <row r="256" spans="1:22" x14ac:dyDescent="0.2">
      <c r="A256">
        <v>255</v>
      </c>
      <c r="B256" t="s">
        <v>6615</v>
      </c>
      <c r="C256" s="1">
        <v>41724</v>
      </c>
      <c r="D256" s="22">
        <f>MONTH(Table12[[#This Row],[Order Date]])</f>
        <v>3</v>
      </c>
      <c r="E256" t="s">
        <v>665</v>
      </c>
      <c r="F256" t="s">
        <v>666</v>
      </c>
      <c r="G256" s="23" t="s">
        <v>64</v>
      </c>
      <c r="H256" s="23" t="s">
        <v>144</v>
      </c>
      <c r="I256" t="s">
        <v>516</v>
      </c>
      <c r="J256" s="23" t="s">
        <v>36</v>
      </c>
      <c r="K256" s="22">
        <v>3</v>
      </c>
      <c r="L256" s="1">
        <v>41728</v>
      </c>
      <c r="M256" s="22">
        <f>Table12[[#This Row],[Ship Date]]-Table12[[#This Row],[Order Date]]</f>
        <v>4</v>
      </c>
      <c r="N256" s="23" t="s">
        <v>45</v>
      </c>
      <c r="O256" s="23" t="s">
        <v>23</v>
      </c>
      <c r="P256" s="23" t="s">
        <v>38</v>
      </c>
      <c r="Q256" s="23" t="s">
        <v>39</v>
      </c>
      <c r="R256" s="23" t="s">
        <v>37</v>
      </c>
      <c r="S256" s="33">
        <v>0</v>
      </c>
      <c r="T256" s="13">
        <v>66.3</v>
      </c>
      <c r="U256" s="13">
        <v>8.6189999999999998</v>
      </c>
      <c r="V256" s="55">
        <f>IFERROR(Table12[[#This Row],[Profit]]/Table12[[#This Row],[Sales]],0)</f>
        <v>0.13</v>
      </c>
    </row>
    <row r="257" spans="1:22" x14ac:dyDescent="0.2">
      <c r="A257">
        <v>256</v>
      </c>
      <c r="B257" t="s">
        <v>9613</v>
      </c>
      <c r="C257" s="1">
        <v>41724</v>
      </c>
      <c r="D257" s="22">
        <f>MONTH(Table12[[#This Row],[Order Date]])</f>
        <v>3</v>
      </c>
      <c r="E257" t="s">
        <v>4446</v>
      </c>
      <c r="F257" t="s">
        <v>4447</v>
      </c>
      <c r="G257" s="23" t="s">
        <v>41</v>
      </c>
      <c r="H257" s="23" t="s">
        <v>61</v>
      </c>
      <c r="I257" t="s">
        <v>3402</v>
      </c>
      <c r="J257" s="23" t="s">
        <v>36</v>
      </c>
      <c r="K257" s="22">
        <v>2</v>
      </c>
      <c r="L257" s="1">
        <v>41729</v>
      </c>
      <c r="M257" s="22">
        <f>Table12[[#This Row],[Ship Date]]-Table12[[#This Row],[Order Date]]</f>
        <v>5</v>
      </c>
      <c r="N257" s="23" t="s">
        <v>20</v>
      </c>
      <c r="O257" s="23" t="s">
        <v>23</v>
      </c>
      <c r="P257" s="23" t="s">
        <v>38</v>
      </c>
      <c r="Q257" s="23" t="s">
        <v>39</v>
      </c>
      <c r="R257" s="23" t="s">
        <v>114</v>
      </c>
      <c r="S257" s="33">
        <v>0</v>
      </c>
      <c r="T257" s="13">
        <v>3.36</v>
      </c>
      <c r="U257" s="13">
        <v>0.84</v>
      </c>
      <c r="V257" s="55">
        <f>IFERROR(Table12[[#This Row],[Profit]]/Table12[[#This Row],[Sales]],0)</f>
        <v>0.25</v>
      </c>
    </row>
    <row r="258" spans="1:22" x14ac:dyDescent="0.2">
      <c r="A258">
        <v>257</v>
      </c>
      <c r="B258" t="s">
        <v>9613</v>
      </c>
      <c r="C258" s="1">
        <v>41724</v>
      </c>
      <c r="D258" s="22">
        <f>MONTH(Table12[[#This Row],[Order Date]])</f>
        <v>3</v>
      </c>
      <c r="E258" t="s">
        <v>207</v>
      </c>
      <c r="F258" t="s">
        <v>208</v>
      </c>
      <c r="G258" s="23" t="s">
        <v>41</v>
      </c>
      <c r="H258" s="23" t="s">
        <v>68</v>
      </c>
      <c r="I258" t="s">
        <v>3402</v>
      </c>
      <c r="J258" s="23" t="s">
        <v>36</v>
      </c>
      <c r="K258" s="22">
        <v>4</v>
      </c>
      <c r="L258" s="1">
        <v>41729</v>
      </c>
      <c r="M258" s="22">
        <f>Table12[[#This Row],[Ship Date]]-Table12[[#This Row],[Order Date]]</f>
        <v>5</v>
      </c>
      <c r="N258" s="23" t="s">
        <v>20</v>
      </c>
      <c r="O258" s="23" t="s">
        <v>23</v>
      </c>
      <c r="P258" s="23" t="s">
        <v>38</v>
      </c>
      <c r="Q258" s="23" t="s">
        <v>39</v>
      </c>
      <c r="R258" s="23" t="s">
        <v>114</v>
      </c>
      <c r="S258" s="33">
        <v>0.2</v>
      </c>
      <c r="T258" s="13">
        <v>27.936</v>
      </c>
      <c r="U258" s="13">
        <v>9.4283999999999999</v>
      </c>
      <c r="V258" s="55">
        <f>IFERROR(Table12[[#This Row],[Profit]]/Table12[[#This Row],[Sales]],0)</f>
        <v>0.33750000000000002</v>
      </c>
    </row>
    <row r="259" spans="1:22" x14ac:dyDescent="0.2">
      <c r="A259">
        <v>258</v>
      </c>
      <c r="B259" t="s">
        <v>9613</v>
      </c>
      <c r="C259" s="1">
        <v>41724</v>
      </c>
      <c r="D259" s="22">
        <f>MONTH(Table12[[#This Row],[Order Date]])</f>
        <v>3</v>
      </c>
      <c r="E259" t="s">
        <v>7753</v>
      </c>
      <c r="F259" t="s">
        <v>7754</v>
      </c>
      <c r="G259" s="23" t="s">
        <v>64</v>
      </c>
      <c r="H259" s="23" t="s">
        <v>65</v>
      </c>
      <c r="I259" t="s">
        <v>3402</v>
      </c>
      <c r="J259" s="23" t="s">
        <v>36</v>
      </c>
      <c r="K259" s="22">
        <v>2</v>
      </c>
      <c r="L259" s="1">
        <v>41729</v>
      </c>
      <c r="M259" s="22">
        <f>Table12[[#This Row],[Ship Date]]-Table12[[#This Row],[Order Date]]</f>
        <v>5</v>
      </c>
      <c r="N259" s="23" t="s">
        <v>20</v>
      </c>
      <c r="O259" s="23" t="s">
        <v>23</v>
      </c>
      <c r="P259" s="23" t="s">
        <v>38</v>
      </c>
      <c r="Q259" s="23" t="s">
        <v>39</v>
      </c>
      <c r="R259" s="23" t="s">
        <v>114</v>
      </c>
      <c r="S259" s="33">
        <v>0.2</v>
      </c>
      <c r="T259" s="13">
        <v>28.783999999999999</v>
      </c>
      <c r="U259" s="13">
        <v>2.8784000000000001</v>
      </c>
      <c r="V259" s="55">
        <f>IFERROR(Table12[[#This Row],[Profit]]/Table12[[#This Row],[Sales]],0)</f>
        <v>0.1</v>
      </c>
    </row>
    <row r="260" spans="1:22" x14ac:dyDescent="0.2">
      <c r="A260">
        <v>259</v>
      </c>
      <c r="B260" t="s">
        <v>9970</v>
      </c>
      <c r="C260" s="1">
        <v>41724</v>
      </c>
      <c r="D260" s="22">
        <f>MONTH(Table12[[#This Row],[Order Date]])</f>
        <v>3</v>
      </c>
      <c r="E260" t="s">
        <v>6024</v>
      </c>
      <c r="F260" t="s">
        <v>6025</v>
      </c>
      <c r="G260" s="23" t="s">
        <v>41</v>
      </c>
      <c r="H260" s="23" t="s">
        <v>42</v>
      </c>
      <c r="I260" t="s">
        <v>3501</v>
      </c>
      <c r="J260" s="23" t="s">
        <v>22</v>
      </c>
      <c r="K260" s="22">
        <v>5</v>
      </c>
      <c r="L260" s="1">
        <v>41728</v>
      </c>
      <c r="M260" s="22">
        <f>Table12[[#This Row],[Ship Date]]-Table12[[#This Row],[Order Date]]</f>
        <v>4</v>
      </c>
      <c r="N260" s="23" t="s">
        <v>20</v>
      </c>
      <c r="O260" s="23" t="s">
        <v>23</v>
      </c>
      <c r="P260" s="23" t="s">
        <v>38</v>
      </c>
      <c r="Q260" s="23" t="s">
        <v>39</v>
      </c>
      <c r="R260" s="23" t="s">
        <v>3563</v>
      </c>
      <c r="S260" s="33">
        <v>0</v>
      </c>
      <c r="T260" s="13">
        <v>18.75</v>
      </c>
      <c r="U260" s="13">
        <v>9</v>
      </c>
      <c r="V260" s="55">
        <f>IFERROR(Table12[[#This Row],[Profit]]/Table12[[#This Row],[Sales]],0)</f>
        <v>0.48</v>
      </c>
    </row>
    <row r="261" spans="1:22" x14ac:dyDescent="0.2">
      <c r="A261">
        <v>260</v>
      </c>
      <c r="B261" t="s">
        <v>8916</v>
      </c>
      <c r="C261" s="1">
        <v>41726</v>
      </c>
      <c r="D261" s="22">
        <f>MONTH(Table12[[#This Row],[Order Date]])</f>
        <v>3</v>
      </c>
      <c r="E261" t="s">
        <v>154</v>
      </c>
      <c r="F261" t="s">
        <v>156</v>
      </c>
      <c r="G261" s="23" t="s">
        <v>41</v>
      </c>
      <c r="H261" s="23" t="s">
        <v>155</v>
      </c>
      <c r="I261" t="s">
        <v>4814</v>
      </c>
      <c r="J261" s="23" t="s">
        <v>22</v>
      </c>
      <c r="K261" s="22">
        <v>3</v>
      </c>
      <c r="L261" s="1">
        <v>41731</v>
      </c>
      <c r="M261" s="22">
        <f>Table12[[#This Row],[Ship Date]]-Table12[[#This Row],[Order Date]]</f>
        <v>5</v>
      </c>
      <c r="N261" s="23" t="s">
        <v>45</v>
      </c>
      <c r="O261" s="23" t="s">
        <v>23</v>
      </c>
      <c r="P261" s="23" t="s">
        <v>433</v>
      </c>
      <c r="Q261" s="23" t="s">
        <v>95</v>
      </c>
      <c r="R261" s="23" t="s">
        <v>1216</v>
      </c>
      <c r="S261" s="33">
        <v>0</v>
      </c>
      <c r="T261" s="13">
        <v>6.12</v>
      </c>
      <c r="U261" s="13">
        <v>2.8763999999999998</v>
      </c>
      <c r="V261" s="55">
        <f>IFERROR(Table12[[#This Row],[Profit]]/Table12[[#This Row],[Sales]],0)</f>
        <v>0.47</v>
      </c>
    </row>
    <row r="262" spans="1:22" x14ac:dyDescent="0.2">
      <c r="A262">
        <v>261</v>
      </c>
      <c r="B262" t="s">
        <v>8916</v>
      </c>
      <c r="C262" s="1">
        <v>41726</v>
      </c>
      <c r="D262" s="22">
        <f>MONTH(Table12[[#This Row],[Order Date]])</f>
        <v>3</v>
      </c>
      <c r="E262" t="s">
        <v>4389</v>
      </c>
      <c r="F262" t="s">
        <v>4390</v>
      </c>
      <c r="G262" s="23" t="s">
        <v>28</v>
      </c>
      <c r="H262" s="23" t="s">
        <v>50</v>
      </c>
      <c r="I262" t="s">
        <v>4814</v>
      </c>
      <c r="J262" s="23" t="s">
        <v>22</v>
      </c>
      <c r="K262" s="22">
        <v>4</v>
      </c>
      <c r="L262" s="1">
        <v>41731</v>
      </c>
      <c r="M262" s="22">
        <f>Table12[[#This Row],[Ship Date]]-Table12[[#This Row],[Order Date]]</f>
        <v>5</v>
      </c>
      <c r="N262" s="23" t="s">
        <v>45</v>
      </c>
      <c r="O262" s="23" t="s">
        <v>23</v>
      </c>
      <c r="P262" s="23" t="s">
        <v>433</v>
      </c>
      <c r="Q262" s="23" t="s">
        <v>95</v>
      </c>
      <c r="R262" s="23" t="s">
        <v>1216</v>
      </c>
      <c r="S262" s="33">
        <v>0</v>
      </c>
      <c r="T262" s="13">
        <v>1184.72</v>
      </c>
      <c r="U262" s="13">
        <v>106.62479999999999</v>
      </c>
      <c r="V262" s="55">
        <f>IFERROR(Table12[[#This Row],[Profit]]/Table12[[#This Row],[Sales]],0)</f>
        <v>0.09</v>
      </c>
    </row>
    <row r="263" spans="1:22" x14ac:dyDescent="0.2">
      <c r="A263">
        <v>262</v>
      </c>
      <c r="B263" t="s">
        <v>9262</v>
      </c>
      <c r="C263" s="1">
        <v>41726</v>
      </c>
      <c r="D263" s="22">
        <f>MONTH(Table12[[#This Row],[Order Date]])</f>
        <v>3</v>
      </c>
      <c r="E263" t="s">
        <v>651</v>
      </c>
      <c r="F263" t="s">
        <v>652</v>
      </c>
      <c r="G263" s="23" t="s">
        <v>64</v>
      </c>
      <c r="H263" s="23" t="s">
        <v>65</v>
      </c>
      <c r="I263" t="s">
        <v>5338</v>
      </c>
      <c r="J263" s="23" t="s">
        <v>92</v>
      </c>
      <c r="K263" s="22">
        <v>3</v>
      </c>
      <c r="L263" s="1">
        <v>41730</v>
      </c>
      <c r="M263" s="22">
        <f>Table12[[#This Row],[Ship Date]]-Table12[[#This Row],[Order Date]]</f>
        <v>4</v>
      </c>
      <c r="N263" s="23" t="s">
        <v>45</v>
      </c>
      <c r="O263" s="23" t="s">
        <v>23</v>
      </c>
      <c r="P263" s="23" t="s">
        <v>589</v>
      </c>
      <c r="Q263" s="23" t="s">
        <v>39</v>
      </c>
      <c r="R263" s="23" t="s">
        <v>4858</v>
      </c>
      <c r="S263" s="33">
        <v>0.2</v>
      </c>
      <c r="T263" s="13">
        <v>302.37599999999998</v>
      </c>
      <c r="U263" s="13">
        <v>22.6782</v>
      </c>
      <c r="V263" s="55">
        <f>IFERROR(Table12[[#This Row],[Profit]]/Table12[[#This Row],[Sales]],0)</f>
        <v>7.5000000000000011E-2</v>
      </c>
    </row>
    <row r="264" spans="1:22" x14ac:dyDescent="0.2">
      <c r="A264">
        <v>263</v>
      </c>
      <c r="B264" t="s">
        <v>10098</v>
      </c>
      <c r="C264" s="1">
        <v>41726</v>
      </c>
      <c r="D264" s="22">
        <f>MONTH(Table12[[#This Row],[Order Date]])</f>
        <v>3</v>
      </c>
      <c r="E264" t="s">
        <v>2040</v>
      </c>
      <c r="F264" t="s">
        <v>2041</v>
      </c>
      <c r="G264" s="23" t="s">
        <v>28</v>
      </c>
      <c r="H264" s="23" t="s">
        <v>50</v>
      </c>
      <c r="I264" t="s">
        <v>3602</v>
      </c>
      <c r="J264" s="23" t="s">
        <v>92</v>
      </c>
      <c r="K264" s="22">
        <v>1</v>
      </c>
      <c r="L264" s="1">
        <v>41732</v>
      </c>
      <c r="M264" s="22">
        <f>Table12[[#This Row],[Ship Date]]-Table12[[#This Row],[Order Date]]</f>
        <v>6</v>
      </c>
      <c r="N264" s="23" t="s">
        <v>45</v>
      </c>
      <c r="O264" s="23" t="s">
        <v>23</v>
      </c>
      <c r="P264" s="23" t="s">
        <v>441</v>
      </c>
      <c r="Q264" s="23" t="s">
        <v>133</v>
      </c>
      <c r="R264" s="23" t="s">
        <v>284</v>
      </c>
      <c r="S264" s="33">
        <v>0.4</v>
      </c>
      <c r="T264" s="13">
        <v>330.58800000000002</v>
      </c>
      <c r="U264" s="13">
        <v>-143.25479999999999</v>
      </c>
      <c r="V264" s="55">
        <f>IFERROR(Table12[[#This Row],[Profit]]/Table12[[#This Row],[Sales]],0)</f>
        <v>-0.43333333333333329</v>
      </c>
    </row>
    <row r="265" spans="1:22" x14ac:dyDescent="0.2">
      <c r="A265">
        <v>264</v>
      </c>
      <c r="B265" t="s">
        <v>8631</v>
      </c>
      <c r="C265" s="1">
        <v>41727</v>
      </c>
      <c r="D265" s="22">
        <f>MONTH(Table12[[#This Row],[Order Date]])</f>
        <v>3</v>
      </c>
      <c r="E265" t="s">
        <v>1418</v>
      </c>
      <c r="F265" t="s">
        <v>1419</v>
      </c>
      <c r="G265" s="23" t="s">
        <v>28</v>
      </c>
      <c r="H265" s="23" t="s">
        <v>50</v>
      </c>
      <c r="I265" t="s">
        <v>1591</v>
      </c>
      <c r="J265" s="23" t="s">
        <v>22</v>
      </c>
      <c r="K265" s="22">
        <v>3</v>
      </c>
      <c r="L265" s="1">
        <v>41731</v>
      </c>
      <c r="M265" s="22">
        <f>Table12[[#This Row],[Ship Date]]-Table12[[#This Row],[Order Date]]</f>
        <v>4</v>
      </c>
      <c r="N265" s="23" t="s">
        <v>45</v>
      </c>
      <c r="O265" s="23" t="s">
        <v>23</v>
      </c>
      <c r="P265" s="23" t="s">
        <v>94</v>
      </c>
      <c r="Q265" s="23" t="s">
        <v>95</v>
      </c>
      <c r="R265" s="23" t="s">
        <v>3835</v>
      </c>
      <c r="S265" s="33">
        <v>0.3</v>
      </c>
      <c r="T265" s="13">
        <v>890.84100000000001</v>
      </c>
      <c r="U265" s="13">
        <v>-152.71559999999999</v>
      </c>
      <c r="V265" s="55">
        <f>IFERROR(Table12[[#This Row],[Profit]]/Table12[[#This Row],[Sales]],0)</f>
        <v>-0.17142857142857143</v>
      </c>
    </row>
    <row r="266" spans="1:22" x14ac:dyDescent="0.2">
      <c r="A266">
        <v>265</v>
      </c>
      <c r="B266" t="s">
        <v>5421</v>
      </c>
      <c r="C266" s="1">
        <v>41728</v>
      </c>
      <c r="D266" s="22">
        <f>MONTH(Table12[[#This Row],[Order Date]])</f>
        <v>3</v>
      </c>
      <c r="E266" t="s">
        <v>3746</v>
      </c>
      <c r="F266" t="s">
        <v>3747</v>
      </c>
      <c r="G266" s="23" t="s">
        <v>41</v>
      </c>
      <c r="H266" s="23" t="s">
        <v>61</v>
      </c>
      <c r="I266" t="s">
        <v>260</v>
      </c>
      <c r="J266" s="23" t="s">
        <v>22</v>
      </c>
      <c r="K266" s="22">
        <v>5</v>
      </c>
      <c r="L266" s="1">
        <v>41732</v>
      </c>
      <c r="M266" s="22">
        <f>Table12[[#This Row],[Ship Date]]-Table12[[#This Row],[Order Date]]</f>
        <v>4</v>
      </c>
      <c r="N266" s="23" t="s">
        <v>45</v>
      </c>
      <c r="O266" s="23" t="s">
        <v>23</v>
      </c>
      <c r="P266" s="23" t="s">
        <v>238</v>
      </c>
      <c r="Q266" s="23" t="s">
        <v>133</v>
      </c>
      <c r="R266" s="23" t="s">
        <v>1037</v>
      </c>
      <c r="S266" s="33">
        <v>0</v>
      </c>
      <c r="T266" s="13">
        <v>49.65</v>
      </c>
      <c r="U266" s="13">
        <v>20.853000000000002</v>
      </c>
      <c r="V266" s="55">
        <f>IFERROR(Table12[[#This Row],[Profit]]/Table12[[#This Row],[Sales]],0)</f>
        <v>0.42000000000000004</v>
      </c>
    </row>
    <row r="267" spans="1:22" x14ac:dyDescent="0.2">
      <c r="A267">
        <v>266</v>
      </c>
      <c r="B267" t="s">
        <v>7364</v>
      </c>
      <c r="C267" s="1">
        <v>41728</v>
      </c>
      <c r="D267" s="22">
        <f>MONTH(Table12[[#This Row],[Order Date]])</f>
        <v>3</v>
      </c>
      <c r="E267" t="s">
        <v>5717</v>
      </c>
      <c r="F267" t="s">
        <v>5718</v>
      </c>
      <c r="G267" s="23" t="s">
        <v>41</v>
      </c>
      <c r="H267" s="23" t="s">
        <v>53</v>
      </c>
      <c r="I267" t="s">
        <v>860</v>
      </c>
      <c r="J267" s="23" t="s">
        <v>36</v>
      </c>
      <c r="K267" s="22">
        <v>3</v>
      </c>
      <c r="L267" s="1">
        <v>41733</v>
      </c>
      <c r="M267" s="22">
        <f>Table12[[#This Row],[Ship Date]]-Table12[[#This Row],[Order Date]]</f>
        <v>5</v>
      </c>
      <c r="N267" s="23" t="s">
        <v>45</v>
      </c>
      <c r="O267" s="23" t="s">
        <v>23</v>
      </c>
      <c r="P267" s="23" t="s">
        <v>87</v>
      </c>
      <c r="Q267" s="23" t="s">
        <v>39</v>
      </c>
      <c r="R267" s="23" t="s">
        <v>86</v>
      </c>
      <c r="S267" s="33">
        <v>0</v>
      </c>
      <c r="T267" s="13">
        <v>15.84</v>
      </c>
      <c r="U267" s="13">
        <v>0</v>
      </c>
      <c r="V267" s="55">
        <f>IFERROR(Table12[[#This Row],[Profit]]/Table12[[#This Row],[Sales]],0)</f>
        <v>0</v>
      </c>
    </row>
    <row r="268" spans="1:22" x14ac:dyDescent="0.2">
      <c r="A268">
        <v>267</v>
      </c>
      <c r="B268" t="s">
        <v>7364</v>
      </c>
      <c r="C268" s="1">
        <v>41728</v>
      </c>
      <c r="D268" s="22">
        <f>MONTH(Table12[[#This Row],[Order Date]])</f>
        <v>3</v>
      </c>
      <c r="E268" t="s">
        <v>1984</v>
      </c>
      <c r="F268" t="s">
        <v>1985</v>
      </c>
      <c r="G268" s="23" t="s">
        <v>41</v>
      </c>
      <c r="H268" s="23" t="s">
        <v>42</v>
      </c>
      <c r="I268" t="s">
        <v>860</v>
      </c>
      <c r="J268" s="23" t="s">
        <v>36</v>
      </c>
      <c r="K268" s="22">
        <v>3</v>
      </c>
      <c r="L268" s="1">
        <v>41733</v>
      </c>
      <c r="M268" s="22">
        <f>Table12[[#This Row],[Ship Date]]-Table12[[#This Row],[Order Date]]</f>
        <v>5</v>
      </c>
      <c r="N268" s="23" t="s">
        <v>45</v>
      </c>
      <c r="O268" s="23" t="s">
        <v>23</v>
      </c>
      <c r="P268" s="23" t="s">
        <v>87</v>
      </c>
      <c r="Q268" s="23" t="s">
        <v>39</v>
      </c>
      <c r="R268" s="23" t="s">
        <v>86</v>
      </c>
      <c r="S268" s="33">
        <v>0</v>
      </c>
      <c r="T268" s="13">
        <v>44.4</v>
      </c>
      <c r="U268" s="13">
        <v>22.2</v>
      </c>
      <c r="V268" s="55">
        <f>IFERROR(Table12[[#This Row],[Profit]]/Table12[[#This Row],[Sales]],0)</f>
        <v>0.5</v>
      </c>
    </row>
    <row r="269" spans="1:22" x14ac:dyDescent="0.2">
      <c r="A269">
        <v>268</v>
      </c>
      <c r="B269" t="s">
        <v>7826</v>
      </c>
      <c r="C269" s="1">
        <v>41728</v>
      </c>
      <c r="D269" s="22">
        <f>MONTH(Table12[[#This Row],[Order Date]])</f>
        <v>3</v>
      </c>
      <c r="E269" t="s">
        <v>7097</v>
      </c>
      <c r="F269" t="s">
        <v>7098</v>
      </c>
      <c r="G269" s="23" t="s">
        <v>41</v>
      </c>
      <c r="H269" s="23" t="s">
        <v>61</v>
      </c>
      <c r="I269" t="s">
        <v>6555</v>
      </c>
      <c r="J269" s="23" t="s">
        <v>36</v>
      </c>
      <c r="K269" s="22">
        <v>5</v>
      </c>
      <c r="L269" s="1">
        <v>41729</v>
      </c>
      <c r="M269" s="22">
        <f>Table12[[#This Row],[Ship Date]]-Table12[[#This Row],[Order Date]]</f>
        <v>1</v>
      </c>
      <c r="N269" s="23" t="s">
        <v>169</v>
      </c>
      <c r="O269" s="23" t="s">
        <v>23</v>
      </c>
      <c r="P269" s="23" t="s">
        <v>238</v>
      </c>
      <c r="Q269" s="23" t="s">
        <v>133</v>
      </c>
      <c r="R269" s="23" t="s">
        <v>237</v>
      </c>
      <c r="S269" s="33">
        <v>0</v>
      </c>
      <c r="T269" s="13">
        <v>10.5</v>
      </c>
      <c r="U269" s="13">
        <v>2.94</v>
      </c>
      <c r="V269" s="55">
        <f>IFERROR(Table12[[#This Row],[Profit]]/Table12[[#This Row],[Sales]],0)</f>
        <v>0.27999999999999997</v>
      </c>
    </row>
    <row r="270" spans="1:22" x14ac:dyDescent="0.2">
      <c r="A270">
        <v>269</v>
      </c>
      <c r="B270" t="s">
        <v>7936</v>
      </c>
      <c r="C270" s="1">
        <v>41728</v>
      </c>
      <c r="D270" s="22">
        <f>MONTH(Table12[[#This Row],[Order Date]])</f>
        <v>3</v>
      </c>
      <c r="E270" t="s">
        <v>1478</v>
      </c>
      <c r="F270" t="s">
        <v>1479</v>
      </c>
      <c r="G270" s="23" t="s">
        <v>28</v>
      </c>
      <c r="H270" s="23" t="s">
        <v>29</v>
      </c>
      <c r="I270" t="s">
        <v>2314</v>
      </c>
      <c r="J270" s="23" t="s">
        <v>22</v>
      </c>
      <c r="K270" s="22">
        <v>2</v>
      </c>
      <c r="L270" s="1">
        <v>41733</v>
      </c>
      <c r="M270" s="22">
        <f>Table12[[#This Row],[Ship Date]]-Table12[[#This Row],[Order Date]]</f>
        <v>5</v>
      </c>
      <c r="N270" s="23" t="s">
        <v>45</v>
      </c>
      <c r="O270" s="23" t="s">
        <v>23</v>
      </c>
      <c r="P270" s="23" t="s">
        <v>38</v>
      </c>
      <c r="Q270" s="23" t="s">
        <v>39</v>
      </c>
      <c r="R270" s="23" t="s">
        <v>114</v>
      </c>
      <c r="S270" s="33">
        <v>0.15</v>
      </c>
      <c r="T270" s="13">
        <v>205.666</v>
      </c>
      <c r="U270" s="13">
        <v>-12.098000000000001</v>
      </c>
      <c r="V270" s="55">
        <f>IFERROR(Table12[[#This Row],[Profit]]/Table12[[#This Row],[Sales]],0)</f>
        <v>-5.8823529411764712E-2</v>
      </c>
    </row>
    <row r="271" spans="1:22" x14ac:dyDescent="0.2">
      <c r="A271">
        <v>270</v>
      </c>
      <c r="B271" t="s">
        <v>8793</v>
      </c>
      <c r="C271" s="1">
        <v>41728</v>
      </c>
      <c r="D271" s="22">
        <f>MONTH(Table12[[#This Row],[Order Date]])</f>
        <v>3</v>
      </c>
      <c r="E271" t="s">
        <v>1902</v>
      </c>
      <c r="F271" t="s">
        <v>1903</v>
      </c>
      <c r="G271" s="23" t="s">
        <v>41</v>
      </c>
      <c r="H271" s="23" t="s">
        <v>155</v>
      </c>
      <c r="I271" t="s">
        <v>673</v>
      </c>
      <c r="J271" s="23" t="s">
        <v>92</v>
      </c>
      <c r="K271" s="22">
        <v>5</v>
      </c>
      <c r="L271" s="1">
        <v>41730</v>
      </c>
      <c r="M271" s="22">
        <f>Table12[[#This Row],[Ship Date]]-Table12[[#This Row],[Order Date]]</f>
        <v>2</v>
      </c>
      <c r="N271" s="23" t="s">
        <v>169</v>
      </c>
      <c r="O271" s="23" t="s">
        <v>23</v>
      </c>
      <c r="P271" s="23" t="s">
        <v>94</v>
      </c>
      <c r="Q271" s="23" t="s">
        <v>95</v>
      </c>
      <c r="R271" s="23" t="s">
        <v>2776</v>
      </c>
      <c r="S271" s="33">
        <v>0.2</v>
      </c>
      <c r="T271" s="13">
        <v>335.72</v>
      </c>
      <c r="U271" s="13">
        <v>113.30549999999999</v>
      </c>
      <c r="V271" s="55">
        <f>IFERROR(Table12[[#This Row],[Profit]]/Table12[[#This Row],[Sales]],0)</f>
        <v>0.33749999999999997</v>
      </c>
    </row>
    <row r="272" spans="1:22" x14ac:dyDescent="0.2">
      <c r="A272">
        <v>271</v>
      </c>
      <c r="B272" t="s">
        <v>8793</v>
      </c>
      <c r="C272" s="1">
        <v>41728</v>
      </c>
      <c r="D272" s="22">
        <f>MONTH(Table12[[#This Row],[Order Date]])</f>
        <v>3</v>
      </c>
      <c r="E272" t="s">
        <v>2819</v>
      </c>
      <c r="F272" t="s">
        <v>2820</v>
      </c>
      <c r="G272" s="23" t="s">
        <v>64</v>
      </c>
      <c r="H272" s="23" t="s">
        <v>65</v>
      </c>
      <c r="I272" t="s">
        <v>673</v>
      </c>
      <c r="J272" s="23" t="s">
        <v>92</v>
      </c>
      <c r="K272" s="22">
        <v>7</v>
      </c>
      <c r="L272" s="1">
        <v>41730</v>
      </c>
      <c r="M272" s="22">
        <f>Table12[[#This Row],[Ship Date]]-Table12[[#This Row],[Order Date]]</f>
        <v>2</v>
      </c>
      <c r="N272" s="23" t="s">
        <v>169</v>
      </c>
      <c r="O272" s="23" t="s">
        <v>23</v>
      </c>
      <c r="P272" s="23" t="s">
        <v>94</v>
      </c>
      <c r="Q272" s="23" t="s">
        <v>95</v>
      </c>
      <c r="R272" s="23" t="s">
        <v>2776</v>
      </c>
      <c r="S272" s="33">
        <v>0.2</v>
      </c>
      <c r="T272" s="13">
        <v>251.94399999999999</v>
      </c>
      <c r="U272" s="13">
        <v>88.180400000000006</v>
      </c>
      <c r="V272" s="55">
        <f>IFERROR(Table12[[#This Row],[Profit]]/Table12[[#This Row],[Sales]],0)</f>
        <v>0.35000000000000003</v>
      </c>
    </row>
    <row r="273" spans="1:22" x14ac:dyDescent="0.2">
      <c r="A273">
        <v>272</v>
      </c>
      <c r="B273" t="s">
        <v>8793</v>
      </c>
      <c r="C273" s="1">
        <v>41728</v>
      </c>
      <c r="D273" s="22">
        <f>MONTH(Table12[[#This Row],[Order Date]])</f>
        <v>3</v>
      </c>
      <c r="E273" t="s">
        <v>2732</v>
      </c>
      <c r="F273" t="s">
        <v>2733</v>
      </c>
      <c r="G273" s="23" t="s">
        <v>28</v>
      </c>
      <c r="H273" s="23" t="s">
        <v>32</v>
      </c>
      <c r="I273" t="s">
        <v>673</v>
      </c>
      <c r="J273" s="23" t="s">
        <v>92</v>
      </c>
      <c r="K273" s="22">
        <v>7</v>
      </c>
      <c r="L273" s="1">
        <v>41730</v>
      </c>
      <c r="M273" s="22">
        <f>Table12[[#This Row],[Ship Date]]-Table12[[#This Row],[Order Date]]</f>
        <v>2</v>
      </c>
      <c r="N273" s="23" t="s">
        <v>169</v>
      </c>
      <c r="O273" s="23" t="s">
        <v>23</v>
      </c>
      <c r="P273" s="23" t="s">
        <v>94</v>
      </c>
      <c r="Q273" s="23" t="s">
        <v>95</v>
      </c>
      <c r="R273" s="23" t="s">
        <v>2776</v>
      </c>
      <c r="S273" s="33">
        <v>0.3</v>
      </c>
      <c r="T273" s="13">
        <v>127.30200000000001</v>
      </c>
      <c r="U273" s="13">
        <v>-9.093</v>
      </c>
      <c r="V273" s="55">
        <f>IFERROR(Table12[[#This Row],[Profit]]/Table12[[#This Row],[Sales]],0)</f>
        <v>-7.1428571428571425E-2</v>
      </c>
    </row>
    <row r="274" spans="1:22" x14ac:dyDescent="0.2">
      <c r="A274">
        <v>273</v>
      </c>
      <c r="B274" t="s">
        <v>9244</v>
      </c>
      <c r="C274" s="1">
        <v>41728</v>
      </c>
      <c r="D274" s="22">
        <f>MONTH(Table12[[#This Row],[Order Date]])</f>
        <v>3</v>
      </c>
      <c r="E274" t="s">
        <v>1907</v>
      </c>
      <c r="F274" t="s">
        <v>1908</v>
      </c>
      <c r="G274" s="23" t="s">
        <v>41</v>
      </c>
      <c r="H274" s="23" t="s">
        <v>53</v>
      </c>
      <c r="I274" t="s">
        <v>2911</v>
      </c>
      <c r="J274" s="23" t="s">
        <v>22</v>
      </c>
      <c r="K274" s="22">
        <v>2</v>
      </c>
      <c r="L274" s="1">
        <v>41734</v>
      </c>
      <c r="M274" s="22">
        <f>Table12[[#This Row],[Ship Date]]-Table12[[#This Row],[Order Date]]</f>
        <v>6</v>
      </c>
      <c r="N274" s="23" t="s">
        <v>45</v>
      </c>
      <c r="O274" s="23" t="s">
        <v>23</v>
      </c>
      <c r="P274" s="23" t="s">
        <v>204</v>
      </c>
      <c r="Q274" s="23" t="s">
        <v>95</v>
      </c>
      <c r="R274" s="23" t="s">
        <v>5457</v>
      </c>
      <c r="S274" s="33">
        <v>0</v>
      </c>
      <c r="T274" s="13">
        <v>129.30000000000001</v>
      </c>
      <c r="U274" s="13">
        <v>6.4649999999999999</v>
      </c>
      <c r="V274" s="55">
        <f>IFERROR(Table12[[#This Row],[Profit]]/Table12[[#This Row],[Sales]],0)</f>
        <v>4.9999999999999996E-2</v>
      </c>
    </row>
    <row r="275" spans="1:22" x14ac:dyDescent="0.2">
      <c r="A275">
        <v>274</v>
      </c>
      <c r="B275" t="s">
        <v>4605</v>
      </c>
      <c r="C275" s="1">
        <v>41729</v>
      </c>
      <c r="D275" s="22">
        <f>MONTH(Table12[[#This Row],[Order Date]])</f>
        <v>3</v>
      </c>
      <c r="E275" t="s">
        <v>4179</v>
      </c>
      <c r="F275" t="s">
        <v>4180</v>
      </c>
      <c r="G275" s="23" t="s">
        <v>41</v>
      </c>
      <c r="H275" s="23" t="s">
        <v>68</v>
      </c>
      <c r="I275" t="s">
        <v>2940</v>
      </c>
      <c r="J275" s="23" t="s">
        <v>22</v>
      </c>
      <c r="K275" s="22">
        <v>2</v>
      </c>
      <c r="L275" s="1">
        <v>41734</v>
      </c>
      <c r="M275" s="22">
        <f>Table12[[#This Row],[Ship Date]]-Table12[[#This Row],[Order Date]]</f>
        <v>5</v>
      </c>
      <c r="N275" s="23" t="s">
        <v>45</v>
      </c>
      <c r="O275" s="23" t="s">
        <v>23</v>
      </c>
      <c r="P275" s="23" t="s">
        <v>38</v>
      </c>
      <c r="Q275" s="23" t="s">
        <v>39</v>
      </c>
      <c r="R275" s="23" t="s">
        <v>114</v>
      </c>
      <c r="S275" s="33">
        <v>0.2</v>
      </c>
      <c r="T275" s="13">
        <v>673.56799999999998</v>
      </c>
      <c r="U275" s="13">
        <v>252.58799999999999</v>
      </c>
      <c r="V275" s="55">
        <f>IFERROR(Table12[[#This Row],[Profit]]/Table12[[#This Row],[Sales]],0)</f>
        <v>0.375</v>
      </c>
    </row>
    <row r="276" spans="1:22" x14ac:dyDescent="0.2">
      <c r="A276">
        <v>275</v>
      </c>
      <c r="B276" t="s">
        <v>4605</v>
      </c>
      <c r="C276" s="1">
        <v>41729</v>
      </c>
      <c r="D276" s="22">
        <f>MONTH(Table12[[#This Row],[Order Date]])</f>
        <v>3</v>
      </c>
      <c r="E276" t="s">
        <v>4606</v>
      </c>
      <c r="F276" t="s">
        <v>4607</v>
      </c>
      <c r="G276" s="23" t="s">
        <v>41</v>
      </c>
      <c r="H276" s="23" t="s">
        <v>71</v>
      </c>
      <c r="I276" t="s">
        <v>2940</v>
      </c>
      <c r="J276" s="23" t="s">
        <v>22</v>
      </c>
      <c r="K276" s="22">
        <v>2</v>
      </c>
      <c r="L276" s="1">
        <v>41734</v>
      </c>
      <c r="M276" s="22">
        <f>Table12[[#This Row],[Ship Date]]-Table12[[#This Row],[Order Date]]</f>
        <v>5</v>
      </c>
      <c r="N276" s="23" t="s">
        <v>45</v>
      </c>
      <c r="O276" s="23" t="s">
        <v>23</v>
      </c>
      <c r="P276" s="23" t="s">
        <v>38</v>
      </c>
      <c r="Q276" s="23" t="s">
        <v>39</v>
      </c>
      <c r="R276" s="23" t="s">
        <v>114</v>
      </c>
      <c r="S276" s="33">
        <v>0</v>
      </c>
      <c r="T276" s="13">
        <v>52.98</v>
      </c>
      <c r="U276" s="13">
        <v>14.8344</v>
      </c>
      <c r="V276" s="55">
        <f>IFERROR(Table12[[#This Row],[Profit]]/Table12[[#This Row],[Sales]],0)</f>
        <v>0.28000000000000003</v>
      </c>
    </row>
    <row r="277" spans="1:22" x14ac:dyDescent="0.2">
      <c r="A277">
        <v>276</v>
      </c>
      <c r="B277" t="s">
        <v>6964</v>
      </c>
      <c r="C277" s="1">
        <v>41729</v>
      </c>
      <c r="D277" s="22">
        <f>MONTH(Table12[[#This Row],[Order Date]])</f>
        <v>3</v>
      </c>
      <c r="E277" t="s">
        <v>2750</v>
      </c>
      <c r="F277" t="s">
        <v>2751</v>
      </c>
      <c r="G277" s="23" t="s">
        <v>41</v>
      </c>
      <c r="H277" s="23" t="s">
        <v>68</v>
      </c>
      <c r="I277" t="s">
        <v>926</v>
      </c>
      <c r="J277" s="23" t="s">
        <v>22</v>
      </c>
      <c r="K277" s="22">
        <v>1</v>
      </c>
      <c r="L277" s="1">
        <v>41729</v>
      </c>
      <c r="M277" s="22">
        <f>Table12[[#This Row],[Ship Date]]-Table12[[#This Row],[Order Date]]</f>
        <v>0</v>
      </c>
      <c r="N277" s="23" t="s">
        <v>1141</v>
      </c>
      <c r="O277" s="23" t="s">
        <v>23</v>
      </c>
      <c r="P277" s="23" t="s">
        <v>132</v>
      </c>
      <c r="Q277" s="23" t="s">
        <v>133</v>
      </c>
      <c r="R277" s="23" t="s">
        <v>131</v>
      </c>
      <c r="S277" s="33">
        <v>0.7</v>
      </c>
      <c r="T277" s="13">
        <v>0.85199999999999998</v>
      </c>
      <c r="U277" s="13">
        <v>-0.59640000000000004</v>
      </c>
      <c r="V277" s="55">
        <f>IFERROR(Table12[[#This Row],[Profit]]/Table12[[#This Row],[Sales]],0)</f>
        <v>-0.70000000000000007</v>
      </c>
    </row>
    <row r="278" spans="1:22" x14ac:dyDescent="0.2">
      <c r="A278">
        <v>277</v>
      </c>
      <c r="B278" t="s">
        <v>7208</v>
      </c>
      <c r="C278" s="1">
        <v>41729</v>
      </c>
      <c r="D278" s="22">
        <f>MONTH(Table12[[#This Row],[Order Date]])</f>
        <v>3</v>
      </c>
      <c r="E278" t="s">
        <v>2401</v>
      </c>
      <c r="F278" t="s">
        <v>2402</v>
      </c>
      <c r="G278" s="23" t="s">
        <v>41</v>
      </c>
      <c r="H278" s="23" t="s">
        <v>68</v>
      </c>
      <c r="I278" t="s">
        <v>6489</v>
      </c>
      <c r="J278" s="23" t="s">
        <v>22</v>
      </c>
      <c r="K278" s="22">
        <v>7</v>
      </c>
      <c r="L278" s="1">
        <v>41733</v>
      </c>
      <c r="M278" s="22">
        <f>Table12[[#This Row],[Ship Date]]-Table12[[#This Row],[Order Date]]</f>
        <v>4</v>
      </c>
      <c r="N278" s="23" t="s">
        <v>45</v>
      </c>
      <c r="O278" s="23" t="s">
        <v>23</v>
      </c>
      <c r="P278" s="23" t="s">
        <v>189</v>
      </c>
      <c r="Q278" s="23" t="s">
        <v>95</v>
      </c>
      <c r="R278" s="23" t="s">
        <v>271</v>
      </c>
      <c r="S278" s="33">
        <v>0.8</v>
      </c>
      <c r="T278" s="13">
        <v>8.1340000000000003</v>
      </c>
      <c r="U278" s="13">
        <v>-13.8278</v>
      </c>
      <c r="V278" s="55">
        <f>IFERROR(Table12[[#This Row],[Profit]]/Table12[[#This Row],[Sales]],0)</f>
        <v>-1.7</v>
      </c>
    </row>
    <row r="279" spans="1:22" x14ac:dyDescent="0.2">
      <c r="A279">
        <v>278</v>
      </c>
      <c r="B279" t="s">
        <v>7208</v>
      </c>
      <c r="C279" s="1">
        <v>41729</v>
      </c>
      <c r="D279" s="22">
        <f>MONTH(Table12[[#This Row],[Order Date]])</f>
        <v>3</v>
      </c>
      <c r="E279" t="s">
        <v>2227</v>
      </c>
      <c r="F279" t="s">
        <v>2228</v>
      </c>
      <c r="G279" s="23" t="s">
        <v>64</v>
      </c>
      <c r="H279" s="23" t="s">
        <v>144</v>
      </c>
      <c r="I279" t="s">
        <v>6489</v>
      </c>
      <c r="J279" s="23" t="s">
        <v>22</v>
      </c>
      <c r="K279" s="22">
        <v>2</v>
      </c>
      <c r="L279" s="1">
        <v>41733</v>
      </c>
      <c r="M279" s="22">
        <f>Table12[[#This Row],[Ship Date]]-Table12[[#This Row],[Order Date]]</f>
        <v>4</v>
      </c>
      <c r="N279" s="23" t="s">
        <v>45</v>
      </c>
      <c r="O279" s="23" t="s">
        <v>23</v>
      </c>
      <c r="P279" s="23" t="s">
        <v>189</v>
      </c>
      <c r="Q279" s="23" t="s">
        <v>95</v>
      </c>
      <c r="R279" s="23" t="s">
        <v>271</v>
      </c>
      <c r="S279" s="33">
        <v>0.2</v>
      </c>
      <c r="T279" s="13">
        <v>79.983999999999995</v>
      </c>
      <c r="U279" s="13">
        <v>13.997199999999999</v>
      </c>
      <c r="V279" s="55">
        <f>IFERROR(Table12[[#This Row],[Profit]]/Table12[[#This Row],[Sales]],0)</f>
        <v>0.17500000000000002</v>
      </c>
    </row>
    <row r="280" spans="1:22" x14ac:dyDescent="0.2">
      <c r="A280">
        <v>279</v>
      </c>
      <c r="B280" t="s">
        <v>7515</v>
      </c>
      <c r="C280" s="1">
        <v>41729</v>
      </c>
      <c r="D280" s="22">
        <f>MONTH(Table12[[#This Row],[Order Date]])</f>
        <v>3</v>
      </c>
      <c r="E280" t="s">
        <v>2753</v>
      </c>
      <c r="F280" t="s">
        <v>2754</v>
      </c>
      <c r="G280" s="23" t="s">
        <v>41</v>
      </c>
      <c r="H280" s="23" t="s">
        <v>68</v>
      </c>
      <c r="I280" t="s">
        <v>1599</v>
      </c>
      <c r="J280" s="23" t="s">
        <v>36</v>
      </c>
      <c r="K280" s="22">
        <v>1</v>
      </c>
      <c r="L280" s="1">
        <v>41733</v>
      </c>
      <c r="M280" s="22">
        <f>Table12[[#This Row],[Ship Date]]-Table12[[#This Row],[Order Date]]</f>
        <v>4</v>
      </c>
      <c r="N280" s="23" t="s">
        <v>45</v>
      </c>
      <c r="O280" s="23" t="s">
        <v>23</v>
      </c>
      <c r="P280" s="23" t="s">
        <v>48</v>
      </c>
      <c r="Q280" s="23" t="s">
        <v>26</v>
      </c>
      <c r="R280" s="23" t="s">
        <v>1253</v>
      </c>
      <c r="S280" s="33">
        <v>0.7</v>
      </c>
      <c r="T280" s="13">
        <v>1.869</v>
      </c>
      <c r="U280" s="13">
        <v>-1.3083</v>
      </c>
      <c r="V280" s="55">
        <f>IFERROR(Table12[[#This Row],[Profit]]/Table12[[#This Row],[Sales]],0)</f>
        <v>-0.70000000000000007</v>
      </c>
    </row>
    <row r="281" spans="1:22" x14ac:dyDescent="0.2">
      <c r="A281">
        <v>280</v>
      </c>
      <c r="B281" t="s">
        <v>9918</v>
      </c>
      <c r="C281" s="1">
        <v>41729</v>
      </c>
      <c r="D281" s="22">
        <f>MONTH(Table12[[#This Row],[Order Date]])</f>
        <v>3</v>
      </c>
      <c r="E281" t="s">
        <v>832</v>
      </c>
      <c r="F281" t="s">
        <v>833</v>
      </c>
      <c r="G281" s="23" t="s">
        <v>28</v>
      </c>
      <c r="H281" s="23" t="s">
        <v>32</v>
      </c>
      <c r="I281" t="s">
        <v>1719</v>
      </c>
      <c r="J281" s="23" t="s">
        <v>22</v>
      </c>
      <c r="K281" s="22">
        <v>7</v>
      </c>
      <c r="L281" s="1">
        <v>41729</v>
      </c>
      <c r="M281" s="22">
        <f>Table12[[#This Row],[Ship Date]]-Table12[[#This Row],[Order Date]]</f>
        <v>0</v>
      </c>
      <c r="N281" s="23" t="s">
        <v>1141</v>
      </c>
      <c r="O281" s="23" t="s">
        <v>23</v>
      </c>
      <c r="P281" s="23" t="s">
        <v>48</v>
      </c>
      <c r="Q281" s="23" t="s">
        <v>26</v>
      </c>
      <c r="R281" s="23" t="s">
        <v>793</v>
      </c>
      <c r="S281" s="33">
        <v>0.2</v>
      </c>
      <c r="T281" s="13">
        <v>1125.4880000000001</v>
      </c>
      <c r="U281" s="13">
        <v>98.480199999999996</v>
      </c>
      <c r="V281" s="55">
        <f>IFERROR(Table12[[#This Row],[Profit]]/Table12[[#This Row],[Sales]],0)</f>
        <v>8.7499999999999994E-2</v>
      </c>
    </row>
    <row r="282" spans="1:22" x14ac:dyDescent="0.2">
      <c r="A282">
        <v>281</v>
      </c>
      <c r="B282" t="s">
        <v>9918</v>
      </c>
      <c r="C282" s="1">
        <v>41729</v>
      </c>
      <c r="D282" s="22">
        <f>MONTH(Table12[[#This Row],[Order Date]])</f>
        <v>3</v>
      </c>
      <c r="E282" t="s">
        <v>2305</v>
      </c>
      <c r="F282" t="s">
        <v>2306</v>
      </c>
      <c r="G282" s="23" t="s">
        <v>41</v>
      </c>
      <c r="H282" s="23" t="s">
        <v>68</v>
      </c>
      <c r="I282" t="s">
        <v>1719</v>
      </c>
      <c r="J282" s="23" t="s">
        <v>22</v>
      </c>
      <c r="K282" s="22">
        <v>5</v>
      </c>
      <c r="L282" s="1">
        <v>41729</v>
      </c>
      <c r="M282" s="22">
        <f>Table12[[#This Row],[Ship Date]]-Table12[[#This Row],[Order Date]]</f>
        <v>0</v>
      </c>
      <c r="N282" s="23" t="s">
        <v>1141</v>
      </c>
      <c r="O282" s="23" t="s">
        <v>23</v>
      </c>
      <c r="P282" s="23" t="s">
        <v>48</v>
      </c>
      <c r="Q282" s="23" t="s">
        <v>26</v>
      </c>
      <c r="R282" s="23" t="s">
        <v>793</v>
      </c>
      <c r="S282" s="33">
        <v>0.7</v>
      </c>
      <c r="T282" s="13">
        <v>12.645</v>
      </c>
      <c r="U282" s="13">
        <v>-10.116</v>
      </c>
      <c r="V282" s="55">
        <f>IFERROR(Table12[[#This Row],[Profit]]/Table12[[#This Row],[Sales]],0)</f>
        <v>-0.8</v>
      </c>
    </row>
    <row r="283" spans="1:22" x14ac:dyDescent="0.2">
      <c r="A283">
        <v>282</v>
      </c>
      <c r="B283" t="s">
        <v>9918</v>
      </c>
      <c r="C283" s="1">
        <v>41729</v>
      </c>
      <c r="D283" s="22">
        <f>MONTH(Table12[[#This Row],[Order Date]])</f>
        <v>3</v>
      </c>
      <c r="E283" t="s">
        <v>690</v>
      </c>
      <c r="F283" t="s">
        <v>691</v>
      </c>
      <c r="G283" s="23" t="s">
        <v>41</v>
      </c>
      <c r="H283" s="23" t="s">
        <v>61</v>
      </c>
      <c r="I283" t="s">
        <v>1719</v>
      </c>
      <c r="J283" s="23" t="s">
        <v>22</v>
      </c>
      <c r="K283" s="22">
        <v>2</v>
      </c>
      <c r="L283" s="1">
        <v>41729</v>
      </c>
      <c r="M283" s="22">
        <f>Table12[[#This Row],[Ship Date]]-Table12[[#This Row],[Order Date]]</f>
        <v>0</v>
      </c>
      <c r="N283" s="23" t="s">
        <v>1141</v>
      </c>
      <c r="O283" s="23" t="s">
        <v>23</v>
      </c>
      <c r="P283" s="23" t="s">
        <v>48</v>
      </c>
      <c r="Q283" s="23" t="s">
        <v>26</v>
      </c>
      <c r="R283" s="23" t="s">
        <v>793</v>
      </c>
      <c r="S283" s="33">
        <v>0.2</v>
      </c>
      <c r="T283" s="13">
        <v>4.032</v>
      </c>
      <c r="U283" s="13">
        <v>1.0584</v>
      </c>
      <c r="V283" s="55">
        <f>IFERROR(Table12[[#This Row],[Profit]]/Table12[[#This Row],[Sales]],0)</f>
        <v>0.26250000000000001</v>
      </c>
    </row>
    <row r="284" spans="1:22" x14ac:dyDescent="0.2">
      <c r="A284">
        <v>283</v>
      </c>
      <c r="B284" t="s">
        <v>3322</v>
      </c>
      <c r="C284" s="1">
        <v>41730</v>
      </c>
      <c r="D284" s="22">
        <f>MONTH(Table12[[#This Row],[Order Date]])</f>
        <v>4</v>
      </c>
      <c r="E284" t="s">
        <v>1984</v>
      </c>
      <c r="F284" t="s">
        <v>1985</v>
      </c>
      <c r="G284" s="23" t="s">
        <v>41</v>
      </c>
      <c r="H284" s="23" t="s">
        <v>42</v>
      </c>
      <c r="I284" t="s">
        <v>260</v>
      </c>
      <c r="J284" s="23" t="s">
        <v>22</v>
      </c>
      <c r="K284" s="22">
        <v>2</v>
      </c>
      <c r="L284" s="1">
        <v>41735</v>
      </c>
      <c r="M284" s="22">
        <f>Table12[[#This Row],[Ship Date]]-Table12[[#This Row],[Order Date]]</f>
        <v>5</v>
      </c>
      <c r="N284" s="23" t="s">
        <v>20</v>
      </c>
      <c r="O284" s="23" t="s">
        <v>23</v>
      </c>
      <c r="P284" s="23" t="s">
        <v>38</v>
      </c>
      <c r="Q284" s="23" t="s">
        <v>39</v>
      </c>
      <c r="R284" s="23" t="s">
        <v>1856</v>
      </c>
      <c r="S284" s="33">
        <v>0</v>
      </c>
      <c r="T284" s="13">
        <v>29.6</v>
      </c>
      <c r="U284" s="13">
        <v>14.8</v>
      </c>
      <c r="V284" s="55">
        <f>IFERROR(Table12[[#This Row],[Profit]]/Table12[[#This Row],[Sales]],0)</f>
        <v>0.5</v>
      </c>
    </row>
    <row r="285" spans="1:22" x14ac:dyDescent="0.2">
      <c r="A285">
        <v>284</v>
      </c>
      <c r="B285" t="s">
        <v>3322</v>
      </c>
      <c r="C285" s="1">
        <v>41730</v>
      </c>
      <c r="D285" s="22">
        <f>MONTH(Table12[[#This Row],[Order Date]])</f>
        <v>4</v>
      </c>
      <c r="E285" t="s">
        <v>3323</v>
      </c>
      <c r="F285" t="s">
        <v>3324</v>
      </c>
      <c r="G285" s="23" t="s">
        <v>41</v>
      </c>
      <c r="H285" s="23" t="s">
        <v>68</v>
      </c>
      <c r="I285" t="s">
        <v>260</v>
      </c>
      <c r="J285" s="23" t="s">
        <v>22</v>
      </c>
      <c r="K285" s="22">
        <v>4</v>
      </c>
      <c r="L285" s="1">
        <v>41735</v>
      </c>
      <c r="M285" s="22">
        <f>Table12[[#This Row],[Ship Date]]-Table12[[#This Row],[Order Date]]</f>
        <v>5</v>
      </c>
      <c r="N285" s="23" t="s">
        <v>20</v>
      </c>
      <c r="O285" s="23" t="s">
        <v>23</v>
      </c>
      <c r="P285" s="23" t="s">
        <v>38</v>
      </c>
      <c r="Q285" s="23" t="s">
        <v>39</v>
      </c>
      <c r="R285" s="23" t="s">
        <v>1856</v>
      </c>
      <c r="S285" s="33">
        <v>0.2</v>
      </c>
      <c r="T285" s="13">
        <v>17.088000000000001</v>
      </c>
      <c r="U285" s="13">
        <v>5.5536000000000003</v>
      </c>
      <c r="V285" s="55">
        <f>IFERROR(Table12[[#This Row],[Profit]]/Table12[[#This Row],[Sales]],0)</f>
        <v>0.32500000000000001</v>
      </c>
    </row>
    <row r="286" spans="1:22" x14ac:dyDescent="0.2">
      <c r="A286">
        <v>285</v>
      </c>
      <c r="B286" t="s">
        <v>8975</v>
      </c>
      <c r="C286" s="1">
        <v>41730</v>
      </c>
      <c r="D286" s="22">
        <f>MONTH(Table12[[#This Row],[Order Date]])</f>
        <v>4</v>
      </c>
      <c r="E286" t="s">
        <v>7756</v>
      </c>
      <c r="F286" t="s">
        <v>7757</v>
      </c>
      <c r="G286" s="23" t="s">
        <v>41</v>
      </c>
      <c r="H286" s="23" t="s">
        <v>53</v>
      </c>
      <c r="I286" t="s">
        <v>4080</v>
      </c>
      <c r="J286" s="23" t="s">
        <v>36</v>
      </c>
      <c r="K286" s="22">
        <v>4</v>
      </c>
      <c r="L286" s="1">
        <v>41735</v>
      </c>
      <c r="M286" s="22">
        <f>Table12[[#This Row],[Ship Date]]-Table12[[#This Row],[Order Date]]</f>
        <v>5</v>
      </c>
      <c r="N286" s="23" t="s">
        <v>45</v>
      </c>
      <c r="O286" s="23" t="s">
        <v>23</v>
      </c>
      <c r="P286" s="23" t="s">
        <v>1101</v>
      </c>
      <c r="Q286" s="23" t="s">
        <v>133</v>
      </c>
      <c r="R286" s="23" t="s">
        <v>5873</v>
      </c>
      <c r="S286" s="33">
        <v>0</v>
      </c>
      <c r="T286" s="13">
        <v>66.959999999999994</v>
      </c>
      <c r="U286" s="13">
        <v>2.6783999999999999</v>
      </c>
      <c r="V286" s="55">
        <f>IFERROR(Table12[[#This Row],[Profit]]/Table12[[#This Row],[Sales]],0)</f>
        <v>0.04</v>
      </c>
    </row>
    <row r="287" spans="1:22" x14ac:dyDescent="0.2">
      <c r="A287">
        <v>286</v>
      </c>
      <c r="B287" t="s">
        <v>8975</v>
      </c>
      <c r="C287" s="1">
        <v>41730</v>
      </c>
      <c r="D287" s="22">
        <f>MONTH(Table12[[#This Row],[Order Date]])</f>
        <v>4</v>
      </c>
      <c r="E287" t="s">
        <v>2563</v>
      </c>
      <c r="F287" t="s">
        <v>2564</v>
      </c>
      <c r="G287" s="23" t="s">
        <v>41</v>
      </c>
      <c r="H287" s="23" t="s">
        <v>68</v>
      </c>
      <c r="I287" t="s">
        <v>4080</v>
      </c>
      <c r="J287" s="23" t="s">
        <v>36</v>
      </c>
      <c r="K287" s="22">
        <v>2</v>
      </c>
      <c r="L287" s="1">
        <v>41735</v>
      </c>
      <c r="M287" s="22">
        <f>Table12[[#This Row],[Ship Date]]-Table12[[#This Row],[Order Date]]</f>
        <v>5</v>
      </c>
      <c r="N287" s="23" t="s">
        <v>45</v>
      </c>
      <c r="O287" s="23" t="s">
        <v>23</v>
      </c>
      <c r="P287" s="23" t="s">
        <v>1101</v>
      </c>
      <c r="Q287" s="23" t="s">
        <v>133</v>
      </c>
      <c r="R287" s="23" t="s">
        <v>5873</v>
      </c>
      <c r="S287" s="33">
        <v>0</v>
      </c>
      <c r="T287" s="13">
        <v>6.24</v>
      </c>
      <c r="U287" s="13">
        <v>3.0575999999999999</v>
      </c>
      <c r="V287" s="55">
        <f>IFERROR(Table12[[#This Row],[Profit]]/Table12[[#This Row],[Sales]],0)</f>
        <v>0.48999999999999994</v>
      </c>
    </row>
    <row r="288" spans="1:22" x14ac:dyDescent="0.2">
      <c r="A288">
        <v>287</v>
      </c>
      <c r="B288" t="s">
        <v>7659</v>
      </c>
      <c r="C288" s="1">
        <v>41731</v>
      </c>
      <c r="D288" s="22">
        <f>MONTH(Table12[[#This Row],[Order Date]])</f>
        <v>4</v>
      </c>
      <c r="E288" t="s">
        <v>6563</v>
      </c>
      <c r="F288" t="s">
        <v>6564</v>
      </c>
      <c r="G288" s="23" t="s">
        <v>41</v>
      </c>
      <c r="H288" s="23" t="s">
        <v>82</v>
      </c>
      <c r="I288" t="s">
        <v>2626</v>
      </c>
      <c r="J288" s="23" t="s">
        <v>22</v>
      </c>
      <c r="K288" s="22">
        <v>3</v>
      </c>
      <c r="L288" s="1">
        <v>41737</v>
      </c>
      <c r="M288" s="22">
        <f>Table12[[#This Row],[Ship Date]]-Table12[[#This Row],[Order Date]]</f>
        <v>6</v>
      </c>
      <c r="N288" s="23" t="s">
        <v>45</v>
      </c>
      <c r="O288" s="23" t="s">
        <v>23</v>
      </c>
      <c r="P288" s="23" t="s">
        <v>1125</v>
      </c>
      <c r="Q288" s="23" t="s">
        <v>26</v>
      </c>
      <c r="R288" s="23" t="s">
        <v>6978</v>
      </c>
      <c r="S288" s="33">
        <v>0</v>
      </c>
      <c r="T288" s="13">
        <v>15.84</v>
      </c>
      <c r="U288" s="13">
        <v>7.1280000000000001</v>
      </c>
      <c r="V288" s="55">
        <f>IFERROR(Table12[[#This Row],[Profit]]/Table12[[#This Row],[Sales]],0)</f>
        <v>0.45</v>
      </c>
    </row>
    <row r="289" spans="1:22" x14ac:dyDescent="0.2">
      <c r="A289">
        <v>288</v>
      </c>
      <c r="B289" t="s">
        <v>7659</v>
      </c>
      <c r="C289" s="1">
        <v>41731</v>
      </c>
      <c r="D289" s="22">
        <f>MONTH(Table12[[#This Row],[Order Date]])</f>
        <v>4</v>
      </c>
      <c r="E289" t="s">
        <v>5826</v>
      </c>
      <c r="F289" t="s">
        <v>5827</v>
      </c>
      <c r="G289" s="23" t="s">
        <v>64</v>
      </c>
      <c r="H289" s="23" t="s">
        <v>65</v>
      </c>
      <c r="I289" t="s">
        <v>2626</v>
      </c>
      <c r="J289" s="23" t="s">
        <v>22</v>
      </c>
      <c r="K289" s="22">
        <v>7</v>
      </c>
      <c r="L289" s="1">
        <v>41737</v>
      </c>
      <c r="M289" s="22">
        <f>Table12[[#This Row],[Ship Date]]-Table12[[#This Row],[Order Date]]</f>
        <v>6</v>
      </c>
      <c r="N289" s="23" t="s">
        <v>45</v>
      </c>
      <c r="O289" s="23" t="s">
        <v>23</v>
      </c>
      <c r="P289" s="23" t="s">
        <v>1125</v>
      </c>
      <c r="Q289" s="23" t="s">
        <v>26</v>
      </c>
      <c r="R289" s="23" t="s">
        <v>6978</v>
      </c>
      <c r="S289" s="33">
        <v>0</v>
      </c>
      <c r="T289" s="13">
        <v>1049.93</v>
      </c>
      <c r="U289" s="13">
        <v>293.98039999999997</v>
      </c>
      <c r="V289" s="55">
        <f>IFERROR(Table12[[#This Row],[Profit]]/Table12[[#This Row],[Sales]],0)</f>
        <v>0.27999999999999997</v>
      </c>
    </row>
    <row r="290" spans="1:22" x14ac:dyDescent="0.2">
      <c r="A290">
        <v>289</v>
      </c>
      <c r="B290" t="s">
        <v>7659</v>
      </c>
      <c r="C290" s="1">
        <v>41731</v>
      </c>
      <c r="D290" s="22">
        <f>MONTH(Table12[[#This Row],[Order Date]])</f>
        <v>4</v>
      </c>
      <c r="E290" t="s">
        <v>4580</v>
      </c>
      <c r="F290" t="s">
        <v>4581</v>
      </c>
      <c r="G290" s="23" t="s">
        <v>41</v>
      </c>
      <c r="H290" s="23" t="s">
        <v>71</v>
      </c>
      <c r="I290" t="s">
        <v>2626</v>
      </c>
      <c r="J290" s="23" t="s">
        <v>22</v>
      </c>
      <c r="K290" s="22">
        <v>5</v>
      </c>
      <c r="L290" s="1">
        <v>41737</v>
      </c>
      <c r="M290" s="22">
        <f>Table12[[#This Row],[Ship Date]]-Table12[[#This Row],[Order Date]]</f>
        <v>6</v>
      </c>
      <c r="N290" s="23" t="s">
        <v>45</v>
      </c>
      <c r="O290" s="23" t="s">
        <v>23</v>
      </c>
      <c r="P290" s="23" t="s">
        <v>1125</v>
      </c>
      <c r="Q290" s="23" t="s">
        <v>26</v>
      </c>
      <c r="R290" s="23" t="s">
        <v>6978</v>
      </c>
      <c r="S290" s="33">
        <v>0</v>
      </c>
      <c r="T290" s="13">
        <v>154.9</v>
      </c>
      <c r="U290" s="13">
        <v>40.274000000000001</v>
      </c>
      <c r="V290" s="55">
        <f>IFERROR(Table12[[#This Row],[Profit]]/Table12[[#This Row],[Sales]],0)</f>
        <v>0.26</v>
      </c>
    </row>
    <row r="291" spans="1:22" x14ac:dyDescent="0.2">
      <c r="A291">
        <v>290</v>
      </c>
      <c r="B291" t="s">
        <v>9479</v>
      </c>
      <c r="C291" s="1">
        <v>41731</v>
      </c>
      <c r="D291" s="22">
        <f>MONTH(Table12[[#This Row],[Order Date]])</f>
        <v>4</v>
      </c>
      <c r="E291" t="s">
        <v>1650</v>
      </c>
      <c r="F291" t="s">
        <v>1651</v>
      </c>
      <c r="G291" s="23" t="s">
        <v>41</v>
      </c>
      <c r="H291" s="23" t="s">
        <v>82</v>
      </c>
      <c r="I291" t="s">
        <v>5991</v>
      </c>
      <c r="J291" s="23" t="s">
        <v>22</v>
      </c>
      <c r="K291" s="22">
        <v>5</v>
      </c>
      <c r="L291" s="1">
        <v>41735</v>
      </c>
      <c r="M291" s="22">
        <f>Table12[[#This Row],[Ship Date]]-Table12[[#This Row],[Order Date]]</f>
        <v>4</v>
      </c>
      <c r="N291" s="23" t="s">
        <v>20</v>
      </c>
      <c r="O291" s="23" t="s">
        <v>23</v>
      </c>
      <c r="P291" s="23" t="s">
        <v>94</v>
      </c>
      <c r="Q291" s="23" t="s">
        <v>95</v>
      </c>
      <c r="R291" s="23" t="s">
        <v>165</v>
      </c>
      <c r="S291" s="33">
        <v>0.2</v>
      </c>
      <c r="T291" s="13">
        <v>26.72</v>
      </c>
      <c r="U291" s="13">
        <v>9.3520000000000003</v>
      </c>
      <c r="V291" s="55">
        <f>IFERROR(Table12[[#This Row],[Profit]]/Table12[[#This Row],[Sales]],0)</f>
        <v>0.35000000000000003</v>
      </c>
    </row>
    <row r="292" spans="1:22" x14ac:dyDescent="0.2">
      <c r="A292">
        <v>291</v>
      </c>
      <c r="B292" t="s">
        <v>9479</v>
      </c>
      <c r="C292" s="1">
        <v>41731</v>
      </c>
      <c r="D292" s="22">
        <f>MONTH(Table12[[#This Row],[Order Date]])</f>
        <v>4</v>
      </c>
      <c r="E292" t="s">
        <v>7922</v>
      </c>
      <c r="F292" t="s">
        <v>7923</v>
      </c>
      <c r="G292" s="23" t="s">
        <v>41</v>
      </c>
      <c r="H292" s="23" t="s">
        <v>82</v>
      </c>
      <c r="I292" t="s">
        <v>5991</v>
      </c>
      <c r="J292" s="23" t="s">
        <v>22</v>
      </c>
      <c r="K292" s="22">
        <v>7</v>
      </c>
      <c r="L292" s="1">
        <v>41735</v>
      </c>
      <c r="M292" s="22">
        <f>Table12[[#This Row],[Ship Date]]-Table12[[#This Row],[Order Date]]</f>
        <v>4</v>
      </c>
      <c r="N292" s="23" t="s">
        <v>20</v>
      </c>
      <c r="O292" s="23" t="s">
        <v>23</v>
      </c>
      <c r="P292" s="23" t="s">
        <v>94</v>
      </c>
      <c r="Q292" s="23" t="s">
        <v>95</v>
      </c>
      <c r="R292" s="23" t="s">
        <v>165</v>
      </c>
      <c r="S292" s="33">
        <v>0.2</v>
      </c>
      <c r="T292" s="13">
        <v>33.488</v>
      </c>
      <c r="U292" s="13">
        <v>10.465</v>
      </c>
      <c r="V292" s="55">
        <f>IFERROR(Table12[[#This Row],[Profit]]/Table12[[#This Row],[Sales]],0)</f>
        <v>0.3125</v>
      </c>
    </row>
    <row r="293" spans="1:22" x14ac:dyDescent="0.2">
      <c r="A293">
        <v>292</v>
      </c>
      <c r="B293" t="s">
        <v>9528</v>
      </c>
      <c r="C293" s="1">
        <v>41731</v>
      </c>
      <c r="D293" s="22">
        <f>MONTH(Table12[[#This Row],[Order Date]])</f>
        <v>4</v>
      </c>
      <c r="E293" t="s">
        <v>7481</v>
      </c>
      <c r="F293" t="s">
        <v>7482</v>
      </c>
      <c r="G293" s="23" t="s">
        <v>28</v>
      </c>
      <c r="H293" s="23" t="s">
        <v>58</v>
      </c>
      <c r="I293" t="s">
        <v>5937</v>
      </c>
      <c r="J293" s="23" t="s">
        <v>36</v>
      </c>
      <c r="K293" s="22">
        <v>2</v>
      </c>
      <c r="L293" s="1">
        <v>41737</v>
      </c>
      <c r="M293" s="22">
        <f>Table12[[#This Row],[Ship Date]]-Table12[[#This Row],[Order Date]]</f>
        <v>6</v>
      </c>
      <c r="N293" s="23" t="s">
        <v>45</v>
      </c>
      <c r="O293" s="23" t="s">
        <v>23</v>
      </c>
      <c r="P293" s="23" t="s">
        <v>285</v>
      </c>
      <c r="Q293" s="23" t="s">
        <v>26</v>
      </c>
      <c r="R293" s="23" t="s">
        <v>2621</v>
      </c>
      <c r="S293" s="33">
        <v>0</v>
      </c>
      <c r="T293" s="13">
        <v>177.68</v>
      </c>
      <c r="U293" s="13">
        <v>46.196800000000003</v>
      </c>
      <c r="V293" s="55">
        <f>IFERROR(Table12[[#This Row],[Profit]]/Table12[[#This Row],[Sales]],0)</f>
        <v>0.26</v>
      </c>
    </row>
    <row r="294" spans="1:22" x14ac:dyDescent="0.2">
      <c r="A294">
        <v>293</v>
      </c>
      <c r="B294" t="s">
        <v>10089</v>
      </c>
      <c r="C294" s="1">
        <v>41732</v>
      </c>
      <c r="D294" s="22">
        <f>MONTH(Table12[[#This Row],[Order Date]])</f>
        <v>4</v>
      </c>
      <c r="E294" t="s">
        <v>1408</v>
      </c>
      <c r="F294" t="s">
        <v>591</v>
      </c>
      <c r="G294" s="23" t="s">
        <v>41</v>
      </c>
      <c r="H294" s="23" t="s">
        <v>155</v>
      </c>
      <c r="I294" t="s">
        <v>6265</v>
      </c>
      <c r="J294" s="23" t="s">
        <v>36</v>
      </c>
      <c r="K294" s="22">
        <v>2</v>
      </c>
      <c r="L294" s="1">
        <v>41737</v>
      </c>
      <c r="M294" s="22">
        <f>Table12[[#This Row],[Ship Date]]-Table12[[#This Row],[Order Date]]</f>
        <v>5</v>
      </c>
      <c r="N294" s="23" t="s">
        <v>45</v>
      </c>
      <c r="O294" s="23" t="s">
        <v>23</v>
      </c>
      <c r="P294" s="23" t="s">
        <v>38</v>
      </c>
      <c r="Q294" s="23" t="s">
        <v>39</v>
      </c>
      <c r="R294" s="23" t="s">
        <v>37</v>
      </c>
      <c r="S294" s="33">
        <v>0</v>
      </c>
      <c r="T294" s="13">
        <v>11.16</v>
      </c>
      <c r="U294" s="13">
        <v>5.58</v>
      </c>
      <c r="V294" s="55">
        <f>IFERROR(Table12[[#This Row],[Profit]]/Table12[[#This Row],[Sales]],0)</f>
        <v>0.5</v>
      </c>
    </row>
    <row r="295" spans="1:22" x14ac:dyDescent="0.2">
      <c r="A295">
        <v>294</v>
      </c>
      <c r="B295" t="s">
        <v>10089</v>
      </c>
      <c r="C295" s="1">
        <v>41732</v>
      </c>
      <c r="D295" s="22">
        <f>MONTH(Table12[[#This Row],[Order Date]])</f>
        <v>4</v>
      </c>
      <c r="E295" t="s">
        <v>4245</v>
      </c>
      <c r="F295" t="s">
        <v>4246</v>
      </c>
      <c r="G295" s="23" t="s">
        <v>64</v>
      </c>
      <c r="H295" s="23" t="s">
        <v>144</v>
      </c>
      <c r="I295" t="s">
        <v>6265</v>
      </c>
      <c r="J295" s="23" t="s">
        <v>36</v>
      </c>
      <c r="K295" s="22">
        <v>3</v>
      </c>
      <c r="L295" s="1">
        <v>41737</v>
      </c>
      <c r="M295" s="22">
        <f>Table12[[#This Row],[Ship Date]]-Table12[[#This Row],[Order Date]]</f>
        <v>5</v>
      </c>
      <c r="N295" s="23" t="s">
        <v>45</v>
      </c>
      <c r="O295" s="23" t="s">
        <v>23</v>
      </c>
      <c r="P295" s="23" t="s">
        <v>38</v>
      </c>
      <c r="Q295" s="23" t="s">
        <v>39</v>
      </c>
      <c r="R295" s="23" t="s">
        <v>37</v>
      </c>
      <c r="S295" s="33">
        <v>0</v>
      </c>
      <c r="T295" s="13">
        <v>62.31</v>
      </c>
      <c r="U295" s="13">
        <v>22.4316</v>
      </c>
      <c r="V295" s="55">
        <f>IFERROR(Table12[[#This Row],[Profit]]/Table12[[#This Row],[Sales]],0)</f>
        <v>0.36</v>
      </c>
    </row>
    <row r="296" spans="1:22" x14ac:dyDescent="0.2">
      <c r="A296">
        <v>295</v>
      </c>
      <c r="B296" t="s">
        <v>10089</v>
      </c>
      <c r="C296" s="1">
        <v>41732</v>
      </c>
      <c r="D296" s="22">
        <f>MONTH(Table12[[#This Row],[Order Date]])</f>
        <v>4</v>
      </c>
      <c r="E296" t="s">
        <v>3897</v>
      </c>
      <c r="F296" t="s">
        <v>3898</v>
      </c>
      <c r="G296" s="23" t="s">
        <v>64</v>
      </c>
      <c r="H296" s="23" t="s">
        <v>144</v>
      </c>
      <c r="I296" t="s">
        <v>6265</v>
      </c>
      <c r="J296" s="23" t="s">
        <v>36</v>
      </c>
      <c r="K296" s="22">
        <v>2</v>
      </c>
      <c r="L296" s="1">
        <v>41737</v>
      </c>
      <c r="M296" s="22">
        <f>Table12[[#This Row],[Ship Date]]-Table12[[#This Row],[Order Date]]</f>
        <v>5</v>
      </c>
      <c r="N296" s="23" t="s">
        <v>45</v>
      </c>
      <c r="O296" s="23" t="s">
        <v>23</v>
      </c>
      <c r="P296" s="23" t="s">
        <v>38</v>
      </c>
      <c r="Q296" s="23" t="s">
        <v>39</v>
      </c>
      <c r="R296" s="23" t="s">
        <v>37</v>
      </c>
      <c r="S296" s="33">
        <v>0</v>
      </c>
      <c r="T296" s="13">
        <v>159.97999999999999</v>
      </c>
      <c r="U296" s="13">
        <v>57.592799999999997</v>
      </c>
      <c r="V296" s="55">
        <f>IFERROR(Table12[[#This Row],[Profit]]/Table12[[#This Row],[Sales]],0)</f>
        <v>0.36</v>
      </c>
    </row>
    <row r="297" spans="1:22" x14ac:dyDescent="0.2">
      <c r="A297">
        <v>296</v>
      </c>
      <c r="B297" t="s">
        <v>3649</v>
      </c>
      <c r="C297" s="1">
        <v>41733</v>
      </c>
      <c r="D297" s="22">
        <f>MONTH(Table12[[#This Row],[Order Date]])</f>
        <v>4</v>
      </c>
      <c r="E297" t="s">
        <v>3650</v>
      </c>
      <c r="F297" t="s">
        <v>3651</v>
      </c>
      <c r="G297" s="23" t="s">
        <v>41</v>
      </c>
      <c r="H297" s="23" t="s">
        <v>42</v>
      </c>
      <c r="I297" t="s">
        <v>2369</v>
      </c>
      <c r="J297" s="23" t="s">
        <v>92</v>
      </c>
      <c r="K297" s="22">
        <v>6</v>
      </c>
      <c r="L297" s="1">
        <v>41738</v>
      </c>
      <c r="M297" s="22">
        <f>Table12[[#This Row],[Ship Date]]-Table12[[#This Row],[Order Date]]</f>
        <v>5</v>
      </c>
      <c r="N297" s="23" t="s">
        <v>45</v>
      </c>
      <c r="O297" s="23" t="s">
        <v>23</v>
      </c>
      <c r="P297" s="23" t="s">
        <v>38</v>
      </c>
      <c r="Q297" s="23" t="s">
        <v>39</v>
      </c>
      <c r="R297" s="23" t="s">
        <v>114</v>
      </c>
      <c r="S297" s="33">
        <v>0</v>
      </c>
      <c r="T297" s="13">
        <v>18.899999999999999</v>
      </c>
      <c r="U297" s="13">
        <v>9.0719999999999992</v>
      </c>
      <c r="V297" s="55">
        <f>IFERROR(Table12[[#This Row],[Profit]]/Table12[[#This Row],[Sales]],0)</f>
        <v>0.48</v>
      </c>
    </row>
    <row r="298" spans="1:22" x14ac:dyDescent="0.2">
      <c r="A298">
        <v>297</v>
      </c>
      <c r="B298" t="s">
        <v>6367</v>
      </c>
      <c r="C298" s="1">
        <v>41733</v>
      </c>
      <c r="D298" s="22">
        <f>MONTH(Table12[[#This Row],[Order Date]])</f>
        <v>4</v>
      </c>
      <c r="E298" t="s">
        <v>1689</v>
      </c>
      <c r="F298" t="s">
        <v>1690</v>
      </c>
      <c r="G298" s="23" t="s">
        <v>28</v>
      </c>
      <c r="H298" s="23" t="s">
        <v>58</v>
      </c>
      <c r="I298" t="s">
        <v>2787</v>
      </c>
      <c r="J298" s="23" t="s">
        <v>22</v>
      </c>
      <c r="K298" s="22">
        <v>1</v>
      </c>
      <c r="L298" s="1">
        <v>41738</v>
      </c>
      <c r="M298" s="22">
        <f>Table12[[#This Row],[Ship Date]]-Table12[[#This Row],[Order Date]]</f>
        <v>5</v>
      </c>
      <c r="N298" s="23" t="s">
        <v>45</v>
      </c>
      <c r="O298" s="23" t="s">
        <v>23</v>
      </c>
      <c r="P298" s="23" t="s">
        <v>212</v>
      </c>
      <c r="Q298" s="23" t="s">
        <v>95</v>
      </c>
      <c r="R298" s="23" t="s">
        <v>775</v>
      </c>
      <c r="S298" s="33">
        <v>0</v>
      </c>
      <c r="T298" s="13">
        <v>5.47</v>
      </c>
      <c r="U298" s="13">
        <v>2.3521000000000001</v>
      </c>
      <c r="V298" s="55">
        <f>IFERROR(Table12[[#This Row],[Profit]]/Table12[[#This Row],[Sales]],0)</f>
        <v>0.43000000000000005</v>
      </c>
    </row>
    <row r="299" spans="1:22" x14ac:dyDescent="0.2">
      <c r="A299">
        <v>298</v>
      </c>
      <c r="B299" t="s">
        <v>6367</v>
      </c>
      <c r="C299" s="1">
        <v>41733</v>
      </c>
      <c r="D299" s="22">
        <f>MONTH(Table12[[#This Row],[Order Date]])</f>
        <v>4</v>
      </c>
      <c r="E299" t="s">
        <v>3644</v>
      </c>
      <c r="F299" t="s">
        <v>3645</v>
      </c>
      <c r="G299" s="23" t="s">
        <v>41</v>
      </c>
      <c r="H299" s="23" t="s">
        <v>61</v>
      </c>
      <c r="I299" t="s">
        <v>2787</v>
      </c>
      <c r="J299" s="23" t="s">
        <v>22</v>
      </c>
      <c r="K299" s="22">
        <v>4</v>
      </c>
      <c r="L299" s="1">
        <v>41738</v>
      </c>
      <c r="M299" s="22">
        <f>Table12[[#This Row],[Ship Date]]-Table12[[#This Row],[Order Date]]</f>
        <v>5</v>
      </c>
      <c r="N299" s="23" t="s">
        <v>45</v>
      </c>
      <c r="O299" s="23" t="s">
        <v>23</v>
      </c>
      <c r="P299" s="23" t="s">
        <v>212</v>
      </c>
      <c r="Q299" s="23" t="s">
        <v>95</v>
      </c>
      <c r="R299" s="23" t="s">
        <v>775</v>
      </c>
      <c r="S299" s="33">
        <v>0</v>
      </c>
      <c r="T299" s="13">
        <v>79.36</v>
      </c>
      <c r="U299" s="13">
        <v>23.808</v>
      </c>
      <c r="V299" s="55">
        <f>IFERROR(Table12[[#This Row],[Profit]]/Table12[[#This Row],[Sales]],0)</f>
        <v>0.3</v>
      </c>
    </row>
    <row r="300" spans="1:22" x14ac:dyDescent="0.2">
      <c r="A300">
        <v>299</v>
      </c>
      <c r="B300" t="s">
        <v>7068</v>
      </c>
      <c r="C300" s="1">
        <v>41733</v>
      </c>
      <c r="D300" s="22">
        <f>MONTH(Table12[[#This Row],[Order Date]])</f>
        <v>4</v>
      </c>
      <c r="E300" t="s">
        <v>1077</v>
      </c>
      <c r="F300" t="s">
        <v>1078</v>
      </c>
      <c r="G300" s="23" t="s">
        <v>41</v>
      </c>
      <c r="H300" s="23" t="s">
        <v>68</v>
      </c>
      <c r="I300" t="s">
        <v>683</v>
      </c>
      <c r="J300" s="23" t="s">
        <v>36</v>
      </c>
      <c r="K300" s="22">
        <v>2</v>
      </c>
      <c r="L300" s="1">
        <v>41734</v>
      </c>
      <c r="M300" s="22">
        <f>Table12[[#This Row],[Ship Date]]-Table12[[#This Row],[Order Date]]</f>
        <v>1</v>
      </c>
      <c r="N300" s="23" t="s">
        <v>169</v>
      </c>
      <c r="O300" s="23" t="s">
        <v>23</v>
      </c>
      <c r="P300" s="23" t="s">
        <v>38</v>
      </c>
      <c r="Q300" s="23" t="s">
        <v>39</v>
      </c>
      <c r="R300" s="23" t="s">
        <v>37</v>
      </c>
      <c r="S300" s="33">
        <v>0.2</v>
      </c>
      <c r="T300" s="13">
        <v>7.1840000000000002</v>
      </c>
      <c r="U300" s="13">
        <v>2.2450000000000001</v>
      </c>
      <c r="V300" s="55">
        <f>IFERROR(Table12[[#This Row],[Profit]]/Table12[[#This Row],[Sales]],0)</f>
        <v>0.3125</v>
      </c>
    </row>
    <row r="301" spans="1:22" x14ac:dyDescent="0.2">
      <c r="A301">
        <v>300</v>
      </c>
      <c r="B301" t="s">
        <v>7258</v>
      </c>
      <c r="C301" s="1">
        <v>41733</v>
      </c>
      <c r="D301" s="22">
        <f>MONTH(Table12[[#This Row],[Order Date]])</f>
        <v>4</v>
      </c>
      <c r="E301" t="s">
        <v>888</v>
      </c>
      <c r="F301" t="s">
        <v>889</v>
      </c>
      <c r="G301" s="23" t="s">
        <v>41</v>
      </c>
      <c r="H301" s="23" t="s">
        <v>53</v>
      </c>
      <c r="I301" t="s">
        <v>122</v>
      </c>
      <c r="J301" s="23" t="s">
        <v>36</v>
      </c>
      <c r="K301" s="22">
        <v>5</v>
      </c>
      <c r="L301" s="1">
        <v>41737</v>
      </c>
      <c r="M301" s="22">
        <f>Table12[[#This Row],[Ship Date]]-Table12[[#This Row],[Order Date]]</f>
        <v>4</v>
      </c>
      <c r="N301" s="23" t="s">
        <v>45</v>
      </c>
      <c r="O301" s="23" t="s">
        <v>23</v>
      </c>
      <c r="P301" s="23" t="s">
        <v>650</v>
      </c>
      <c r="Q301" s="23" t="s">
        <v>26</v>
      </c>
      <c r="R301" s="23" t="s">
        <v>3766</v>
      </c>
      <c r="S301" s="33">
        <v>0</v>
      </c>
      <c r="T301" s="13">
        <v>232.55</v>
      </c>
      <c r="U301" s="13">
        <v>9.3019999999999996</v>
      </c>
      <c r="V301" s="55">
        <f>IFERROR(Table12[[#This Row],[Profit]]/Table12[[#This Row],[Sales]],0)</f>
        <v>3.9999999999999994E-2</v>
      </c>
    </row>
    <row r="302" spans="1:22" x14ac:dyDescent="0.2">
      <c r="A302">
        <v>301</v>
      </c>
      <c r="B302" t="s">
        <v>7258</v>
      </c>
      <c r="C302" s="1">
        <v>41733</v>
      </c>
      <c r="D302" s="22">
        <f>MONTH(Table12[[#This Row],[Order Date]])</f>
        <v>4</v>
      </c>
      <c r="E302" t="s">
        <v>4012</v>
      </c>
      <c r="F302" t="s">
        <v>4013</v>
      </c>
      <c r="G302" s="23" t="s">
        <v>64</v>
      </c>
      <c r="H302" s="23" t="s">
        <v>144</v>
      </c>
      <c r="I302" t="s">
        <v>122</v>
      </c>
      <c r="J302" s="23" t="s">
        <v>36</v>
      </c>
      <c r="K302" s="22">
        <v>2</v>
      </c>
      <c r="L302" s="1">
        <v>41737</v>
      </c>
      <c r="M302" s="22">
        <f>Table12[[#This Row],[Ship Date]]-Table12[[#This Row],[Order Date]]</f>
        <v>4</v>
      </c>
      <c r="N302" s="23" t="s">
        <v>45</v>
      </c>
      <c r="O302" s="23" t="s">
        <v>23</v>
      </c>
      <c r="P302" s="23" t="s">
        <v>650</v>
      </c>
      <c r="Q302" s="23" t="s">
        <v>26</v>
      </c>
      <c r="R302" s="23" t="s">
        <v>3766</v>
      </c>
      <c r="S302" s="33">
        <v>0</v>
      </c>
      <c r="T302" s="13">
        <v>99.98</v>
      </c>
      <c r="U302" s="13">
        <v>42.991399999999999</v>
      </c>
      <c r="V302" s="55">
        <f>IFERROR(Table12[[#This Row],[Profit]]/Table12[[#This Row],[Sales]],0)</f>
        <v>0.43</v>
      </c>
    </row>
    <row r="303" spans="1:22" x14ac:dyDescent="0.2">
      <c r="A303">
        <v>302</v>
      </c>
      <c r="B303" t="s">
        <v>7258</v>
      </c>
      <c r="C303" s="1">
        <v>41733</v>
      </c>
      <c r="D303" s="22">
        <f>MONTH(Table12[[#This Row],[Order Date]])</f>
        <v>4</v>
      </c>
      <c r="E303" t="s">
        <v>7259</v>
      </c>
      <c r="F303" t="s">
        <v>7260</v>
      </c>
      <c r="G303" s="23" t="s">
        <v>41</v>
      </c>
      <c r="H303" s="23" t="s">
        <v>82</v>
      </c>
      <c r="I303" t="s">
        <v>122</v>
      </c>
      <c r="J303" s="23" t="s">
        <v>36</v>
      </c>
      <c r="K303" s="22">
        <v>3</v>
      </c>
      <c r="L303" s="1">
        <v>41737</v>
      </c>
      <c r="M303" s="22">
        <f>Table12[[#This Row],[Ship Date]]-Table12[[#This Row],[Order Date]]</f>
        <v>4</v>
      </c>
      <c r="N303" s="23" t="s">
        <v>45</v>
      </c>
      <c r="O303" s="23" t="s">
        <v>23</v>
      </c>
      <c r="P303" s="23" t="s">
        <v>650</v>
      </c>
      <c r="Q303" s="23" t="s">
        <v>26</v>
      </c>
      <c r="R303" s="23" t="s">
        <v>3766</v>
      </c>
      <c r="S303" s="33">
        <v>0</v>
      </c>
      <c r="T303" s="13">
        <v>19.440000000000001</v>
      </c>
      <c r="U303" s="13">
        <v>9.3312000000000008</v>
      </c>
      <c r="V303" s="55">
        <f>IFERROR(Table12[[#This Row],[Profit]]/Table12[[#This Row],[Sales]],0)</f>
        <v>0.48000000000000004</v>
      </c>
    </row>
    <row r="304" spans="1:22" x14ac:dyDescent="0.2">
      <c r="A304">
        <v>303</v>
      </c>
      <c r="B304" t="s">
        <v>7258</v>
      </c>
      <c r="C304" s="1">
        <v>41733</v>
      </c>
      <c r="D304" s="22">
        <f>MONTH(Table12[[#This Row],[Order Date]])</f>
        <v>4</v>
      </c>
      <c r="E304" t="s">
        <v>2501</v>
      </c>
      <c r="F304" t="s">
        <v>6101</v>
      </c>
      <c r="G304" s="23" t="s">
        <v>41</v>
      </c>
      <c r="H304" s="23" t="s">
        <v>82</v>
      </c>
      <c r="I304" t="s">
        <v>122</v>
      </c>
      <c r="J304" s="23" t="s">
        <v>36</v>
      </c>
      <c r="K304" s="22">
        <v>2</v>
      </c>
      <c r="L304" s="1">
        <v>41737</v>
      </c>
      <c r="M304" s="22">
        <f>Table12[[#This Row],[Ship Date]]-Table12[[#This Row],[Order Date]]</f>
        <v>4</v>
      </c>
      <c r="N304" s="23" t="s">
        <v>45</v>
      </c>
      <c r="O304" s="23" t="s">
        <v>23</v>
      </c>
      <c r="P304" s="23" t="s">
        <v>650</v>
      </c>
      <c r="Q304" s="23" t="s">
        <v>26</v>
      </c>
      <c r="R304" s="23" t="s">
        <v>3766</v>
      </c>
      <c r="S304" s="33">
        <v>0</v>
      </c>
      <c r="T304" s="13">
        <v>12.96</v>
      </c>
      <c r="U304" s="13">
        <v>6.3503999999999996</v>
      </c>
      <c r="V304" s="55">
        <f>IFERROR(Table12[[#This Row],[Profit]]/Table12[[#This Row],[Sales]],0)</f>
        <v>0.48999999999999994</v>
      </c>
    </row>
    <row r="305" spans="1:22" x14ac:dyDescent="0.2">
      <c r="A305">
        <v>304</v>
      </c>
      <c r="B305" t="s">
        <v>2011</v>
      </c>
      <c r="C305" s="1">
        <v>41734</v>
      </c>
      <c r="D305" s="22">
        <f>MONTH(Table12[[#This Row],[Order Date]])</f>
        <v>4</v>
      </c>
      <c r="E305" t="s">
        <v>1439</v>
      </c>
      <c r="F305" t="s">
        <v>1440</v>
      </c>
      <c r="G305" s="23" t="s">
        <v>41</v>
      </c>
      <c r="H305" s="23" t="s">
        <v>82</v>
      </c>
      <c r="I305" t="s">
        <v>2012</v>
      </c>
      <c r="J305" s="23" t="s">
        <v>92</v>
      </c>
      <c r="K305" s="22">
        <v>1</v>
      </c>
      <c r="L305" s="1">
        <v>41736</v>
      </c>
      <c r="M305" s="22">
        <f>Table12[[#This Row],[Ship Date]]-Table12[[#This Row],[Order Date]]</f>
        <v>2</v>
      </c>
      <c r="N305" s="23" t="s">
        <v>169</v>
      </c>
      <c r="O305" s="23" t="s">
        <v>23</v>
      </c>
      <c r="P305" s="23" t="s">
        <v>238</v>
      </c>
      <c r="Q305" s="23" t="s">
        <v>133</v>
      </c>
      <c r="R305" s="23" t="s">
        <v>237</v>
      </c>
      <c r="S305" s="33">
        <v>0</v>
      </c>
      <c r="T305" s="13">
        <v>55.48</v>
      </c>
      <c r="U305" s="13">
        <v>26.630400000000002</v>
      </c>
      <c r="V305" s="55">
        <f>IFERROR(Table12[[#This Row],[Profit]]/Table12[[#This Row],[Sales]],0)</f>
        <v>0.48000000000000004</v>
      </c>
    </row>
    <row r="306" spans="1:22" x14ac:dyDescent="0.2">
      <c r="A306">
        <v>305</v>
      </c>
      <c r="B306" t="s">
        <v>5806</v>
      </c>
      <c r="C306" s="1">
        <v>41734</v>
      </c>
      <c r="D306" s="22">
        <f>MONTH(Table12[[#This Row],[Order Date]])</f>
        <v>4</v>
      </c>
      <c r="E306" t="s">
        <v>1208</v>
      </c>
      <c r="F306" t="s">
        <v>1209</v>
      </c>
      <c r="G306" s="23" t="s">
        <v>41</v>
      </c>
      <c r="H306" s="23" t="s">
        <v>61</v>
      </c>
      <c r="I306" t="s">
        <v>4931</v>
      </c>
      <c r="J306" s="23" t="s">
        <v>36</v>
      </c>
      <c r="K306" s="22">
        <v>7</v>
      </c>
      <c r="L306" s="1">
        <v>41738</v>
      </c>
      <c r="M306" s="22">
        <f>Table12[[#This Row],[Ship Date]]-Table12[[#This Row],[Order Date]]</f>
        <v>4</v>
      </c>
      <c r="N306" s="23" t="s">
        <v>20</v>
      </c>
      <c r="O306" s="23" t="s">
        <v>23</v>
      </c>
      <c r="P306" s="23" t="s">
        <v>285</v>
      </c>
      <c r="Q306" s="23" t="s">
        <v>26</v>
      </c>
      <c r="R306" s="23" t="s">
        <v>2476</v>
      </c>
      <c r="S306" s="33">
        <v>0</v>
      </c>
      <c r="T306" s="13">
        <v>22.96</v>
      </c>
      <c r="U306" s="13">
        <v>7.5768000000000004</v>
      </c>
      <c r="V306" s="55">
        <f>IFERROR(Table12[[#This Row],[Profit]]/Table12[[#This Row],[Sales]],0)</f>
        <v>0.33</v>
      </c>
    </row>
    <row r="307" spans="1:22" x14ac:dyDescent="0.2">
      <c r="A307">
        <v>306</v>
      </c>
      <c r="B307" t="s">
        <v>5806</v>
      </c>
      <c r="C307" s="1">
        <v>41734</v>
      </c>
      <c r="D307" s="22">
        <f>MONTH(Table12[[#This Row],[Order Date]])</f>
        <v>4</v>
      </c>
      <c r="E307" t="s">
        <v>3983</v>
      </c>
      <c r="F307" t="s">
        <v>3984</v>
      </c>
      <c r="G307" s="23" t="s">
        <v>64</v>
      </c>
      <c r="H307" s="23" t="s">
        <v>65</v>
      </c>
      <c r="I307" t="s">
        <v>4931</v>
      </c>
      <c r="J307" s="23" t="s">
        <v>36</v>
      </c>
      <c r="K307" s="22">
        <v>1</v>
      </c>
      <c r="L307" s="1">
        <v>41738</v>
      </c>
      <c r="M307" s="22">
        <f>Table12[[#This Row],[Ship Date]]-Table12[[#This Row],[Order Date]]</f>
        <v>4</v>
      </c>
      <c r="N307" s="23" t="s">
        <v>20</v>
      </c>
      <c r="O307" s="23" t="s">
        <v>23</v>
      </c>
      <c r="P307" s="23" t="s">
        <v>285</v>
      </c>
      <c r="Q307" s="23" t="s">
        <v>26</v>
      </c>
      <c r="R307" s="23" t="s">
        <v>2476</v>
      </c>
      <c r="S307" s="33">
        <v>0</v>
      </c>
      <c r="T307" s="13">
        <v>28.99</v>
      </c>
      <c r="U307" s="13">
        <v>8.4070999999999998</v>
      </c>
      <c r="V307" s="55">
        <f>IFERROR(Table12[[#This Row],[Profit]]/Table12[[#This Row],[Sales]],0)</f>
        <v>0.29000000000000004</v>
      </c>
    </row>
    <row r="308" spans="1:22" x14ac:dyDescent="0.2">
      <c r="A308">
        <v>307</v>
      </c>
      <c r="B308" t="s">
        <v>5806</v>
      </c>
      <c r="C308" s="1">
        <v>41734</v>
      </c>
      <c r="D308" s="22">
        <f>MONTH(Table12[[#This Row],[Order Date]])</f>
        <v>4</v>
      </c>
      <c r="E308" t="s">
        <v>809</v>
      </c>
      <c r="F308" t="s">
        <v>810</v>
      </c>
      <c r="G308" s="23" t="s">
        <v>41</v>
      </c>
      <c r="H308" s="23" t="s">
        <v>82</v>
      </c>
      <c r="I308" t="s">
        <v>4931</v>
      </c>
      <c r="J308" s="23" t="s">
        <v>36</v>
      </c>
      <c r="K308" s="22">
        <v>2</v>
      </c>
      <c r="L308" s="1">
        <v>41738</v>
      </c>
      <c r="M308" s="22">
        <f>Table12[[#This Row],[Ship Date]]-Table12[[#This Row],[Order Date]]</f>
        <v>4</v>
      </c>
      <c r="N308" s="23" t="s">
        <v>20</v>
      </c>
      <c r="O308" s="23" t="s">
        <v>23</v>
      </c>
      <c r="P308" s="23" t="s">
        <v>285</v>
      </c>
      <c r="Q308" s="23" t="s">
        <v>26</v>
      </c>
      <c r="R308" s="23" t="s">
        <v>2476</v>
      </c>
      <c r="S308" s="33">
        <v>0</v>
      </c>
      <c r="T308" s="13">
        <v>12.96</v>
      </c>
      <c r="U308" s="13">
        <v>6.3503999999999996</v>
      </c>
      <c r="V308" s="55">
        <f>IFERROR(Table12[[#This Row],[Profit]]/Table12[[#This Row],[Sales]],0)</f>
        <v>0.48999999999999994</v>
      </c>
    </row>
    <row r="309" spans="1:22" x14ac:dyDescent="0.2">
      <c r="A309">
        <v>308</v>
      </c>
      <c r="B309" t="s">
        <v>5806</v>
      </c>
      <c r="C309" s="1">
        <v>41734</v>
      </c>
      <c r="D309" s="22">
        <f>MONTH(Table12[[#This Row],[Order Date]])</f>
        <v>4</v>
      </c>
      <c r="E309" t="s">
        <v>4290</v>
      </c>
      <c r="F309" t="s">
        <v>4291</v>
      </c>
      <c r="G309" s="23" t="s">
        <v>41</v>
      </c>
      <c r="H309" s="23" t="s">
        <v>61</v>
      </c>
      <c r="I309" t="s">
        <v>4931</v>
      </c>
      <c r="J309" s="23" t="s">
        <v>36</v>
      </c>
      <c r="K309" s="22">
        <v>7</v>
      </c>
      <c r="L309" s="1">
        <v>41738</v>
      </c>
      <c r="M309" s="22">
        <f>Table12[[#This Row],[Ship Date]]-Table12[[#This Row],[Order Date]]</f>
        <v>4</v>
      </c>
      <c r="N309" s="23" t="s">
        <v>20</v>
      </c>
      <c r="O309" s="23" t="s">
        <v>23</v>
      </c>
      <c r="P309" s="23" t="s">
        <v>285</v>
      </c>
      <c r="Q309" s="23" t="s">
        <v>26</v>
      </c>
      <c r="R309" s="23" t="s">
        <v>2476</v>
      </c>
      <c r="S309" s="33">
        <v>0</v>
      </c>
      <c r="T309" s="13">
        <v>22.96</v>
      </c>
      <c r="U309" s="13">
        <v>6.6584000000000003</v>
      </c>
      <c r="V309" s="55">
        <f>IFERROR(Table12[[#This Row],[Profit]]/Table12[[#This Row],[Sales]],0)</f>
        <v>0.28999999999999998</v>
      </c>
    </row>
    <row r="310" spans="1:22" x14ac:dyDescent="0.2">
      <c r="A310">
        <v>309</v>
      </c>
      <c r="B310" t="s">
        <v>5806</v>
      </c>
      <c r="C310" s="1">
        <v>41734</v>
      </c>
      <c r="D310" s="22">
        <f>MONTH(Table12[[#This Row],[Order Date]])</f>
        <v>4</v>
      </c>
      <c r="E310" t="s">
        <v>1594</v>
      </c>
      <c r="F310" t="s">
        <v>1595</v>
      </c>
      <c r="G310" s="23" t="s">
        <v>41</v>
      </c>
      <c r="H310" s="23" t="s">
        <v>513</v>
      </c>
      <c r="I310" t="s">
        <v>4931</v>
      </c>
      <c r="J310" s="23" t="s">
        <v>36</v>
      </c>
      <c r="K310" s="22">
        <v>5</v>
      </c>
      <c r="L310" s="1">
        <v>41738</v>
      </c>
      <c r="M310" s="22">
        <f>Table12[[#This Row],[Ship Date]]-Table12[[#This Row],[Order Date]]</f>
        <v>4</v>
      </c>
      <c r="N310" s="23" t="s">
        <v>20</v>
      </c>
      <c r="O310" s="23" t="s">
        <v>23</v>
      </c>
      <c r="P310" s="23" t="s">
        <v>285</v>
      </c>
      <c r="Q310" s="23" t="s">
        <v>26</v>
      </c>
      <c r="R310" s="23" t="s">
        <v>2476</v>
      </c>
      <c r="S310" s="33">
        <v>0</v>
      </c>
      <c r="T310" s="13">
        <v>4164.05</v>
      </c>
      <c r="U310" s="13">
        <v>83.281000000000006</v>
      </c>
      <c r="V310" s="55">
        <f>IFERROR(Table12[[#This Row],[Profit]]/Table12[[#This Row],[Sales]],0)</f>
        <v>0.02</v>
      </c>
    </row>
    <row r="311" spans="1:22" x14ac:dyDescent="0.2">
      <c r="A311">
        <v>310</v>
      </c>
      <c r="B311" t="s">
        <v>6303</v>
      </c>
      <c r="C311" s="1">
        <v>41734</v>
      </c>
      <c r="D311" s="22">
        <f>MONTH(Table12[[#This Row],[Order Date]])</f>
        <v>4</v>
      </c>
      <c r="E311" t="s">
        <v>643</v>
      </c>
      <c r="F311" t="s">
        <v>644</v>
      </c>
      <c r="G311" s="23" t="s">
        <v>41</v>
      </c>
      <c r="H311" s="23" t="s">
        <v>53</v>
      </c>
      <c r="I311" t="s">
        <v>1461</v>
      </c>
      <c r="J311" s="23" t="s">
        <v>36</v>
      </c>
      <c r="K311" s="22">
        <v>4</v>
      </c>
      <c r="L311" s="1">
        <v>41736</v>
      </c>
      <c r="M311" s="22">
        <f>Table12[[#This Row],[Ship Date]]-Table12[[#This Row],[Order Date]]</f>
        <v>2</v>
      </c>
      <c r="N311" s="23" t="s">
        <v>169</v>
      </c>
      <c r="O311" s="23" t="s">
        <v>23</v>
      </c>
      <c r="P311" s="23" t="s">
        <v>189</v>
      </c>
      <c r="Q311" s="23" t="s">
        <v>95</v>
      </c>
      <c r="R311" s="23" t="s">
        <v>319</v>
      </c>
      <c r="S311" s="33">
        <v>0.2</v>
      </c>
      <c r="T311" s="13">
        <v>49.631999999999998</v>
      </c>
      <c r="U311" s="13">
        <v>3.7223999999999999</v>
      </c>
      <c r="V311" s="55">
        <f>IFERROR(Table12[[#This Row],[Profit]]/Table12[[#This Row],[Sales]],0)</f>
        <v>7.4999999999999997E-2</v>
      </c>
    </row>
    <row r="312" spans="1:22" x14ac:dyDescent="0.2">
      <c r="A312">
        <v>311</v>
      </c>
      <c r="B312" t="s">
        <v>6303</v>
      </c>
      <c r="C312" s="1">
        <v>41734</v>
      </c>
      <c r="D312" s="22">
        <f>MONTH(Table12[[#This Row],[Order Date]])</f>
        <v>4</v>
      </c>
      <c r="E312" t="s">
        <v>6127</v>
      </c>
      <c r="F312" t="s">
        <v>6128</v>
      </c>
      <c r="G312" s="23" t="s">
        <v>41</v>
      </c>
      <c r="H312" s="23" t="s">
        <v>53</v>
      </c>
      <c r="I312" t="s">
        <v>1461</v>
      </c>
      <c r="J312" s="23" t="s">
        <v>36</v>
      </c>
      <c r="K312" s="22">
        <v>4</v>
      </c>
      <c r="L312" s="1">
        <v>41736</v>
      </c>
      <c r="M312" s="22">
        <f>Table12[[#This Row],[Ship Date]]-Table12[[#This Row],[Order Date]]</f>
        <v>2</v>
      </c>
      <c r="N312" s="23" t="s">
        <v>169</v>
      </c>
      <c r="O312" s="23" t="s">
        <v>23</v>
      </c>
      <c r="P312" s="23" t="s">
        <v>189</v>
      </c>
      <c r="Q312" s="23" t="s">
        <v>95</v>
      </c>
      <c r="R312" s="23" t="s">
        <v>319</v>
      </c>
      <c r="S312" s="33">
        <v>0.2</v>
      </c>
      <c r="T312" s="13">
        <v>52.095999999999997</v>
      </c>
      <c r="U312" s="13">
        <v>3.9072</v>
      </c>
      <c r="V312" s="55">
        <f>IFERROR(Table12[[#This Row],[Profit]]/Table12[[#This Row],[Sales]],0)</f>
        <v>7.5000000000000011E-2</v>
      </c>
    </row>
    <row r="313" spans="1:22" x14ac:dyDescent="0.2">
      <c r="A313">
        <v>312</v>
      </c>
      <c r="B313" t="s">
        <v>9881</v>
      </c>
      <c r="C313" s="1">
        <v>41734</v>
      </c>
      <c r="D313" s="22">
        <f>MONTH(Table12[[#This Row],[Order Date]])</f>
        <v>4</v>
      </c>
      <c r="E313" t="s">
        <v>2822</v>
      </c>
      <c r="F313" t="s">
        <v>2823</v>
      </c>
      <c r="G313" s="23" t="s">
        <v>41</v>
      </c>
      <c r="H313" s="23" t="s">
        <v>61</v>
      </c>
      <c r="I313" t="s">
        <v>587</v>
      </c>
      <c r="J313" s="23" t="s">
        <v>22</v>
      </c>
      <c r="K313" s="22">
        <v>2</v>
      </c>
      <c r="L313" s="1">
        <v>41736</v>
      </c>
      <c r="M313" s="22">
        <f>Table12[[#This Row],[Ship Date]]-Table12[[#This Row],[Order Date]]</f>
        <v>2</v>
      </c>
      <c r="N313" s="23" t="s">
        <v>20</v>
      </c>
      <c r="O313" s="23" t="s">
        <v>23</v>
      </c>
      <c r="P313" s="23" t="s">
        <v>212</v>
      </c>
      <c r="Q313" s="23" t="s">
        <v>95</v>
      </c>
      <c r="R313" s="23" t="s">
        <v>5964</v>
      </c>
      <c r="S313" s="33">
        <v>0</v>
      </c>
      <c r="T313" s="13">
        <v>26.7</v>
      </c>
      <c r="U313" s="13">
        <v>7.476</v>
      </c>
      <c r="V313" s="55">
        <f>IFERROR(Table12[[#This Row],[Profit]]/Table12[[#This Row],[Sales]],0)</f>
        <v>0.28000000000000003</v>
      </c>
    </row>
    <row r="314" spans="1:22" x14ac:dyDescent="0.2">
      <c r="A314">
        <v>313</v>
      </c>
      <c r="B314" t="s">
        <v>9881</v>
      </c>
      <c r="C314" s="1">
        <v>41734</v>
      </c>
      <c r="D314" s="22">
        <f>MONTH(Table12[[#This Row],[Order Date]])</f>
        <v>4</v>
      </c>
      <c r="E314" t="s">
        <v>4384</v>
      </c>
      <c r="F314" t="s">
        <v>4385</v>
      </c>
      <c r="G314" s="23" t="s">
        <v>41</v>
      </c>
      <c r="H314" s="23" t="s">
        <v>68</v>
      </c>
      <c r="I314" t="s">
        <v>587</v>
      </c>
      <c r="J314" s="23" t="s">
        <v>22</v>
      </c>
      <c r="K314" s="22">
        <v>5</v>
      </c>
      <c r="L314" s="1">
        <v>41736</v>
      </c>
      <c r="M314" s="22">
        <f>Table12[[#This Row],[Ship Date]]-Table12[[#This Row],[Order Date]]</f>
        <v>2</v>
      </c>
      <c r="N314" s="23" t="s">
        <v>20</v>
      </c>
      <c r="O314" s="23" t="s">
        <v>23</v>
      </c>
      <c r="P314" s="23" t="s">
        <v>212</v>
      </c>
      <c r="Q314" s="23" t="s">
        <v>95</v>
      </c>
      <c r="R314" s="23" t="s">
        <v>5964</v>
      </c>
      <c r="S314" s="33">
        <v>0</v>
      </c>
      <c r="T314" s="13">
        <v>40.200000000000003</v>
      </c>
      <c r="U314" s="13">
        <v>18.09</v>
      </c>
      <c r="V314" s="55">
        <f>IFERROR(Table12[[#This Row],[Profit]]/Table12[[#This Row],[Sales]],0)</f>
        <v>0.44999999999999996</v>
      </c>
    </row>
    <row r="315" spans="1:22" x14ac:dyDescent="0.2">
      <c r="A315">
        <v>314</v>
      </c>
      <c r="B315" t="s">
        <v>9881</v>
      </c>
      <c r="C315" s="1">
        <v>41734</v>
      </c>
      <c r="D315" s="22">
        <f>MONTH(Table12[[#This Row],[Order Date]])</f>
        <v>4</v>
      </c>
      <c r="E315" t="s">
        <v>688</v>
      </c>
      <c r="F315" t="s">
        <v>689</v>
      </c>
      <c r="G315" s="23" t="s">
        <v>41</v>
      </c>
      <c r="H315" s="23" t="s">
        <v>61</v>
      </c>
      <c r="I315" t="s">
        <v>587</v>
      </c>
      <c r="J315" s="23" t="s">
        <v>22</v>
      </c>
      <c r="K315" s="22">
        <v>3</v>
      </c>
      <c r="L315" s="1">
        <v>41736</v>
      </c>
      <c r="M315" s="22">
        <f>Table12[[#This Row],[Ship Date]]-Table12[[#This Row],[Order Date]]</f>
        <v>2</v>
      </c>
      <c r="N315" s="23" t="s">
        <v>20</v>
      </c>
      <c r="O315" s="23" t="s">
        <v>23</v>
      </c>
      <c r="P315" s="23" t="s">
        <v>212</v>
      </c>
      <c r="Q315" s="23" t="s">
        <v>95</v>
      </c>
      <c r="R315" s="23" t="s">
        <v>5964</v>
      </c>
      <c r="S315" s="33">
        <v>0</v>
      </c>
      <c r="T315" s="13">
        <v>13.89</v>
      </c>
      <c r="U315" s="13">
        <v>4.5837000000000003</v>
      </c>
      <c r="V315" s="55">
        <f>IFERROR(Table12[[#This Row],[Profit]]/Table12[[#This Row],[Sales]],0)</f>
        <v>0.33</v>
      </c>
    </row>
    <row r="316" spans="1:22" x14ac:dyDescent="0.2">
      <c r="A316">
        <v>315</v>
      </c>
      <c r="B316" t="s">
        <v>9881</v>
      </c>
      <c r="C316" s="1">
        <v>41734</v>
      </c>
      <c r="D316" s="22">
        <f>MONTH(Table12[[#This Row],[Order Date]])</f>
        <v>4</v>
      </c>
      <c r="E316" t="s">
        <v>604</v>
      </c>
      <c r="F316" t="s">
        <v>605</v>
      </c>
      <c r="G316" s="23" t="s">
        <v>41</v>
      </c>
      <c r="H316" s="23" t="s">
        <v>53</v>
      </c>
      <c r="I316" t="s">
        <v>587</v>
      </c>
      <c r="J316" s="23" t="s">
        <v>22</v>
      </c>
      <c r="K316" s="22">
        <v>6</v>
      </c>
      <c r="L316" s="1">
        <v>41736</v>
      </c>
      <c r="M316" s="22">
        <f>Table12[[#This Row],[Ship Date]]-Table12[[#This Row],[Order Date]]</f>
        <v>2</v>
      </c>
      <c r="N316" s="23" t="s">
        <v>20</v>
      </c>
      <c r="O316" s="23" t="s">
        <v>23</v>
      </c>
      <c r="P316" s="23" t="s">
        <v>212</v>
      </c>
      <c r="Q316" s="23" t="s">
        <v>95</v>
      </c>
      <c r="R316" s="23" t="s">
        <v>5964</v>
      </c>
      <c r="S316" s="33">
        <v>0</v>
      </c>
      <c r="T316" s="13">
        <v>689.82</v>
      </c>
      <c r="U316" s="13">
        <v>20.694600000000001</v>
      </c>
      <c r="V316" s="55">
        <f>IFERROR(Table12[[#This Row],[Profit]]/Table12[[#This Row],[Sales]],0)</f>
        <v>0.03</v>
      </c>
    </row>
    <row r="317" spans="1:22" x14ac:dyDescent="0.2">
      <c r="A317">
        <v>316</v>
      </c>
      <c r="B317" t="s">
        <v>10102</v>
      </c>
      <c r="C317" s="1">
        <v>41734</v>
      </c>
      <c r="D317" s="22">
        <f>MONTH(Table12[[#This Row],[Order Date]])</f>
        <v>4</v>
      </c>
      <c r="E317" t="s">
        <v>369</v>
      </c>
      <c r="F317" t="s">
        <v>370</v>
      </c>
      <c r="G317" s="23" t="s">
        <v>41</v>
      </c>
      <c r="H317" s="23" t="s">
        <v>68</v>
      </c>
      <c r="I317" t="s">
        <v>3986</v>
      </c>
      <c r="J317" s="23" t="s">
        <v>36</v>
      </c>
      <c r="K317" s="22">
        <v>7</v>
      </c>
      <c r="L317" s="1">
        <v>41738</v>
      </c>
      <c r="M317" s="22">
        <f>Table12[[#This Row],[Ship Date]]-Table12[[#This Row],[Order Date]]</f>
        <v>4</v>
      </c>
      <c r="N317" s="23" t="s">
        <v>45</v>
      </c>
      <c r="O317" s="23" t="s">
        <v>23</v>
      </c>
      <c r="P317" s="23" t="s">
        <v>25</v>
      </c>
      <c r="Q317" s="23" t="s">
        <v>26</v>
      </c>
      <c r="R317" s="23" t="s">
        <v>1294</v>
      </c>
      <c r="S317" s="33">
        <v>0</v>
      </c>
      <c r="T317" s="13">
        <v>115.36</v>
      </c>
      <c r="U317" s="13">
        <v>56.526400000000002</v>
      </c>
      <c r="V317" s="55">
        <f>IFERROR(Table12[[#This Row],[Profit]]/Table12[[#This Row],[Sales]],0)</f>
        <v>0.49000000000000005</v>
      </c>
    </row>
    <row r="318" spans="1:22" x14ac:dyDescent="0.2">
      <c r="A318">
        <v>317</v>
      </c>
      <c r="B318" t="s">
        <v>2364</v>
      </c>
      <c r="C318" s="1">
        <v>41735</v>
      </c>
      <c r="D318" s="22">
        <f>MONTH(Table12[[#This Row],[Order Date]])</f>
        <v>4</v>
      </c>
      <c r="E318" t="s">
        <v>2366</v>
      </c>
      <c r="F318" t="s">
        <v>2367</v>
      </c>
      <c r="G318" s="23" t="s">
        <v>41</v>
      </c>
      <c r="H318" s="23" t="s">
        <v>68</v>
      </c>
      <c r="I318" t="s">
        <v>2365</v>
      </c>
      <c r="J318" s="23" t="s">
        <v>36</v>
      </c>
      <c r="K318" s="22">
        <v>6</v>
      </c>
      <c r="L318" s="1">
        <v>41739</v>
      </c>
      <c r="M318" s="22">
        <f>Table12[[#This Row],[Ship Date]]-Table12[[#This Row],[Order Date]]</f>
        <v>4</v>
      </c>
      <c r="N318" s="23" t="s">
        <v>45</v>
      </c>
      <c r="O318" s="23" t="s">
        <v>23</v>
      </c>
      <c r="P318" s="23" t="s">
        <v>132</v>
      </c>
      <c r="Q318" s="23" t="s">
        <v>133</v>
      </c>
      <c r="R318" s="23" t="s">
        <v>2174</v>
      </c>
      <c r="S318" s="33">
        <v>0.7</v>
      </c>
      <c r="T318" s="13">
        <v>44.91</v>
      </c>
      <c r="U318" s="13">
        <v>-35.927999999999997</v>
      </c>
      <c r="V318" s="55">
        <f>IFERROR(Table12[[#This Row],[Profit]]/Table12[[#This Row],[Sales]],0)</f>
        <v>-0.8</v>
      </c>
    </row>
    <row r="319" spans="1:22" x14ac:dyDescent="0.2">
      <c r="A319">
        <v>318</v>
      </c>
      <c r="B319" t="s">
        <v>3372</v>
      </c>
      <c r="C319" s="1">
        <v>41735</v>
      </c>
      <c r="D319" s="22">
        <f>MONTH(Table12[[#This Row],[Order Date]])</f>
        <v>4</v>
      </c>
      <c r="E319" t="s">
        <v>1730</v>
      </c>
      <c r="F319" t="s">
        <v>1731</v>
      </c>
      <c r="G319" s="23" t="s">
        <v>41</v>
      </c>
      <c r="H319" s="23" t="s">
        <v>513</v>
      </c>
      <c r="I319" t="s">
        <v>1325</v>
      </c>
      <c r="J319" s="23" t="s">
        <v>92</v>
      </c>
      <c r="K319" s="22">
        <v>1</v>
      </c>
      <c r="L319" s="1">
        <v>41737</v>
      </c>
      <c r="M319" s="22">
        <f>Table12[[#This Row],[Ship Date]]-Table12[[#This Row],[Order Date]]</f>
        <v>2</v>
      </c>
      <c r="N319" s="23" t="s">
        <v>169</v>
      </c>
      <c r="O319" s="23" t="s">
        <v>23</v>
      </c>
      <c r="P319" s="23" t="s">
        <v>132</v>
      </c>
      <c r="Q319" s="23" t="s">
        <v>133</v>
      </c>
      <c r="R319" s="23" t="s">
        <v>131</v>
      </c>
      <c r="S319" s="33">
        <v>0.2</v>
      </c>
      <c r="T319" s="13">
        <v>10.304</v>
      </c>
      <c r="U319" s="13">
        <v>-2.1896</v>
      </c>
      <c r="V319" s="55">
        <f>IFERROR(Table12[[#This Row],[Profit]]/Table12[[#This Row],[Sales]],0)</f>
        <v>-0.21249999999999999</v>
      </c>
    </row>
    <row r="320" spans="1:22" x14ac:dyDescent="0.2">
      <c r="A320">
        <v>319</v>
      </c>
      <c r="B320" t="s">
        <v>3372</v>
      </c>
      <c r="C320" s="1">
        <v>41735</v>
      </c>
      <c r="D320" s="22">
        <f>MONTH(Table12[[#This Row],[Order Date]])</f>
        <v>4</v>
      </c>
      <c r="E320" t="s">
        <v>3373</v>
      </c>
      <c r="F320" t="s">
        <v>2884</v>
      </c>
      <c r="G320" s="23" t="s">
        <v>28</v>
      </c>
      <c r="H320" s="23" t="s">
        <v>50</v>
      </c>
      <c r="I320" t="s">
        <v>1325</v>
      </c>
      <c r="J320" s="23" t="s">
        <v>92</v>
      </c>
      <c r="K320" s="22">
        <v>3</v>
      </c>
      <c r="L320" s="1">
        <v>41737</v>
      </c>
      <c r="M320" s="22">
        <f>Table12[[#This Row],[Ship Date]]-Table12[[#This Row],[Order Date]]</f>
        <v>2</v>
      </c>
      <c r="N320" s="23" t="s">
        <v>169</v>
      </c>
      <c r="O320" s="23" t="s">
        <v>23</v>
      </c>
      <c r="P320" s="23" t="s">
        <v>132</v>
      </c>
      <c r="Q320" s="23" t="s">
        <v>133</v>
      </c>
      <c r="R320" s="23" t="s">
        <v>131</v>
      </c>
      <c r="S320" s="33">
        <v>0.4</v>
      </c>
      <c r="T320" s="13">
        <v>154.76400000000001</v>
      </c>
      <c r="U320" s="13">
        <v>-36.111600000000003</v>
      </c>
      <c r="V320" s="55">
        <f>IFERROR(Table12[[#This Row],[Profit]]/Table12[[#This Row],[Sales]],0)</f>
        <v>-0.23333333333333334</v>
      </c>
    </row>
    <row r="321" spans="1:22" x14ac:dyDescent="0.2">
      <c r="A321">
        <v>320</v>
      </c>
      <c r="B321" t="s">
        <v>3372</v>
      </c>
      <c r="C321" s="1">
        <v>41735</v>
      </c>
      <c r="D321" s="22">
        <f>MONTH(Table12[[#This Row],[Order Date]])</f>
        <v>4</v>
      </c>
      <c r="E321" t="s">
        <v>645</v>
      </c>
      <c r="F321" t="s">
        <v>646</v>
      </c>
      <c r="G321" s="23" t="s">
        <v>64</v>
      </c>
      <c r="H321" s="23" t="s">
        <v>144</v>
      </c>
      <c r="I321" t="s">
        <v>1325</v>
      </c>
      <c r="J321" s="23" t="s">
        <v>92</v>
      </c>
      <c r="K321" s="22">
        <v>2</v>
      </c>
      <c r="L321" s="1">
        <v>41737</v>
      </c>
      <c r="M321" s="22">
        <f>Table12[[#This Row],[Ship Date]]-Table12[[#This Row],[Order Date]]</f>
        <v>2</v>
      </c>
      <c r="N321" s="23" t="s">
        <v>169</v>
      </c>
      <c r="O321" s="23" t="s">
        <v>23</v>
      </c>
      <c r="P321" s="23" t="s">
        <v>132</v>
      </c>
      <c r="Q321" s="23" t="s">
        <v>133</v>
      </c>
      <c r="R321" s="23" t="s">
        <v>131</v>
      </c>
      <c r="S321" s="33">
        <v>0.2</v>
      </c>
      <c r="T321" s="13">
        <v>116.78400000000001</v>
      </c>
      <c r="U321" s="13">
        <v>21.896999999999998</v>
      </c>
      <c r="V321" s="55">
        <f>IFERROR(Table12[[#This Row],[Profit]]/Table12[[#This Row],[Sales]],0)</f>
        <v>0.18749999999999997</v>
      </c>
    </row>
    <row r="322" spans="1:22" x14ac:dyDescent="0.2">
      <c r="A322">
        <v>321</v>
      </c>
      <c r="B322" t="s">
        <v>7204</v>
      </c>
      <c r="C322" s="1">
        <v>41735</v>
      </c>
      <c r="D322" s="22">
        <f>MONTH(Table12[[#This Row],[Order Date]])</f>
        <v>4</v>
      </c>
      <c r="E322" t="s">
        <v>1926</v>
      </c>
      <c r="F322" t="s">
        <v>1927</v>
      </c>
      <c r="G322" s="23" t="s">
        <v>28</v>
      </c>
      <c r="H322" s="23" t="s">
        <v>50</v>
      </c>
      <c r="I322" t="s">
        <v>4773</v>
      </c>
      <c r="J322" s="23" t="s">
        <v>36</v>
      </c>
      <c r="K322" s="22">
        <v>3</v>
      </c>
      <c r="L322" s="1">
        <v>41741</v>
      </c>
      <c r="M322" s="22">
        <f>Table12[[#This Row],[Ship Date]]-Table12[[#This Row],[Order Date]]</f>
        <v>6</v>
      </c>
      <c r="N322" s="23" t="s">
        <v>45</v>
      </c>
      <c r="O322" s="23" t="s">
        <v>23</v>
      </c>
      <c r="P322" s="23" t="s">
        <v>87</v>
      </c>
      <c r="Q322" s="23" t="s">
        <v>39</v>
      </c>
      <c r="R322" s="23" t="s">
        <v>86</v>
      </c>
      <c r="S322" s="33">
        <v>0</v>
      </c>
      <c r="T322" s="13">
        <v>653.54999999999995</v>
      </c>
      <c r="U322" s="13">
        <v>111.1035</v>
      </c>
      <c r="V322" s="55">
        <f>IFERROR(Table12[[#This Row],[Profit]]/Table12[[#This Row],[Sales]],0)</f>
        <v>0.17</v>
      </c>
    </row>
    <row r="323" spans="1:22" x14ac:dyDescent="0.2">
      <c r="A323">
        <v>322</v>
      </c>
      <c r="B323" t="s">
        <v>7204</v>
      </c>
      <c r="C323" s="1">
        <v>41735</v>
      </c>
      <c r="D323" s="22">
        <f>MONTH(Table12[[#This Row],[Order Date]])</f>
        <v>4</v>
      </c>
      <c r="E323" t="s">
        <v>2261</v>
      </c>
      <c r="F323" t="s">
        <v>2262</v>
      </c>
      <c r="G323" s="23" t="s">
        <v>64</v>
      </c>
      <c r="H323" s="23" t="s">
        <v>144</v>
      </c>
      <c r="I323" t="s">
        <v>4773</v>
      </c>
      <c r="J323" s="23" t="s">
        <v>36</v>
      </c>
      <c r="K323" s="22">
        <v>2</v>
      </c>
      <c r="L323" s="1">
        <v>41741</v>
      </c>
      <c r="M323" s="22">
        <f>Table12[[#This Row],[Ship Date]]-Table12[[#This Row],[Order Date]]</f>
        <v>6</v>
      </c>
      <c r="N323" s="23" t="s">
        <v>45</v>
      </c>
      <c r="O323" s="23" t="s">
        <v>23</v>
      </c>
      <c r="P323" s="23" t="s">
        <v>87</v>
      </c>
      <c r="Q323" s="23" t="s">
        <v>39</v>
      </c>
      <c r="R323" s="23" t="s">
        <v>86</v>
      </c>
      <c r="S323" s="33">
        <v>0</v>
      </c>
      <c r="T323" s="13">
        <v>33.9</v>
      </c>
      <c r="U323" s="13">
        <v>2.0339999999999998</v>
      </c>
      <c r="V323" s="55">
        <f>IFERROR(Table12[[#This Row],[Profit]]/Table12[[#This Row],[Sales]],0)</f>
        <v>0.06</v>
      </c>
    </row>
    <row r="324" spans="1:22" x14ac:dyDescent="0.2">
      <c r="A324">
        <v>323</v>
      </c>
      <c r="B324" t="s">
        <v>7855</v>
      </c>
      <c r="C324" s="1">
        <v>41735</v>
      </c>
      <c r="D324" s="22">
        <f>MONTH(Table12[[#This Row],[Order Date]])</f>
        <v>4</v>
      </c>
      <c r="E324" t="s">
        <v>7738</v>
      </c>
      <c r="F324" t="s">
        <v>7739</v>
      </c>
      <c r="G324" s="23" t="s">
        <v>28</v>
      </c>
      <c r="H324" s="23" t="s">
        <v>58</v>
      </c>
      <c r="I324" t="s">
        <v>5489</v>
      </c>
      <c r="J324" s="23" t="s">
        <v>36</v>
      </c>
      <c r="K324" s="22">
        <v>2</v>
      </c>
      <c r="L324" s="1">
        <v>41741</v>
      </c>
      <c r="M324" s="22">
        <f>Table12[[#This Row],[Ship Date]]-Table12[[#This Row],[Order Date]]</f>
        <v>6</v>
      </c>
      <c r="N324" s="23" t="s">
        <v>45</v>
      </c>
      <c r="O324" s="23" t="s">
        <v>23</v>
      </c>
      <c r="P324" s="23" t="s">
        <v>38</v>
      </c>
      <c r="Q324" s="23" t="s">
        <v>39</v>
      </c>
      <c r="R324" s="23" t="s">
        <v>37</v>
      </c>
      <c r="S324" s="33">
        <v>0</v>
      </c>
      <c r="T324" s="13">
        <v>91.96</v>
      </c>
      <c r="U324" s="13">
        <v>15.6332</v>
      </c>
      <c r="V324" s="55">
        <f>IFERROR(Table12[[#This Row],[Profit]]/Table12[[#This Row],[Sales]],0)</f>
        <v>0.17</v>
      </c>
    </row>
    <row r="325" spans="1:22" x14ac:dyDescent="0.2">
      <c r="A325">
        <v>324</v>
      </c>
      <c r="B325" t="s">
        <v>7855</v>
      </c>
      <c r="C325" s="1">
        <v>41735</v>
      </c>
      <c r="D325" s="22">
        <f>MONTH(Table12[[#This Row],[Order Date]])</f>
        <v>4</v>
      </c>
      <c r="E325" t="s">
        <v>1003</v>
      </c>
      <c r="F325" t="s">
        <v>1004</v>
      </c>
      <c r="G325" s="23" t="s">
        <v>28</v>
      </c>
      <c r="H325" s="23" t="s">
        <v>58</v>
      </c>
      <c r="I325" t="s">
        <v>5489</v>
      </c>
      <c r="J325" s="23" t="s">
        <v>36</v>
      </c>
      <c r="K325" s="22">
        <v>7</v>
      </c>
      <c r="L325" s="1">
        <v>41741</v>
      </c>
      <c r="M325" s="22">
        <f>Table12[[#This Row],[Ship Date]]-Table12[[#This Row],[Order Date]]</f>
        <v>6</v>
      </c>
      <c r="N325" s="23" t="s">
        <v>45</v>
      </c>
      <c r="O325" s="23" t="s">
        <v>23</v>
      </c>
      <c r="P325" s="23" t="s">
        <v>38</v>
      </c>
      <c r="Q325" s="23" t="s">
        <v>39</v>
      </c>
      <c r="R325" s="23" t="s">
        <v>37</v>
      </c>
      <c r="S325" s="33">
        <v>0</v>
      </c>
      <c r="T325" s="13">
        <v>33.11</v>
      </c>
      <c r="U325" s="13">
        <v>12.9129</v>
      </c>
      <c r="V325" s="55">
        <f>IFERROR(Table12[[#This Row],[Profit]]/Table12[[#This Row],[Sales]],0)</f>
        <v>0.39</v>
      </c>
    </row>
    <row r="326" spans="1:22" x14ac:dyDescent="0.2">
      <c r="A326">
        <v>325</v>
      </c>
      <c r="B326" t="s">
        <v>7855</v>
      </c>
      <c r="C326" s="1">
        <v>41735</v>
      </c>
      <c r="D326" s="22">
        <f>MONTH(Table12[[#This Row],[Order Date]])</f>
        <v>4</v>
      </c>
      <c r="E326" t="s">
        <v>4122</v>
      </c>
      <c r="F326" t="s">
        <v>4123</v>
      </c>
      <c r="G326" s="23" t="s">
        <v>41</v>
      </c>
      <c r="H326" s="23" t="s">
        <v>82</v>
      </c>
      <c r="I326" t="s">
        <v>5489</v>
      </c>
      <c r="J326" s="23" t="s">
        <v>36</v>
      </c>
      <c r="K326" s="22">
        <v>3</v>
      </c>
      <c r="L326" s="1">
        <v>41741</v>
      </c>
      <c r="M326" s="22">
        <f>Table12[[#This Row],[Ship Date]]-Table12[[#This Row],[Order Date]]</f>
        <v>6</v>
      </c>
      <c r="N326" s="23" t="s">
        <v>45</v>
      </c>
      <c r="O326" s="23" t="s">
        <v>23</v>
      </c>
      <c r="P326" s="23" t="s">
        <v>38</v>
      </c>
      <c r="Q326" s="23" t="s">
        <v>39</v>
      </c>
      <c r="R326" s="23" t="s">
        <v>37</v>
      </c>
      <c r="S326" s="33">
        <v>0</v>
      </c>
      <c r="T326" s="13">
        <v>19.440000000000001</v>
      </c>
      <c r="U326" s="13">
        <v>9.3312000000000008</v>
      </c>
      <c r="V326" s="55">
        <f>IFERROR(Table12[[#This Row],[Profit]]/Table12[[#This Row],[Sales]],0)</f>
        <v>0.48000000000000004</v>
      </c>
    </row>
    <row r="327" spans="1:22" x14ac:dyDescent="0.2">
      <c r="A327">
        <v>326</v>
      </c>
      <c r="B327" t="s">
        <v>7855</v>
      </c>
      <c r="C327" s="1">
        <v>41735</v>
      </c>
      <c r="D327" s="22">
        <f>MONTH(Table12[[#This Row],[Order Date]])</f>
        <v>4</v>
      </c>
      <c r="E327" t="s">
        <v>5625</v>
      </c>
      <c r="F327" t="s">
        <v>5626</v>
      </c>
      <c r="G327" s="23" t="s">
        <v>41</v>
      </c>
      <c r="H327" s="23" t="s">
        <v>82</v>
      </c>
      <c r="I327" t="s">
        <v>5489</v>
      </c>
      <c r="J327" s="23" t="s">
        <v>36</v>
      </c>
      <c r="K327" s="22">
        <v>1</v>
      </c>
      <c r="L327" s="1">
        <v>41741</v>
      </c>
      <c r="M327" s="22">
        <f>Table12[[#This Row],[Ship Date]]-Table12[[#This Row],[Order Date]]</f>
        <v>6</v>
      </c>
      <c r="N327" s="23" t="s">
        <v>45</v>
      </c>
      <c r="O327" s="23" t="s">
        <v>23</v>
      </c>
      <c r="P327" s="23" t="s">
        <v>38</v>
      </c>
      <c r="Q327" s="23" t="s">
        <v>39</v>
      </c>
      <c r="R327" s="23" t="s">
        <v>37</v>
      </c>
      <c r="S327" s="33">
        <v>0</v>
      </c>
      <c r="T327" s="13">
        <v>55.48</v>
      </c>
      <c r="U327" s="13">
        <v>26.630400000000002</v>
      </c>
      <c r="V327" s="55">
        <f>IFERROR(Table12[[#This Row],[Profit]]/Table12[[#This Row],[Sales]],0)</f>
        <v>0.48000000000000004</v>
      </c>
    </row>
    <row r="328" spans="1:22" x14ac:dyDescent="0.2">
      <c r="A328">
        <v>327</v>
      </c>
      <c r="B328" t="s">
        <v>9486</v>
      </c>
      <c r="C328" s="1">
        <v>41735</v>
      </c>
      <c r="D328" s="22">
        <f>MONTH(Table12[[#This Row],[Order Date]])</f>
        <v>4</v>
      </c>
      <c r="E328" t="s">
        <v>6094</v>
      </c>
      <c r="F328" t="s">
        <v>6095</v>
      </c>
      <c r="G328" s="23" t="s">
        <v>41</v>
      </c>
      <c r="H328" s="23" t="s">
        <v>61</v>
      </c>
      <c r="I328" t="s">
        <v>2897</v>
      </c>
      <c r="J328" s="23" t="s">
        <v>36</v>
      </c>
      <c r="K328" s="22">
        <v>3</v>
      </c>
      <c r="L328" s="1">
        <v>41739</v>
      </c>
      <c r="M328" s="22">
        <f>Table12[[#This Row],[Ship Date]]-Table12[[#This Row],[Order Date]]</f>
        <v>4</v>
      </c>
      <c r="N328" s="23" t="s">
        <v>20</v>
      </c>
      <c r="O328" s="23" t="s">
        <v>23</v>
      </c>
      <c r="P328" s="23" t="s">
        <v>38</v>
      </c>
      <c r="Q328" s="23" t="s">
        <v>39</v>
      </c>
      <c r="R328" s="23" t="s">
        <v>37</v>
      </c>
      <c r="S328" s="33">
        <v>0</v>
      </c>
      <c r="T328" s="13">
        <v>70.95</v>
      </c>
      <c r="U328" s="13">
        <v>18.446999999999999</v>
      </c>
      <c r="V328" s="55">
        <f>IFERROR(Table12[[#This Row],[Profit]]/Table12[[#This Row],[Sales]],0)</f>
        <v>0.25999999999999995</v>
      </c>
    </row>
    <row r="329" spans="1:22" x14ac:dyDescent="0.2">
      <c r="A329">
        <v>328</v>
      </c>
      <c r="B329" t="s">
        <v>9486</v>
      </c>
      <c r="C329" s="1">
        <v>41735</v>
      </c>
      <c r="D329" s="22">
        <f>MONTH(Table12[[#This Row],[Order Date]])</f>
        <v>4</v>
      </c>
      <c r="E329" t="s">
        <v>410</v>
      </c>
      <c r="F329" t="s">
        <v>411</v>
      </c>
      <c r="G329" s="23" t="s">
        <v>41</v>
      </c>
      <c r="H329" s="23" t="s">
        <v>68</v>
      </c>
      <c r="I329" t="s">
        <v>2897</v>
      </c>
      <c r="J329" s="23" t="s">
        <v>36</v>
      </c>
      <c r="K329" s="22">
        <v>2</v>
      </c>
      <c r="L329" s="1">
        <v>41739</v>
      </c>
      <c r="M329" s="22">
        <f>Table12[[#This Row],[Ship Date]]-Table12[[#This Row],[Order Date]]</f>
        <v>4</v>
      </c>
      <c r="N329" s="23" t="s">
        <v>20</v>
      </c>
      <c r="O329" s="23" t="s">
        <v>23</v>
      </c>
      <c r="P329" s="23" t="s">
        <v>38</v>
      </c>
      <c r="Q329" s="23" t="s">
        <v>39</v>
      </c>
      <c r="R329" s="23" t="s">
        <v>37</v>
      </c>
      <c r="S329" s="33">
        <v>0.2</v>
      </c>
      <c r="T329" s="13">
        <v>65.567999999999998</v>
      </c>
      <c r="U329" s="13">
        <v>23.7684</v>
      </c>
      <c r="V329" s="55">
        <f>IFERROR(Table12[[#This Row],[Profit]]/Table12[[#This Row],[Sales]],0)</f>
        <v>0.36249999999999999</v>
      </c>
    </row>
    <row r="330" spans="1:22" x14ac:dyDescent="0.2">
      <c r="A330">
        <v>329</v>
      </c>
      <c r="B330" t="s">
        <v>9486</v>
      </c>
      <c r="C330" s="1">
        <v>41735</v>
      </c>
      <c r="D330" s="22">
        <f>MONTH(Table12[[#This Row],[Order Date]])</f>
        <v>4</v>
      </c>
      <c r="E330" t="s">
        <v>4865</v>
      </c>
      <c r="F330" t="s">
        <v>4866</v>
      </c>
      <c r="G330" s="23" t="s">
        <v>64</v>
      </c>
      <c r="H330" s="23" t="s">
        <v>144</v>
      </c>
      <c r="I330" t="s">
        <v>2897</v>
      </c>
      <c r="J330" s="23" t="s">
        <v>36</v>
      </c>
      <c r="K330" s="22">
        <v>3</v>
      </c>
      <c r="L330" s="1">
        <v>41739</v>
      </c>
      <c r="M330" s="22">
        <f>Table12[[#This Row],[Ship Date]]-Table12[[#This Row],[Order Date]]</f>
        <v>4</v>
      </c>
      <c r="N330" s="23" t="s">
        <v>20</v>
      </c>
      <c r="O330" s="23" t="s">
        <v>23</v>
      </c>
      <c r="P330" s="23" t="s">
        <v>38</v>
      </c>
      <c r="Q330" s="23" t="s">
        <v>39</v>
      </c>
      <c r="R330" s="23" t="s">
        <v>37</v>
      </c>
      <c r="S330" s="33">
        <v>0</v>
      </c>
      <c r="T330" s="13">
        <v>299.97000000000003</v>
      </c>
      <c r="U330" s="13">
        <v>131.98679999999999</v>
      </c>
      <c r="V330" s="55">
        <f>IFERROR(Table12[[#This Row],[Profit]]/Table12[[#This Row],[Sales]],0)</f>
        <v>0.43999999999999995</v>
      </c>
    </row>
    <row r="331" spans="1:22" x14ac:dyDescent="0.2">
      <c r="A331">
        <v>330</v>
      </c>
      <c r="B331" t="s">
        <v>5971</v>
      </c>
      <c r="C331" s="1">
        <v>41736</v>
      </c>
      <c r="D331" s="22">
        <f>MONTH(Table12[[#This Row],[Order Date]])</f>
        <v>4</v>
      </c>
      <c r="E331" t="s">
        <v>3768</v>
      </c>
      <c r="F331" t="s">
        <v>3769</v>
      </c>
      <c r="G331" s="23" t="s">
        <v>28</v>
      </c>
      <c r="H331" s="23" t="s">
        <v>58</v>
      </c>
      <c r="I331" t="s">
        <v>2236</v>
      </c>
      <c r="J331" s="23" t="s">
        <v>22</v>
      </c>
      <c r="K331" s="22">
        <v>2</v>
      </c>
      <c r="L331" s="1">
        <v>41739</v>
      </c>
      <c r="M331" s="22">
        <f>Table12[[#This Row],[Ship Date]]-Table12[[#This Row],[Order Date]]</f>
        <v>3</v>
      </c>
      <c r="N331" s="23" t="s">
        <v>169</v>
      </c>
      <c r="O331" s="23" t="s">
        <v>23</v>
      </c>
      <c r="P331" s="23" t="s">
        <v>320</v>
      </c>
      <c r="Q331" s="23" t="s">
        <v>26</v>
      </c>
      <c r="R331" s="23" t="s">
        <v>3448</v>
      </c>
      <c r="S331" s="33">
        <v>0</v>
      </c>
      <c r="T331" s="13">
        <v>8.9600000000000009</v>
      </c>
      <c r="U331" s="13">
        <v>2.7776000000000001</v>
      </c>
      <c r="V331" s="55">
        <f>IFERROR(Table12[[#This Row],[Profit]]/Table12[[#This Row],[Sales]],0)</f>
        <v>0.31</v>
      </c>
    </row>
    <row r="332" spans="1:22" x14ac:dyDescent="0.2">
      <c r="A332">
        <v>331</v>
      </c>
      <c r="B332" t="s">
        <v>6544</v>
      </c>
      <c r="C332" s="1">
        <v>41736</v>
      </c>
      <c r="D332" s="22">
        <f>MONTH(Table12[[#This Row],[Order Date]])</f>
        <v>4</v>
      </c>
      <c r="E332" t="s">
        <v>651</v>
      </c>
      <c r="F332" t="s">
        <v>652</v>
      </c>
      <c r="G332" s="23" t="s">
        <v>64</v>
      </c>
      <c r="H332" s="23" t="s">
        <v>65</v>
      </c>
      <c r="I332" t="s">
        <v>2019</v>
      </c>
      <c r="J332" s="23" t="s">
        <v>36</v>
      </c>
      <c r="K332" s="22">
        <v>5</v>
      </c>
      <c r="L332" s="1">
        <v>41741</v>
      </c>
      <c r="M332" s="22">
        <f>Table12[[#This Row],[Ship Date]]-Table12[[#This Row],[Order Date]]</f>
        <v>5</v>
      </c>
      <c r="N332" s="23" t="s">
        <v>45</v>
      </c>
      <c r="O332" s="23" t="s">
        <v>23</v>
      </c>
      <c r="P332" s="23" t="s">
        <v>342</v>
      </c>
      <c r="Q332" s="23" t="s">
        <v>26</v>
      </c>
      <c r="R332" s="23" t="s">
        <v>341</v>
      </c>
      <c r="S332" s="33">
        <v>0</v>
      </c>
      <c r="T332" s="13">
        <v>629.95000000000005</v>
      </c>
      <c r="U332" s="13">
        <v>163.78700000000001</v>
      </c>
      <c r="V332" s="55">
        <f>IFERROR(Table12[[#This Row],[Profit]]/Table12[[#This Row],[Sales]],0)</f>
        <v>0.26</v>
      </c>
    </row>
    <row r="333" spans="1:22" x14ac:dyDescent="0.2">
      <c r="A333">
        <v>332</v>
      </c>
      <c r="B333" t="s">
        <v>6544</v>
      </c>
      <c r="C333" s="1">
        <v>41736</v>
      </c>
      <c r="D333" s="22">
        <f>MONTH(Table12[[#This Row],[Order Date]])</f>
        <v>4</v>
      </c>
      <c r="E333" t="s">
        <v>2885</v>
      </c>
      <c r="F333" t="s">
        <v>2886</v>
      </c>
      <c r="G333" s="23" t="s">
        <v>41</v>
      </c>
      <c r="H333" s="23" t="s">
        <v>82</v>
      </c>
      <c r="I333" t="s">
        <v>2019</v>
      </c>
      <c r="J333" s="23" t="s">
        <v>36</v>
      </c>
      <c r="K333" s="22">
        <v>3</v>
      </c>
      <c r="L333" s="1">
        <v>41741</v>
      </c>
      <c r="M333" s="22">
        <f>Table12[[#This Row],[Ship Date]]-Table12[[#This Row],[Order Date]]</f>
        <v>5</v>
      </c>
      <c r="N333" s="23" t="s">
        <v>45</v>
      </c>
      <c r="O333" s="23" t="s">
        <v>23</v>
      </c>
      <c r="P333" s="23" t="s">
        <v>342</v>
      </c>
      <c r="Q333" s="23" t="s">
        <v>26</v>
      </c>
      <c r="R333" s="23" t="s">
        <v>341</v>
      </c>
      <c r="S333" s="33">
        <v>0</v>
      </c>
      <c r="T333" s="13">
        <v>122.97</v>
      </c>
      <c r="U333" s="13">
        <v>60.255299999999998</v>
      </c>
      <c r="V333" s="55">
        <f>IFERROR(Table12[[#This Row],[Profit]]/Table12[[#This Row],[Sales]],0)</f>
        <v>0.49</v>
      </c>
    </row>
    <row r="334" spans="1:22" x14ac:dyDescent="0.2">
      <c r="A334">
        <v>333</v>
      </c>
      <c r="B334" t="s">
        <v>8009</v>
      </c>
      <c r="C334" s="1">
        <v>41736</v>
      </c>
      <c r="D334" s="22">
        <f>MONTH(Table12[[#This Row],[Order Date]])</f>
        <v>4</v>
      </c>
      <c r="E334" t="s">
        <v>1679</v>
      </c>
      <c r="F334" t="s">
        <v>1680</v>
      </c>
      <c r="G334" s="23" t="s">
        <v>41</v>
      </c>
      <c r="H334" s="23" t="s">
        <v>82</v>
      </c>
      <c r="I334" t="s">
        <v>693</v>
      </c>
      <c r="J334" s="23" t="s">
        <v>92</v>
      </c>
      <c r="K334" s="22">
        <v>9</v>
      </c>
      <c r="L334" s="1">
        <v>41736</v>
      </c>
      <c r="M334" s="22">
        <f>Table12[[#This Row],[Ship Date]]-Table12[[#This Row],[Order Date]]</f>
        <v>0</v>
      </c>
      <c r="N334" s="23" t="s">
        <v>1141</v>
      </c>
      <c r="O334" s="23" t="s">
        <v>23</v>
      </c>
      <c r="P334" s="23" t="s">
        <v>1125</v>
      </c>
      <c r="Q334" s="23" t="s">
        <v>26</v>
      </c>
      <c r="R334" s="23" t="s">
        <v>7036</v>
      </c>
      <c r="S334" s="33">
        <v>0</v>
      </c>
      <c r="T334" s="13">
        <v>58.32</v>
      </c>
      <c r="U334" s="13">
        <v>27.993600000000001</v>
      </c>
      <c r="V334" s="55">
        <f>IFERROR(Table12[[#This Row],[Profit]]/Table12[[#This Row],[Sales]],0)</f>
        <v>0.48</v>
      </c>
    </row>
    <row r="335" spans="1:22" x14ac:dyDescent="0.2">
      <c r="A335">
        <v>334</v>
      </c>
      <c r="B335" t="s">
        <v>8009</v>
      </c>
      <c r="C335" s="1">
        <v>41736</v>
      </c>
      <c r="D335" s="22">
        <f>MONTH(Table12[[#This Row],[Order Date]])</f>
        <v>4</v>
      </c>
      <c r="E335" t="s">
        <v>3813</v>
      </c>
      <c r="F335" t="s">
        <v>3814</v>
      </c>
      <c r="G335" s="23" t="s">
        <v>64</v>
      </c>
      <c r="H335" s="23" t="s">
        <v>65</v>
      </c>
      <c r="I335" t="s">
        <v>693</v>
      </c>
      <c r="J335" s="23" t="s">
        <v>92</v>
      </c>
      <c r="K335" s="22">
        <v>3</v>
      </c>
      <c r="L335" s="1">
        <v>41736</v>
      </c>
      <c r="M335" s="22">
        <f>Table12[[#This Row],[Ship Date]]-Table12[[#This Row],[Order Date]]</f>
        <v>0</v>
      </c>
      <c r="N335" s="23" t="s">
        <v>1141</v>
      </c>
      <c r="O335" s="23" t="s">
        <v>23</v>
      </c>
      <c r="P335" s="23" t="s">
        <v>1125</v>
      </c>
      <c r="Q335" s="23" t="s">
        <v>26</v>
      </c>
      <c r="R335" s="23" t="s">
        <v>7036</v>
      </c>
      <c r="S335" s="33">
        <v>0</v>
      </c>
      <c r="T335" s="13">
        <v>200.97</v>
      </c>
      <c r="U335" s="13">
        <v>50.2425</v>
      </c>
      <c r="V335" s="55">
        <f>IFERROR(Table12[[#This Row],[Profit]]/Table12[[#This Row],[Sales]],0)</f>
        <v>0.25</v>
      </c>
    </row>
    <row r="336" spans="1:22" x14ac:dyDescent="0.2">
      <c r="A336">
        <v>335</v>
      </c>
      <c r="B336" t="s">
        <v>6258</v>
      </c>
      <c r="C336" s="1">
        <v>41737</v>
      </c>
      <c r="D336" s="22">
        <f>MONTH(Table12[[#This Row],[Order Date]])</f>
        <v>4</v>
      </c>
      <c r="E336" t="s">
        <v>3806</v>
      </c>
      <c r="F336" t="s">
        <v>3807</v>
      </c>
      <c r="G336" s="23" t="s">
        <v>41</v>
      </c>
      <c r="H336" s="23" t="s">
        <v>240</v>
      </c>
      <c r="I336" t="s">
        <v>3605</v>
      </c>
      <c r="J336" s="23" t="s">
        <v>36</v>
      </c>
      <c r="K336" s="22">
        <v>2</v>
      </c>
      <c r="L336" s="1">
        <v>41744</v>
      </c>
      <c r="M336" s="22">
        <f>Table12[[#This Row],[Ship Date]]-Table12[[#This Row],[Order Date]]</f>
        <v>7</v>
      </c>
      <c r="N336" s="23" t="s">
        <v>45</v>
      </c>
      <c r="O336" s="23" t="s">
        <v>23</v>
      </c>
      <c r="P336" s="23" t="s">
        <v>277</v>
      </c>
      <c r="Q336" s="23" t="s">
        <v>39</v>
      </c>
      <c r="R336" s="23" t="s">
        <v>3477</v>
      </c>
      <c r="S336" s="33">
        <v>0.2</v>
      </c>
      <c r="T336" s="13">
        <v>2.3679999999999999</v>
      </c>
      <c r="U336" s="13">
        <v>0.82879999999999998</v>
      </c>
      <c r="V336" s="55">
        <f>IFERROR(Table12[[#This Row],[Profit]]/Table12[[#This Row],[Sales]],0)</f>
        <v>0.35000000000000003</v>
      </c>
    </row>
    <row r="337" spans="1:22" x14ac:dyDescent="0.2">
      <c r="A337">
        <v>336</v>
      </c>
      <c r="B337" t="s">
        <v>6258</v>
      </c>
      <c r="C337" s="1">
        <v>41737</v>
      </c>
      <c r="D337" s="22">
        <f>MONTH(Table12[[#This Row],[Order Date]])</f>
        <v>4</v>
      </c>
      <c r="E337" t="s">
        <v>6259</v>
      </c>
      <c r="F337" t="s">
        <v>6260</v>
      </c>
      <c r="G337" s="23" t="s">
        <v>41</v>
      </c>
      <c r="H337" s="23" t="s">
        <v>82</v>
      </c>
      <c r="I337" t="s">
        <v>3605</v>
      </c>
      <c r="J337" s="23" t="s">
        <v>36</v>
      </c>
      <c r="K337" s="22">
        <v>3</v>
      </c>
      <c r="L337" s="1">
        <v>41744</v>
      </c>
      <c r="M337" s="22">
        <f>Table12[[#This Row],[Ship Date]]-Table12[[#This Row],[Order Date]]</f>
        <v>7</v>
      </c>
      <c r="N337" s="23" t="s">
        <v>45</v>
      </c>
      <c r="O337" s="23" t="s">
        <v>23</v>
      </c>
      <c r="P337" s="23" t="s">
        <v>277</v>
      </c>
      <c r="Q337" s="23" t="s">
        <v>39</v>
      </c>
      <c r="R337" s="23" t="s">
        <v>3477</v>
      </c>
      <c r="S337" s="33">
        <v>0.2</v>
      </c>
      <c r="T337" s="13">
        <v>19.007999999999999</v>
      </c>
      <c r="U337" s="13">
        <v>6.8903999999999996</v>
      </c>
      <c r="V337" s="55">
        <f>IFERROR(Table12[[#This Row],[Profit]]/Table12[[#This Row],[Sales]],0)</f>
        <v>0.36249999999999999</v>
      </c>
    </row>
    <row r="338" spans="1:22" x14ac:dyDescent="0.2">
      <c r="A338">
        <v>337</v>
      </c>
      <c r="B338" t="s">
        <v>7812</v>
      </c>
      <c r="C338" s="1">
        <v>41737</v>
      </c>
      <c r="D338" s="22">
        <f>MONTH(Table12[[#This Row],[Order Date]])</f>
        <v>4</v>
      </c>
      <c r="E338" t="s">
        <v>7555</v>
      </c>
      <c r="F338" t="s">
        <v>7556</v>
      </c>
      <c r="G338" s="23" t="s">
        <v>28</v>
      </c>
      <c r="H338" s="23" t="s">
        <v>50</v>
      </c>
      <c r="I338" t="s">
        <v>193</v>
      </c>
      <c r="J338" s="23" t="s">
        <v>36</v>
      </c>
      <c r="K338" s="22">
        <v>8</v>
      </c>
      <c r="L338" s="1">
        <v>41741</v>
      </c>
      <c r="M338" s="22">
        <f>Table12[[#This Row],[Ship Date]]-Table12[[#This Row],[Order Date]]</f>
        <v>4</v>
      </c>
      <c r="N338" s="23" t="s">
        <v>45</v>
      </c>
      <c r="O338" s="23" t="s">
        <v>23</v>
      </c>
      <c r="P338" s="23" t="s">
        <v>320</v>
      </c>
      <c r="Q338" s="23" t="s">
        <v>26</v>
      </c>
      <c r="R338" s="23" t="s">
        <v>319</v>
      </c>
      <c r="S338" s="33">
        <v>0</v>
      </c>
      <c r="T338" s="13">
        <v>1215.92</v>
      </c>
      <c r="U338" s="13">
        <v>316.13920000000002</v>
      </c>
      <c r="V338" s="55">
        <f>IFERROR(Table12[[#This Row],[Profit]]/Table12[[#This Row],[Sales]],0)</f>
        <v>0.26</v>
      </c>
    </row>
    <row r="339" spans="1:22" x14ac:dyDescent="0.2">
      <c r="A339">
        <v>338</v>
      </c>
      <c r="B339" t="s">
        <v>8095</v>
      </c>
      <c r="C339" s="1">
        <v>41737</v>
      </c>
      <c r="D339" s="22">
        <f>MONTH(Table12[[#This Row],[Order Date]])</f>
        <v>4</v>
      </c>
      <c r="E339" t="s">
        <v>5725</v>
      </c>
      <c r="F339" t="s">
        <v>5726</v>
      </c>
      <c r="G339" s="23" t="s">
        <v>41</v>
      </c>
      <c r="H339" s="23" t="s">
        <v>240</v>
      </c>
      <c r="I339" t="s">
        <v>3550</v>
      </c>
      <c r="J339" s="23" t="s">
        <v>92</v>
      </c>
      <c r="K339" s="22">
        <v>8</v>
      </c>
      <c r="L339" s="1">
        <v>41742</v>
      </c>
      <c r="M339" s="22">
        <f>Table12[[#This Row],[Ship Date]]-Table12[[#This Row],[Order Date]]</f>
        <v>5</v>
      </c>
      <c r="N339" s="23" t="s">
        <v>45</v>
      </c>
      <c r="O339" s="23" t="s">
        <v>23</v>
      </c>
      <c r="P339" s="23" t="s">
        <v>277</v>
      </c>
      <c r="Q339" s="23" t="s">
        <v>39</v>
      </c>
      <c r="R339" s="23" t="s">
        <v>7273</v>
      </c>
      <c r="S339" s="33">
        <v>0.2</v>
      </c>
      <c r="T339" s="13">
        <v>49.792000000000002</v>
      </c>
      <c r="U339" s="13">
        <v>-11.8256</v>
      </c>
      <c r="V339" s="55">
        <f>IFERROR(Table12[[#This Row],[Profit]]/Table12[[#This Row],[Sales]],0)</f>
        <v>-0.23749999999999999</v>
      </c>
    </row>
    <row r="340" spans="1:22" x14ac:dyDescent="0.2">
      <c r="A340">
        <v>339</v>
      </c>
      <c r="B340" t="s">
        <v>8482</v>
      </c>
      <c r="C340" s="1">
        <v>41737</v>
      </c>
      <c r="D340" s="22">
        <f>MONTH(Table12[[#This Row],[Order Date]])</f>
        <v>4</v>
      </c>
      <c r="E340" t="s">
        <v>778</v>
      </c>
      <c r="F340" t="s">
        <v>779</v>
      </c>
      <c r="G340" s="23" t="s">
        <v>28</v>
      </c>
      <c r="H340" s="23" t="s">
        <v>50</v>
      </c>
      <c r="I340" t="s">
        <v>1028</v>
      </c>
      <c r="J340" s="23" t="s">
        <v>92</v>
      </c>
      <c r="K340" s="22">
        <v>1</v>
      </c>
      <c r="L340" s="1">
        <v>41741</v>
      </c>
      <c r="M340" s="22">
        <f>Table12[[#This Row],[Ship Date]]-Table12[[#This Row],[Order Date]]</f>
        <v>4</v>
      </c>
      <c r="N340" s="23" t="s">
        <v>45</v>
      </c>
      <c r="O340" s="23" t="s">
        <v>23</v>
      </c>
      <c r="P340" s="23" t="s">
        <v>38</v>
      </c>
      <c r="Q340" s="23" t="s">
        <v>39</v>
      </c>
      <c r="R340" s="23" t="s">
        <v>79</v>
      </c>
      <c r="S340" s="33">
        <v>0.2</v>
      </c>
      <c r="T340" s="13">
        <v>99.591999999999999</v>
      </c>
      <c r="U340" s="13">
        <v>2.4897999999999998</v>
      </c>
      <c r="V340" s="55">
        <f>IFERROR(Table12[[#This Row],[Profit]]/Table12[[#This Row],[Sales]],0)</f>
        <v>2.4999999999999998E-2</v>
      </c>
    </row>
    <row r="341" spans="1:22" x14ac:dyDescent="0.2">
      <c r="A341">
        <v>340</v>
      </c>
      <c r="B341" t="s">
        <v>8482</v>
      </c>
      <c r="C341" s="1">
        <v>41737</v>
      </c>
      <c r="D341" s="22">
        <f>MONTH(Table12[[#This Row],[Order Date]])</f>
        <v>4</v>
      </c>
      <c r="E341" t="s">
        <v>1043</v>
      </c>
      <c r="F341" t="s">
        <v>1044</v>
      </c>
      <c r="G341" s="23" t="s">
        <v>64</v>
      </c>
      <c r="H341" s="23" t="s">
        <v>144</v>
      </c>
      <c r="I341" t="s">
        <v>1028</v>
      </c>
      <c r="J341" s="23" t="s">
        <v>92</v>
      </c>
      <c r="K341" s="22">
        <v>4</v>
      </c>
      <c r="L341" s="1">
        <v>41741</v>
      </c>
      <c r="M341" s="22">
        <f>Table12[[#This Row],[Ship Date]]-Table12[[#This Row],[Order Date]]</f>
        <v>4</v>
      </c>
      <c r="N341" s="23" t="s">
        <v>45</v>
      </c>
      <c r="O341" s="23" t="s">
        <v>23</v>
      </c>
      <c r="P341" s="23" t="s">
        <v>38</v>
      </c>
      <c r="Q341" s="23" t="s">
        <v>39</v>
      </c>
      <c r="R341" s="23" t="s">
        <v>79</v>
      </c>
      <c r="S341" s="33">
        <v>0</v>
      </c>
      <c r="T341" s="13">
        <v>399.96</v>
      </c>
      <c r="U341" s="13">
        <v>139.98599999999999</v>
      </c>
      <c r="V341" s="55">
        <f>IFERROR(Table12[[#This Row],[Profit]]/Table12[[#This Row],[Sales]],0)</f>
        <v>0.35</v>
      </c>
    </row>
    <row r="342" spans="1:22" x14ac:dyDescent="0.2">
      <c r="A342">
        <v>341</v>
      </c>
      <c r="B342" t="s">
        <v>8690</v>
      </c>
      <c r="C342" s="1">
        <v>41737</v>
      </c>
      <c r="D342" s="22">
        <f>MONTH(Table12[[#This Row],[Order Date]])</f>
        <v>4</v>
      </c>
      <c r="E342" t="s">
        <v>6785</v>
      </c>
      <c r="F342" t="s">
        <v>6786</v>
      </c>
      <c r="G342" s="23" t="s">
        <v>28</v>
      </c>
      <c r="H342" s="23" t="s">
        <v>50</v>
      </c>
      <c r="I342" t="s">
        <v>2658</v>
      </c>
      <c r="J342" s="23" t="s">
        <v>22</v>
      </c>
      <c r="K342" s="22">
        <v>1</v>
      </c>
      <c r="L342" s="1">
        <v>41741</v>
      </c>
      <c r="M342" s="22">
        <f>Table12[[#This Row],[Ship Date]]-Table12[[#This Row],[Order Date]]</f>
        <v>4</v>
      </c>
      <c r="N342" s="23" t="s">
        <v>45</v>
      </c>
      <c r="O342" s="23" t="s">
        <v>23</v>
      </c>
      <c r="P342" s="23" t="s">
        <v>441</v>
      </c>
      <c r="Q342" s="23" t="s">
        <v>133</v>
      </c>
      <c r="R342" s="23" t="s">
        <v>2496</v>
      </c>
      <c r="S342" s="33">
        <v>0.4</v>
      </c>
      <c r="T342" s="13">
        <v>172.11</v>
      </c>
      <c r="U342" s="13">
        <v>-94.660499999999999</v>
      </c>
      <c r="V342" s="55">
        <f>IFERROR(Table12[[#This Row],[Profit]]/Table12[[#This Row],[Sales]],0)</f>
        <v>-0.54999999999999993</v>
      </c>
    </row>
    <row r="343" spans="1:22" x14ac:dyDescent="0.2">
      <c r="A343">
        <v>342</v>
      </c>
      <c r="B343" t="s">
        <v>6203</v>
      </c>
      <c r="C343" s="1">
        <v>41740</v>
      </c>
      <c r="D343" s="22">
        <f>MONTH(Table12[[#This Row],[Order Date]])</f>
        <v>4</v>
      </c>
      <c r="E343" t="s">
        <v>6204</v>
      </c>
      <c r="F343" t="s">
        <v>6205</v>
      </c>
      <c r="G343" s="23" t="s">
        <v>41</v>
      </c>
      <c r="H343" s="23" t="s">
        <v>240</v>
      </c>
      <c r="I343" t="s">
        <v>1997</v>
      </c>
      <c r="J343" s="23" t="s">
        <v>22</v>
      </c>
      <c r="K343" s="22">
        <v>3</v>
      </c>
      <c r="L343" s="1">
        <v>41742</v>
      </c>
      <c r="M343" s="22">
        <f>Table12[[#This Row],[Ship Date]]-Table12[[#This Row],[Order Date]]</f>
        <v>2</v>
      </c>
      <c r="N343" s="23" t="s">
        <v>20</v>
      </c>
      <c r="O343" s="23" t="s">
        <v>23</v>
      </c>
      <c r="P343" s="23" t="s">
        <v>48</v>
      </c>
      <c r="Q343" s="23" t="s">
        <v>26</v>
      </c>
      <c r="R343" s="23" t="s">
        <v>1253</v>
      </c>
      <c r="S343" s="33">
        <v>0.2</v>
      </c>
      <c r="T343" s="13">
        <v>6.9119999999999999</v>
      </c>
      <c r="U343" s="13">
        <v>2.3328000000000002</v>
      </c>
      <c r="V343" s="55">
        <f>IFERROR(Table12[[#This Row],[Profit]]/Table12[[#This Row],[Sales]],0)</f>
        <v>0.33750000000000002</v>
      </c>
    </row>
    <row r="344" spans="1:22" x14ac:dyDescent="0.2">
      <c r="A344">
        <v>343</v>
      </c>
      <c r="B344" t="s">
        <v>6203</v>
      </c>
      <c r="C344" s="1">
        <v>41740</v>
      </c>
      <c r="D344" s="22">
        <f>MONTH(Table12[[#This Row],[Order Date]])</f>
        <v>4</v>
      </c>
      <c r="E344" t="s">
        <v>948</v>
      </c>
      <c r="F344" t="s">
        <v>949</v>
      </c>
      <c r="G344" s="23" t="s">
        <v>64</v>
      </c>
      <c r="H344" s="23" t="s">
        <v>144</v>
      </c>
      <c r="I344" t="s">
        <v>1997</v>
      </c>
      <c r="J344" s="23" t="s">
        <v>22</v>
      </c>
      <c r="K344" s="22">
        <v>3</v>
      </c>
      <c r="L344" s="1">
        <v>41742</v>
      </c>
      <c r="M344" s="22">
        <f>Table12[[#This Row],[Ship Date]]-Table12[[#This Row],[Order Date]]</f>
        <v>2</v>
      </c>
      <c r="N344" s="23" t="s">
        <v>20</v>
      </c>
      <c r="O344" s="23" t="s">
        <v>23</v>
      </c>
      <c r="P344" s="23" t="s">
        <v>48</v>
      </c>
      <c r="Q344" s="23" t="s">
        <v>26</v>
      </c>
      <c r="R344" s="23" t="s">
        <v>1253</v>
      </c>
      <c r="S344" s="33">
        <v>0.2</v>
      </c>
      <c r="T344" s="13">
        <v>383.976</v>
      </c>
      <c r="U344" s="13">
        <v>81.594899999999996</v>
      </c>
      <c r="V344" s="55">
        <f>IFERROR(Table12[[#This Row],[Profit]]/Table12[[#This Row],[Sales]],0)</f>
        <v>0.21249999999999999</v>
      </c>
    </row>
    <row r="345" spans="1:22" x14ac:dyDescent="0.2">
      <c r="A345">
        <v>344</v>
      </c>
      <c r="B345" t="s">
        <v>6203</v>
      </c>
      <c r="C345" s="1">
        <v>41740</v>
      </c>
      <c r="D345" s="22">
        <f>MONTH(Table12[[#This Row],[Order Date]])</f>
        <v>4</v>
      </c>
      <c r="E345" t="s">
        <v>2811</v>
      </c>
      <c r="F345" t="s">
        <v>2812</v>
      </c>
      <c r="G345" s="23" t="s">
        <v>41</v>
      </c>
      <c r="H345" s="23" t="s">
        <v>82</v>
      </c>
      <c r="I345" t="s">
        <v>1997</v>
      </c>
      <c r="J345" s="23" t="s">
        <v>22</v>
      </c>
      <c r="K345" s="22">
        <v>2</v>
      </c>
      <c r="L345" s="1">
        <v>41742</v>
      </c>
      <c r="M345" s="22">
        <f>Table12[[#This Row],[Ship Date]]-Table12[[#This Row],[Order Date]]</f>
        <v>2</v>
      </c>
      <c r="N345" s="23" t="s">
        <v>20</v>
      </c>
      <c r="O345" s="23" t="s">
        <v>23</v>
      </c>
      <c r="P345" s="23" t="s">
        <v>48</v>
      </c>
      <c r="Q345" s="23" t="s">
        <v>26</v>
      </c>
      <c r="R345" s="23" t="s">
        <v>1253</v>
      </c>
      <c r="S345" s="33">
        <v>0.2</v>
      </c>
      <c r="T345" s="13">
        <v>10.368</v>
      </c>
      <c r="U345" s="13">
        <v>3.6288</v>
      </c>
      <c r="V345" s="55">
        <f>IFERROR(Table12[[#This Row],[Profit]]/Table12[[#This Row],[Sales]],0)</f>
        <v>0.35</v>
      </c>
    </row>
    <row r="346" spans="1:22" x14ac:dyDescent="0.2">
      <c r="A346">
        <v>345</v>
      </c>
      <c r="B346" t="s">
        <v>6203</v>
      </c>
      <c r="C346" s="1">
        <v>41740</v>
      </c>
      <c r="D346" s="22">
        <f>MONTH(Table12[[#This Row],[Order Date]])</f>
        <v>4</v>
      </c>
      <c r="E346" t="s">
        <v>6206</v>
      </c>
      <c r="F346" t="s">
        <v>6207</v>
      </c>
      <c r="G346" s="23" t="s">
        <v>64</v>
      </c>
      <c r="H346" s="23" t="s">
        <v>144</v>
      </c>
      <c r="I346" t="s">
        <v>1997</v>
      </c>
      <c r="J346" s="23" t="s">
        <v>22</v>
      </c>
      <c r="K346" s="22">
        <v>7</v>
      </c>
      <c r="L346" s="1">
        <v>41742</v>
      </c>
      <c r="M346" s="22">
        <f>Table12[[#This Row],[Ship Date]]-Table12[[#This Row],[Order Date]]</f>
        <v>2</v>
      </c>
      <c r="N346" s="23" t="s">
        <v>20</v>
      </c>
      <c r="O346" s="23" t="s">
        <v>23</v>
      </c>
      <c r="P346" s="23" t="s">
        <v>48</v>
      </c>
      <c r="Q346" s="23" t="s">
        <v>26</v>
      </c>
      <c r="R346" s="23" t="s">
        <v>1253</v>
      </c>
      <c r="S346" s="33">
        <v>0.2</v>
      </c>
      <c r="T346" s="13">
        <v>335.94400000000002</v>
      </c>
      <c r="U346" s="13">
        <v>41.993000000000002</v>
      </c>
      <c r="V346" s="55">
        <f>IFERROR(Table12[[#This Row],[Profit]]/Table12[[#This Row],[Sales]],0)</f>
        <v>0.125</v>
      </c>
    </row>
    <row r="347" spans="1:22" x14ac:dyDescent="0.2">
      <c r="A347">
        <v>346</v>
      </c>
      <c r="B347" t="s">
        <v>6870</v>
      </c>
      <c r="C347" s="1">
        <v>41740</v>
      </c>
      <c r="D347" s="22">
        <f>MONTH(Table12[[#This Row],[Order Date]])</f>
        <v>4</v>
      </c>
      <c r="E347" t="s">
        <v>4360</v>
      </c>
      <c r="F347" t="s">
        <v>4361</v>
      </c>
      <c r="G347" s="23" t="s">
        <v>41</v>
      </c>
      <c r="H347" s="23" t="s">
        <v>68</v>
      </c>
      <c r="I347" t="s">
        <v>2478</v>
      </c>
      <c r="J347" s="23" t="s">
        <v>22</v>
      </c>
      <c r="K347" s="22">
        <v>1</v>
      </c>
      <c r="L347" s="1">
        <v>41745</v>
      </c>
      <c r="M347" s="22">
        <f>Table12[[#This Row],[Ship Date]]-Table12[[#This Row],[Order Date]]</f>
        <v>5</v>
      </c>
      <c r="N347" s="23" t="s">
        <v>45</v>
      </c>
      <c r="O347" s="23" t="s">
        <v>23</v>
      </c>
      <c r="P347" s="23" t="s">
        <v>5585</v>
      </c>
      <c r="Q347" s="23" t="s">
        <v>39</v>
      </c>
      <c r="R347" s="23" t="s">
        <v>6871</v>
      </c>
      <c r="S347" s="33">
        <v>0.2</v>
      </c>
      <c r="T347" s="13">
        <v>9.5839999999999996</v>
      </c>
      <c r="U347" s="13">
        <v>3.3544</v>
      </c>
      <c r="V347" s="55">
        <f>IFERROR(Table12[[#This Row],[Profit]]/Table12[[#This Row],[Sales]],0)</f>
        <v>0.35000000000000003</v>
      </c>
    </row>
    <row r="348" spans="1:22" x14ac:dyDescent="0.2">
      <c r="A348">
        <v>347</v>
      </c>
      <c r="B348" t="s">
        <v>7080</v>
      </c>
      <c r="C348" s="1">
        <v>41740</v>
      </c>
      <c r="D348" s="22">
        <f>MONTH(Table12[[#This Row],[Order Date]])</f>
        <v>4</v>
      </c>
      <c r="E348" t="s">
        <v>4947</v>
      </c>
      <c r="F348" t="s">
        <v>4948</v>
      </c>
      <c r="G348" s="23" t="s">
        <v>64</v>
      </c>
      <c r="H348" s="23" t="s">
        <v>65</v>
      </c>
      <c r="I348" t="s">
        <v>353</v>
      </c>
      <c r="J348" s="23" t="s">
        <v>92</v>
      </c>
      <c r="K348" s="22">
        <v>6</v>
      </c>
      <c r="L348" s="1">
        <v>41745</v>
      </c>
      <c r="M348" s="22">
        <f>Table12[[#This Row],[Ship Date]]-Table12[[#This Row],[Order Date]]</f>
        <v>5</v>
      </c>
      <c r="N348" s="23" t="s">
        <v>20</v>
      </c>
      <c r="O348" s="23" t="s">
        <v>23</v>
      </c>
      <c r="P348" s="23" t="s">
        <v>94</v>
      </c>
      <c r="Q348" s="23" t="s">
        <v>95</v>
      </c>
      <c r="R348" s="23" t="s">
        <v>1095</v>
      </c>
      <c r="S348" s="33">
        <v>0.2</v>
      </c>
      <c r="T348" s="13">
        <v>758.35199999999998</v>
      </c>
      <c r="U348" s="13">
        <v>265.42320000000001</v>
      </c>
      <c r="V348" s="55">
        <f>IFERROR(Table12[[#This Row],[Profit]]/Table12[[#This Row],[Sales]],0)</f>
        <v>0.35000000000000003</v>
      </c>
    </row>
    <row r="349" spans="1:22" x14ac:dyDescent="0.2">
      <c r="A349">
        <v>348</v>
      </c>
      <c r="B349" t="s">
        <v>9195</v>
      </c>
      <c r="C349" s="1">
        <v>41740</v>
      </c>
      <c r="D349" s="22">
        <f>MONTH(Table12[[#This Row],[Order Date]])</f>
        <v>4</v>
      </c>
      <c r="E349" t="s">
        <v>916</v>
      </c>
      <c r="F349" t="s">
        <v>917</v>
      </c>
      <c r="G349" s="23" t="s">
        <v>41</v>
      </c>
      <c r="H349" s="23" t="s">
        <v>53</v>
      </c>
      <c r="I349" t="s">
        <v>3816</v>
      </c>
      <c r="J349" s="23" t="s">
        <v>22</v>
      </c>
      <c r="K349" s="22">
        <v>7</v>
      </c>
      <c r="L349" s="1">
        <v>41747</v>
      </c>
      <c r="M349" s="22">
        <f>Table12[[#This Row],[Ship Date]]-Table12[[#This Row],[Order Date]]</f>
        <v>7</v>
      </c>
      <c r="N349" s="23" t="s">
        <v>45</v>
      </c>
      <c r="O349" s="23" t="s">
        <v>23</v>
      </c>
      <c r="P349" s="23" t="s">
        <v>1561</v>
      </c>
      <c r="Q349" s="23" t="s">
        <v>39</v>
      </c>
      <c r="R349" s="23" t="s">
        <v>1560</v>
      </c>
      <c r="S349" s="33">
        <v>0</v>
      </c>
      <c r="T349" s="13">
        <v>87.08</v>
      </c>
      <c r="U349" s="13">
        <v>24.382400000000001</v>
      </c>
      <c r="V349" s="55">
        <f>IFERROR(Table12[[#This Row],[Profit]]/Table12[[#This Row],[Sales]],0)</f>
        <v>0.28000000000000003</v>
      </c>
    </row>
    <row r="350" spans="1:22" x14ac:dyDescent="0.2">
      <c r="A350">
        <v>349</v>
      </c>
      <c r="B350" t="s">
        <v>9195</v>
      </c>
      <c r="C350" s="1">
        <v>41740</v>
      </c>
      <c r="D350" s="22">
        <f>MONTH(Table12[[#This Row],[Order Date]])</f>
        <v>4</v>
      </c>
      <c r="E350" t="s">
        <v>1734</v>
      </c>
      <c r="F350" t="s">
        <v>1735</v>
      </c>
      <c r="G350" s="23" t="s">
        <v>64</v>
      </c>
      <c r="H350" s="23" t="s">
        <v>65</v>
      </c>
      <c r="I350" t="s">
        <v>3816</v>
      </c>
      <c r="J350" s="23" t="s">
        <v>22</v>
      </c>
      <c r="K350" s="22">
        <v>2</v>
      </c>
      <c r="L350" s="1">
        <v>41747</v>
      </c>
      <c r="M350" s="22">
        <f>Table12[[#This Row],[Ship Date]]-Table12[[#This Row],[Order Date]]</f>
        <v>7</v>
      </c>
      <c r="N350" s="23" t="s">
        <v>45</v>
      </c>
      <c r="O350" s="23" t="s">
        <v>23</v>
      </c>
      <c r="P350" s="23" t="s">
        <v>1561</v>
      </c>
      <c r="Q350" s="23" t="s">
        <v>39</v>
      </c>
      <c r="R350" s="23" t="s">
        <v>1560</v>
      </c>
      <c r="S350" s="33">
        <v>0.2</v>
      </c>
      <c r="T350" s="13">
        <v>105.584</v>
      </c>
      <c r="U350" s="13">
        <v>9.2385999999999999</v>
      </c>
      <c r="V350" s="55">
        <f>IFERROR(Table12[[#This Row],[Profit]]/Table12[[#This Row],[Sales]],0)</f>
        <v>8.7499999999999994E-2</v>
      </c>
    </row>
    <row r="351" spans="1:22" x14ac:dyDescent="0.2">
      <c r="A351">
        <v>350</v>
      </c>
      <c r="B351" t="s">
        <v>9195</v>
      </c>
      <c r="C351" s="1">
        <v>41740</v>
      </c>
      <c r="D351" s="22">
        <f>MONTH(Table12[[#This Row],[Order Date]])</f>
        <v>4</v>
      </c>
      <c r="E351" t="s">
        <v>5815</v>
      </c>
      <c r="F351" t="s">
        <v>5816</v>
      </c>
      <c r="G351" s="23" t="s">
        <v>64</v>
      </c>
      <c r="H351" s="23" t="s">
        <v>144</v>
      </c>
      <c r="I351" t="s">
        <v>3816</v>
      </c>
      <c r="J351" s="23" t="s">
        <v>22</v>
      </c>
      <c r="K351" s="22">
        <v>6</v>
      </c>
      <c r="L351" s="1">
        <v>41747</v>
      </c>
      <c r="M351" s="22">
        <f>Table12[[#This Row],[Ship Date]]-Table12[[#This Row],[Order Date]]</f>
        <v>7</v>
      </c>
      <c r="N351" s="23" t="s">
        <v>45</v>
      </c>
      <c r="O351" s="23" t="s">
        <v>23</v>
      </c>
      <c r="P351" s="23" t="s">
        <v>1561</v>
      </c>
      <c r="Q351" s="23" t="s">
        <v>39</v>
      </c>
      <c r="R351" s="23" t="s">
        <v>1560</v>
      </c>
      <c r="S351" s="33">
        <v>0</v>
      </c>
      <c r="T351" s="13">
        <v>217.44</v>
      </c>
      <c r="U351" s="13">
        <v>91.324799999999996</v>
      </c>
      <c r="V351" s="55">
        <f>IFERROR(Table12[[#This Row],[Profit]]/Table12[[#This Row],[Sales]],0)</f>
        <v>0.42</v>
      </c>
    </row>
    <row r="352" spans="1:22" x14ac:dyDescent="0.2">
      <c r="A352">
        <v>351</v>
      </c>
      <c r="B352" t="s">
        <v>5319</v>
      </c>
      <c r="C352" s="1">
        <v>41741</v>
      </c>
      <c r="D352" s="22">
        <f>MONTH(Table12[[#This Row],[Order Date]])</f>
        <v>4</v>
      </c>
      <c r="E352" t="s">
        <v>2276</v>
      </c>
      <c r="F352" t="s">
        <v>2277</v>
      </c>
      <c r="G352" s="23" t="s">
        <v>64</v>
      </c>
      <c r="H352" s="23" t="s">
        <v>65</v>
      </c>
      <c r="I352" t="s">
        <v>5086</v>
      </c>
      <c r="J352" s="23" t="s">
        <v>36</v>
      </c>
      <c r="K352" s="22">
        <v>14</v>
      </c>
      <c r="L352" s="1">
        <v>41746</v>
      </c>
      <c r="M352" s="22">
        <f>Table12[[#This Row],[Ship Date]]-Table12[[#This Row],[Order Date]]</f>
        <v>5</v>
      </c>
      <c r="N352" s="23" t="s">
        <v>45</v>
      </c>
      <c r="O352" s="23" t="s">
        <v>23</v>
      </c>
      <c r="P352" s="23" t="s">
        <v>38</v>
      </c>
      <c r="Q352" s="23" t="s">
        <v>39</v>
      </c>
      <c r="R352" s="23" t="s">
        <v>5320</v>
      </c>
      <c r="S352" s="33">
        <v>0.2</v>
      </c>
      <c r="T352" s="13">
        <v>1075.088</v>
      </c>
      <c r="U352" s="13">
        <v>94.0702</v>
      </c>
      <c r="V352" s="55">
        <f>IFERROR(Table12[[#This Row],[Profit]]/Table12[[#This Row],[Sales]],0)</f>
        <v>8.7500000000000008E-2</v>
      </c>
    </row>
    <row r="353" spans="1:22" x14ac:dyDescent="0.2">
      <c r="A353">
        <v>352</v>
      </c>
      <c r="B353" t="s">
        <v>5319</v>
      </c>
      <c r="C353" s="1">
        <v>41741</v>
      </c>
      <c r="D353" s="22">
        <f>MONTH(Table12[[#This Row],[Order Date]])</f>
        <v>4</v>
      </c>
      <c r="E353" t="s">
        <v>2824</v>
      </c>
      <c r="F353" t="s">
        <v>2825</v>
      </c>
      <c r="G353" s="23" t="s">
        <v>64</v>
      </c>
      <c r="H353" s="23" t="s">
        <v>65</v>
      </c>
      <c r="I353" t="s">
        <v>5086</v>
      </c>
      <c r="J353" s="23" t="s">
        <v>36</v>
      </c>
      <c r="K353" s="22">
        <v>4</v>
      </c>
      <c r="L353" s="1">
        <v>41746</v>
      </c>
      <c r="M353" s="22">
        <f>Table12[[#This Row],[Ship Date]]-Table12[[#This Row],[Order Date]]</f>
        <v>5</v>
      </c>
      <c r="N353" s="23" t="s">
        <v>45</v>
      </c>
      <c r="O353" s="23" t="s">
        <v>23</v>
      </c>
      <c r="P353" s="23" t="s">
        <v>38</v>
      </c>
      <c r="Q353" s="23" t="s">
        <v>39</v>
      </c>
      <c r="R353" s="23" t="s">
        <v>5320</v>
      </c>
      <c r="S353" s="33">
        <v>0.2</v>
      </c>
      <c r="T353" s="13">
        <v>438.36799999999999</v>
      </c>
      <c r="U353" s="13">
        <v>38.357199999999999</v>
      </c>
      <c r="V353" s="55">
        <f>IFERROR(Table12[[#This Row],[Profit]]/Table12[[#This Row],[Sales]],0)</f>
        <v>8.7499999999999994E-2</v>
      </c>
    </row>
    <row r="354" spans="1:22" x14ac:dyDescent="0.2">
      <c r="A354">
        <v>353</v>
      </c>
      <c r="B354" t="s">
        <v>5319</v>
      </c>
      <c r="C354" s="1">
        <v>41741</v>
      </c>
      <c r="D354" s="22">
        <f>MONTH(Table12[[#This Row],[Order Date]])</f>
        <v>4</v>
      </c>
      <c r="E354" t="s">
        <v>1736</v>
      </c>
      <c r="F354" t="s">
        <v>1737</v>
      </c>
      <c r="G354" s="23" t="s">
        <v>41</v>
      </c>
      <c r="H354" s="23" t="s">
        <v>68</v>
      </c>
      <c r="I354" t="s">
        <v>5086</v>
      </c>
      <c r="J354" s="23" t="s">
        <v>36</v>
      </c>
      <c r="K354" s="22">
        <v>7</v>
      </c>
      <c r="L354" s="1">
        <v>41746</v>
      </c>
      <c r="M354" s="22">
        <f>Table12[[#This Row],[Ship Date]]-Table12[[#This Row],[Order Date]]</f>
        <v>5</v>
      </c>
      <c r="N354" s="23" t="s">
        <v>45</v>
      </c>
      <c r="O354" s="23" t="s">
        <v>23</v>
      </c>
      <c r="P354" s="23" t="s">
        <v>38</v>
      </c>
      <c r="Q354" s="23" t="s">
        <v>39</v>
      </c>
      <c r="R354" s="23" t="s">
        <v>5320</v>
      </c>
      <c r="S354" s="33">
        <v>0.2</v>
      </c>
      <c r="T354" s="13">
        <v>18.088000000000001</v>
      </c>
      <c r="U354" s="13">
        <v>6.5568999999999997</v>
      </c>
      <c r="V354" s="55">
        <f>IFERROR(Table12[[#This Row],[Profit]]/Table12[[#This Row],[Sales]],0)</f>
        <v>0.36249999999999999</v>
      </c>
    </row>
    <row r="355" spans="1:22" x14ac:dyDescent="0.2">
      <c r="A355">
        <v>354</v>
      </c>
      <c r="B355" t="s">
        <v>5319</v>
      </c>
      <c r="C355" s="1">
        <v>41741</v>
      </c>
      <c r="D355" s="22">
        <f>MONTH(Table12[[#This Row],[Order Date]])</f>
        <v>4</v>
      </c>
      <c r="E355" t="s">
        <v>1478</v>
      </c>
      <c r="F355" t="s">
        <v>1479</v>
      </c>
      <c r="G355" s="23" t="s">
        <v>28</v>
      </c>
      <c r="H355" s="23" t="s">
        <v>29</v>
      </c>
      <c r="I355" t="s">
        <v>5086</v>
      </c>
      <c r="J355" s="23" t="s">
        <v>36</v>
      </c>
      <c r="K355" s="22">
        <v>3</v>
      </c>
      <c r="L355" s="1">
        <v>41746</v>
      </c>
      <c r="M355" s="22">
        <f>Table12[[#This Row],[Ship Date]]-Table12[[#This Row],[Order Date]]</f>
        <v>5</v>
      </c>
      <c r="N355" s="23" t="s">
        <v>45</v>
      </c>
      <c r="O355" s="23" t="s">
        <v>23</v>
      </c>
      <c r="P355" s="23" t="s">
        <v>38</v>
      </c>
      <c r="Q355" s="23" t="s">
        <v>39</v>
      </c>
      <c r="R355" s="23" t="s">
        <v>5320</v>
      </c>
      <c r="S355" s="33">
        <v>0.15</v>
      </c>
      <c r="T355" s="13">
        <v>308.49900000000002</v>
      </c>
      <c r="U355" s="13">
        <v>-18.146999999999998</v>
      </c>
      <c r="V355" s="55">
        <f>IFERROR(Table12[[#This Row],[Profit]]/Table12[[#This Row],[Sales]],0)</f>
        <v>-5.8823529411764698E-2</v>
      </c>
    </row>
    <row r="356" spans="1:22" x14ac:dyDescent="0.2">
      <c r="A356">
        <v>355</v>
      </c>
      <c r="B356" t="s">
        <v>9642</v>
      </c>
      <c r="C356" s="1">
        <v>41741</v>
      </c>
      <c r="D356" s="22">
        <f>MONTH(Table12[[#This Row],[Order Date]])</f>
        <v>4</v>
      </c>
      <c r="E356" t="s">
        <v>2514</v>
      </c>
      <c r="F356" t="s">
        <v>2515</v>
      </c>
      <c r="G356" s="23" t="s">
        <v>41</v>
      </c>
      <c r="H356" s="23" t="s">
        <v>82</v>
      </c>
      <c r="I356" t="s">
        <v>5168</v>
      </c>
      <c r="J356" s="23" t="s">
        <v>22</v>
      </c>
      <c r="K356" s="22">
        <v>5</v>
      </c>
      <c r="L356" s="1">
        <v>41746</v>
      </c>
      <c r="M356" s="22">
        <f>Table12[[#This Row],[Ship Date]]-Table12[[#This Row],[Order Date]]</f>
        <v>5</v>
      </c>
      <c r="N356" s="23" t="s">
        <v>45</v>
      </c>
      <c r="O356" s="23" t="s">
        <v>23</v>
      </c>
      <c r="P356" s="23" t="s">
        <v>226</v>
      </c>
      <c r="Q356" s="23" t="s">
        <v>95</v>
      </c>
      <c r="R356" s="23" t="s">
        <v>476</v>
      </c>
      <c r="S356" s="33">
        <v>0</v>
      </c>
      <c r="T356" s="13">
        <v>32.4</v>
      </c>
      <c r="U356" s="13">
        <v>15.552</v>
      </c>
      <c r="V356" s="55">
        <f>IFERROR(Table12[[#This Row],[Profit]]/Table12[[#This Row],[Sales]],0)</f>
        <v>0.48</v>
      </c>
    </row>
    <row r="357" spans="1:22" x14ac:dyDescent="0.2">
      <c r="A357">
        <v>356</v>
      </c>
      <c r="B357" t="s">
        <v>10072</v>
      </c>
      <c r="C357" s="1">
        <v>41741</v>
      </c>
      <c r="D357" s="22">
        <f>MONTH(Table12[[#This Row],[Order Date]])</f>
        <v>4</v>
      </c>
      <c r="E357" t="s">
        <v>6135</v>
      </c>
      <c r="F357" t="s">
        <v>6136</v>
      </c>
      <c r="G357" s="23" t="s">
        <v>41</v>
      </c>
      <c r="H357" s="23" t="s">
        <v>61</v>
      </c>
      <c r="I357" t="s">
        <v>4217</v>
      </c>
      <c r="J357" s="23" t="s">
        <v>36</v>
      </c>
      <c r="K357" s="22">
        <v>2</v>
      </c>
      <c r="L357" s="1">
        <v>41747</v>
      </c>
      <c r="M357" s="22">
        <f>Table12[[#This Row],[Ship Date]]-Table12[[#This Row],[Order Date]]</f>
        <v>6</v>
      </c>
      <c r="N357" s="23" t="s">
        <v>45</v>
      </c>
      <c r="O357" s="23" t="s">
        <v>23</v>
      </c>
      <c r="P357" s="23" t="s">
        <v>38</v>
      </c>
      <c r="Q357" s="23" t="s">
        <v>39</v>
      </c>
      <c r="R357" s="23" t="s">
        <v>10054</v>
      </c>
      <c r="S357" s="33">
        <v>0</v>
      </c>
      <c r="T357" s="13">
        <v>39.68</v>
      </c>
      <c r="U357" s="13">
        <v>16.268799999999999</v>
      </c>
      <c r="V357" s="55">
        <f>IFERROR(Table12[[#This Row],[Profit]]/Table12[[#This Row],[Sales]],0)</f>
        <v>0.41</v>
      </c>
    </row>
    <row r="358" spans="1:22" x14ac:dyDescent="0.2">
      <c r="A358">
        <v>357</v>
      </c>
      <c r="B358" t="s">
        <v>1089</v>
      </c>
      <c r="C358" s="1">
        <v>41742</v>
      </c>
      <c r="D358" s="22">
        <f>MONTH(Table12[[#This Row],[Order Date]])</f>
        <v>4</v>
      </c>
      <c r="E358" t="s">
        <v>1090</v>
      </c>
      <c r="F358" t="s">
        <v>1091</v>
      </c>
      <c r="G358" s="23" t="s">
        <v>41</v>
      </c>
      <c r="H358" s="23" t="s">
        <v>61</v>
      </c>
      <c r="I358" t="s">
        <v>516</v>
      </c>
      <c r="J358" s="23" t="s">
        <v>36</v>
      </c>
      <c r="K358" s="22">
        <v>4</v>
      </c>
      <c r="L358" s="1">
        <v>41746</v>
      </c>
      <c r="M358" s="22">
        <f>Table12[[#This Row],[Ship Date]]-Table12[[#This Row],[Order Date]]</f>
        <v>4</v>
      </c>
      <c r="N358" s="23" t="s">
        <v>20</v>
      </c>
      <c r="O358" s="23" t="s">
        <v>23</v>
      </c>
      <c r="P358" s="23" t="s">
        <v>132</v>
      </c>
      <c r="Q358" s="23" t="s">
        <v>133</v>
      </c>
      <c r="R358" s="23" t="s">
        <v>131</v>
      </c>
      <c r="S358" s="33">
        <v>0.2</v>
      </c>
      <c r="T358" s="13">
        <v>17.856000000000002</v>
      </c>
      <c r="U358" s="13">
        <v>1.1160000000000001</v>
      </c>
      <c r="V358" s="55">
        <f>IFERROR(Table12[[#This Row],[Profit]]/Table12[[#This Row],[Sales]],0)</f>
        <v>6.25E-2</v>
      </c>
    </row>
    <row r="359" spans="1:22" x14ac:dyDescent="0.2">
      <c r="A359">
        <v>358</v>
      </c>
      <c r="B359" t="s">
        <v>1089</v>
      </c>
      <c r="C359" s="1">
        <v>41742</v>
      </c>
      <c r="D359" s="22">
        <f>MONTH(Table12[[#This Row],[Order Date]])</f>
        <v>4</v>
      </c>
      <c r="E359" t="s">
        <v>88</v>
      </c>
      <c r="F359" t="s">
        <v>89</v>
      </c>
      <c r="G359" s="23" t="s">
        <v>41</v>
      </c>
      <c r="H359" s="23" t="s">
        <v>68</v>
      </c>
      <c r="I359" t="s">
        <v>516</v>
      </c>
      <c r="J359" s="23" t="s">
        <v>36</v>
      </c>
      <c r="K359" s="22">
        <v>10</v>
      </c>
      <c r="L359" s="1">
        <v>41746</v>
      </c>
      <c r="M359" s="22">
        <f>Table12[[#This Row],[Ship Date]]-Table12[[#This Row],[Order Date]]</f>
        <v>4</v>
      </c>
      <c r="N359" s="23" t="s">
        <v>20</v>
      </c>
      <c r="O359" s="23" t="s">
        <v>23</v>
      </c>
      <c r="P359" s="23" t="s">
        <v>132</v>
      </c>
      <c r="Q359" s="23" t="s">
        <v>133</v>
      </c>
      <c r="R359" s="23" t="s">
        <v>131</v>
      </c>
      <c r="S359" s="33">
        <v>0.7</v>
      </c>
      <c r="T359" s="13">
        <v>509.97</v>
      </c>
      <c r="U359" s="13">
        <v>-407.976</v>
      </c>
      <c r="V359" s="55">
        <f>IFERROR(Table12[[#This Row],[Profit]]/Table12[[#This Row],[Sales]],0)</f>
        <v>-0.79999999999999993</v>
      </c>
    </row>
    <row r="360" spans="1:22" x14ac:dyDescent="0.2">
      <c r="A360">
        <v>359</v>
      </c>
      <c r="B360" t="s">
        <v>1089</v>
      </c>
      <c r="C360" s="1">
        <v>41742</v>
      </c>
      <c r="D360" s="22">
        <f>MONTH(Table12[[#This Row],[Order Date]])</f>
        <v>4</v>
      </c>
      <c r="E360" t="s">
        <v>497</v>
      </c>
      <c r="F360" t="s">
        <v>498</v>
      </c>
      <c r="G360" s="23" t="s">
        <v>41</v>
      </c>
      <c r="H360" s="23" t="s">
        <v>240</v>
      </c>
      <c r="I360" t="s">
        <v>516</v>
      </c>
      <c r="J360" s="23" t="s">
        <v>36</v>
      </c>
      <c r="K360" s="22">
        <v>13</v>
      </c>
      <c r="L360" s="1">
        <v>41746</v>
      </c>
      <c r="M360" s="22">
        <f>Table12[[#This Row],[Ship Date]]-Table12[[#This Row],[Order Date]]</f>
        <v>4</v>
      </c>
      <c r="N360" s="23" t="s">
        <v>20</v>
      </c>
      <c r="O360" s="23" t="s">
        <v>23</v>
      </c>
      <c r="P360" s="23" t="s">
        <v>132</v>
      </c>
      <c r="Q360" s="23" t="s">
        <v>133</v>
      </c>
      <c r="R360" s="23" t="s">
        <v>131</v>
      </c>
      <c r="S360" s="33">
        <v>0.2</v>
      </c>
      <c r="T360" s="13">
        <v>30.992000000000001</v>
      </c>
      <c r="U360" s="13">
        <v>10.0724</v>
      </c>
      <c r="V360" s="55">
        <f>IFERROR(Table12[[#This Row],[Profit]]/Table12[[#This Row],[Sales]],0)</f>
        <v>0.32500000000000001</v>
      </c>
    </row>
    <row r="361" spans="1:22" x14ac:dyDescent="0.2">
      <c r="A361">
        <v>360</v>
      </c>
      <c r="B361" t="s">
        <v>1089</v>
      </c>
      <c r="C361" s="1">
        <v>41742</v>
      </c>
      <c r="D361" s="22">
        <f>MONTH(Table12[[#This Row],[Order Date]])</f>
        <v>4</v>
      </c>
      <c r="E361" t="s">
        <v>1092</v>
      </c>
      <c r="F361" t="s">
        <v>1093</v>
      </c>
      <c r="G361" s="23" t="s">
        <v>64</v>
      </c>
      <c r="H361" s="23" t="s">
        <v>65</v>
      </c>
      <c r="I361" t="s">
        <v>516</v>
      </c>
      <c r="J361" s="23" t="s">
        <v>36</v>
      </c>
      <c r="K361" s="22">
        <v>12</v>
      </c>
      <c r="L361" s="1">
        <v>41746</v>
      </c>
      <c r="M361" s="22">
        <f>Table12[[#This Row],[Ship Date]]-Table12[[#This Row],[Order Date]]</f>
        <v>4</v>
      </c>
      <c r="N361" s="23" t="s">
        <v>20</v>
      </c>
      <c r="O361" s="23" t="s">
        <v>23</v>
      </c>
      <c r="P361" s="23" t="s">
        <v>132</v>
      </c>
      <c r="Q361" s="23" t="s">
        <v>133</v>
      </c>
      <c r="R361" s="23" t="s">
        <v>131</v>
      </c>
      <c r="S361" s="33">
        <v>0.4</v>
      </c>
      <c r="T361" s="13">
        <v>71.927999999999997</v>
      </c>
      <c r="U361" s="13">
        <v>8.3916000000000004</v>
      </c>
      <c r="V361" s="55">
        <f>IFERROR(Table12[[#This Row],[Profit]]/Table12[[#This Row],[Sales]],0)</f>
        <v>0.11666666666666668</v>
      </c>
    </row>
    <row r="362" spans="1:22" x14ac:dyDescent="0.2">
      <c r="A362">
        <v>361</v>
      </c>
      <c r="B362" t="s">
        <v>8272</v>
      </c>
      <c r="C362" s="1">
        <v>41742</v>
      </c>
      <c r="D362" s="22">
        <f>MONTH(Table12[[#This Row],[Order Date]])</f>
        <v>4</v>
      </c>
      <c r="E362" t="s">
        <v>8273</v>
      </c>
      <c r="F362" t="s">
        <v>8274</v>
      </c>
      <c r="G362" s="23" t="s">
        <v>41</v>
      </c>
      <c r="H362" s="23" t="s">
        <v>42</v>
      </c>
      <c r="I362" t="s">
        <v>3034</v>
      </c>
      <c r="J362" s="23" t="s">
        <v>92</v>
      </c>
      <c r="K362" s="22">
        <v>3</v>
      </c>
      <c r="L362" s="1">
        <v>41747</v>
      </c>
      <c r="M362" s="22">
        <f>Table12[[#This Row],[Ship Date]]-Table12[[#This Row],[Order Date]]</f>
        <v>5</v>
      </c>
      <c r="N362" s="23" t="s">
        <v>45</v>
      </c>
      <c r="O362" s="23" t="s">
        <v>23</v>
      </c>
      <c r="P362" s="23" t="s">
        <v>2408</v>
      </c>
      <c r="Q362" s="23" t="s">
        <v>133</v>
      </c>
      <c r="R362" s="23" t="s">
        <v>3967</v>
      </c>
      <c r="S362" s="33">
        <v>0</v>
      </c>
      <c r="T362" s="13">
        <v>7.83</v>
      </c>
      <c r="U362" s="13">
        <v>3.6017999999999999</v>
      </c>
      <c r="V362" s="55">
        <f>IFERROR(Table12[[#This Row],[Profit]]/Table12[[#This Row],[Sales]],0)</f>
        <v>0.45999999999999996</v>
      </c>
    </row>
    <row r="363" spans="1:22" x14ac:dyDescent="0.2">
      <c r="A363">
        <v>362</v>
      </c>
      <c r="B363" t="s">
        <v>8807</v>
      </c>
      <c r="C363" s="1">
        <v>41744</v>
      </c>
      <c r="D363" s="22">
        <f>MONTH(Table12[[#This Row],[Order Date]])</f>
        <v>4</v>
      </c>
      <c r="E363" t="s">
        <v>2233</v>
      </c>
      <c r="F363" t="s">
        <v>2234</v>
      </c>
      <c r="G363" s="23" t="s">
        <v>41</v>
      </c>
      <c r="H363" s="23" t="s">
        <v>71</v>
      </c>
      <c r="I363" t="s">
        <v>270</v>
      </c>
      <c r="J363" s="23" t="s">
        <v>92</v>
      </c>
      <c r="K363" s="22">
        <v>2</v>
      </c>
      <c r="L363" s="1">
        <v>41744</v>
      </c>
      <c r="M363" s="22">
        <f>Table12[[#This Row],[Ship Date]]-Table12[[#This Row],[Order Date]]</f>
        <v>0</v>
      </c>
      <c r="N363" s="23" t="s">
        <v>1141</v>
      </c>
      <c r="O363" s="23" t="s">
        <v>23</v>
      </c>
      <c r="P363" s="23" t="s">
        <v>38</v>
      </c>
      <c r="Q363" s="23" t="s">
        <v>39</v>
      </c>
      <c r="R363" s="23" t="s">
        <v>37</v>
      </c>
      <c r="S363" s="33">
        <v>0</v>
      </c>
      <c r="T363" s="13">
        <v>106.96</v>
      </c>
      <c r="U363" s="13">
        <v>31.0184</v>
      </c>
      <c r="V363" s="55">
        <f>IFERROR(Table12[[#This Row],[Profit]]/Table12[[#This Row],[Sales]],0)</f>
        <v>0.29000000000000004</v>
      </c>
    </row>
    <row r="364" spans="1:22" x14ac:dyDescent="0.2">
      <c r="A364">
        <v>363</v>
      </c>
      <c r="B364" t="s">
        <v>8807</v>
      </c>
      <c r="C364" s="1">
        <v>41744</v>
      </c>
      <c r="D364" s="22">
        <f>MONTH(Table12[[#This Row],[Order Date]])</f>
        <v>4</v>
      </c>
      <c r="E364" t="s">
        <v>955</v>
      </c>
      <c r="F364" t="s">
        <v>956</v>
      </c>
      <c r="G364" s="23" t="s">
        <v>28</v>
      </c>
      <c r="H364" s="23" t="s">
        <v>58</v>
      </c>
      <c r="I364" t="s">
        <v>270</v>
      </c>
      <c r="J364" s="23" t="s">
        <v>92</v>
      </c>
      <c r="K364" s="22">
        <v>4</v>
      </c>
      <c r="L364" s="1">
        <v>41744</v>
      </c>
      <c r="M364" s="22">
        <f>Table12[[#This Row],[Ship Date]]-Table12[[#This Row],[Order Date]]</f>
        <v>0</v>
      </c>
      <c r="N364" s="23" t="s">
        <v>1141</v>
      </c>
      <c r="O364" s="23" t="s">
        <v>23</v>
      </c>
      <c r="P364" s="23" t="s">
        <v>38</v>
      </c>
      <c r="Q364" s="23" t="s">
        <v>39</v>
      </c>
      <c r="R364" s="23" t="s">
        <v>37</v>
      </c>
      <c r="S364" s="33">
        <v>0</v>
      </c>
      <c r="T364" s="13">
        <v>187.76</v>
      </c>
      <c r="U364" s="13">
        <v>76.9816</v>
      </c>
      <c r="V364" s="55">
        <f>IFERROR(Table12[[#This Row],[Profit]]/Table12[[#This Row],[Sales]],0)</f>
        <v>0.41000000000000003</v>
      </c>
    </row>
    <row r="365" spans="1:22" x14ac:dyDescent="0.2">
      <c r="A365">
        <v>364</v>
      </c>
      <c r="B365" t="s">
        <v>1256</v>
      </c>
      <c r="C365" s="1">
        <v>41745</v>
      </c>
      <c r="D365" s="22">
        <f>MONTH(Table12[[#This Row],[Order Date]])</f>
        <v>4</v>
      </c>
      <c r="E365" t="s">
        <v>1257</v>
      </c>
      <c r="F365" t="s">
        <v>1258</v>
      </c>
      <c r="G365" s="23" t="s">
        <v>41</v>
      </c>
      <c r="H365" s="23" t="s">
        <v>61</v>
      </c>
      <c r="I365" t="s">
        <v>556</v>
      </c>
      <c r="J365" s="23" t="s">
        <v>36</v>
      </c>
      <c r="K365" s="22">
        <v>6</v>
      </c>
      <c r="L365" s="1">
        <v>41749</v>
      </c>
      <c r="M365" s="22">
        <f>Table12[[#This Row],[Ship Date]]-Table12[[#This Row],[Order Date]]</f>
        <v>4</v>
      </c>
      <c r="N365" s="23" t="s">
        <v>45</v>
      </c>
      <c r="O365" s="23" t="s">
        <v>23</v>
      </c>
      <c r="P365" s="23" t="s">
        <v>80</v>
      </c>
      <c r="Q365" s="23" t="s">
        <v>26</v>
      </c>
      <c r="R365" s="23" t="s">
        <v>461</v>
      </c>
      <c r="S365" s="33">
        <v>0.2</v>
      </c>
      <c r="T365" s="13">
        <v>39.072000000000003</v>
      </c>
      <c r="U365" s="13">
        <v>9.7680000000000007</v>
      </c>
      <c r="V365" s="55">
        <f>IFERROR(Table12[[#This Row],[Profit]]/Table12[[#This Row],[Sales]],0)</f>
        <v>0.25</v>
      </c>
    </row>
    <row r="366" spans="1:22" x14ac:dyDescent="0.2">
      <c r="A366">
        <v>365</v>
      </c>
      <c r="B366" t="s">
        <v>6014</v>
      </c>
      <c r="C366" s="1">
        <v>41747</v>
      </c>
      <c r="D366" s="22">
        <f>MONTH(Table12[[#This Row],[Order Date]])</f>
        <v>4</v>
      </c>
      <c r="E366" t="s">
        <v>6015</v>
      </c>
      <c r="F366" t="s">
        <v>6016</v>
      </c>
      <c r="G366" s="23" t="s">
        <v>64</v>
      </c>
      <c r="H366" s="23" t="s">
        <v>602</v>
      </c>
      <c r="I366" t="s">
        <v>1864</v>
      </c>
      <c r="J366" s="23" t="s">
        <v>22</v>
      </c>
      <c r="K366" s="22">
        <v>4</v>
      </c>
      <c r="L366" s="1">
        <v>41752</v>
      </c>
      <c r="M366" s="22">
        <f>Table12[[#This Row],[Ship Date]]-Table12[[#This Row],[Order Date]]</f>
        <v>5</v>
      </c>
      <c r="N366" s="23" t="s">
        <v>45</v>
      </c>
      <c r="O366" s="23" t="s">
        <v>23</v>
      </c>
      <c r="P366" s="23" t="s">
        <v>38</v>
      </c>
      <c r="Q366" s="23" t="s">
        <v>39</v>
      </c>
      <c r="R366" s="23" t="s">
        <v>37</v>
      </c>
      <c r="S366" s="33">
        <v>0.2</v>
      </c>
      <c r="T366" s="13">
        <v>287.96800000000002</v>
      </c>
      <c r="U366" s="13">
        <v>97.1892</v>
      </c>
      <c r="V366" s="55">
        <f>IFERROR(Table12[[#This Row],[Profit]]/Table12[[#This Row],[Sales]],0)</f>
        <v>0.33749999999999997</v>
      </c>
    </row>
    <row r="367" spans="1:22" x14ac:dyDescent="0.2">
      <c r="A367">
        <v>366</v>
      </c>
      <c r="B367" t="s">
        <v>6014</v>
      </c>
      <c r="C367" s="1">
        <v>41747</v>
      </c>
      <c r="D367" s="22">
        <f>MONTH(Table12[[#This Row],[Order Date]])</f>
        <v>4</v>
      </c>
      <c r="E367" t="s">
        <v>2878</v>
      </c>
      <c r="F367" t="s">
        <v>2879</v>
      </c>
      <c r="G367" s="23" t="s">
        <v>41</v>
      </c>
      <c r="H367" s="23" t="s">
        <v>61</v>
      </c>
      <c r="I367" t="s">
        <v>1864</v>
      </c>
      <c r="J367" s="23" t="s">
        <v>22</v>
      </c>
      <c r="K367" s="22">
        <v>4</v>
      </c>
      <c r="L367" s="1">
        <v>41752</v>
      </c>
      <c r="M367" s="22">
        <f>Table12[[#This Row],[Ship Date]]-Table12[[#This Row],[Order Date]]</f>
        <v>5</v>
      </c>
      <c r="N367" s="23" t="s">
        <v>45</v>
      </c>
      <c r="O367" s="23" t="s">
        <v>23</v>
      </c>
      <c r="P367" s="23" t="s">
        <v>38</v>
      </c>
      <c r="Q367" s="23" t="s">
        <v>39</v>
      </c>
      <c r="R367" s="23" t="s">
        <v>37</v>
      </c>
      <c r="S367" s="33">
        <v>0</v>
      </c>
      <c r="T367" s="13">
        <v>13.12</v>
      </c>
      <c r="U367" s="13">
        <v>3.8048000000000002</v>
      </c>
      <c r="V367" s="55">
        <f>IFERROR(Table12[[#This Row],[Profit]]/Table12[[#This Row],[Sales]],0)</f>
        <v>0.29000000000000004</v>
      </c>
    </row>
    <row r="368" spans="1:22" x14ac:dyDescent="0.2">
      <c r="A368">
        <v>367</v>
      </c>
      <c r="B368" t="s">
        <v>6014</v>
      </c>
      <c r="C368" s="1">
        <v>41747</v>
      </c>
      <c r="D368" s="22">
        <f>MONTH(Table12[[#This Row],[Order Date]])</f>
        <v>4</v>
      </c>
      <c r="E368" t="s">
        <v>5946</v>
      </c>
      <c r="F368" t="s">
        <v>5947</v>
      </c>
      <c r="G368" s="23" t="s">
        <v>41</v>
      </c>
      <c r="H368" s="23" t="s">
        <v>61</v>
      </c>
      <c r="I368" t="s">
        <v>1864</v>
      </c>
      <c r="J368" s="23" t="s">
        <v>22</v>
      </c>
      <c r="K368" s="22">
        <v>5</v>
      </c>
      <c r="L368" s="1">
        <v>41752</v>
      </c>
      <c r="M368" s="22">
        <f>Table12[[#This Row],[Ship Date]]-Table12[[#This Row],[Order Date]]</f>
        <v>5</v>
      </c>
      <c r="N368" s="23" t="s">
        <v>45</v>
      </c>
      <c r="O368" s="23" t="s">
        <v>23</v>
      </c>
      <c r="P368" s="23" t="s">
        <v>38</v>
      </c>
      <c r="Q368" s="23" t="s">
        <v>39</v>
      </c>
      <c r="R368" s="23" t="s">
        <v>37</v>
      </c>
      <c r="S368" s="33">
        <v>0</v>
      </c>
      <c r="T368" s="13">
        <v>10.75</v>
      </c>
      <c r="U368" s="13">
        <v>3.5474999999999999</v>
      </c>
      <c r="V368" s="55">
        <f>IFERROR(Table12[[#This Row],[Profit]]/Table12[[#This Row],[Sales]],0)</f>
        <v>0.33</v>
      </c>
    </row>
    <row r="369" spans="1:22" x14ac:dyDescent="0.2">
      <c r="A369">
        <v>368</v>
      </c>
      <c r="B369" t="s">
        <v>6014</v>
      </c>
      <c r="C369" s="1">
        <v>41747</v>
      </c>
      <c r="D369" s="22">
        <f>MONTH(Table12[[#This Row],[Order Date]])</f>
        <v>4</v>
      </c>
      <c r="E369" t="s">
        <v>737</v>
      </c>
      <c r="F369" t="s">
        <v>738</v>
      </c>
      <c r="G369" s="23" t="s">
        <v>41</v>
      </c>
      <c r="H369" s="23" t="s">
        <v>240</v>
      </c>
      <c r="I369" t="s">
        <v>1864</v>
      </c>
      <c r="J369" s="23" t="s">
        <v>22</v>
      </c>
      <c r="K369" s="22">
        <v>2</v>
      </c>
      <c r="L369" s="1">
        <v>41752</v>
      </c>
      <c r="M369" s="22">
        <f>Table12[[#This Row],[Ship Date]]-Table12[[#This Row],[Order Date]]</f>
        <v>5</v>
      </c>
      <c r="N369" s="23" t="s">
        <v>45</v>
      </c>
      <c r="O369" s="23" t="s">
        <v>23</v>
      </c>
      <c r="P369" s="23" t="s">
        <v>38</v>
      </c>
      <c r="Q369" s="23" t="s">
        <v>39</v>
      </c>
      <c r="R369" s="23" t="s">
        <v>37</v>
      </c>
      <c r="S369" s="33">
        <v>0</v>
      </c>
      <c r="T369" s="13">
        <v>11.62</v>
      </c>
      <c r="U369" s="13">
        <v>3.6021999999999998</v>
      </c>
      <c r="V369" s="55">
        <f>IFERROR(Table12[[#This Row],[Profit]]/Table12[[#This Row],[Sales]],0)</f>
        <v>0.31</v>
      </c>
    </row>
    <row r="370" spans="1:22" x14ac:dyDescent="0.2">
      <c r="A370">
        <v>369</v>
      </c>
      <c r="B370" t="s">
        <v>8191</v>
      </c>
      <c r="C370" s="1">
        <v>41747</v>
      </c>
      <c r="D370" s="22">
        <f>MONTH(Table12[[#This Row],[Order Date]])</f>
        <v>4</v>
      </c>
      <c r="E370" t="s">
        <v>257</v>
      </c>
      <c r="F370" t="s">
        <v>258</v>
      </c>
      <c r="G370" s="23" t="s">
        <v>41</v>
      </c>
      <c r="H370" s="23" t="s">
        <v>61</v>
      </c>
      <c r="I370" t="s">
        <v>260</v>
      </c>
      <c r="J370" s="23" t="s">
        <v>22</v>
      </c>
      <c r="K370" s="22">
        <v>2</v>
      </c>
      <c r="L370" s="1">
        <v>41751</v>
      </c>
      <c r="M370" s="22">
        <f>Table12[[#This Row],[Ship Date]]-Table12[[#This Row],[Order Date]]</f>
        <v>4</v>
      </c>
      <c r="N370" s="23" t="s">
        <v>45</v>
      </c>
      <c r="O370" s="23" t="s">
        <v>23</v>
      </c>
      <c r="P370" s="23" t="s">
        <v>94</v>
      </c>
      <c r="Q370" s="23" t="s">
        <v>95</v>
      </c>
      <c r="R370" s="23" t="s">
        <v>165</v>
      </c>
      <c r="S370" s="33">
        <v>0.2</v>
      </c>
      <c r="T370" s="13">
        <v>2.6880000000000002</v>
      </c>
      <c r="U370" s="13">
        <v>1.008</v>
      </c>
      <c r="V370" s="55">
        <f>IFERROR(Table12[[#This Row],[Profit]]/Table12[[#This Row],[Sales]],0)</f>
        <v>0.375</v>
      </c>
    </row>
    <row r="371" spans="1:22" x14ac:dyDescent="0.2">
      <c r="A371">
        <v>370</v>
      </c>
      <c r="B371" t="s">
        <v>8191</v>
      </c>
      <c r="C371" s="1">
        <v>41747</v>
      </c>
      <c r="D371" s="22">
        <f>MONTH(Table12[[#This Row],[Order Date]])</f>
        <v>4</v>
      </c>
      <c r="E371" t="s">
        <v>1029</v>
      </c>
      <c r="F371" t="s">
        <v>1030</v>
      </c>
      <c r="G371" s="23" t="s">
        <v>28</v>
      </c>
      <c r="H371" s="23" t="s">
        <v>32</v>
      </c>
      <c r="I371" t="s">
        <v>260</v>
      </c>
      <c r="J371" s="23" t="s">
        <v>22</v>
      </c>
      <c r="K371" s="22">
        <v>3</v>
      </c>
      <c r="L371" s="1">
        <v>41751</v>
      </c>
      <c r="M371" s="22">
        <f>Table12[[#This Row],[Ship Date]]-Table12[[#This Row],[Order Date]]</f>
        <v>4</v>
      </c>
      <c r="N371" s="23" t="s">
        <v>45</v>
      </c>
      <c r="O371" s="23" t="s">
        <v>23</v>
      </c>
      <c r="P371" s="23" t="s">
        <v>94</v>
      </c>
      <c r="Q371" s="23" t="s">
        <v>95</v>
      </c>
      <c r="R371" s="23" t="s">
        <v>165</v>
      </c>
      <c r="S371" s="33">
        <v>0.3</v>
      </c>
      <c r="T371" s="13">
        <v>317.05799999999999</v>
      </c>
      <c r="U371" s="13">
        <v>-18.117599999999999</v>
      </c>
      <c r="V371" s="55">
        <f>IFERROR(Table12[[#This Row],[Profit]]/Table12[[#This Row],[Sales]],0)</f>
        <v>-5.7142857142857141E-2</v>
      </c>
    </row>
    <row r="372" spans="1:22" x14ac:dyDescent="0.2">
      <c r="A372">
        <v>371</v>
      </c>
      <c r="B372" t="s">
        <v>8191</v>
      </c>
      <c r="C372" s="1">
        <v>41747</v>
      </c>
      <c r="D372" s="22">
        <f>MONTH(Table12[[#This Row],[Order Date]])</f>
        <v>4</v>
      </c>
      <c r="E372" t="s">
        <v>2171</v>
      </c>
      <c r="F372" t="s">
        <v>2172</v>
      </c>
      <c r="G372" s="23" t="s">
        <v>41</v>
      </c>
      <c r="H372" s="23" t="s">
        <v>155</v>
      </c>
      <c r="I372" t="s">
        <v>260</v>
      </c>
      <c r="J372" s="23" t="s">
        <v>22</v>
      </c>
      <c r="K372" s="22">
        <v>3</v>
      </c>
      <c r="L372" s="1">
        <v>41751</v>
      </c>
      <c r="M372" s="22">
        <f>Table12[[#This Row],[Ship Date]]-Table12[[#This Row],[Order Date]]</f>
        <v>4</v>
      </c>
      <c r="N372" s="23" t="s">
        <v>45</v>
      </c>
      <c r="O372" s="23" t="s">
        <v>23</v>
      </c>
      <c r="P372" s="23" t="s">
        <v>94</v>
      </c>
      <c r="Q372" s="23" t="s">
        <v>95</v>
      </c>
      <c r="R372" s="23" t="s">
        <v>165</v>
      </c>
      <c r="S372" s="33">
        <v>0.2</v>
      </c>
      <c r="T372" s="13">
        <v>149.352</v>
      </c>
      <c r="U372" s="13">
        <v>50.406300000000002</v>
      </c>
      <c r="V372" s="55">
        <f>IFERROR(Table12[[#This Row],[Profit]]/Table12[[#This Row],[Sales]],0)</f>
        <v>0.33750000000000002</v>
      </c>
    </row>
    <row r="373" spans="1:22" x14ac:dyDescent="0.2">
      <c r="A373">
        <v>372</v>
      </c>
      <c r="B373" t="s">
        <v>8191</v>
      </c>
      <c r="C373" s="1">
        <v>41747</v>
      </c>
      <c r="D373" s="22">
        <f>MONTH(Table12[[#This Row],[Order Date]])</f>
        <v>4</v>
      </c>
      <c r="E373" t="s">
        <v>5843</v>
      </c>
      <c r="F373" t="s">
        <v>5844</v>
      </c>
      <c r="G373" s="23" t="s">
        <v>64</v>
      </c>
      <c r="H373" s="23" t="s">
        <v>144</v>
      </c>
      <c r="I373" t="s">
        <v>260</v>
      </c>
      <c r="J373" s="23" t="s">
        <v>22</v>
      </c>
      <c r="K373" s="22">
        <v>3</v>
      </c>
      <c r="L373" s="1">
        <v>41751</v>
      </c>
      <c r="M373" s="22">
        <f>Table12[[#This Row],[Ship Date]]-Table12[[#This Row],[Order Date]]</f>
        <v>4</v>
      </c>
      <c r="N373" s="23" t="s">
        <v>45</v>
      </c>
      <c r="O373" s="23" t="s">
        <v>23</v>
      </c>
      <c r="P373" s="23" t="s">
        <v>94</v>
      </c>
      <c r="Q373" s="23" t="s">
        <v>95</v>
      </c>
      <c r="R373" s="23" t="s">
        <v>165</v>
      </c>
      <c r="S373" s="33">
        <v>0.2</v>
      </c>
      <c r="T373" s="13">
        <v>227.976</v>
      </c>
      <c r="U373" s="13">
        <v>28.497</v>
      </c>
      <c r="V373" s="55">
        <f>IFERROR(Table12[[#This Row],[Profit]]/Table12[[#This Row],[Sales]],0)</f>
        <v>0.125</v>
      </c>
    </row>
    <row r="374" spans="1:22" x14ac:dyDescent="0.2">
      <c r="A374">
        <v>373</v>
      </c>
      <c r="B374" t="s">
        <v>6864</v>
      </c>
      <c r="C374" s="1">
        <v>41748</v>
      </c>
      <c r="D374" s="22">
        <f>MONTH(Table12[[#This Row],[Order Date]])</f>
        <v>4</v>
      </c>
      <c r="E374" t="s">
        <v>798</v>
      </c>
      <c r="F374" t="s">
        <v>6256</v>
      </c>
      <c r="G374" s="23" t="s">
        <v>28</v>
      </c>
      <c r="H374" s="23" t="s">
        <v>58</v>
      </c>
      <c r="I374" t="s">
        <v>2745</v>
      </c>
      <c r="J374" s="23" t="s">
        <v>92</v>
      </c>
      <c r="K374" s="22">
        <v>3</v>
      </c>
      <c r="L374" s="1">
        <v>41750</v>
      </c>
      <c r="M374" s="22">
        <f>Table12[[#This Row],[Ship Date]]-Table12[[#This Row],[Order Date]]</f>
        <v>2</v>
      </c>
      <c r="N374" s="23" t="s">
        <v>20</v>
      </c>
      <c r="O374" s="23" t="s">
        <v>23</v>
      </c>
      <c r="P374" s="23" t="s">
        <v>38</v>
      </c>
      <c r="Q374" s="23" t="s">
        <v>39</v>
      </c>
      <c r="R374" s="23" t="s">
        <v>557</v>
      </c>
      <c r="S374" s="33">
        <v>0</v>
      </c>
      <c r="T374" s="13">
        <v>76.14</v>
      </c>
      <c r="U374" s="13">
        <v>26.649000000000001</v>
      </c>
      <c r="V374" s="55">
        <f>IFERROR(Table12[[#This Row],[Profit]]/Table12[[#This Row],[Sales]],0)</f>
        <v>0.35000000000000003</v>
      </c>
    </row>
    <row r="375" spans="1:22" x14ac:dyDescent="0.2">
      <c r="A375">
        <v>374</v>
      </c>
      <c r="B375" t="s">
        <v>8918</v>
      </c>
      <c r="C375" s="1">
        <v>41748</v>
      </c>
      <c r="D375" s="22">
        <f>MONTH(Table12[[#This Row],[Order Date]])</f>
        <v>4</v>
      </c>
      <c r="E375" t="s">
        <v>2100</v>
      </c>
      <c r="F375" t="s">
        <v>2101</v>
      </c>
      <c r="G375" s="23" t="s">
        <v>41</v>
      </c>
      <c r="H375" s="23" t="s">
        <v>68</v>
      </c>
      <c r="I375" t="s">
        <v>2699</v>
      </c>
      <c r="J375" s="23" t="s">
        <v>22</v>
      </c>
      <c r="K375" s="22">
        <v>3</v>
      </c>
      <c r="L375" s="1">
        <v>41752</v>
      </c>
      <c r="M375" s="22">
        <f>Table12[[#This Row],[Ship Date]]-Table12[[#This Row],[Order Date]]</f>
        <v>4</v>
      </c>
      <c r="N375" s="23" t="s">
        <v>20</v>
      </c>
      <c r="O375" s="23" t="s">
        <v>23</v>
      </c>
      <c r="P375" s="23" t="s">
        <v>285</v>
      </c>
      <c r="Q375" s="23" t="s">
        <v>26</v>
      </c>
      <c r="R375" s="23" t="s">
        <v>997</v>
      </c>
      <c r="S375" s="33">
        <v>0</v>
      </c>
      <c r="T375" s="13">
        <v>58.05</v>
      </c>
      <c r="U375" s="13">
        <v>26.702999999999999</v>
      </c>
      <c r="V375" s="55">
        <f>IFERROR(Table12[[#This Row],[Profit]]/Table12[[#This Row],[Sales]],0)</f>
        <v>0.46</v>
      </c>
    </row>
    <row r="376" spans="1:22" x14ac:dyDescent="0.2">
      <c r="A376">
        <v>375</v>
      </c>
      <c r="B376" t="s">
        <v>8918</v>
      </c>
      <c r="C376" s="1">
        <v>41748</v>
      </c>
      <c r="D376" s="22">
        <f>MONTH(Table12[[#This Row],[Order Date]])</f>
        <v>4</v>
      </c>
      <c r="E376" t="s">
        <v>249</v>
      </c>
      <c r="F376" t="s">
        <v>250</v>
      </c>
      <c r="G376" s="23" t="s">
        <v>41</v>
      </c>
      <c r="H376" s="23" t="s">
        <v>82</v>
      </c>
      <c r="I376" t="s">
        <v>2699</v>
      </c>
      <c r="J376" s="23" t="s">
        <v>22</v>
      </c>
      <c r="K376" s="22">
        <v>11</v>
      </c>
      <c r="L376" s="1">
        <v>41752</v>
      </c>
      <c r="M376" s="22">
        <f>Table12[[#This Row],[Ship Date]]-Table12[[#This Row],[Order Date]]</f>
        <v>4</v>
      </c>
      <c r="N376" s="23" t="s">
        <v>20</v>
      </c>
      <c r="O376" s="23" t="s">
        <v>23</v>
      </c>
      <c r="P376" s="23" t="s">
        <v>285</v>
      </c>
      <c r="Q376" s="23" t="s">
        <v>26</v>
      </c>
      <c r="R376" s="23" t="s">
        <v>997</v>
      </c>
      <c r="S376" s="33">
        <v>0</v>
      </c>
      <c r="T376" s="13">
        <v>71.28</v>
      </c>
      <c r="U376" s="13">
        <v>34.214399999999998</v>
      </c>
      <c r="V376" s="55">
        <f>IFERROR(Table12[[#This Row],[Profit]]/Table12[[#This Row],[Sales]],0)</f>
        <v>0.48</v>
      </c>
    </row>
    <row r="377" spans="1:22" x14ac:dyDescent="0.2">
      <c r="A377">
        <v>376</v>
      </c>
      <c r="B377" t="s">
        <v>7225</v>
      </c>
      <c r="C377" s="1">
        <v>41749</v>
      </c>
      <c r="D377" s="22">
        <f>MONTH(Table12[[#This Row],[Order Date]])</f>
        <v>4</v>
      </c>
      <c r="E377" t="s">
        <v>794</v>
      </c>
      <c r="F377" t="s">
        <v>795</v>
      </c>
      <c r="G377" s="23" t="s">
        <v>28</v>
      </c>
      <c r="H377" s="23" t="s">
        <v>50</v>
      </c>
      <c r="I377" t="s">
        <v>2029</v>
      </c>
      <c r="J377" s="23" t="s">
        <v>22</v>
      </c>
      <c r="K377" s="22">
        <v>5</v>
      </c>
      <c r="L377" s="1">
        <v>41751</v>
      </c>
      <c r="M377" s="22">
        <f>Table12[[#This Row],[Ship Date]]-Table12[[#This Row],[Order Date]]</f>
        <v>2</v>
      </c>
      <c r="N377" s="23" t="s">
        <v>20</v>
      </c>
      <c r="O377" s="23" t="s">
        <v>23</v>
      </c>
      <c r="P377" s="23" t="s">
        <v>94</v>
      </c>
      <c r="Q377" s="23" t="s">
        <v>95</v>
      </c>
      <c r="R377" s="23" t="s">
        <v>165</v>
      </c>
      <c r="S377" s="33">
        <v>0.3</v>
      </c>
      <c r="T377" s="13">
        <v>744.1</v>
      </c>
      <c r="U377" s="13">
        <v>-95.67</v>
      </c>
      <c r="V377" s="55">
        <f>IFERROR(Table12[[#This Row],[Profit]]/Table12[[#This Row],[Sales]],0)</f>
        <v>-0.12857142857142856</v>
      </c>
    </row>
    <row r="378" spans="1:22" x14ac:dyDescent="0.2">
      <c r="A378">
        <v>377</v>
      </c>
      <c r="B378" t="s">
        <v>7225</v>
      </c>
      <c r="C378" s="1">
        <v>41749</v>
      </c>
      <c r="D378" s="22">
        <f>MONTH(Table12[[#This Row],[Order Date]])</f>
        <v>4</v>
      </c>
      <c r="E378" t="s">
        <v>2066</v>
      </c>
      <c r="F378" t="s">
        <v>2067</v>
      </c>
      <c r="G378" s="23" t="s">
        <v>41</v>
      </c>
      <c r="H378" s="23" t="s">
        <v>53</v>
      </c>
      <c r="I378" t="s">
        <v>2029</v>
      </c>
      <c r="J378" s="23" t="s">
        <v>22</v>
      </c>
      <c r="K378" s="22">
        <v>5</v>
      </c>
      <c r="L378" s="1">
        <v>41751</v>
      </c>
      <c r="M378" s="22">
        <f>Table12[[#This Row],[Ship Date]]-Table12[[#This Row],[Order Date]]</f>
        <v>2</v>
      </c>
      <c r="N378" s="23" t="s">
        <v>20</v>
      </c>
      <c r="O378" s="23" t="s">
        <v>23</v>
      </c>
      <c r="P378" s="23" t="s">
        <v>94</v>
      </c>
      <c r="Q378" s="23" t="s">
        <v>95</v>
      </c>
      <c r="R378" s="23" t="s">
        <v>165</v>
      </c>
      <c r="S378" s="33">
        <v>0.2</v>
      </c>
      <c r="T378" s="13">
        <v>44.84</v>
      </c>
      <c r="U378" s="13">
        <v>5.6050000000000004</v>
      </c>
      <c r="V378" s="55">
        <f>IFERROR(Table12[[#This Row],[Profit]]/Table12[[#This Row],[Sales]],0)</f>
        <v>0.125</v>
      </c>
    </row>
    <row r="379" spans="1:22" x14ac:dyDescent="0.2">
      <c r="A379">
        <v>378</v>
      </c>
      <c r="B379" t="s">
        <v>7225</v>
      </c>
      <c r="C379" s="1">
        <v>41749</v>
      </c>
      <c r="D379" s="22">
        <f>MONTH(Table12[[#This Row],[Order Date]])</f>
        <v>4</v>
      </c>
      <c r="E379" t="s">
        <v>6785</v>
      </c>
      <c r="F379" t="s">
        <v>6786</v>
      </c>
      <c r="G379" s="23" t="s">
        <v>28</v>
      </c>
      <c r="H379" s="23" t="s">
        <v>50</v>
      </c>
      <c r="I379" t="s">
        <v>2029</v>
      </c>
      <c r="J379" s="23" t="s">
        <v>22</v>
      </c>
      <c r="K379" s="22">
        <v>2</v>
      </c>
      <c r="L379" s="1">
        <v>41751</v>
      </c>
      <c r="M379" s="22">
        <f>Table12[[#This Row],[Ship Date]]-Table12[[#This Row],[Order Date]]</f>
        <v>2</v>
      </c>
      <c r="N379" s="23" t="s">
        <v>20</v>
      </c>
      <c r="O379" s="23" t="s">
        <v>23</v>
      </c>
      <c r="P379" s="23" t="s">
        <v>94</v>
      </c>
      <c r="Q379" s="23" t="s">
        <v>95</v>
      </c>
      <c r="R379" s="23" t="s">
        <v>165</v>
      </c>
      <c r="S379" s="33">
        <v>0.3</v>
      </c>
      <c r="T379" s="13">
        <v>401.59</v>
      </c>
      <c r="U379" s="13">
        <v>-131.95099999999999</v>
      </c>
      <c r="V379" s="55">
        <f>IFERROR(Table12[[#This Row],[Profit]]/Table12[[#This Row],[Sales]],0)</f>
        <v>-0.32857142857142857</v>
      </c>
    </row>
    <row r="380" spans="1:22" x14ac:dyDescent="0.2">
      <c r="A380">
        <v>379</v>
      </c>
      <c r="B380" t="s">
        <v>8362</v>
      </c>
      <c r="C380" s="1">
        <v>41749</v>
      </c>
      <c r="D380" s="22">
        <f>MONTH(Table12[[#This Row],[Order Date]])</f>
        <v>4</v>
      </c>
      <c r="E380" t="s">
        <v>5378</v>
      </c>
      <c r="F380" t="s">
        <v>5379</v>
      </c>
      <c r="G380" s="23" t="s">
        <v>28</v>
      </c>
      <c r="H380" s="23" t="s">
        <v>58</v>
      </c>
      <c r="I380" t="s">
        <v>4134</v>
      </c>
      <c r="J380" s="23" t="s">
        <v>22</v>
      </c>
      <c r="K380" s="22">
        <v>4</v>
      </c>
      <c r="L380" s="1">
        <v>41754</v>
      </c>
      <c r="M380" s="22">
        <f>Table12[[#This Row],[Ship Date]]-Table12[[#This Row],[Order Date]]</f>
        <v>5</v>
      </c>
      <c r="N380" s="23" t="s">
        <v>45</v>
      </c>
      <c r="O380" s="23" t="s">
        <v>23</v>
      </c>
      <c r="P380" s="23" t="s">
        <v>38</v>
      </c>
      <c r="Q380" s="23" t="s">
        <v>39</v>
      </c>
      <c r="R380" s="23" t="s">
        <v>37</v>
      </c>
      <c r="S380" s="33">
        <v>0</v>
      </c>
      <c r="T380" s="13">
        <v>59.92</v>
      </c>
      <c r="U380" s="13">
        <v>27.563199999999998</v>
      </c>
      <c r="V380" s="55">
        <f>IFERROR(Table12[[#This Row],[Profit]]/Table12[[#This Row],[Sales]],0)</f>
        <v>0.45999999999999996</v>
      </c>
    </row>
    <row r="381" spans="1:22" x14ac:dyDescent="0.2">
      <c r="A381">
        <v>380</v>
      </c>
      <c r="B381" t="s">
        <v>2965</v>
      </c>
      <c r="C381" s="1">
        <v>41750</v>
      </c>
      <c r="D381" s="22">
        <f>MONTH(Table12[[#This Row],[Order Date]])</f>
        <v>4</v>
      </c>
      <c r="E381" t="s">
        <v>2966</v>
      </c>
      <c r="F381" t="s">
        <v>2967</v>
      </c>
      <c r="G381" s="23" t="s">
        <v>41</v>
      </c>
      <c r="H381" s="23" t="s">
        <v>68</v>
      </c>
      <c r="I381" t="s">
        <v>1612</v>
      </c>
      <c r="J381" s="23" t="s">
        <v>22</v>
      </c>
      <c r="K381" s="22">
        <v>5</v>
      </c>
      <c r="L381" s="1">
        <v>41754</v>
      </c>
      <c r="M381" s="22">
        <f>Table12[[#This Row],[Ship Date]]-Table12[[#This Row],[Order Date]]</f>
        <v>4</v>
      </c>
      <c r="N381" s="23" t="s">
        <v>45</v>
      </c>
      <c r="O381" s="23" t="s">
        <v>23</v>
      </c>
      <c r="P381" s="23" t="s">
        <v>38</v>
      </c>
      <c r="Q381" s="23" t="s">
        <v>39</v>
      </c>
      <c r="R381" s="23" t="s">
        <v>37</v>
      </c>
      <c r="S381" s="33">
        <v>0.2</v>
      </c>
      <c r="T381" s="13">
        <v>16.52</v>
      </c>
      <c r="U381" s="13">
        <v>5.5754999999999999</v>
      </c>
      <c r="V381" s="55">
        <f>IFERROR(Table12[[#This Row],[Profit]]/Table12[[#This Row],[Sales]],0)</f>
        <v>0.33750000000000002</v>
      </c>
    </row>
    <row r="382" spans="1:22" x14ac:dyDescent="0.2">
      <c r="A382">
        <v>381</v>
      </c>
      <c r="B382" t="s">
        <v>9628</v>
      </c>
      <c r="C382" s="1">
        <v>41750</v>
      </c>
      <c r="D382" s="22">
        <f>MONTH(Table12[[#This Row],[Order Date]])</f>
        <v>4</v>
      </c>
      <c r="E382" t="s">
        <v>3254</v>
      </c>
      <c r="F382" t="s">
        <v>3255</v>
      </c>
      <c r="G382" s="23" t="s">
        <v>41</v>
      </c>
      <c r="H382" s="23" t="s">
        <v>53</v>
      </c>
      <c r="I382" t="s">
        <v>4587</v>
      </c>
      <c r="J382" s="23" t="s">
        <v>36</v>
      </c>
      <c r="K382" s="22">
        <v>6</v>
      </c>
      <c r="L382" s="1">
        <v>41755</v>
      </c>
      <c r="M382" s="22">
        <f>Table12[[#This Row],[Ship Date]]-Table12[[#This Row],[Order Date]]</f>
        <v>5</v>
      </c>
      <c r="N382" s="23" t="s">
        <v>45</v>
      </c>
      <c r="O382" s="23" t="s">
        <v>23</v>
      </c>
      <c r="P382" s="23" t="s">
        <v>25</v>
      </c>
      <c r="Q382" s="23" t="s">
        <v>26</v>
      </c>
      <c r="R382" s="23" t="s">
        <v>24</v>
      </c>
      <c r="S382" s="33">
        <v>0</v>
      </c>
      <c r="T382" s="13">
        <v>828.84</v>
      </c>
      <c r="U382" s="13">
        <v>0</v>
      </c>
      <c r="V382" s="55">
        <f>IFERROR(Table12[[#This Row],[Profit]]/Table12[[#This Row],[Sales]],0)</f>
        <v>0</v>
      </c>
    </row>
    <row r="383" spans="1:22" x14ac:dyDescent="0.2">
      <c r="A383">
        <v>382</v>
      </c>
      <c r="B383" t="s">
        <v>8545</v>
      </c>
      <c r="C383" s="1">
        <v>41751</v>
      </c>
      <c r="D383" s="22">
        <f>MONTH(Table12[[#This Row],[Order Date]])</f>
        <v>4</v>
      </c>
      <c r="E383" t="s">
        <v>5710</v>
      </c>
      <c r="F383" t="s">
        <v>591</v>
      </c>
      <c r="G383" s="23" t="s">
        <v>41</v>
      </c>
      <c r="H383" s="23" t="s">
        <v>155</v>
      </c>
      <c r="I383" t="s">
        <v>5733</v>
      </c>
      <c r="J383" s="23" t="s">
        <v>36</v>
      </c>
      <c r="K383" s="22">
        <v>8</v>
      </c>
      <c r="L383" s="1">
        <v>41753</v>
      </c>
      <c r="M383" s="22">
        <f>Table12[[#This Row],[Ship Date]]-Table12[[#This Row],[Order Date]]</f>
        <v>2</v>
      </c>
      <c r="N383" s="23" t="s">
        <v>20</v>
      </c>
      <c r="O383" s="23" t="s">
        <v>23</v>
      </c>
      <c r="P383" s="23" t="s">
        <v>238</v>
      </c>
      <c r="Q383" s="23" t="s">
        <v>133</v>
      </c>
      <c r="R383" s="23" t="s">
        <v>246</v>
      </c>
      <c r="S383" s="33">
        <v>0</v>
      </c>
      <c r="T383" s="13">
        <v>247.84</v>
      </c>
      <c r="U383" s="13">
        <v>121.44159999999999</v>
      </c>
      <c r="V383" s="55">
        <f>IFERROR(Table12[[#This Row],[Profit]]/Table12[[#This Row],[Sales]],0)</f>
        <v>0.49</v>
      </c>
    </row>
    <row r="384" spans="1:22" x14ac:dyDescent="0.2">
      <c r="A384">
        <v>383</v>
      </c>
      <c r="B384" t="s">
        <v>8545</v>
      </c>
      <c r="C384" s="1">
        <v>41751</v>
      </c>
      <c r="D384" s="22">
        <f>MONTH(Table12[[#This Row],[Order Date]])</f>
        <v>4</v>
      </c>
      <c r="E384" t="s">
        <v>3170</v>
      </c>
      <c r="F384" t="s">
        <v>3171</v>
      </c>
      <c r="G384" s="23" t="s">
        <v>41</v>
      </c>
      <c r="H384" s="23" t="s">
        <v>68</v>
      </c>
      <c r="I384" t="s">
        <v>5733</v>
      </c>
      <c r="J384" s="23" t="s">
        <v>36</v>
      </c>
      <c r="K384" s="22">
        <v>3</v>
      </c>
      <c r="L384" s="1">
        <v>41753</v>
      </c>
      <c r="M384" s="22">
        <f>Table12[[#This Row],[Ship Date]]-Table12[[#This Row],[Order Date]]</f>
        <v>2</v>
      </c>
      <c r="N384" s="23" t="s">
        <v>20</v>
      </c>
      <c r="O384" s="23" t="s">
        <v>23</v>
      </c>
      <c r="P384" s="23" t="s">
        <v>238</v>
      </c>
      <c r="Q384" s="23" t="s">
        <v>133</v>
      </c>
      <c r="R384" s="23" t="s">
        <v>246</v>
      </c>
      <c r="S384" s="33">
        <v>0.2</v>
      </c>
      <c r="T384" s="13">
        <v>9.9120000000000008</v>
      </c>
      <c r="U384" s="13">
        <v>3.3452999999999999</v>
      </c>
      <c r="V384" s="55">
        <f>IFERROR(Table12[[#This Row],[Profit]]/Table12[[#This Row],[Sales]],0)</f>
        <v>0.33749999999999997</v>
      </c>
    </row>
    <row r="385" spans="1:22" x14ac:dyDescent="0.2">
      <c r="A385">
        <v>384</v>
      </c>
      <c r="B385" t="s">
        <v>3436</v>
      </c>
      <c r="C385" s="1">
        <v>41752</v>
      </c>
      <c r="D385" s="22">
        <f>MONTH(Table12[[#This Row],[Order Date]])</f>
        <v>4</v>
      </c>
      <c r="E385" t="s">
        <v>3437</v>
      </c>
      <c r="F385" t="s">
        <v>3438</v>
      </c>
      <c r="G385" s="23" t="s">
        <v>41</v>
      </c>
      <c r="H385" s="23" t="s">
        <v>68</v>
      </c>
      <c r="I385" t="s">
        <v>2763</v>
      </c>
      <c r="J385" s="23" t="s">
        <v>36</v>
      </c>
      <c r="K385" s="22">
        <v>3</v>
      </c>
      <c r="L385" s="1">
        <v>41753</v>
      </c>
      <c r="M385" s="22">
        <f>Table12[[#This Row],[Ship Date]]-Table12[[#This Row],[Order Date]]</f>
        <v>1</v>
      </c>
      <c r="N385" s="23" t="s">
        <v>169</v>
      </c>
      <c r="O385" s="23" t="s">
        <v>23</v>
      </c>
      <c r="P385" s="23" t="s">
        <v>132</v>
      </c>
      <c r="Q385" s="23" t="s">
        <v>133</v>
      </c>
      <c r="R385" s="23" t="s">
        <v>131</v>
      </c>
      <c r="S385" s="33">
        <v>0.7</v>
      </c>
      <c r="T385" s="13">
        <v>2.5019999999999998</v>
      </c>
      <c r="U385" s="13">
        <v>-1.7514000000000001</v>
      </c>
      <c r="V385" s="55">
        <f>IFERROR(Table12[[#This Row],[Profit]]/Table12[[#This Row],[Sales]],0)</f>
        <v>-0.70000000000000007</v>
      </c>
    </row>
    <row r="386" spans="1:22" x14ac:dyDescent="0.2">
      <c r="A386">
        <v>385</v>
      </c>
      <c r="B386" t="s">
        <v>5912</v>
      </c>
      <c r="C386" s="1">
        <v>41752</v>
      </c>
      <c r="D386" s="22">
        <f>MONTH(Table12[[#This Row],[Order Date]])</f>
        <v>4</v>
      </c>
      <c r="E386" t="s">
        <v>832</v>
      </c>
      <c r="F386" t="s">
        <v>833</v>
      </c>
      <c r="G386" s="23" t="s">
        <v>28</v>
      </c>
      <c r="H386" s="23" t="s">
        <v>32</v>
      </c>
      <c r="I386" t="s">
        <v>5787</v>
      </c>
      <c r="J386" s="23" t="s">
        <v>92</v>
      </c>
      <c r="K386" s="22">
        <v>2</v>
      </c>
      <c r="L386" s="1">
        <v>41756</v>
      </c>
      <c r="M386" s="22">
        <f>Table12[[#This Row],[Ship Date]]-Table12[[#This Row],[Order Date]]</f>
        <v>4</v>
      </c>
      <c r="N386" s="23" t="s">
        <v>45</v>
      </c>
      <c r="O386" s="23" t="s">
        <v>23</v>
      </c>
      <c r="P386" s="23" t="s">
        <v>441</v>
      </c>
      <c r="Q386" s="23" t="s">
        <v>133</v>
      </c>
      <c r="R386" s="23" t="s">
        <v>440</v>
      </c>
      <c r="S386" s="33">
        <v>0.3</v>
      </c>
      <c r="T386" s="13">
        <v>281.37200000000001</v>
      </c>
      <c r="U386" s="13">
        <v>-12.0588</v>
      </c>
      <c r="V386" s="55">
        <f>IFERROR(Table12[[#This Row],[Profit]]/Table12[[#This Row],[Sales]],0)</f>
        <v>-4.2857142857142858E-2</v>
      </c>
    </row>
    <row r="387" spans="1:22" x14ac:dyDescent="0.2">
      <c r="A387">
        <v>386</v>
      </c>
      <c r="B387" t="s">
        <v>5912</v>
      </c>
      <c r="C387" s="1">
        <v>41752</v>
      </c>
      <c r="D387" s="22">
        <f>MONTH(Table12[[#This Row],[Order Date]])</f>
        <v>4</v>
      </c>
      <c r="E387" t="s">
        <v>2563</v>
      </c>
      <c r="F387" t="s">
        <v>2564</v>
      </c>
      <c r="G387" s="23" t="s">
        <v>41</v>
      </c>
      <c r="H387" s="23" t="s">
        <v>68</v>
      </c>
      <c r="I387" t="s">
        <v>5787</v>
      </c>
      <c r="J387" s="23" t="s">
        <v>92</v>
      </c>
      <c r="K387" s="22">
        <v>8</v>
      </c>
      <c r="L387" s="1">
        <v>41756</v>
      </c>
      <c r="M387" s="22">
        <f>Table12[[#This Row],[Ship Date]]-Table12[[#This Row],[Order Date]]</f>
        <v>4</v>
      </c>
      <c r="N387" s="23" t="s">
        <v>45</v>
      </c>
      <c r="O387" s="23" t="s">
        <v>23</v>
      </c>
      <c r="P387" s="23" t="s">
        <v>441</v>
      </c>
      <c r="Q387" s="23" t="s">
        <v>133</v>
      </c>
      <c r="R387" s="23" t="s">
        <v>440</v>
      </c>
      <c r="S387" s="33">
        <v>0.7</v>
      </c>
      <c r="T387" s="13">
        <v>7.4880000000000004</v>
      </c>
      <c r="U387" s="13">
        <v>-5.2416</v>
      </c>
      <c r="V387" s="55">
        <f>IFERROR(Table12[[#This Row],[Profit]]/Table12[[#This Row],[Sales]],0)</f>
        <v>-0.7</v>
      </c>
    </row>
    <row r="388" spans="1:22" x14ac:dyDescent="0.2">
      <c r="A388">
        <v>387</v>
      </c>
      <c r="B388" t="s">
        <v>5912</v>
      </c>
      <c r="C388" s="1">
        <v>41752</v>
      </c>
      <c r="D388" s="22">
        <f>MONTH(Table12[[#This Row],[Order Date]])</f>
        <v>4</v>
      </c>
      <c r="E388" t="s">
        <v>2664</v>
      </c>
      <c r="F388" t="s">
        <v>2665</v>
      </c>
      <c r="G388" s="23" t="s">
        <v>28</v>
      </c>
      <c r="H388" s="23" t="s">
        <v>58</v>
      </c>
      <c r="I388" t="s">
        <v>5787</v>
      </c>
      <c r="J388" s="23" t="s">
        <v>92</v>
      </c>
      <c r="K388" s="22">
        <v>4</v>
      </c>
      <c r="L388" s="1">
        <v>41756</v>
      </c>
      <c r="M388" s="22">
        <f>Table12[[#This Row],[Ship Date]]-Table12[[#This Row],[Order Date]]</f>
        <v>4</v>
      </c>
      <c r="N388" s="23" t="s">
        <v>45</v>
      </c>
      <c r="O388" s="23" t="s">
        <v>23</v>
      </c>
      <c r="P388" s="23" t="s">
        <v>441</v>
      </c>
      <c r="Q388" s="23" t="s">
        <v>133</v>
      </c>
      <c r="R388" s="23" t="s">
        <v>440</v>
      </c>
      <c r="S388" s="33">
        <v>0.2</v>
      </c>
      <c r="T388" s="13">
        <v>22.335999999999999</v>
      </c>
      <c r="U388" s="13">
        <v>7.8175999999999997</v>
      </c>
      <c r="V388" s="55">
        <f>IFERROR(Table12[[#This Row],[Profit]]/Table12[[#This Row],[Sales]],0)</f>
        <v>0.35000000000000003</v>
      </c>
    </row>
    <row r="389" spans="1:22" x14ac:dyDescent="0.2">
      <c r="A389">
        <v>388</v>
      </c>
      <c r="B389" t="s">
        <v>9750</v>
      </c>
      <c r="C389" s="1">
        <v>41752</v>
      </c>
      <c r="D389" s="22">
        <f>MONTH(Table12[[#This Row],[Order Date]])</f>
        <v>4</v>
      </c>
      <c r="E389" t="s">
        <v>4203</v>
      </c>
      <c r="F389" t="s">
        <v>4204</v>
      </c>
      <c r="G389" s="23" t="s">
        <v>41</v>
      </c>
      <c r="H389" s="23" t="s">
        <v>82</v>
      </c>
      <c r="I389" t="s">
        <v>1028</v>
      </c>
      <c r="J389" s="23" t="s">
        <v>92</v>
      </c>
      <c r="K389" s="22">
        <v>1</v>
      </c>
      <c r="L389" s="1">
        <v>41755</v>
      </c>
      <c r="M389" s="22">
        <f>Table12[[#This Row],[Ship Date]]-Table12[[#This Row],[Order Date]]</f>
        <v>3</v>
      </c>
      <c r="N389" s="23" t="s">
        <v>20</v>
      </c>
      <c r="O389" s="23" t="s">
        <v>23</v>
      </c>
      <c r="P389" s="23" t="s">
        <v>38</v>
      </c>
      <c r="Q389" s="23" t="s">
        <v>39</v>
      </c>
      <c r="R389" s="23" t="s">
        <v>114</v>
      </c>
      <c r="S389" s="33">
        <v>0</v>
      </c>
      <c r="T389" s="13">
        <v>48.91</v>
      </c>
      <c r="U389" s="13">
        <v>22.9877</v>
      </c>
      <c r="V389" s="55">
        <f>IFERROR(Table12[[#This Row],[Profit]]/Table12[[#This Row],[Sales]],0)</f>
        <v>0.47000000000000003</v>
      </c>
    </row>
    <row r="390" spans="1:22" x14ac:dyDescent="0.2">
      <c r="A390">
        <v>389</v>
      </c>
      <c r="B390" t="s">
        <v>3931</v>
      </c>
      <c r="C390" s="1">
        <v>41754</v>
      </c>
      <c r="D390" s="22">
        <f>MONTH(Table12[[#This Row],[Order Date]])</f>
        <v>4</v>
      </c>
      <c r="E390" t="s">
        <v>2489</v>
      </c>
      <c r="F390" t="s">
        <v>2490</v>
      </c>
      <c r="G390" s="23" t="s">
        <v>41</v>
      </c>
      <c r="H390" s="23" t="s">
        <v>82</v>
      </c>
      <c r="I390" t="s">
        <v>3932</v>
      </c>
      <c r="J390" s="23" t="s">
        <v>92</v>
      </c>
      <c r="K390" s="22">
        <v>2</v>
      </c>
      <c r="L390" s="1">
        <v>41758</v>
      </c>
      <c r="M390" s="22">
        <f>Table12[[#This Row],[Ship Date]]-Table12[[#This Row],[Order Date]]</f>
        <v>4</v>
      </c>
      <c r="N390" s="23" t="s">
        <v>45</v>
      </c>
      <c r="O390" s="23" t="s">
        <v>23</v>
      </c>
      <c r="P390" s="23" t="s">
        <v>94</v>
      </c>
      <c r="Q390" s="23" t="s">
        <v>95</v>
      </c>
      <c r="R390" s="23" t="s">
        <v>165</v>
      </c>
      <c r="S390" s="33">
        <v>0.2</v>
      </c>
      <c r="T390" s="13">
        <v>10.368</v>
      </c>
      <c r="U390" s="13">
        <v>3.6288</v>
      </c>
      <c r="V390" s="55">
        <f>IFERROR(Table12[[#This Row],[Profit]]/Table12[[#This Row],[Sales]],0)</f>
        <v>0.35</v>
      </c>
    </row>
    <row r="391" spans="1:22" x14ac:dyDescent="0.2">
      <c r="A391">
        <v>390</v>
      </c>
      <c r="B391" t="s">
        <v>3931</v>
      </c>
      <c r="C391" s="1">
        <v>41754</v>
      </c>
      <c r="D391" s="22">
        <f>MONTH(Table12[[#This Row],[Order Date]])</f>
        <v>4</v>
      </c>
      <c r="E391" t="s">
        <v>3582</v>
      </c>
      <c r="F391" t="s">
        <v>3583</v>
      </c>
      <c r="G391" s="23" t="s">
        <v>41</v>
      </c>
      <c r="H391" s="23" t="s">
        <v>61</v>
      </c>
      <c r="I391" t="s">
        <v>3932</v>
      </c>
      <c r="J391" s="23" t="s">
        <v>92</v>
      </c>
      <c r="K391" s="22">
        <v>3</v>
      </c>
      <c r="L391" s="1">
        <v>41758</v>
      </c>
      <c r="M391" s="22">
        <f>Table12[[#This Row],[Ship Date]]-Table12[[#This Row],[Order Date]]</f>
        <v>4</v>
      </c>
      <c r="N391" s="23" t="s">
        <v>45</v>
      </c>
      <c r="O391" s="23" t="s">
        <v>23</v>
      </c>
      <c r="P391" s="23" t="s">
        <v>94</v>
      </c>
      <c r="Q391" s="23" t="s">
        <v>95</v>
      </c>
      <c r="R391" s="23" t="s">
        <v>165</v>
      </c>
      <c r="S391" s="33">
        <v>0.2</v>
      </c>
      <c r="T391" s="13">
        <v>6.24</v>
      </c>
      <c r="U391" s="13">
        <v>0.54600000000000004</v>
      </c>
      <c r="V391" s="55">
        <f>IFERROR(Table12[[#This Row],[Profit]]/Table12[[#This Row],[Sales]],0)</f>
        <v>8.7500000000000008E-2</v>
      </c>
    </row>
    <row r="392" spans="1:22" x14ac:dyDescent="0.2">
      <c r="A392">
        <v>391</v>
      </c>
      <c r="B392" t="s">
        <v>5218</v>
      </c>
      <c r="C392" s="1">
        <v>41754</v>
      </c>
      <c r="D392" s="22">
        <f>MONTH(Table12[[#This Row],[Order Date]])</f>
        <v>4</v>
      </c>
      <c r="E392" t="s">
        <v>2481</v>
      </c>
      <c r="F392" t="s">
        <v>5219</v>
      </c>
      <c r="G392" s="23" t="s">
        <v>64</v>
      </c>
      <c r="H392" s="23" t="s">
        <v>65</v>
      </c>
      <c r="I392" t="s">
        <v>500</v>
      </c>
      <c r="J392" s="23" t="s">
        <v>22</v>
      </c>
      <c r="K392" s="22">
        <v>3</v>
      </c>
      <c r="L392" s="1">
        <v>41758</v>
      </c>
      <c r="M392" s="22">
        <f>Table12[[#This Row],[Ship Date]]-Table12[[#This Row],[Order Date]]</f>
        <v>4</v>
      </c>
      <c r="N392" s="23" t="s">
        <v>45</v>
      </c>
      <c r="O392" s="23" t="s">
        <v>23</v>
      </c>
      <c r="P392" s="23" t="s">
        <v>80</v>
      </c>
      <c r="Q392" s="23" t="s">
        <v>26</v>
      </c>
      <c r="R392" s="23" t="s">
        <v>461</v>
      </c>
      <c r="S392" s="33">
        <v>0.2</v>
      </c>
      <c r="T392" s="13">
        <v>302.37599999999998</v>
      </c>
      <c r="U392" s="13">
        <v>37.796999999999997</v>
      </c>
      <c r="V392" s="55">
        <f>IFERROR(Table12[[#This Row],[Profit]]/Table12[[#This Row],[Sales]],0)</f>
        <v>0.125</v>
      </c>
    </row>
    <row r="393" spans="1:22" x14ac:dyDescent="0.2">
      <c r="A393">
        <v>392</v>
      </c>
      <c r="B393" t="s">
        <v>6720</v>
      </c>
      <c r="C393" s="1">
        <v>41754</v>
      </c>
      <c r="D393" s="22">
        <f>MONTH(Table12[[#This Row],[Order Date]])</f>
        <v>4</v>
      </c>
      <c r="E393" t="s">
        <v>302</v>
      </c>
      <c r="F393" t="s">
        <v>303</v>
      </c>
      <c r="G393" s="23" t="s">
        <v>28</v>
      </c>
      <c r="H393" s="23" t="s">
        <v>58</v>
      </c>
      <c r="I393" t="s">
        <v>3386</v>
      </c>
      <c r="J393" s="23" t="s">
        <v>92</v>
      </c>
      <c r="K393" s="22">
        <v>5</v>
      </c>
      <c r="L393" s="1">
        <v>41759</v>
      </c>
      <c r="M393" s="22">
        <f>Table12[[#This Row],[Ship Date]]-Table12[[#This Row],[Order Date]]</f>
        <v>5</v>
      </c>
      <c r="N393" s="23" t="s">
        <v>45</v>
      </c>
      <c r="O393" s="23" t="s">
        <v>23</v>
      </c>
      <c r="P393" s="23" t="s">
        <v>38</v>
      </c>
      <c r="Q393" s="23" t="s">
        <v>39</v>
      </c>
      <c r="R393" s="23" t="s">
        <v>6721</v>
      </c>
      <c r="S393" s="33">
        <v>0</v>
      </c>
      <c r="T393" s="13">
        <v>303.25</v>
      </c>
      <c r="U393" s="13">
        <v>63.682499999999997</v>
      </c>
      <c r="V393" s="55">
        <f>IFERROR(Table12[[#This Row],[Profit]]/Table12[[#This Row],[Sales]],0)</f>
        <v>0.21</v>
      </c>
    </row>
    <row r="394" spans="1:22" x14ac:dyDescent="0.2">
      <c r="A394">
        <v>393</v>
      </c>
      <c r="B394" t="s">
        <v>6720</v>
      </c>
      <c r="C394" s="1">
        <v>41754</v>
      </c>
      <c r="D394" s="22">
        <f>MONTH(Table12[[#This Row],[Order Date]])</f>
        <v>4</v>
      </c>
      <c r="E394" t="s">
        <v>4638</v>
      </c>
      <c r="F394" t="s">
        <v>4639</v>
      </c>
      <c r="G394" s="23" t="s">
        <v>41</v>
      </c>
      <c r="H394" s="23" t="s">
        <v>71</v>
      </c>
      <c r="I394" t="s">
        <v>3386</v>
      </c>
      <c r="J394" s="23" t="s">
        <v>92</v>
      </c>
      <c r="K394" s="22">
        <v>3</v>
      </c>
      <c r="L394" s="1">
        <v>41759</v>
      </c>
      <c r="M394" s="22">
        <f>Table12[[#This Row],[Ship Date]]-Table12[[#This Row],[Order Date]]</f>
        <v>5</v>
      </c>
      <c r="N394" s="23" t="s">
        <v>45</v>
      </c>
      <c r="O394" s="23" t="s">
        <v>23</v>
      </c>
      <c r="P394" s="23" t="s">
        <v>38</v>
      </c>
      <c r="Q394" s="23" t="s">
        <v>39</v>
      </c>
      <c r="R394" s="23" t="s">
        <v>6721</v>
      </c>
      <c r="S394" s="33">
        <v>0</v>
      </c>
      <c r="T394" s="13">
        <v>270.72000000000003</v>
      </c>
      <c r="U394" s="13">
        <v>78.508799999999994</v>
      </c>
      <c r="V394" s="55">
        <f>IFERROR(Table12[[#This Row],[Profit]]/Table12[[#This Row],[Sales]],0)</f>
        <v>0.28999999999999992</v>
      </c>
    </row>
    <row r="395" spans="1:22" x14ac:dyDescent="0.2">
      <c r="A395">
        <v>394</v>
      </c>
      <c r="B395" t="s">
        <v>6720</v>
      </c>
      <c r="C395" s="1">
        <v>41754</v>
      </c>
      <c r="D395" s="22">
        <f>MONTH(Table12[[#This Row],[Order Date]])</f>
        <v>4</v>
      </c>
      <c r="E395" t="s">
        <v>3001</v>
      </c>
      <c r="F395" t="s">
        <v>3002</v>
      </c>
      <c r="G395" s="23" t="s">
        <v>28</v>
      </c>
      <c r="H395" s="23" t="s">
        <v>32</v>
      </c>
      <c r="I395" t="s">
        <v>3386</v>
      </c>
      <c r="J395" s="23" t="s">
        <v>92</v>
      </c>
      <c r="K395" s="22">
        <v>5</v>
      </c>
      <c r="L395" s="1">
        <v>41759</v>
      </c>
      <c r="M395" s="22">
        <f>Table12[[#This Row],[Ship Date]]-Table12[[#This Row],[Order Date]]</f>
        <v>5</v>
      </c>
      <c r="N395" s="23" t="s">
        <v>45</v>
      </c>
      <c r="O395" s="23" t="s">
        <v>23</v>
      </c>
      <c r="P395" s="23" t="s">
        <v>38</v>
      </c>
      <c r="Q395" s="23" t="s">
        <v>39</v>
      </c>
      <c r="R395" s="23" t="s">
        <v>6721</v>
      </c>
      <c r="S395" s="33">
        <v>0.2</v>
      </c>
      <c r="T395" s="13">
        <v>1487.04</v>
      </c>
      <c r="U395" s="13">
        <v>148.70400000000001</v>
      </c>
      <c r="V395" s="55">
        <f>IFERROR(Table12[[#This Row],[Profit]]/Table12[[#This Row],[Sales]],0)</f>
        <v>0.1</v>
      </c>
    </row>
    <row r="396" spans="1:22" x14ac:dyDescent="0.2">
      <c r="A396">
        <v>395</v>
      </c>
      <c r="B396" t="s">
        <v>5095</v>
      </c>
      <c r="C396" s="1">
        <v>41755</v>
      </c>
      <c r="D396" s="22">
        <f>MONTH(Table12[[#This Row],[Order Date]])</f>
        <v>4</v>
      </c>
      <c r="E396" t="s">
        <v>1291</v>
      </c>
      <c r="F396" t="s">
        <v>1292</v>
      </c>
      <c r="G396" s="23" t="s">
        <v>28</v>
      </c>
      <c r="H396" s="23" t="s">
        <v>32</v>
      </c>
      <c r="I396" t="s">
        <v>5096</v>
      </c>
      <c r="J396" s="23" t="s">
        <v>36</v>
      </c>
      <c r="K396" s="22">
        <v>3</v>
      </c>
      <c r="L396" s="1">
        <v>41762</v>
      </c>
      <c r="M396" s="22">
        <f>Table12[[#This Row],[Ship Date]]-Table12[[#This Row],[Order Date]]</f>
        <v>7</v>
      </c>
      <c r="N396" s="23" t="s">
        <v>45</v>
      </c>
      <c r="O396" s="23" t="s">
        <v>23</v>
      </c>
      <c r="P396" s="23" t="s">
        <v>38</v>
      </c>
      <c r="Q396" s="23" t="s">
        <v>39</v>
      </c>
      <c r="R396" s="23" t="s">
        <v>37</v>
      </c>
      <c r="S396" s="33">
        <v>0.2</v>
      </c>
      <c r="T396" s="13">
        <v>230.28</v>
      </c>
      <c r="U396" s="13">
        <v>23.027999999999999</v>
      </c>
      <c r="V396" s="55">
        <f>IFERROR(Table12[[#This Row],[Profit]]/Table12[[#This Row],[Sales]],0)</f>
        <v>9.9999999999999992E-2</v>
      </c>
    </row>
    <row r="397" spans="1:22" x14ac:dyDescent="0.2">
      <c r="A397">
        <v>396</v>
      </c>
      <c r="B397" t="s">
        <v>5095</v>
      </c>
      <c r="C397" s="1">
        <v>41755</v>
      </c>
      <c r="D397" s="22">
        <f>MONTH(Table12[[#This Row],[Order Date]])</f>
        <v>4</v>
      </c>
      <c r="E397" t="s">
        <v>159</v>
      </c>
      <c r="F397" t="s">
        <v>160</v>
      </c>
      <c r="G397" s="23" t="s">
        <v>41</v>
      </c>
      <c r="H397" s="23" t="s">
        <v>68</v>
      </c>
      <c r="I397" t="s">
        <v>5096</v>
      </c>
      <c r="J397" s="23" t="s">
        <v>36</v>
      </c>
      <c r="K397" s="22">
        <v>6</v>
      </c>
      <c r="L397" s="1">
        <v>41762</v>
      </c>
      <c r="M397" s="22">
        <f>Table12[[#This Row],[Ship Date]]-Table12[[#This Row],[Order Date]]</f>
        <v>7</v>
      </c>
      <c r="N397" s="23" t="s">
        <v>45</v>
      </c>
      <c r="O397" s="23" t="s">
        <v>23</v>
      </c>
      <c r="P397" s="23" t="s">
        <v>38</v>
      </c>
      <c r="Q397" s="23" t="s">
        <v>39</v>
      </c>
      <c r="R397" s="23" t="s">
        <v>37</v>
      </c>
      <c r="S397" s="33">
        <v>0.2</v>
      </c>
      <c r="T397" s="13">
        <v>18.288</v>
      </c>
      <c r="U397" s="13">
        <v>5.7149999999999999</v>
      </c>
      <c r="V397" s="55">
        <f>IFERROR(Table12[[#This Row],[Profit]]/Table12[[#This Row],[Sales]],0)</f>
        <v>0.3125</v>
      </c>
    </row>
    <row r="398" spans="1:22" x14ac:dyDescent="0.2">
      <c r="A398">
        <v>397</v>
      </c>
      <c r="B398" t="s">
        <v>8562</v>
      </c>
      <c r="C398" s="1">
        <v>41755</v>
      </c>
      <c r="D398" s="22">
        <f>MONTH(Table12[[#This Row],[Order Date]])</f>
        <v>4</v>
      </c>
      <c r="E398" t="s">
        <v>3670</v>
      </c>
      <c r="F398" t="s">
        <v>3671</v>
      </c>
      <c r="G398" s="23" t="s">
        <v>41</v>
      </c>
      <c r="H398" s="23" t="s">
        <v>61</v>
      </c>
      <c r="I398" t="s">
        <v>7471</v>
      </c>
      <c r="J398" s="23" t="s">
        <v>92</v>
      </c>
      <c r="K398" s="22">
        <v>5</v>
      </c>
      <c r="L398" s="1">
        <v>41759</v>
      </c>
      <c r="M398" s="22">
        <f>Table12[[#This Row],[Ship Date]]-Table12[[#This Row],[Order Date]]</f>
        <v>4</v>
      </c>
      <c r="N398" s="23" t="s">
        <v>45</v>
      </c>
      <c r="O398" s="23" t="s">
        <v>23</v>
      </c>
      <c r="P398" s="23" t="s">
        <v>38</v>
      </c>
      <c r="Q398" s="23" t="s">
        <v>39</v>
      </c>
      <c r="R398" s="23" t="s">
        <v>37</v>
      </c>
      <c r="S398" s="33">
        <v>0</v>
      </c>
      <c r="T398" s="13">
        <v>21.4</v>
      </c>
      <c r="U398" s="13">
        <v>6.2060000000000004</v>
      </c>
      <c r="V398" s="55">
        <f>IFERROR(Table12[[#This Row],[Profit]]/Table12[[#This Row],[Sales]],0)</f>
        <v>0.29000000000000004</v>
      </c>
    </row>
    <row r="399" spans="1:22" x14ac:dyDescent="0.2">
      <c r="A399">
        <v>398</v>
      </c>
      <c r="B399" t="s">
        <v>8562</v>
      </c>
      <c r="C399" s="1">
        <v>41755</v>
      </c>
      <c r="D399" s="22">
        <f>MONTH(Table12[[#This Row],[Order Date]])</f>
        <v>4</v>
      </c>
      <c r="E399" t="s">
        <v>7371</v>
      </c>
      <c r="F399" t="s">
        <v>7372</v>
      </c>
      <c r="G399" s="23" t="s">
        <v>41</v>
      </c>
      <c r="H399" s="23" t="s">
        <v>42</v>
      </c>
      <c r="I399" t="s">
        <v>7471</v>
      </c>
      <c r="J399" s="23" t="s">
        <v>92</v>
      </c>
      <c r="K399" s="22">
        <v>2</v>
      </c>
      <c r="L399" s="1">
        <v>41759</v>
      </c>
      <c r="M399" s="22">
        <f>Table12[[#This Row],[Ship Date]]-Table12[[#This Row],[Order Date]]</f>
        <v>4</v>
      </c>
      <c r="N399" s="23" t="s">
        <v>45</v>
      </c>
      <c r="O399" s="23" t="s">
        <v>23</v>
      </c>
      <c r="P399" s="23" t="s">
        <v>38</v>
      </c>
      <c r="Q399" s="23" t="s">
        <v>39</v>
      </c>
      <c r="R399" s="23" t="s">
        <v>37</v>
      </c>
      <c r="S399" s="33">
        <v>0</v>
      </c>
      <c r="T399" s="13">
        <v>12.6</v>
      </c>
      <c r="U399" s="13">
        <v>5.7960000000000003</v>
      </c>
      <c r="V399" s="55">
        <f>IFERROR(Table12[[#This Row],[Profit]]/Table12[[#This Row],[Sales]],0)</f>
        <v>0.46</v>
      </c>
    </row>
    <row r="400" spans="1:22" x14ac:dyDescent="0.2">
      <c r="A400">
        <v>399</v>
      </c>
      <c r="B400" t="s">
        <v>3966</v>
      </c>
      <c r="C400" s="1">
        <v>41757</v>
      </c>
      <c r="D400" s="22">
        <f>MONTH(Table12[[#This Row],[Order Date]])</f>
        <v>4</v>
      </c>
      <c r="E400" t="s">
        <v>3968</v>
      </c>
      <c r="F400" t="s">
        <v>3969</v>
      </c>
      <c r="G400" s="23" t="s">
        <v>41</v>
      </c>
      <c r="H400" s="23" t="s">
        <v>68</v>
      </c>
      <c r="I400" t="s">
        <v>3698</v>
      </c>
      <c r="J400" s="23" t="s">
        <v>36</v>
      </c>
      <c r="K400" s="22">
        <v>2</v>
      </c>
      <c r="L400" s="1">
        <v>41762</v>
      </c>
      <c r="M400" s="22">
        <f>Table12[[#This Row],[Ship Date]]-Table12[[#This Row],[Order Date]]</f>
        <v>5</v>
      </c>
      <c r="N400" s="23" t="s">
        <v>45</v>
      </c>
      <c r="O400" s="23" t="s">
        <v>23</v>
      </c>
      <c r="P400" s="23" t="s">
        <v>2408</v>
      </c>
      <c r="Q400" s="23" t="s">
        <v>133</v>
      </c>
      <c r="R400" s="23" t="s">
        <v>3967</v>
      </c>
      <c r="S400" s="33">
        <v>0</v>
      </c>
      <c r="T400" s="13">
        <v>20.86</v>
      </c>
      <c r="U400" s="13">
        <v>9.3870000000000005</v>
      </c>
      <c r="V400" s="55">
        <f>IFERROR(Table12[[#This Row],[Profit]]/Table12[[#This Row],[Sales]],0)</f>
        <v>0.45</v>
      </c>
    </row>
    <row r="401" spans="1:22" x14ac:dyDescent="0.2">
      <c r="A401">
        <v>400</v>
      </c>
      <c r="B401" t="s">
        <v>3966</v>
      </c>
      <c r="C401" s="1">
        <v>41757</v>
      </c>
      <c r="D401" s="22">
        <f>MONTH(Table12[[#This Row],[Order Date]])</f>
        <v>4</v>
      </c>
      <c r="E401" t="s">
        <v>3970</v>
      </c>
      <c r="F401" t="s">
        <v>3971</v>
      </c>
      <c r="G401" s="23" t="s">
        <v>41</v>
      </c>
      <c r="H401" s="23" t="s">
        <v>53</v>
      </c>
      <c r="I401" t="s">
        <v>3698</v>
      </c>
      <c r="J401" s="23" t="s">
        <v>36</v>
      </c>
      <c r="K401" s="22">
        <v>9</v>
      </c>
      <c r="L401" s="1">
        <v>41762</v>
      </c>
      <c r="M401" s="22">
        <f>Table12[[#This Row],[Ship Date]]-Table12[[#This Row],[Order Date]]</f>
        <v>5</v>
      </c>
      <c r="N401" s="23" t="s">
        <v>45</v>
      </c>
      <c r="O401" s="23" t="s">
        <v>23</v>
      </c>
      <c r="P401" s="23" t="s">
        <v>2408</v>
      </c>
      <c r="Q401" s="23" t="s">
        <v>133</v>
      </c>
      <c r="R401" s="23" t="s">
        <v>3967</v>
      </c>
      <c r="S401" s="33">
        <v>0</v>
      </c>
      <c r="T401" s="13">
        <v>497.61</v>
      </c>
      <c r="U401" s="13">
        <v>129.37860000000001</v>
      </c>
      <c r="V401" s="55">
        <f>IFERROR(Table12[[#This Row],[Profit]]/Table12[[#This Row],[Sales]],0)</f>
        <v>0.26</v>
      </c>
    </row>
    <row r="402" spans="1:22" x14ac:dyDescent="0.2">
      <c r="A402">
        <v>401</v>
      </c>
      <c r="B402" t="s">
        <v>3966</v>
      </c>
      <c r="C402" s="1">
        <v>41757</v>
      </c>
      <c r="D402" s="22">
        <f>MONTH(Table12[[#This Row],[Order Date]])</f>
        <v>4</v>
      </c>
      <c r="E402" t="s">
        <v>3972</v>
      </c>
      <c r="F402" t="s">
        <v>3973</v>
      </c>
      <c r="G402" s="23" t="s">
        <v>41</v>
      </c>
      <c r="H402" s="23" t="s">
        <v>61</v>
      </c>
      <c r="I402" t="s">
        <v>3698</v>
      </c>
      <c r="J402" s="23" t="s">
        <v>36</v>
      </c>
      <c r="K402" s="22">
        <v>2</v>
      </c>
      <c r="L402" s="1">
        <v>41762</v>
      </c>
      <c r="M402" s="22">
        <f>Table12[[#This Row],[Ship Date]]-Table12[[#This Row],[Order Date]]</f>
        <v>5</v>
      </c>
      <c r="N402" s="23" t="s">
        <v>45</v>
      </c>
      <c r="O402" s="23" t="s">
        <v>23</v>
      </c>
      <c r="P402" s="23" t="s">
        <v>2408</v>
      </c>
      <c r="Q402" s="23" t="s">
        <v>133</v>
      </c>
      <c r="R402" s="23" t="s">
        <v>3967</v>
      </c>
      <c r="S402" s="33">
        <v>0</v>
      </c>
      <c r="T402" s="13">
        <v>5.34</v>
      </c>
      <c r="U402" s="13">
        <v>1.4952000000000001</v>
      </c>
      <c r="V402" s="55">
        <f>IFERROR(Table12[[#This Row],[Profit]]/Table12[[#This Row],[Sales]],0)</f>
        <v>0.28000000000000003</v>
      </c>
    </row>
    <row r="403" spans="1:22" x14ac:dyDescent="0.2">
      <c r="A403">
        <v>402</v>
      </c>
      <c r="B403" t="s">
        <v>3966</v>
      </c>
      <c r="C403" s="1">
        <v>41757</v>
      </c>
      <c r="D403" s="22">
        <f>MONTH(Table12[[#This Row],[Order Date]])</f>
        <v>4</v>
      </c>
      <c r="E403" t="s">
        <v>2816</v>
      </c>
      <c r="F403" t="s">
        <v>2817</v>
      </c>
      <c r="G403" s="23" t="s">
        <v>41</v>
      </c>
      <c r="H403" s="23" t="s">
        <v>42</v>
      </c>
      <c r="I403" t="s">
        <v>3698</v>
      </c>
      <c r="J403" s="23" t="s">
        <v>36</v>
      </c>
      <c r="K403" s="22">
        <v>1</v>
      </c>
      <c r="L403" s="1">
        <v>41762</v>
      </c>
      <c r="M403" s="22">
        <f>Table12[[#This Row],[Ship Date]]-Table12[[#This Row],[Order Date]]</f>
        <v>5</v>
      </c>
      <c r="N403" s="23" t="s">
        <v>45</v>
      </c>
      <c r="O403" s="23" t="s">
        <v>23</v>
      </c>
      <c r="P403" s="23" t="s">
        <v>2408</v>
      </c>
      <c r="Q403" s="23" t="s">
        <v>133</v>
      </c>
      <c r="R403" s="23" t="s">
        <v>3967</v>
      </c>
      <c r="S403" s="33">
        <v>0</v>
      </c>
      <c r="T403" s="13">
        <v>3.15</v>
      </c>
      <c r="U403" s="13">
        <v>1.512</v>
      </c>
      <c r="V403" s="55">
        <f>IFERROR(Table12[[#This Row],[Profit]]/Table12[[#This Row],[Sales]],0)</f>
        <v>0.48000000000000004</v>
      </c>
    </row>
    <row r="404" spans="1:22" x14ac:dyDescent="0.2">
      <c r="A404">
        <v>403</v>
      </c>
      <c r="B404" t="s">
        <v>6073</v>
      </c>
      <c r="C404" s="1">
        <v>41757</v>
      </c>
      <c r="D404" s="22">
        <f>MONTH(Table12[[#This Row],[Order Date]])</f>
        <v>4</v>
      </c>
      <c r="E404" t="s">
        <v>2568</v>
      </c>
      <c r="F404" t="s">
        <v>2569</v>
      </c>
      <c r="G404" s="23" t="s">
        <v>41</v>
      </c>
      <c r="H404" s="23" t="s">
        <v>42</v>
      </c>
      <c r="I404" t="s">
        <v>2430</v>
      </c>
      <c r="J404" s="23" t="s">
        <v>36</v>
      </c>
      <c r="K404" s="22">
        <v>3</v>
      </c>
      <c r="L404" s="1">
        <v>41762</v>
      </c>
      <c r="M404" s="22">
        <f>Table12[[#This Row],[Ship Date]]-Table12[[#This Row],[Order Date]]</f>
        <v>5</v>
      </c>
      <c r="N404" s="23" t="s">
        <v>45</v>
      </c>
      <c r="O404" s="23" t="s">
        <v>23</v>
      </c>
      <c r="P404" s="23" t="s">
        <v>441</v>
      </c>
      <c r="Q404" s="23" t="s">
        <v>133</v>
      </c>
      <c r="R404" s="23" t="s">
        <v>536</v>
      </c>
      <c r="S404" s="33">
        <v>0.2</v>
      </c>
      <c r="T404" s="13">
        <v>6.9119999999999999</v>
      </c>
      <c r="U404" s="13">
        <v>2.5055999999999998</v>
      </c>
      <c r="V404" s="55">
        <f>IFERROR(Table12[[#This Row],[Profit]]/Table12[[#This Row],[Sales]],0)</f>
        <v>0.36249999999999999</v>
      </c>
    </row>
    <row r="405" spans="1:22" x14ac:dyDescent="0.2">
      <c r="A405">
        <v>404</v>
      </c>
      <c r="B405" t="s">
        <v>6073</v>
      </c>
      <c r="C405" s="1">
        <v>41757</v>
      </c>
      <c r="D405" s="22">
        <f>MONTH(Table12[[#This Row],[Order Date]])</f>
        <v>4</v>
      </c>
      <c r="E405" t="s">
        <v>3510</v>
      </c>
      <c r="F405" t="s">
        <v>3511</v>
      </c>
      <c r="G405" s="23" t="s">
        <v>41</v>
      </c>
      <c r="H405" s="23" t="s">
        <v>53</v>
      </c>
      <c r="I405" t="s">
        <v>2430</v>
      </c>
      <c r="J405" s="23" t="s">
        <v>36</v>
      </c>
      <c r="K405" s="22">
        <v>3</v>
      </c>
      <c r="L405" s="1">
        <v>41762</v>
      </c>
      <c r="M405" s="22">
        <f>Table12[[#This Row],[Ship Date]]-Table12[[#This Row],[Order Date]]</f>
        <v>5</v>
      </c>
      <c r="N405" s="23" t="s">
        <v>45</v>
      </c>
      <c r="O405" s="23" t="s">
        <v>23</v>
      </c>
      <c r="P405" s="23" t="s">
        <v>441</v>
      </c>
      <c r="Q405" s="23" t="s">
        <v>133</v>
      </c>
      <c r="R405" s="23" t="s">
        <v>536</v>
      </c>
      <c r="S405" s="33">
        <v>0.2</v>
      </c>
      <c r="T405" s="13">
        <v>27.096</v>
      </c>
      <c r="U405" s="13">
        <v>2.0322</v>
      </c>
      <c r="V405" s="55">
        <f>IFERROR(Table12[[#This Row],[Profit]]/Table12[[#This Row],[Sales]],0)</f>
        <v>7.4999999999999997E-2</v>
      </c>
    </row>
    <row r="406" spans="1:22" x14ac:dyDescent="0.2">
      <c r="A406">
        <v>405</v>
      </c>
      <c r="B406" t="s">
        <v>6073</v>
      </c>
      <c r="C406" s="1">
        <v>41757</v>
      </c>
      <c r="D406" s="22">
        <f>MONTH(Table12[[#This Row],[Order Date]])</f>
        <v>4</v>
      </c>
      <c r="E406" t="s">
        <v>5352</v>
      </c>
      <c r="F406" t="s">
        <v>5353</v>
      </c>
      <c r="G406" s="23" t="s">
        <v>41</v>
      </c>
      <c r="H406" s="23" t="s">
        <v>53</v>
      </c>
      <c r="I406" t="s">
        <v>2430</v>
      </c>
      <c r="J406" s="23" t="s">
        <v>36</v>
      </c>
      <c r="K406" s="22">
        <v>2</v>
      </c>
      <c r="L406" s="1">
        <v>41762</v>
      </c>
      <c r="M406" s="22">
        <f>Table12[[#This Row],[Ship Date]]-Table12[[#This Row],[Order Date]]</f>
        <v>5</v>
      </c>
      <c r="N406" s="23" t="s">
        <v>45</v>
      </c>
      <c r="O406" s="23" t="s">
        <v>23</v>
      </c>
      <c r="P406" s="23" t="s">
        <v>441</v>
      </c>
      <c r="Q406" s="23" t="s">
        <v>133</v>
      </c>
      <c r="R406" s="23" t="s">
        <v>536</v>
      </c>
      <c r="S406" s="33">
        <v>0.2</v>
      </c>
      <c r="T406" s="13">
        <v>177.56800000000001</v>
      </c>
      <c r="U406" s="13">
        <v>-37.733199999999997</v>
      </c>
      <c r="V406" s="55">
        <f>IFERROR(Table12[[#This Row],[Profit]]/Table12[[#This Row],[Sales]],0)</f>
        <v>-0.21249999999999997</v>
      </c>
    </row>
    <row r="407" spans="1:22" x14ac:dyDescent="0.2">
      <c r="A407">
        <v>406</v>
      </c>
      <c r="B407" t="s">
        <v>9255</v>
      </c>
      <c r="C407" s="1">
        <v>41757</v>
      </c>
      <c r="D407" s="22">
        <f>MONTH(Table12[[#This Row],[Order Date]])</f>
        <v>4</v>
      </c>
      <c r="E407" t="s">
        <v>5480</v>
      </c>
      <c r="F407" t="s">
        <v>5481</v>
      </c>
      <c r="G407" s="23" t="s">
        <v>64</v>
      </c>
      <c r="H407" s="23" t="s">
        <v>65</v>
      </c>
      <c r="I407" t="s">
        <v>3566</v>
      </c>
      <c r="J407" s="23" t="s">
        <v>22</v>
      </c>
      <c r="K407" s="22">
        <v>5</v>
      </c>
      <c r="L407" s="1">
        <v>41759</v>
      </c>
      <c r="M407" s="22">
        <f>Table12[[#This Row],[Ship Date]]-Table12[[#This Row],[Order Date]]</f>
        <v>2</v>
      </c>
      <c r="N407" s="23" t="s">
        <v>169</v>
      </c>
      <c r="O407" s="23" t="s">
        <v>23</v>
      </c>
      <c r="P407" s="23" t="s">
        <v>38</v>
      </c>
      <c r="Q407" s="23" t="s">
        <v>39</v>
      </c>
      <c r="R407" s="23" t="s">
        <v>114</v>
      </c>
      <c r="S407" s="33">
        <v>0.2</v>
      </c>
      <c r="T407" s="13">
        <v>1679.96</v>
      </c>
      <c r="U407" s="13">
        <v>125.997</v>
      </c>
      <c r="V407" s="55">
        <f>IFERROR(Table12[[#This Row],[Profit]]/Table12[[#This Row],[Sales]],0)</f>
        <v>7.4999999999999997E-2</v>
      </c>
    </row>
    <row r="408" spans="1:22" x14ac:dyDescent="0.2">
      <c r="A408">
        <v>407</v>
      </c>
      <c r="B408" t="s">
        <v>9529</v>
      </c>
      <c r="C408" s="1">
        <v>41757</v>
      </c>
      <c r="D408" s="22">
        <f>MONTH(Table12[[#This Row],[Order Date]])</f>
        <v>4</v>
      </c>
      <c r="E408" t="s">
        <v>3897</v>
      </c>
      <c r="F408" t="s">
        <v>3898</v>
      </c>
      <c r="G408" s="23" t="s">
        <v>64</v>
      </c>
      <c r="H408" s="23" t="s">
        <v>144</v>
      </c>
      <c r="I408" t="s">
        <v>774</v>
      </c>
      <c r="J408" s="23" t="s">
        <v>36</v>
      </c>
      <c r="K408" s="22">
        <v>2</v>
      </c>
      <c r="L408" s="1">
        <v>41762</v>
      </c>
      <c r="M408" s="22">
        <f>Table12[[#This Row],[Ship Date]]-Table12[[#This Row],[Order Date]]</f>
        <v>5</v>
      </c>
      <c r="N408" s="23" t="s">
        <v>45</v>
      </c>
      <c r="O408" s="23" t="s">
        <v>23</v>
      </c>
      <c r="P408" s="23" t="s">
        <v>238</v>
      </c>
      <c r="Q408" s="23" t="s">
        <v>133</v>
      </c>
      <c r="R408" s="23" t="s">
        <v>4954</v>
      </c>
      <c r="S408" s="33">
        <v>0</v>
      </c>
      <c r="T408" s="13">
        <v>159.97999999999999</v>
      </c>
      <c r="U408" s="13">
        <v>57.592799999999997</v>
      </c>
      <c r="V408" s="55">
        <f>IFERROR(Table12[[#This Row],[Profit]]/Table12[[#This Row],[Sales]],0)</f>
        <v>0.36</v>
      </c>
    </row>
    <row r="409" spans="1:22" x14ac:dyDescent="0.2">
      <c r="A409">
        <v>408</v>
      </c>
      <c r="B409" t="s">
        <v>2395</v>
      </c>
      <c r="C409" s="1">
        <v>41758</v>
      </c>
      <c r="D409" s="22">
        <f>MONTH(Table12[[#This Row],[Order Date]])</f>
        <v>4</v>
      </c>
      <c r="E409" t="s">
        <v>2397</v>
      </c>
      <c r="F409" t="s">
        <v>2398</v>
      </c>
      <c r="G409" s="23" t="s">
        <v>28</v>
      </c>
      <c r="H409" s="23" t="s">
        <v>58</v>
      </c>
      <c r="I409" t="s">
        <v>2396</v>
      </c>
      <c r="J409" s="23" t="s">
        <v>22</v>
      </c>
      <c r="K409" s="22">
        <v>2</v>
      </c>
      <c r="L409" s="1">
        <v>41763</v>
      </c>
      <c r="M409" s="22">
        <f>Table12[[#This Row],[Ship Date]]-Table12[[#This Row],[Order Date]]</f>
        <v>5</v>
      </c>
      <c r="N409" s="23" t="s">
        <v>45</v>
      </c>
      <c r="O409" s="23" t="s">
        <v>23</v>
      </c>
      <c r="P409" s="23" t="s">
        <v>238</v>
      </c>
      <c r="Q409" s="23" t="s">
        <v>133</v>
      </c>
      <c r="R409" s="23" t="s">
        <v>347</v>
      </c>
      <c r="S409" s="33">
        <v>0</v>
      </c>
      <c r="T409" s="13">
        <v>17.46</v>
      </c>
      <c r="U409" s="13">
        <v>5.9363999999999999</v>
      </c>
      <c r="V409" s="55">
        <f>IFERROR(Table12[[#This Row],[Profit]]/Table12[[#This Row],[Sales]],0)</f>
        <v>0.33999999999999997</v>
      </c>
    </row>
    <row r="410" spans="1:22" x14ac:dyDescent="0.2">
      <c r="A410">
        <v>409</v>
      </c>
      <c r="B410" t="s">
        <v>5413</v>
      </c>
      <c r="C410" s="1">
        <v>41758</v>
      </c>
      <c r="D410" s="22">
        <f>MONTH(Table12[[#This Row],[Order Date]])</f>
        <v>4</v>
      </c>
      <c r="E410" t="s">
        <v>2732</v>
      </c>
      <c r="F410" t="s">
        <v>2733</v>
      </c>
      <c r="G410" s="23" t="s">
        <v>28</v>
      </c>
      <c r="H410" s="23" t="s">
        <v>32</v>
      </c>
      <c r="I410" t="s">
        <v>5414</v>
      </c>
      <c r="J410" s="23" t="s">
        <v>22</v>
      </c>
      <c r="K410" s="22">
        <v>2</v>
      </c>
      <c r="L410" s="1">
        <v>41760</v>
      </c>
      <c r="M410" s="22">
        <f>Table12[[#This Row],[Ship Date]]-Table12[[#This Row],[Order Date]]</f>
        <v>2</v>
      </c>
      <c r="N410" s="23" t="s">
        <v>20</v>
      </c>
      <c r="O410" s="23" t="s">
        <v>23</v>
      </c>
      <c r="P410" s="23" t="s">
        <v>650</v>
      </c>
      <c r="Q410" s="23" t="s">
        <v>26</v>
      </c>
      <c r="R410" s="23" t="s">
        <v>5415</v>
      </c>
      <c r="S410" s="33">
        <v>0</v>
      </c>
      <c r="T410" s="13">
        <v>51.96</v>
      </c>
      <c r="U410" s="13">
        <v>12.99</v>
      </c>
      <c r="V410" s="55">
        <f>IFERROR(Table12[[#This Row],[Profit]]/Table12[[#This Row],[Sales]],0)</f>
        <v>0.25</v>
      </c>
    </row>
    <row r="411" spans="1:22" x14ac:dyDescent="0.2">
      <c r="A411">
        <v>410</v>
      </c>
      <c r="B411" t="s">
        <v>5413</v>
      </c>
      <c r="C411" s="1">
        <v>41758</v>
      </c>
      <c r="D411" s="22">
        <f>MONTH(Table12[[#This Row],[Order Date]])</f>
        <v>4</v>
      </c>
      <c r="E411" t="s">
        <v>3283</v>
      </c>
      <c r="F411" t="s">
        <v>3284</v>
      </c>
      <c r="G411" s="23" t="s">
        <v>41</v>
      </c>
      <c r="H411" s="23" t="s">
        <v>68</v>
      </c>
      <c r="I411" t="s">
        <v>5414</v>
      </c>
      <c r="J411" s="23" t="s">
        <v>22</v>
      </c>
      <c r="K411" s="22">
        <v>3</v>
      </c>
      <c r="L411" s="1">
        <v>41760</v>
      </c>
      <c r="M411" s="22">
        <f>Table12[[#This Row],[Ship Date]]-Table12[[#This Row],[Order Date]]</f>
        <v>2</v>
      </c>
      <c r="N411" s="23" t="s">
        <v>20</v>
      </c>
      <c r="O411" s="23" t="s">
        <v>23</v>
      </c>
      <c r="P411" s="23" t="s">
        <v>650</v>
      </c>
      <c r="Q411" s="23" t="s">
        <v>26</v>
      </c>
      <c r="R411" s="23" t="s">
        <v>5415</v>
      </c>
      <c r="S411" s="33">
        <v>0</v>
      </c>
      <c r="T411" s="13">
        <v>17.940000000000001</v>
      </c>
      <c r="U411" s="13">
        <v>8.6112000000000002</v>
      </c>
      <c r="V411" s="55">
        <f>IFERROR(Table12[[#This Row],[Profit]]/Table12[[#This Row],[Sales]],0)</f>
        <v>0.48</v>
      </c>
    </row>
    <row r="412" spans="1:22" x14ac:dyDescent="0.2">
      <c r="A412">
        <v>411</v>
      </c>
      <c r="B412" t="s">
        <v>8091</v>
      </c>
      <c r="C412" s="1">
        <v>41758</v>
      </c>
      <c r="D412" s="22">
        <f>MONTH(Table12[[#This Row],[Order Date]])</f>
        <v>4</v>
      </c>
      <c r="E412" t="s">
        <v>2249</v>
      </c>
      <c r="F412" t="s">
        <v>2250</v>
      </c>
      <c r="G412" s="23" t="s">
        <v>28</v>
      </c>
      <c r="H412" s="23" t="s">
        <v>32</v>
      </c>
      <c r="I412" t="s">
        <v>1190</v>
      </c>
      <c r="J412" s="23" t="s">
        <v>36</v>
      </c>
      <c r="K412" s="22">
        <v>2</v>
      </c>
      <c r="L412" s="1">
        <v>41762</v>
      </c>
      <c r="M412" s="22">
        <f>Table12[[#This Row],[Ship Date]]-Table12[[#This Row],[Order Date]]</f>
        <v>4</v>
      </c>
      <c r="N412" s="23" t="s">
        <v>45</v>
      </c>
      <c r="O412" s="23" t="s">
        <v>23</v>
      </c>
      <c r="P412" s="23" t="s">
        <v>299</v>
      </c>
      <c r="Q412" s="23" t="s">
        <v>26</v>
      </c>
      <c r="R412" s="23" t="s">
        <v>298</v>
      </c>
      <c r="S412" s="33">
        <v>0.2</v>
      </c>
      <c r="T412" s="13">
        <v>561.58399999999995</v>
      </c>
      <c r="U412" s="13">
        <v>70.197999999999993</v>
      </c>
      <c r="V412" s="55">
        <f>IFERROR(Table12[[#This Row],[Profit]]/Table12[[#This Row],[Sales]],0)</f>
        <v>0.125</v>
      </c>
    </row>
    <row r="413" spans="1:22" x14ac:dyDescent="0.2">
      <c r="A413">
        <v>412</v>
      </c>
      <c r="B413" t="s">
        <v>8091</v>
      </c>
      <c r="C413" s="1">
        <v>41758</v>
      </c>
      <c r="D413" s="22">
        <f>MONTH(Table12[[#This Row],[Order Date]])</f>
        <v>4</v>
      </c>
      <c r="E413" t="s">
        <v>1236</v>
      </c>
      <c r="F413" t="s">
        <v>1237</v>
      </c>
      <c r="G413" s="23" t="s">
        <v>41</v>
      </c>
      <c r="H413" s="23" t="s">
        <v>53</v>
      </c>
      <c r="I413" t="s">
        <v>1190</v>
      </c>
      <c r="J413" s="23" t="s">
        <v>36</v>
      </c>
      <c r="K413" s="22">
        <v>5</v>
      </c>
      <c r="L413" s="1">
        <v>41762</v>
      </c>
      <c r="M413" s="22">
        <f>Table12[[#This Row],[Ship Date]]-Table12[[#This Row],[Order Date]]</f>
        <v>4</v>
      </c>
      <c r="N413" s="23" t="s">
        <v>45</v>
      </c>
      <c r="O413" s="23" t="s">
        <v>23</v>
      </c>
      <c r="P413" s="23" t="s">
        <v>299</v>
      </c>
      <c r="Q413" s="23" t="s">
        <v>26</v>
      </c>
      <c r="R413" s="23" t="s">
        <v>298</v>
      </c>
      <c r="S413" s="33">
        <v>0.2</v>
      </c>
      <c r="T413" s="13">
        <v>99.92</v>
      </c>
      <c r="U413" s="13">
        <v>-1.2490000000000001</v>
      </c>
      <c r="V413" s="55">
        <f>IFERROR(Table12[[#This Row],[Profit]]/Table12[[#This Row],[Sales]],0)</f>
        <v>-1.2500000000000001E-2</v>
      </c>
    </row>
    <row r="414" spans="1:22" x14ac:dyDescent="0.2">
      <c r="A414">
        <v>413</v>
      </c>
      <c r="B414" t="s">
        <v>9142</v>
      </c>
      <c r="C414" s="1">
        <v>41758</v>
      </c>
      <c r="D414" s="22">
        <f>MONTH(Table12[[#This Row],[Order Date]])</f>
        <v>4</v>
      </c>
      <c r="E414" t="s">
        <v>1489</v>
      </c>
      <c r="F414" t="s">
        <v>1490</v>
      </c>
      <c r="G414" s="23" t="s">
        <v>64</v>
      </c>
      <c r="H414" s="23" t="s">
        <v>65</v>
      </c>
      <c r="I414" t="s">
        <v>2542</v>
      </c>
      <c r="J414" s="23" t="s">
        <v>22</v>
      </c>
      <c r="K414" s="22">
        <v>2</v>
      </c>
      <c r="L414" s="1">
        <v>41763</v>
      </c>
      <c r="M414" s="22">
        <f>Table12[[#This Row],[Ship Date]]-Table12[[#This Row],[Order Date]]</f>
        <v>5</v>
      </c>
      <c r="N414" s="23" t="s">
        <v>45</v>
      </c>
      <c r="O414" s="23" t="s">
        <v>23</v>
      </c>
      <c r="P414" s="23" t="s">
        <v>218</v>
      </c>
      <c r="Q414" s="23" t="s">
        <v>133</v>
      </c>
      <c r="R414" s="23" t="s">
        <v>217</v>
      </c>
      <c r="S414" s="33">
        <v>0</v>
      </c>
      <c r="T414" s="13">
        <v>19.98</v>
      </c>
      <c r="U414" s="13">
        <v>5.1947999999999999</v>
      </c>
      <c r="V414" s="55">
        <f>IFERROR(Table12[[#This Row],[Profit]]/Table12[[#This Row],[Sales]],0)</f>
        <v>0.26</v>
      </c>
    </row>
    <row r="415" spans="1:22" x14ac:dyDescent="0.2">
      <c r="A415">
        <v>414</v>
      </c>
      <c r="B415" t="s">
        <v>7177</v>
      </c>
      <c r="C415" s="1">
        <v>41759</v>
      </c>
      <c r="D415" s="22">
        <f>MONTH(Table12[[#This Row],[Order Date]])</f>
        <v>4</v>
      </c>
      <c r="E415" t="s">
        <v>4994</v>
      </c>
      <c r="F415" t="s">
        <v>4995</v>
      </c>
      <c r="G415" s="23" t="s">
        <v>64</v>
      </c>
      <c r="H415" s="23" t="s">
        <v>144</v>
      </c>
      <c r="I415" t="s">
        <v>4845</v>
      </c>
      <c r="J415" s="23" t="s">
        <v>22</v>
      </c>
      <c r="K415" s="22">
        <v>3</v>
      </c>
      <c r="L415" s="1">
        <v>41761</v>
      </c>
      <c r="M415" s="22">
        <f>Table12[[#This Row],[Ship Date]]-Table12[[#This Row],[Order Date]]</f>
        <v>2</v>
      </c>
      <c r="N415" s="23" t="s">
        <v>20</v>
      </c>
      <c r="O415" s="23" t="s">
        <v>23</v>
      </c>
      <c r="P415" s="23" t="s">
        <v>1315</v>
      </c>
      <c r="Q415" s="23" t="s">
        <v>26</v>
      </c>
      <c r="R415" s="23" t="s">
        <v>293</v>
      </c>
      <c r="S415" s="33">
        <v>0</v>
      </c>
      <c r="T415" s="13">
        <v>47.79</v>
      </c>
      <c r="U415" s="13">
        <v>16.2486</v>
      </c>
      <c r="V415" s="55">
        <f>IFERROR(Table12[[#This Row],[Profit]]/Table12[[#This Row],[Sales]],0)</f>
        <v>0.34</v>
      </c>
    </row>
    <row r="416" spans="1:22" x14ac:dyDescent="0.2">
      <c r="A416">
        <v>415</v>
      </c>
      <c r="B416" t="s">
        <v>9369</v>
      </c>
      <c r="C416" s="1">
        <v>41759</v>
      </c>
      <c r="D416" s="22">
        <f>MONTH(Table12[[#This Row],[Order Date]])</f>
        <v>4</v>
      </c>
      <c r="E416" t="s">
        <v>7596</v>
      </c>
      <c r="F416" t="s">
        <v>7597</v>
      </c>
      <c r="G416" s="23" t="s">
        <v>41</v>
      </c>
      <c r="H416" s="23" t="s">
        <v>61</v>
      </c>
      <c r="I416" t="s">
        <v>4635</v>
      </c>
      <c r="J416" s="23" t="s">
        <v>22</v>
      </c>
      <c r="K416" s="22">
        <v>5</v>
      </c>
      <c r="L416" s="1">
        <v>41761</v>
      </c>
      <c r="M416" s="22">
        <f>Table12[[#This Row],[Ship Date]]-Table12[[#This Row],[Order Date]]</f>
        <v>2</v>
      </c>
      <c r="N416" s="23" t="s">
        <v>169</v>
      </c>
      <c r="O416" s="23" t="s">
        <v>23</v>
      </c>
      <c r="P416" s="23" t="s">
        <v>25</v>
      </c>
      <c r="Q416" s="23" t="s">
        <v>26</v>
      </c>
      <c r="R416" s="23" t="s">
        <v>1303</v>
      </c>
      <c r="S416" s="33">
        <v>0</v>
      </c>
      <c r="T416" s="13">
        <v>174.95</v>
      </c>
      <c r="U416" s="13">
        <v>45.487000000000002</v>
      </c>
      <c r="V416" s="55">
        <f>IFERROR(Table12[[#This Row],[Profit]]/Table12[[#This Row],[Sales]],0)</f>
        <v>0.26</v>
      </c>
    </row>
    <row r="417" spans="1:22" x14ac:dyDescent="0.2">
      <c r="A417">
        <v>416</v>
      </c>
      <c r="B417" t="s">
        <v>9369</v>
      </c>
      <c r="C417" s="1">
        <v>41759</v>
      </c>
      <c r="D417" s="22">
        <f>MONTH(Table12[[#This Row],[Order Date]])</f>
        <v>4</v>
      </c>
      <c r="E417" t="s">
        <v>1866</v>
      </c>
      <c r="F417" t="s">
        <v>1867</v>
      </c>
      <c r="G417" s="23" t="s">
        <v>41</v>
      </c>
      <c r="H417" s="23" t="s">
        <v>53</v>
      </c>
      <c r="I417" t="s">
        <v>4635</v>
      </c>
      <c r="J417" s="23" t="s">
        <v>22</v>
      </c>
      <c r="K417" s="22">
        <v>5</v>
      </c>
      <c r="L417" s="1">
        <v>41761</v>
      </c>
      <c r="M417" s="22">
        <f>Table12[[#This Row],[Ship Date]]-Table12[[#This Row],[Order Date]]</f>
        <v>2</v>
      </c>
      <c r="N417" s="23" t="s">
        <v>169</v>
      </c>
      <c r="O417" s="23" t="s">
        <v>23</v>
      </c>
      <c r="P417" s="23" t="s">
        <v>25</v>
      </c>
      <c r="Q417" s="23" t="s">
        <v>26</v>
      </c>
      <c r="R417" s="23" t="s">
        <v>1303</v>
      </c>
      <c r="S417" s="33">
        <v>0</v>
      </c>
      <c r="T417" s="13">
        <v>826</v>
      </c>
      <c r="U417" s="13">
        <v>214.76</v>
      </c>
      <c r="V417" s="55">
        <f>IFERROR(Table12[[#This Row],[Profit]]/Table12[[#This Row],[Sales]],0)</f>
        <v>0.26</v>
      </c>
    </row>
    <row r="418" spans="1:22" x14ac:dyDescent="0.2">
      <c r="A418">
        <v>417</v>
      </c>
      <c r="B418" t="s">
        <v>7745</v>
      </c>
      <c r="C418" s="1">
        <v>41761</v>
      </c>
      <c r="D418" s="22">
        <f>MONTH(Table12[[#This Row],[Order Date]])</f>
        <v>5</v>
      </c>
      <c r="E418" t="s">
        <v>3197</v>
      </c>
      <c r="F418" t="s">
        <v>3198</v>
      </c>
      <c r="G418" s="23" t="s">
        <v>41</v>
      </c>
      <c r="H418" s="23" t="s">
        <v>71</v>
      </c>
      <c r="I418" t="s">
        <v>1779</v>
      </c>
      <c r="J418" s="23" t="s">
        <v>22</v>
      </c>
      <c r="K418" s="22">
        <v>3</v>
      </c>
      <c r="L418" s="1">
        <v>41761</v>
      </c>
      <c r="M418" s="22">
        <f>Table12[[#This Row],[Ship Date]]-Table12[[#This Row],[Order Date]]</f>
        <v>0</v>
      </c>
      <c r="N418" s="23" t="s">
        <v>1141</v>
      </c>
      <c r="O418" s="23" t="s">
        <v>23</v>
      </c>
      <c r="P418" s="23" t="s">
        <v>441</v>
      </c>
      <c r="Q418" s="23" t="s">
        <v>133</v>
      </c>
      <c r="R418" s="23" t="s">
        <v>440</v>
      </c>
      <c r="S418" s="33">
        <v>0.2</v>
      </c>
      <c r="T418" s="13">
        <v>26.135999999999999</v>
      </c>
      <c r="U418" s="13">
        <v>1.9601999999999999</v>
      </c>
      <c r="V418" s="55">
        <f>IFERROR(Table12[[#This Row],[Profit]]/Table12[[#This Row],[Sales]],0)</f>
        <v>7.4999999999999997E-2</v>
      </c>
    </row>
    <row r="419" spans="1:22" x14ac:dyDescent="0.2">
      <c r="A419">
        <v>418</v>
      </c>
      <c r="B419" t="s">
        <v>8475</v>
      </c>
      <c r="C419" s="1">
        <v>41761</v>
      </c>
      <c r="D419" s="22">
        <f>MONTH(Table12[[#This Row],[Order Date]])</f>
        <v>5</v>
      </c>
      <c r="E419" t="s">
        <v>2920</v>
      </c>
      <c r="F419" t="s">
        <v>2921</v>
      </c>
      <c r="G419" s="23" t="s">
        <v>64</v>
      </c>
      <c r="H419" s="23" t="s">
        <v>1075</v>
      </c>
      <c r="I419" t="s">
        <v>7013</v>
      </c>
      <c r="J419" s="23" t="s">
        <v>22</v>
      </c>
      <c r="K419" s="22">
        <v>2</v>
      </c>
      <c r="L419" s="1">
        <v>41763</v>
      </c>
      <c r="M419" s="22">
        <f>Table12[[#This Row],[Ship Date]]-Table12[[#This Row],[Order Date]]</f>
        <v>2</v>
      </c>
      <c r="N419" s="23" t="s">
        <v>20</v>
      </c>
      <c r="O419" s="23" t="s">
        <v>23</v>
      </c>
      <c r="P419" s="23" t="s">
        <v>48</v>
      </c>
      <c r="Q419" s="23" t="s">
        <v>26</v>
      </c>
      <c r="R419" s="23" t="s">
        <v>1587</v>
      </c>
      <c r="S419" s="33">
        <v>0.2</v>
      </c>
      <c r="T419" s="13">
        <v>479.98399999999998</v>
      </c>
      <c r="U419" s="13">
        <v>89.997</v>
      </c>
      <c r="V419" s="55">
        <f>IFERROR(Table12[[#This Row],[Profit]]/Table12[[#This Row],[Sales]],0)</f>
        <v>0.1875</v>
      </c>
    </row>
    <row r="420" spans="1:22" x14ac:dyDescent="0.2">
      <c r="A420">
        <v>419</v>
      </c>
      <c r="B420" t="s">
        <v>3629</v>
      </c>
      <c r="C420" s="1">
        <v>41762</v>
      </c>
      <c r="D420" s="22">
        <f>MONTH(Table12[[#This Row],[Order Date]])</f>
        <v>5</v>
      </c>
      <c r="E420" t="s">
        <v>3631</v>
      </c>
      <c r="F420" t="s">
        <v>3632</v>
      </c>
      <c r="G420" s="23" t="s">
        <v>41</v>
      </c>
      <c r="H420" s="23" t="s">
        <v>42</v>
      </c>
      <c r="I420" t="s">
        <v>1427</v>
      </c>
      <c r="J420" s="23" t="s">
        <v>92</v>
      </c>
      <c r="K420" s="22">
        <v>7</v>
      </c>
      <c r="L420" s="1">
        <v>41764</v>
      </c>
      <c r="M420" s="22">
        <f>Table12[[#This Row],[Ship Date]]-Table12[[#This Row],[Order Date]]</f>
        <v>2</v>
      </c>
      <c r="N420" s="23" t="s">
        <v>169</v>
      </c>
      <c r="O420" s="23" t="s">
        <v>23</v>
      </c>
      <c r="P420" s="23" t="s">
        <v>103</v>
      </c>
      <c r="Q420" s="23" t="s">
        <v>95</v>
      </c>
      <c r="R420" s="23" t="s">
        <v>3630</v>
      </c>
      <c r="S420" s="33">
        <v>0</v>
      </c>
      <c r="T420" s="13">
        <v>21.56</v>
      </c>
      <c r="U420" s="13">
        <v>10.348800000000001</v>
      </c>
      <c r="V420" s="55">
        <f>IFERROR(Table12[[#This Row],[Profit]]/Table12[[#This Row],[Sales]],0)</f>
        <v>0.48000000000000004</v>
      </c>
    </row>
    <row r="421" spans="1:22" x14ac:dyDescent="0.2">
      <c r="A421">
        <v>420</v>
      </c>
      <c r="B421" t="s">
        <v>6288</v>
      </c>
      <c r="C421" s="1">
        <v>41762</v>
      </c>
      <c r="D421" s="22">
        <f>MONTH(Table12[[#This Row],[Order Date]])</f>
        <v>5</v>
      </c>
      <c r="E421" t="s">
        <v>6289</v>
      </c>
      <c r="F421" t="s">
        <v>6290</v>
      </c>
      <c r="G421" s="23" t="s">
        <v>41</v>
      </c>
      <c r="H421" s="23" t="s">
        <v>68</v>
      </c>
      <c r="I421" t="s">
        <v>6236</v>
      </c>
      <c r="J421" s="23" t="s">
        <v>22</v>
      </c>
      <c r="K421" s="22">
        <v>3</v>
      </c>
      <c r="L421" s="1">
        <v>41769</v>
      </c>
      <c r="M421" s="22">
        <f>Table12[[#This Row],[Ship Date]]-Table12[[#This Row],[Order Date]]</f>
        <v>7</v>
      </c>
      <c r="N421" s="23" t="s">
        <v>45</v>
      </c>
      <c r="O421" s="23" t="s">
        <v>23</v>
      </c>
      <c r="P421" s="23" t="s">
        <v>238</v>
      </c>
      <c r="Q421" s="23" t="s">
        <v>133</v>
      </c>
      <c r="R421" s="23" t="s">
        <v>2806</v>
      </c>
      <c r="S421" s="33">
        <v>0.2</v>
      </c>
      <c r="T421" s="13">
        <v>40.176000000000002</v>
      </c>
      <c r="U421" s="13">
        <v>14.563800000000001</v>
      </c>
      <c r="V421" s="55">
        <f>IFERROR(Table12[[#This Row],[Profit]]/Table12[[#This Row],[Sales]],0)</f>
        <v>0.36249999999999999</v>
      </c>
    </row>
    <row r="422" spans="1:22" x14ac:dyDescent="0.2">
      <c r="A422">
        <v>421</v>
      </c>
      <c r="B422" t="s">
        <v>6288</v>
      </c>
      <c r="C422" s="1">
        <v>41762</v>
      </c>
      <c r="D422" s="22">
        <f>MONTH(Table12[[#This Row],[Order Date]])</f>
        <v>5</v>
      </c>
      <c r="E422" t="s">
        <v>436</v>
      </c>
      <c r="F422" t="s">
        <v>437</v>
      </c>
      <c r="G422" s="23" t="s">
        <v>41</v>
      </c>
      <c r="H422" s="23" t="s">
        <v>68</v>
      </c>
      <c r="I422" t="s">
        <v>6236</v>
      </c>
      <c r="J422" s="23" t="s">
        <v>22</v>
      </c>
      <c r="K422" s="22">
        <v>3</v>
      </c>
      <c r="L422" s="1">
        <v>41769</v>
      </c>
      <c r="M422" s="22">
        <f>Table12[[#This Row],[Ship Date]]-Table12[[#This Row],[Order Date]]</f>
        <v>7</v>
      </c>
      <c r="N422" s="23" t="s">
        <v>45</v>
      </c>
      <c r="O422" s="23" t="s">
        <v>23</v>
      </c>
      <c r="P422" s="23" t="s">
        <v>238</v>
      </c>
      <c r="Q422" s="23" t="s">
        <v>133</v>
      </c>
      <c r="R422" s="23" t="s">
        <v>2806</v>
      </c>
      <c r="S422" s="33">
        <v>0.2</v>
      </c>
      <c r="T422" s="13">
        <v>10.896000000000001</v>
      </c>
      <c r="U422" s="13">
        <v>3.9498000000000002</v>
      </c>
      <c r="V422" s="55">
        <f>IFERROR(Table12[[#This Row],[Profit]]/Table12[[#This Row],[Sales]],0)</f>
        <v>0.36249999999999999</v>
      </c>
    </row>
    <row r="423" spans="1:22" x14ac:dyDescent="0.2">
      <c r="A423">
        <v>422</v>
      </c>
      <c r="B423" t="s">
        <v>2951</v>
      </c>
      <c r="C423" s="1">
        <v>41763</v>
      </c>
      <c r="D423" s="22">
        <f>MONTH(Table12[[#This Row],[Order Date]])</f>
        <v>5</v>
      </c>
      <c r="E423" t="s">
        <v>2303</v>
      </c>
      <c r="F423" t="s">
        <v>2304</v>
      </c>
      <c r="G423" s="23" t="s">
        <v>41</v>
      </c>
      <c r="H423" s="23" t="s">
        <v>68</v>
      </c>
      <c r="I423" t="s">
        <v>2952</v>
      </c>
      <c r="J423" s="23" t="s">
        <v>22</v>
      </c>
      <c r="K423" s="22">
        <v>4</v>
      </c>
      <c r="L423" s="1">
        <v>41767</v>
      </c>
      <c r="M423" s="22">
        <f>Table12[[#This Row],[Ship Date]]-Table12[[#This Row],[Order Date]]</f>
        <v>4</v>
      </c>
      <c r="N423" s="23" t="s">
        <v>45</v>
      </c>
      <c r="O423" s="23" t="s">
        <v>23</v>
      </c>
      <c r="P423" s="23" t="s">
        <v>212</v>
      </c>
      <c r="Q423" s="23" t="s">
        <v>95</v>
      </c>
      <c r="R423" s="23" t="s">
        <v>293</v>
      </c>
      <c r="S423" s="33">
        <v>0</v>
      </c>
      <c r="T423" s="13">
        <v>46.8</v>
      </c>
      <c r="U423" s="13">
        <v>21.06</v>
      </c>
      <c r="V423" s="55">
        <f>IFERROR(Table12[[#This Row],[Profit]]/Table12[[#This Row],[Sales]],0)</f>
        <v>0.45</v>
      </c>
    </row>
    <row r="424" spans="1:22" x14ac:dyDescent="0.2">
      <c r="A424">
        <v>423</v>
      </c>
      <c r="B424" t="s">
        <v>3464</v>
      </c>
      <c r="C424" s="1">
        <v>41763</v>
      </c>
      <c r="D424" s="22">
        <f>MONTH(Table12[[#This Row],[Order Date]])</f>
        <v>5</v>
      </c>
      <c r="E424" t="s">
        <v>3465</v>
      </c>
      <c r="F424" t="s">
        <v>3466</v>
      </c>
      <c r="G424" s="23" t="s">
        <v>28</v>
      </c>
      <c r="H424" s="23" t="s">
        <v>58</v>
      </c>
      <c r="I424" t="s">
        <v>78</v>
      </c>
      <c r="J424" s="23" t="s">
        <v>22</v>
      </c>
      <c r="K424" s="22">
        <v>2</v>
      </c>
      <c r="L424" s="1">
        <v>41763</v>
      </c>
      <c r="M424" s="22">
        <f>Table12[[#This Row],[Ship Date]]-Table12[[#This Row],[Order Date]]</f>
        <v>0</v>
      </c>
      <c r="N424" s="23" t="s">
        <v>1141</v>
      </c>
      <c r="O424" s="23" t="s">
        <v>23</v>
      </c>
      <c r="P424" s="23" t="s">
        <v>660</v>
      </c>
      <c r="Q424" s="23" t="s">
        <v>133</v>
      </c>
      <c r="R424" s="23" t="s">
        <v>3253</v>
      </c>
      <c r="S424" s="33">
        <v>0</v>
      </c>
      <c r="T424" s="13">
        <v>27.46</v>
      </c>
      <c r="U424" s="13">
        <v>9.8856000000000002</v>
      </c>
      <c r="V424" s="55">
        <f>IFERROR(Table12[[#This Row],[Profit]]/Table12[[#This Row],[Sales]],0)</f>
        <v>0.36</v>
      </c>
    </row>
    <row r="425" spans="1:22" x14ac:dyDescent="0.2">
      <c r="A425">
        <v>424</v>
      </c>
      <c r="B425" t="s">
        <v>8627</v>
      </c>
      <c r="C425" s="1">
        <v>41763</v>
      </c>
      <c r="D425" s="22">
        <f>MONTH(Table12[[#This Row],[Order Date]])</f>
        <v>5</v>
      </c>
      <c r="E425" t="s">
        <v>6094</v>
      </c>
      <c r="F425" t="s">
        <v>6095</v>
      </c>
      <c r="G425" s="23" t="s">
        <v>41</v>
      </c>
      <c r="H425" s="23" t="s">
        <v>61</v>
      </c>
      <c r="I425" t="s">
        <v>2911</v>
      </c>
      <c r="J425" s="23" t="s">
        <v>22</v>
      </c>
      <c r="K425" s="22">
        <v>2</v>
      </c>
      <c r="L425" s="1">
        <v>41764</v>
      </c>
      <c r="M425" s="22">
        <f>Table12[[#This Row],[Ship Date]]-Table12[[#This Row],[Order Date]]</f>
        <v>1</v>
      </c>
      <c r="N425" s="23" t="s">
        <v>169</v>
      </c>
      <c r="O425" s="23" t="s">
        <v>23</v>
      </c>
      <c r="P425" s="23" t="s">
        <v>94</v>
      </c>
      <c r="Q425" s="23" t="s">
        <v>95</v>
      </c>
      <c r="R425" s="23" t="s">
        <v>165</v>
      </c>
      <c r="S425" s="33">
        <v>0.2</v>
      </c>
      <c r="T425" s="13">
        <v>37.840000000000003</v>
      </c>
      <c r="U425" s="13">
        <v>2.8380000000000001</v>
      </c>
      <c r="V425" s="55">
        <f>IFERROR(Table12[[#This Row],[Profit]]/Table12[[#This Row],[Sales]],0)</f>
        <v>7.4999999999999997E-2</v>
      </c>
    </row>
    <row r="426" spans="1:22" x14ac:dyDescent="0.2">
      <c r="A426">
        <v>425</v>
      </c>
      <c r="B426" t="s">
        <v>8627</v>
      </c>
      <c r="C426" s="1">
        <v>41763</v>
      </c>
      <c r="D426" s="22">
        <f>MONTH(Table12[[#This Row],[Order Date]])</f>
        <v>5</v>
      </c>
      <c r="E426" t="s">
        <v>7086</v>
      </c>
      <c r="F426" t="s">
        <v>7087</v>
      </c>
      <c r="G426" s="23" t="s">
        <v>41</v>
      </c>
      <c r="H426" s="23" t="s">
        <v>240</v>
      </c>
      <c r="I426" t="s">
        <v>2911</v>
      </c>
      <c r="J426" s="23" t="s">
        <v>22</v>
      </c>
      <c r="K426" s="22">
        <v>6</v>
      </c>
      <c r="L426" s="1">
        <v>41764</v>
      </c>
      <c r="M426" s="22">
        <f>Table12[[#This Row],[Ship Date]]-Table12[[#This Row],[Order Date]]</f>
        <v>1</v>
      </c>
      <c r="N426" s="23" t="s">
        <v>169</v>
      </c>
      <c r="O426" s="23" t="s">
        <v>23</v>
      </c>
      <c r="P426" s="23" t="s">
        <v>94</v>
      </c>
      <c r="Q426" s="23" t="s">
        <v>95</v>
      </c>
      <c r="R426" s="23" t="s">
        <v>165</v>
      </c>
      <c r="S426" s="33">
        <v>0.2</v>
      </c>
      <c r="T426" s="13">
        <v>5.4720000000000004</v>
      </c>
      <c r="U426" s="13">
        <v>1.8468</v>
      </c>
      <c r="V426" s="55">
        <f>IFERROR(Table12[[#This Row],[Profit]]/Table12[[#This Row],[Sales]],0)</f>
        <v>0.33749999999999997</v>
      </c>
    </row>
    <row r="427" spans="1:22" x14ac:dyDescent="0.2">
      <c r="A427">
        <v>426</v>
      </c>
      <c r="B427" t="s">
        <v>8996</v>
      </c>
      <c r="C427" s="1">
        <v>41763</v>
      </c>
      <c r="D427" s="22">
        <f>MONTH(Table12[[#This Row],[Order Date]])</f>
        <v>5</v>
      </c>
      <c r="E427" t="s">
        <v>2924</v>
      </c>
      <c r="F427" t="s">
        <v>2925</v>
      </c>
      <c r="G427" s="23" t="s">
        <v>28</v>
      </c>
      <c r="H427" s="23" t="s">
        <v>58</v>
      </c>
      <c r="I427" t="s">
        <v>6619</v>
      </c>
      <c r="J427" s="23" t="s">
        <v>36</v>
      </c>
      <c r="K427" s="22">
        <v>7</v>
      </c>
      <c r="L427" s="1">
        <v>41766</v>
      </c>
      <c r="M427" s="22">
        <f>Table12[[#This Row],[Ship Date]]-Table12[[#This Row],[Order Date]]</f>
        <v>3</v>
      </c>
      <c r="N427" s="23" t="s">
        <v>169</v>
      </c>
      <c r="O427" s="23" t="s">
        <v>23</v>
      </c>
      <c r="P427" s="23" t="s">
        <v>87</v>
      </c>
      <c r="Q427" s="23" t="s">
        <v>39</v>
      </c>
      <c r="R427" s="23" t="s">
        <v>86</v>
      </c>
      <c r="S427" s="33">
        <v>0</v>
      </c>
      <c r="T427" s="13">
        <v>12.18</v>
      </c>
      <c r="U427" s="13">
        <v>3.8976000000000002</v>
      </c>
      <c r="V427" s="55">
        <f>IFERROR(Table12[[#This Row],[Profit]]/Table12[[#This Row],[Sales]],0)</f>
        <v>0.32</v>
      </c>
    </row>
    <row r="428" spans="1:22" x14ac:dyDescent="0.2">
      <c r="A428">
        <v>427</v>
      </c>
      <c r="B428" t="s">
        <v>8996</v>
      </c>
      <c r="C428" s="1">
        <v>41763</v>
      </c>
      <c r="D428" s="22">
        <f>MONTH(Table12[[#This Row],[Order Date]])</f>
        <v>5</v>
      </c>
      <c r="E428" t="s">
        <v>1177</v>
      </c>
      <c r="F428" t="s">
        <v>1178</v>
      </c>
      <c r="G428" s="23" t="s">
        <v>41</v>
      </c>
      <c r="H428" s="23" t="s">
        <v>71</v>
      </c>
      <c r="I428" t="s">
        <v>6619</v>
      </c>
      <c r="J428" s="23" t="s">
        <v>36</v>
      </c>
      <c r="K428" s="22">
        <v>4</v>
      </c>
      <c r="L428" s="1">
        <v>41766</v>
      </c>
      <c r="M428" s="22">
        <f>Table12[[#This Row],[Ship Date]]-Table12[[#This Row],[Order Date]]</f>
        <v>3</v>
      </c>
      <c r="N428" s="23" t="s">
        <v>169</v>
      </c>
      <c r="O428" s="23" t="s">
        <v>23</v>
      </c>
      <c r="P428" s="23" t="s">
        <v>87</v>
      </c>
      <c r="Q428" s="23" t="s">
        <v>39</v>
      </c>
      <c r="R428" s="23" t="s">
        <v>86</v>
      </c>
      <c r="S428" s="33">
        <v>0</v>
      </c>
      <c r="T428" s="13">
        <v>57.68</v>
      </c>
      <c r="U428" s="13">
        <v>19.034400000000002</v>
      </c>
      <c r="V428" s="55">
        <f>IFERROR(Table12[[#This Row],[Profit]]/Table12[[#This Row],[Sales]],0)</f>
        <v>0.33</v>
      </c>
    </row>
    <row r="429" spans="1:22" x14ac:dyDescent="0.2">
      <c r="A429">
        <v>428</v>
      </c>
      <c r="B429" t="s">
        <v>6576</v>
      </c>
      <c r="C429" s="1">
        <v>41764</v>
      </c>
      <c r="D429" s="22">
        <f>MONTH(Table12[[#This Row],[Order Date]])</f>
        <v>5</v>
      </c>
      <c r="E429" t="s">
        <v>5182</v>
      </c>
      <c r="F429" t="s">
        <v>5183</v>
      </c>
      <c r="G429" s="23" t="s">
        <v>41</v>
      </c>
      <c r="H429" s="23" t="s">
        <v>82</v>
      </c>
      <c r="I429" t="s">
        <v>6305</v>
      </c>
      <c r="J429" s="23" t="s">
        <v>22</v>
      </c>
      <c r="K429" s="22">
        <v>3</v>
      </c>
      <c r="L429" s="1">
        <v>41768</v>
      </c>
      <c r="M429" s="22">
        <f>Table12[[#This Row],[Ship Date]]-Table12[[#This Row],[Order Date]]</f>
        <v>4</v>
      </c>
      <c r="N429" s="23" t="s">
        <v>20</v>
      </c>
      <c r="O429" s="23" t="s">
        <v>23</v>
      </c>
      <c r="P429" s="23" t="s">
        <v>25</v>
      </c>
      <c r="Q429" s="23" t="s">
        <v>26</v>
      </c>
      <c r="R429" s="23" t="s">
        <v>1294</v>
      </c>
      <c r="S429" s="33">
        <v>0</v>
      </c>
      <c r="T429" s="13">
        <v>9.42</v>
      </c>
      <c r="U429" s="13">
        <v>4.2389999999999999</v>
      </c>
      <c r="V429" s="55">
        <f>IFERROR(Table12[[#This Row],[Profit]]/Table12[[#This Row],[Sales]],0)</f>
        <v>0.45</v>
      </c>
    </row>
    <row r="430" spans="1:22" x14ac:dyDescent="0.2">
      <c r="A430">
        <v>429</v>
      </c>
      <c r="B430" t="s">
        <v>6576</v>
      </c>
      <c r="C430" s="1">
        <v>41764</v>
      </c>
      <c r="D430" s="22">
        <f>MONTH(Table12[[#This Row],[Order Date]])</f>
        <v>5</v>
      </c>
      <c r="E430" t="s">
        <v>986</v>
      </c>
      <c r="F430" t="s">
        <v>987</v>
      </c>
      <c r="G430" s="23" t="s">
        <v>41</v>
      </c>
      <c r="H430" s="23" t="s">
        <v>61</v>
      </c>
      <c r="I430" t="s">
        <v>6305</v>
      </c>
      <c r="J430" s="23" t="s">
        <v>22</v>
      </c>
      <c r="K430" s="22">
        <v>2</v>
      </c>
      <c r="L430" s="1">
        <v>41768</v>
      </c>
      <c r="M430" s="22">
        <f>Table12[[#This Row],[Ship Date]]-Table12[[#This Row],[Order Date]]</f>
        <v>4</v>
      </c>
      <c r="N430" s="23" t="s">
        <v>20</v>
      </c>
      <c r="O430" s="23" t="s">
        <v>23</v>
      </c>
      <c r="P430" s="23" t="s">
        <v>25</v>
      </c>
      <c r="Q430" s="23" t="s">
        <v>26</v>
      </c>
      <c r="R430" s="23" t="s">
        <v>1294</v>
      </c>
      <c r="S430" s="33">
        <v>0</v>
      </c>
      <c r="T430" s="13">
        <v>6.56</v>
      </c>
      <c r="U430" s="13">
        <v>1.9024000000000001</v>
      </c>
      <c r="V430" s="55">
        <f>IFERROR(Table12[[#This Row],[Profit]]/Table12[[#This Row],[Sales]],0)</f>
        <v>0.29000000000000004</v>
      </c>
    </row>
    <row r="431" spans="1:22" x14ac:dyDescent="0.2">
      <c r="A431">
        <v>430</v>
      </c>
      <c r="B431" t="s">
        <v>6576</v>
      </c>
      <c r="C431" s="1">
        <v>41764</v>
      </c>
      <c r="D431" s="22">
        <f>MONTH(Table12[[#This Row],[Order Date]])</f>
        <v>5</v>
      </c>
      <c r="E431" t="s">
        <v>6577</v>
      </c>
      <c r="F431" t="s">
        <v>6578</v>
      </c>
      <c r="G431" s="23" t="s">
        <v>41</v>
      </c>
      <c r="H431" s="23" t="s">
        <v>82</v>
      </c>
      <c r="I431" t="s">
        <v>6305</v>
      </c>
      <c r="J431" s="23" t="s">
        <v>22</v>
      </c>
      <c r="K431" s="22">
        <v>2</v>
      </c>
      <c r="L431" s="1">
        <v>41768</v>
      </c>
      <c r="M431" s="22">
        <f>Table12[[#This Row],[Ship Date]]-Table12[[#This Row],[Order Date]]</f>
        <v>4</v>
      </c>
      <c r="N431" s="23" t="s">
        <v>20</v>
      </c>
      <c r="O431" s="23" t="s">
        <v>23</v>
      </c>
      <c r="P431" s="23" t="s">
        <v>25</v>
      </c>
      <c r="Q431" s="23" t="s">
        <v>26</v>
      </c>
      <c r="R431" s="23" t="s">
        <v>1294</v>
      </c>
      <c r="S431" s="33">
        <v>0</v>
      </c>
      <c r="T431" s="13">
        <v>24.56</v>
      </c>
      <c r="U431" s="13">
        <v>11.543200000000001</v>
      </c>
      <c r="V431" s="55">
        <f>IFERROR(Table12[[#This Row],[Profit]]/Table12[[#This Row],[Sales]],0)</f>
        <v>0.47000000000000003</v>
      </c>
    </row>
    <row r="432" spans="1:22" x14ac:dyDescent="0.2">
      <c r="A432">
        <v>431</v>
      </c>
      <c r="B432" t="s">
        <v>6854</v>
      </c>
      <c r="C432" s="1">
        <v>41764</v>
      </c>
      <c r="D432" s="22">
        <f>MONTH(Table12[[#This Row],[Order Date]])</f>
        <v>5</v>
      </c>
      <c r="E432" t="s">
        <v>272</v>
      </c>
      <c r="F432" t="s">
        <v>273</v>
      </c>
      <c r="G432" s="23" t="s">
        <v>28</v>
      </c>
      <c r="H432" s="23" t="s">
        <v>32</v>
      </c>
      <c r="I432" t="s">
        <v>137</v>
      </c>
      <c r="J432" s="23" t="s">
        <v>22</v>
      </c>
      <c r="K432" s="22">
        <v>3</v>
      </c>
      <c r="L432" s="1">
        <v>41767</v>
      </c>
      <c r="M432" s="22">
        <f>Table12[[#This Row],[Ship Date]]-Table12[[#This Row],[Order Date]]</f>
        <v>3</v>
      </c>
      <c r="N432" s="23" t="s">
        <v>169</v>
      </c>
      <c r="O432" s="23" t="s">
        <v>23</v>
      </c>
      <c r="P432" s="23" t="s">
        <v>94</v>
      </c>
      <c r="Q432" s="23" t="s">
        <v>95</v>
      </c>
      <c r="R432" s="23" t="s">
        <v>598</v>
      </c>
      <c r="S432" s="33">
        <v>0.3</v>
      </c>
      <c r="T432" s="13">
        <v>127.869</v>
      </c>
      <c r="U432" s="13">
        <v>-9.1334999999999997</v>
      </c>
      <c r="V432" s="55">
        <f>IFERROR(Table12[[#This Row],[Profit]]/Table12[[#This Row],[Sales]],0)</f>
        <v>-7.1428571428571425E-2</v>
      </c>
    </row>
    <row r="433" spans="1:22" x14ac:dyDescent="0.2">
      <c r="A433">
        <v>432</v>
      </c>
      <c r="B433" t="s">
        <v>6936</v>
      </c>
      <c r="C433" s="1">
        <v>41764</v>
      </c>
      <c r="D433" s="22">
        <f>MONTH(Table12[[#This Row],[Order Date]])</f>
        <v>5</v>
      </c>
      <c r="E433" t="s">
        <v>354</v>
      </c>
      <c r="F433" t="s">
        <v>355</v>
      </c>
      <c r="G433" s="23" t="s">
        <v>41</v>
      </c>
      <c r="H433" s="23" t="s">
        <v>53</v>
      </c>
      <c r="I433" t="s">
        <v>4080</v>
      </c>
      <c r="J433" s="23" t="s">
        <v>36</v>
      </c>
      <c r="K433" s="22">
        <v>2</v>
      </c>
      <c r="L433" s="1">
        <v>41769</v>
      </c>
      <c r="M433" s="22">
        <f>Table12[[#This Row],[Ship Date]]-Table12[[#This Row],[Order Date]]</f>
        <v>5</v>
      </c>
      <c r="N433" s="23" t="s">
        <v>45</v>
      </c>
      <c r="O433" s="23" t="s">
        <v>23</v>
      </c>
      <c r="P433" s="23" t="s">
        <v>189</v>
      </c>
      <c r="Q433" s="23" t="s">
        <v>95</v>
      </c>
      <c r="R433" s="23" t="s">
        <v>3271</v>
      </c>
      <c r="S433" s="33">
        <v>0.2</v>
      </c>
      <c r="T433" s="13">
        <v>45.247999999999998</v>
      </c>
      <c r="U433" s="13">
        <v>3.9592000000000001</v>
      </c>
      <c r="V433" s="55">
        <f>IFERROR(Table12[[#This Row],[Profit]]/Table12[[#This Row],[Sales]],0)</f>
        <v>8.7500000000000008E-2</v>
      </c>
    </row>
    <row r="434" spans="1:22" x14ac:dyDescent="0.2">
      <c r="A434">
        <v>433</v>
      </c>
      <c r="B434" t="s">
        <v>9348</v>
      </c>
      <c r="C434" s="1">
        <v>41764</v>
      </c>
      <c r="D434" s="22">
        <f>MONTH(Table12[[#This Row],[Order Date]])</f>
        <v>5</v>
      </c>
      <c r="E434" t="s">
        <v>3421</v>
      </c>
      <c r="F434" t="s">
        <v>1073</v>
      </c>
      <c r="G434" s="23" t="s">
        <v>41</v>
      </c>
      <c r="H434" s="23" t="s">
        <v>68</v>
      </c>
      <c r="I434" t="s">
        <v>1789</v>
      </c>
      <c r="J434" s="23" t="s">
        <v>36</v>
      </c>
      <c r="K434" s="22">
        <v>2</v>
      </c>
      <c r="L434" s="1">
        <v>41766</v>
      </c>
      <c r="M434" s="22">
        <f>Table12[[#This Row],[Ship Date]]-Table12[[#This Row],[Order Date]]</f>
        <v>2</v>
      </c>
      <c r="N434" s="23" t="s">
        <v>169</v>
      </c>
      <c r="O434" s="23" t="s">
        <v>23</v>
      </c>
      <c r="P434" s="23" t="s">
        <v>285</v>
      </c>
      <c r="Q434" s="23" t="s">
        <v>26</v>
      </c>
      <c r="R434" s="23" t="s">
        <v>997</v>
      </c>
      <c r="S434" s="33">
        <v>0</v>
      </c>
      <c r="T434" s="13">
        <v>11.88</v>
      </c>
      <c r="U434" s="13">
        <v>5.3460000000000001</v>
      </c>
      <c r="V434" s="55">
        <f>IFERROR(Table12[[#This Row],[Profit]]/Table12[[#This Row],[Sales]],0)</f>
        <v>0.44999999999999996</v>
      </c>
    </row>
    <row r="435" spans="1:22" x14ac:dyDescent="0.2">
      <c r="A435">
        <v>434</v>
      </c>
      <c r="B435" t="s">
        <v>9348</v>
      </c>
      <c r="C435" s="1">
        <v>41764</v>
      </c>
      <c r="D435" s="22">
        <f>MONTH(Table12[[#This Row],[Order Date]])</f>
        <v>5</v>
      </c>
      <c r="E435" t="s">
        <v>930</v>
      </c>
      <c r="F435" t="s">
        <v>167</v>
      </c>
      <c r="G435" s="23" t="s">
        <v>41</v>
      </c>
      <c r="H435" s="23" t="s">
        <v>82</v>
      </c>
      <c r="I435" t="s">
        <v>1789</v>
      </c>
      <c r="J435" s="23" t="s">
        <v>36</v>
      </c>
      <c r="K435" s="22">
        <v>1</v>
      </c>
      <c r="L435" s="1">
        <v>41766</v>
      </c>
      <c r="M435" s="22">
        <f>Table12[[#This Row],[Ship Date]]-Table12[[#This Row],[Order Date]]</f>
        <v>2</v>
      </c>
      <c r="N435" s="23" t="s">
        <v>169</v>
      </c>
      <c r="O435" s="23" t="s">
        <v>23</v>
      </c>
      <c r="P435" s="23" t="s">
        <v>285</v>
      </c>
      <c r="Q435" s="23" t="s">
        <v>26</v>
      </c>
      <c r="R435" s="23" t="s">
        <v>997</v>
      </c>
      <c r="S435" s="33">
        <v>0</v>
      </c>
      <c r="T435" s="13">
        <v>35.44</v>
      </c>
      <c r="U435" s="13">
        <v>16.6568</v>
      </c>
      <c r="V435" s="55">
        <f>IFERROR(Table12[[#This Row],[Profit]]/Table12[[#This Row],[Sales]],0)</f>
        <v>0.47000000000000003</v>
      </c>
    </row>
    <row r="436" spans="1:22" x14ac:dyDescent="0.2">
      <c r="A436">
        <v>435</v>
      </c>
      <c r="B436" t="s">
        <v>3250</v>
      </c>
      <c r="C436" s="1">
        <v>41765</v>
      </c>
      <c r="D436" s="22">
        <f>MONTH(Table12[[#This Row],[Order Date]])</f>
        <v>5</v>
      </c>
      <c r="E436" t="s">
        <v>2454</v>
      </c>
      <c r="F436" t="s">
        <v>2455</v>
      </c>
      <c r="G436" s="23" t="s">
        <v>41</v>
      </c>
      <c r="H436" s="23" t="s">
        <v>68</v>
      </c>
      <c r="I436" t="s">
        <v>91</v>
      </c>
      <c r="J436" s="23" t="s">
        <v>92</v>
      </c>
      <c r="K436" s="22">
        <v>8</v>
      </c>
      <c r="L436" s="1">
        <v>41769</v>
      </c>
      <c r="M436" s="22">
        <f>Table12[[#This Row],[Ship Date]]-Table12[[#This Row],[Order Date]]</f>
        <v>4</v>
      </c>
      <c r="N436" s="23" t="s">
        <v>45</v>
      </c>
      <c r="O436" s="23" t="s">
        <v>23</v>
      </c>
      <c r="P436" s="23" t="s">
        <v>38</v>
      </c>
      <c r="Q436" s="23" t="s">
        <v>39</v>
      </c>
      <c r="R436" s="23" t="s">
        <v>37</v>
      </c>
      <c r="S436" s="33">
        <v>0.2</v>
      </c>
      <c r="T436" s="13">
        <v>140.73599999999999</v>
      </c>
      <c r="U436" s="13">
        <v>52.776000000000003</v>
      </c>
      <c r="V436" s="55">
        <f>IFERROR(Table12[[#This Row],[Profit]]/Table12[[#This Row],[Sales]],0)</f>
        <v>0.37500000000000006</v>
      </c>
    </row>
    <row r="437" spans="1:22" x14ac:dyDescent="0.2">
      <c r="A437">
        <v>436</v>
      </c>
      <c r="B437" t="s">
        <v>6740</v>
      </c>
      <c r="C437" s="1">
        <v>41765</v>
      </c>
      <c r="D437" s="22">
        <f>MONTH(Table12[[#This Row],[Order Date]])</f>
        <v>5</v>
      </c>
      <c r="E437" t="s">
        <v>2975</v>
      </c>
      <c r="F437" t="s">
        <v>2976</v>
      </c>
      <c r="G437" s="23" t="s">
        <v>41</v>
      </c>
      <c r="H437" s="23" t="s">
        <v>42</v>
      </c>
      <c r="I437" t="s">
        <v>177</v>
      </c>
      <c r="J437" s="23" t="s">
        <v>92</v>
      </c>
      <c r="K437" s="22">
        <v>2</v>
      </c>
      <c r="L437" s="1">
        <v>41770</v>
      </c>
      <c r="M437" s="22">
        <f>Table12[[#This Row],[Ship Date]]-Table12[[#This Row],[Order Date]]</f>
        <v>5</v>
      </c>
      <c r="N437" s="23" t="s">
        <v>45</v>
      </c>
      <c r="O437" s="23" t="s">
        <v>23</v>
      </c>
      <c r="P437" s="23" t="s">
        <v>38</v>
      </c>
      <c r="Q437" s="23" t="s">
        <v>39</v>
      </c>
      <c r="R437" s="23" t="s">
        <v>37</v>
      </c>
      <c r="S437" s="33">
        <v>0</v>
      </c>
      <c r="T437" s="13">
        <v>5.78</v>
      </c>
      <c r="U437" s="13">
        <v>2.7166000000000001</v>
      </c>
      <c r="V437" s="55">
        <f>IFERROR(Table12[[#This Row],[Profit]]/Table12[[#This Row],[Sales]],0)</f>
        <v>0.47000000000000003</v>
      </c>
    </row>
    <row r="438" spans="1:22" x14ac:dyDescent="0.2">
      <c r="A438">
        <v>437</v>
      </c>
      <c r="B438" t="s">
        <v>6740</v>
      </c>
      <c r="C438" s="1">
        <v>41765</v>
      </c>
      <c r="D438" s="22">
        <f>MONTH(Table12[[#This Row],[Order Date]])</f>
        <v>5</v>
      </c>
      <c r="E438" t="s">
        <v>2221</v>
      </c>
      <c r="F438" t="s">
        <v>2222</v>
      </c>
      <c r="G438" s="23" t="s">
        <v>41</v>
      </c>
      <c r="H438" s="23" t="s">
        <v>61</v>
      </c>
      <c r="I438" t="s">
        <v>177</v>
      </c>
      <c r="J438" s="23" t="s">
        <v>92</v>
      </c>
      <c r="K438" s="22">
        <v>6</v>
      </c>
      <c r="L438" s="1">
        <v>41770</v>
      </c>
      <c r="M438" s="22">
        <f>Table12[[#This Row],[Ship Date]]-Table12[[#This Row],[Order Date]]</f>
        <v>5</v>
      </c>
      <c r="N438" s="23" t="s">
        <v>45</v>
      </c>
      <c r="O438" s="23" t="s">
        <v>23</v>
      </c>
      <c r="P438" s="23" t="s">
        <v>38</v>
      </c>
      <c r="Q438" s="23" t="s">
        <v>39</v>
      </c>
      <c r="R438" s="23" t="s">
        <v>37</v>
      </c>
      <c r="S438" s="33">
        <v>0</v>
      </c>
      <c r="T438" s="13">
        <v>107.94</v>
      </c>
      <c r="U438" s="13">
        <v>30.223199999999999</v>
      </c>
      <c r="V438" s="55">
        <f>IFERROR(Table12[[#This Row],[Profit]]/Table12[[#This Row],[Sales]],0)</f>
        <v>0.27999999999999997</v>
      </c>
    </row>
    <row r="439" spans="1:22" x14ac:dyDescent="0.2">
      <c r="A439">
        <v>438</v>
      </c>
      <c r="B439" t="s">
        <v>8189</v>
      </c>
      <c r="C439" s="1">
        <v>41766</v>
      </c>
      <c r="D439" s="22">
        <f>MONTH(Table12[[#This Row],[Order Date]])</f>
        <v>5</v>
      </c>
      <c r="E439" t="s">
        <v>263</v>
      </c>
      <c r="F439" t="s">
        <v>264</v>
      </c>
      <c r="G439" s="23" t="s">
        <v>41</v>
      </c>
      <c r="H439" s="23" t="s">
        <v>68</v>
      </c>
      <c r="I439" t="s">
        <v>4353</v>
      </c>
      <c r="J439" s="23" t="s">
        <v>22</v>
      </c>
      <c r="K439" s="22">
        <v>3</v>
      </c>
      <c r="L439" s="1">
        <v>41771</v>
      </c>
      <c r="M439" s="22">
        <f>Table12[[#This Row],[Ship Date]]-Table12[[#This Row],[Order Date]]</f>
        <v>5</v>
      </c>
      <c r="N439" s="23" t="s">
        <v>45</v>
      </c>
      <c r="O439" s="23" t="s">
        <v>23</v>
      </c>
      <c r="P439" s="23" t="s">
        <v>1101</v>
      </c>
      <c r="Q439" s="23" t="s">
        <v>133</v>
      </c>
      <c r="R439" s="23" t="s">
        <v>1308</v>
      </c>
      <c r="S439" s="33">
        <v>0</v>
      </c>
      <c r="T439" s="13">
        <v>16.14</v>
      </c>
      <c r="U439" s="13">
        <v>7.9085999999999999</v>
      </c>
      <c r="V439" s="55">
        <f>IFERROR(Table12[[#This Row],[Profit]]/Table12[[#This Row],[Sales]],0)</f>
        <v>0.49</v>
      </c>
    </row>
    <row r="440" spans="1:22" x14ac:dyDescent="0.2">
      <c r="A440">
        <v>439</v>
      </c>
      <c r="B440" t="s">
        <v>8189</v>
      </c>
      <c r="C440" s="1">
        <v>41766</v>
      </c>
      <c r="D440" s="22">
        <f>MONTH(Table12[[#This Row],[Order Date]])</f>
        <v>5</v>
      </c>
      <c r="E440" t="s">
        <v>6229</v>
      </c>
      <c r="F440" t="s">
        <v>6230</v>
      </c>
      <c r="G440" s="23" t="s">
        <v>28</v>
      </c>
      <c r="H440" s="23" t="s">
        <v>50</v>
      </c>
      <c r="I440" t="s">
        <v>4353</v>
      </c>
      <c r="J440" s="23" t="s">
        <v>22</v>
      </c>
      <c r="K440" s="22">
        <v>2</v>
      </c>
      <c r="L440" s="1">
        <v>41771</v>
      </c>
      <c r="M440" s="22">
        <f>Table12[[#This Row],[Ship Date]]-Table12[[#This Row],[Order Date]]</f>
        <v>5</v>
      </c>
      <c r="N440" s="23" t="s">
        <v>45</v>
      </c>
      <c r="O440" s="23" t="s">
        <v>23</v>
      </c>
      <c r="P440" s="23" t="s">
        <v>1101</v>
      </c>
      <c r="Q440" s="23" t="s">
        <v>133</v>
      </c>
      <c r="R440" s="23" t="s">
        <v>1308</v>
      </c>
      <c r="S440" s="33">
        <v>0.3</v>
      </c>
      <c r="T440" s="13">
        <v>194.25</v>
      </c>
      <c r="U440" s="13">
        <v>-38.85</v>
      </c>
      <c r="V440" s="55">
        <f>IFERROR(Table12[[#This Row],[Profit]]/Table12[[#This Row],[Sales]],0)</f>
        <v>-0.2</v>
      </c>
    </row>
    <row r="441" spans="1:22" x14ac:dyDescent="0.2">
      <c r="A441">
        <v>440</v>
      </c>
      <c r="B441" t="s">
        <v>8189</v>
      </c>
      <c r="C441" s="1">
        <v>41766</v>
      </c>
      <c r="D441" s="22">
        <f>MONTH(Table12[[#This Row],[Order Date]])</f>
        <v>5</v>
      </c>
      <c r="E441" t="s">
        <v>2297</v>
      </c>
      <c r="F441" t="s">
        <v>2298</v>
      </c>
      <c r="G441" s="23" t="s">
        <v>41</v>
      </c>
      <c r="H441" s="23" t="s">
        <v>61</v>
      </c>
      <c r="I441" t="s">
        <v>4353</v>
      </c>
      <c r="J441" s="23" t="s">
        <v>22</v>
      </c>
      <c r="K441" s="22">
        <v>3</v>
      </c>
      <c r="L441" s="1">
        <v>41771</v>
      </c>
      <c r="M441" s="22">
        <f>Table12[[#This Row],[Ship Date]]-Table12[[#This Row],[Order Date]]</f>
        <v>5</v>
      </c>
      <c r="N441" s="23" t="s">
        <v>45</v>
      </c>
      <c r="O441" s="23" t="s">
        <v>23</v>
      </c>
      <c r="P441" s="23" t="s">
        <v>1101</v>
      </c>
      <c r="Q441" s="23" t="s">
        <v>133</v>
      </c>
      <c r="R441" s="23" t="s">
        <v>1308</v>
      </c>
      <c r="S441" s="33">
        <v>0</v>
      </c>
      <c r="T441" s="13">
        <v>8.64</v>
      </c>
      <c r="U441" s="13">
        <v>2.5055999999999998</v>
      </c>
      <c r="V441" s="55">
        <f>IFERROR(Table12[[#This Row],[Profit]]/Table12[[#This Row],[Sales]],0)</f>
        <v>0.28999999999999998</v>
      </c>
    </row>
    <row r="442" spans="1:22" x14ac:dyDescent="0.2">
      <c r="A442">
        <v>441</v>
      </c>
      <c r="B442" t="s">
        <v>8189</v>
      </c>
      <c r="C442" s="1">
        <v>41766</v>
      </c>
      <c r="D442" s="22">
        <f>MONTH(Table12[[#This Row],[Order Date]])</f>
        <v>5</v>
      </c>
      <c r="E442" t="s">
        <v>2179</v>
      </c>
      <c r="F442" t="s">
        <v>2180</v>
      </c>
      <c r="G442" s="23" t="s">
        <v>28</v>
      </c>
      <c r="H442" s="23" t="s">
        <v>32</v>
      </c>
      <c r="I442" t="s">
        <v>4353</v>
      </c>
      <c r="J442" s="23" t="s">
        <v>22</v>
      </c>
      <c r="K442" s="22">
        <v>4</v>
      </c>
      <c r="L442" s="1">
        <v>41771</v>
      </c>
      <c r="M442" s="22">
        <f>Table12[[#This Row],[Ship Date]]-Table12[[#This Row],[Order Date]]</f>
        <v>5</v>
      </c>
      <c r="N442" s="23" t="s">
        <v>45</v>
      </c>
      <c r="O442" s="23" t="s">
        <v>23</v>
      </c>
      <c r="P442" s="23" t="s">
        <v>1101</v>
      </c>
      <c r="Q442" s="23" t="s">
        <v>133</v>
      </c>
      <c r="R442" s="23" t="s">
        <v>1308</v>
      </c>
      <c r="S442" s="33">
        <v>0</v>
      </c>
      <c r="T442" s="13">
        <v>872.32</v>
      </c>
      <c r="U442" s="13">
        <v>244.24959999999999</v>
      </c>
      <c r="V442" s="55">
        <f>IFERROR(Table12[[#This Row],[Profit]]/Table12[[#This Row],[Sales]],0)</f>
        <v>0.27999999999999997</v>
      </c>
    </row>
    <row r="443" spans="1:22" x14ac:dyDescent="0.2">
      <c r="A443">
        <v>442</v>
      </c>
      <c r="B443" t="s">
        <v>9462</v>
      </c>
      <c r="C443" s="1">
        <v>41767</v>
      </c>
      <c r="D443" s="22">
        <f>MONTH(Table12[[#This Row],[Order Date]])</f>
        <v>5</v>
      </c>
      <c r="E443" t="s">
        <v>1074</v>
      </c>
      <c r="F443" t="s">
        <v>1076</v>
      </c>
      <c r="G443" s="23" t="s">
        <v>64</v>
      </c>
      <c r="H443" s="23" t="s">
        <v>1075</v>
      </c>
      <c r="I443" t="s">
        <v>3047</v>
      </c>
      <c r="J443" s="23" t="s">
        <v>22</v>
      </c>
      <c r="K443" s="22">
        <v>5</v>
      </c>
      <c r="L443" s="1">
        <v>41769</v>
      </c>
      <c r="M443" s="22">
        <f>Table12[[#This Row],[Ship Date]]-Table12[[#This Row],[Order Date]]</f>
        <v>2</v>
      </c>
      <c r="N443" s="23" t="s">
        <v>169</v>
      </c>
      <c r="O443" s="23" t="s">
        <v>23</v>
      </c>
      <c r="P443" s="23" t="s">
        <v>132</v>
      </c>
      <c r="Q443" s="23" t="s">
        <v>133</v>
      </c>
      <c r="R443" s="23" t="s">
        <v>131</v>
      </c>
      <c r="S443" s="33">
        <v>0.4</v>
      </c>
      <c r="T443" s="13">
        <v>1799.97</v>
      </c>
      <c r="U443" s="13">
        <v>239.99600000000001</v>
      </c>
      <c r="V443" s="55">
        <f>IFERROR(Table12[[#This Row],[Profit]]/Table12[[#This Row],[Sales]],0)</f>
        <v>0.13333333333333333</v>
      </c>
    </row>
    <row r="444" spans="1:22" x14ac:dyDescent="0.2">
      <c r="A444">
        <v>443</v>
      </c>
      <c r="B444" t="s">
        <v>2259</v>
      </c>
      <c r="C444" s="1">
        <v>41768</v>
      </c>
      <c r="D444" s="22">
        <f>MONTH(Table12[[#This Row],[Order Date]])</f>
        <v>5</v>
      </c>
      <c r="E444" t="s">
        <v>2261</v>
      </c>
      <c r="F444" t="s">
        <v>2262</v>
      </c>
      <c r="G444" s="23" t="s">
        <v>64</v>
      </c>
      <c r="H444" s="23" t="s">
        <v>144</v>
      </c>
      <c r="I444" t="s">
        <v>2260</v>
      </c>
      <c r="J444" s="23" t="s">
        <v>22</v>
      </c>
      <c r="K444" s="22">
        <v>4</v>
      </c>
      <c r="L444" s="1">
        <v>41774</v>
      </c>
      <c r="M444" s="22">
        <f>Table12[[#This Row],[Ship Date]]-Table12[[#This Row],[Order Date]]</f>
        <v>6</v>
      </c>
      <c r="N444" s="23" t="s">
        <v>45</v>
      </c>
      <c r="O444" s="23" t="s">
        <v>23</v>
      </c>
      <c r="P444" s="23" t="s">
        <v>38</v>
      </c>
      <c r="Q444" s="23" t="s">
        <v>39</v>
      </c>
      <c r="R444" s="23" t="s">
        <v>114</v>
      </c>
      <c r="S444" s="33">
        <v>0</v>
      </c>
      <c r="T444" s="13">
        <v>67.8</v>
      </c>
      <c r="U444" s="13">
        <v>4.0679999999999996</v>
      </c>
      <c r="V444" s="55">
        <f>IFERROR(Table12[[#This Row],[Profit]]/Table12[[#This Row],[Sales]],0)</f>
        <v>0.06</v>
      </c>
    </row>
    <row r="445" spans="1:22" x14ac:dyDescent="0.2">
      <c r="A445">
        <v>444</v>
      </c>
      <c r="B445" t="s">
        <v>2259</v>
      </c>
      <c r="C445" s="1">
        <v>41768</v>
      </c>
      <c r="D445" s="22">
        <f>MONTH(Table12[[#This Row],[Order Date]])</f>
        <v>5</v>
      </c>
      <c r="E445" t="s">
        <v>754</v>
      </c>
      <c r="F445" t="s">
        <v>755</v>
      </c>
      <c r="G445" s="23" t="s">
        <v>64</v>
      </c>
      <c r="H445" s="23" t="s">
        <v>144</v>
      </c>
      <c r="I445" t="s">
        <v>2260</v>
      </c>
      <c r="J445" s="23" t="s">
        <v>22</v>
      </c>
      <c r="K445" s="22">
        <v>3</v>
      </c>
      <c r="L445" s="1">
        <v>41774</v>
      </c>
      <c r="M445" s="22">
        <f>Table12[[#This Row],[Ship Date]]-Table12[[#This Row],[Order Date]]</f>
        <v>6</v>
      </c>
      <c r="N445" s="23" t="s">
        <v>45</v>
      </c>
      <c r="O445" s="23" t="s">
        <v>23</v>
      </c>
      <c r="P445" s="23" t="s">
        <v>38</v>
      </c>
      <c r="Q445" s="23" t="s">
        <v>39</v>
      </c>
      <c r="R445" s="23" t="s">
        <v>114</v>
      </c>
      <c r="S445" s="33">
        <v>0</v>
      </c>
      <c r="T445" s="13">
        <v>167.97</v>
      </c>
      <c r="U445" s="13">
        <v>40.312800000000003</v>
      </c>
      <c r="V445" s="55">
        <f>IFERROR(Table12[[#This Row],[Profit]]/Table12[[#This Row],[Sales]],0)</f>
        <v>0.24000000000000002</v>
      </c>
    </row>
    <row r="446" spans="1:22" x14ac:dyDescent="0.2">
      <c r="A446">
        <v>445</v>
      </c>
      <c r="B446" t="s">
        <v>6018</v>
      </c>
      <c r="C446" s="1">
        <v>41768</v>
      </c>
      <c r="D446" s="22">
        <f>MONTH(Table12[[#This Row],[Order Date]])</f>
        <v>5</v>
      </c>
      <c r="E446" t="s">
        <v>110</v>
      </c>
      <c r="F446" t="s">
        <v>111</v>
      </c>
      <c r="G446" s="23" t="s">
        <v>41</v>
      </c>
      <c r="H446" s="23" t="s">
        <v>53</v>
      </c>
      <c r="I446" t="s">
        <v>864</v>
      </c>
      <c r="J446" s="23" t="s">
        <v>36</v>
      </c>
      <c r="K446" s="22">
        <v>3</v>
      </c>
      <c r="L446" s="1">
        <v>41768</v>
      </c>
      <c r="M446" s="22">
        <f>Table12[[#This Row],[Ship Date]]-Table12[[#This Row],[Order Date]]</f>
        <v>0</v>
      </c>
      <c r="N446" s="23" t="s">
        <v>1141</v>
      </c>
      <c r="O446" s="23" t="s">
        <v>23</v>
      </c>
      <c r="P446" s="23" t="s">
        <v>25</v>
      </c>
      <c r="Q446" s="23" t="s">
        <v>26</v>
      </c>
      <c r="R446" s="23" t="s">
        <v>24</v>
      </c>
      <c r="S446" s="33">
        <v>0</v>
      </c>
      <c r="T446" s="13">
        <v>83.25</v>
      </c>
      <c r="U446" s="13">
        <v>14.984999999999999</v>
      </c>
      <c r="V446" s="55">
        <f>IFERROR(Table12[[#This Row],[Profit]]/Table12[[#This Row],[Sales]],0)</f>
        <v>0.18</v>
      </c>
    </row>
    <row r="447" spans="1:22" x14ac:dyDescent="0.2">
      <c r="A447">
        <v>446</v>
      </c>
      <c r="B447" t="s">
        <v>6018</v>
      </c>
      <c r="C447" s="1">
        <v>41768</v>
      </c>
      <c r="D447" s="22">
        <f>MONTH(Table12[[#This Row],[Order Date]])</f>
        <v>5</v>
      </c>
      <c r="E447" t="s">
        <v>3650</v>
      </c>
      <c r="F447" t="s">
        <v>3651</v>
      </c>
      <c r="G447" s="23" t="s">
        <v>41</v>
      </c>
      <c r="H447" s="23" t="s">
        <v>42</v>
      </c>
      <c r="I447" t="s">
        <v>864</v>
      </c>
      <c r="J447" s="23" t="s">
        <v>36</v>
      </c>
      <c r="K447" s="22">
        <v>3</v>
      </c>
      <c r="L447" s="1">
        <v>41768</v>
      </c>
      <c r="M447" s="22">
        <f>Table12[[#This Row],[Ship Date]]-Table12[[#This Row],[Order Date]]</f>
        <v>0</v>
      </c>
      <c r="N447" s="23" t="s">
        <v>1141</v>
      </c>
      <c r="O447" s="23" t="s">
        <v>23</v>
      </c>
      <c r="P447" s="23" t="s">
        <v>25</v>
      </c>
      <c r="Q447" s="23" t="s">
        <v>26</v>
      </c>
      <c r="R447" s="23" t="s">
        <v>24</v>
      </c>
      <c r="S447" s="33">
        <v>0</v>
      </c>
      <c r="T447" s="13">
        <v>9.4499999999999993</v>
      </c>
      <c r="U447" s="13">
        <v>4.5359999999999996</v>
      </c>
      <c r="V447" s="55">
        <f>IFERROR(Table12[[#This Row],[Profit]]/Table12[[#This Row],[Sales]],0)</f>
        <v>0.48</v>
      </c>
    </row>
    <row r="448" spans="1:22" x14ac:dyDescent="0.2">
      <c r="A448">
        <v>447</v>
      </c>
      <c r="B448" t="s">
        <v>6018</v>
      </c>
      <c r="C448" s="1">
        <v>41768</v>
      </c>
      <c r="D448" s="22">
        <f>MONTH(Table12[[#This Row],[Order Date]])</f>
        <v>5</v>
      </c>
      <c r="E448" t="s">
        <v>3498</v>
      </c>
      <c r="F448" t="s">
        <v>3499</v>
      </c>
      <c r="G448" s="23" t="s">
        <v>41</v>
      </c>
      <c r="H448" s="23" t="s">
        <v>42</v>
      </c>
      <c r="I448" t="s">
        <v>864</v>
      </c>
      <c r="J448" s="23" t="s">
        <v>36</v>
      </c>
      <c r="K448" s="22">
        <v>5</v>
      </c>
      <c r="L448" s="1">
        <v>41768</v>
      </c>
      <c r="M448" s="22">
        <f>Table12[[#This Row],[Ship Date]]-Table12[[#This Row],[Order Date]]</f>
        <v>0</v>
      </c>
      <c r="N448" s="23" t="s">
        <v>1141</v>
      </c>
      <c r="O448" s="23" t="s">
        <v>23</v>
      </c>
      <c r="P448" s="23" t="s">
        <v>25</v>
      </c>
      <c r="Q448" s="23" t="s">
        <v>26</v>
      </c>
      <c r="R448" s="23" t="s">
        <v>24</v>
      </c>
      <c r="S448" s="33">
        <v>0</v>
      </c>
      <c r="T448" s="13">
        <v>20.65</v>
      </c>
      <c r="U448" s="13">
        <v>9.4990000000000006</v>
      </c>
      <c r="V448" s="55">
        <f>IFERROR(Table12[[#This Row],[Profit]]/Table12[[#This Row],[Sales]],0)</f>
        <v>0.46000000000000008</v>
      </c>
    </row>
    <row r="449" spans="1:22" x14ac:dyDescent="0.2">
      <c r="A449">
        <v>448</v>
      </c>
      <c r="B449" t="s">
        <v>6018</v>
      </c>
      <c r="C449" s="1">
        <v>41768</v>
      </c>
      <c r="D449" s="22">
        <f>MONTH(Table12[[#This Row],[Order Date]])</f>
        <v>5</v>
      </c>
      <c r="E449" t="s">
        <v>3780</v>
      </c>
      <c r="F449" t="s">
        <v>3781</v>
      </c>
      <c r="G449" s="23" t="s">
        <v>41</v>
      </c>
      <c r="H449" s="23" t="s">
        <v>82</v>
      </c>
      <c r="I449" t="s">
        <v>864</v>
      </c>
      <c r="J449" s="23" t="s">
        <v>36</v>
      </c>
      <c r="K449" s="22">
        <v>7</v>
      </c>
      <c r="L449" s="1">
        <v>41768</v>
      </c>
      <c r="M449" s="22">
        <f>Table12[[#This Row],[Ship Date]]-Table12[[#This Row],[Order Date]]</f>
        <v>0</v>
      </c>
      <c r="N449" s="23" t="s">
        <v>1141</v>
      </c>
      <c r="O449" s="23" t="s">
        <v>23</v>
      </c>
      <c r="P449" s="23" t="s">
        <v>25</v>
      </c>
      <c r="Q449" s="23" t="s">
        <v>26</v>
      </c>
      <c r="R449" s="23" t="s">
        <v>24</v>
      </c>
      <c r="S449" s="33">
        <v>0</v>
      </c>
      <c r="T449" s="13">
        <v>45.36</v>
      </c>
      <c r="U449" s="13">
        <v>21.7728</v>
      </c>
      <c r="V449" s="55">
        <f>IFERROR(Table12[[#This Row],[Profit]]/Table12[[#This Row],[Sales]],0)</f>
        <v>0.48</v>
      </c>
    </row>
    <row r="450" spans="1:22" x14ac:dyDescent="0.2">
      <c r="A450">
        <v>449</v>
      </c>
      <c r="B450" t="s">
        <v>7304</v>
      </c>
      <c r="C450" s="1">
        <v>41769</v>
      </c>
      <c r="D450" s="22">
        <f>MONTH(Table12[[#This Row],[Order Date]])</f>
        <v>5</v>
      </c>
      <c r="E450" t="s">
        <v>1511</v>
      </c>
      <c r="F450" t="s">
        <v>1512</v>
      </c>
      <c r="G450" s="23" t="s">
        <v>41</v>
      </c>
      <c r="H450" s="23" t="s">
        <v>155</v>
      </c>
      <c r="I450" t="s">
        <v>3566</v>
      </c>
      <c r="J450" s="23" t="s">
        <v>22</v>
      </c>
      <c r="K450" s="22">
        <v>3</v>
      </c>
      <c r="L450" s="1">
        <v>41774</v>
      </c>
      <c r="M450" s="22">
        <f>Table12[[#This Row],[Ship Date]]-Table12[[#This Row],[Order Date]]</f>
        <v>5</v>
      </c>
      <c r="N450" s="23" t="s">
        <v>45</v>
      </c>
      <c r="O450" s="23" t="s">
        <v>23</v>
      </c>
      <c r="P450" s="23" t="s">
        <v>87</v>
      </c>
      <c r="Q450" s="23" t="s">
        <v>39</v>
      </c>
      <c r="R450" s="23" t="s">
        <v>3755</v>
      </c>
      <c r="S450" s="33">
        <v>0</v>
      </c>
      <c r="T450" s="13">
        <v>158.13</v>
      </c>
      <c r="U450" s="13">
        <v>77.483699999999999</v>
      </c>
      <c r="V450" s="55">
        <f>IFERROR(Table12[[#This Row],[Profit]]/Table12[[#This Row],[Sales]],0)</f>
        <v>0.49</v>
      </c>
    </row>
    <row r="451" spans="1:22" x14ac:dyDescent="0.2">
      <c r="A451">
        <v>450</v>
      </c>
      <c r="B451" t="s">
        <v>7304</v>
      </c>
      <c r="C451" s="1">
        <v>41769</v>
      </c>
      <c r="D451" s="22">
        <f>MONTH(Table12[[#This Row],[Order Date]])</f>
        <v>5</v>
      </c>
      <c r="E451" t="s">
        <v>221</v>
      </c>
      <c r="F451" t="s">
        <v>222</v>
      </c>
      <c r="G451" s="23" t="s">
        <v>64</v>
      </c>
      <c r="H451" s="23" t="s">
        <v>65</v>
      </c>
      <c r="I451" t="s">
        <v>3566</v>
      </c>
      <c r="J451" s="23" t="s">
        <v>22</v>
      </c>
      <c r="K451" s="22">
        <v>5</v>
      </c>
      <c r="L451" s="1">
        <v>41774</v>
      </c>
      <c r="M451" s="22">
        <f>Table12[[#This Row],[Ship Date]]-Table12[[#This Row],[Order Date]]</f>
        <v>5</v>
      </c>
      <c r="N451" s="23" t="s">
        <v>45</v>
      </c>
      <c r="O451" s="23" t="s">
        <v>23</v>
      </c>
      <c r="P451" s="23" t="s">
        <v>87</v>
      </c>
      <c r="Q451" s="23" t="s">
        <v>39</v>
      </c>
      <c r="R451" s="23" t="s">
        <v>3755</v>
      </c>
      <c r="S451" s="33">
        <v>0.2</v>
      </c>
      <c r="T451" s="13">
        <v>43.6</v>
      </c>
      <c r="U451" s="13">
        <v>4.3600000000000003</v>
      </c>
      <c r="V451" s="55">
        <f>IFERROR(Table12[[#This Row],[Profit]]/Table12[[#This Row],[Sales]],0)</f>
        <v>0.1</v>
      </c>
    </row>
    <row r="452" spans="1:22" x14ac:dyDescent="0.2">
      <c r="A452">
        <v>451</v>
      </c>
      <c r="B452" t="s">
        <v>8754</v>
      </c>
      <c r="C452" s="1">
        <v>41769</v>
      </c>
      <c r="D452" s="22">
        <f>MONTH(Table12[[#This Row],[Order Date]])</f>
        <v>5</v>
      </c>
      <c r="E452" t="s">
        <v>3083</v>
      </c>
      <c r="F452" t="s">
        <v>3084</v>
      </c>
      <c r="G452" s="23" t="s">
        <v>28</v>
      </c>
      <c r="H452" s="23" t="s">
        <v>29</v>
      </c>
      <c r="I452" t="s">
        <v>2312</v>
      </c>
      <c r="J452" s="23" t="s">
        <v>22</v>
      </c>
      <c r="K452" s="22">
        <v>7</v>
      </c>
      <c r="L452" s="1">
        <v>41773</v>
      </c>
      <c r="M452" s="22">
        <f>Table12[[#This Row],[Ship Date]]-Table12[[#This Row],[Order Date]]</f>
        <v>4</v>
      </c>
      <c r="N452" s="23" t="s">
        <v>20</v>
      </c>
      <c r="O452" s="23" t="s">
        <v>23</v>
      </c>
      <c r="P452" s="23" t="s">
        <v>132</v>
      </c>
      <c r="Q452" s="23" t="s">
        <v>133</v>
      </c>
      <c r="R452" s="23" t="s">
        <v>131</v>
      </c>
      <c r="S452" s="33">
        <v>0.5</v>
      </c>
      <c r="T452" s="13">
        <v>349.96499999999997</v>
      </c>
      <c r="U452" s="13">
        <v>-216.97829999999999</v>
      </c>
      <c r="V452" s="55">
        <f>IFERROR(Table12[[#This Row],[Profit]]/Table12[[#This Row],[Sales]],0)</f>
        <v>-0.62</v>
      </c>
    </row>
    <row r="453" spans="1:22" x14ac:dyDescent="0.2">
      <c r="A453">
        <v>452</v>
      </c>
      <c r="B453" t="s">
        <v>8754</v>
      </c>
      <c r="C453" s="1">
        <v>41769</v>
      </c>
      <c r="D453" s="22">
        <f>MONTH(Table12[[#This Row],[Order Date]])</f>
        <v>5</v>
      </c>
      <c r="E453" t="s">
        <v>2746</v>
      </c>
      <c r="F453" t="s">
        <v>2747</v>
      </c>
      <c r="G453" s="23" t="s">
        <v>41</v>
      </c>
      <c r="H453" s="23" t="s">
        <v>61</v>
      </c>
      <c r="I453" t="s">
        <v>2312</v>
      </c>
      <c r="J453" s="23" t="s">
        <v>22</v>
      </c>
      <c r="K453" s="22">
        <v>5</v>
      </c>
      <c r="L453" s="1">
        <v>41773</v>
      </c>
      <c r="M453" s="22">
        <f>Table12[[#This Row],[Ship Date]]-Table12[[#This Row],[Order Date]]</f>
        <v>4</v>
      </c>
      <c r="N453" s="23" t="s">
        <v>20</v>
      </c>
      <c r="O453" s="23" t="s">
        <v>23</v>
      </c>
      <c r="P453" s="23" t="s">
        <v>132</v>
      </c>
      <c r="Q453" s="23" t="s">
        <v>133</v>
      </c>
      <c r="R453" s="23" t="s">
        <v>131</v>
      </c>
      <c r="S453" s="33">
        <v>0.2</v>
      </c>
      <c r="T453" s="13">
        <v>22.32</v>
      </c>
      <c r="U453" s="13">
        <v>5.3010000000000002</v>
      </c>
      <c r="V453" s="55">
        <f>IFERROR(Table12[[#This Row],[Profit]]/Table12[[#This Row],[Sales]],0)</f>
        <v>0.23750000000000002</v>
      </c>
    </row>
    <row r="454" spans="1:22" x14ac:dyDescent="0.2">
      <c r="A454">
        <v>453</v>
      </c>
      <c r="B454" t="s">
        <v>9693</v>
      </c>
      <c r="C454" s="1">
        <v>41769</v>
      </c>
      <c r="D454" s="22">
        <f>MONTH(Table12[[#This Row],[Order Date]])</f>
        <v>5</v>
      </c>
      <c r="E454" t="s">
        <v>6829</v>
      </c>
      <c r="F454" t="s">
        <v>6830</v>
      </c>
      <c r="G454" s="23" t="s">
        <v>41</v>
      </c>
      <c r="H454" s="23" t="s">
        <v>82</v>
      </c>
      <c r="I454" t="s">
        <v>3062</v>
      </c>
      <c r="J454" s="23" t="s">
        <v>22</v>
      </c>
      <c r="K454" s="22">
        <v>2</v>
      </c>
      <c r="L454" s="1">
        <v>41774</v>
      </c>
      <c r="M454" s="22">
        <f>Table12[[#This Row],[Ship Date]]-Table12[[#This Row],[Order Date]]</f>
        <v>5</v>
      </c>
      <c r="N454" s="23" t="s">
        <v>45</v>
      </c>
      <c r="O454" s="23" t="s">
        <v>23</v>
      </c>
      <c r="P454" s="23" t="s">
        <v>38</v>
      </c>
      <c r="Q454" s="23" t="s">
        <v>39</v>
      </c>
      <c r="R454" s="23" t="s">
        <v>557</v>
      </c>
      <c r="S454" s="33">
        <v>0</v>
      </c>
      <c r="T454" s="13">
        <v>39.96</v>
      </c>
      <c r="U454" s="13">
        <v>19.180800000000001</v>
      </c>
      <c r="V454" s="55">
        <f>IFERROR(Table12[[#This Row],[Profit]]/Table12[[#This Row],[Sales]],0)</f>
        <v>0.48000000000000004</v>
      </c>
    </row>
    <row r="455" spans="1:22" x14ac:dyDescent="0.2">
      <c r="A455">
        <v>454</v>
      </c>
      <c r="B455" t="s">
        <v>9693</v>
      </c>
      <c r="C455" s="1">
        <v>41769</v>
      </c>
      <c r="D455" s="22">
        <f>MONTH(Table12[[#This Row],[Order Date]])</f>
        <v>5</v>
      </c>
      <c r="E455" t="s">
        <v>3942</v>
      </c>
      <c r="F455" t="s">
        <v>3943</v>
      </c>
      <c r="G455" s="23" t="s">
        <v>64</v>
      </c>
      <c r="H455" s="23" t="s">
        <v>65</v>
      </c>
      <c r="I455" t="s">
        <v>3062</v>
      </c>
      <c r="J455" s="23" t="s">
        <v>22</v>
      </c>
      <c r="K455" s="22">
        <v>5</v>
      </c>
      <c r="L455" s="1">
        <v>41774</v>
      </c>
      <c r="M455" s="22">
        <f>Table12[[#This Row],[Ship Date]]-Table12[[#This Row],[Order Date]]</f>
        <v>5</v>
      </c>
      <c r="N455" s="23" t="s">
        <v>45</v>
      </c>
      <c r="O455" s="23" t="s">
        <v>23</v>
      </c>
      <c r="P455" s="23" t="s">
        <v>38</v>
      </c>
      <c r="Q455" s="23" t="s">
        <v>39</v>
      </c>
      <c r="R455" s="23" t="s">
        <v>557</v>
      </c>
      <c r="S455" s="33">
        <v>0.2</v>
      </c>
      <c r="T455" s="13">
        <v>1432</v>
      </c>
      <c r="U455" s="13">
        <v>125.3</v>
      </c>
      <c r="V455" s="55">
        <f>IFERROR(Table12[[#This Row],[Profit]]/Table12[[#This Row],[Sales]],0)</f>
        <v>8.7499999999999994E-2</v>
      </c>
    </row>
    <row r="456" spans="1:22" x14ac:dyDescent="0.2">
      <c r="A456">
        <v>455</v>
      </c>
      <c r="B456" t="s">
        <v>9693</v>
      </c>
      <c r="C456" s="1">
        <v>41769</v>
      </c>
      <c r="D456" s="22">
        <f>MONTH(Table12[[#This Row],[Order Date]])</f>
        <v>5</v>
      </c>
      <c r="E456" t="s">
        <v>7329</v>
      </c>
      <c r="F456" t="s">
        <v>7330</v>
      </c>
      <c r="G456" s="23" t="s">
        <v>41</v>
      </c>
      <c r="H456" s="23" t="s">
        <v>513</v>
      </c>
      <c r="I456" t="s">
        <v>3062</v>
      </c>
      <c r="J456" s="23" t="s">
        <v>22</v>
      </c>
      <c r="K456" s="22">
        <v>6</v>
      </c>
      <c r="L456" s="1">
        <v>41774</v>
      </c>
      <c r="M456" s="22">
        <f>Table12[[#This Row],[Ship Date]]-Table12[[#This Row],[Order Date]]</f>
        <v>5</v>
      </c>
      <c r="N456" s="23" t="s">
        <v>45</v>
      </c>
      <c r="O456" s="23" t="s">
        <v>23</v>
      </c>
      <c r="P456" s="23" t="s">
        <v>38</v>
      </c>
      <c r="Q456" s="23" t="s">
        <v>39</v>
      </c>
      <c r="R456" s="23" t="s">
        <v>557</v>
      </c>
      <c r="S456" s="33">
        <v>0</v>
      </c>
      <c r="T456" s="13">
        <v>41.04</v>
      </c>
      <c r="U456" s="13">
        <v>11.0808</v>
      </c>
      <c r="V456" s="55">
        <f>IFERROR(Table12[[#This Row],[Profit]]/Table12[[#This Row],[Sales]],0)</f>
        <v>0.27</v>
      </c>
    </row>
    <row r="457" spans="1:22" x14ac:dyDescent="0.2">
      <c r="A457">
        <v>456</v>
      </c>
      <c r="B457" t="s">
        <v>9693</v>
      </c>
      <c r="C457" s="1">
        <v>41769</v>
      </c>
      <c r="D457" s="22">
        <f>MONTH(Table12[[#This Row],[Order Date]])</f>
        <v>5</v>
      </c>
      <c r="E457" t="s">
        <v>5574</v>
      </c>
      <c r="F457" t="s">
        <v>5575</v>
      </c>
      <c r="G457" s="23" t="s">
        <v>28</v>
      </c>
      <c r="H457" s="23" t="s">
        <v>32</v>
      </c>
      <c r="I457" t="s">
        <v>3062</v>
      </c>
      <c r="J457" s="23" t="s">
        <v>22</v>
      </c>
      <c r="K457" s="22">
        <v>1</v>
      </c>
      <c r="L457" s="1">
        <v>41774</v>
      </c>
      <c r="M457" s="22">
        <f>Table12[[#This Row],[Ship Date]]-Table12[[#This Row],[Order Date]]</f>
        <v>5</v>
      </c>
      <c r="N457" s="23" t="s">
        <v>45</v>
      </c>
      <c r="O457" s="23" t="s">
        <v>23</v>
      </c>
      <c r="P457" s="23" t="s">
        <v>38</v>
      </c>
      <c r="Q457" s="23" t="s">
        <v>39</v>
      </c>
      <c r="R457" s="23" t="s">
        <v>557</v>
      </c>
      <c r="S457" s="33">
        <v>0.2</v>
      </c>
      <c r="T457" s="13">
        <v>256.78399999999999</v>
      </c>
      <c r="U457" s="13">
        <v>32.097999999999999</v>
      </c>
      <c r="V457" s="55">
        <f>IFERROR(Table12[[#This Row],[Profit]]/Table12[[#This Row],[Sales]],0)</f>
        <v>0.125</v>
      </c>
    </row>
    <row r="458" spans="1:22" x14ac:dyDescent="0.2">
      <c r="A458">
        <v>457</v>
      </c>
      <c r="B458" t="s">
        <v>1639</v>
      </c>
      <c r="C458" s="1">
        <v>41770</v>
      </c>
      <c r="D458" s="22">
        <f>MONTH(Table12[[#This Row],[Order Date]])</f>
        <v>5</v>
      </c>
      <c r="E458" t="s">
        <v>1640</v>
      </c>
      <c r="F458" t="s">
        <v>1641</v>
      </c>
      <c r="G458" s="23" t="s">
        <v>64</v>
      </c>
      <c r="H458" s="23" t="s">
        <v>144</v>
      </c>
      <c r="I458" t="s">
        <v>346</v>
      </c>
      <c r="J458" s="23" t="s">
        <v>22</v>
      </c>
      <c r="K458" s="22">
        <v>2</v>
      </c>
      <c r="L458" s="1">
        <v>41775</v>
      </c>
      <c r="M458" s="22">
        <f>Table12[[#This Row],[Ship Date]]-Table12[[#This Row],[Order Date]]</f>
        <v>5</v>
      </c>
      <c r="N458" s="23" t="s">
        <v>45</v>
      </c>
      <c r="O458" s="23" t="s">
        <v>23</v>
      </c>
      <c r="P458" s="23" t="s">
        <v>94</v>
      </c>
      <c r="Q458" s="23" t="s">
        <v>95</v>
      </c>
      <c r="R458" s="23" t="s">
        <v>93</v>
      </c>
      <c r="S458" s="33">
        <v>0.2</v>
      </c>
      <c r="T458" s="13">
        <v>58.112000000000002</v>
      </c>
      <c r="U458" s="13">
        <v>7.2640000000000002</v>
      </c>
      <c r="V458" s="55">
        <f>IFERROR(Table12[[#This Row],[Profit]]/Table12[[#This Row],[Sales]],0)</f>
        <v>0.125</v>
      </c>
    </row>
    <row r="459" spans="1:22" x14ac:dyDescent="0.2">
      <c r="A459">
        <v>458</v>
      </c>
      <c r="B459" t="s">
        <v>1639</v>
      </c>
      <c r="C459" s="1">
        <v>41770</v>
      </c>
      <c r="D459" s="22">
        <f>MONTH(Table12[[#This Row],[Order Date]])</f>
        <v>5</v>
      </c>
      <c r="E459" t="s">
        <v>1642</v>
      </c>
      <c r="F459" t="s">
        <v>1643</v>
      </c>
      <c r="G459" s="23" t="s">
        <v>64</v>
      </c>
      <c r="H459" s="23" t="s">
        <v>65</v>
      </c>
      <c r="I459" t="s">
        <v>346</v>
      </c>
      <c r="J459" s="23" t="s">
        <v>22</v>
      </c>
      <c r="K459" s="22">
        <v>1</v>
      </c>
      <c r="L459" s="1">
        <v>41775</v>
      </c>
      <c r="M459" s="22">
        <f>Table12[[#This Row],[Ship Date]]-Table12[[#This Row],[Order Date]]</f>
        <v>5</v>
      </c>
      <c r="N459" s="23" t="s">
        <v>45</v>
      </c>
      <c r="O459" s="23" t="s">
        <v>23</v>
      </c>
      <c r="P459" s="23" t="s">
        <v>94</v>
      </c>
      <c r="Q459" s="23" t="s">
        <v>95</v>
      </c>
      <c r="R459" s="23" t="s">
        <v>93</v>
      </c>
      <c r="S459" s="33">
        <v>0.2</v>
      </c>
      <c r="T459" s="13">
        <v>100.792</v>
      </c>
      <c r="U459" s="13">
        <v>6.2995000000000001</v>
      </c>
      <c r="V459" s="55">
        <f>IFERROR(Table12[[#This Row],[Profit]]/Table12[[#This Row],[Sales]],0)</f>
        <v>6.25E-2</v>
      </c>
    </row>
    <row r="460" spans="1:22" x14ac:dyDescent="0.2">
      <c r="A460">
        <v>459</v>
      </c>
      <c r="B460" t="s">
        <v>1639</v>
      </c>
      <c r="C460" s="1">
        <v>41770</v>
      </c>
      <c r="D460" s="22">
        <f>MONTH(Table12[[#This Row],[Order Date]])</f>
        <v>5</v>
      </c>
      <c r="E460" t="s">
        <v>1644</v>
      </c>
      <c r="F460" t="s">
        <v>1645</v>
      </c>
      <c r="G460" s="23" t="s">
        <v>28</v>
      </c>
      <c r="H460" s="23" t="s">
        <v>58</v>
      </c>
      <c r="I460" t="s">
        <v>346</v>
      </c>
      <c r="J460" s="23" t="s">
        <v>22</v>
      </c>
      <c r="K460" s="22">
        <v>4</v>
      </c>
      <c r="L460" s="1">
        <v>41775</v>
      </c>
      <c r="M460" s="22">
        <f>Table12[[#This Row],[Ship Date]]-Table12[[#This Row],[Order Date]]</f>
        <v>5</v>
      </c>
      <c r="N460" s="23" t="s">
        <v>45</v>
      </c>
      <c r="O460" s="23" t="s">
        <v>23</v>
      </c>
      <c r="P460" s="23" t="s">
        <v>94</v>
      </c>
      <c r="Q460" s="23" t="s">
        <v>95</v>
      </c>
      <c r="R460" s="23" t="s">
        <v>93</v>
      </c>
      <c r="S460" s="33">
        <v>0.6</v>
      </c>
      <c r="T460" s="13">
        <v>66.111999999999995</v>
      </c>
      <c r="U460" s="13">
        <v>-84.2928</v>
      </c>
      <c r="V460" s="55">
        <f>IFERROR(Table12[[#This Row],[Profit]]/Table12[[#This Row],[Sales]],0)</f>
        <v>-1.2750000000000001</v>
      </c>
    </row>
    <row r="461" spans="1:22" x14ac:dyDescent="0.2">
      <c r="A461">
        <v>460</v>
      </c>
      <c r="B461" t="s">
        <v>3945</v>
      </c>
      <c r="C461" s="1">
        <v>41770</v>
      </c>
      <c r="D461" s="22">
        <f>MONTH(Table12[[#This Row],[Order Date]])</f>
        <v>5</v>
      </c>
      <c r="E461" t="s">
        <v>2844</v>
      </c>
      <c r="F461" t="s">
        <v>2845</v>
      </c>
      <c r="G461" s="23" t="s">
        <v>64</v>
      </c>
      <c r="H461" s="23" t="s">
        <v>144</v>
      </c>
      <c r="I461" t="s">
        <v>3946</v>
      </c>
      <c r="J461" s="23" t="s">
        <v>22</v>
      </c>
      <c r="K461" s="22">
        <v>2</v>
      </c>
      <c r="L461" s="1">
        <v>41776</v>
      </c>
      <c r="M461" s="22">
        <f>Table12[[#This Row],[Ship Date]]-Table12[[#This Row],[Order Date]]</f>
        <v>6</v>
      </c>
      <c r="N461" s="23" t="s">
        <v>45</v>
      </c>
      <c r="O461" s="23" t="s">
        <v>23</v>
      </c>
      <c r="P461" s="23" t="s">
        <v>94</v>
      </c>
      <c r="Q461" s="23" t="s">
        <v>95</v>
      </c>
      <c r="R461" s="23" t="s">
        <v>165</v>
      </c>
      <c r="S461" s="33">
        <v>0.2</v>
      </c>
      <c r="T461" s="13">
        <v>46.863999999999997</v>
      </c>
      <c r="U461" s="13">
        <v>7.6154000000000002</v>
      </c>
      <c r="V461" s="55">
        <f>IFERROR(Table12[[#This Row],[Profit]]/Table12[[#This Row],[Sales]],0)</f>
        <v>0.16250000000000001</v>
      </c>
    </row>
    <row r="462" spans="1:22" x14ac:dyDescent="0.2">
      <c r="A462">
        <v>461</v>
      </c>
      <c r="B462" t="s">
        <v>6501</v>
      </c>
      <c r="C462" s="1">
        <v>41770</v>
      </c>
      <c r="D462" s="22">
        <f>MONTH(Table12[[#This Row],[Order Date]])</f>
        <v>5</v>
      </c>
      <c r="E462" t="s">
        <v>1261</v>
      </c>
      <c r="F462" t="s">
        <v>1262</v>
      </c>
      <c r="G462" s="23" t="s">
        <v>41</v>
      </c>
      <c r="H462" s="23" t="s">
        <v>71</v>
      </c>
      <c r="I462" t="s">
        <v>3052</v>
      </c>
      <c r="J462" s="23" t="s">
        <v>36</v>
      </c>
      <c r="K462" s="22">
        <v>3</v>
      </c>
      <c r="L462" s="1">
        <v>41777</v>
      </c>
      <c r="M462" s="22">
        <f>Table12[[#This Row],[Ship Date]]-Table12[[#This Row],[Order Date]]</f>
        <v>7</v>
      </c>
      <c r="N462" s="23" t="s">
        <v>45</v>
      </c>
      <c r="O462" s="23" t="s">
        <v>23</v>
      </c>
      <c r="P462" s="23" t="s">
        <v>238</v>
      </c>
      <c r="Q462" s="23" t="s">
        <v>133</v>
      </c>
      <c r="R462" s="23" t="s">
        <v>3619</v>
      </c>
      <c r="S462" s="33">
        <v>0</v>
      </c>
      <c r="T462" s="13">
        <v>35.909999999999997</v>
      </c>
      <c r="U462" s="13">
        <v>9.6957000000000004</v>
      </c>
      <c r="V462" s="55">
        <f>IFERROR(Table12[[#This Row],[Profit]]/Table12[[#This Row],[Sales]],0)</f>
        <v>0.27</v>
      </c>
    </row>
    <row r="463" spans="1:22" x14ac:dyDescent="0.2">
      <c r="A463">
        <v>462</v>
      </c>
      <c r="B463" t="s">
        <v>9827</v>
      </c>
      <c r="C463" s="1">
        <v>41770</v>
      </c>
      <c r="D463" s="22">
        <f>MONTH(Table12[[#This Row],[Order Date]])</f>
        <v>5</v>
      </c>
      <c r="E463" t="s">
        <v>1316</v>
      </c>
      <c r="F463" t="s">
        <v>1317</v>
      </c>
      <c r="G463" s="23" t="s">
        <v>28</v>
      </c>
      <c r="H463" s="23" t="s">
        <v>32</v>
      </c>
      <c r="I463" t="s">
        <v>746</v>
      </c>
      <c r="J463" s="23" t="s">
        <v>36</v>
      </c>
      <c r="K463" s="22">
        <v>8</v>
      </c>
      <c r="L463" s="1">
        <v>41775</v>
      </c>
      <c r="M463" s="22">
        <f>Table12[[#This Row],[Ship Date]]-Table12[[#This Row],[Order Date]]</f>
        <v>5</v>
      </c>
      <c r="N463" s="23" t="s">
        <v>45</v>
      </c>
      <c r="O463" s="23" t="s">
        <v>23</v>
      </c>
      <c r="P463" s="23" t="s">
        <v>94</v>
      </c>
      <c r="Q463" s="23" t="s">
        <v>95</v>
      </c>
      <c r="R463" s="23" t="s">
        <v>1488</v>
      </c>
      <c r="S463" s="33">
        <v>0.3</v>
      </c>
      <c r="T463" s="13">
        <v>1212.96</v>
      </c>
      <c r="U463" s="13">
        <v>-69.311999999999998</v>
      </c>
      <c r="V463" s="55">
        <f>IFERROR(Table12[[#This Row],[Profit]]/Table12[[#This Row],[Sales]],0)</f>
        <v>-5.7142857142857141E-2</v>
      </c>
    </row>
    <row r="464" spans="1:22" x14ac:dyDescent="0.2">
      <c r="A464">
        <v>463</v>
      </c>
      <c r="B464" t="s">
        <v>9931</v>
      </c>
      <c r="C464" s="1">
        <v>41770</v>
      </c>
      <c r="D464" s="22">
        <f>MONTH(Table12[[#This Row],[Order Date]])</f>
        <v>5</v>
      </c>
      <c r="E464" t="s">
        <v>7572</v>
      </c>
      <c r="F464" t="s">
        <v>7573</v>
      </c>
      <c r="G464" s="23" t="s">
        <v>41</v>
      </c>
      <c r="H464" s="23" t="s">
        <v>82</v>
      </c>
      <c r="I464" t="s">
        <v>9310</v>
      </c>
      <c r="J464" s="23" t="s">
        <v>92</v>
      </c>
      <c r="K464" s="22">
        <v>3</v>
      </c>
      <c r="L464" s="1">
        <v>41774</v>
      </c>
      <c r="M464" s="22">
        <f>Table12[[#This Row],[Ship Date]]-Table12[[#This Row],[Order Date]]</f>
        <v>4</v>
      </c>
      <c r="N464" s="23" t="s">
        <v>45</v>
      </c>
      <c r="O464" s="23" t="s">
        <v>23</v>
      </c>
      <c r="P464" s="23" t="s">
        <v>189</v>
      </c>
      <c r="Q464" s="23" t="s">
        <v>95</v>
      </c>
      <c r="R464" s="23" t="s">
        <v>271</v>
      </c>
      <c r="S464" s="33">
        <v>0.2</v>
      </c>
      <c r="T464" s="13">
        <v>17.472000000000001</v>
      </c>
      <c r="U464" s="13">
        <v>5.6783999999999999</v>
      </c>
      <c r="V464" s="55">
        <f>IFERROR(Table12[[#This Row],[Profit]]/Table12[[#This Row],[Sales]],0)</f>
        <v>0.32499999999999996</v>
      </c>
    </row>
    <row r="465" spans="1:22" x14ac:dyDescent="0.2">
      <c r="A465">
        <v>464</v>
      </c>
      <c r="B465" t="s">
        <v>9931</v>
      </c>
      <c r="C465" s="1">
        <v>41770</v>
      </c>
      <c r="D465" s="22">
        <f>MONTH(Table12[[#This Row],[Order Date]])</f>
        <v>5</v>
      </c>
      <c r="E465" t="s">
        <v>3152</v>
      </c>
      <c r="F465" t="s">
        <v>3153</v>
      </c>
      <c r="G465" s="23" t="s">
        <v>41</v>
      </c>
      <c r="H465" s="23" t="s">
        <v>68</v>
      </c>
      <c r="I465" t="s">
        <v>9310</v>
      </c>
      <c r="J465" s="23" t="s">
        <v>92</v>
      </c>
      <c r="K465" s="22">
        <v>9</v>
      </c>
      <c r="L465" s="1">
        <v>41774</v>
      </c>
      <c r="M465" s="22">
        <f>Table12[[#This Row],[Ship Date]]-Table12[[#This Row],[Order Date]]</f>
        <v>4</v>
      </c>
      <c r="N465" s="23" t="s">
        <v>45</v>
      </c>
      <c r="O465" s="23" t="s">
        <v>23</v>
      </c>
      <c r="P465" s="23" t="s">
        <v>189</v>
      </c>
      <c r="Q465" s="23" t="s">
        <v>95</v>
      </c>
      <c r="R465" s="23" t="s">
        <v>271</v>
      </c>
      <c r="S465" s="33">
        <v>0.8</v>
      </c>
      <c r="T465" s="13">
        <v>104.58</v>
      </c>
      <c r="U465" s="13">
        <v>-172.55699999999999</v>
      </c>
      <c r="V465" s="55">
        <f>IFERROR(Table12[[#This Row],[Profit]]/Table12[[#This Row],[Sales]],0)</f>
        <v>-1.65</v>
      </c>
    </row>
    <row r="466" spans="1:22" x14ac:dyDescent="0.2">
      <c r="A466">
        <v>465</v>
      </c>
      <c r="B466" t="s">
        <v>3810</v>
      </c>
      <c r="C466" s="1">
        <v>41771</v>
      </c>
      <c r="D466" s="22">
        <f>MONTH(Table12[[#This Row],[Order Date]])</f>
        <v>5</v>
      </c>
      <c r="E466" t="s">
        <v>1803</v>
      </c>
      <c r="F466" t="s">
        <v>1804</v>
      </c>
      <c r="G466" s="23" t="s">
        <v>28</v>
      </c>
      <c r="H466" s="23" t="s">
        <v>58</v>
      </c>
      <c r="I466" t="s">
        <v>2425</v>
      </c>
      <c r="J466" s="23" t="s">
        <v>22</v>
      </c>
      <c r="K466" s="22">
        <v>7</v>
      </c>
      <c r="L466" s="1">
        <v>41774</v>
      </c>
      <c r="M466" s="22">
        <f>Table12[[#This Row],[Ship Date]]-Table12[[#This Row],[Order Date]]</f>
        <v>3</v>
      </c>
      <c r="N466" s="23" t="s">
        <v>169</v>
      </c>
      <c r="O466" s="23" t="s">
        <v>23</v>
      </c>
      <c r="P466" s="23" t="s">
        <v>103</v>
      </c>
      <c r="Q466" s="23" t="s">
        <v>95</v>
      </c>
      <c r="R466" s="23" t="s">
        <v>2242</v>
      </c>
      <c r="S466" s="33">
        <v>0</v>
      </c>
      <c r="T466" s="13">
        <v>34.79</v>
      </c>
      <c r="U466" s="13">
        <v>10.7849</v>
      </c>
      <c r="V466" s="55">
        <f>IFERROR(Table12[[#This Row],[Profit]]/Table12[[#This Row],[Sales]],0)</f>
        <v>0.31</v>
      </c>
    </row>
    <row r="467" spans="1:22" x14ac:dyDescent="0.2">
      <c r="A467">
        <v>466</v>
      </c>
      <c r="B467" t="s">
        <v>5256</v>
      </c>
      <c r="C467" s="1">
        <v>41771</v>
      </c>
      <c r="D467" s="22">
        <f>MONTH(Table12[[#This Row],[Order Date]])</f>
        <v>5</v>
      </c>
      <c r="E467" t="s">
        <v>2064</v>
      </c>
      <c r="F467" t="s">
        <v>2065</v>
      </c>
      <c r="G467" s="23" t="s">
        <v>28</v>
      </c>
      <c r="H467" s="23" t="s">
        <v>50</v>
      </c>
      <c r="I467" t="s">
        <v>3047</v>
      </c>
      <c r="J467" s="23" t="s">
        <v>22</v>
      </c>
      <c r="K467" s="22">
        <v>3</v>
      </c>
      <c r="L467" s="1">
        <v>41776</v>
      </c>
      <c r="M467" s="22">
        <f>Table12[[#This Row],[Ship Date]]-Table12[[#This Row],[Order Date]]</f>
        <v>5</v>
      </c>
      <c r="N467" s="23" t="s">
        <v>45</v>
      </c>
      <c r="O467" s="23" t="s">
        <v>23</v>
      </c>
      <c r="P467" s="23" t="s">
        <v>1101</v>
      </c>
      <c r="Q467" s="23" t="s">
        <v>133</v>
      </c>
      <c r="R467" s="23" t="s">
        <v>541</v>
      </c>
      <c r="S467" s="33">
        <v>0.3</v>
      </c>
      <c r="T467" s="13">
        <v>700.05600000000004</v>
      </c>
      <c r="U467" s="13">
        <v>-130.0104</v>
      </c>
      <c r="V467" s="55">
        <f>IFERROR(Table12[[#This Row],[Profit]]/Table12[[#This Row],[Sales]],0)</f>
        <v>-0.18571428571428572</v>
      </c>
    </row>
    <row r="468" spans="1:22" x14ac:dyDescent="0.2">
      <c r="A468">
        <v>467</v>
      </c>
      <c r="B468" t="s">
        <v>106</v>
      </c>
      <c r="C468" s="1">
        <v>41772</v>
      </c>
      <c r="D468" s="22">
        <f>MONTH(Table12[[#This Row],[Order Date]])</f>
        <v>5</v>
      </c>
      <c r="E468" t="s">
        <v>110</v>
      </c>
      <c r="F468" t="s">
        <v>111</v>
      </c>
      <c r="G468" s="23" t="s">
        <v>41</v>
      </c>
      <c r="H468" s="23" t="s">
        <v>53</v>
      </c>
      <c r="I468" t="s">
        <v>107</v>
      </c>
      <c r="J468" s="23" t="s">
        <v>22</v>
      </c>
      <c r="K468" s="22">
        <v>2</v>
      </c>
      <c r="L468" s="1">
        <v>41774</v>
      </c>
      <c r="M468" s="22">
        <f>Table12[[#This Row],[Ship Date]]-Table12[[#This Row],[Order Date]]</f>
        <v>2</v>
      </c>
      <c r="N468" s="23" t="s">
        <v>20</v>
      </c>
      <c r="O468" s="23" t="s">
        <v>23</v>
      </c>
      <c r="P468" s="23" t="s">
        <v>109</v>
      </c>
      <c r="Q468" s="23" t="s">
        <v>39</v>
      </c>
      <c r="R468" s="23" t="s">
        <v>108</v>
      </c>
      <c r="S468" s="33">
        <v>0</v>
      </c>
      <c r="T468" s="13">
        <v>55.5</v>
      </c>
      <c r="U468" s="13">
        <v>9.99</v>
      </c>
      <c r="V468" s="55">
        <f>IFERROR(Table12[[#This Row],[Profit]]/Table12[[#This Row],[Sales]],0)</f>
        <v>0.18</v>
      </c>
    </row>
    <row r="469" spans="1:22" x14ac:dyDescent="0.2">
      <c r="A469">
        <v>468</v>
      </c>
      <c r="B469" t="s">
        <v>4154</v>
      </c>
      <c r="C469" s="1">
        <v>41772</v>
      </c>
      <c r="D469" s="22">
        <f>MONTH(Table12[[#This Row],[Order Date]])</f>
        <v>5</v>
      </c>
      <c r="E469" t="s">
        <v>1584</v>
      </c>
      <c r="F469" t="s">
        <v>498</v>
      </c>
      <c r="G469" s="23" t="s">
        <v>41</v>
      </c>
      <c r="H469" s="23" t="s">
        <v>240</v>
      </c>
      <c r="I469" t="s">
        <v>2781</v>
      </c>
      <c r="J469" s="23" t="s">
        <v>92</v>
      </c>
      <c r="K469" s="22">
        <v>2</v>
      </c>
      <c r="L469" s="1">
        <v>41774</v>
      </c>
      <c r="M469" s="22">
        <f>Table12[[#This Row],[Ship Date]]-Table12[[#This Row],[Order Date]]</f>
        <v>2</v>
      </c>
      <c r="N469" s="23" t="s">
        <v>169</v>
      </c>
      <c r="O469" s="23" t="s">
        <v>23</v>
      </c>
      <c r="P469" s="23" t="s">
        <v>48</v>
      </c>
      <c r="Q469" s="23" t="s">
        <v>26</v>
      </c>
      <c r="R469" s="23" t="s">
        <v>2050</v>
      </c>
      <c r="S469" s="33">
        <v>0.2</v>
      </c>
      <c r="T469" s="13">
        <v>7.1040000000000001</v>
      </c>
      <c r="U469" s="13">
        <v>2.3976000000000002</v>
      </c>
      <c r="V469" s="55">
        <f>IFERROR(Table12[[#This Row],[Profit]]/Table12[[#This Row],[Sales]],0)</f>
        <v>0.33750000000000002</v>
      </c>
    </row>
    <row r="470" spans="1:22" x14ac:dyDescent="0.2">
      <c r="A470">
        <v>469</v>
      </c>
      <c r="B470" t="s">
        <v>4154</v>
      </c>
      <c r="C470" s="1">
        <v>41772</v>
      </c>
      <c r="D470" s="22">
        <f>MONTH(Table12[[#This Row],[Order Date]])</f>
        <v>5</v>
      </c>
      <c r="E470" t="s">
        <v>3071</v>
      </c>
      <c r="F470" t="s">
        <v>3072</v>
      </c>
      <c r="G470" s="23" t="s">
        <v>41</v>
      </c>
      <c r="H470" s="23" t="s">
        <v>68</v>
      </c>
      <c r="I470" t="s">
        <v>2781</v>
      </c>
      <c r="J470" s="23" t="s">
        <v>92</v>
      </c>
      <c r="K470" s="22">
        <v>8</v>
      </c>
      <c r="L470" s="1">
        <v>41774</v>
      </c>
      <c r="M470" s="22">
        <f>Table12[[#This Row],[Ship Date]]-Table12[[#This Row],[Order Date]]</f>
        <v>2</v>
      </c>
      <c r="N470" s="23" t="s">
        <v>169</v>
      </c>
      <c r="O470" s="23" t="s">
        <v>23</v>
      </c>
      <c r="P470" s="23" t="s">
        <v>48</v>
      </c>
      <c r="Q470" s="23" t="s">
        <v>26</v>
      </c>
      <c r="R470" s="23" t="s">
        <v>2050</v>
      </c>
      <c r="S470" s="33">
        <v>0.7</v>
      </c>
      <c r="T470" s="13">
        <v>398.35199999999998</v>
      </c>
      <c r="U470" s="13">
        <v>-331.96</v>
      </c>
      <c r="V470" s="55">
        <f>IFERROR(Table12[[#This Row],[Profit]]/Table12[[#This Row],[Sales]],0)</f>
        <v>-0.83333333333333337</v>
      </c>
    </row>
    <row r="471" spans="1:22" x14ac:dyDescent="0.2">
      <c r="A471">
        <v>470</v>
      </c>
      <c r="B471" t="s">
        <v>5747</v>
      </c>
      <c r="C471" s="1">
        <v>41772</v>
      </c>
      <c r="D471" s="22">
        <f>MONTH(Table12[[#This Row],[Order Date]])</f>
        <v>5</v>
      </c>
      <c r="E471" t="s">
        <v>4387</v>
      </c>
      <c r="F471" t="s">
        <v>4388</v>
      </c>
      <c r="G471" s="23" t="s">
        <v>64</v>
      </c>
      <c r="H471" s="23" t="s">
        <v>144</v>
      </c>
      <c r="I471" t="s">
        <v>1969</v>
      </c>
      <c r="J471" s="23" t="s">
        <v>22</v>
      </c>
      <c r="K471" s="22">
        <v>3</v>
      </c>
      <c r="L471" s="1">
        <v>41776</v>
      </c>
      <c r="M471" s="22">
        <f>Table12[[#This Row],[Ship Date]]-Table12[[#This Row],[Order Date]]</f>
        <v>4</v>
      </c>
      <c r="N471" s="23" t="s">
        <v>45</v>
      </c>
      <c r="O471" s="23" t="s">
        <v>23</v>
      </c>
      <c r="P471" s="23" t="s">
        <v>38</v>
      </c>
      <c r="Q471" s="23" t="s">
        <v>39</v>
      </c>
      <c r="R471" s="23" t="s">
        <v>2815</v>
      </c>
      <c r="S471" s="33">
        <v>0</v>
      </c>
      <c r="T471" s="13">
        <v>149.97</v>
      </c>
      <c r="U471" s="13">
        <v>52.4895</v>
      </c>
      <c r="V471" s="55">
        <f>IFERROR(Table12[[#This Row],[Profit]]/Table12[[#This Row],[Sales]],0)</f>
        <v>0.35</v>
      </c>
    </row>
    <row r="472" spans="1:22" x14ac:dyDescent="0.2">
      <c r="A472">
        <v>471</v>
      </c>
      <c r="B472" t="s">
        <v>7411</v>
      </c>
      <c r="C472" s="1">
        <v>41772</v>
      </c>
      <c r="D472" s="22">
        <f>MONTH(Table12[[#This Row],[Order Date]])</f>
        <v>5</v>
      </c>
      <c r="E472" t="s">
        <v>4882</v>
      </c>
      <c r="F472" t="s">
        <v>4883</v>
      </c>
      <c r="G472" s="23" t="s">
        <v>28</v>
      </c>
      <c r="H472" s="23" t="s">
        <v>32</v>
      </c>
      <c r="I472" t="s">
        <v>5733</v>
      </c>
      <c r="J472" s="23" t="s">
        <v>36</v>
      </c>
      <c r="K472" s="22">
        <v>6</v>
      </c>
      <c r="L472" s="1">
        <v>41778</v>
      </c>
      <c r="M472" s="22">
        <f>Table12[[#This Row],[Ship Date]]-Table12[[#This Row],[Order Date]]</f>
        <v>6</v>
      </c>
      <c r="N472" s="23" t="s">
        <v>45</v>
      </c>
      <c r="O472" s="23" t="s">
        <v>23</v>
      </c>
      <c r="P472" s="23" t="s">
        <v>38</v>
      </c>
      <c r="Q472" s="23" t="s">
        <v>39</v>
      </c>
      <c r="R472" s="23" t="s">
        <v>37</v>
      </c>
      <c r="S472" s="33">
        <v>0.2</v>
      </c>
      <c r="T472" s="13">
        <v>279.45600000000002</v>
      </c>
      <c r="U472" s="13">
        <v>20.959199999999999</v>
      </c>
      <c r="V472" s="55">
        <f>IFERROR(Table12[[#This Row],[Profit]]/Table12[[#This Row],[Sales]],0)</f>
        <v>7.4999999999999997E-2</v>
      </c>
    </row>
    <row r="473" spans="1:22" x14ac:dyDescent="0.2">
      <c r="A473">
        <v>472</v>
      </c>
      <c r="B473" t="s">
        <v>7411</v>
      </c>
      <c r="C473" s="1">
        <v>41772</v>
      </c>
      <c r="D473" s="22">
        <f>MONTH(Table12[[#This Row],[Order Date]])</f>
        <v>5</v>
      </c>
      <c r="E473" t="s">
        <v>7412</v>
      </c>
      <c r="F473" t="s">
        <v>7413</v>
      </c>
      <c r="G473" s="23" t="s">
        <v>41</v>
      </c>
      <c r="H473" s="23" t="s">
        <v>82</v>
      </c>
      <c r="I473" t="s">
        <v>5733</v>
      </c>
      <c r="J473" s="23" t="s">
        <v>36</v>
      </c>
      <c r="K473" s="22">
        <v>2</v>
      </c>
      <c r="L473" s="1">
        <v>41778</v>
      </c>
      <c r="M473" s="22">
        <f>Table12[[#This Row],[Ship Date]]-Table12[[#This Row],[Order Date]]</f>
        <v>6</v>
      </c>
      <c r="N473" s="23" t="s">
        <v>45</v>
      </c>
      <c r="O473" s="23" t="s">
        <v>23</v>
      </c>
      <c r="P473" s="23" t="s">
        <v>38</v>
      </c>
      <c r="Q473" s="23" t="s">
        <v>39</v>
      </c>
      <c r="R473" s="23" t="s">
        <v>37</v>
      </c>
      <c r="S473" s="33">
        <v>0</v>
      </c>
      <c r="T473" s="13">
        <v>8</v>
      </c>
      <c r="U473" s="13">
        <v>3.84</v>
      </c>
      <c r="V473" s="55">
        <f>IFERROR(Table12[[#This Row],[Profit]]/Table12[[#This Row],[Sales]],0)</f>
        <v>0.48</v>
      </c>
    </row>
    <row r="474" spans="1:22" x14ac:dyDescent="0.2">
      <c r="A474">
        <v>473</v>
      </c>
      <c r="B474" t="s">
        <v>2138</v>
      </c>
      <c r="C474" s="1">
        <v>41773</v>
      </c>
      <c r="D474" s="22">
        <f>MONTH(Table12[[#This Row],[Order Date]])</f>
        <v>5</v>
      </c>
      <c r="E474" t="s">
        <v>2140</v>
      </c>
      <c r="F474" t="s">
        <v>2141</v>
      </c>
      <c r="G474" s="23" t="s">
        <v>28</v>
      </c>
      <c r="H474" s="23" t="s">
        <v>58</v>
      </c>
      <c r="I474" t="s">
        <v>2139</v>
      </c>
      <c r="J474" s="23" t="s">
        <v>36</v>
      </c>
      <c r="K474" s="22">
        <v>2</v>
      </c>
      <c r="L474" s="1">
        <v>41779</v>
      </c>
      <c r="M474" s="22">
        <f>Table12[[#This Row],[Ship Date]]-Table12[[#This Row],[Order Date]]</f>
        <v>6</v>
      </c>
      <c r="N474" s="23" t="s">
        <v>45</v>
      </c>
      <c r="O474" s="23" t="s">
        <v>23</v>
      </c>
      <c r="P474" s="23" t="s">
        <v>48</v>
      </c>
      <c r="Q474" s="23" t="s">
        <v>26</v>
      </c>
      <c r="R474" s="23" t="s">
        <v>1018</v>
      </c>
      <c r="S474" s="33">
        <v>0.2</v>
      </c>
      <c r="T474" s="13">
        <v>310.88</v>
      </c>
      <c r="U474" s="13">
        <v>23.315999999999999</v>
      </c>
      <c r="V474" s="55">
        <f>IFERROR(Table12[[#This Row],[Profit]]/Table12[[#This Row],[Sales]],0)</f>
        <v>7.4999999999999997E-2</v>
      </c>
    </row>
    <row r="475" spans="1:22" x14ac:dyDescent="0.2">
      <c r="A475">
        <v>474</v>
      </c>
      <c r="B475" t="s">
        <v>8908</v>
      </c>
      <c r="C475" s="1">
        <v>41775</v>
      </c>
      <c r="D475" s="22">
        <f>MONTH(Table12[[#This Row],[Order Date]])</f>
        <v>5</v>
      </c>
      <c r="E475" t="s">
        <v>4882</v>
      </c>
      <c r="F475" t="s">
        <v>4883</v>
      </c>
      <c r="G475" s="23" t="s">
        <v>28</v>
      </c>
      <c r="H475" s="23" t="s">
        <v>32</v>
      </c>
      <c r="I475" t="s">
        <v>3427</v>
      </c>
      <c r="J475" s="23" t="s">
        <v>36</v>
      </c>
      <c r="K475" s="22">
        <v>5</v>
      </c>
      <c r="L475" s="1">
        <v>41782</v>
      </c>
      <c r="M475" s="22">
        <f>Table12[[#This Row],[Ship Date]]-Table12[[#This Row],[Order Date]]</f>
        <v>7</v>
      </c>
      <c r="N475" s="23" t="s">
        <v>45</v>
      </c>
      <c r="O475" s="23" t="s">
        <v>23</v>
      </c>
      <c r="P475" s="23" t="s">
        <v>38</v>
      </c>
      <c r="Q475" s="23" t="s">
        <v>39</v>
      </c>
      <c r="R475" s="23" t="s">
        <v>37</v>
      </c>
      <c r="S475" s="33">
        <v>0.2</v>
      </c>
      <c r="T475" s="13">
        <v>232.88</v>
      </c>
      <c r="U475" s="13">
        <v>17.466000000000001</v>
      </c>
      <c r="V475" s="55">
        <f>IFERROR(Table12[[#This Row],[Profit]]/Table12[[#This Row],[Sales]],0)</f>
        <v>7.5000000000000011E-2</v>
      </c>
    </row>
    <row r="476" spans="1:22" x14ac:dyDescent="0.2">
      <c r="A476">
        <v>475</v>
      </c>
      <c r="B476" t="s">
        <v>9308</v>
      </c>
      <c r="C476" s="1">
        <v>41775</v>
      </c>
      <c r="D476" s="22">
        <f>MONTH(Table12[[#This Row],[Order Date]])</f>
        <v>5</v>
      </c>
      <c r="E476" t="s">
        <v>4266</v>
      </c>
      <c r="F476" t="s">
        <v>4267</v>
      </c>
      <c r="G476" s="23" t="s">
        <v>64</v>
      </c>
      <c r="H476" s="23" t="s">
        <v>144</v>
      </c>
      <c r="I476" t="s">
        <v>5763</v>
      </c>
      <c r="J476" s="23" t="s">
        <v>22</v>
      </c>
      <c r="K476" s="22">
        <v>3</v>
      </c>
      <c r="L476" s="1">
        <v>41779</v>
      </c>
      <c r="M476" s="22">
        <f>Table12[[#This Row],[Ship Date]]-Table12[[#This Row],[Order Date]]</f>
        <v>4</v>
      </c>
      <c r="N476" s="23" t="s">
        <v>45</v>
      </c>
      <c r="O476" s="23" t="s">
        <v>23</v>
      </c>
      <c r="P476" s="23" t="s">
        <v>38</v>
      </c>
      <c r="Q476" s="23" t="s">
        <v>39</v>
      </c>
      <c r="R476" s="23" t="s">
        <v>114</v>
      </c>
      <c r="S476" s="33">
        <v>0</v>
      </c>
      <c r="T476" s="13">
        <v>56.4</v>
      </c>
      <c r="U476" s="13">
        <v>3.3839999999999999</v>
      </c>
      <c r="V476" s="55">
        <f>IFERROR(Table12[[#This Row],[Profit]]/Table12[[#This Row],[Sales]],0)</f>
        <v>0.06</v>
      </c>
    </row>
    <row r="477" spans="1:22" x14ac:dyDescent="0.2">
      <c r="A477">
        <v>476</v>
      </c>
      <c r="B477" t="s">
        <v>5534</v>
      </c>
      <c r="C477" s="1">
        <v>41776</v>
      </c>
      <c r="D477" s="22">
        <f>MONTH(Table12[[#This Row],[Order Date]])</f>
        <v>5</v>
      </c>
      <c r="E477" t="s">
        <v>3449</v>
      </c>
      <c r="F477" t="s">
        <v>3450</v>
      </c>
      <c r="G477" s="23" t="s">
        <v>41</v>
      </c>
      <c r="H477" s="23" t="s">
        <v>68</v>
      </c>
      <c r="I477" t="s">
        <v>422</v>
      </c>
      <c r="J477" s="23" t="s">
        <v>92</v>
      </c>
      <c r="K477" s="22">
        <v>3</v>
      </c>
      <c r="L477" s="1">
        <v>41780</v>
      </c>
      <c r="M477" s="22">
        <f>Table12[[#This Row],[Ship Date]]-Table12[[#This Row],[Order Date]]</f>
        <v>4</v>
      </c>
      <c r="N477" s="23" t="s">
        <v>45</v>
      </c>
      <c r="O477" s="23" t="s">
        <v>23</v>
      </c>
      <c r="P477" s="23" t="s">
        <v>103</v>
      </c>
      <c r="Q477" s="23" t="s">
        <v>95</v>
      </c>
      <c r="R477" s="23" t="s">
        <v>5535</v>
      </c>
      <c r="S477" s="33">
        <v>0</v>
      </c>
      <c r="T477" s="13">
        <v>91.68</v>
      </c>
      <c r="U477" s="13">
        <v>45.84</v>
      </c>
      <c r="V477" s="55">
        <f>IFERROR(Table12[[#This Row],[Profit]]/Table12[[#This Row],[Sales]],0)</f>
        <v>0.5</v>
      </c>
    </row>
    <row r="478" spans="1:22" x14ac:dyDescent="0.2">
      <c r="A478">
        <v>477</v>
      </c>
      <c r="B478" t="s">
        <v>4059</v>
      </c>
      <c r="C478" s="1">
        <v>41777</v>
      </c>
      <c r="D478" s="22">
        <f>MONTH(Table12[[#This Row],[Order Date]])</f>
        <v>5</v>
      </c>
      <c r="E478" t="s">
        <v>4060</v>
      </c>
      <c r="F478" t="s">
        <v>4061</v>
      </c>
      <c r="G478" s="23" t="s">
        <v>64</v>
      </c>
      <c r="H478" s="23" t="s">
        <v>65</v>
      </c>
      <c r="I478" t="s">
        <v>710</v>
      </c>
      <c r="J478" s="23" t="s">
        <v>22</v>
      </c>
      <c r="K478" s="22">
        <v>2</v>
      </c>
      <c r="L478" s="1">
        <v>41783</v>
      </c>
      <c r="M478" s="22">
        <f>Table12[[#This Row],[Ship Date]]-Table12[[#This Row],[Order Date]]</f>
        <v>6</v>
      </c>
      <c r="N478" s="23" t="s">
        <v>45</v>
      </c>
      <c r="O478" s="23" t="s">
        <v>23</v>
      </c>
      <c r="P478" s="23" t="s">
        <v>441</v>
      </c>
      <c r="Q478" s="23" t="s">
        <v>133</v>
      </c>
      <c r="R478" s="23" t="s">
        <v>1920</v>
      </c>
      <c r="S478" s="33">
        <v>0.4</v>
      </c>
      <c r="T478" s="13">
        <v>779.79600000000005</v>
      </c>
      <c r="U478" s="13">
        <v>-168.95580000000001</v>
      </c>
      <c r="V478" s="55">
        <f>IFERROR(Table12[[#This Row],[Profit]]/Table12[[#This Row],[Sales]],0)</f>
        <v>-0.21666666666666667</v>
      </c>
    </row>
    <row r="479" spans="1:22" x14ac:dyDescent="0.2">
      <c r="A479">
        <v>478</v>
      </c>
      <c r="B479" t="s">
        <v>5734</v>
      </c>
      <c r="C479" s="1">
        <v>41777</v>
      </c>
      <c r="D479" s="22">
        <f>MONTH(Table12[[#This Row],[Order Date]])</f>
        <v>5</v>
      </c>
      <c r="E479" t="s">
        <v>4676</v>
      </c>
      <c r="F479" t="s">
        <v>4677</v>
      </c>
      <c r="G479" s="23" t="s">
        <v>28</v>
      </c>
      <c r="H479" s="23" t="s">
        <v>58</v>
      </c>
      <c r="I479" t="s">
        <v>579</v>
      </c>
      <c r="J479" s="23" t="s">
        <v>22</v>
      </c>
      <c r="K479" s="22">
        <v>3</v>
      </c>
      <c r="L479" s="1">
        <v>41779</v>
      </c>
      <c r="M479" s="22">
        <f>Table12[[#This Row],[Ship Date]]-Table12[[#This Row],[Order Date]]</f>
        <v>2</v>
      </c>
      <c r="N479" s="23" t="s">
        <v>20</v>
      </c>
      <c r="O479" s="23" t="s">
        <v>23</v>
      </c>
      <c r="P479" s="23" t="s">
        <v>441</v>
      </c>
      <c r="Q479" s="23" t="s">
        <v>133</v>
      </c>
      <c r="R479" s="23" t="s">
        <v>706</v>
      </c>
      <c r="S479" s="33">
        <v>0.2</v>
      </c>
      <c r="T479" s="13">
        <v>149.232</v>
      </c>
      <c r="U479" s="13">
        <v>3.7307999999999999</v>
      </c>
      <c r="V479" s="55">
        <f>IFERROR(Table12[[#This Row],[Profit]]/Table12[[#This Row],[Sales]],0)</f>
        <v>2.4999999999999998E-2</v>
      </c>
    </row>
    <row r="480" spans="1:22" x14ac:dyDescent="0.2">
      <c r="A480">
        <v>479</v>
      </c>
      <c r="B480" t="s">
        <v>5734</v>
      </c>
      <c r="C480" s="1">
        <v>41777</v>
      </c>
      <c r="D480" s="22">
        <f>MONTH(Table12[[#This Row],[Order Date]])</f>
        <v>5</v>
      </c>
      <c r="E480" t="s">
        <v>3685</v>
      </c>
      <c r="F480" t="s">
        <v>3686</v>
      </c>
      <c r="G480" s="23" t="s">
        <v>41</v>
      </c>
      <c r="H480" s="23" t="s">
        <v>82</v>
      </c>
      <c r="I480" t="s">
        <v>579</v>
      </c>
      <c r="J480" s="23" t="s">
        <v>22</v>
      </c>
      <c r="K480" s="22">
        <v>4</v>
      </c>
      <c r="L480" s="1">
        <v>41779</v>
      </c>
      <c r="M480" s="22">
        <f>Table12[[#This Row],[Ship Date]]-Table12[[#This Row],[Order Date]]</f>
        <v>2</v>
      </c>
      <c r="N480" s="23" t="s">
        <v>20</v>
      </c>
      <c r="O480" s="23" t="s">
        <v>23</v>
      </c>
      <c r="P480" s="23" t="s">
        <v>441</v>
      </c>
      <c r="Q480" s="23" t="s">
        <v>133</v>
      </c>
      <c r="R480" s="23" t="s">
        <v>706</v>
      </c>
      <c r="S480" s="33">
        <v>0.2</v>
      </c>
      <c r="T480" s="13">
        <v>15.936</v>
      </c>
      <c r="U480" s="13">
        <v>5.7767999999999997</v>
      </c>
      <c r="V480" s="55">
        <f>IFERROR(Table12[[#This Row],[Profit]]/Table12[[#This Row],[Sales]],0)</f>
        <v>0.36249999999999999</v>
      </c>
    </row>
    <row r="481" spans="1:22" x14ac:dyDescent="0.2">
      <c r="A481">
        <v>480</v>
      </c>
      <c r="B481" t="s">
        <v>10066</v>
      </c>
      <c r="C481" s="1">
        <v>41777</v>
      </c>
      <c r="D481" s="22">
        <f>MONTH(Table12[[#This Row],[Order Date]])</f>
        <v>5</v>
      </c>
      <c r="E481" t="s">
        <v>3685</v>
      </c>
      <c r="F481" t="s">
        <v>3686</v>
      </c>
      <c r="G481" s="23" t="s">
        <v>41</v>
      </c>
      <c r="H481" s="23" t="s">
        <v>82</v>
      </c>
      <c r="I481" t="s">
        <v>5272</v>
      </c>
      <c r="J481" s="23" t="s">
        <v>22</v>
      </c>
      <c r="K481" s="22">
        <v>1</v>
      </c>
      <c r="L481" s="1">
        <v>41781</v>
      </c>
      <c r="M481" s="22">
        <f>Table12[[#This Row],[Ship Date]]-Table12[[#This Row],[Order Date]]</f>
        <v>4</v>
      </c>
      <c r="N481" s="23" t="s">
        <v>20</v>
      </c>
      <c r="O481" s="23" t="s">
        <v>23</v>
      </c>
      <c r="P481" s="23" t="s">
        <v>94</v>
      </c>
      <c r="Q481" s="23" t="s">
        <v>95</v>
      </c>
      <c r="R481" s="23" t="s">
        <v>718</v>
      </c>
      <c r="S481" s="33">
        <v>0.2</v>
      </c>
      <c r="T481" s="13">
        <v>3.984</v>
      </c>
      <c r="U481" s="13">
        <v>1.4441999999999999</v>
      </c>
      <c r="V481" s="55">
        <f>IFERROR(Table12[[#This Row],[Profit]]/Table12[[#This Row],[Sales]],0)</f>
        <v>0.36249999999999999</v>
      </c>
    </row>
    <row r="482" spans="1:22" x14ac:dyDescent="0.2">
      <c r="A482">
        <v>481</v>
      </c>
      <c r="B482" t="s">
        <v>6519</v>
      </c>
      <c r="C482" s="1">
        <v>41778</v>
      </c>
      <c r="D482" s="22">
        <f>MONTH(Table12[[#This Row],[Order Date]])</f>
        <v>5</v>
      </c>
      <c r="E482" t="s">
        <v>4280</v>
      </c>
      <c r="F482" t="s">
        <v>4281</v>
      </c>
      <c r="G482" s="23" t="s">
        <v>41</v>
      </c>
      <c r="H482" s="23" t="s">
        <v>68</v>
      </c>
      <c r="I482" t="s">
        <v>4530</v>
      </c>
      <c r="J482" s="23" t="s">
        <v>22</v>
      </c>
      <c r="K482" s="22">
        <v>9</v>
      </c>
      <c r="L482" s="1">
        <v>41782</v>
      </c>
      <c r="M482" s="22">
        <f>Table12[[#This Row],[Ship Date]]-Table12[[#This Row],[Order Date]]</f>
        <v>4</v>
      </c>
      <c r="N482" s="23" t="s">
        <v>45</v>
      </c>
      <c r="O482" s="23" t="s">
        <v>23</v>
      </c>
      <c r="P482" s="23" t="s">
        <v>212</v>
      </c>
      <c r="Q482" s="23" t="s">
        <v>95</v>
      </c>
      <c r="R482" s="23" t="s">
        <v>4713</v>
      </c>
      <c r="S482" s="33">
        <v>0</v>
      </c>
      <c r="T482" s="13">
        <v>57.42</v>
      </c>
      <c r="U482" s="13">
        <v>26.4132</v>
      </c>
      <c r="V482" s="55">
        <f>IFERROR(Table12[[#This Row],[Profit]]/Table12[[#This Row],[Sales]],0)</f>
        <v>0.45999999999999996</v>
      </c>
    </row>
    <row r="483" spans="1:22" x14ac:dyDescent="0.2">
      <c r="A483">
        <v>482</v>
      </c>
      <c r="B483" t="s">
        <v>9939</v>
      </c>
      <c r="C483" s="1">
        <v>41778</v>
      </c>
      <c r="D483" s="22">
        <f>MONTH(Table12[[#This Row],[Order Date]])</f>
        <v>5</v>
      </c>
      <c r="E483" t="s">
        <v>7329</v>
      </c>
      <c r="F483" t="s">
        <v>7330</v>
      </c>
      <c r="G483" s="23" t="s">
        <v>41</v>
      </c>
      <c r="H483" s="23" t="s">
        <v>513</v>
      </c>
      <c r="I483" t="s">
        <v>1099</v>
      </c>
      <c r="J483" s="23" t="s">
        <v>22</v>
      </c>
      <c r="K483" s="22">
        <v>5</v>
      </c>
      <c r="L483" s="1">
        <v>41781</v>
      </c>
      <c r="M483" s="22">
        <f>Table12[[#This Row],[Ship Date]]-Table12[[#This Row],[Order Date]]</f>
        <v>3</v>
      </c>
      <c r="N483" s="23" t="s">
        <v>169</v>
      </c>
      <c r="O483" s="23" t="s">
        <v>23</v>
      </c>
      <c r="P483" s="23" t="s">
        <v>285</v>
      </c>
      <c r="Q483" s="23" t="s">
        <v>26</v>
      </c>
      <c r="R483" s="23" t="s">
        <v>2621</v>
      </c>
      <c r="S483" s="33">
        <v>0</v>
      </c>
      <c r="T483" s="13">
        <v>34.200000000000003</v>
      </c>
      <c r="U483" s="13">
        <v>9.234</v>
      </c>
      <c r="V483" s="55">
        <f>IFERROR(Table12[[#This Row],[Profit]]/Table12[[#This Row],[Sales]],0)</f>
        <v>0.26999999999999996</v>
      </c>
    </row>
    <row r="484" spans="1:22" x14ac:dyDescent="0.2">
      <c r="A484">
        <v>483</v>
      </c>
      <c r="B484" t="s">
        <v>4474</v>
      </c>
      <c r="C484" s="1">
        <v>41779</v>
      </c>
      <c r="D484" s="22">
        <f>MONTH(Table12[[#This Row],[Order Date]])</f>
        <v>5</v>
      </c>
      <c r="E484" t="s">
        <v>4476</v>
      </c>
      <c r="F484" t="s">
        <v>4477</v>
      </c>
      <c r="G484" s="23" t="s">
        <v>41</v>
      </c>
      <c r="H484" s="23" t="s">
        <v>71</v>
      </c>
      <c r="I484" t="s">
        <v>4475</v>
      </c>
      <c r="J484" s="23" t="s">
        <v>36</v>
      </c>
      <c r="K484" s="22">
        <v>4</v>
      </c>
      <c r="L484" s="1">
        <v>41781</v>
      </c>
      <c r="M484" s="22">
        <f>Table12[[#This Row],[Ship Date]]-Table12[[#This Row],[Order Date]]</f>
        <v>2</v>
      </c>
      <c r="N484" s="23" t="s">
        <v>20</v>
      </c>
      <c r="O484" s="23" t="s">
        <v>23</v>
      </c>
      <c r="P484" s="23" t="s">
        <v>2373</v>
      </c>
      <c r="Q484" s="23" t="s">
        <v>133</v>
      </c>
      <c r="R484" s="23" t="s">
        <v>217</v>
      </c>
      <c r="S484" s="33">
        <v>0</v>
      </c>
      <c r="T484" s="13">
        <v>33.28</v>
      </c>
      <c r="U484" s="13">
        <v>9.3184000000000005</v>
      </c>
      <c r="V484" s="55">
        <f>IFERROR(Table12[[#This Row],[Profit]]/Table12[[#This Row],[Sales]],0)</f>
        <v>0.28000000000000003</v>
      </c>
    </row>
    <row r="485" spans="1:22" x14ac:dyDescent="0.2">
      <c r="A485">
        <v>484</v>
      </c>
      <c r="B485" t="s">
        <v>4474</v>
      </c>
      <c r="C485" s="1">
        <v>41779</v>
      </c>
      <c r="D485" s="22">
        <f>MONTH(Table12[[#This Row],[Order Date]])</f>
        <v>5</v>
      </c>
      <c r="E485" t="s">
        <v>4478</v>
      </c>
      <c r="F485" t="s">
        <v>4479</v>
      </c>
      <c r="G485" s="23" t="s">
        <v>41</v>
      </c>
      <c r="H485" s="23" t="s">
        <v>61</v>
      </c>
      <c r="I485" t="s">
        <v>4475</v>
      </c>
      <c r="J485" s="23" t="s">
        <v>36</v>
      </c>
      <c r="K485" s="22">
        <v>9</v>
      </c>
      <c r="L485" s="1">
        <v>41781</v>
      </c>
      <c r="M485" s="22">
        <f>Table12[[#This Row],[Ship Date]]-Table12[[#This Row],[Order Date]]</f>
        <v>2</v>
      </c>
      <c r="N485" s="23" t="s">
        <v>20</v>
      </c>
      <c r="O485" s="23" t="s">
        <v>23</v>
      </c>
      <c r="P485" s="23" t="s">
        <v>2373</v>
      </c>
      <c r="Q485" s="23" t="s">
        <v>133</v>
      </c>
      <c r="R485" s="23" t="s">
        <v>217</v>
      </c>
      <c r="S485" s="33">
        <v>0</v>
      </c>
      <c r="T485" s="13">
        <v>38.520000000000003</v>
      </c>
      <c r="U485" s="13">
        <v>11.9412</v>
      </c>
      <c r="V485" s="55">
        <f>IFERROR(Table12[[#This Row],[Profit]]/Table12[[#This Row],[Sales]],0)</f>
        <v>0.31</v>
      </c>
    </row>
    <row r="486" spans="1:22" x14ac:dyDescent="0.2">
      <c r="A486">
        <v>485</v>
      </c>
      <c r="B486" t="s">
        <v>4474</v>
      </c>
      <c r="C486" s="1">
        <v>41779</v>
      </c>
      <c r="D486" s="22">
        <f>MONTH(Table12[[#This Row],[Order Date]])</f>
        <v>5</v>
      </c>
      <c r="E486" t="s">
        <v>3057</v>
      </c>
      <c r="F486" t="s">
        <v>3058</v>
      </c>
      <c r="G486" s="23" t="s">
        <v>28</v>
      </c>
      <c r="H486" s="23" t="s">
        <v>58</v>
      </c>
      <c r="I486" t="s">
        <v>4475</v>
      </c>
      <c r="J486" s="23" t="s">
        <v>36</v>
      </c>
      <c r="K486" s="22">
        <v>7</v>
      </c>
      <c r="L486" s="1">
        <v>41781</v>
      </c>
      <c r="M486" s="22">
        <f>Table12[[#This Row],[Ship Date]]-Table12[[#This Row],[Order Date]]</f>
        <v>2</v>
      </c>
      <c r="N486" s="23" t="s">
        <v>20</v>
      </c>
      <c r="O486" s="23" t="s">
        <v>23</v>
      </c>
      <c r="P486" s="23" t="s">
        <v>2373</v>
      </c>
      <c r="Q486" s="23" t="s">
        <v>133</v>
      </c>
      <c r="R486" s="23" t="s">
        <v>217</v>
      </c>
      <c r="S486" s="33">
        <v>0</v>
      </c>
      <c r="T486" s="13">
        <v>139.86000000000001</v>
      </c>
      <c r="U486" s="13">
        <v>60.139800000000001</v>
      </c>
      <c r="V486" s="55">
        <f>IFERROR(Table12[[#This Row],[Profit]]/Table12[[#This Row],[Sales]],0)</f>
        <v>0.42999999999999994</v>
      </c>
    </row>
    <row r="487" spans="1:22" x14ac:dyDescent="0.2">
      <c r="A487">
        <v>486</v>
      </c>
      <c r="B487" t="s">
        <v>9337</v>
      </c>
      <c r="C487" s="1">
        <v>41779</v>
      </c>
      <c r="D487" s="22">
        <f>MONTH(Table12[[#This Row],[Order Date]])</f>
        <v>5</v>
      </c>
      <c r="E487" t="s">
        <v>8046</v>
      </c>
      <c r="F487" t="s">
        <v>8047</v>
      </c>
      <c r="G487" s="23" t="s">
        <v>28</v>
      </c>
      <c r="H487" s="23" t="s">
        <v>58</v>
      </c>
      <c r="I487" t="s">
        <v>4365</v>
      </c>
      <c r="J487" s="23" t="s">
        <v>36</v>
      </c>
      <c r="K487" s="22">
        <v>3</v>
      </c>
      <c r="L487" s="1">
        <v>41781</v>
      </c>
      <c r="M487" s="22">
        <f>Table12[[#This Row],[Ship Date]]-Table12[[#This Row],[Order Date]]</f>
        <v>2</v>
      </c>
      <c r="N487" s="23" t="s">
        <v>20</v>
      </c>
      <c r="O487" s="23" t="s">
        <v>23</v>
      </c>
      <c r="P487" s="23" t="s">
        <v>94</v>
      </c>
      <c r="Q487" s="23" t="s">
        <v>95</v>
      </c>
      <c r="R487" s="23" t="s">
        <v>9338</v>
      </c>
      <c r="S487" s="33">
        <v>0.6</v>
      </c>
      <c r="T487" s="13">
        <v>10.332000000000001</v>
      </c>
      <c r="U487" s="13">
        <v>-5.9409000000000001</v>
      </c>
      <c r="V487" s="55">
        <f>IFERROR(Table12[[#This Row],[Profit]]/Table12[[#This Row],[Sales]],0)</f>
        <v>-0.57499999999999996</v>
      </c>
    </row>
    <row r="488" spans="1:22" x14ac:dyDescent="0.2">
      <c r="A488">
        <v>487</v>
      </c>
      <c r="B488" t="s">
        <v>9337</v>
      </c>
      <c r="C488" s="1">
        <v>41779</v>
      </c>
      <c r="D488" s="22">
        <f>MONTH(Table12[[#This Row],[Order Date]])</f>
        <v>5</v>
      </c>
      <c r="E488" t="s">
        <v>2514</v>
      </c>
      <c r="F488" t="s">
        <v>2515</v>
      </c>
      <c r="G488" s="23" t="s">
        <v>41</v>
      </c>
      <c r="H488" s="23" t="s">
        <v>82</v>
      </c>
      <c r="I488" t="s">
        <v>4365</v>
      </c>
      <c r="J488" s="23" t="s">
        <v>36</v>
      </c>
      <c r="K488" s="22">
        <v>2</v>
      </c>
      <c r="L488" s="1">
        <v>41781</v>
      </c>
      <c r="M488" s="22">
        <f>Table12[[#This Row],[Ship Date]]-Table12[[#This Row],[Order Date]]</f>
        <v>2</v>
      </c>
      <c r="N488" s="23" t="s">
        <v>20</v>
      </c>
      <c r="O488" s="23" t="s">
        <v>23</v>
      </c>
      <c r="P488" s="23" t="s">
        <v>94</v>
      </c>
      <c r="Q488" s="23" t="s">
        <v>95</v>
      </c>
      <c r="R488" s="23" t="s">
        <v>9338</v>
      </c>
      <c r="S488" s="33">
        <v>0.2</v>
      </c>
      <c r="T488" s="13">
        <v>10.368</v>
      </c>
      <c r="U488" s="13">
        <v>3.6288</v>
      </c>
      <c r="V488" s="55">
        <f>IFERROR(Table12[[#This Row],[Profit]]/Table12[[#This Row],[Sales]],0)</f>
        <v>0.35</v>
      </c>
    </row>
    <row r="489" spans="1:22" x14ac:dyDescent="0.2">
      <c r="A489">
        <v>488</v>
      </c>
      <c r="B489" t="s">
        <v>9337</v>
      </c>
      <c r="C489" s="1">
        <v>41779</v>
      </c>
      <c r="D489" s="22">
        <f>MONTH(Table12[[#This Row],[Order Date]])</f>
        <v>5</v>
      </c>
      <c r="E489" t="s">
        <v>5249</v>
      </c>
      <c r="F489" t="s">
        <v>5250</v>
      </c>
      <c r="G489" s="23" t="s">
        <v>64</v>
      </c>
      <c r="H489" s="23" t="s">
        <v>144</v>
      </c>
      <c r="I489" t="s">
        <v>4365</v>
      </c>
      <c r="J489" s="23" t="s">
        <v>36</v>
      </c>
      <c r="K489" s="22">
        <v>2</v>
      </c>
      <c r="L489" s="1">
        <v>41781</v>
      </c>
      <c r="M489" s="22">
        <f>Table12[[#This Row],[Ship Date]]-Table12[[#This Row],[Order Date]]</f>
        <v>2</v>
      </c>
      <c r="N489" s="23" t="s">
        <v>20</v>
      </c>
      <c r="O489" s="23" t="s">
        <v>23</v>
      </c>
      <c r="P489" s="23" t="s">
        <v>94</v>
      </c>
      <c r="Q489" s="23" t="s">
        <v>95</v>
      </c>
      <c r="R489" s="23" t="s">
        <v>9338</v>
      </c>
      <c r="S489" s="33">
        <v>0.2</v>
      </c>
      <c r="T489" s="13">
        <v>20.783999999999999</v>
      </c>
      <c r="U489" s="13">
        <v>-3.6372</v>
      </c>
      <c r="V489" s="55">
        <f>IFERROR(Table12[[#This Row],[Profit]]/Table12[[#This Row],[Sales]],0)</f>
        <v>-0.17500000000000002</v>
      </c>
    </row>
    <row r="490" spans="1:22" x14ac:dyDescent="0.2">
      <c r="A490">
        <v>489</v>
      </c>
      <c r="B490" t="s">
        <v>9337</v>
      </c>
      <c r="C490" s="1">
        <v>41779</v>
      </c>
      <c r="D490" s="22">
        <f>MONTH(Table12[[#This Row],[Order Date]])</f>
        <v>5</v>
      </c>
      <c r="E490" t="s">
        <v>7756</v>
      </c>
      <c r="F490" t="s">
        <v>7757</v>
      </c>
      <c r="G490" s="23" t="s">
        <v>41</v>
      </c>
      <c r="H490" s="23" t="s">
        <v>53</v>
      </c>
      <c r="I490" t="s">
        <v>4365</v>
      </c>
      <c r="J490" s="23" t="s">
        <v>36</v>
      </c>
      <c r="K490" s="22">
        <v>5</v>
      </c>
      <c r="L490" s="1">
        <v>41781</v>
      </c>
      <c r="M490" s="22">
        <f>Table12[[#This Row],[Ship Date]]-Table12[[#This Row],[Order Date]]</f>
        <v>2</v>
      </c>
      <c r="N490" s="23" t="s">
        <v>20</v>
      </c>
      <c r="O490" s="23" t="s">
        <v>23</v>
      </c>
      <c r="P490" s="23" t="s">
        <v>94</v>
      </c>
      <c r="Q490" s="23" t="s">
        <v>95</v>
      </c>
      <c r="R490" s="23" t="s">
        <v>9338</v>
      </c>
      <c r="S490" s="33">
        <v>0.2</v>
      </c>
      <c r="T490" s="13">
        <v>66.959999999999994</v>
      </c>
      <c r="U490" s="13">
        <v>-13.391999999999999</v>
      </c>
      <c r="V490" s="55">
        <f>IFERROR(Table12[[#This Row],[Profit]]/Table12[[#This Row],[Sales]],0)</f>
        <v>-0.2</v>
      </c>
    </row>
    <row r="491" spans="1:22" x14ac:dyDescent="0.2">
      <c r="A491">
        <v>490</v>
      </c>
      <c r="B491" t="s">
        <v>2619</v>
      </c>
      <c r="C491" s="1">
        <v>41780</v>
      </c>
      <c r="D491" s="22">
        <f>MONTH(Table12[[#This Row],[Order Date]])</f>
        <v>5</v>
      </c>
      <c r="E491" t="s">
        <v>2622</v>
      </c>
      <c r="F491" t="s">
        <v>2623</v>
      </c>
      <c r="G491" s="23" t="s">
        <v>41</v>
      </c>
      <c r="H491" s="23" t="s">
        <v>68</v>
      </c>
      <c r="I491" t="s">
        <v>2620</v>
      </c>
      <c r="J491" s="23" t="s">
        <v>36</v>
      </c>
      <c r="K491" s="22">
        <v>7</v>
      </c>
      <c r="L491" s="1">
        <v>41784</v>
      </c>
      <c r="M491" s="22">
        <f>Table12[[#This Row],[Ship Date]]-Table12[[#This Row],[Order Date]]</f>
        <v>4</v>
      </c>
      <c r="N491" s="23" t="s">
        <v>45</v>
      </c>
      <c r="O491" s="23" t="s">
        <v>23</v>
      </c>
      <c r="P491" s="23" t="s">
        <v>285</v>
      </c>
      <c r="Q491" s="23" t="s">
        <v>26</v>
      </c>
      <c r="R491" s="23" t="s">
        <v>2621</v>
      </c>
      <c r="S491" s="33">
        <v>0</v>
      </c>
      <c r="T491" s="13">
        <v>2715.93</v>
      </c>
      <c r="U491" s="13">
        <v>1276.4871000000001</v>
      </c>
      <c r="V491" s="55">
        <f>IFERROR(Table12[[#This Row],[Profit]]/Table12[[#This Row],[Sales]],0)</f>
        <v>0.47000000000000003</v>
      </c>
    </row>
    <row r="492" spans="1:22" x14ac:dyDescent="0.2">
      <c r="A492">
        <v>491</v>
      </c>
      <c r="B492" t="s">
        <v>2619</v>
      </c>
      <c r="C492" s="1">
        <v>41780</v>
      </c>
      <c r="D492" s="22">
        <f>MONTH(Table12[[#This Row],[Order Date]])</f>
        <v>5</v>
      </c>
      <c r="E492" t="s">
        <v>2189</v>
      </c>
      <c r="F492" t="s">
        <v>2624</v>
      </c>
      <c r="G492" s="23" t="s">
        <v>64</v>
      </c>
      <c r="H492" s="23" t="s">
        <v>65</v>
      </c>
      <c r="I492" t="s">
        <v>2620</v>
      </c>
      <c r="J492" s="23" t="s">
        <v>36</v>
      </c>
      <c r="K492" s="22">
        <v>3</v>
      </c>
      <c r="L492" s="1">
        <v>41784</v>
      </c>
      <c r="M492" s="22">
        <f>Table12[[#This Row],[Ship Date]]-Table12[[#This Row],[Order Date]]</f>
        <v>4</v>
      </c>
      <c r="N492" s="23" t="s">
        <v>45</v>
      </c>
      <c r="O492" s="23" t="s">
        <v>23</v>
      </c>
      <c r="P492" s="23" t="s">
        <v>285</v>
      </c>
      <c r="Q492" s="23" t="s">
        <v>26</v>
      </c>
      <c r="R492" s="23" t="s">
        <v>2621</v>
      </c>
      <c r="S492" s="33">
        <v>0</v>
      </c>
      <c r="T492" s="13">
        <v>617.97</v>
      </c>
      <c r="U492" s="13">
        <v>173.0316</v>
      </c>
      <c r="V492" s="55">
        <f>IFERROR(Table12[[#This Row],[Profit]]/Table12[[#This Row],[Sales]],0)</f>
        <v>0.27999999999999997</v>
      </c>
    </row>
    <row r="493" spans="1:22" x14ac:dyDescent="0.2">
      <c r="A493">
        <v>492</v>
      </c>
      <c r="B493" t="s">
        <v>5615</v>
      </c>
      <c r="C493" s="1">
        <v>41780</v>
      </c>
      <c r="D493" s="22">
        <f>MONTH(Table12[[#This Row],[Order Date]])</f>
        <v>5</v>
      </c>
      <c r="E493" t="s">
        <v>680</v>
      </c>
      <c r="F493" t="s">
        <v>681</v>
      </c>
      <c r="G493" s="23" t="s">
        <v>41</v>
      </c>
      <c r="H493" s="23" t="s">
        <v>61</v>
      </c>
      <c r="I493" t="s">
        <v>2998</v>
      </c>
      <c r="J493" s="23" t="s">
        <v>92</v>
      </c>
      <c r="K493" s="22">
        <v>8</v>
      </c>
      <c r="L493" s="1">
        <v>41784</v>
      </c>
      <c r="M493" s="22">
        <f>Table12[[#This Row],[Ship Date]]-Table12[[#This Row],[Order Date]]</f>
        <v>4</v>
      </c>
      <c r="N493" s="23" t="s">
        <v>45</v>
      </c>
      <c r="O493" s="23" t="s">
        <v>23</v>
      </c>
      <c r="P493" s="23" t="s">
        <v>38</v>
      </c>
      <c r="Q493" s="23" t="s">
        <v>39</v>
      </c>
      <c r="R493" s="23" t="s">
        <v>836</v>
      </c>
      <c r="S493" s="33">
        <v>0</v>
      </c>
      <c r="T493" s="13">
        <v>31.84</v>
      </c>
      <c r="U493" s="13">
        <v>10.507199999999999</v>
      </c>
      <c r="V493" s="55">
        <f>IFERROR(Table12[[#This Row],[Profit]]/Table12[[#This Row],[Sales]],0)</f>
        <v>0.32999999999999996</v>
      </c>
    </row>
    <row r="494" spans="1:22" x14ac:dyDescent="0.2">
      <c r="A494">
        <v>493</v>
      </c>
      <c r="B494" t="s">
        <v>7782</v>
      </c>
      <c r="C494" s="1">
        <v>41780</v>
      </c>
      <c r="D494" s="22">
        <f>MONTH(Table12[[#This Row],[Order Date]])</f>
        <v>5</v>
      </c>
      <c r="E494" t="s">
        <v>2288</v>
      </c>
      <c r="F494" t="s">
        <v>2289</v>
      </c>
      <c r="G494" s="23" t="s">
        <v>41</v>
      </c>
      <c r="H494" s="23" t="s">
        <v>68</v>
      </c>
      <c r="I494" t="s">
        <v>3239</v>
      </c>
      <c r="J494" s="23" t="s">
        <v>92</v>
      </c>
      <c r="K494" s="22">
        <v>7</v>
      </c>
      <c r="L494" s="1">
        <v>41785</v>
      </c>
      <c r="M494" s="22">
        <f>Table12[[#This Row],[Ship Date]]-Table12[[#This Row],[Order Date]]</f>
        <v>5</v>
      </c>
      <c r="N494" s="23" t="s">
        <v>45</v>
      </c>
      <c r="O494" s="23" t="s">
        <v>23</v>
      </c>
      <c r="P494" s="23" t="s">
        <v>1101</v>
      </c>
      <c r="Q494" s="23" t="s">
        <v>133</v>
      </c>
      <c r="R494" s="23" t="s">
        <v>1308</v>
      </c>
      <c r="S494" s="33">
        <v>0</v>
      </c>
      <c r="T494" s="13">
        <v>447.86</v>
      </c>
      <c r="U494" s="13">
        <v>219.45140000000001</v>
      </c>
      <c r="V494" s="55">
        <f>IFERROR(Table12[[#This Row],[Profit]]/Table12[[#This Row],[Sales]],0)</f>
        <v>0.49</v>
      </c>
    </row>
    <row r="495" spans="1:22" x14ac:dyDescent="0.2">
      <c r="A495">
        <v>494</v>
      </c>
      <c r="B495" t="s">
        <v>7782</v>
      </c>
      <c r="C495" s="1">
        <v>41780</v>
      </c>
      <c r="D495" s="22">
        <f>MONTH(Table12[[#This Row],[Order Date]])</f>
        <v>5</v>
      </c>
      <c r="E495" t="s">
        <v>6778</v>
      </c>
      <c r="F495" t="s">
        <v>6779</v>
      </c>
      <c r="G495" s="23" t="s">
        <v>41</v>
      </c>
      <c r="H495" s="23" t="s">
        <v>82</v>
      </c>
      <c r="I495" t="s">
        <v>3239</v>
      </c>
      <c r="J495" s="23" t="s">
        <v>92</v>
      </c>
      <c r="K495" s="22">
        <v>3</v>
      </c>
      <c r="L495" s="1">
        <v>41785</v>
      </c>
      <c r="M495" s="22">
        <f>Table12[[#This Row],[Ship Date]]-Table12[[#This Row],[Order Date]]</f>
        <v>5</v>
      </c>
      <c r="N495" s="23" t="s">
        <v>45</v>
      </c>
      <c r="O495" s="23" t="s">
        <v>23</v>
      </c>
      <c r="P495" s="23" t="s">
        <v>1101</v>
      </c>
      <c r="Q495" s="23" t="s">
        <v>133</v>
      </c>
      <c r="R495" s="23" t="s">
        <v>1308</v>
      </c>
      <c r="S495" s="33">
        <v>0</v>
      </c>
      <c r="T495" s="13">
        <v>17.940000000000001</v>
      </c>
      <c r="U495" s="13">
        <v>8.7905999999999995</v>
      </c>
      <c r="V495" s="55">
        <f>IFERROR(Table12[[#This Row],[Profit]]/Table12[[#This Row],[Sales]],0)</f>
        <v>0.48999999999999994</v>
      </c>
    </row>
    <row r="496" spans="1:22" x14ac:dyDescent="0.2">
      <c r="A496">
        <v>495</v>
      </c>
      <c r="B496" t="s">
        <v>7782</v>
      </c>
      <c r="C496" s="1">
        <v>41780</v>
      </c>
      <c r="D496" s="22">
        <f>MONTH(Table12[[#This Row],[Order Date]])</f>
        <v>5</v>
      </c>
      <c r="E496" t="s">
        <v>4972</v>
      </c>
      <c r="F496" t="s">
        <v>4973</v>
      </c>
      <c r="G496" s="23" t="s">
        <v>41</v>
      </c>
      <c r="H496" s="23" t="s">
        <v>71</v>
      </c>
      <c r="I496" t="s">
        <v>3239</v>
      </c>
      <c r="J496" s="23" t="s">
        <v>92</v>
      </c>
      <c r="K496" s="22">
        <v>6</v>
      </c>
      <c r="L496" s="1">
        <v>41785</v>
      </c>
      <c r="M496" s="22">
        <f>Table12[[#This Row],[Ship Date]]-Table12[[#This Row],[Order Date]]</f>
        <v>5</v>
      </c>
      <c r="N496" s="23" t="s">
        <v>45</v>
      </c>
      <c r="O496" s="23" t="s">
        <v>23</v>
      </c>
      <c r="P496" s="23" t="s">
        <v>1101</v>
      </c>
      <c r="Q496" s="23" t="s">
        <v>133</v>
      </c>
      <c r="R496" s="23" t="s">
        <v>1308</v>
      </c>
      <c r="S496" s="33">
        <v>0</v>
      </c>
      <c r="T496" s="13">
        <v>245.88</v>
      </c>
      <c r="U496" s="13">
        <v>68.846400000000003</v>
      </c>
      <c r="V496" s="55">
        <f>IFERROR(Table12[[#This Row],[Profit]]/Table12[[#This Row],[Sales]],0)</f>
        <v>0.28000000000000003</v>
      </c>
    </row>
    <row r="497" spans="1:22" x14ac:dyDescent="0.2">
      <c r="A497">
        <v>496</v>
      </c>
      <c r="B497" t="s">
        <v>10050</v>
      </c>
      <c r="C497" s="1">
        <v>41780</v>
      </c>
      <c r="D497" s="22">
        <f>MONTH(Table12[[#This Row],[Order Date]])</f>
        <v>5</v>
      </c>
      <c r="E497" t="s">
        <v>3643</v>
      </c>
      <c r="F497" t="s">
        <v>591</v>
      </c>
      <c r="G497" s="23" t="s">
        <v>41</v>
      </c>
      <c r="H497" s="23" t="s">
        <v>155</v>
      </c>
      <c r="I497" t="s">
        <v>2542</v>
      </c>
      <c r="J497" s="23" t="s">
        <v>22</v>
      </c>
      <c r="K497" s="22">
        <v>6</v>
      </c>
      <c r="L497" s="1">
        <v>41782</v>
      </c>
      <c r="M497" s="22">
        <f>Table12[[#This Row],[Ship Date]]-Table12[[#This Row],[Order Date]]</f>
        <v>2</v>
      </c>
      <c r="N497" s="23" t="s">
        <v>20</v>
      </c>
      <c r="O497" s="23" t="s">
        <v>23</v>
      </c>
      <c r="P497" s="23" t="s">
        <v>94</v>
      </c>
      <c r="Q497" s="23" t="s">
        <v>95</v>
      </c>
      <c r="R497" s="23" t="s">
        <v>165</v>
      </c>
      <c r="S497" s="33">
        <v>0.2</v>
      </c>
      <c r="T497" s="13">
        <v>56.064</v>
      </c>
      <c r="U497" s="13">
        <v>21.024000000000001</v>
      </c>
      <c r="V497" s="55">
        <f>IFERROR(Table12[[#This Row],[Profit]]/Table12[[#This Row],[Sales]],0)</f>
        <v>0.375</v>
      </c>
    </row>
    <row r="498" spans="1:22" x14ac:dyDescent="0.2">
      <c r="A498">
        <v>497</v>
      </c>
      <c r="B498" t="s">
        <v>10050</v>
      </c>
      <c r="C498" s="1">
        <v>41780</v>
      </c>
      <c r="D498" s="22">
        <f>MONTH(Table12[[#This Row],[Order Date]])</f>
        <v>5</v>
      </c>
      <c r="E498" t="s">
        <v>1359</v>
      </c>
      <c r="F498" t="s">
        <v>1360</v>
      </c>
      <c r="G498" s="23" t="s">
        <v>28</v>
      </c>
      <c r="H498" s="23" t="s">
        <v>32</v>
      </c>
      <c r="I498" t="s">
        <v>2542</v>
      </c>
      <c r="J498" s="23" t="s">
        <v>22</v>
      </c>
      <c r="K498" s="22">
        <v>2</v>
      </c>
      <c r="L498" s="1">
        <v>41782</v>
      </c>
      <c r="M498" s="22">
        <f>Table12[[#This Row],[Ship Date]]-Table12[[#This Row],[Order Date]]</f>
        <v>2</v>
      </c>
      <c r="N498" s="23" t="s">
        <v>20</v>
      </c>
      <c r="O498" s="23" t="s">
        <v>23</v>
      </c>
      <c r="P498" s="23" t="s">
        <v>94</v>
      </c>
      <c r="Q498" s="23" t="s">
        <v>95</v>
      </c>
      <c r="R498" s="23" t="s">
        <v>165</v>
      </c>
      <c r="S498" s="33">
        <v>0.3</v>
      </c>
      <c r="T498" s="13">
        <v>107.77200000000001</v>
      </c>
      <c r="U498" s="13">
        <v>-29.252400000000002</v>
      </c>
      <c r="V498" s="55">
        <f>IFERROR(Table12[[#This Row],[Profit]]/Table12[[#This Row],[Sales]],0)</f>
        <v>-0.27142857142857141</v>
      </c>
    </row>
    <row r="499" spans="1:22" x14ac:dyDescent="0.2">
      <c r="A499">
        <v>498</v>
      </c>
      <c r="B499" t="s">
        <v>10050</v>
      </c>
      <c r="C499" s="1">
        <v>41780</v>
      </c>
      <c r="D499" s="22">
        <f>MONTH(Table12[[#This Row],[Order Date]])</f>
        <v>5</v>
      </c>
      <c r="E499" t="s">
        <v>2292</v>
      </c>
      <c r="F499" t="s">
        <v>2293</v>
      </c>
      <c r="G499" s="23" t="s">
        <v>41</v>
      </c>
      <c r="H499" s="23" t="s">
        <v>82</v>
      </c>
      <c r="I499" t="s">
        <v>2542</v>
      </c>
      <c r="J499" s="23" t="s">
        <v>22</v>
      </c>
      <c r="K499" s="22">
        <v>1</v>
      </c>
      <c r="L499" s="1">
        <v>41782</v>
      </c>
      <c r="M499" s="22">
        <f>Table12[[#This Row],[Ship Date]]-Table12[[#This Row],[Order Date]]</f>
        <v>2</v>
      </c>
      <c r="N499" s="23" t="s">
        <v>20</v>
      </c>
      <c r="O499" s="23" t="s">
        <v>23</v>
      </c>
      <c r="P499" s="23" t="s">
        <v>94</v>
      </c>
      <c r="Q499" s="23" t="s">
        <v>95</v>
      </c>
      <c r="R499" s="23" t="s">
        <v>165</v>
      </c>
      <c r="S499" s="33">
        <v>0.2</v>
      </c>
      <c r="T499" s="13">
        <v>4.8319999999999999</v>
      </c>
      <c r="U499" s="13">
        <v>1.6308</v>
      </c>
      <c r="V499" s="55">
        <f>IFERROR(Table12[[#This Row],[Profit]]/Table12[[#This Row],[Sales]],0)</f>
        <v>0.33750000000000002</v>
      </c>
    </row>
    <row r="500" spans="1:22" x14ac:dyDescent="0.2">
      <c r="A500">
        <v>499</v>
      </c>
      <c r="B500" t="s">
        <v>10050</v>
      </c>
      <c r="C500" s="1">
        <v>41780</v>
      </c>
      <c r="D500" s="22">
        <f>MONTH(Table12[[#This Row],[Order Date]])</f>
        <v>5</v>
      </c>
      <c r="E500" t="s">
        <v>3455</v>
      </c>
      <c r="F500" t="s">
        <v>3456</v>
      </c>
      <c r="G500" s="23" t="s">
        <v>41</v>
      </c>
      <c r="H500" s="23" t="s">
        <v>68</v>
      </c>
      <c r="I500" t="s">
        <v>2542</v>
      </c>
      <c r="J500" s="23" t="s">
        <v>22</v>
      </c>
      <c r="K500" s="22">
        <v>3</v>
      </c>
      <c r="L500" s="1">
        <v>41782</v>
      </c>
      <c r="M500" s="22">
        <f>Table12[[#This Row],[Ship Date]]-Table12[[#This Row],[Order Date]]</f>
        <v>2</v>
      </c>
      <c r="N500" s="23" t="s">
        <v>20</v>
      </c>
      <c r="O500" s="23" t="s">
        <v>23</v>
      </c>
      <c r="P500" s="23" t="s">
        <v>94</v>
      </c>
      <c r="Q500" s="23" t="s">
        <v>95</v>
      </c>
      <c r="R500" s="23" t="s">
        <v>165</v>
      </c>
      <c r="S500" s="33">
        <v>0.8</v>
      </c>
      <c r="T500" s="13">
        <v>18.239999999999998</v>
      </c>
      <c r="U500" s="13">
        <v>-31.007999999999999</v>
      </c>
      <c r="V500" s="55">
        <f>IFERROR(Table12[[#This Row],[Profit]]/Table12[[#This Row],[Sales]],0)</f>
        <v>-1.7000000000000002</v>
      </c>
    </row>
    <row r="501" spans="1:22" x14ac:dyDescent="0.2">
      <c r="A501">
        <v>500</v>
      </c>
      <c r="B501" t="s">
        <v>5795</v>
      </c>
      <c r="C501" s="1">
        <v>41781</v>
      </c>
      <c r="D501" s="22">
        <f>MONTH(Table12[[#This Row],[Order Date]])</f>
        <v>5</v>
      </c>
      <c r="E501" t="s">
        <v>2418</v>
      </c>
      <c r="F501" t="s">
        <v>2419</v>
      </c>
      <c r="G501" s="23" t="s">
        <v>64</v>
      </c>
      <c r="H501" s="23" t="s">
        <v>65</v>
      </c>
      <c r="I501" t="s">
        <v>5796</v>
      </c>
      <c r="J501" s="23" t="s">
        <v>22</v>
      </c>
      <c r="K501" s="22">
        <v>2</v>
      </c>
      <c r="L501" s="1">
        <v>41788</v>
      </c>
      <c r="M501" s="22">
        <f>Table12[[#This Row],[Ship Date]]-Table12[[#This Row],[Order Date]]</f>
        <v>7</v>
      </c>
      <c r="N501" s="23" t="s">
        <v>45</v>
      </c>
      <c r="O501" s="23" t="s">
        <v>23</v>
      </c>
      <c r="P501" s="23" t="s">
        <v>320</v>
      </c>
      <c r="Q501" s="23" t="s">
        <v>26</v>
      </c>
      <c r="R501" s="23" t="s">
        <v>319</v>
      </c>
      <c r="S501" s="33">
        <v>0</v>
      </c>
      <c r="T501" s="13">
        <v>135.97999999999999</v>
      </c>
      <c r="U501" s="13">
        <v>33.994999999999997</v>
      </c>
      <c r="V501" s="55">
        <f>IFERROR(Table12[[#This Row],[Profit]]/Table12[[#This Row],[Sales]],0)</f>
        <v>0.25</v>
      </c>
    </row>
    <row r="502" spans="1:22" x14ac:dyDescent="0.2">
      <c r="A502">
        <v>501</v>
      </c>
      <c r="B502" t="s">
        <v>5795</v>
      </c>
      <c r="C502" s="1">
        <v>41781</v>
      </c>
      <c r="D502" s="22">
        <f>MONTH(Table12[[#This Row],[Order Date]])</f>
        <v>5</v>
      </c>
      <c r="E502" t="s">
        <v>5797</v>
      </c>
      <c r="F502" t="s">
        <v>5798</v>
      </c>
      <c r="G502" s="23" t="s">
        <v>64</v>
      </c>
      <c r="H502" s="23" t="s">
        <v>65</v>
      </c>
      <c r="I502" t="s">
        <v>5796</v>
      </c>
      <c r="J502" s="23" t="s">
        <v>22</v>
      </c>
      <c r="K502" s="22">
        <v>1</v>
      </c>
      <c r="L502" s="1">
        <v>41788</v>
      </c>
      <c r="M502" s="22">
        <f>Table12[[#This Row],[Ship Date]]-Table12[[#This Row],[Order Date]]</f>
        <v>7</v>
      </c>
      <c r="N502" s="23" t="s">
        <v>45</v>
      </c>
      <c r="O502" s="23" t="s">
        <v>23</v>
      </c>
      <c r="P502" s="23" t="s">
        <v>320</v>
      </c>
      <c r="Q502" s="23" t="s">
        <v>26</v>
      </c>
      <c r="R502" s="23" t="s">
        <v>319</v>
      </c>
      <c r="S502" s="33">
        <v>0</v>
      </c>
      <c r="T502" s="13">
        <v>44.95</v>
      </c>
      <c r="U502" s="13">
        <v>12.586</v>
      </c>
      <c r="V502" s="55">
        <f>IFERROR(Table12[[#This Row],[Profit]]/Table12[[#This Row],[Sales]],0)</f>
        <v>0.27999999999999997</v>
      </c>
    </row>
    <row r="503" spans="1:22" x14ac:dyDescent="0.2">
      <c r="A503">
        <v>502</v>
      </c>
      <c r="B503" t="s">
        <v>1778</v>
      </c>
      <c r="C503" s="1">
        <v>41782</v>
      </c>
      <c r="D503" s="22">
        <f>MONTH(Table12[[#This Row],[Order Date]])</f>
        <v>5</v>
      </c>
      <c r="E503" t="s">
        <v>1780</v>
      </c>
      <c r="F503" t="s">
        <v>1781</v>
      </c>
      <c r="G503" s="23" t="s">
        <v>41</v>
      </c>
      <c r="H503" s="23" t="s">
        <v>68</v>
      </c>
      <c r="I503" t="s">
        <v>1779</v>
      </c>
      <c r="J503" s="23" t="s">
        <v>22</v>
      </c>
      <c r="K503" s="22">
        <v>2</v>
      </c>
      <c r="L503" s="1">
        <v>41786</v>
      </c>
      <c r="M503" s="22">
        <f>Table12[[#This Row],[Ship Date]]-Table12[[#This Row],[Order Date]]</f>
        <v>4</v>
      </c>
      <c r="N503" s="23" t="s">
        <v>45</v>
      </c>
      <c r="O503" s="23" t="s">
        <v>23</v>
      </c>
      <c r="P503" s="23" t="s">
        <v>132</v>
      </c>
      <c r="Q503" s="23" t="s">
        <v>133</v>
      </c>
      <c r="R503" s="23" t="s">
        <v>131</v>
      </c>
      <c r="S503" s="33">
        <v>0.7</v>
      </c>
      <c r="T503" s="13">
        <v>3.282</v>
      </c>
      <c r="U503" s="13">
        <v>-2.6255999999999999</v>
      </c>
      <c r="V503" s="55">
        <f>IFERROR(Table12[[#This Row],[Profit]]/Table12[[#This Row],[Sales]],0)</f>
        <v>-0.79999999999999993</v>
      </c>
    </row>
    <row r="504" spans="1:22" x14ac:dyDescent="0.2">
      <c r="A504">
        <v>503</v>
      </c>
      <c r="B504" t="s">
        <v>1778</v>
      </c>
      <c r="C504" s="1">
        <v>41782</v>
      </c>
      <c r="D504" s="22">
        <f>MONTH(Table12[[#This Row],[Order Date]])</f>
        <v>5</v>
      </c>
      <c r="E504" t="s">
        <v>1557</v>
      </c>
      <c r="F504" t="s">
        <v>1558</v>
      </c>
      <c r="G504" s="23" t="s">
        <v>41</v>
      </c>
      <c r="H504" s="23" t="s">
        <v>61</v>
      </c>
      <c r="I504" t="s">
        <v>1779</v>
      </c>
      <c r="J504" s="23" t="s">
        <v>22</v>
      </c>
      <c r="K504" s="22">
        <v>9</v>
      </c>
      <c r="L504" s="1">
        <v>41786</v>
      </c>
      <c r="M504" s="22">
        <f>Table12[[#This Row],[Ship Date]]-Table12[[#This Row],[Order Date]]</f>
        <v>4</v>
      </c>
      <c r="N504" s="23" t="s">
        <v>45</v>
      </c>
      <c r="O504" s="23" t="s">
        <v>23</v>
      </c>
      <c r="P504" s="23" t="s">
        <v>132</v>
      </c>
      <c r="Q504" s="23" t="s">
        <v>133</v>
      </c>
      <c r="R504" s="23" t="s">
        <v>131</v>
      </c>
      <c r="S504" s="33">
        <v>0.2</v>
      </c>
      <c r="T504" s="13">
        <v>21.167999999999999</v>
      </c>
      <c r="U504" s="13">
        <v>2.3814000000000002</v>
      </c>
      <c r="V504" s="55">
        <f>IFERROR(Table12[[#This Row],[Profit]]/Table12[[#This Row],[Sales]],0)</f>
        <v>0.11250000000000002</v>
      </c>
    </row>
    <row r="505" spans="1:22" x14ac:dyDescent="0.2">
      <c r="A505">
        <v>504</v>
      </c>
      <c r="B505" t="s">
        <v>1778</v>
      </c>
      <c r="C505" s="1">
        <v>41782</v>
      </c>
      <c r="D505" s="22">
        <f>MONTH(Table12[[#This Row],[Order Date]])</f>
        <v>5</v>
      </c>
      <c r="E505" t="s">
        <v>1782</v>
      </c>
      <c r="F505" t="s">
        <v>1783</v>
      </c>
      <c r="G505" s="23" t="s">
        <v>64</v>
      </c>
      <c r="H505" s="23" t="s">
        <v>65</v>
      </c>
      <c r="I505" t="s">
        <v>1779</v>
      </c>
      <c r="J505" s="23" t="s">
        <v>22</v>
      </c>
      <c r="K505" s="22">
        <v>2</v>
      </c>
      <c r="L505" s="1">
        <v>41786</v>
      </c>
      <c r="M505" s="22">
        <f>Table12[[#This Row],[Ship Date]]-Table12[[#This Row],[Order Date]]</f>
        <v>4</v>
      </c>
      <c r="N505" s="23" t="s">
        <v>45</v>
      </c>
      <c r="O505" s="23" t="s">
        <v>23</v>
      </c>
      <c r="P505" s="23" t="s">
        <v>132</v>
      </c>
      <c r="Q505" s="23" t="s">
        <v>133</v>
      </c>
      <c r="R505" s="23" t="s">
        <v>131</v>
      </c>
      <c r="S505" s="33">
        <v>0.4</v>
      </c>
      <c r="T505" s="13">
        <v>55.188000000000002</v>
      </c>
      <c r="U505" s="13">
        <v>-10.117800000000001</v>
      </c>
      <c r="V505" s="55">
        <f>IFERROR(Table12[[#This Row],[Profit]]/Table12[[#This Row],[Sales]],0)</f>
        <v>-0.18333333333333335</v>
      </c>
    </row>
    <row r="506" spans="1:22" x14ac:dyDescent="0.2">
      <c r="A506">
        <v>505</v>
      </c>
      <c r="B506" t="s">
        <v>8225</v>
      </c>
      <c r="C506" s="1">
        <v>41782</v>
      </c>
      <c r="D506" s="22">
        <f>MONTH(Table12[[#This Row],[Order Date]])</f>
        <v>5</v>
      </c>
      <c r="E506" t="s">
        <v>365</v>
      </c>
      <c r="F506" t="s">
        <v>366</v>
      </c>
      <c r="G506" s="23" t="s">
        <v>41</v>
      </c>
      <c r="H506" s="23" t="s">
        <v>82</v>
      </c>
      <c r="I506" t="s">
        <v>4208</v>
      </c>
      <c r="J506" s="23" t="s">
        <v>22</v>
      </c>
      <c r="K506" s="22">
        <v>2</v>
      </c>
      <c r="L506" s="1">
        <v>41786</v>
      </c>
      <c r="M506" s="22">
        <f>Table12[[#This Row],[Ship Date]]-Table12[[#This Row],[Order Date]]</f>
        <v>4</v>
      </c>
      <c r="N506" s="23" t="s">
        <v>45</v>
      </c>
      <c r="O506" s="23" t="s">
        <v>23</v>
      </c>
      <c r="P506" s="23" t="s">
        <v>87</v>
      </c>
      <c r="Q506" s="23" t="s">
        <v>39</v>
      </c>
      <c r="R506" s="23" t="s">
        <v>3636</v>
      </c>
      <c r="S506" s="33">
        <v>0</v>
      </c>
      <c r="T506" s="13">
        <v>12.96</v>
      </c>
      <c r="U506" s="13">
        <v>6.2207999999999997</v>
      </c>
      <c r="V506" s="55">
        <f>IFERROR(Table12[[#This Row],[Profit]]/Table12[[#This Row],[Sales]],0)</f>
        <v>0.47999999999999993</v>
      </c>
    </row>
    <row r="507" spans="1:22" x14ac:dyDescent="0.2">
      <c r="A507">
        <v>506</v>
      </c>
      <c r="B507" t="s">
        <v>8463</v>
      </c>
      <c r="C507" s="1">
        <v>41782</v>
      </c>
      <c r="D507" s="22">
        <f>MONTH(Table12[[#This Row],[Order Date]])</f>
        <v>5</v>
      </c>
      <c r="E507" t="s">
        <v>4998</v>
      </c>
      <c r="F507" t="s">
        <v>1078</v>
      </c>
      <c r="G507" s="23" t="s">
        <v>41</v>
      </c>
      <c r="H507" s="23" t="s">
        <v>68</v>
      </c>
      <c r="I507" t="s">
        <v>1662</v>
      </c>
      <c r="J507" s="23" t="s">
        <v>22</v>
      </c>
      <c r="K507" s="22">
        <v>5</v>
      </c>
      <c r="L507" s="1">
        <v>41786</v>
      </c>
      <c r="M507" s="22">
        <f>Table12[[#This Row],[Ship Date]]-Table12[[#This Row],[Order Date]]</f>
        <v>4</v>
      </c>
      <c r="N507" s="23" t="s">
        <v>45</v>
      </c>
      <c r="O507" s="23" t="s">
        <v>23</v>
      </c>
      <c r="P507" s="23" t="s">
        <v>238</v>
      </c>
      <c r="Q507" s="23" t="s">
        <v>133</v>
      </c>
      <c r="R507" s="23" t="s">
        <v>237</v>
      </c>
      <c r="S507" s="33">
        <v>0.2</v>
      </c>
      <c r="T507" s="13">
        <v>17.96</v>
      </c>
      <c r="U507" s="13">
        <v>5.8369999999999997</v>
      </c>
      <c r="V507" s="55">
        <f>IFERROR(Table12[[#This Row],[Profit]]/Table12[[#This Row],[Sales]],0)</f>
        <v>0.32499999999999996</v>
      </c>
    </row>
    <row r="508" spans="1:22" x14ac:dyDescent="0.2">
      <c r="A508">
        <v>507</v>
      </c>
      <c r="B508" t="s">
        <v>8463</v>
      </c>
      <c r="C508" s="1">
        <v>41782</v>
      </c>
      <c r="D508" s="22">
        <f>MONTH(Table12[[#This Row],[Order Date]])</f>
        <v>5</v>
      </c>
      <c r="E508" t="s">
        <v>6165</v>
      </c>
      <c r="F508" t="s">
        <v>6166</v>
      </c>
      <c r="G508" s="23" t="s">
        <v>41</v>
      </c>
      <c r="H508" s="23" t="s">
        <v>513</v>
      </c>
      <c r="I508" t="s">
        <v>1662</v>
      </c>
      <c r="J508" s="23" t="s">
        <v>22</v>
      </c>
      <c r="K508" s="22">
        <v>2</v>
      </c>
      <c r="L508" s="1">
        <v>41786</v>
      </c>
      <c r="M508" s="22">
        <f>Table12[[#This Row],[Ship Date]]-Table12[[#This Row],[Order Date]]</f>
        <v>4</v>
      </c>
      <c r="N508" s="23" t="s">
        <v>45</v>
      </c>
      <c r="O508" s="23" t="s">
        <v>23</v>
      </c>
      <c r="P508" s="23" t="s">
        <v>238</v>
      </c>
      <c r="Q508" s="23" t="s">
        <v>133</v>
      </c>
      <c r="R508" s="23" t="s">
        <v>237</v>
      </c>
      <c r="S508" s="33">
        <v>0</v>
      </c>
      <c r="T508" s="13">
        <v>5.04</v>
      </c>
      <c r="U508" s="13">
        <v>0.1512</v>
      </c>
      <c r="V508" s="55">
        <f>IFERROR(Table12[[#This Row],[Profit]]/Table12[[#This Row],[Sales]],0)</f>
        <v>0.03</v>
      </c>
    </row>
    <row r="509" spans="1:22" x14ac:dyDescent="0.2">
      <c r="A509">
        <v>508</v>
      </c>
      <c r="B509" t="s">
        <v>8463</v>
      </c>
      <c r="C509" s="1">
        <v>41782</v>
      </c>
      <c r="D509" s="22">
        <f>MONTH(Table12[[#This Row],[Order Date]])</f>
        <v>5</v>
      </c>
      <c r="E509" t="s">
        <v>321</v>
      </c>
      <c r="F509" t="s">
        <v>322</v>
      </c>
      <c r="G509" s="23" t="s">
        <v>41</v>
      </c>
      <c r="H509" s="23" t="s">
        <v>71</v>
      </c>
      <c r="I509" t="s">
        <v>1662</v>
      </c>
      <c r="J509" s="23" t="s">
        <v>22</v>
      </c>
      <c r="K509" s="22">
        <v>1</v>
      </c>
      <c r="L509" s="1">
        <v>41786</v>
      </c>
      <c r="M509" s="22">
        <f>Table12[[#This Row],[Ship Date]]-Table12[[#This Row],[Order Date]]</f>
        <v>4</v>
      </c>
      <c r="N509" s="23" t="s">
        <v>45</v>
      </c>
      <c r="O509" s="23" t="s">
        <v>23</v>
      </c>
      <c r="P509" s="23" t="s">
        <v>238</v>
      </c>
      <c r="Q509" s="23" t="s">
        <v>133</v>
      </c>
      <c r="R509" s="23" t="s">
        <v>237</v>
      </c>
      <c r="S509" s="33">
        <v>0</v>
      </c>
      <c r="T509" s="13">
        <v>208.16</v>
      </c>
      <c r="U509" s="13">
        <v>56.203200000000002</v>
      </c>
      <c r="V509" s="55">
        <f>IFERROR(Table12[[#This Row],[Profit]]/Table12[[#This Row],[Sales]],0)</f>
        <v>0.27</v>
      </c>
    </row>
    <row r="510" spans="1:22" x14ac:dyDescent="0.2">
      <c r="A510">
        <v>509</v>
      </c>
      <c r="B510" t="s">
        <v>5203</v>
      </c>
      <c r="C510" s="1">
        <v>41783</v>
      </c>
      <c r="D510" s="22">
        <f>MONTH(Table12[[#This Row],[Order Date]])</f>
        <v>5</v>
      </c>
      <c r="E510" t="s">
        <v>5204</v>
      </c>
      <c r="F510" t="s">
        <v>5205</v>
      </c>
      <c r="G510" s="23" t="s">
        <v>41</v>
      </c>
      <c r="H510" s="23" t="s">
        <v>82</v>
      </c>
      <c r="I510" t="s">
        <v>1919</v>
      </c>
      <c r="J510" s="23" t="s">
        <v>22</v>
      </c>
      <c r="K510" s="22">
        <v>3</v>
      </c>
      <c r="L510" s="1">
        <v>41789</v>
      </c>
      <c r="M510" s="22">
        <f>Table12[[#This Row],[Ship Date]]-Table12[[#This Row],[Order Date]]</f>
        <v>6</v>
      </c>
      <c r="N510" s="23" t="s">
        <v>45</v>
      </c>
      <c r="O510" s="23" t="s">
        <v>23</v>
      </c>
      <c r="P510" s="23" t="s">
        <v>2408</v>
      </c>
      <c r="Q510" s="23" t="s">
        <v>133</v>
      </c>
      <c r="R510" s="23" t="s">
        <v>3967</v>
      </c>
      <c r="S510" s="33">
        <v>0</v>
      </c>
      <c r="T510" s="13">
        <v>116.28</v>
      </c>
      <c r="U510" s="13">
        <v>56.977200000000003</v>
      </c>
      <c r="V510" s="55">
        <f>IFERROR(Table12[[#This Row],[Profit]]/Table12[[#This Row],[Sales]],0)</f>
        <v>0.49000000000000005</v>
      </c>
    </row>
    <row r="511" spans="1:22" x14ac:dyDescent="0.2">
      <c r="A511">
        <v>510</v>
      </c>
      <c r="B511" t="s">
        <v>4035</v>
      </c>
      <c r="C511" s="1">
        <v>41784</v>
      </c>
      <c r="D511" s="22">
        <f>MONTH(Table12[[#This Row],[Order Date]])</f>
        <v>5</v>
      </c>
      <c r="E511" t="s">
        <v>4037</v>
      </c>
      <c r="F511" t="s">
        <v>4038</v>
      </c>
      <c r="G511" s="23" t="s">
        <v>41</v>
      </c>
      <c r="H511" s="23" t="s">
        <v>71</v>
      </c>
      <c r="I511" t="s">
        <v>4036</v>
      </c>
      <c r="J511" s="23" t="s">
        <v>22</v>
      </c>
      <c r="K511" s="22">
        <v>2</v>
      </c>
      <c r="L511" s="1">
        <v>41788</v>
      </c>
      <c r="M511" s="22">
        <f>Table12[[#This Row],[Ship Date]]-Table12[[#This Row],[Order Date]]</f>
        <v>4</v>
      </c>
      <c r="N511" s="23" t="s">
        <v>45</v>
      </c>
      <c r="O511" s="23" t="s">
        <v>23</v>
      </c>
      <c r="P511" s="23" t="s">
        <v>189</v>
      </c>
      <c r="Q511" s="23" t="s">
        <v>95</v>
      </c>
      <c r="R511" s="23" t="s">
        <v>271</v>
      </c>
      <c r="S511" s="33">
        <v>0.8</v>
      </c>
      <c r="T511" s="13">
        <v>75.599999999999994</v>
      </c>
      <c r="U511" s="13">
        <v>-166.32</v>
      </c>
      <c r="V511" s="55">
        <f>IFERROR(Table12[[#This Row],[Profit]]/Table12[[#This Row],[Sales]],0)</f>
        <v>-2.2000000000000002</v>
      </c>
    </row>
    <row r="512" spans="1:22" x14ac:dyDescent="0.2">
      <c r="A512">
        <v>511</v>
      </c>
      <c r="B512" t="s">
        <v>4035</v>
      </c>
      <c r="C512" s="1">
        <v>41784</v>
      </c>
      <c r="D512" s="22">
        <f>MONTH(Table12[[#This Row],[Order Date]])</f>
        <v>5</v>
      </c>
      <c r="E512" t="s">
        <v>4039</v>
      </c>
      <c r="F512" t="s">
        <v>4040</v>
      </c>
      <c r="G512" s="23" t="s">
        <v>28</v>
      </c>
      <c r="H512" s="23" t="s">
        <v>58</v>
      </c>
      <c r="I512" t="s">
        <v>4036</v>
      </c>
      <c r="J512" s="23" t="s">
        <v>22</v>
      </c>
      <c r="K512" s="22">
        <v>2</v>
      </c>
      <c r="L512" s="1">
        <v>41788</v>
      </c>
      <c r="M512" s="22">
        <f>Table12[[#This Row],[Ship Date]]-Table12[[#This Row],[Order Date]]</f>
        <v>4</v>
      </c>
      <c r="N512" s="23" t="s">
        <v>45</v>
      </c>
      <c r="O512" s="23" t="s">
        <v>23</v>
      </c>
      <c r="P512" s="23" t="s">
        <v>189</v>
      </c>
      <c r="Q512" s="23" t="s">
        <v>95</v>
      </c>
      <c r="R512" s="23" t="s">
        <v>271</v>
      </c>
      <c r="S512" s="33">
        <v>0.6</v>
      </c>
      <c r="T512" s="13">
        <v>29.32</v>
      </c>
      <c r="U512" s="13">
        <v>-24.189</v>
      </c>
      <c r="V512" s="55">
        <f>IFERROR(Table12[[#This Row],[Profit]]/Table12[[#This Row],[Sales]],0)</f>
        <v>-0.82499999999999996</v>
      </c>
    </row>
    <row r="513" spans="1:22" x14ac:dyDescent="0.2">
      <c r="A513">
        <v>512</v>
      </c>
      <c r="B513" t="s">
        <v>9835</v>
      </c>
      <c r="C513" s="1">
        <v>41784</v>
      </c>
      <c r="D513" s="22">
        <f>MONTH(Table12[[#This Row],[Order Date]])</f>
        <v>5</v>
      </c>
      <c r="E513" t="s">
        <v>5645</v>
      </c>
      <c r="F513" t="s">
        <v>5646</v>
      </c>
      <c r="G513" s="23" t="s">
        <v>41</v>
      </c>
      <c r="H513" s="23" t="s">
        <v>82</v>
      </c>
      <c r="I513" t="s">
        <v>7701</v>
      </c>
      <c r="J513" s="23" t="s">
        <v>22</v>
      </c>
      <c r="K513" s="22">
        <v>2</v>
      </c>
      <c r="L513" s="1">
        <v>41788</v>
      </c>
      <c r="M513" s="22">
        <f>Table12[[#This Row],[Ship Date]]-Table12[[#This Row],[Order Date]]</f>
        <v>4</v>
      </c>
      <c r="N513" s="23" t="s">
        <v>45</v>
      </c>
      <c r="O513" s="23" t="s">
        <v>23</v>
      </c>
      <c r="P513" s="23" t="s">
        <v>238</v>
      </c>
      <c r="Q513" s="23" t="s">
        <v>133</v>
      </c>
      <c r="R513" s="23" t="s">
        <v>237</v>
      </c>
      <c r="S513" s="33">
        <v>0</v>
      </c>
      <c r="T513" s="13">
        <v>14.62</v>
      </c>
      <c r="U513" s="13">
        <v>6.7252000000000001</v>
      </c>
      <c r="V513" s="55">
        <f>IFERROR(Table12[[#This Row],[Profit]]/Table12[[#This Row],[Sales]],0)</f>
        <v>0.46</v>
      </c>
    </row>
    <row r="514" spans="1:22" x14ac:dyDescent="0.2">
      <c r="A514">
        <v>513</v>
      </c>
      <c r="B514" t="s">
        <v>3737</v>
      </c>
      <c r="C514" s="1">
        <v>41785</v>
      </c>
      <c r="D514" s="22">
        <f>MONTH(Table12[[#This Row],[Order Date]])</f>
        <v>5</v>
      </c>
      <c r="E514" t="s">
        <v>3711</v>
      </c>
      <c r="F514" t="s">
        <v>3712</v>
      </c>
      <c r="G514" s="23" t="s">
        <v>28</v>
      </c>
      <c r="H514" s="23" t="s">
        <v>29</v>
      </c>
      <c r="I514" t="s">
        <v>3738</v>
      </c>
      <c r="J514" s="23" t="s">
        <v>36</v>
      </c>
      <c r="K514" s="22">
        <v>2</v>
      </c>
      <c r="L514" s="1">
        <v>41789</v>
      </c>
      <c r="M514" s="22">
        <f>Table12[[#This Row],[Ship Date]]-Table12[[#This Row],[Order Date]]</f>
        <v>4</v>
      </c>
      <c r="N514" s="23" t="s">
        <v>45</v>
      </c>
      <c r="O514" s="23" t="s">
        <v>23</v>
      </c>
      <c r="P514" s="23" t="s">
        <v>38</v>
      </c>
      <c r="Q514" s="23" t="s">
        <v>39</v>
      </c>
      <c r="R514" s="23" t="s">
        <v>37</v>
      </c>
      <c r="S514" s="33">
        <v>0.15</v>
      </c>
      <c r="T514" s="13">
        <v>290.666</v>
      </c>
      <c r="U514" s="13">
        <v>27.3568</v>
      </c>
      <c r="V514" s="55">
        <f>IFERROR(Table12[[#This Row],[Profit]]/Table12[[#This Row],[Sales]],0)</f>
        <v>9.4117647058823528E-2</v>
      </c>
    </row>
    <row r="515" spans="1:22" x14ac:dyDescent="0.2">
      <c r="A515">
        <v>514</v>
      </c>
      <c r="B515" t="s">
        <v>3737</v>
      </c>
      <c r="C515" s="1">
        <v>41785</v>
      </c>
      <c r="D515" s="22">
        <f>MONTH(Table12[[#This Row],[Order Date]])</f>
        <v>5</v>
      </c>
      <c r="E515" t="s">
        <v>3739</v>
      </c>
      <c r="F515" t="s">
        <v>3740</v>
      </c>
      <c r="G515" s="23" t="s">
        <v>64</v>
      </c>
      <c r="H515" s="23" t="s">
        <v>65</v>
      </c>
      <c r="I515" t="s">
        <v>3738</v>
      </c>
      <c r="J515" s="23" t="s">
        <v>36</v>
      </c>
      <c r="K515" s="22">
        <v>2</v>
      </c>
      <c r="L515" s="1">
        <v>41789</v>
      </c>
      <c r="M515" s="22">
        <f>Table12[[#This Row],[Ship Date]]-Table12[[#This Row],[Order Date]]</f>
        <v>4</v>
      </c>
      <c r="N515" s="23" t="s">
        <v>45</v>
      </c>
      <c r="O515" s="23" t="s">
        <v>23</v>
      </c>
      <c r="P515" s="23" t="s">
        <v>38</v>
      </c>
      <c r="Q515" s="23" t="s">
        <v>39</v>
      </c>
      <c r="R515" s="23" t="s">
        <v>37</v>
      </c>
      <c r="S515" s="33">
        <v>0.2</v>
      </c>
      <c r="T515" s="13">
        <v>201.584</v>
      </c>
      <c r="U515" s="13">
        <v>20.1584</v>
      </c>
      <c r="V515" s="55">
        <f>IFERROR(Table12[[#This Row],[Profit]]/Table12[[#This Row],[Sales]],0)</f>
        <v>0.1</v>
      </c>
    </row>
    <row r="516" spans="1:22" x14ac:dyDescent="0.2">
      <c r="A516">
        <v>515</v>
      </c>
      <c r="B516" t="s">
        <v>3737</v>
      </c>
      <c r="C516" s="1">
        <v>41785</v>
      </c>
      <c r="D516" s="22">
        <f>MONTH(Table12[[#This Row],[Order Date]])</f>
        <v>5</v>
      </c>
      <c r="E516" t="s">
        <v>280</v>
      </c>
      <c r="F516" t="s">
        <v>281</v>
      </c>
      <c r="G516" s="23" t="s">
        <v>64</v>
      </c>
      <c r="H516" s="23" t="s">
        <v>65</v>
      </c>
      <c r="I516" t="s">
        <v>3738</v>
      </c>
      <c r="J516" s="23" t="s">
        <v>36</v>
      </c>
      <c r="K516" s="22">
        <v>2</v>
      </c>
      <c r="L516" s="1">
        <v>41789</v>
      </c>
      <c r="M516" s="22">
        <f>Table12[[#This Row],[Ship Date]]-Table12[[#This Row],[Order Date]]</f>
        <v>4</v>
      </c>
      <c r="N516" s="23" t="s">
        <v>45</v>
      </c>
      <c r="O516" s="23" t="s">
        <v>23</v>
      </c>
      <c r="P516" s="23" t="s">
        <v>38</v>
      </c>
      <c r="Q516" s="23" t="s">
        <v>39</v>
      </c>
      <c r="R516" s="23" t="s">
        <v>37</v>
      </c>
      <c r="S516" s="33">
        <v>0.2</v>
      </c>
      <c r="T516" s="13">
        <v>83.983999999999995</v>
      </c>
      <c r="U516" s="13">
        <v>31.494</v>
      </c>
      <c r="V516" s="55">
        <f>IFERROR(Table12[[#This Row],[Profit]]/Table12[[#This Row],[Sales]],0)</f>
        <v>0.375</v>
      </c>
    </row>
    <row r="517" spans="1:22" x14ac:dyDescent="0.2">
      <c r="A517">
        <v>516</v>
      </c>
      <c r="B517" t="s">
        <v>5270</v>
      </c>
      <c r="C517" s="1">
        <v>41785</v>
      </c>
      <c r="D517" s="22">
        <f>MONTH(Table12[[#This Row],[Order Date]])</f>
        <v>5</v>
      </c>
      <c r="E517" t="s">
        <v>4082</v>
      </c>
      <c r="F517" t="s">
        <v>4083</v>
      </c>
      <c r="G517" s="23" t="s">
        <v>28</v>
      </c>
      <c r="H517" s="23" t="s">
        <v>32</v>
      </c>
      <c r="I517" t="s">
        <v>3858</v>
      </c>
      <c r="J517" s="23" t="s">
        <v>22</v>
      </c>
      <c r="K517" s="22">
        <v>2</v>
      </c>
      <c r="L517" s="1">
        <v>41789</v>
      </c>
      <c r="M517" s="22">
        <f>Table12[[#This Row],[Ship Date]]-Table12[[#This Row],[Order Date]]</f>
        <v>4</v>
      </c>
      <c r="N517" s="23" t="s">
        <v>45</v>
      </c>
      <c r="O517" s="23" t="s">
        <v>23</v>
      </c>
      <c r="P517" s="23" t="s">
        <v>38</v>
      </c>
      <c r="Q517" s="23" t="s">
        <v>39</v>
      </c>
      <c r="R517" s="23" t="s">
        <v>37</v>
      </c>
      <c r="S517" s="33">
        <v>0.2</v>
      </c>
      <c r="T517" s="13">
        <v>225.29599999999999</v>
      </c>
      <c r="U517" s="13">
        <v>22.529599999999999</v>
      </c>
      <c r="V517" s="55">
        <f>IFERROR(Table12[[#This Row],[Profit]]/Table12[[#This Row],[Sales]],0)</f>
        <v>9.9999999999999992E-2</v>
      </c>
    </row>
    <row r="518" spans="1:22" x14ac:dyDescent="0.2">
      <c r="A518">
        <v>517</v>
      </c>
      <c r="B518" t="s">
        <v>5276</v>
      </c>
      <c r="C518" s="1">
        <v>41785</v>
      </c>
      <c r="D518" s="22">
        <f>MONTH(Table12[[#This Row],[Order Date]])</f>
        <v>5</v>
      </c>
      <c r="E518" t="s">
        <v>1271</v>
      </c>
      <c r="F518" t="s">
        <v>1272</v>
      </c>
      <c r="G518" s="23" t="s">
        <v>41</v>
      </c>
      <c r="H518" s="23" t="s">
        <v>82</v>
      </c>
      <c r="I518" t="s">
        <v>5277</v>
      </c>
      <c r="J518" s="23" t="s">
        <v>92</v>
      </c>
      <c r="K518" s="22">
        <v>5</v>
      </c>
      <c r="L518" s="1">
        <v>41788</v>
      </c>
      <c r="M518" s="22">
        <f>Table12[[#This Row],[Ship Date]]-Table12[[#This Row],[Order Date]]</f>
        <v>3</v>
      </c>
      <c r="N518" s="23" t="s">
        <v>169</v>
      </c>
      <c r="O518" s="23" t="s">
        <v>23</v>
      </c>
      <c r="P518" s="23" t="s">
        <v>109</v>
      </c>
      <c r="Q518" s="23" t="s">
        <v>39</v>
      </c>
      <c r="R518" s="23" t="s">
        <v>3223</v>
      </c>
      <c r="S518" s="33">
        <v>0</v>
      </c>
      <c r="T518" s="13">
        <v>48.4</v>
      </c>
      <c r="U518" s="13">
        <v>23.231999999999999</v>
      </c>
      <c r="V518" s="55">
        <f>IFERROR(Table12[[#This Row],[Profit]]/Table12[[#This Row],[Sales]],0)</f>
        <v>0.48</v>
      </c>
    </row>
    <row r="519" spans="1:22" x14ac:dyDescent="0.2">
      <c r="A519">
        <v>518</v>
      </c>
      <c r="B519" t="s">
        <v>8292</v>
      </c>
      <c r="C519" s="1">
        <v>41785</v>
      </c>
      <c r="D519" s="22">
        <f>MONTH(Table12[[#This Row],[Order Date]])</f>
        <v>5</v>
      </c>
      <c r="E519" t="s">
        <v>4941</v>
      </c>
      <c r="F519" t="s">
        <v>4942</v>
      </c>
      <c r="G519" s="23" t="s">
        <v>41</v>
      </c>
      <c r="H519" s="23" t="s">
        <v>53</v>
      </c>
      <c r="I519" t="s">
        <v>3816</v>
      </c>
      <c r="J519" s="23" t="s">
        <v>22</v>
      </c>
      <c r="K519" s="22">
        <v>3</v>
      </c>
      <c r="L519" s="1">
        <v>41790</v>
      </c>
      <c r="M519" s="22">
        <f>Table12[[#This Row],[Ship Date]]-Table12[[#This Row],[Order Date]]</f>
        <v>5</v>
      </c>
      <c r="N519" s="23" t="s">
        <v>45</v>
      </c>
      <c r="O519" s="23" t="s">
        <v>23</v>
      </c>
      <c r="P519" s="23" t="s">
        <v>189</v>
      </c>
      <c r="Q519" s="23" t="s">
        <v>95</v>
      </c>
      <c r="R519" s="23" t="s">
        <v>271</v>
      </c>
      <c r="S519" s="33">
        <v>0.2</v>
      </c>
      <c r="T519" s="13">
        <v>102.624</v>
      </c>
      <c r="U519" s="13">
        <v>7.6967999999999996</v>
      </c>
      <c r="V519" s="55">
        <f>IFERROR(Table12[[#This Row],[Profit]]/Table12[[#This Row],[Sales]],0)</f>
        <v>7.4999999999999997E-2</v>
      </c>
    </row>
    <row r="520" spans="1:22" x14ac:dyDescent="0.2">
      <c r="A520">
        <v>519</v>
      </c>
      <c r="B520" t="s">
        <v>8292</v>
      </c>
      <c r="C520" s="1">
        <v>41785</v>
      </c>
      <c r="D520" s="22">
        <f>MONTH(Table12[[#This Row],[Order Date]])</f>
        <v>5</v>
      </c>
      <c r="E520" t="s">
        <v>4220</v>
      </c>
      <c r="F520" t="s">
        <v>4221</v>
      </c>
      <c r="G520" s="23" t="s">
        <v>28</v>
      </c>
      <c r="H520" s="23" t="s">
        <v>32</v>
      </c>
      <c r="I520" t="s">
        <v>3816</v>
      </c>
      <c r="J520" s="23" t="s">
        <v>22</v>
      </c>
      <c r="K520" s="22">
        <v>2</v>
      </c>
      <c r="L520" s="1">
        <v>41790</v>
      </c>
      <c r="M520" s="22">
        <f>Table12[[#This Row],[Ship Date]]-Table12[[#This Row],[Order Date]]</f>
        <v>5</v>
      </c>
      <c r="N520" s="23" t="s">
        <v>45</v>
      </c>
      <c r="O520" s="23" t="s">
        <v>23</v>
      </c>
      <c r="P520" s="23" t="s">
        <v>189</v>
      </c>
      <c r="Q520" s="23" t="s">
        <v>95</v>
      </c>
      <c r="R520" s="23" t="s">
        <v>271</v>
      </c>
      <c r="S520" s="33">
        <v>0.3</v>
      </c>
      <c r="T520" s="13">
        <v>359.77199999999999</v>
      </c>
      <c r="U520" s="13">
        <v>-5.1395999999999997</v>
      </c>
      <c r="V520" s="55">
        <f>IFERROR(Table12[[#This Row],[Profit]]/Table12[[#This Row],[Sales]],0)</f>
        <v>-1.4285714285714285E-2</v>
      </c>
    </row>
    <row r="521" spans="1:22" x14ac:dyDescent="0.2">
      <c r="A521">
        <v>520</v>
      </c>
      <c r="B521" t="s">
        <v>8292</v>
      </c>
      <c r="C521" s="1">
        <v>41785</v>
      </c>
      <c r="D521" s="22">
        <f>MONTH(Table12[[#This Row],[Order Date]])</f>
        <v>5</v>
      </c>
      <c r="E521" t="s">
        <v>2746</v>
      </c>
      <c r="F521" t="s">
        <v>2747</v>
      </c>
      <c r="G521" s="23" t="s">
        <v>41</v>
      </c>
      <c r="H521" s="23" t="s">
        <v>61</v>
      </c>
      <c r="I521" t="s">
        <v>3816</v>
      </c>
      <c r="J521" s="23" t="s">
        <v>22</v>
      </c>
      <c r="K521" s="22">
        <v>3</v>
      </c>
      <c r="L521" s="1">
        <v>41790</v>
      </c>
      <c r="M521" s="22">
        <f>Table12[[#This Row],[Ship Date]]-Table12[[#This Row],[Order Date]]</f>
        <v>5</v>
      </c>
      <c r="N521" s="23" t="s">
        <v>45</v>
      </c>
      <c r="O521" s="23" t="s">
        <v>23</v>
      </c>
      <c r="P521" s="23" t="s">
        <v>189</v>
      </c>
      <c r="Q521" s="23" t="s">
        <v>95</v>
      </c>
      <c r="R521" s="23" t="s">
        <v>271</v>
      </c>
      <c r="S521" s="33">
        <v>0.2</v>
      </c>
      <c r="T521" s="13">
        <v>13.391999999999999</v>
      </c>
      <c r="U521" s="13">
        <v>3.1806000000000001</v>
      </c>
      <c r="V521" s="55">
        <f>IFERROR(Table12[[#This Row],[Profit]]/Table12[[#This Row],[Sales]],0)</f>
        <v>0.23750000000000002</v>
      </c>
    </row>
    <row r="522" spans="1:22" x14ac:dyDescent="0.2">
      <c r="A522">
        <v>521</v>
      </c>
      <c r="B522" t="s">
        <v>2091</v>
      </c>
      <c r="C522" s="1">
        <v>41786</v>
      </c>
      <c r="D522" s="22">
        <f>MONTH(Table12[[#This Row],[Order Date]])</f>
        <v>5</v>
      </c>
      <c r="E522" t="s">
        <v>817</v>
      </c>
      <c r="F522" t="s">
        <v>818</v>
      </c>
      <c r="G522" s="23" t="s">
        <v>28</v>
      </c>
      <c r="H522" s="23" t="s">
        <v>50</v>
      </c>
      <c r="I522" t="s">
        <v>1437</v>
      </c>
      <c r="J522" s="23" t="s">
        <v>36</v>
      </c>
      <c r="K522" s="22">
        <v>10</v>
      </c>
      <c r="L522" s="1">
        <v>41786</v>
      </c>
      <c r="M522" s="22">
        <f>Table12[[#This Row],[Ship Date]]-Table12[[#This Row],[Order Date]]</f>
        <v>0</v>
      </c>
      <c r="N522" s="23" t="s">
        <v>1141</v>
      </c>
      <c r="O522" s="23" t="s">
        <v>23</v>
      </c>
      <c r="P522" s="23" t="s">
        <v>38</v>
      </c>
      <c r="Q522" s="23" t="s">
        <v>39</v>
      </c>
      <c r="R522" s="23" t="s">
        <v>836</v>
      </c>
      <c r="S522" s="33">
        <v>0.2</v>
      </c>
      <c r="T522" s="13">
        <v>567.12</v>
      </c>
      <c r="U522" s="13">
        <v>-28.356000000000002</v>
      </c>
      <c r="V522" s="55">
        <f>IFERROR(Table12[[#This Row],[Profit]]/Table12[[#This Row],[Sales]],0)</f>
        <v>-0.05</v>
      </c>
    </row>
    <row r="523" spans="1:22" x14ac:dyDescent="0.2">
      <c r="A523">
        <v>522</v>
      </c>
      <c r="B523" t="s">
        <v>2091</v>
      </c>
      <c r="C523" s="1">
        <v>41786</v>
      </c>
      <c r="D523" s="22">
        <f>MONTH(Table12[[#This Row],[Order Date]])</f>
        <v>5</v>
      </c>
      <c r="E523" t="s">
        <v>1495</v>
      </c>
      <c r="F523" t="s">
        <v>1496</v>
      </c>
      <c r="G523" s="23" t="s">
        <v>41</v>
      </c>
      <c r="H523" s="23" t="s">
        <v>53</v>
      </c>
      <c r="I523" t="s">
        <v>1437</v>
      </c>
      <c r="J523" s="23" t="s">
        <v>36</v>
      </c>
      <c r="K523" s="22">
        <v>4</v>
      </c>
      <c r="L523" s="1">
        <v>41786</v>
      </c>
      <c r="M523" s="22">
        <f>Table12[[#This Row],[Ship Date]]-Table12[[#This Row],[Order Date]]</f>
        <v>0</v>
      </c>
      <c r="N523" s="23" t="s">
        <v>1141</v>
      </c>
      <c r="O523" s="23" t="s">
        <v>23</v>
      </c>
      <c r="P523" s="23" t="s">
        <v>38</v>
      </c>
      <c r="Q523" s="23" t="s">
        <v>39</v>
      </c>
      <c r="R523" s="23" t="s">
        <v>836</v>
      </c>
      <c r="S523" s="33">
        <v>0</v>
      </c>
      <c r="T523" s="13">
        <v>359.32</v>
      </c>
      <c r="U523" s="13">
        <v>7.1863999999999999</v>
      </c>
      <c r="V523" s="55">
        <f>IFERROR(Table12[[#This Row],[Profit]]/Table12[[#This Row],[Sales]],0)</f>
        <v>0.02</v>
      </c>
    </row>
    <row r="524" spans="1:22" x14ac:dyDescent="0.2">
      <c r="A524">
        <v>523</v>
      </c>
      <c r="B524" t="s">
        <v>2735</v>
      </c>
      <c r="C524" s="1">
        <v>41786</v>
      </c>
      <c r="D524" s="22">
        <f>MONTH(Table12[[#This Row],[Order Date]])</f>
        <v>5</v>
      </c>
      <c r="E524" t="s">
        <v>184</v>
      </c>
      <c r="F524" t="s">
        <v>185</v>
      </c>
      <c r="G524" s="23" t="s">
        <v>64</v>
      </c>
      <c r="H524" s="23" t="s">
        <v>65</v>
      </c>
      <c r="I524" t="s">
        <v>500</v>
      </c>
      <c r="J524" s="23" t="s">
        <v>22</v>
      </c>
      <c r="K524" s="22">
        <v>12</v>
      </c>
      <c r="L524" s="1">
        <v>41791</v>
      </c>
      <c r="M524" s="22">
        <f>Table12[[#This Row],[Ship Date]]-Table12[[#This Row],[Order Date]]</f>
        <v>5</v>
      </c>
      <c r="N524" s="23" t="s">
        <v>20</v>
      </c>
      <c r="O524" s="23" t="s">
        <v>23</v>
      </c>
      <c r="P524" s="23" t="s">
        <v>38</v>
      </c>
      <c r="Q524" s="23" t="s">
        <v>39</v>
      </c>
      <c r="R524" s="23" t="s">
        <v>114</v>
      </c>
      <c r="S524" s="33">
        <v>0.2</v>
      </c>
      <c r="T524" s="13">
        <v>1113.5039999999999</v>
      </c>
      <c r="U524" s="13">
        <v>125.2692</v>
      </c>
      <c r="V524" s="55">
        <f>IFERROR(Table12[[#This Row],[Profit]]/Table12[[#This Row],[Sales]],0)</f>
        <v>0.1125</v>
      </c>
    </row>
    <row r="525" spans="1:22" x14ac:dyDescent="0.2">
      <c r="A525">
        <v>524</v>
      </c>
      <c r="B525" t="s">
        <v>2735</v>
      </c>
      <c r="C525" s="1">
        <v>41786</v>
      </c>
      <c r="D525" s="22">
        <f>MONTH(Table12[[#This Row],[Order Date]])</f>
        <v>5</v>
      </c>
      <c r="E525" t="s">
        <v>2023</v>
      </c>
      <c r="F525" t="s">
        <v>2024</v>
      </c>
      <c r="G525" s="23" t="s">
        <v>64</v>
      </c>
      <c r="H525" s="23" t="s">
        <v>144</v>
      </c>
      <c r="I525" t="s">
        <v>500</v>
      </c>
      <c r="J525" s="23" t="s">
        <v>22</v>
      </c>
      <c r="K525" s="22">
        <v>1</v>
      </c>
      <c r="L525" s="1">
        <v>41791</v>
      </c>
      <c r="M525" s="22">
        <f>Table12[[#This Row],[Ship Date]]-Table12[[#This Row],[Order Date]]</f>
        <v>5</v>
      </c>
      <c r="N525" s="23" t="s">
        <v>20</v>
      </c>
      <c r="O525" s="23" t="s">
        <v>23</v>
      </c>
      <c r="P525" s="23" t="s">
        <v>38</v>
      </c>
      <c r="Q525" s="23" t="s">
        <v>39</v>
      </c>
      <c r="R525" s="23" t="s">
        <v>114</v>
      </c>
      <c r="S525" s="33">
        <v>0</v>
      </c>
      <c r="T525" s="13">
        <v>99.99</v>
      </c>
      <c r="U525" s="13">
        <v>37.996200000000002</v>
      </c>
      <c r="V525" s="55">
        <f>IFERROR(Table12[[#This Row],[Profit]]/Table12[[#This Row],[Sales]],0)</f>
        <v>0.38000000000000006</v>
      </c>
    </row>
    <row r="526" spans="1:22" x14ac:dyDescent="0.2">
      <c r="A526">
        <v>525</v>
      </c>
      <c r="B526" t="s">
        <v>3232</v>
      </c>
      <c r="C526" s="1">
        <v>41786</v>
      </c>
      <c r="D526" s="22">
        <f>MONTH(Table12[[#This Row],[Order Date]])</f>
        <v>5</v>
      </c>
      <c r="E526" t="s">
        <v>3233</v>
      </c>
      <c r="F526" t="s">
        <v>3234</v>
      </c>
      <c r="G526" s="23" t="s">
        <v>41</v>
      </c>
      <c r="H526" s="23" t="s">
        <v>68</v>
      </c>
      <c r="I526" t="s">
        <v>726</v>
      </c>
      <c r="J526" s="23" t="s">
        <v>22</v>
      </c>
      <c r="K526" s="22">
        <v>6</v>
      </c>
      <c r="L526" s="1">
        <v>41789</v>
      </c>
      <c r="M526" s="22">
        <f>Table12[[#This Row],[Ship Date]]-Table12[[#This Row],[Order Date]]</f>
        <v>3</v>
      </c>
      <c r="N526" s="23" t="s">
        <v>169</v>
      </c>
      <c r="O526" s="23" t="s">
        <v>23</v>
      </c>
      <c r="P526" s="23" t="s">
        <v>189</v>
      </c>
      <c r="Q526" s="23" t="s">
        <v>95</v>
      </c>
      <c r="R526" s="23" t="s">
        <v>271</v>
      </c>
      <c r="S526" s="33">
        <v>0.8</v>
      </c>
      <c r="T526" s="13">
        <v>17.46</v>
      </c>
      <c r="U526" s="13">
        <v>-30.555</v>
      </c>
      <c r="V526" s="55">
        <f>IFERROR(Table12[[#This Row],[Profit]]/Table12[[#This Row],[Sales]],0)</f>
        <v>-1.75</v>
      </c>
    </row>
    <row r="527" spans="1:22" x14ac:dyDescent="0.2">
      <c r="A527">
        <v>526</v>
      </c>
      <c r="B527" t="s">
        <v>7654</v>
      </c>
      <c r="C527" s="1">
        <v>41787</v>
      </c>
      <c r="D527" s="22">
        <f>MONTH(Table12[[#This Row],[Order Date]])</f>
        <v>5</v>
      </c>
      <c r="E527" t="s">
        <v>676</v>
      </c>
      <c r="F527" t="s">
        <v>677</v>
      </c>
      <c r="G527" s="23" t="s">
        <v>64</v>
      </c>
      <c r="H527" s="23" t="s">
        <v>65</v>
      </c>
      <c r="I527" t="s">
        <v>4692</v>
      </c>
      <c r="J527" s="23" t="s">
        <v>36</v>
      </c>
      <c r="K527" s="22">
        <v>6</v>
      </c>
      <c r="L527" s="1">
        <v>41792</v>
      </c>
      <c r="M527" s="22">
        <f>Table12[[#This Row],[Ship Date]]-Table12[[#This Row],[Order Date]]</f>
        <v>5</v>
      </c>
      <c r="N527" s="23" t="s">
        <v>45</v>
      </c>
      <c r="O527" s="23" t="s">
        <v>23</v>
      </c>
      <c r="P527" s="23" t="s">
        <v>87</v>
      </c>
      <c r="Q527" s="23" t="s">
        <v>39</v>
      </c>
      <c r="R527" s="23" t="s">
        <v>86</v>
      </c>
      <c r="S527" s="33">
        <v>0.2</v>
      </c>
      <c r="T527" s="13">
        <v>57.408000000000001</v>
      </c>
      <c r="U527" s="13">
        <v>5.7408000000000001</v>
      </c>
      <c r="V527" s="55">
        <f>IFERROR(Table12[[#This Row],[Profit]]/Table12[[#This Row],[Sales]],0)</f>
        <v>0.1</v>
      </c>
    </row>
    <row r="528" spans="1:22" x14ac:dyDescent="0.2">
      <c r="A528">
        <v>527</v>
      </c>
      <c r="B528" t="s">
        <v>7654</v>
      </c>
      <c r="C528" s="1">
        <v>41787</v>
      </c>
      <c r="D528" s="22">
        <f>MONTH(Table12[[#This Row],[Order Date]])</f>
        <v>5</v>
      </c>
      <c r="E528" t="s">
        <v>6948</v>
      </c>
      <c r="F528" t="s">
        <v>6949</v>
      </c>
      <c r="G528" s="23" t="s">
        <v>64</v>
      </c>
      <c r="H528" s="23" t="s">
        <v>144</v>
      </c>
      <c r="I528" t="s">
        <v>4692</v>
      </c>
      <c r="J528" s="23" t="s">
        <v>36</v>
      </c>
      <c r="K528" s="22">
        <v>4</v>
      </c>
      <c r="L528" s="1">
        <v>41792</v>
      </c>
      <c r="M528" s="22">
        <f>Table12[[#This Row],[Ship Date]]-Table12[[#This Row],[Order Date]]</f>
        <v>5</v>
      </c>
      <c r="N528" s="23" t="s">
        <v>45</v>
      </c>
      <c r="O528" s="23" t="s">
        <v>23</v>
      </c>
      <c r="P528" s="23" t="s">
        <v>87</v>
      </c>
      <c r="Q528" s="23" t="s">
        <v>39</v>
      </c>
      <c r="R528" s="23" t="s">
        <v>86</v>
      </c>
      <c r="S528" s="33">
        <v>0</v>
      </c>
      <c r="T528" s="13">
        <v>27.6</v>
      </c>
      <c r="U528" s="13">
        <v>2.2080000000000002</v>
      </c>
      <c r="V528" s="55">
        <f>IFERROR(Table12[[#This Row],[Profit]]/Table12[[#This Row],[Sales]],0)</f>
        <v>0.08</v>
      </c>
    </row>
    <row r="529" spans="1:22" x14ac:dyDescent="0.2">
      <c r="A529">
        <v>528</v>
      </c>
      <c r="B529" t="s">
        <v>9249</v>
      </c>
      <c r="C529" s="1">
        <v>41787</v>
      </c>
      <c r="D529" s="22">
        <f>MONTH(Table12[[#This Row],[Order Date]])</f>
        <v>5</v>
      </c>
      <c r="E529" t="s">
        <v>6580</v>
      </c>
      <c r="F529" t="s">
        <v>6581</v>
      </c>
      <c r="G529" s="23" t="s">
        <v>41</v>
      </c>
      <c r="H529" s="23" t="s">
        <v>68</v>
      </c>
      <c r="I529" t="s">
        <v>4421</v>
      </c>
      <c r="J529" s="23" t="s">
        <v>22</v>
      </c>
      <c r="K529" s="22">
        <v>4</v>
      </c>
      <c r="L529" s="1">
        <v>41791</v>
      </c>
      <c r="M529" s="22">
        <f>Table12[[#This Row],[Ship Date]]-Table12[[#This Row],[Order Date]]</f>
        <v>4</v>
      </c>
      <c r="N529" s="23" t="s">
        <v>45</v>
      </c>
      <c r="O529" s="23" t="s">
        <v>23</v>
      </c>
      <c r="P529" s="23" t="s">
        <v>87</v>
      </c>
      <c r="Q529" s="23" t="s">
        <v>39</v>
      </c>
      <c r="R529" s="23" t="s">
        <v>86</v>
      </c>
      <c r="S529" s="33">
        <v>0.2</v>
      </c>
      <c r="T529" s="13">
        <v>136.96</v>
      </c>
      <c r="U529" s="13">
        <v>51.36</v>
      </c>
      <c r="V529" s="55">
        <f>IFERROR(Table12[[#This Row],[Profit]]/Table12[[#This Row],[Sales]],0)</f>
        <v>0.375</v>
      </c>
    </row>
    <row r="530" spans="1:22" x14ac:dyDescent="0.2">
      <c r="A530">
        <v>529</v>
      </c>
      <c r="B530" t="s">
        <v>6927</v>
      </c>
      <c r="C530" s="1">
        <v>41789</v>
      </c>
      <c r="D530" s="22">
        <f>MONTH(Table12[[#This Row],[Order Date]])</f>
        <v>5</v>
      </c>
      <c r="E530" t="s">
        <v>2414</v>
      </c>
      <c r="F530" t="s">
        <v>2415</v>
      </c>
      <c r="G530" s="23" t="s">
        <v>41</v>
      </c>
      <c r="H530" s="23" t="s">
        <v>82</v>
      </c>
      <c r="I530" t="s">
        <v>1700</v>
      </c>
      <c r="J530" s="23" t="s">
        <v>36</v>
      </c>
      <c r="K530" s="22">
        <v>3</v>
      </c>
      <c r="L530" s="1">
        <v>41795</v>
      </c>
      <c r="M530" s="22">
        <f>Table12[[#This Row],[Ship Date]]-Table12[[#This Row],[Order Date]]</f>
        <v>6</v>
      </c>
      <c r="N530" s="23" t="s">
        <v>45</v>
      </c>
      <c r="O530" s="23" t="s">
        <v>23</v>
      </c>
      <c r="P530" s="23" t="s">
        <v>285</v>
      </c>
      <c r="Q530" s="23" t="s">
        <v>26</v>
      </c>
      <c r="R530" s="23" t="s">
        <v>1294</v>
      </c>
      <c r="S530" s="33">
        <v>0</v>
      </c>
      <c r="T530" s="13">
        <v>13.62</v>
      </c>
      <c r="U530" s="13">
        <v>6.1289999999999996</v>
      </c>
      <c r="V530" s="55">
        <f>IFERROR(Table12[[#This Row],[Profit]]/Table12[[#This Row],[Sales]],0)</f>
        <v>0.45</v>
      </c>
    </row>
    <row r="531" spans="1:22" x14ac:dyDescent="0.2">
      <c r="A531">
        <v>530</v>
      </c>
      <c r="B531" t="s">
        <v>7692</v>
      </c>
      <c r="C531" s="1">
        <v>41789</v>
      </c>
      <c r="D531" s="22">
        <f>MONTH(Table12[[#This Row],[Order Date]])</f>
        <v>5</v>
      </c>
      <c r="E531" t="s">
        <v>73</v>
      </c>
      <c r="F531" t="s">
        <v>74</v>
      </c>
      <c r="G531" s="23" t="s">
        <v>28</v>
      </c>
      <c r="H531" s="23" t="s">
        <v>50</v>
      </c>
      <c r="I531" t="s">
        <v>7194</v>
      </c>
      <c r="J531" s="23" t="s">
        <v>22</v>
      </c>
      <c r="K531" s="22">
        <v>3</v>
      </c>
      <c r="L531" s="1">
        <v>41795</v>
      </c>
      <c r="M531" s="22">
        <f>Table12[[#This Row],[Ship Date]]-Table12[[#This Row],[Order Date]]</f>
        <v>6</v>
      </c>
      <c r="N531" s="23" t="s">
        <v>45</v>
      </c>
      <c r="O531" s="23" t="s">
        <v>23</v>
      </c>
      <c r="P531" s="23" t="s">
        <v>189</v>
      </c>
      <c r="Q531" s="23" t="s">
        <v>95</v>
      </c>
      <c r="R531" s="23" t="s">
        <v>7693</v>
      </c>
      <c r="S531" s="33">
        <v>0.5</v>
      </c>
      <c r="T531" s="13">
        <v>355.45499999999998</v>
      </c>
      <c r="U531" s="13">
        <v>-184.8366</v>
      </c>
      <c r="V531" s="55">
        <f>IFERROR(Table12[[#This Row],[Profit]]/Table12[[#This Row],[Sales]],0)</f>
        <v>-0.52</v>
      </c>
    </row>
    <row r="532" spans="1:22" x14ac:dyDescent="0.2">
      <c r="A532">
        <v>531</v>
      </c>
      <c r="B532" t="s">
        <v>8855</v>
      </c>
      <c r="C532" s="1">
        <v>41789</v>
      </c>
      <c r="D532" s="22">
        <f>MONTH(Table12[[#This Row],[Order Date]])</f>
        <v>5</v>
      </c>
      <c r="E532" t="s">
        <v>2454</v>
      </c>
      <c r="F532" t="s">
        <v>2455</v>
      </c>
      <c r="G532" s="23" t="s">
        <v>41</v>
      </c>
      <c r="H532" s="23" t="s">
        <v>68</v>
      </c>
      <c r="I532" t="s">
        <v>3761</v>
      </c>
      <c r="J532" s="23" t="s">
        <v>22</v>
      </c>
      <c r="K532" s="22">
        <v>4</v>
      </c>
      <c r="L532" s="1">
        <v>41796</v>
      </c>
      <c r="M532" s="22">
        <f>Table12[[#This Row],[Ship Date]]-Table12[[#This Row],[Order Date]]</f>
        <v>7</v>
      </c>
      <c r="N532" s="23" t="s">
        <v>45</v>
      </c>
      <c r="O532" s="23" t="s">
        <v>23</v>
      </c>
      <c r="P532" s="23" t="s">
        <v>238</v>
      </c>
      <c r="Q532" s="23" t="s">
        <v>133</v>
      </c>
      <c r="R532" s="23" t="s">
        <v>237</v>
      </c>
      <c r="S532" s="33">
        <v>0.2</v>
      </c>
      <c r="T532" s="13">
        <v>70.367999999999995</v>
      </c>
      <c r="U532" s="13">
        <v>26.388000000000002</v>
      </c>
      <c r="V532" s="55">
        <f>IFERROR(Table12[[#This Row],[Profit]]/Table12[[#This Row],[Sales]],0)</f>
        <v>0.37500000000000006</v>
      </c>
    </row>
    <row r="533" spans="1:22" x14ac:dyDescent="0.2">
      <c r="A533">
        <v>532</v>
      </c>
      <c r="B533" t="s">
        <v>8926</v>
      </c>
      <c r="C533" s="1">
        <v>41789</v>
      </c>
      <c r="D533" s="22">
        <f>MONTH(Table12[[#This Row],[Order Date]])</f>
        <v>5</v>
      </c>
      <c r="E533" t="s">
        <v>5144</v>
      </c>
      <c r="F533" t="s">
        <v>5145</v>
      </c>
      <c r="G533" s="23" t="s">
        <v>41</v>
      </c>
      <c r="H533" s="23" t="s">
        <v>68</v>
      </c>
      <c r="I533" t="s">
        <v>3217</v>
      </c>
      <c r="J533" s="23" t="s">
        <v>36</v>
      </c>
      <c r="K533" s="22">
        <v>2</v>
      </c>
      <c r="L533" s="1">
        <v>41791</v>
      </c>
      <c r="M533" s="22">
        <f>Table12[[#This Row],[Ship Date]]-Table12[[#This Row],[Order Date]]</f>
        <v>2</v>
      </c>
      <c r="N533" s="23" t="s">
        <v>169</v>
      </c>
      <c r="O533" s="23" t="s">
        <v>23</v>
      </c>
      <c r="P533" s="23" t="s">
        <v>238</v>
      </c>
      <c r="Q533" s="23" t="s">
        <v>133</v>
      </c>
      <c r="R533" s="23" t="s">
        <v>237</v>
      </c>
      <c r="S533" s="33">
        <v>0.2</v>
      </c>
      <c r="T533" s="13">
        <v>25.584</v>
      </c>
      <c r="U533" s="13">
        <v>8.9543999999999997</v>
      </c>
      <c r="V533" s="55">
        <f>IFERROR(Table12[[#This Row],[Profit]]/Table12[[#This Row],[Sales]],0)</f>
        <v>0.35</v>
      </c>
    </row>
    <row r="534" spans="1:22" x14ac:dyDescent="0.2">
      <c r="A534">
        <v>533</v>
      </c>
      <c r="B534" t="s">
        <v>8926</v>
      </c>
      <c r="C534" s="1">
        <v>41789</v>
      </c>
      <c r="D534" s="22">
        <f>MONTH(Table12[[#This Row],[Order Date]])</f>
        <v>5</v>
      </c>
      <c r="E534" t="s">
        <v>3147</v>
      </c>
      <c r="F534" t="s">
        <v>3148</v>
      </c>
      <c r="G534" s="23" t="s">
        <v>64</v>
      </c>
      <c r="H534" s="23" t="s">
        <v>65</v>
      </c>
      <c r="I534" t="s">
        <v>3217</v>
      </c>
      <c r="J534" s="23" t="s">
        <v>36</v>
      </c>
      <c r="K534" s="22">
        <v>5</v>
      </c>
      <c r="L534" s="1">
        <v>41791</v>
      </c>
      <c r="M534" s="22">
        <f>Table12[[#This Row],[Ship Date]]-Table12[[#This Row],[Order Date]]</f>
        <v>2</v>
      </c>
      <c r="N534" s="23" t="s">
        <v>169</v>
      </c>
      <c r="O534" s="23" t="s">
        <v>23</v>
      </c>
      <c r="P534" s="23" t="s">
        <v>238</v>
      </c>
      <c r="Q534" s="23" t="s">
        <v>133</v>
      </c>
      <c r="R534" s="23" t="s">
        <v>237</v>
      </c>
      <c r="S534" s="33">
        <v>0</v>
      </c>
      <c r="T534" s="13">
        <v>464</v>
      </c>
      <c r="U534" s="13">
        <v>134.56</v>
      </c>
      <c r="V534" s="55">
        <f>IFERROR(Table12[[#This Row],[Profit]]/Table12[[#This Row],[Sales]],0)</f>
        <v>0.28999999999999998</v>
      </c>
    </row>
    <row r="535" spans="1:22" x14ac:dyDescent="0.2">
      <c r="A535">
        <v>534</v>
      </c>
      <c r="B535" t="s">
        <v>8926</v>
      </c>
      <c r="C535" s="1">
        <v>41789</v>
      </c>
      <c r="D535" s="22">
        <f>MONTH(Table12[[#This Row],[Order Date]])</f>
        <v>5</v>
      </c>
      <c r="E535" t="s">
        <v>4077</v>
      </c>
      <c r="F535" t="s">
        <v>4078</v>
      </c>
      <c r="G535" s="23" t="s">
        <v>41</v>
      </c>
      <c r="H535" s="23" t="s">
        <v>71</v>
      </c>
      <c r="I535" t="s">
        <v>3217</v>
      </c>
      <c r="J535" s="23" t="s">
        <v>36</v>
      </c>
      <c r="K535" s="22">
        <v>3</v>
      </c>
      <c r="L535" s="1">
        <v>41791</v>
      </c>
      <c r="M535" s="22">
        <f>Table12[[#This Row],[Ship Date]]-Table12[[#This Row],[Order Date]]</f>
        <v>2</v>
      </c>
      <c r="N535" s="23" t="s">
        <v>169</v>
      </c>
      <c r="O535" s="23" t="s">
        <v>23</v>
      </c>
      <c r="P535" s="23" t="s">
        <v>238</v>
      </c>
      <c r="Q535" s="23" t="s">
        <v>133</v>
      </c>
      <c r="R535" s="23" t="s">
        <v>237</v>
      </c>
      <c r="S535" s="33">
        <v>0</v>
      </c>
      <c r="T535" s="13">
        <v>235.95</v>
      </c>
      <c r="U535" s="13">
        <v>77.863500000000002</v>
      </c>
      <c r="V535" s="55">
        <f>IFERROR(Table12[[#This Row],[Profit]]/Table12[[#This Row],[Sales]],0)</f>
        <v>0.33</v>
      </c>
    </row>
    <row r="536" spans="1:22" x14ac:dyDescent="0.2">
      <c r="A536">
        <v>535</v>
      </c>
      <c r="B536" t="s">
        <v>8926</v>
      </c>
      <c r="C536" s="1">
        <v>41789</v>
      </c>
      <c r="D536" s="22">
        <f>MONTH(Table12[[#This Row],[Order Date]])</f>
        <v>5</v>
      </c>
      <c r="E536" t="s">
        <v>3422</v>
      </c>
      <c r="F536" t="s">
        <v>3423</v>
      </c>
      <c r="G536" s="23" t="s">
        <v>41</v>
      </c>
      <c r="H536" s="23" t="s">
        <v>82</v>
      </c>
      <c r="I536" t="s">
        <v>3217</v>
      </c>
      <c r="J536" s="23" t="s">
        <v>36</v>
      </c>
      <c r="K536" s="22">
        <v>4</v>
      </c>
      <c r="L536" s="1">
        <v>41791</v>
      </c>
      <c r="M536" s="22">
        <f>Table12[[#This Row],[Ship Date]]-Table12[[#This Row],[Order Date]]</f>
        <v>2</v>
      </c>
      <c r="N536" s="23" t="s">
        <v>169</v>
      </c>
      <c r="O536" s="23" t="s">
        <v>23</v>
      </c>
      <c r="P536" s="23" t="s">
        <v>238</v>
      </c>
      <c r="Q536" s="23" t="s">
        <v>133</v>
      </c>
      <c r="R536" s="23" t="s">
        <v>237</v>
      </c>
      <c r="S536" s="33">
        <v>0</v>
      </c>
      <c r="T536" s="13">
        <v>39.96</v>
      </c>
      <c r="U536" s="13">
        <v>17.981999999999999</v>
      </c>
      <c r="V536" s="55">
        <f>IFERROR(Table12[[#This Row],[Profit]]/Table12[[#This Row],[Sales]],0)</f>
        <v>0.44999999999999996</v>
      </c>
    </row>
    <row r="537" spans="1:22" x14ac:dyDescent="0.2">
      <c r="A537">
        <v>536</v>
      </c>
      <c r="B537" t="s">
        <v>9318</v>
      </c>
      <c r="C537" s="1">
        <v>41789</v>
      </c>
      <c r="D537" s="22">
        <f>MONTH(Table12[[#This Row],[Order Date]])</f>
        <v>5</v>
      </c>
      <c r="E537" t="s">
        <v>2920</v>
      </c>
      <c r="F537" t="s">
        <v>2921</v>
      </c>
      <c r="G537" s="23" t="s">
        <v>64</v>
      </c>
      <c r="H537" s="23" t="s">
        <v>1075</v>
      </c>
      <c r="I537" t="s">
        <v>3447</v>
      </c>
      <c r="J537" s="23" t="s">
        <v>36</v>
      </c>
      <c r="K537" s="22">
        <v>3</v>
      </c>
      <c r="L537" s="1">
        <v>41793</v>
      </c>
      <c r="M537" s="22">
        <f>Table12[[#This Row],[Ship Date]]-Table12[[#This Row],[Order Date]]</f>
        <v>4</v>
      </c>
      <c r="N537" s="23" t="s">
        <v>45</v>
      </c>
      <c r="O537" s="23" t="s">
        <v>23</v>
      </c>
      <c r="P537" s="23" t="s">
        <v>189</v>
      </c>
      <c r="Q537" s="23" t="s">
        <v>95</v>
      </c>
      <c r="R537" s="23" t="s">
        <v>271</v>
      </c>
      <c r="S537" s="33">
        <v>0.2</v>
      </c>
      <c r="T537" s="13">
        <v>719.976</v>
      </c>
      <c r="U537" s="13">
        <v>134.99549999999999</v>
      </c>
      <c r="V537" s="55">
        <f>IFERROR(Table12[[#This Row],[Profit]]/Table12[[#This Row],[Sales]],0)</f>
        <v>0.1875</v>
      </c>
    </row>
    <row r="538" spans="1:22" x14ac:dyDescent="0.2">
      <c r="A538">
        <v>537</v>
      </c>
      <c r="B538" t="s">
        <v>8983</v>
      </c>
      <c r="C538" s="1">
        <v>41790</v>
      </c>
      <c r="D538" s="22">
        <f>MONTH(Table12[[#This Row],[Order Date]])</f>
        <v>5</v>
      </c>
      <c r="E538" t="s">
        <v>1447</v>
      </c>
      <c r="F538" t="s">
        <v>1448</v>
      </c>
      <c r="G538" s="23" t="s">
        <v>64</v>
      </c>
      <c r="H538" s="23" t="s">
        <v>65</v>
      </c>
      <c r="I538" t="s">
        <v>4686</v>
      </c>
      <c r="J538" s="23" t="s">
        <v>22</v>
      </c>
      <c r="K538" s="22">
        <v>3</v>
      </c>
      <c r="L538" s="1">
        <v>41795</v>
      </c>
      <c r="M538" s="22">
        <f>Table12[[#This Row],[Ship Date]]-Table12[[#This Row],[Order Date]]</f>
        <v>5</v>
      </c>
      <c r="N538" s="23" t="s">
        <v>45</v>
      </c>
      <c r="O538" s="23" t="s">
        <v>23</v>
      </c>
      <c r="P538" s="23" t="s">
        <v>1315</v>
      </c>
      <c r="Q538" s="23" t="s">
        <v>26</v>
      </c>
      <c r="R538" s="23" t="s">
        <v>293</v>
      </c>
      <c r="S538" s="33">
        <v>0</v>
      </c>
      <c r="T538" s="13">
        <v>659.97</v>
      </c>
      <c r="U538" s="13">
        <v>197.99100000000001</v>
      </c>
      <c r="V538" s="55">
        <f>IFERROR(Table12[[#This Row],[Profit]]/Table12[[#This Row],[Sales]],0)</f>
        <v>0.3</v>
      </c>
    </row>
    <row r="539" spans="1:22" x14ac:dyDescent="0.2">
      <c r="A539">
        <v>538</v>
      </c>
      <c r="B539" t="s">
        <v>8983</v>
      </c>
      <c r="C539" s="1">
        <v>41790</v>
      </c>
      <c r="D539" s="22">
        <f>MONTH(Table12[[#This Row],[Order Date]])</f>
        <v>5</v>
      </c>
      <c r="E539" t="s">
        <v>1807</v>
      </c>
      <c r="F539" t="s">
        <v>1808</v>
      </c>
      <c r="G539" s="23" t="s">
        <v>64</v>
      </c>
      <c r="H539" s="23" t="s">
        <v>65</v>
      </c>
      <c r="I539" t="s">
        <v>4686</v>
      </c>
      <c r="J539" s="23" t="s">
        <v>22</v>
      </c>
      <c r="K539" s="22">
        <v>3</v>
      </c>
      <c r="L539" s="1">
        <v>41795</v>
      </c>
      <c r="M539" s="22">
        <f>Table12[[#This Row],[Ship Date]]-Table12[[#This Row],[Order Date]]</f>
        <v>5</v>
      </c>
      <c r="N539" s="23" t="s">
        <v>45</v>
      </c>
      <c r="O539" s="23" t="s">
        <v>23</v>
      </c>
      <c r="P539" s="23" t="s">
        <v>1315</v>
      </c>
      <c r="Q539" s="23" t="s">
        <v>26</v>
      </c>
      <c r="R539" s="23" t="s">
        <v>293</v>
      </c>
      <c r="S539" s="33">
        <v>0</v>
      </c>
      <c r="T539" s="13">
        <v>113.73</v>
      </c>
      <c r="U539" s="13">
        <v>32.981699999999996</v>
      </c>
      <c r="V539" s="55">
        <f>IFERROR(Table12[[#This Row],[Profit]]/Table12[[#This Row],[Sales]],0)</f>
        <v>0.28999999999999998</v>
      </c>
    </row>
    <row r="540" spans="1:22" x14ac:dyDescent="0.2">
      <c r="A540">
        <v>539</v>
      </c>
      <c r="B540" t="s">
        <v>821</v>
      </c>
      <c r="C540" s="1">
        <v>41791</v>
      </c>
      <c r="D540" s="22">
        <f>MONTH(Table12[[#This Row],[Order Date]])</f>
        <v>6</v>
      </c>
      <c r="E540" t="s">
        <v>472</v>
      </c>
      <c r="F540" t="s">
        <v>473</v>
      </c>
      <c r="G540" s="23" t="s">
        <v>28</v>
      </c>
      <c r="H540" s="23" t="s">
        <v>32</v>
      </c>
      <c r="I540" t="s">
        <v>822</v>
      </c>
      <c r="J540" s="23" t="s">
        <v>92</v>
      </c>
      <c r="K540" s="22">
        <v>7</v>
      </c>
      <c r="L540" s="1">
        <v>41796</v>
      </c>
      <c r="M540" s="22">
        <f>Table12[[#This Row],[Ship Date]]-Table12[[#This Row],[Order Date]]</f>
        <v>5</v>
      </c>
      <c r="N540" s="23" t="s">
        <v>20</v>
      </c>
      <c r="O540" s="23" t="s">
        <v>23</v>
      </c>
      <c r="P540" s="23" t="s">
        <v>204</v>
      </c>
      <c r="Q540" s="23" t="s">
        <v>95</v>
      </c>
      <c r="R540" s="23" t="s">
        <v>823</v>
      </c>
      <c r="S540" s="33">
        <v>0</v>
      </c>
      <c r="T540" s="13">
        <v>2001.86</v>
      </c>
      <c r="U540" s="13">
        <v>580.5394</v>
      </c>
      <c r="V540" s="55">
        <f>IFERROR(Table12[[#This Row],[Profit]]/Table12[[#This Row],[Sales]],0)</f>
        <v>0.29000000000000004</v>
      </c>
    </row>
    <row r="541" spans="1:22" x14ac:dyDescent="0.2">
      <c r="A541">
        <v>540</v>
      </c>
      <c r="B541" t="s">
        <v>821</v>
      </c>
      <c r="C541" s="1">
        <v>41791</v>
      </c>
      <c r="D541" s="22">
        <f>MONTH(Table12[[#This Row],[Order Date]])</f>
        <v>6</v>
      </c>
      <c r="E541" t="s">
        <v>824</v>
      </c>
      <c r="F541" t="s">
        <v>825</v>
      </c>
      <c r="G541" s="23" t="s">
        <v>41</v>
      </c>
      <c r="H541" s="23" t="s">
        <v>53</v>
      </c>
      <c r="I541" t="s">
        <v>822</v>
      </c>
      <c r="J541" s="23" t="s">
        <v>92</v>
      </c>
      <c r="K541" s="22">
        <v>2</v>
      </c>
      <c r="L541" s="1">
        <v>41796</v>
      </c>
      <c r="M541" s="22">
        <f>Table12[[#This Row],[Ship Date]]-Table12[[#This Row],[Order Date]]</f>
        <v>5</v>
      </c>
      <c r="N541" s="23" t="s">
        <v>20</v>
      </c>
      <c r="O541" s="23" t="s">
        <v>23</v>
      </c>
      <c r="P541" s="23" t="s">
        <v>204</v>
      </c>
      <c r="Q541" s="23" t="s">
        <v>95</v>
      </c>
      <c r="R541" s="23" t="s">
        <v>823</v>
      </c>
      <c r="S541" s="33">
        <v>0</v>
      </c>
      <c r="T541" s="13">
        <v>166.72</v>
      </c>
      <c r="U541" s="13">
        <v>41.68</v>
      </c>
      <c r="V541" s="55">
        <f>IFERROR(Table12[[#This Row],[Profit]]/Table12[[#This Row],[Sales]],0)</f>
        <v>0.25</v>
      </c>
    </row>
    <row r="542" spans="1:22" x14ac:dyDescent="0.2">
      <c r="A542">
        <v>541</v>
      </c>
      <c r="B542" t="s">
        <v>821</v>
      </c>
      <c r="C542" s="1">
        <v>41791</v>
      </c>
      <c r="D542" s="22">
        <f>MONTH(Table12[[#This Row],[Order Date]])</f>
        <v>6</v>
      </c>
      <c r="E542" t="s">
        <v>826</v>
      </c>
      <c r="F542" t="s">
        <v>827</v>
      </c>
      <c r="G542" s="23" t="s">
        <v>41</v>
      </c>
      <c r="H542" s="23" t="s">
        <v>82</v>
      </c>
      <c r="I542" t="s">
        <v>822</v>
      </c>
      <c r="J542" s="23" t="s">
        <v>92</v>
      </c>
      <c r="K542" s="22">
        <v>6</v>
      </c>
      <c r="L542" s="1">
        <v>41796</v>
      </c>
      <c r="M542" s="22">
        <f>Table12[[#This Row],[Ship Date]]-Table12[[#This Row],[Order Date]]</f>
        <v>5</v>
      </c>
      <c r="N542" s="23" t="s">
        <v>20</v>
      </c>
      <c r="O542" s="23" t="s">
        <v>23</v>
      </c>
      <c r="P542" s="23" t="s">
        <v>204</v>
      </c>
      <c r="Q542" s="23" t="s">
        <v>95</v>
      </c>
      <c r="R542" s="23" t="s">
        <v>823</v>
      </c>
      <c r="S542" s="33">
        <v>0</v>
      </c>
      <c r="T542" s="13">
        <v>47.88</v>
      </c>
      <c r="U542" s="13">
        <v>23.94</v>
      </c>
      <c r="V542" s="55">
        <f>IFERROR(Table12[[#This Row],[Profit]]/Table12[[#This Row],[Sales]],0)</f>
        <v>0.5</v>
      </c>
    </row>
    <row r="543" spans="1:22" x14ac:dyDescent="0.2">
      <c r="A543">
        <v>542</v>
      </c>
      <c r="B543" t="s">
        <v>821</v>
      </c>
      <c r="C543" s="1">
        <v>41791</v>
      </c>
      <c r="D543" s="22">
        <f>MONTH(Table12[[#This Row],[Order Date]])</f>
        <v>6</v>
      </c>
      <c r="E543" t="s">
        <v>828</v>
      </c>
      <c r="F543" t="s">
        <v>829</v>
      </c>
      <c r="G543" s="23" t="s">
        <v>41</v>
      </c>
      <c r="H543" s="23" t="s">
        <v>71</v>
      </c>
      <c r="I543" t="s">
        <v>822</v>
      </c>
      <c r="J543" s="23" t="s">
        <v>92</v>
      </c>
      <c r="K543" s="22">
        <v>5</v>
      </c>
      <c r="L543" s="1">
        <v>41796</v>
      </c>
      <c r="M543" s="22">
        <f>Table12[[#This Row],[Ship Date]]-Table12[[#This Row],[Order Date]]</f>
        <v>5</v>
      </c>
      <c r="N543" s="23" t="s">
        <v>20</v>
      </c>
      <c r="O543" s="23" t="s">
        <v>23</v>
      </c>
      <c r="P543" s="23" t="s">
        <v>204</v>
      </c>
      <c r="Q543" s="23" t="s">
        <v>95</v>
      </c>
      <c r="R543" s="23" t="s">
        <v>823</v>
      </c>
      <c r="S543" s="33">
        <v>0</v>
      </c>
      <c r="T543" s="13">
        <v>1503.25</v>
      </c>
      <c r="U543" s="13">
        <v>496.07249999999999</v>
      </c>
      <c r="V543" s="55">
        <f>IFERROR(Table12[[#This Row],[Profit]]/Table12[[#This Row],[Sales]],0)</f>
        <v>0.33</v>
      </c>
    </row>
    <row r="544" spans="1:22" x14ac:dyDescent="0.2">
      <c r="A544">
        <v>543</v>
      </c>
      <c r="B544" t="s">
        <v>821</v>
      </c>
      <c r="C544" s="1">
        <v>41791</v>
      </c>
      <c r="D544" s="22">
        <f>MONTH(Table12[[#This Row],[Order Date]])</f>
        <v>6</v>
      </c>
      <c r="E544" t="s">
        <v>678</v>
      </c>
      <c r="F544" t="s">
        <v>679</v>
      </c>
      <c r="G544" s="23" t="s">
        <v>41</v>
      </c>
      <c r="H544" s="23" t="s">
        <v>82</v>
      </c>
      <c r="I544" t="s">
        <v>822</v>
      </c>
      <c r="J544" s="23" t="s">
        <v>92</v>
      </c>
      <c r="K544" s="22">
        <v>4</v>
      </c>
      <c r="L544" s="1">
        <v>41796</v>
      </c>
      <c r="M544" s="22">
        <f>Table12[[#This Row],[Ship Date]]-Table12[[#This Row],[Order Date]]</f>
        <v>5</v>
      </c>
      <c r="N544" s="23" t="s">
        <v>20</v>
      </c>
      <c r="O544" s="23" t="s">
        <v>23</v>
      </c>
      <c r="P544" s="23" t="s">
        <v>204</v>
      </c>
      <c r="Q544" s="23" t="s">
        <v>95</v>
      </c>
      <c r="R544" s="23" t="s">
        <v>823</v>
      </c>
      <c r="S544" s="33">
        <v>0</v>
      </c>
      <c r="T544" s="13">
        <v>25.92</v>
      </c>
      <c r="U544" s="13">
        <v>12.441599999999999</v>
      </c>
      <c r="V544" s="55">
        <f>IFERROR(Table12[[#This Row],[Profit]]/Table12[[#This Row],[Sales]],0)</f>
        <v>0.47999999999999993</v>
      </c>
    </row>
    <row r="545" spans="1:22" x14ac:dyDescent="0.2">
      <c r="A545">
        <v>544</v>
      </c>
      <c r="B545" t="s">
        <v>988</v>
      </c>
      <c r="C545" s="1">
        <v>41791</v>
      </c>
      <c r="D545" s="22">
        <f>MONTH(Table12[[#This Row],[Order Date]])</f>
        <v>6</v>
      </c>
      <c r="E545" t="s">
        <v>991</v>
      </c>
      <c r="F545" t="s">
        <v>992</v>
      </c>
      <c r="G545" s="23" t="s">
        <v>41</v>
      </c>
      <c r="H545" s="23" t="s">
        <v>68</v>
      </c>
      <c r="I545" t="s">
        <v>989</v>
      </c>
      <c r="J545" s="23" t="s">
        <v>92</v>
      </c>
      <c r="K545" s="22">
        <v>3</v>
      </c>
      <c r="L545" s="1">
        <v>41796</v>
      </c>
      <c r="M545" s="22">
        <f>Table12[[#This Row],[Ship Date]]-Table12[[#This Row],[Order Date]]</f>
        <v>5</v>
      </c>
      <c r="N545" s="23" t="s">
        <v>45</v>
      </c>
      <c r="O545" s="23" t="s">
        <v>23</v>
      </c>
      <c r="P545" s="23" t="s">
        <v>695</v>
      </c>
      <c r="Q545" s="23" t="s">
        <v>133</v>
      </c>
      <c r="R545" s="23" t="s">
        <v>990</v>
      </c>
      <c r="S545" s="33">
        <v>0</v>
      </c>
      <c r="T545" s="13">
        <v>45.48</v>
      </c>
      <c r="U545" s="13">
        <v>20.9208</v>
      </c>
      <c r="V545" s="55">
        <f>IFERROR(Table12[[#This Row],[Profit]]/Table12[[#This Row],[Sales]],0)</f>
        <v>0.46</v>
      </c>
    </row>
    <row r="546" spans="1:22" x14ac:dyDescent="0.2">
      <c r="A546">
        <v>545</v>
      </c>
      <c r="B546" t="s">
        <v>988</v>
      </c>
      <c r="C546" s="1">
        <v>41791</v>
      </c>
      <c r="D546" s="22">
        <f>MONTH(Table12[[#This Row],[Order Date]])</f>
        <v>6</v>
      </c>
      <c r="E546" t="s">
        <v>993</v>
      </c>
      <c r="F546" t="s">
        <v>994</v>
      </c>
      <c r="G546" s="23" t="s">
        <v>41</v>
      </c>
      <c r="H546" s="23" t="s">
        <v>61</v>
      </c>
      <c r="I546" t="s">
        <v>989</v>
      </c>
      <c r="J546" s="23" t="s">
        <v>92</v>
      </c>
      <c r="K546" s="22">
        <v>6</v>
      </c>
      <c r="L546" s="1">
        <v>41796</v>
      </c>
      <c r="M546" s="22">
        <f>Table12[[#This Row],[Ship Date]]-Table12[[#This Row],[Order Date]]</f>
        <v>5</v>
      </c>
      <c r="N546" s="23" t="s">
        <v>45</v>
      </c>
      <c r="O546" s="23" t="s">
        <v>23</v>
      </c>
      <c r="P546" s="23" t="s">
        <v>695</v>
      </c>
      <c r="Q546" s="23" t="s">
        <v>133</v>
      </c>
      <c r="R546" s="23" t="s">
        <v>990</v>
      </c>
      <c r="S546" s="33">
        <v>0</v>
      </c>
      <c r="T546" s="13">
        <v>289.2</v>
      </c>
      <c r="U546" s="13">
        <v>83.867999999999995</v>
      </c>
      <c r="V546" s="55">
        <f>IFERROR(Table12[[#This Row],[Profit]]/Table12[[#This Row],[Sales]],0)</f>
        <v>0.28999999999999998</v>
      </c>
    </row>
    <row r="547" spans="1:22" x14ac:dyDescent="0.2">
      <c r="A547">
        <v>546</v>
      </c>
      <c r="B547" t="s">
        <v>4561</v>
      </c>
      <c r="C547" s="1">
        <v>41791</v>
      </c>
      <c r="D547" s="22">
        <f>MONTH(Table12[[#This Row],[Order Date]])</f>
        <v>6</v>
      </c>
      <c r="E547" t="s">
        <v>1204</v>
      </c>
      <c r="F547" t="s">
        <v>1205</v>
      </c>
      <c r="G547" s="23" t="s">
        <v>28</v>
      </c>
      <c r="H547" s="23" t="s">
        <v>58</v>
      </c>
      <c r="I547" t="s">
        <v>2178</v>
      </c>
      <c r="J547" s="23" t="s">
        <v>22</v>
      </c>
      <c r="K547" s="22">
        <v>6</v>
      </c>
      <c r="L547" s="1">
        <v>41796</v>
      </c>
      <c r="M547" s="22">
        <f>Table12[[#This Row],[Ship Date]]-Table12[[#This Row],[Order Date]]</f>
        <v>5</v>
      </c>
      <c r="N547" s="23" t="s">
        <v>45</v>
      </c>
      <c r="O547" s="23" t="s">
        <v>23</v>
      </c>
      <c r="P547" s="23" t="s">
        <v>1510</v>
      </c>
      <c r="Q547" s="23" t="s">
        <v>26</v>
      </c>
      <c r="R547" s="23" t="s">
        <v>4562</v>
      </c>
      <c r="S547" s="33">
        <v>0</v>
      </c>
      <c r="T547" s="13">
        <v>22.2</v>
      </c>
      <c r="U547" s="13">
        <v>9.1020000000000003</v>
      </c>
      <c r="V547" s="55">
        <f>IFERROR(Table12[[#This Row],[Profit]]/Table12[[#This Row],[Sales]],0)</f>
        <v>0.41000000000000003</v>
      </c>
    </row>
    <row r="548" spans="1:22" x14ac:dyDescent="0.2">
      <c r="A548">
        <v>547</v>
      </c>
      <c r="B548" t="s">
        <v>4561</v>
      </c>
      <c r="C548" s="1">
        <v>41791</v>
      </c>
      <c r="D548" s="22">
        <f>MONTH(Table12[[#This Row],[Order Date]])</f>
        <v>6</v>
      </c>
      <c r="E548" t="s">
        <v>758</v>
      </c>
      <c r="F548" t="s">
        <v>759</v>
      </c>
      <c r="G548" s="23" t="s">
        <v>64</v>
      </c>
      <c r="H548" s="23" t="s">
        <v>65</v>
      </c>
      <c r="I548" t="s">
        <v>2178</v>
      </c>
      <c r="J548" s="23" t="s">
        <v>22</v>
      </c>
      <c r="K548" s="22">
        <v>7</v>
      </c>
      <c r="L548" s="1">
        <v>41796</v>
      </c>
      <c r="M548" s="22">
        <f>Table12[[#This Row],[Ship Date]]-Table12[[#This Row],[Order Date]]</f>
        <v>5</v>
      </c>
      <c r="N548" s="23" t="s">
        <v>45</v>
      </c>
      <c r="O548" s="23" t="s">
        <v>23</v>
      </c>
      <c r="P548" s="23" t="s">
        <v>1510</v>
      </c>
      <c r="Q548" s="23" t="s">
        <v>26</v>
      </c>
      <c r="R548" s="23" t="s">
        <v>4562</v>
      </c>
      <c r="S548" s="33">
        <v>0</v>
      </c>
      <c r="T548" s="13">
        <v>881.93</v>
      </c>
      <c r="U548" s="13">
        <v>229.30179999999999</v>
      </c>
      <c r="V548" s="55">
        <f>IFERROR(Table12[[#This Row],[Profit]]/Table12[[#This Row],[Sales]],0)</f>
        <v>0.26</v>
      </c>
    </row>
    <row r="549" spans="1:22" x14ac:dyDescent="0.2">
      <c r="A549">
        <v>548</v>
      </c>
      <c r="B549" t="s">
        <v>9673</v>
      </c>
      <c r="C549" s="1">
        <v>41791</v>
      </c>
      <c r="D549" s="22">
        <f>MONTH(Table12[[#This Row],[Order Date]])</f>
        <v>6</v>
      </c>
      <c r="E549" t="s">
        <v>3468</v>
      </c>
      <c r="F549" t="s">
        <v>3469</v>
      </c>
      <c r="G549" s="23" t="s">
        <v>41</v>
      </c>
      <c r="H549" s="23" t="s">
        <v>68</v>
      </c>
      <c r="I549" t="s">
        <v>3182</v>
      </c>
      <c r="J549" s="23" t="s">
        <v>36</v>
      </c>
      <c r="K549" s="22">
        <v>4</v>
      </c>
      <c r="L549" s="1">
        <v>41796</v>
      </c>
      <c r="M549" s="22">
        <f>Table12[[#This Row],[Ship Date]]-Table12[[#This Row],[Order Date]]</f>
        <v>5</v>
      </c>
      <c r="N549" s="23" t="s">
        <v>45</v>
      </c>
      <c r="O549" s="23" t="s">
        <v>23</v>
      </c>
      <c r="P549" s="23" t="s">
        <v>212</v>
      </c>
      <c r="Q549" s="23" t="s">
        <v>95</v>
      </c>
      <c r="R549" s="23" t="s">
        <v>775</v>
      </c>
      <c r="S549" s="33">
        <v>0</v>
      </c>
      <c r="T549" s="13">
        <v>138.56</v>
      </c>
      <c r="U549" s="13">
        <v>66.508799999999994</v>
      </c>
      <c r="V549" s="55">
        <f>IFERROR(Table12[[#This Row],[Profit]]/Table12[[#This Row],[Sales]],0)</f>
        <v>0.47999999999999993</v>
      </c>
    </row>
    <row r="550" spans="1:22" x14ac:dyDescent="0.2">
      <c r="A550">
        <v>549</v>
      </c>
      <c r="B550" t="s">
        <v>9673</v>
      </c>
      <c r="C550" s="1">
        <v>41791</v>
      </c>
      <c r="D550" s="22">
        <f>MONTH(Table12[[#This Row],[Order Date]])</f>
        <v>6</v>
      </c>
      <c r="E550" t="s">
        <v>3224</v>
      </c>
      <c r="F550" t="s">
        <v>3225</v>
      </c>
      <c r="G550" s="23" t="s">
        <v>41</v>
      </c>
      <c r="H550" s="23" t="s">
        <v>71</v>
      </c>
      <c r="I550" t="s">
        <v>3182</v>
      </c>
      <c r="J550" s="23" t="s">
        <v>36</v>
      </c>
      <c r="K550" s="22">
        <v>5</v>
      </c>
      <c r="L550" s="1">
        <v>41796</v>
      </c>
      <c r="M550" s="22">
        <f>Table12[[#This Row],[Ship Date]]-Table12[[#This Row],[Order Date]]</f>
        <v>5</v>
      </c>
      <c r="N550" s="23" t="s">
        <v>45</v>
      </c>
      <c r="O550" s="23" t="s">
        <v>23</v>
      </c>
      <c r="P550" s="23" t="s">
        <v>212</v>
      </c>
      <c r="Q550" s="23" t="s">
        <v>95</v>
      </c>
      <c r="R550" s="23" t="s">
        <v>775</v>
      </c>
      <c r="S550" s="33">
        <v>0.1</v>
      </c>
      <c r="T550" s="13">
        <v>65.52</v>
      </c>
      <c r="U550" s="13">
        <v>12.375999999999999</v>
      </c>
      <c r="V550" s="55">
        <f>IFERROR(Table12[[#This Row],[Profit]]/Table12[[#This Row],[Sales]],0)</f>
        <v>0.18888888888888888</v>
      </c>
    </row>
    <row r="551" spans="1:22" x14ac:dyDescent="0.2">
      <c r="A551">
        <v>550</v>
      </c>
      <c r="B551" t="s">
        <v>2033</v>
      </c>
      <c r="C551" s="1">
        <v>41792</v>
      </c>
      <c r="D551" s="22">
        <f>MONTH(Table12[[#This Row],[Order Date]])</f>
        <v>6</v>
      </c>
      <c r="E551" t="s">
        <v>1526</v>
      </c>
      <c r="F551" t="s">
        <v>1527</v>
      </c>
      <c r="G551" s="23" t="s">
        <v>41</v>
      </c>
      <c r="H551" s="23" t="s">
        <v>68</v>
      </c>
      <c r="I551" t="s">
        <v>2034</v>
      </c>
      <c r="J551" s="23" t="s">
        <v>92</v>
      </c>
      <c r="K551" s="22">
        <v>3</v>
      </c>
      <c r="L551" s="1">
        <v>41797</v>
      </c>
      <c r="M551" s="22">
        <f>Table12[[#This Row],[Ship Date]]-Table12[[#This Row],[Order Date]]</f>
        <v>5</v>
      </c>
      <c r="N551" s="23" t="s">
        <v>45</v>
      </c>
      <c r="O551" s="23" t="s">
        <v>23</v>
      </c>
      <c r="P551" s="23" t="s">
        <v>109</v>
      </c>
      <c r="Q551" s="23" t="s">
        <v>39</v>
      </c>
      <c r="R551" s="23" t="s">
        <v>138</v>
      </c>
      <c r="S551" s="33">
        <v>0.2</v>
      </c>
      <c r="T551" s="13">
        <v>59.808</v>
      </c>
      <c r="U551" s="13">
        <v>19.4376</v>
      </c>
      <c r="V551" s="55">
        <f>IFERROR(Table12[[#This Row],[Profit]]/Table12[[#This Row],[Sales]],0)</f>
        <v>0.32500000000000001</v>
      </c>
    </row>
    <row r="552" spans="1:22" x14ac:dyDescent="0.2">
      <c r="A552">
        <v>551</v>
      </c>
      <c r="B552" t="s">
        <v>2033</v>
      </c>
      <c r="C552" s="1">
        <v>41792</v>
      </c>
      <c r="D552" s="22">
        <f>MONTH(Table12[[#This Row],[Order Date]])</f>
        <v>6</v>
      </c>
      <c r="E552" t="s">
        <v>1362</v>
      </c>
      <c r="F552" t="s">
        <v>1363</v>
      </c>
      <c r="G552" s="23" t="s">
        <v>28</v>
      </c>
      <c r="H552" s="23" t="s">
        <v>58</v>
      </c>
      <c r="I552" t="s">
        <v>2034</v>
      </c>
      <c r="J552" s="23" t="s">
        <v>92</v>
      </c>
      <c r="K552" s="22">
        <v>6</v>
      </c>
      <c r="L552" s="1">
        <v>41797</v>
      </c>
      <c r="M552" s="22">
        <f>Table12[[#This Row],[Ship Date]]-Table12[[#This Row],[Order Date]]</f>
        <v>5</v>
      </c>
      <c r="N552" s="23" t="s">
        <v>45</v>
      </c>
      <c r="O552" s="23" t="s">
        <v>23</v>
      </c>
      <c r="P552" s="23" t="s">
        <v>109</v>
      </c>
      <c r="Q552" s="23" t="s">
        <v>39</v>
      </c>
      <c r="R552" s="23" t="s">
        <v>138</v>
      </c>
      <c r="S552" s="33">
        <v>0</v>
      </c>
      <c r="T552" s="13">
        <v>73.319999999999993</v>
      </c>
      <c r="U552" s="13">
        <v>21.995999999999999</v>
      </c>
      <c r="V552" s="55">
        <f>IFERROR(Table12[[#This Row],[Profit]]/Table12[[#This Row],[Sales]],0)</f>
        <v>0.3</v>
      </c>
    </row>
    <row r="553" spans="1:22" x14ac:dyDescent="0.2">
      <c r="A553">
        <v>552</v>
      </c>
      <c r="B553" t="s">
        <v>6311</v>
      </c>
      <c r="C553" s="1">
        <v>41792</v>
      </c>
      <c r="D553" s="22">
        <f>MONTH(Table12[[#This Row],[Order Date]])</f>
        <v>6</v>
      </c>
      <c r="E553" t="s">
        <v>4478</v>
      </c>
      <c r="F553" t="s">
        <v>4479</v>
      </c>
      <c r="G553" s="23" t="s">
        <v>41</v>
      </c>
      <c r="H553" s="23" t="s">
        <v>61</v>
      </c>
      <c r="I553" t="s">
        <v>5168</v>
      </c>
      <c r="J553" s="23" t="s">
        <v>22</v>
      </c>
      <c r="K553" s="22">
        <v>2</v>
      </c>
      <c r="L553" s="1">
        <v>41796</v>
      </c>
      <c r="M553" s="22">
        <f>Table12[[#This Row],[Ship Date]]-Table12[[#This Row],[Order Date]]</f>
        <v>4</v>
      </c>
      <c r="N553" s="23" t="s">
        <v>45</v>
      </c>
      <c r="O553" s="23" t="s">
        <v>23</v>
      </c>
      <c r="P553" s="23" t="s">
        <v>1125</v>
      </c>
      <c r="Q553" s="23" t="s">
        <v>26</v>
      </c>
      <c r="R553" s="23" t="s">
        <v>2871</v>
      </c>
      <c r="S553" s="33">
        <v>0</v>
      </c>
      <c r="T553" s="13">
        <v>8.56</v>
      </c>
      <c r="U553" s="13">
        <v>2.6536</v>
      </c>
      <c r="V553" s="55">
        <f>IFERROR(Table12[[#This Row],[Profit]]/Table12[[#This Row],[Sales]],0)</f>
        <v>0.31</v>
      </c>
    </row>
    <row r="554" spans="1:22" x14ac:dyDescent="0.2">
      <c r="A554">
        <v>553</v>
      </c>
      <c r="B554" t="s">
        <v>6311</v>
      </c>
      <c r="C554" s="1">
        <v>41792</v>
      </c>
      <c r="D554" s="22">
        <f>MONTH(Table12[[#This Row],[Order Date]])</f>
        <v>6</v>
      </c>
      <c r="E554" t="s">
        <v>1768</v>
      </c>
      <c r="F554" t="s">
        <v>1769</v>
      </c>
      <c r="G554" s="23" t="s">
        <v>64</v>
      </c>
      <c r="H554" s="23" t="s">
        <v>65</v>
      </c>
      <c r="I554" t="s">
        <v>5168</v>
      </c>
      <c r="J554" s="23" t="s">
        <v>22</v>
      </c>
      <c r="K554" s="22">
        <v>3</v>
      </c>
      <c r="L554" s="1">
        <v>41796</v>
      </c>
      <c r="M554" s="22">
        <f>Table12[[#This Row],[Ship Date]]-Table12[[#This Row],[Order Date]]</f>
        <v>4</v>
      </c>
      <c r="N554" s="23" t="s">
        <v>45</v>
      </c>
      <c r="O554" s="23" t="s">
        <v>23</v>
      </c>
      <c r="P554" s="23" t="s">
        <v>1125</v>
      </c>
      <c r="Q554" s="23" t="s">
        <v>26</v>
      </c>
      <c r="R554" s="23" t="s">
        <v>2871</v>
      </c>
      <c r="S554" s="33">
        <v>0</v>
      </c>
      <c r="T554" s="13">
        <v>239.97</v>
      </c>
      <c r="U554" s="13">
        <v>67.191599999999994</v>
      </c>
      <c r="V554" s="55">
        <f>IFERROR(Table12[[#This Row],[Profit]]/Table12[[#This Row],[Sales]],0)</f>
        <v>0.27999999999999997</v>
      </c>
    </row>
    <row r="555" spans="1:22" x14ac:dyDescent="0.2">
      <c r="A555">
        <v>554</v>
      </c>
      <c r="B555" t="s">
        <v>6311</v>
      </c>
      <c r="C555" s="1">
        <v>41792</v>
      </c>
      <c r="D555" s="22">
        <f>MONTH(Table12[[#This Row],[Order Date]])</f>
        <v>6</v>
      </c>
      <c r="E555" t="s">
        <v>1774</v>
      </c>
      <c r="F555" t="s">
        <v>1775</v>
      </c>
      <c r="G555" s="23" t="s">
        <v>41</v>
      </c>
      <c r="H555" s="23" t="s">
        <v>53</v>
      </c>
      <c r="I555" t="s">
        <v>5168</v>
      </c>
      <c r="J555" s="23" t="s">
        <v>22</v>
      </c>
      <c r="K555" s="22">
        <v>2</v>
      </c>
      <c r="L555" s="1">
        <v>41796</v>
      </c>
      <c r="M555" s="22">
        <f>Table12[[#This Row],[Ship Date]]-Table12[[#This Row],[Order Date]]</f>
        <v>4</v>
      </c>
      <c r="N555" s="23" t="s">
        <v>45</v>
      </c>
      <c r="O555" s="23" t="s">
        <v>23</v>
      </c>
      <c r="P555" s="23" t="s">
        <v>1125</v>
      </c>
      <c r="Q555" s="23" t="s">
        <v>26</v>
      </c>
      <c r="R555" s="23" t="s">
        <v>2871</v>
      </c>
      <c r="S555" s="33">
        <v>0</v>
      </c>
      <c r="T555" s="13">
        <v>356.94</v>
      </c>
      <c r="U555" s="13">
        <v>107.08199999999999</v>
      </c>
      <c r="V555" s="55">
        <f>IFERROR(Table12[[#This Row],[Profit]]/Table12[[#This Row],[Sales]],0)</f>
        <v>0.3</v>
      </c>
    </row>
    <row r="556" spans="1:22" x14ac:dyDescent="0.2">
      <c r="A556">
        <v>555</v>
      </c>
      <c r="B556" t="s">
        <v>3872</v>
      </c>
      <c r="C556" s="1">
        <v>41793</v>
      </c>
      <c r="D556" s="22">
        <f>MONTH(Table12[[#This Row],[Order Date]])</f>
        <v>6</v>
      </c>
      <c r="E556" t="s">
        <v>2883</v>
      </c>
      <c r="F556" t="s">
        <v>2884</v>
      </c>
      <c r="G556" s="23" t="s">
        <v>28</v>
      </c>
      <c r="H556" s="23" t="s">
        <v>50</v>
      </c>
      <c r="I556" t="s">
        <v>460</v>
      </c>
      <c r="J556" s="23" t="s">
        <v>22</v>
      </c>
      <c r="K556" s="22">
        <v>6</v>
      </c>
      <c r="L556" s="1">
        <v>41797</v>
      </c>
      <c r="M556" s="22">
        <f>Table12[[#This Row],[Ship Date]]-Table12[[#This Row],[Order Date]]</f>
        <v>4</v>
      </c>
      <c r="N556" s="23" t="s">
        <v>20</v>
      </c>
      <c r="O556" s="23" t="s">
        <v>23</v>
      </c>
      <c r="P556" s="23" t="s">
        <v>87</v>
      </c>
      <c r="Q556" s="23" t="s">
        <v>39</v>
      </c>
      <c r="R556" s="23" t="s">
        <v>86</v>
      </c>
      <c r="S556" s="33">
        <v>0</v>
      </c>
      <c r="T556" s="13">
        <v>515.88</v>
      </c>
      <c r="U556" s="13">
        <v>113.4936</v>
      </c>
      <c r="V556" s="55">
        <f>IFERROR(Table12[[#This Row],[Profit]]/Table12[[#This Row],[Sales]],0)</f>
        <v>0.22</v>
      </c>
    </row>
    <row r="557" spans="1:22" x14ac:dyDescent="0.2">
      <c r="A557">
        <v>556</v>
      </c>
      <c r="B557" t="s">
        <v>8061</v>
      </c>
      <c r="C557" s="1">
        <v>41793</v>
      </c>
      <c r="D557" s="22">
        <f>MONTH(Table12[[#This Row],[Order Date]])</f>
        <v>6</v>
      </c>
      <c r="E557" t="s">
        <v>2268</v>
      </c>
      <c r="F557" t="s">
        <v>2269</v>
      </c>
      <c r="G557" s="23" t="s">
        <v>41</v>
      </c>
      <c r="H557" s="23" t="s">
        <v>155</v>
      </c>
      <c r="I557" t="s">
        <v>1334</v>
      </c>
      <c r="J557" s="23" t="s">
        <v>92</v>
      </c>
      <c r="K557" s="22">
        <v>2</v>
      </c>
      <c r="L557" s="1">
        <v>41797</v>
      </c>
      <c r="M557" s="22">
        <f>Table12[[#This Row],[Ship Date]]-Table12[[#This Row],[Order Date]]</f>
        <v>4</v>
      </c>
      <c r="N557" s="23" t="s">
        <v>20</v>
      </c>
      <c r="O557" s="23" t="s">
        <v>23</v>
      </c>
      <c r="P557" s="23" t="s">
        <v>212</v>
      </c>
      <c r="Q557" s="23" t="s">
        <v>95</v>
      </c>
      <c r="R557" s="23" t="s">
        <v>4713</v>
      </c>
      <c r="S557" s="33">
        <v>0</v>
      </c>
      <c r="T557" s="13">
        <v>15.28</v>
      </c>
      <c r="U557" s="13">
        <v>7.4871999999999996</v>
      </c>
      <c r="V557" s="55">
        <f>IFERROR(Table12[[#This Row],[Profit]]/Table12[[#This Row],[Sales]],0)</f>
        <v>0.49</v>
      </c>
    </row>
    <row r="558" spans="1:22" x14ac:dyDescent="0.2">
      <c r="A558">
        <v>557</v>
      </c>
      <c r="B558" t="s">
        <v>10070</v>
      </c>
      <c r="C558" s="1">
        <v>41793</v>
      </c>
      <c r="D558" s="22">
        <f>MONTH(Table12[[#This Row],[Order Date]])</f>
        <v>6</v>
      </c>
      <c r="E558" t="s">
        <v>4033</v>
      </c>
      <c r="F558" t="s">
        <v>4034</v>
      </c>
      <c r="G558" s="23" t="s">
        <v>41</v>
      </c>
      <c r="H558" s="23" t="s">
        <v>42</v>
      </c>
      <c r="I558" t="s">
        <v>5596</v>
      </c>
      <c r="J558" s="23" t="s">
        <v>22</v>
      </c>
      <c r="K558" s="22">
        <v>4</v>
      </c>
      <c r="L558" s="1">
        <v>41796</v>
      </c>
      <c r="M558" s="22">
        <f>Table12[[#This Row],[Ship Date]]-Table12[[#This Row],[Order Date]]</f>
        <v>3</v>
      </c>
      <c r="N558" s="23" t="s">
        <v>169</v>
      </c>
      <c r="O558" s="23" t="s">
        <v>23</v>
      </c>
      <c r="P558" s="23" t="s">
        <v>189</v>
      </c>
      <c r="Q558" s="23" t="s">
        <v>95</v>
      </c>
      <c r="R558" s="23" t="s">
        <v>319</v>
      </c>
      <c r="S558" s="33">
        <v>0.2</v>
      </c>
      <c r="T558" s="13">
        <v>15.936</v>
      </c>
      <c r="U558" s="13">
        <v>5.1791999999999998</v>
      </c>
      <c r="V558" s="55">
        <f>IFERROR(Table12[[#This Row],[Profit]]/Table12[[#This Row],[Sales]],0)</f>
        <v>0.32500000000000001</v>
      </c>
    </row>
    <row r="559" spans="1:22" x14ac:dyDescent="0.2">
      <c r="A559">
        <v>558</v>
      </c>
      <c r="B559" t="s">
        <v>10070</v>
      </c>
      <c r="C559" s="1">
        <v>41793</v>
      </c>
      <c r="D559" s="22">
        <f>MONTH(Table12[[#This Row],[Order Date]])</f>
        <v>6</v>
      </c>
      <c r="E559" t="s">
        <v>1726</v>
      </c>
      <c r="F559" t="s">
        <v>1727</v>
      </c>
      <c r="G559" s="23" t="s">
        <v>28</v>
      </c>
      <c r="H559" s="23" t="s">
        <v>58</v>
      </c>
      <c r="I559" t="s">
        <v>5596</v>
      </c>
      <c r="J559" s="23" t="s">
        <v>22</v>
      </c>
      <c r="K559" s="22">
        <v>7</v>
      </c>
      <c r="L559" s="1">
        <v>41796</v>
      </c>
      <c r="M559" s="22">
        <f>Table12[[#This Row],[Ship Date]]-Table12[[#This Row],[Order Date]]</f>
        <v>3</v>
      </c>
      <c r="N559" s="23" t="s">
        <v>169</v>
      </c>
      <c r="O559" s="23" t="s">
        <v>23</v>
      </c>
      <c r="P559" s="23" t="s">
        <v>189</v>
      </c>
      <c r="Q559" s="23" t="s">
        <v>95</v>
      </c>
      <c r="R559" s="23" t="s">
        <v>319</v>
      </c>
      <c r="S559" s="33">
        <v>0.6</v>
      </c>
      <c r="T559" s="13">
        <v>61.543999999999997</v>
      </c>
      <c r="U559" s="13">
        <v>-40.003599999999999</v>
      </c>
      <c r="V559" s="55">
        <f>IFERROR(Table12[[#This Row],[Profit]]/Table12[[#This Row],[Sales]],0)</f>
        <v>-0.65</v>
      </c>
    </row>
    <row r="560" spans="1:22" x14ac:dyDescent="0.2">
      <c r="A560">
        <v>559</v>
      </c>
      <c r="B560" t="s">
        <v>10070</v>
      </c>
      <c r="C560" s="1">
        <v>41793</v>
      </c>
      <c r="D560" s="22">
        <f>MONTH(Table12[[#This Row],[Order Date]])</f>
        <v>6</v>
      </c>
      <c r="E560" t="s">
        <v>3970</v>
      </c>
      <c r="F560" t="s">
        <v>3971</v>
      </c>
      <c r="G560" s="23" t="s">
        <v>41</v>
      </c>
      <c r="H560" s="23" t="s">
        <v>53</v>
      </c>
      <c r="I560" t="s">
        <v>5596</v>
      </c>
      <c r="J560" s="23" t="s">
        <v>22</v>
      </c>
      <c r="K560" s="22">
        <v>3</v>
      </c>
      <c r="L560" s="1">
        <v>41796</v>
      </c>
      <c r="M560" s="22">
        <f>Table12[[#This Row],[Ship Date]]-Table12[[#This Row],[Order Date]]</f>
        <v>3</v>
      </c>
      <c r="N560" s="23" t="s">
        <v>169</v>
      </c>
      <c r="O560" s="23" t="s">
        <v>23</v>
      </c>
      <c r="P560" s="23" t="s">
        <v>189</v>
      </c>
      <c r="Q560" s="23" t="s">
        <v>95</v>
      </c>
      <c r="R560" s="23" t="s">
        <v>319</v>
      </c>
      <c r="S560" s="33">
        <v>0.2</v>
      </c>
      <c r="T560" s="13">
        <v>132.696</v>
      </c>
      <c r="U560" s="13">
        <v>9.9521999999999995</v>
      </c>
      <c r="V560" s="55">
        <f>IFERROR(Table12[[#This Row],[Profit]]/Table12[[#This Row],[Sales]],0)</f>
        <v>7.4999999999999997E-2</v>
      </c>
    </row>
    <row r="561" spans="1:22" x14ac:dyDescent="0.2">
      <c r="A561">
        <v>560</v>
      </c>
      <c r="B561" t="s">
        <v>4138</v>
      </c>
      <c r="C561" s="1">
        <v>41794</v>
      </c>
      <c r="D561" s="22">
        <f>MONTH(Table12[[#This Row],[Order Date]])</f>
        <v>6</v>
      </c>
      <c r="E561" t="s">
        <v>3038</v>
      </c>
      <c r="F561" t="s">
        <v>167</v>
      </c>
      <c r="G561" s="23" t="s">
        <v>41</v>
      </c>
      <c r="H561" s="23" t="s">
        <v>82</v>
      </c>
      <c r="I561" t="s">
        <v>673</v>
      </c>
      <c r="J561" s="23" t="s">
        <v>92</v>
      </c>
      <c r="K561" s="22">
        <v>2</v>
      </c>
      <c r="L561" s="1">
        <v>41799</v>
      </c>
      <c r="M561" s="22">
        <f>Table12[[#This Row],[Ship Date]]-Table12[[#This Row],[Order Date]]</f>
        <v>5</v>
      </c>
      <c r="N561" s="23" t="s">
        <v>45</v>
      </c>
      <c r="O561" s="23" t="s">
        <v>23</v>
      </c>
      <c r="P561" s="23" t="s">
        <v>441</v>
      </c>
      <c r="Q561" s="23" t="s">
        <v>133</v>
      </c>
      <c r="R561" s="23" t="s">
        <v>440</v>
      </c>
      <c r="S561" s="33">
        <v>0.2</v>
      </c>
      <c r="T561" s="13">
        <v>16.224</v>
      </c>
      <c r="U561" s="13">
        <v>5.8811999999999998</v>
      </c>
      <c r="V561" s="55">
        <f>IFERROR(Table12[[#This Row],[Profit]]/Table12[[#This Row],[Sales]],0)</f>
        <v>0.36249999999999999</v>
      </c>
    </row>
    <row r="562" spans="1:22" x14ac:dyDescent="0.2">
      <c r="A562">
        <v>561</v>
      </c>
      <c r="B562" t="s">
        <v>9354</v>
      </c>
      <c r="C562" s="1">
        <v>41794</v>
      </c>
      <c r="D562" s="22">
        <f>MONTH(Table12[[#This Row],[Order Date]])</f>
        <v>6</v>
      </c>
      <c r="E562" t="s">
        <v>4050</v>
      </c>
      <c r="F562" t="s">
        <v>4051</v>
      </c>
      <c r="G562" s="23" t="s">
        <v>28</v>
      </c>
      <c r="H562" s="23" t="s">
        <v>58</v>
      </c>
      <c r="I562" t="s">
        <v>4599</v>
      </c>
      <c r="J562" s="23" t="s">
        <v>22</v>
      </c>
      <c r="K562" s="22">
        <v>2</v>
      </c>
      <c r="L562" s="1">
        <v>41799</v>
      </c>
      <c r="M562" s="22">
        <f>Table12[[#This Row],[Ship Date]]-Table12[[#This Row],[Order Date]]</f>
        <v>5</v>
      </c>
      <c r="N562" s="23" t="s">
        <v>45</v>
      </c>
      <c r="O562" s="23" t="s">
        <v>23</v>
      </c>
      <c r="P562" s="23" t="s">
        <v>238</v>
      </c>
      <c r="Q562" s="23" t="s">
        <v>133</v>
      </c>
      <c r="R562" s="23" t="s">
        <v>237</v>
      </c>
      <c r="S562" s="33">
        <v>0</v>
      </c>
      <c r="T562" s="13">
        <v>56.96</v>
      </c>
      <c r="U562" s="13">
        <v>21.075199999999999</v>
      </c>
      <c r="V562" s="55">
        <f>IFERROR(Table12[[#This Row],[Profit]]/Table12[[#This Row],[Sales]],0)</f>
        <v>0.37</v>
      </c>
    </row>
    <row r="563" spans="1:22" x14ac:dyDescent="0.2">
      <c r="A563">
        <v>562</v>
      </c>
      <c r="B563" t="s">
        <v>9354</v>
      </c>
      <c r="C563" s="1">
        <v>41794</v>
      </c>
      <c r="D563" s="22">
        <f>MONTH(Table12[[#This Row],[Order Date]])</f>
        <v>6</v>
      </c>
      <c r="E563" t="s">
        <v>3609</v>
      </c>
      <c r="F563" t="s">
        <v>3610</v>
      </c>
      <c r="G563" s="23" t="s">
        <v>41</v>
      </c>
      <c r="H563" s="23" t="s">
        <v>71</v>
      </c>
      <c r="I563" t="s">
        <v>4599</v>
      </c>
      <c r="J563" s="23" t="s">
        <v>22</v>
      </c>
      <c r="K563" s="22">
        <v>4</v>
      </c>
      <c r="L563" s="1">
        <v>41799</v>
      </c>
      <c r="M563" s="22">
        <f>Table12[[#This Row],[Ship Date]]-Table12[[#This Row],[Order Date]]</f>
        <v>5</v>
      </c>
      <c r="N563" s="23" t="s">
        <v>45</v>
      </c>
      <c r="O563" s="23" t="s">
        <v>23</v>
      </c>
      <c r="P563" s="23" t="s">
        <v>238</v>
      </c>
      <c r="Q563" s="23" t="s">
        <v>133</v>
      </c>
      <c r="R563" s="23" t="s">
        <v>237</v>
      </c>
      <c r="S563" s="33">
        <v>0</v>
      </c>
      <c r="T563" s="13">
        <v>15.56</v>
      </c>
      <c r="U563" s="13">
        <v>4.0456000000000003</v>
      </c>
      <c r="V563" s="55">
        <f>IFERROR(Table12[[#This Row],[Profit]]/Table12[[#This Row],[Sales]],0)</f>
        <v>0.26</v>
      </c>
    </row>
    <row r="564" spans="1:22" x14ac:dyDescent="0.2">
      <c r="A564">
        <v>563</v>
      </c>
      <c r="B564" t="s">
        <v>9354</v>
      </c>
      <c r="C564" s="1">
        <v>41794</v>
      </c>
      <c r="D564" s="22">
        <f>MONTH(Table12[[#This Row],[Order Date]])</f>
        <v>6</v>
      </c>
      <c r="E564" t="s">
        <v>2009</v>
      </c>
      <c r="F564" t="s">
        <v>2010</v>
      </c>
      <c r="G564" s="23" t="s">
        <v>28</v>
      </c>
      <c r="H564" s="23" t="s">
        <v>29</v>
      </c>
      <c r="I564" t="s">
        <v>4599</v>
      </c>
      <c r="J564" s="23" t="s">
        <v>22</v>
      </c>
      <c r="K564" s="22">
        <v>2</v>
      </c>
      <c r="L564" s="1">
        <v>41799</v>
      </c>
      <c r="M564" s="22">
        <f>Table12[[#This Row],[Ship Date]]-Table12[[#This Row],[Order Date]]</f>
        <v>5</v>
      </c>
      <c r="N564" s="23" t="s">
        <v>45</v>
      </c>
      <c r="O564" s="23" t="s">
        <v>23</v>
      </c>
      <c r="P564" s="23" t="s">
        <v>238</v>
      </c>
      <c r="Q564" s="23" t="s">
        <v>133</v>
      </c>
      <c r="R564" s="23" t="s">
        <v>237</v>
      </c>
      <c r="S564" s="33">
        <v>0.2</v>
      </c>
      <c r="T564" s="13">
        <v>353.56799999999998</v>
      </c>
      <c r="U564" s="13">
        <v>-44.195999999999998</v>
      </c>
      <c r="V564" s="55">
        <f>IFERROR(Table12[[#This Row],[Profit]]/Table12[[#This Row],[Sales]],0)</f>
        <v>-0.125</v>
      </c>
    </row>
    <row r="565" spans="1:22" x14ac:dyDescent="0.2">
      <c r="A565">
        <v>564</v>
      </c>
      <c r="B565" t="s">
        <v>9354</v>
      </c>
      <c r="C565" s="1">
        <v>41794</v>
      </c>
      <c r="D565" s="22">
        <f>MONTH(Table12[[#This Row],[Order Date]])</f>
        <v>6</v>
      </c>
      <c r="E565" t="s">
        <v>2664</v>
      </c>
      <c r="F565" t="s">
        <v>2665</v>
      </c>
      <c r="G565" s="23" t="s">
        <v>28</v>
      </c>
      <c r="H565" s="23" t="s">
        <v>58</v>
      </c>
      <c r="I565" t="s">
        <v>4599</v>
      </c>
      <c r="J565" s="23" t="s">
        <v>22</v>
      </c>
      <c r="K565" s="22">
        <v>2</v>
      </c>
      <c r="L565" s="1">
        <v>41799</v>
      </c>
      <c r="M565" s="22">
        <f>Table12[[#This Row],[Ship Date]]-Table12[[#This Row],[Order Date]]</f>
        <v>5</v>
      </c>
      <c r="N565" s="23" t="s">
        <v>45</v>
      </c>
      <c r="O565" s="23" t="s">
        <v>23</v>
      </c>
      <c r="P565" s="23" t="s">
        <v>238</v>
      </c>
      <c r="Q565" s="23" t="s">
        <v>133</v>
      </c>
      <c r="R565" s="23" t="s">
        <v>237</v>
      </c>
      <c r="S565" s="33">
        <v>0</v>
      </c>
      <c r="T565" s="13">
        <v>13.96</v>
      </c>
      <c r="U565" s="13">
        <v>6.7008000000000001</v>
      </c>
      <c r="V565" s="55">
        <f>IFERROR(Table12[[#This Row],[Profit]]/Table12[[#This Row],[Sales]],0)</f>
        <v>0.48</v>
      </c>
    </row>
    <row r="566" spans="1:22" x14ac:dyDescent="0.2">
      <c r="A566">
        <v>565</v>
      </c>
      <c r="B566" t="s">
        <v>3928</v>
      </c>
      <c r="C566" s="1">
        <v>41796</v>
      </c>
      <c r="D566" s="22">
        <f>MONTH(Table12[[#This Row],[Order Date]])</f>
        <v>6</v>
      </c>
      <c r="E566" t="s">
        <v>608</v>
      </c>
      <c r="F566" t="s">
        <v>609</v>
      </c>
      <c r="G566" s="23" t="s">
        <v>41</v>
      </c>
      <c r="H566" s="23" t="s">
        <v>61</v>
      </c>
      <c r="I566" t="s">
        <v>2165</v>
      </c>
      <c r="J566" s="23" t="s">
        <v>22</v>
      </c>
      <c r="K566" s="22">
        <v>2</v>
      </c>
      <c r="L566" s="1">
        <v>41799</v>
      </c>
      <c r="M566" s="22">
        <f>Table12[[#This Row],[Ship Date]]-Table12[[#This Row],[Order Date]]</f>
        <v>3</v>
      </c>
      <c r="N566" s="23" t="s">
        <v>169</v>
      </c>
      <c r="O566" s="23" t="s">
        <v>23</v>
      </c>
      <c r="P566" s="23" t="s">
        <v>238</v>
      </c>
      <c r="Q566" s="23" t="s">
        <v>133</v>
      </c>
      <c r="R566" s="23" t="s">
        <v>347</v>
      </c>
      <c r="S566" s="33">
        <v>0</v>
      </c>
      <c r="T566" s="13">
        <v>13.36</v>
      </c>
      <c r="U566" s="13">
        <v>4.9432</v>
      </c>
      <c r="V566" s="55">
        <f>IFERROR(Table12[[#This Row],[Profit]]/Table12[[#This Row],[Sales]],0)</f>
        <v>0.37</v>
      </c>
    </row>
    <row r="567" spans="1:22" x14ac:dyDescent="0.2">
      <c r="A567">
        <v>566</v>
      </c>
      <c r="B567" t="s">
        <v>4492</v>
      </c>
      <c r="C567" s="1">
        <v>41796</v>
      </c>
      <c r="D567" s="22">
        <f>MONTH(Table12[[#This Row],[Order Date]])</f>
        <v>6</v>
      </c>
      <c r="E567" t="s">
        <v>1224</v>
      </c>
      <c r="F567" t="s">
        <v>1225</v>
      </c>
      <c r="G567" s="23" t="s">
        <v>41</v>
      </c>
      <c r="H567" s="23" t="s">
        <v>68</v>
      </c>
      <c r="I567" t="s">
        <v>1956</v>
      </c>
      <c r="J567" s="23" t="s">
        <v>36</v>
      </c>
      <c r="K567" s="22">
        <v>9</v>
      </c>
      <c r="L567" s="1">
        <v>41801</v>
      </c>
      <c r="M567" s="22">
        <f>Table12[[#This Row],[Ship Date]]-Table12[[#This Row],[Order Date]]</f>
        <v>5</v>
      </c>
      <c r="N567" s="23" t="s">
        <v>45</v>
      </c>
      <c r="O567" s="23" t="s">
        <v>23</v>
      </c>
      <c r="P567" s="23" t="s">
        <v>238</v>
      </c>
      <c r="Q567" s="23" t="s">
        <v>133</v>
      </c>
      <c r="R567" s="23" t="s">
        <v>1037</v>
      </c>
      <c r="S567" s="33">
        <v>0.2</v>
      </c>
      <c r="T567" s="13">
        <v>149.54400000000001</v>
      </c>
      <c r="U567" s="13">
        <v>50.4711</v>
      </c>
      <c r="V567" s="55">
        <f>IFERROR(Table12[[#This Row],[Profit]]/Table12[[#This Row],[Sales]],0)</f>
        <v>0.33749999999999997</v>
      </c>
    </row>
    <row r="568" spans="1:22" x14ac:dyDescent="0.2">
      <c r="A568">
        <v>567</v>
      </c>
      <c r="B568" t="s">
        <v>4492</v>
      </c>
      <c r="C568" s="1">
        <v>41796</v>
      </c>
      <c r="D568" s="22">
        <f>MONTH(Table12[[#This Row],[Order Date]])</f>
        <v>6</v>
      </c>
      <c r="E568" t="s">
        <v>4493</v>
      </c>
      <c r="F568" t="s">
        <v>4494</v>
      </c>
      <c r="G568" s="23" t="s">
        <v>41</v>
      </c>
      <c r="H568" s="23" t="s">
        <v>513</v>
      </c>
      <c r="I568" t="s">
        <v>1956</v>
      </c>
      <c r="J568" s="23" t="s">
        <v>36</v>
      </c>
      <c r="K568" s="22">
        <v>2</v>
      </c>
      <c r="L568" s="1">
        <v>41801</v>
      </c>
      <c r="M568" s="22">
        <f>Table12[[#This Row],[Ship Date]]-Table12[[#This Row],[Order Date]]</f>
        <v>5</v>
      </c>
      <c r="N568" s="23" t="s">
        <v>45</v>
      </c>
      <c r="O568" s="23" t="s">
        <v>23</v>
      </c>
      <c r="P568" s="23" t="s">
        <v>238</v>
      </c>
      <c r="Q568" s="23" t="s">
        <v>133</v>
      </c>
      <c r="R568" s="23" t="s">
        <v>1037</v>
      </c>
      <c r="S568" s="33">
        <v>0</v>
      </c>
      <c r="T568" s="13">
        <v>17.14</v>
      </c>
      <c r="U568" s="13">
        <v>4.4564000000000004</v>
      </c>
      <c r="V568" s="55">
        <f>IFERROR(Table12[[#This Row],[Profit]]/Table12[[#This Row],[Sales]],0)</f>
        <v>0.26</v>
      </c>
    </row>
    <row r="569" spans="1:22" x14ac:dyDescent="0.2">
      <c r="A569">
        <v>568</v>
      </c>
      <c r="B569" t="s">
        <v>4492</v>
      </c>
      <c r="C569" s="1">
        <v>41796</v>
      </c>
      <c r="D569" s="22">
        <f>MONTH(Table12[[#This Row],[Order Date]])</f>
        <v>6</v>
      </c>
      <c r="E569" t="s">
        <v>4495</v>
      </c>
      <c r="F569" t="s">
        <v>4496</v>
      </c>
      <c r="G569" s="23" t="s">
        <v>28</v>
      </c>
      <c r="H569" s="23" t="s">
        <v>50</v>
      </c>
      <c r="I569" t="s">
        <v>1956</v>
      </c>
      <c r="J569" s="23" t="s">
        <v>36</v>
      </c>
      <c r="K569" s="22">
        <v>3</v>
      </c>
      <c r="L569" s="1">
        <v>41801</v>
      </c>
      <c r="M569" s="22">
        <f>Table12[[#This Row],[Ship Date]]-Table12[[#This Row],[Order Date]]</f>
        <v>5</v>
      </c>
      <c r="N569" s="23" t="s">
        <v>45</v>
      </c>
      <c r="O569" s="23" t="s">
        <v>23</v>
      </c>
      <c r="P569" s="23" t="s">
        <v>238</v>
      </c>
      <c r="Q569" s="23" t="s">
        <v>133</v>
      </c>
      <c r="R569" s="23" t="s">
        <v>1037</v>
      </c>
      <c r="S569" s="33">
        <v>0.4</v>
      </c>
      <c r="T569" s="13">
        <v>991.76400000000001</v>
      </c>
      <c r="U569" s="13">
        <v>-347.11739999999998</v>
      </c>
      <c r="V569" s="55">
        <f>IFERROR(Table12[[#This Row],[Profit]]/Table12[[#This Row],[Sales]],0)</f>
        <v>-0.35</v>
      </c>
    </row>
    <row r="570" spans="1:22" x14ac:dyDescent="0.2">
      <c r="A570">
        <v>569</v>
      </c>
      <c r="B570" t="s">
        <v>8048</v>
      </c>
      <c r="C570" s="1">
        <v>41796</v>
      </c>
      <c r="D570" s="22">
        <f>MONTH(Table12[[#This Row],[Order Date]])</f>
        <v>6</v>
      </c>
      <c r="E570" t="s">
        <v>410</v>
      </c>
      <c r="F570" t="s">
        <v>411</v>
      </c>
      <c r="G570" s="23" t="s">
        <v>41</v>
      </c>
      <c r="H570" s="23" t="s">
        <v>68</v>
      </c>
      <c r="I570" t="s">
        <v>5123</v>
      </c>
      <c r="J570" s="23" t="s">
        <v>22</v>
      </c>
      <c r="K570" s="22">
        <v>3</v>
      </c>
      <c r="L570" s="1">
        <v>41802</v>
      </c>
      <c r="M570" s="22">
        <f>Table12[[#This Row],[Ship Date]]-Table12[[#This Row],[Order Date]]</f>
        <v>6</v>
      </c>
      <c r="N570" s="23" t="s">
        <v>45</v>
      </c>
      <c r="O570" s="23" t="s">
        <v>23</v>
      </c>
      <c r="P570" s="23" t="s">
        <v>189</v>
      </c>
      <c r="Q570" s="23" t="s">
        <v>95</v>
      </c>
      <c r="R570" s="23" t="s">
        <v>271</v>
      </c>
      <c r="S570" s="33">
        <v>0.8</v>
      </c>
      <c r="T570" s="13">
        <v>24.588000000000001</v>
      </c>
      <c r="U570" s="13">
        <v>-38.111400000000003</v>
      </c>
      <c r="V570" s="55">
        <f>IFERROR(Table12[[#This Row],[Profit]]/Table12[[#This Row],[Sales]],0)</f>
        <v>-1.55</v>
      </c>
    </row>
    <row r="571" spans="1:22" x14ac:dyDescent="0.2">
      <c r="A571">
        <v>570</v>
      </c>
      <c r="B571" t="s">
        <v>8048</v>
      </c>
      <c r="C571" s="1">
        <v>41796</v>
      </c>
      <c r="D571" s="22">
        <f>MONTH(Table12[[#This Row],[Order Date]])</f>
        <v>6</v>
      </c>
      <c r="E571" t="s">
        <v>2602</v>
      </c>
      <c r="F571" t="s">
        <v>2603</v>
      </c>
      <c r="G571" s="23" t="s">
        <v>41</v>
      </c>
      <c r="H571" s="23" t="s">
        <v>155</v>
      </c>
      <c r="I571" t="s">
        <v>5123</v>
      </c>
      <c r="J571" s="23" t="s">
        <v>22</v>
      </c>
      <c r="K571" s="22">
        <v>2</v>
      </c>
      <c r="L571" s="1">
        <v>41802</v>
      </c>
      <c r="M571" s="22">
        <f>Table12[[#This Row],[Ship Date]]-Table12[[#This Row],[Order Date]]</f>
        <v>6</v>
      </c>
      <c r="N571" s="23" t="s">
        <v>45</v>
      </c>
      <c r="O571" s="23" t="s">
        <v>23</v>
      </c>
      <c r="P571" s="23" t="s">
        <v>189</v>
      </c>
      <c r="Q571" s="23" t="s">
        <v>95</v>
      </c>
      <c r="R571" s="23" t="s">
        <v>271</v>
      </c>
      <c r="S571" s="33">
        <v>0.2</v>
      </c>
      <c r="T571" s="13">
        <v>13.984</v>
      </c>
      <c r="U571" s="13">
        <v>4.7195999999999998</v>
      </c>
      <c r="V571" s="55">
        <f>IFERROR(Table12[[#This Row],[Profit]]/Table12[[#This Row],[Sales]],0)</f>
        <v>0.33749999999999997</v>
      </c>
    </row>
    <row r="572" spans="1:22" x14ac:dyDescent="0.2">
      <c r="A572">
        <v>571</v>
      </c>
      <c r="B572" t="s">
        <v>8144</v>
      </c>
      <c r="C572" s="1">
        <v>41796</v>
      </c>
      <c r="D572" s="22">
        <f>MONTH(Table12[[#This Row],[Order Date]])</f>
        <v>6</v>
      </c>
      <c r="E572" t="s">
        <v>1058</v>
      </c>
      <c r="F572" t="s">
        <v>1059</v>
      </c>
      <c r="G572" s="23" t="s">
        <v>41</v>
      </c>
      <c r="H572" s="23" t="s">
        <v>42</v>
      </c>
      <c r="I572" t="s">
        <v>6330</v>
      </c>
      <c r="J572" s="23" t="s">
        <v>92</v>
      </c>
      <c r="K572" s="22">
        <v>10</v>
      </c>
      <c r="L572" s="1">
        <v>41800</v>
      </c>
      <c r="M572" s="22">
        <f>Table12[[#This Row],[Ship Date]]-Table12[[#This Row],[Order Date]]</f>
        <v>4</v>
      </c>
      <c r="N572" s="23" t="s">
        <v>45</v>
      </c>
      <c r="O572" s="23" t="s">
        <v>23</v>
      </c>
      <c r="P572" s="23" t="s">
        <v>94</v>
      </c>
      <c r="Q572" s="23" t="s">
        <v>95</v>
      </c>
      <c r="R572" s="23" t="s">
        <v>165</v>
      </c>
      <c r="S572" s="33">
        <v>0.2</v>
      </c>
      <c r="T572" s="13">
        <v>100.24</v>
      </c>
      <c r="U572" s="13">
        <v>33.831000000000003</v>
      </c>
      <c r="V572" s="55">
        <f>IFERROR(Table12[[#This Row],[Profit]]/Table12[[#This Row],[Sales]],0)</f>
        <v>0.33750000000000002</v>
      </c>
    </row>
    <row r="573" spans="1:22" x14ac:dyDescent="0.2">
      <c r="A573">
        <v>572</v>
      </c>
      <c r="B573" t="s">
        <v>8210</v>
      </c>
      <c r="C573" s="1">
        <v>41796</v>
      </c>
      <c r="D573" s="22">
        <f>MONTH(Table12[[#This Row],[Order Date]])</f>
        <v>6</v>
      </c>
      <c r="E573" t="s">
        <v>901</v>
      </c>
      <c r="F573" t="s">
        <v>902</v>
      </c>
      <c r="G573" s="23" t="s">
        <v>41</v>
      </c>
      <c r="H573" s="23" t="s">
        <v>68</v>
      </c>
      <c r="I573" t="s">
        <v>5168</v>
      </c>
      <c r="J573" s="23" t="s">
        <v>22</v>
      </c>
      <c r="K573" s="22">
        <v>1</v>
      </c>
      <c r="L573" s="1">
        <v>41802</v>
      </c>
      <c r="M573" s="22">
        <f>Table12[[#This Row],[Ship Date]]-Table12[[#This Row],[Order Date]]</f>
        <v>6</v>
      </c>
      <c r="N573" s="23" t="s">
        <v>45</v>
      </c>
      <c r="O573" s="23" t="s">
        <v>23</v>
      </c>
      <c r="P573" s="23" t="s">
        <v>48</v>
      </c>
      <c r="Q573" s="23" t="s">
        <v>26</v>
      </c>
      <c r="R573" s="23" t="s">
        <v>1345</v>
      </c>
      <c r="S573" s="33">
        <v>0.7</v>
      </c>
      <c r="T573" s="13">
        <v>1.365</v>
      </c>
      <c r="U573" s="13">
        <v>-0.91</v>
      </c>
      <c r="V573" s="55">
        <f>IFERROR(Table12[[#This Row],[Profit]]/Table12[[#This Row],[Sales]],0)</f>
        <v>-0.66666666666666674</v>
      </c>
    </row>
    <row r="574" spans="1:22" x14ac:dyDescent="0.2">
      <c r="A574">
        <v>573</v>
      </c>
      <c r="B574" t="s">
        <v>8210</v>
      </c>
      <c r="C574" s="1">
        <v>41796</v>
      </c>
      <c r="D574" s="22">
        <f>MONTH(Table12[[#This Row],[Order Date]])</f>
        <v>6</v>
      </c>
      <c r="E574" t="s">
        <v>5204</v>
      </c>
      <c r="F574" t="s">
        <v>5205</v>
      </c>
      <c r="G574" s="23" t="s">
        <v>41</v>
      </c>
      <c r="H574" s="23" t="s">
        <v>82</v>
      </c>
      <c r="I574" t="s">
        <v>5168</v>
      </c>
      <c r="J574" s="23" t="s">
        <v>22</v>
      </c>
      <c r="K574" s="22">
        <v>2</v>
      </c>
      <c r="L574" s="1">
        <v>41802</v>
      </c>
      <c r="M574" s="22">
        <f>Table12[[#This Row],[Ship Date]]-Table12[[#This Row],[Order Date]]</f>
        <v>6</v>
      </c>
      <c r="N574" s="23" t="s">
        <v>45</v>
      </c>
      <c r="O574" s="23" t="s">
        <v>23</v>
      </c>
      <c r="P574" s="23" t="s">
        <v>48</v>
      </c>
      <c r="Q574" s="23" t="s">
        <v>26</v>
      </c>
      <c r="R574" s="23" t="s">
        <v>1345</v>
      </c>
      <c r="S574" s="33">
        <v>0.2</v>
      </c>
      <c r="T574" s="13">
        <v>62.015999999999998</v>
      </c>
      <c r="U574" s="13">
        <v>22.480799999999999</v>
      </c>
      <c r="V574" s="55">
        <f>IFERROR(Table12[[#This Row],[Profit]]/Table12[[#This Row],[Sales]],0)</f>
        <v>0.36249999999999999</v>
      </c>
    </row>
    <row r="575" spans="1:22" x14ac:dyDescent="0.2">
      <c r="A575">
        <v>574</v>
      </c>
      <c r="B575" t="s">
        <v>1221</v>
      </c>
      <c r="C575" s="1">
        <v>41797</v>
      </c>
      <c r="D575" s="22">
        <f>MONTH(Table12[[#This Row],[Order Date]])</f>
        <v>6</v>
      </c>
      <c r="E575" t="s">
        <v>1224</v>
      </c>
      <c r="F575" t="s">
        <v>1225</v>
      </c>
      <c r="G575" s="23" t="s">
        <v>41</v>
      </c>
      <c r="H575" s="23" t="s">
        <v>68</v>
      </c>
      <c r="I575" t="s">
        <v>1222</v>
      </c>
      <c r="J575" s="23" t="s">
        <v>36</v>
      </c>
      <c r="K575" s="22">
        <v>3</v>
      </c>
      <c r="L575" s="1">
        <v>41800</v>
      </c>
      <c r="M575" s="22">
        <f>Table12[[#This Row],[Ship Date]]-Table12[[#This Row],[Order Date]]</f>
        <v>3</v>
      </c>
      <c r="N575" s="23" t="s">
        <v>20</v>
      </c>
      <c r="O575" s="23" t="s">
        <v>23</v>
      </c>
      <c r="P575" s="23" t="s">
        <v>189</v>
      </c>
      <c r="Q575" s="23" t="s">
        <v>95</v>
      </c>
      <c r="R575" s="23" t="s">
        <v>1223</v>
      </c>
      <c r="S575" s="33">
        <v>0.8</v>
      </c>
      <c r="T575" s="13">
        <v>12.462</v>
      </c>
      <c r="U575" s="13">
        <v>-20.5623</v>
      </c>
      <c r="V575" s="55">
        <f>IFERROR(Table12[[#This Row],[Profit]]/Table12[[#This Row],[Sales]],0)</f>
        <v>-1.6500000000000001</v>
      </c>
    </row>
    <row r="576" spans="1:22" x14ac:dyDescent="0.2">
      <c r="A576">
        <v>575</v>
      </c>
      <c r="B576" t="s">
        <v>6974</v>
      </c>
      <c r="C576" s="1">
        <v>41797</v>
      </c>
      <c r="D576" s="22">
        <f>MONTH(Table12[[#This Row],[Order Date]])</f>
        <v>6</v>
      </c>
      <c r="E576" t="s">
        <v>1269</v>
      </c>
      <c r="F576" t="s">
        <v>1270</v>
      </c>
      <c r="G576" s="23" t="s">
        <v>28</v>
      </c>
      <c r="H576" s="23" t="s">
        <v>50</v>
      </c>
      <c r="I576" t="s">
        <v>6975</v>
      </c>
      <c r="J576" s="23" t="s">
        <v>22</v>
      </c>
      <c r="K576" s="22">
        <v>3</v>
      </c>
      <c r="L576" s="1">
        <v>41801</v>
      </c>
      <c r="M576" s="22">
        <f>Table12[[#This Row],[Ship Date]]-Table12[[#This Row],[Order Date]]</f>
        <v>4</v>
      </c>
      <c r="N576" s="23" t="s">
        <v>20</v>
      </c>
      <c r="O576" s="23" t="s">
        <v>23</v>
      </c>
      <c r="P576" s="23" t="s">
        <v>189</v>
      </c>
      <c r="Q576" s="23" t="s">
        <v>95</v>
      </c>
      <c r="R576" s="23" t="s">
        <v>404</v>
      </c>
      <c r="S576" s="33">
        <v>0.5</v>
      </c>
      <c r="T576" s="13">
        <v>268.935</v>
      </c>
      <c r="U576" s="13">
        <v>-209.76929999999999</v>
      </c>
      <c r="V576" s="55">
        <f>IFERROR(Table12[[#This Row],[Profit]]/Table12[[#This Row],[Sales]],0)</f>
        <v>-0.77999999999999992</v>
      </c>
    </row>
    <row r="577" spans="1:22" x14ac:dyDescent="0.2">
      <c r="A577">
        <v>576</v>
      </c>
      <c r="B577" t="s">
        <v>5263</v>
      </c>
      <c r="C577" s="1">
        <v>41798</v>
      </c>
      <c r="D577" s="22">
        <f>MONTH(Table12[[#This Row],[Order Date]])</f>
        <v>6</v>
      </c>
      <c r="E577" t="s">
        <v>5264</v>
      </c>
      <c r="F577" t="s">
        <v>5265</v>
      </c>
      <c r="G577" s="23" t="s">
        <v>28</v>
      </c>
      <c r="H577" s="23" t="s">
        <v>32</v>
      </c>
      <c r="I577" t="s">
        <v>1725</v>
      </c>
      <c r="J577" s="23" t="s">
        <v>22</v>
      </c>
      <c r="K577" s="22">
        <v>3</v>
      </c>
      <c r="L577" s="1">
        <v>41804</v>
      </c>
      <c r="M577" s="22">
        <f>Table12[[#This Row],[Ship Date]]-Table12[[#This Row],[Order Date]]</f>
        <v>6</v>
      </c>
      <c r="N577" s="23" t="s">
        <v>45</v>
      </c>
      <c r="O577" s="23" t="s">
        <v>23</v>
      </c>
      <c r="P577" s="23" t="s">
        <v>87</v>
      </c>
      <c r="Q577" s="23" t="s">
        <v>39</v>
      </c>
      <c r="R577" s="23" t="s">
        <v>86</v>
      </c>
      <c r="S577" s="33">
        <v>0.2</v>
      </c>
      <c r="T577" s="13">
        <v>585.55200000000002</v>
      </c>
      <c r="U577" s="13">
        <v>73.194000000000003</v>
      </c>
      <c r="V577" s="55">
        <f>IFERROR(Table12[[#This Row],[Profit]]/Table12[[#This Row],[Sales]],0)</f>
        <v>0.125</v>
      </c>
    </row>
    <row r="578" spans="1:22" x14ac:dyDescent="0.2">
      <c r="A578">
        <v>577</v>
      </c>
      <c r="B578" t="s">
        <v>6264</v>
      </c>
      <c r="C578" s="1">
        <v>41798</v>
      </c>
      <c r="D578" s="22">
        <f>MONTH(Table12[[#This Row],[Order Date]])</f>
        <v>6</v>
      </c>
      <c r="E578" t="s">
        <v>1627</v>
      </c>
      <c r="F578" t="s">
        <v>1628</v>
      </c>
      <c r="G578" s="23" t="s">
        <v>28</v>
      </c>
      <c r="H578" s="23" t="s">
        <v>32</v>
      </c>
      <c r="I578" t="s">
        <v>6265</v>
      </c>
      <c r="J578" s="23" t="s">
        <v>36</v>
      </c>
      <c r="K578" s="22">
        <v>3</v>
      </c>
      <c r="L578" s="1">
        <v>41802</v>
      </c>
      <c r="M578" s="22">
        <f>Table12[[#This Row],[Ship Date]]-Table12[[#This Row],[Order Date]]</f>
        <v>4</v>
      </c>
      <c r="N578" s="23" t="s">
        <v>45</v>
      </c>
      <c r="O578" s="23" t="s">
        <v>23</v>
      </c>
      <c r="P578" s="23" t="s">
        <v>299</v>
      </c>
      <c r="Q578" s="23" t="s">
        <v>26</v>
      </c>
      <c r="R578" s="23" t="s">
        <v>456</v>
      </c>
      <c r="S578" s="33">
        <v>0.2</v>
      </c>
      <c r="T578" s="13">
        <v>170.352</v>
      </c>
      <c r="U578" s="13">
        <v>10.647</v>
      </c>
      <c r="V578" s="55">
        <f>IFERROR(Table12[[#This Row],[Profit]]/Table12[[#This Row],[Sales]],0)</f>
        <v>6.25E-2</v>
      </c>
    </row>
    <row r="579" spans="1:22" x14ac:dyDescent="0.2">
      <c r="A579">
        <v>578</v>
      </c>
      <c r="B579" t="s">
        <v>9786</v>
      </c>
      <c r="C579" s="1">
        <v>41798</v>
      </c>
      <c r="D579" s="22">
        <f>MONTH(Table12[[#This Row],[Order Date]])</f>
        <v>6</v>
      </c>
      <c r="E579" t="s">
        <v>6580</v>
      </c>
      <c r="F579" t="s">
        <v>6581</v>
      </c>
      <c r="G579" s="23" t="s">
        <v>41</v>
      </c>
      <c r="H579" s="23" t="s">
        <v>68</v>
      </c>
      <c r="I579" t="s">
        <v>3703</v>
      </c>
      <c r="J579" s="23" t="s">
        <v>22</v>
      </c>
      <c r="K579" s="22">
        <v>2</v>
      </c>
      <c r="L579" s="1">
        <v>41803</v>
      </c>
      <c r="M579" s="22">
        <f>Table12[[#This Row],[Ship Date]]-Table12[[#This Row],[Order Date]]</f>
        <v>5</v>
      </c>
      <c r="N579" s="23" t="s">
        <v>45</v>
      </c>
      <c r="O579" s="23" t="s">
        <v>23</v>
      </c>
      <c r="P579" s="23" t="s">
        <v>238</v>
      </c>
      <c r="Q579" s="23" t="s">
        <v>133</v>
      </c>
      <c r="R579" s="23" t="s">
        <v>1037</v>
      </c>
      <c r="S579" s="33">
        <v>0.2</v>
      </c>
      <c r="T579" s="13">
        <v>68.48</v>
      </c>
      <c r="U579" s="13">
        <v>25.68</v>
      </c>
      <c r="V579" s="55">
        <f>IFERROR(Table12[[#This Row],[Profit]]/Table12[[#This Row],[Sales]],0)</f>
        <v>0.375</v>
      </c>
    </row>
    <row r="580" spans="1:22" x14ac:dyDescent="0.2">
      <c r="A580">
        <v>579</v>
      </c>
      <c r="B580" t="s">
        <v>9786</v>
      </c>
      <c r="C580" s="1">
        <v>41798</v>
      </c>
      <c r="D580" s="22">
        <f>MONTH(Table12[[#This Row],[Order Date]])</f>
        <v>6</v>
      </c>
      <c r="E580" t="s">
        <v>4978</v>
      </c>
      <c r="F580" t="s">
        <v>4979</v>
      </c>
      <c r="G580" s="23" t="s">
        <v>41</v>
      </c>
      <c r="H580" s="23" t="s">
        <v>53</v>
      </c>
      <c r="I580" t="s">
        <v>3703</v>
      </c>
      <c r="J580" s="23" t="s">
        <v>22</v>
      </c>
      <c r="K580" s="22">
        <v>6</v>
      </c>
      <c r="L580" s="1">
        <v>41803</v>
      </c>
      <c r="M580" s="22">
        <f>Table12[[#This Row],[Ship Date]]-Table12[[#This Row],[Order Date]]</f>
        <v>5</v>
      </c>
      <c r="N580" s="23" t="s">
        <v>45</v>
      </c>
      <c r="O580" s="23" t="s">
        <v>23</v>
      </c>
      <c r="P580" s="23" t="s">
        <v>238</v>
      </c>
      <c r="Q580" s="23" t="s">
        <v>133</v>
      </c>
      <c r="R580" s="23" t="s">
        <v>1037</v>
      </c>
      <c r="S580" s="33">
        <v>0</v>
      </c>
      <c r="T580" s="13">
        <v>1676.88</v>
      </c>
      <c r="U580" s="13">
        <v>83.843999999999994</v>
      </c>
      <c r="V580" s="55">
        <f>IFERROR(Table12[[#This Row],[Profit]]/Table12[[#This Row],[Sales]],0)</f>
        <v>4.9999999999999996E-2</v>
      </c>
    </row>
    <row r="581" spans="1:22" x14ac:dyDescent="0.2">
      <c r="A581">
        <v>580</v>
      </c>
      <c r="B581" t="s">
        <v>55</v>
      </c>
      <c r="C581" s="1">
        <v>41799</v>
      </c>
      <c r="D581" s="22">
        <f>MONTH(Table12[[#This Row],[Order Date]])</f>
        <v>6</v>
      </c>
      <c r="E581" t="s">
        <v>57</v>
      </c>
      <c r="F581" t="s">
        <v>59</v>
      </c>
      <c r="G581" s="23" t="s">
        <v>28</v>
      </c>
      <c r="H581" s="23" t="s">
        <v>58</v>
      </c>
      <c r="I581" t="s">
        <v>56</v>
      </c>
      <c r="J581" s="23" t="s">
        <v>22</v>
      </c>
      <c r="K581" s="22">
        <v>7</v>
      </c>
      <c r="L581" s="1">
        <v>41804</v>
      </c>
      <c r="M581" s="22">
        <f>Table12[[#This Row],[Ship Date]]-Table12[[#This Row],[Order Date]]</f>
        <v>5</v>
      </c>
      <c r="N581" s="23" t="s">
        <v>45</v>
      </c>
      <c r="O581" s="23" t="s">
        <v>23</v>
      </c>
      <c r="P581" s="23" t="s">
        <v>38</v>
      </c>
      <c r="Q581" s="23" t="s">
        <v>39</v>
      </c>
      <c r="R581" s="23" t="s">
        <v>37</v>
      </c>
      <c r="S581" s="33">
        <v>0</v>
      </c>
      <c r="T581" s="13">
        <v>48.86</v>
      </c>
      <c r="U581" s="13">
        <v>14.1694</v>
      </c>
      <c r="V581" s="55">
        <f>IFERROR(Table12[[#This Row],[Profit]]/Table12[[#This Row],[Sales]],0)</f>
        <v>0.28999999999999998</v>
      </c>
    </row>
    <row r="582" spans="1:22" x14ac:dyDescent="0.2">
      <c r="A582">
        <v>581</v>
      </c>
      <c r="B582" t="s">
        <v>55</v>
      </c>
      <c r="C582" s="1">
        <v>41799</v>
      </c>
      <c r="D582" s="22">
        <f>MONTH(Table12[[#This Row],[Order Date]])</f>
        <v>6</v>
      </c>
      <c r="E582" t="s">
        <v>60</v>
      </c>
      <c r="F582" t="s">
        <v>62</v>
      </c>
      <c r="G582" s="23" t="s">
        <v>41</v>
      </c>
      <c r="H582" s="23" t="s">
        <v>61</v>
      </c>
      <c r="I582" t="s">
        <v>56</v>
      </c>
      <c r="J582" s="23" t="s">
        <v>22</v>
      </c>
      <c r="K582" s="22">
        <v>4</v>
      </c>
      <c r="L582" s="1">
        <v>41804</v>
      </c>
      <c r="M582" s="22">
        <f>Table12[[#This Row],[Ship Date]]-Table12[[#This Row],[Order Date]]</f>
        <v>5</v>
      </c>
      <c r="N582" s="23" t="s">
        <v>45</v>
      </c>
      <c r="O582" s="23" t="s">
        <v>23</v>
      </c>
      <c r="P582" s="23" t="s">
        <v>38</v>
      </c>
      <c r="Q582" s="23" t="s">
        <v>39</v>
      </c>
      <c r="R582" s="23" t="s">
        <v>37</v>
      </c>
      <c r="S582" s="33">
        <v>0</v>
      </c>
      <c r="T582" s="13">
        <v>7.28</v>
      </c>
      <c r="U582" s="13">
        <v>1.9656</v>
      </c>
      <c r="V582" s="55">
        <f>IFERROR(Table12[[#This Row],[Profit]]/Table12[[#This Row],[Sales]],0)</f>
        <v>0.27</v>
      </c>
    </row>
    <row r="583" spans="1:22" x14ac:dyDescent="0.2">
      <c r="A583">
        <v>582</v>
      </c>
      <c r="B583" t="s">
        <v>55</v>
      </c>
      <c r="C583" s="1">
        <v>41799</v>
      </c>
      <c r="D583" s="22">
        <f>MONTH(Table12[[#This Row],[Order Date]])</f>
        <v>6</v>
      </c>
      <c r="E583" t="s">
        <v>63</v>
      </c>
      <c r="F583" t="s">
        <v>66</v>
      </c>
      <c r="G583" s="23" t="s">
        <v>64</v>
      </c>
      <c r="H583" s="23" t="s">
        <v>65</v>
      </c>
      <c r="I583" t="s">
        <v>56</v>
      </c>
      <c r="J583" s="23" t="s">
        <v>22</v>
      </c>
      <c r="K583" s="22">
        <v>6</v>
      </c>
      <c r="L583" s="1">
        <v>41804</v>
      </c>
      <c r="M583" s="22">
        <f>Table12[[#This Row],[Ship Date]]-Table12[[#This Row],[Order Date]]</f>
        <v>5</v>
      </c>
      <c r="N583" s="23" t="s">
        <v>45</v>
      </c>
      <c r="O583" s="23" t="s">
        <v>23</v>
      </c>
      <c r="P583" s="23" t="s">
        <v>38</v>
      </c>
      <c r="Q583" s="23" t="s">
        <v>39</v>
      </c>
      <c r="R583" s="23" t="s">
        <v>37</v>
      </c>
      <c r="S583" s="33">
        <v>0.2</v>
      </c>
      <c r="T583" s="13">
        <v>907.15200000000004</v>
      </c>
      <c r="U583" s="13">
        <v>90.715199999999996</v>
      </c>
      <c r="V583" s="55">
        <f>IFERROR(Table12[[#This Row],[Profit]]/Table12[[#This Row],[Sales]],0)</f>
        <v>9.9999999999999992E-2</v>
      </c>
    </row>
    <row r="584" spans="1:22" x14ac:dyDescent="0.2">
      <c r="A584">
        <v>583</v>
      </c>
      <c r="B584" t="s">
        <v>55</v>
      </c>
      <c r="C584" s="1">
        <v>41799</v>
      </c>
      <c r="D584" s="22">
        <f>MONTH(Table12[[#This Row],[Order Date]])</f>
        <v>6</v>
      </c>
      <c r="E584" t="s">
        <v>67</v>
      </c>
      <c r="F584" t="s">
        <v>69</v>
      </c>
      <c r="G584" s="23" t="s">
        <v>41</v>
      </c>
      <c r="H584" s="23" t="s">
        <v>68</v>
      </c>
      <c r="I584" t="s">
        <v>56</v>
      </c>
      <c r="J584" s="23" t="s">
        <v>22</v>
      </c>
      <c r="K584" s="22">
        <v>3</v>
      </c>
      <c r="L584" s="1">
        <v>41804</v>
      </c>
      <c r="M584" s="22">
        <f>Table12[[#This Row],[Ship Date]]-Table12[[#This Row],[Order Date]]</f>
        <v>5</v>
      </c>
      <c r="N584" s="23" t="s">
        <v>45</v>
      </c>
      <c r="O584" s="23" t="s">
        <v>23</v>
      </c>
      <c r="P584" s="23" t="s">
        <v>38</v>
      </c>
      <c r="Q584" s="23" t="s">
        <v>39</v>
      </c>
      <c r="R584" s="23" t="s">
        <v>37</v>
      </c>
      <c r="S584" s="33">
        <v>0.2</v>
      </c>
      <c r="T584" s="13">
        <v>18.504000000000001</v>
      </c>
      <c r="U584" s="13">
        <v>5.7824999999999998</v>
      </c>
      <c r="V584" s="55">
        <f>IFERROR(Table12[[#This Row],[Profit]]/Table12[[#This Row],[Sales]],0)</f>
        <v>0.31249999999999994</v>
      </c>
    </row>
    <row r="585" spans="1:22" x14ac:dyDescent="0.2">
      <c r="A585">
        <v>584</v>
      </c>
      <c r="B585" t="s">
        <v>55</v>
      </c>
      <c r="C585" s="1">
        <v>41799</v>
      </c>
      <c r="D585" s="22">
        <f>MONTH(Table12[[#This Row],[Order Date]])</f>
        <v>6</v>
      </c>
      <c r="E585" t="s">
        <v>70</v>
      </c>
      <c r="F585" t="s">
        <v>72</v>
      </c>
      <c r="G585" s="23" t="s">
        <v>41</v>
      </c>
      <c r="H585" s="23" t="s">
        <v>71</v>
      </c>
      <c r="I585" t="s">
        <v>56</v>
      </c>
      <c r="J585" s="23" t="s">
        <v>22</v>
      </c>
      <c r="K585" s="22">
        <v>5</v>
      </c>
      <c r="L585" s="1">
        <v>41804</v>
      </c>
      <c r="M585" s="22">
        <f>Table12[[#This Row],[Ship Date]]-Table12[[#This Row],[Order Date]]</f>
        <v>5</v>
      </c>
      <c r="N585" s="23" t="s">
        <v>45</v>
      </c>
      <c r="O585" s="23" t="s">
        <v>23</v>
      </c>
      <c r="P585" s="23" t="s">
        <v>38</v>
      </c>
      <c r="Q585" s="23" t="s">
        <v>39</v>
      </c>
      <c r="R585" s="23" t="s">
        <v>37</v>
      </c>
      <c r="S585" s="33">
        <v>0</v>
      </c>
      <c r="T585" s="13">
        <v>114.9</v>
      </c>
      <c r="U585" s="13">
        <v>34.47</v>
      </c>
      <c r="V585" s="55">
        <f>IFERROR(Table12[[#This Row],[Profit]]/Table12[[#This Row],[Sales]],0)</f>
        <v>0.3</v>
      </c>
    </row>
    <row r="586" spans="1:22" x14ac:dyDescent="0.2">
      <c r="A586">
        <v>585</v>
      </c>
      <c r="B586" t="s">
        <v>55</v>
      </c>
      <c r="C586" s="1">
        <v>41799</v>
      </c>
      <c r="D586" s="22">
        <f>MONTH(Table12[[#This Row],[Order Date]])</f>
        <v>6</v>
      </c>
      <c r="E586" t="s">
        <v>73</v>
      </c>
      <c r="F586" t="s">
        <v>74</v>
      </c>
      <c r="G586" s="23" t="s">
        <v>28</v>
      </c>
      <c r="H586" s="23" t="s">
        <v>50</v>
      </c>
      <c r="I586" t="s">
        <v>56</v>
      </c>
      <c r="J586" s="23" t="s">
        <v>22</v>
      </c>
      <c r="K586" s="22">
        <v>9</v>
      </c>
      <c r="L586" s="1">
        <v>41804</v>
      </c>
      <c r="M586" s="22">
        <f>Table12[[#This Row],[Ship Date]]-Table12[[#This Row],[Order Date]]</f>
        <v>5</v>
      </c>
      <c r="N586" s="23" t="s">
        <v>45</v>
      </c>
      <c r="O586" s="23" t="s">
        <v>23</v>
      </c>
      <c r="P586" s="23" t="s">
        <v>38</v>
      </c>
      <c r="Q586" s="23" t="s">
        <v>39</v>
      </c>
      <c r="R586" s="23" t="s">
        <v>37</v>
      </c>
      <c r="S586" s="33">
        <v>0.2</v>
      </c>
      <c r="T586" s="13">
        <v>1706.184</v>
      </c>
      <c r="U586" s="13">
        <v>85.309200000000004</v>
      </c>
      <c r="V586" s="55">
        <f>IFERROR(Table12[[#This Row],[Profit]]/Table12[[#This Row],[Sales]],0)</f>
        <v>0.05</v>
      </c>
    </row>
    <row r="587" spans="1:22" x14ac:dyDescent="0.2">
      <c r="A587">
        <v>586</v>
      </c>
      <c r="B587" t="s">
        <v>55</v>
      </c>
      <c r="C587" s="1">
        <v>41799</v>
      </c>
      <c r="D587" s="22">
        <f>MONTH(Table12[[#This Row],[Order Date]])</f>
        <v>6</v>
      </c>
      <c r="E587" t="s">
        <v>75</v>
      </c>
      <c r="F587" t="s">
        <v>76</v>
      </c>
      <c r="G587" s="23" t="s">
        <v>64</v>
      </c>
      <c r="H587" s="23" t="s">
        <v>65</v>
      </c>
      <c r="I587" t="s">
        <v>56</v>
      </c>
      <c r="J587" s="23" t="s">
        <v>22</v>
      </c>
      <c r="K587" s="22">
        <v>4</v>
      </c>
      <c r="L587" s="1">
        <v>41804</v>
      </c>
      <c r="M587" s="22">
        <f>Table12[[#This Row],[Ship Date]]-Table12[[#This Row],[Order Date]]</f>
        <v>5</v>
      </c>
      <c r="N587" s="23" t="s">
        <v>45</v>
      </c>
      <c r="O587" s="23" t="s">
        <v>23</v>
      </c>
      <c r="P587" s="23" t="s">
        <v>38</v>
      </c>
      <c r="Q587" s="23" t="s">
        <v>39</v>
      </c>
      <c r="R587" s="23" t="s">
        <v>37</v>
      </c>
      <c r="S587" s="33">
        <v>0.2</v>
      </c>
      <c r="T587" s="13">
        <v>911.42399999999998</v>
      </c>
      <c r="U587" s="13">
        <v>68.356800000000007</v>
      </c>
      <c r="V587" s="55">
        <f>IFERROR(Table12[[#This Row],[Profit]]/Table12[[#This Row],[Sales]],0)</f>
        <v>7.5000000000000011E-2</v>
      </c>
    </row>
    <row r="588" spans="1:22" x14ac:dyDescent="0.2">
      <c r="A588">
        <v>587</v>
      </c>
      <c r="B588" t="s">
        <v>1486</v>
      </c>
      <c r="C588" s="1">
        <v>41799</v>
      </c>
      <c r="D588" s="22">
        <f>MONTH(Table12[[#This Row],[Order Date]])</f>
        <v>6</v>
      </c>
      <c r="E588" t="s">
        <v>1489</v>
      </c>
      <c r="F588" t="s">
        <v>1490</v>
      </c>
      <c r="G588" s="23" t="s">
        <v>64</v>
      </c>
      <c r="H588" s="23" t="s">
        <v>65</v>
      </c>
      <c r="I588" t="s">
        <v>1487</v>
      </c>
      <c r="J588" s="23" t="s">
        <v>92</v>
      </c>
      <c r="K588" s="22">
        <v>1</v>
      </c>
      <c r="L588" s="1">
        <v>41803</v>
      </c>
      <c r="M588" s="22">
        <f>Table12[[#This Row],[Ship Date]]-Table12[[#This Row],[Order Date]]</f>
        <v>4</v>
      </c>
      <c r="N588" s="23" t="s">
        <v>20</v>
      </c>
      <c r="O588" s="23" t="s">
        <v>23</v>
      </c>
      <c r="P588" s="23" t="s">
        <v>94</v>
      </c>
      <c r="Q588" s="23" t="s">
        <v>95</v>
      </c>
      <c r="R588" s="23" t="s">
        <v>1488</v>
      </c>
      <c r="S588" s="33">
        <v>0.2</v>
      </c>
      <c r="T588" s="13">
        <v>7.992</v>
      </c>
      <c r="U588" s="13">
        <v>0.59940000000000004</v>
      </c>
      <c r="V588" s="55">
        <f>IFERROR(Table12[[#This Row],[Profit]]/Table12[[#This Row],[Sales]],0)</f>
        <v>7.5000000000000011E-2</v>
      </c>
    </row>
    <row r="589" spans="1:22" x14ac:dyDescent="0.2">
      <c r="A589">
        <v>588</v>
      </c>
      <c r="B589" t="s">
        <v>1486</v>
      </c>
      <c r="C589" s="1">
        <v>41799</v>
      </c>
      <c r="D589" s="22">
        <f>MONTH(Table12[[#This Row],[Order Date]])</f>
        <v>6</v>
      </c>
      <c r="E589" t="s">
        <v>1491</v>
      </c>
      <c r="F589" t="s">
        <v>1492</v>
      </c>
      <c r="G589" s="23" t="s">
        <v>64</v>
      </c>
      <c r="H589" s="23" t="s">
        <v>144</v>
      </c>
      <c r="I589" t="s">
        <v>1487</v>
      </c>
      <c r="J589" s="23" t="s">
        <v>92</v>
      </c>
      <c r="K589" s="22">
        <v>2</v>
      </c>
      <c r="L589" s="1">
        <v>41803</v>
      </c>
      <c r="M589" s="22">
        <f>Table12[[#This Row],[Ship Date]]-Table12[[#This Row],[Order Date]]</f>
        <v>4</v>
      </c>
      <c r="N589" s="23" t="s">
        <v>20</v>
      </c>
      <c r="O589" s="23" t="s">
        <v>23</v>
      </c>
      <c r="P589" s="23" t="s">
        <v>94</v>
      </c>
      <c r="Q589" s="23" t="s">
        <v>95</v>
      </c>
      <c r="R589" s="23" t="s">
        <v>1488</v>
      </c>
      <c r="S589" s="33">
        <v>0.2</v>
      </c>
      <c r="T589" s="13">
        <v>63.984000000000002</v>
      </c>
      <c r="U589" s="13">
        <v>10.397399999999999</v>
      </c>
      <c r="V589" s="55">
        <f>IFERROR(Table12[[#This Row],[Profit]]/Table12[[#This Row],[Sales]],0)</f>
        <v>0.16249999999999998</v>
      </c>
    </row>
    <row r="590" spans="1:22" x14ac:dyDescent="0.2">
      <c r="A590">
        <v>589</v>
      </c>
      <c r="B590" t="s">
        <v>1486</v>
      </c>
      <c r="C590" s="1">
        <v>41799</v>
      </c>
      <c r="D590" s="22">
        <f>MONTH(Table12[[#This Row],[Order Date]])</f>
        <v>6</v>
      </c>
      <c r="E590" t="s">
        <v>1385</v>
      </c>
      <c r="F590" t="s">
        <v>1386</v>
      </c>
      <c r="G590" s="23" t="s">
        <v>41</v>
      </c>
      <c r="H590" s="23" t="s">
        <v>61</v>
      </c>
      <c r="I590" t="s">
        <v>1487</v>
      </c>
      <c r="J590" s="23" t="s">
        <v>92</v>
      </c>
      <c r="K590" s="22">
        <v>2</v>
      </c>
      <c r="L590" s="1">
        <v>41803</v>
      </c>
      <c r="M590" s="22">
        <f>Table12[[#This Row],[Ship Date]]-Table12[[#This Row],[Order Date]]</f>
        <v>4</v>
      </c>
      <c r="N590" s="23" t="s">
        <v>20</v>
      </c>
      <c r="O590" s="23" t="s">
        <v>23</v>
      </c>
      <c r="P590" s="23" t="s">
        <v>94</v>
      </c>
      <c r="Q590" s="23" t="s">
        <v>95</v>
      </c>
      <c r="R590" s="23" t="s">
        <v>1488</v>
      </c>
      <c r="S590" s="33">
        <v>0.2</v>
      </c>
      <c r="T590" s="13">
        <v>70.367999999999995</v>
      </c>
      <c r="U590" s="13">
        <v>6.1571999999999996</v>
      </c>
      <c r="V590" s="55">
        <f>IFERROR(Table12[[#This Row],[Profit]]/Table12[[#This Row],[Sales]],0)</f>
        <v>8.7499999999999994E-2</v>
      </c>
    </row>
    <row r="591" spans="1:22" x14ac:dyDescent="0.2">
      <c r="A591">
        <v>590</v>
      </c>
      <c r="B591" t="s">
        <v>2343</v>
      </c>
      <c r="C591" s="1">
        <v>41799</v>
      </c>
      <c r="D591" s="22">
        <f>MONTH(Table12[[#This Row],[Order Date]])</f>
        <v>6</v>
      </c>
      <c r="E591" t="s">
        <v>1146</v>
      </c>
      <c r="F591" t="s">
        <v>1147</v>
      </c>
      <c r="G591" s="23" t="s">
        <v>41</v>
      </c>
      <c r="H591" s="23" t="s">
        <v>513</v>
      </c>
      <c r="I591" t="s">
        <v>2344</v>
      </c>
      <c r="J591" s="23" t="s">
        <v>22</v>
      </c>
      <c r="K591" s="22">
        <v>2</v>
      </c>
      <c r="L591" s="1">
        <v>41806</v>
      </c>
      <c r="M591" s="22">
        <f>Table12[[#This Row],[Ship Date]]-Table12[[#This Row],[Order Date]]</f>
        <v>7</v>
      </c>
      <c r="N591" s="23" t="s">
        <v>45</v>
      </c>
      <c r="O591" s="23" t="s">
        <v>23</v>
      </c>
      <c r="P591" s="23" t="s">
        <v>38</v>
      </c>
      <c r="Q591" s="23" t="s">
        <v>39</v>
      </c>
      <c r="R591" s="23" t="s">
        <v>114</v>
      </c>
      <c r="S591" s="33">
        <v>0</v>
      </c>
      <c r="T591" s="13">
        <v>7.36</v>
      </c>
      <c r="U591" s="13">
        <v>0.1472</v>
      </c>
      <c r="V591" s="55">
        <f>IFERROR(Table12[[#This Row],[Profit]]/Table12[[#This Row],[Sales]],0)</f>
        <v>0.02</v>
      </c>
    </row>
    <row r="592" spans="1:22" x14ac:dyDescent="0.2">
      <c r="A592">
        <v>591</v>
      </c>
      <c r="B592" t="s">
        <v>2343</v>
      </c>
      <c r="C592" s="1">
        <v>41799</v>
      </c>
      <c r="D592" s="22">
        <f>MONTH(Table12[[#This Row],[Order Date]])</f>
        <v>6</v>
      </c>
      <c r="E592" t="s">
        <v>2345</v>
      </c>
      <c r="F592" t="s">
        <v>2346</v>
      </c>
      <c r="G592" s="23" t="s">
        <v>41</v>
      </c>
      <c r="H592" s="23" t="s">
        <v>61</v>
      </c>
      <c r="I592" t="s">
        <v>2344</v>
      </c>
      <c r="J592" s="23" t="s">
        <v>22</v>
      </c>
      <c r="K592" s="22">
        <v>2</v>
      </c>
      <c r="L592" s="1">
        <v>41806</v>
      </c>
      <c r="M592" s="22">
        <f>Table12[[#This Row],[Ship Date]]-Table12[[#This Row],[Order Date]]</f>
        <v>7</v>
      </c>
      <c r="N592" s="23" t="s">
        <v>45</v>
      </c>
      <c r="O592" s="23" t="s">
        <v>23</v>
      </c>
      <c r="P592" s="23" t="s">
        <v>38</v>
      </c>
      <c r="Q592" s="23" t="s">
        <v>39</v>
      </c>
      <c r="R592" s="23" t="s">
        <v>114</v>
      </c>
      <c r="S592" s="33">
        <v>0</v>
      </c>
      <c r="T592" s="13">
        <v>23.1</v>
      </c>
      <c r="U592" s="13">
        <v>10.625999999999999</v>
      </c>
      <c r="V592" s="55">
        <f>IFERROR(Table12[[#This Row],[Profit]]/Table12[[#This Row],[Sales]],0)</f>
        <v>0.45999999999999996</v>
      </c>
    </row>
    <row r="593" spans="1:22" x14ac:dyDescent="0.2">
      <c r="A593">
        <v>592</v>
      </c>
      <c r="B593" t="s">
        <v>4025</v>
      </c>
      <c r="C593" s="1">
        <v>41799</v>
      </c>
      <c r="D593" s="22">
        <f>MONTH(Table12[[#This Row],[Order Date]])</f>
        <v>6</v>
      </c>
      <c r="E593" t="s">
        <v>477</v>
      </c>
      <c r="F593" t="s">
        <v>478</v>
      </c>
      <c r="G593" s="23" t="s">
        <v>28</v>
      </c>
      <c r="H593" s="23" t="s">
        <v>50</v>
      </c>
      <c r="I593" t="s">
        <v>2783</v>
      </c>
      <c r="J593" s="23" t="s">
        <v>22</v>
      </c>
      <c r="K593" s="22">
        <v>7</v>
      </c>
      <c r="L593" s="1">
        <v>41801</v>
      </c>
      <c r="M593" s="22">
        <f>Table12[[#This Row],[Ship Date]]-Table12[[#This Row],[Order Date]]</f>
        <v>2</v>
      </c>
      <c r="N593" s="23" t="s">
        <v>20</v>
      </c>
      <c r="O593" s="23" t="s">
        <v>23</v>
      </c>
      <c r="P593" s="23" t="s">
        <v>285</v>
      </c>
      <c r="Q593" s="23" t="s">
        <v>26</v>
      </c>
      <c r="R593" s="23" t="s">
        <v>2931</v>
      </c>
      <c r="S593" s="33">
        <v>0</v>
      </c>
      <c r="T593" s="13">
        <v>1441.3</v>
      </c>
      <c r="U593" s="13">
        <v>245.02099999999999</v>
      </c>
      <c r="V593" s="55">
        <f>IFERROR(Table12[[#This Row],[Profit]]/Table12[[#This Row],[Sales]],0)</f>
        <v>0.16999999999999998</v>
      </c>
    </row>
    <row r="594" spans="1:22" x14ac:dyDescent="0.2">
      <c r="A594">
        <v>593</v>
      </c>
      <c r="B594" t="s">
        <v>7144</v>
      </c>
      <c r="C594" s="1">
        <v>41799</v>
      </c>
      <c r="D594" s="22">
        <f>MONTH(Table12[[#This Row],[Order Date]])</f>
        <v>6</v>
      </c>
      <c r="E594" t="s">
        <v>2326</v>
      </c>
      <c r="F594" t="s">
        <v>2327</v>
      </c>
      <c r="G594" s="23" t="s">
        <v>41</v>
      </c>
      <c r="H594" s="23" t="s">
        <v>61</v>
      </c>
      <c r="I594" t="s">
        <v>1012</v>
      </c>
      <c r="J594" s="23" t="s">
        <v>36</v>
      </c>
      <c r="K594" s="22">
        <v>7</v>
      </c>
      <c r="L594" s="1">
        <v>41803</v>
      </c>
      <c r="M594" s="22">
        <f>Table12[[#This Row],[Ship Date]]-Table12[[#This Row],[Order Date]]</f>
        <v>4</v>
      </c>
      <c r="N594" s="23" t="s">
        <v>20</v>
      </c>
      <c r="O594" s="23" t="s">
        <v>23</v>
      </c>
      <c r="P594" s="23" t="s">
        <v>1229</v>
      </c>
      <c r="Q594" s="23" t="s">
        <v>39</v>
      </c>
      <c r="R594" s="23" t="s">
        <v>3568</v>
      </c>
      <c r="S594" s="33">
        <v>0</v>
      </c>
      <c r="T594" s="13">
        <v>18.059999999999999</v>
      </c>
      <c r="U594" s="13">
        <v>4.6955999999999998</v>
      </c>
      <c r="V594" s="55">
        <f>IFERROR(Table12[[#This Row],[Profit]]/Table12[[#This Row],[Sales]],0)</f>
        <v>0.26</v>
      </c>
    </row>
    <row r="595" spans="1:22" x14ac:dyDescent="0.2">
      <c r="A595">
        <v>594</v>
      </c>
      <c r="B595" t="s">
        <v>7144</v>
      </c>
      <c r="C595" s="1">
        <v>41799</v>
      </c>
      <c r="D595" s="22">
        <f>MONTH(Table12[[#This Row],[Order Date]])</f>
        <v>6</v>
      </c>
      <c r="E595" t="s">
        <v>3294</v>
      </c>
      <c r="F595" t="s">
        <v>3295</v>
      </c>
      <c r="G595" s="23" t="s">
        <v>41</v>
      </c>
      <c r="H595" s="23" t="s">
        <v>82</v>
      </c>
      <c r="I595" t="s">
        <v>1012</v>
      </c>
      <c r="J595" s="23" t="s">
        <v>36</v>
      </c>
      <c r="K595" s="22">
        <v>3</v>
      </c>
      <c r="L595" s="1">
        <v>41803</v>
      </c>
      <c r="M595" s="22">
        <f>Table12[[#This Row],[Ship Date]]-Table12[[#This Row],[Order Date]]</f>
        <v>4</v>
      </c>
      <c r="N595" s="23" t="s">
        <v>20</v>
      </c>
      <c r="O595" s="23" t="s">
        <v>23</v>
      </c>
      <c r="P595" s="23" t="s">
        <v>1229</v>
      </c>
      <c r="Q595" s="23" t="s">
        <v>39</v>
      </c>
      <c r="R595" s="23" t="s">
        <v>3568</v>
      </c>
      <c r="S595" s="33">
        <v>0</v>
      </c>
      <c r="T595" s="13">
        <v>79.14</v>
      </c>
      <c r="U595" s="13">
        <v>36.404400000000003</v>
      </c>
      <c r="V595" s="55">
        <f>IFERROR(Table12[[#This Row],[Profit]]/Table12[[#This Row],[Sales]],0)</f>
        <v>0.46</v>
      </c>
    </row>
    <row r="596" spans="1:22" x14ac:dyDescent="0.2">
      <c r="A596">
        <v>595</v>
      </c>
      <c r="B596" t="s">
        <v>7144</v>
      </c>
      <c r="C596" s="1">
        <v>41799</v>
      </c>
      <c r="D596" s="22">
        <f>MONTH(Table12[[#This Row],[Order Date]])</f>
        <v>6</v>
      </c>
      <c r="E596" t="s">
        <v>5466</v>
      </c>
      <c r="F596" t="s">
        <v>5467</v>
      </c>
      <c r="G596" s="23" t="s">
        <v>28</v>
      </c>
      <c r="H596" s="23" t="s">
        <v>58</v>
      </c>
      <c r="I596" t="s">
        <v>1012</v>
      </c>
      <c r="J596" s="23" t="s">
        <v>36</v>
      </c>
      <c r="K596" s="22">
        <v>2</v>
      </c>
      <c r="L596" s="1">
        <v>41803</v>
      </c>
      <c r="M596" s="22">
        <f>Table12[[#This Row],[Ship Date]]-Table12[[#This Row],[Order Date]]</f>
        <v>4</v>
      </c>
      <c r="N596" s="23" t="s">
        <v>20</v>
      </c>
      <c r="O596" s="23" t="s">
        <v>23</v>
      </c>
      <c r="P596" s="23" t="s">
        <v>1229</v>
      </c>
      <c r="Q596" s="23" t="s">
        <v>39</v>
      </c>
      <c r="R596" s="23" t="s">
        <v>3568</v>
      </c>
      <c r="S596" s="33">
        <v>0</v>
      </c>
      <c r="T596" s="13">
        <v>37.4</v>
      </c>
      <c r="U596" s="13">
        <v>14.212</v>
      </c>
      <c r="V596" s="55">
        <f>IFERROR(Table12[[#This Row],[Profit]]/Table12[[#This Row],[Sales]],0)</f>
        <v>0.38</v>
      </c>
    </row>
    <row r="597" spans="1:22" x14ac:dyDescent="0.2">
      <c r="A597">
        <v>596</v>
      </c>
      <c r="B597" t="s">
        <v>9998</v>
      </c>
      <c r="C597" s="1">
        <v>41800</v>
      </c>
      <c r="D597" s="22">
        <f>MONTH(Table12[[#This Row],[Order Date]])</f>
        <v>6</v>
      </c>
      <c r="E597" t="s">
        <v>1740</v>
      </c>
      <c r="F597" t="s">
        <v>1741</v>
      </c>
      <c r="G597" s="23" t="s">
        <v>41</v>
      </c>
      <c r="H597" s="23" t="s">
        <v>42</v>
      </c>
      <c r="I597" t="s">
        <v>722</v>
      </c>
      <c r="J597" s="23" t="s">
        <v>36</v>
      </c>
      <c r="K597" s="22">
        <v>5</v>
      </c>
      <c r="L597" s="1">
        <v>41805</v>
      </c>
      <c r="M597" s="22">
        <f>Table12[[#This Row],[Ship Date]]-Table12[[#This Row],[Order Date]]</f>
        <v>5</v>
      </c>
      <c r="N597" s="23" t="s">
        <v>20</v>
      </c>
      <c r="O597" s="23" t="s">
        <v>23</v>
      </c>
      <c r="P597" s="23" t="s">
        <v>212</v>
      </c>
      <c r="Q597" s="23" t="s">
        <v>95</v>
      </c>
      <c r="R597" s="23" t="s">
        <v>775</v>
      </c>
      <c r="S597" s="33">
        <v>0</v>
      </c>
      <c r="T597" s="13">
        <v>491.55</v>
      </c>
      <c r="U597" s="13">
        <v>240.8595</v>
      </c>
      <c r="V597" s="55">
        <f>IFERROR(Table12[[#This Row],[Profit]]/Table12[[#This Row],[Sales]],0)</f>
        <v>0.49</v>
      </c>
    </row>
    <row r="598" spans="1:22" x14ac:dyDescent="0.2">
      <c r="A598">
        <v>597</v>
      </c>
      <c r="B598" t="s">
        <v>4101</v>
      </c>
      <c r="C598" s="1">
        <v>41803</v>
      </c>
      <c r="D598" s="22">
        <f>MONTH(Table12[[#This Row],[Order Date]])</f>
        <v>6</v>
      </c>
      <c r="E598" t="s">
        <v>4102</v>
      </c>
      <c r="F598" t="s">
        <v>2673</v>
      </c>
      <c r="G598" s="23" t="s">
        <v>41</v>
      </c>
      <c r="H598" s="23" t="s">
        <v>61</v>
      </c>
      <c r="I598" t="s">
        <v>3909</v>
      </c>
      <c r="J598" s="23" t="s">
        <v>36</v>
      </c>
      <c r="K598" s="22">
        <v>3</v>
      </c>
      <c r="L598" s="1">
        <v>41807</v>
      </c>
      <c r="M598" s="22">
        <f>Table12[[#This Row],[Ship Date]]-Table12[[#This Row],[Order Date]]</f>
        <v>4</v>
      </c>
      <c r="N598" s="23" t="s">
        <v>45</v>
      </c>
      <c r="O598" s="23" t="s">
        <v>23</v>
      </c>
      <c r="P598" s="23" t="s">
        <v>38</v>
      </c>
      <c r="Q598" s="23" t="s">
        <v>39</v>
      </c>
      <c r="R598" s="23" t="s">
        <v>37</v>
      </c>
      <c r="S598" s="33">
        <v>0</v>
      </c>
      <c r="T598" s="13">
        <v>14.52</v>
      </c>
      <c r="U598" s="13">
        <v>4.7915999999999999</v>
      </c>
      <c r="V598" s="55">
        <f>IFERROR(Table12[[#This Row],[Profit]]/Table12[[#This Row],[Sales]],0)</f>
        <v>0.33</v>
      </c>
    </row>
    <row r="599" spans="1:22" x14ac:dyDescent="0.2">
      <c r="A599">
        <v>598</v>
      </c>
      <c r="B599" t="s">
        <v>7315</v>
      </c>
      <c r="C599" s="1">
        <v>41804</v>
      </c>
      <c r="D599" s="22">
        <f>MONTH(Table12[[#This Row],[Order Date]])</f>
        <v>6</v>
      </c>
      <c r="E599" t="s">
        <v>6475</v>
      </c>
      <c r="F599" t="s">
        <v>6476</v>
      </c>
      <c r="G599" s="23" t="s">
        <v>28</v>
      </c>
      <c r="H599" s="23" t="s">
        <v>29</v>
      </c>
      <c r="I599" t="s">
        <v>5541</v>
      </c>
      <c r="J599" s="23" t="s">
        <v>92</v>
      </c>
      <c r="K599" s="22">
        <v>3</v>
      </c>
      <c r="L599" s="1">
        <v>41810</v>
      </c>
      <c r="M599" s="22">
        <f>Table12[[#This Row],[Ship Date]]-Table12[[#This Row],[Order Date]]</f>
        <v>6</v>
      </c>
      <c r="N599" s="23" t="s">
        <v>45</v>
      </c>
      <c r="O599" s="23" t="s">
        <v>23</v>
      </c>
      <c r="P599" s="23" t="s">
        <v>212</v>
      </c>
      <c r="Q599" s="23" t="s">
        <v>95</v>
      </c>
      <c r="R599" s="23" t="s">
        <v>775</v>
      </c>
      <c r="S599" s="33">
        <v>0</v>
      </c>
      <c r="T599" s="13">
        <v>212.94</v>
      </c>
      <c r="U599" s="13">
        <v>57.4938</v>
      </c>
      <c r="V599" s="55">
        <f>IFERROR(Table12[[#This Row],[Profit]]/Table12[[#This Row],[Sales]],0)</f>
        <v>0.27</v>
      </c>
    </row>
    <row r="600" spans="1:22" x14ac:dyDescent="0.2">
      <c r="A600">
        <v>599</v>
      </c>
      <c r="B600" t="s">
        <v>2468</v>
      </c>
      <c r="C600" s="1">
        <v>41805</v>
      </c>
      <c r="D600" s="22">
        <f>MONTH(Table12[[#This Row],[Order Date]])</f>
        <v>6</v>
      </c>
      <c r="E600" t="s">
        <v>2469</v>
      </c>
      <c r="F600" t="s">
        <v>2470</v>
      </c>
      <c r="G600" s="23" t="s">
        <v>28</v>
      </c>
      <c r="H600" s="23" t="s">
        <v>50</v>
      </c>
      <c r="I600" t="s">
        <v>953</v>
      </c>
      <c r="J600" s="23" t="s">
        <v>36</v>
      </c>
      <c r="K600" s="22">
        <v>2</v>
      </c>
      <c r="L600" s="1">
        <v>41811</v>
      </c>
      <c r="M600" s="22">
        <f>Table12[[#This Row],[Ship Date]]-Table12[[#This Row],[Order Date]]</f>
        <v>6</v>
      </c>
      <c r="N600" s="23" t="s">
        <v>45</v>
      </c>
      <c r="O600" s="23" t="s">
        <v>23</v>
      </c>
      <c r="P600" s="23" t="s">
        <v>94</v>
      </c>
      <c r="Q600" s="23" t="s">
        <v>95</v>
      </c>
      <c r="R600" s="23" t="s">
        <v>598</v>
      </c>
      <c r="S600" s="33">
        <v>0.3</v>
      </c>
      <c r="T600" s="13">
        <v>99.918000000000006</v>
      </c>
      <c r="U600" s="13">
        <v>-18.5562</v>
      </c>
      <c r="V600" s="55">
        <f>IFERROR(Table12[[#This Row],[Profit]]/Table12[[#This Row],[Sales]],0)</f>
        <v>-0.18571428571428572</v>
      </c>
    </row>
    <row r="601" spans="1:22" x14ac:dyDescent="0.2">
      <c r="A601">
        <v>600</v>
      </c>
      <c r="B601" t="s">
        <v>2468</v>
      </c>
      <c r="C601" s="1">
        <v>41805</v>
      </c>
      <c r="D601" s="22">
        <f>MONTH(Table12[[#This Row],[Order Date]])</f>
        <v>6</v>
      </c>
      <c r="E601" t="s">
        <v>1588</v>
      </c>
      <c r="F601" t="s">
        <v>1589</v>
      </c>
      <c r="G601" s="23" t="s">
        <v>28</v>
      </c>
      <c r="H601" s="23" t="s">
        <v>32</v>
      </c>
      <c r="I601" t="s">
        <v>953</v>
      </c>
      <c r="J601" s="23" t="s">
        <v>36</v>
      </c>
      <c r="K601" s="22">
        <v>4</v>
      </c>
      <c r="L601" s="1">
        <v>41811</v>
      </c>
      <c r="M601" s="22">
        <f>Table12[[#This Row],[Ship Date]]-Table12[[#This Row],[Order Date]]</f>
        <v>6</v>
      </c>
      <c r="N601" s="23" t="s">
        <v>45</v>
      </c>
      <c r="O601" s="23" t="s">
        <v>23</v>
      </c>
      <c r="P601" s="23" t="s">
        <v>94</v>
      </c>
      <c r="Q601" s="23" t="s">
        <v>95</v>
      </c>
      <c r="R601" s="23" t="s">
        <v>598</v>
      </c>
      <c r="S601" s="33">
        <v>0.3</v>
      </c>
      <c r="T601" s="13">
        <v>797.94399999999996</v>
      </c>
      <c r="U601" s="13">
        <v>-56.996000000000002</v>
      </c>
      <c r="V601" s="55">
        <f>IFERROR(Table12[[#This Row],[Profit]]/Table12[[#This Row],[Sales]],0)</f>
        <v>-7.1428571428571438E-2</v>
      </c>
    </row>
    <row r="602" spans="1:22" x14ac:dyDescent="0.2">
      <c r="A602">
        <v>601</v>
      </c>
      <c r="B602" t="s">
        <v>2468</v>
      </c>
      <c r="C602" s="1">
        <v>41805</v>
      </c>
      <c r="D602" s="22">
        <f>MONTH(Table12[[#This Row],[Order Date]])</f>
        <v>6</v>
      </c>
      <c r="E602" t="s">
        <v>975</v>
      </c>
      <c r="F602" t="s">
        <v>976</v>
      </c>
      <c r="G602" s="23" t="s">
        <v>41</v>
      </c>
      <c r="H602" s="23" t="s">
        <v>68</v>
      </c>
      <c r="I602" t="s">
        <v>953</v>
      </c>
      <c r="J602" s="23" t="s">
        <v>36</v>
      </c>
      <c r="K602" s="22">
        <v>3</v>
      </c>
      <c r="L602" s="1">
        <v>41811</v>
      </c>
      <c r="M602" s="22">
        <f>Table12[[#This Row],[Ship Date]]-Table12[[#This Row],[Order Date]]</f>
        <v>6</v>
      </c>
      <c r="N602" s="23" t="s">
        <v>45</v>
      </c>
      <c r="O602" s="23" t="s">
        <v>23</v>
      </c>
      <c r="P602" s="23" t="s">
        <v>94</v>
      </c>
      <c r="Q602" s="23" t="s">
        <v>95</v>
      </c>
      <c r="R602" s="23" t="s">
        <v>598</v>
      </c>
      <c r="S602" s="33">
        <v>0.8</v>
      </c>
      <c r="T602" s="13">
        <v>8.5679999999999996</v>
      </c>
      <c r="U602" s="13">
        <v>-14.5656</v>
      </c>
      <c r="V602" s="55">
        <f>IFERROR(Table12[[#This Row],[Profit]]/Table12[[#This Row],[Sales]],0)</f>
        <v>-1.7</v>
      </c>
    </row>
    <row r="603" spans="1:22" x14ac:dyDescent="0.2">
      <c r="A603">
        <v>602</v>
      </c>
      <c r="B603" t="s">
        <v>8413</v>
      </c>
      <c r="C603" s="1">
        <v>41805</v>
      </c>
      <c r="D603" s="22">
        <f>MONTH(Table12[[#This Row],[Order Date]])</f>
        <v>6</v>
      </c>
      <c r="E603" t="s">
        <v>7791</v>
      </c>
      <c r="F603" t="s">
        <v>7792</v>
      </c>
      <c r="G603" s="23" t="s">
        <v>41</v>
      </c>
      <c r="H603" s="23" t="s">
        <v>82</v>
      </c>
      <c r="I603" t="s">
        <v>3848</v>
      </c>
      <c r="J603" s="23" t="s">
        <v>22</v>
      </c>
      <c r="K603" s="22">
        <v>2</v>
      </c>
      <c r="L603" s="1">
        <v>41805</v>
      </c>
      <c r="M603" s="22">
        <f>Table12[[#This Row],[Ship Date]]-Table12[[#This Row],[Order Date]]</f>
        <v>0</v>
      </c>
      <c r="N603" s="23" t="s">
        <v>1141</v>
      </c>
      <c r="O603" s="23" t="s">
        <v>23</v>
      </c>
      <c r="P603" s="23" t="s">
        <v>94</v>
      </c>
      <c r="Q603" s="23" t="s">
        <v>95</v>
      </c>
      <c r="R603" s="23" t="s">
        <v>3679</v>
      </c>
      <c r="S603" s="33">
        <v>0.2</v>
      </c>
      <c r="T603" s="13">
        <v>36.543999999999997</v>
      </c>
      <c r="U603" s="13">
        <v>11.876799999999999</v>
      </c>
      <c r="V603" s="55">
        <f>IFERROR(Table12[[#This Row],[Profit]]/Table12[[#This Row],[Sales]],0)</f>
        <v>0.32500000000000001</v>
      </c>
    </row>
    <row r="604" spans="1:22" x14ac:dyDescent="0.2">
      <c r="A604">
        <v>603</v>
      </c>
      <c r="B604" t="s">
        <v>4956</v>
      </c>
      <c r="C604" s="1">
        <v>41806</v>
      </c>
      <c r="D604" s="22">
        <f>MONTH(Table12[[#This Row],[Order Date]])</f>
        <v>6</v>
      </c>
      <c r="E604" t="s">
        <v>1403</v>
      </c>
      <c r="F604" t="s">
        <v>1404</v>
      </c>
      <c r="G604" s="23" t="s">
        <v>28</v>
      </c>
      <c r="H604" s="23" t="s">
        <v>32</v>
      </c>
      <c r="I604" t="s">
        <v>4957</v>
      </c>
      <c r="J604" s="23" t="s">
        <v>22</v>
      </c>
      <c r="K604" s="22">
        <v>8</v>
      </c>
      <c r="L604" s="1">
        <v>41812</v>
      </c>
      <c r="M604" s="22">
        <f>Table12[[#This Row],[Ship Date]]-Table12[[#This Row],[Order Date]]</f>
        <v>6</v>
      </c>
      <c r="N604" s="23" t="s">
        <v>45</v>
      </c>
      <c r="O604" s="23" t="s">
        <v>23</v>
      </c>
      <c r="P604" s="23" t="s">
        <v>226</v>
      </c>
      <c r="Q604" s="23" t="s">
        <v>95</v>
      </c>
      <c r="R604" s="23" t="s">
        <v>4958</v>
      </c>
      <c r="S604" s="33">
        <v>0</v>
      </c>
      <c r="T604" s="13">
        <v>647.84</v>
      </c>
      <c r="U604" s="13">
        <v>32.392000000000003</v>
      </c>
      <c r="V604" s="55">
        <f>IFERROR(Table12[[#This Row],[Profit]]/Table12[[#This Row],[Sales]],0)</f>
        <v>0.05</v>
      </c>
    </row>
    <row r="605" spans="1:22" x14ac:dyDescent="0.2">
      <c r="A605">
        <v>604</v>
      </c>
      <c r="B605" t="s">
        <v>5437</v>
      </c>
      <c r="C605" s="1">
        <v>41806</v>
      </c>
      <c r="D605" s="22">
        <f>MONTH(Table12[[#This Row],[Order Date]])</f>
        <v>6</v>
      </c>
      <c r="E605" t="s">
        <v>5439</v>
      </c>
      <c r="F605" t="s">
        <v>591</v>
      </c>
      <c r="G605" s="23" t="s">
        <v>41</v>
      </c>
      <c r="H605" s="23" t="s">
        <v>155</v>
      </c>
      <c r="I605" t="s">
        <v>1767</v>
      </c>
      <c r="J605" s="23" t="s">
        <v>22</v>
      </c>
      <c r="K605" s="22">
        <v>5</v>
      </c>
      <c r="L605" s="1">
        <v>41811</v>
      </c>
      <c r="M605" s="22">
        <f>Table12[[#This Row],[Ship Date]]-Table12[[#This Row],[Order Date]]</f>
        <v>5</v>
      </c>
      <c r="N605" s="23" t="s">
        <v>45</v>
      </c>
      <c r="O605" s="23" t="s">
        <v>23</v>
      </c>
      <c r="P605" s="23" t="s">
        <v>238</v>
      </c>
      <c r="Q605" s="23" t="s">
        <v>133</v>
      </c>
      <c r="R605" s="23" t="s">
        <v>5438</v>
      </c>
      <c r="S605" s="33">
        <v>0</v>
      </c>
      <c r="T605" s="13">
        <v>41.4</v>
      </c>
      <c r="U605" s="13">
        <v>19.457999999999998</v>
      </c>
      <c r="V605" s="55">
        <f>IFERROR(Table12[[#This Row],[Profit]]/Table12[[#This Row],[Sales]],0)</f>
        <v>0.47</v>
      </c>
    </row>
    <row r="606" spans="1:22" x14ac:dyDescent="0.2">
      <c r="A606">
        <v>605</v>
      </c>
      <c r="B606" t="s">
        <v>5437</v>
      </c>
      <c r="C606" s="1">
        <v>41806</v>
      </c>
      <c r="D606" s="22">
        <f>MONTH(Table12[[#This Row],[Order Date]])</f>
        <v>6</v>
      </c>
      <c r="E606" t="s">
        <v>5440</v>
      </c>
      <c r="F606" t="s">
        <v>5441</v>
      </c>
      <c r="G606" s="23" t="s">
        <v>41</v>
      </c>
      <c r="H606" s="23" t="s">
        <v>61</v>
      </c>
      <c r="I606" t="s">
        <v>1767</v>
      </c>
      <c r="J606" s="23" t="s">
        <v>22</v>
      </c>
      <c r="K606" s="22">
        <v>4</v>
      </c>
      <c r="L606" s="1">
        <v>41811</v>
      </c>
      <c r="M606" s="22">
        <f>Table12[[#This Row],[Ship Date]]-Table12[[#This Row],[Order Date]]</f>
        <v>5</v>
      </c>
      <c r="N606" s="23" t="s">
        <v>45</v>
      </c>
      <c r="O606" s="23" t="s">
        <v>23</v>
      </c>
      <c r="P606" s="23" t="s">
        <v>238</v>
      </c>
      <c r="Q606" s="23" t="s">
        <v>133</v>
      </c>
      <c r="R606" s="23" t="s">
        <v>5438</v>
      </c>
      <c r="S606" s="33">
        <v>0</v>
      </c>
      <c r="T606" s="13">
        <v>35</v>
      </c>
      <c r="U606" s="13">
        <v>10.5</v>
      </c>
      <c r="V606" s="55">
        <f>IFERROR(Table12[[#This Row],[Profit]]/Table12[[#This Row],[Sales]],0)</f>
        <v>0.3</v>
      </c>
    </row>
    <row r="607" spans="1:22" x14ac:dyDescent="0.2">
      <c r="A607">
        <v>606</v>
      </c>
      <c r="B607" t="s">
        <v>5437</v>
      </c>
      <c r="C607" s="1">
        <v>41806</v>
      </c>
      <c r="D607" s="22">
        <f>MONTH(Table12[[#This Row],[Order Date]])</f>
        <v>6</v>
      </c>
      <c r="E607" t="s">
        <v>369</v>
      </c>
      <c r="F607" t="s">
        <v>370</v>
      </c>
      <c r="G607" s="23" t="s">
        <v>41</v>
      </c>
      <c r="H607" s="23" t="s">
        <v>68</v>
      </c>
      <c r="I607" t="s">
        <v>1767</v>
      </c>
      <c r="J607" s="23" t="s">
        <v>22</v>
      </c>
      <c r="K607" s="22">
        <v>3</v>
      </c>
      <c r="L607" s="1">
        <v>41811</v>
      </c>
      <c r="M607" s="22">
        <f>Table12[[#This Row],[Ship Date]]-Table12[[#This Row],[Order Date]]</f>
        <v>5</v>
      </c>
      <c r="N607" s="23" t="s">
        <v>45</v>
      </c>
      <c r="O607" s="23" t="s">
        <v>23</v>
      </c>
      <c r="P607" s="23" t="s">
        <v>238</v>
      </c>
      <c r="Q607" s="23" t="s">
        <v>133</v>
      </c>
      <c r="R607" s="23" t="s">
        <v>5438</v>
      </c>
      <c r="S607" s="33">
        <v>0.2</v>
      </c>
      <c r="T607" s="13">
        <v>39.552</v>
      </c>
      <c r="U607" s="13">
        <v>14.3376</v>
      </c>
      <c r="V607" s="55">
        <f>IFERROR(Table12[[#This Row],[Profit]]/Table12[[#This Row],[Sales]],0)</f>
        <v>0.36249999999999999</v>
      </c>
    </row>
    <row r="608" spans="1:22" x14ac:dyDescent="0.2">
      <c r="A608">
        <v>607</v>
      </c>
      <c r="B608" t="s">
        <v>8062</v>
      </c>
      <c r="C608" s="1">
        <v>41807</v>
      </c>
      <c r="D608" s="22">
        <f>MONTH(Table12[[#This Row],[Order Date]])</f>
        <v>6</v>
      </c>
      <c r="E608" t="s">
        <v>7430</v>
      </c>
      <c r="F608" t="s">
        <v>7431</v>
      </c>
      <c r="G608" s="23" t="s">
        <v>64</v>
      </c>
      <c r="H608" s="23" t="s">
        <v>602</v>
      </c>
      <c r="I608" t="s">
        <v>4198</v>
      </c>
      <c r="J608" s="23" t="s">
        <v>22</v>
      </c>
      <c r="K608" s="22">
        <v>3</v>
      </c>
      <c r="L608" s="1">
        <v>41813</v>
      </c>
      <c r="M608" s="22">
        <f>Table12[[#This Row],[Ship Date]]-Table12[[#This Row],[Order Date]]</f>
        <v>6</v>
      </c>
      <c r="N608" s="23" t="s">
        <v>45</v>
      </c>
      <c r="O608" s="23" t="s">
        <v>23</v>
      </c>
      <c r="P608" s="23" t="s">
        <v>218</v>
      </c>
      <c r="Q608" s="23" t="s">
        <v>133</v>
      </c>
      <c r="R608" s="23" t="s">
        <v>536</v>
      </c>
      <c r="S608" s="33">
        <v>0</v>
      </c>
      <c r="T608" s="13">
        <v>65.97</v>
      </c>
      <c r="U608" s="13">
        <v>31.0059</v>
      </c>
      <c r="V608" s="55">
        <f>IFERROR(Table12[[#This Row],[Profit]]/Table12[[#This Row],[Sales]],0)</f>
        <v>0.47000000000000003</v>
      </c>
    </row>
    <row r="609" spans="1:22" x14ac:dyDescent="0.2">
      <c r="A609">
        <v>608</v>
      </c>
      <c r="B609" t="s">
        <v>8339</v>
      </c>
      <c r="C609" s="1">
        <v>41807</v>
      </c>
      <c r="D609" s="22">
        <f>MONTH(Table12[[#This Row],[Order Date]])</f>
        <v>6</v>
      </c>
      <c r="E609" t="s">
        <v>3615</v>
      </c>
      <c r="F609" t="s">
        <v>1137</v>
      </c>
      <c r="G609" s="23" t="s">
        <v>28</v>
      </c>
      <c r="H609" s="23" t="s">
        <v>58</v>
      </c>
      <c r="I609" t="s">
        <v>3577</v>
      </c>
      <c r="J609" s="23" t="s">
        <v>22</v>
      </c>
      <c r="K609" s="22">
        <v>3</v>
      </c>
      <c r="L609" s="1">
        <v>41811</v>
      </c>
      <c r="M609" s="22">
        <f>Table12[[#This Row],[Ship Date]]-Table12[[#This Row],[Order Date]]</f>
        <v>4</v>
      </c>
      <c r="N609" s="23" t="s">
        <v>45</v>
      </c>
      <c r="O609" s="23" t="s">
        <v>23</v>
      </c>
      <c r="P609" s="23" t="s">
        <v>87</v>
      </c>
      <c r="Q609" s="23" t="s">
        <v>39</v>
      </c>
      <c r="R609" s="23" t="s">
        <v>86</v>
      </c>
      <c r="S609" s="33">
        <v>0</v>
      </c>
      <c r="T609" s="13">
        <v>6.24</v>
      </c>
      <c r="U609" s="13">
        <v>2.6208</v>
      </c>
      <c r="V609" s="55">
        <f>IFERROR(Table12[[#This Row],[Profit]]/Table12[[#This Row],[Sales]],0)</f>
        <v>0.42</v>
      </c>
    </row>
    <row r="610" spans="1:22" x14ac:dyDescent="0.2">
      <c r="A610">
        <v>609</v>
      </c>
      <c r="B610" t="s">
        <v>8339</v>
      </c>
      <c r="C610" s="1">
        <v>41807</v>
      </c>
      <c r="D610" s="22">
        <f>MONTH(Table12[[#This Row],[Order Date]])</f>
        <v>6</v>
      </c>
      <c r="E610" t="s">
        <v>1038</v>
      </c>
      <c r="F610" t="s">
        <v>1039</v>
      </c>
      <c r="G610" s="23" t="s">
        <v>41</v>
      </c>
      <c r="H610" s="23" t="s">
        <v>240</v>
      </c>
      <c r="I610" t="s">
        <v>3577</v>
      </c>
      <c r="J610" s="23" t="s">
        <v>22</v>
      </c>
      <c r="K610" s="22">
        <v>5</v>
      </c>
      <c r="L610" s="1">
        <v>41811</v>
      </c>
      <c r="M610" s="22">
        <f>Table12[[#This Row],[Ship Date]]-Table12[[#This Row],[Order Date]]</f>
        <v>4</v>
      </c>
      <c r="N610" s="23" t="s">
        <v>45</v>
      </c>
      <c r="O610" s="23" t="s">
        <v>23</v>
      </c>
      <c r="P610" s="23" t="s">
        <v>87</v>
      </c>
      <c r="Q610" s="23" t="s">
        <v>39</v>
      </c>
      <c r="R610" s="23" t="s">
        <v>86</v>
      </c>
      <c r="S610" s="33">
        <v>0</v>
      </c>
      <c r="T610" s="13">
        <v>17.899999999999999</v>
      </c>
      <c r="U610" s="13">
        <v>8.9499999999999993</v>
      </c>
      <c r="V610" s="55">
        <f>IFERROR(Table12[[#This Row],[Profit]]/Table12[[#This Row],[Sales]],0)</f>
        <v>0.5</v>
      </c>
    </row>
    <row r="611" spans="1:22" x14ac:dyDescent="0.2">
      <c r="A611">
        <v>610</v>
      </c>
      <c r="B611" t="s">
        <v>8339</v>
      </c>
      <c r="C611" s="1">
        <v>41807</v>
      </c>
      <c r="D611" s="22">
        <f>MONTH(Table12[[#This Row],[Order Date]])</f>
        <v>6</v>
      </c>
      <c r="E611" t="s">
        <v>1110</v>
      </c>
      <c r="F611" t="s">
        <v>1111</v>
      </c>
      <c r="G611" s="23" t="s">
        <v>41</v>
      </c>
      <c r="H611" s="23" t="s">
        <v>68</v>
      </c>
      <c r="I611" t="s">
        <v>3577</v>
      </c>
      <c r="J611" s="23" t="s">
        <v>22</v>
      </c>
      <c r="K611" s="22">
        <v>3</v>
      </c>
      <c r="L611" s="1">
        <v>41811</v>
      </c>
      <c r="M611" s="22">
        <f>Table12[[#This Row],[Ship Date]]-Table12[[#This Row],[Order Date]]</f>
        <v>4</v>
      </c>
      <c r="N611" s="23" t="s">
        <v>45</v>
      </c>
      <c r="O611" s="23" t="s">
        <v>23</v>
      </c>
      <c r="P611" s="23" t="s">
        <v>87</v>
      </c>
      <c r="Q611" s="23" t="s">
        <v>39</v>
      </c>
      <c r="R611" s="23" t="s">
        <v>86</v>
      </c>
      <c r="S611" s="33">
        <v>0.2</v>
      </c>
      <c r="T611" s="13">
        <v>3266.3760000000002</v>
      </c>
      <c r="U611" s="13">
        <v>1061.5722000000001</v>
      </c>
      <c r="V611" s="55">
        <f>IFERROR(Table12[[#This Row],[Profit]]/Table12[[#This Row],[Sales]],0)</f>
        <v>0.32500000000000001</v>
      </c>
    </row>
    <row r="612" spans="1:22" x14ac:dyDescent="0.2">
      <c r="A612">
        <v>611</v>
      </c>
      <c r="B612" t="s">
        <v>10096</v>
      </c>
      <c r="C612" s="1">
        <v>41807</v>
      </c>
      <c r="D612" s="22">
        <f>MONTH(Table12[[#This Row],[Order Date]])</f>
        <v>6</v>
      </c>
      <c r="E612" t="s">
        <v>6795</v>
      </c>
      <c r="F612" t="s">
        <v>6796</v>
      </c>
      <c r="G612" s="23" t="s">
        <v>41</v>
      </c>
      <c r="H612" s="23" t="s">
        <v>82</v>
      </c>
      <c r="I612" t="s">
        <v>1710</v>
      </c>
      <c r="J612" s="23" t="s">
        <v>22</v>
      </c>
      <c r="K612" s="22">
        <v>2</v>
      </c>
      <c r="L612" s="1">
        <v>41810</v>
      </c>
      <c r="M612" s="22">
        <f>Table12[[#This Row],[Ship Date]]-Table12[[#This Row],[Order Date]]</f>
        <v>3</v>
      </c>
      <c r="N612" s="23" t="s">
        <v>20</v>
      </c>
      <c r="O612" s="23" t="s">
        <v>23</v>
      </c>
      <c r="P612" s="23" t="s">
        <v>189</v>
      </c>
      <c r="Q612" s="23" t="s">
        <v>95</v>
      </c>
      <c r="R612" s="23" t="s">
        <v>271</v>
      </c>
      <c r="S612" s="33">
        <v>0.2</v>
      </c>
      <c r="T612" s="13">
        <v>62.015999999999998</v>
      </c>
      <c r="U612" s="13">
        <v>22.480799999999999</v>
      </c>
      <c r="V612" s="55">
        <f>IFERROR(Table12[[#This Row],[Profit]]/Table12[[#This Row],[Sales]],0)</f>
        <v>0.36249999999999999</v>
      </c>
    </row>
    <row r="613" spans="1:22" x14ac:dyDescent="0.2">
      <c r="A613">
        <v>612</v>
      </c>
      <c r="B613" t="s">
        <v>10037</v>
      </c>
      <c r="C613" s="1">
        <v>41808</v>
      </c>
      <c r="D613" s="22">
        <f>MONTH(Table12[[#This Row],[Order Date]])</f>
        <v>6</v>
      </c>
      <c r="E613" t="s">
        <v>542</v>
      </c>
      <c r="F613" t="s">
        <v>543</v>
      </c>
      <c r="G613" s="23" t="s">
        <v>64</v>
      </c>
      <c r="H613" s="23" t="s">
        <v>65</v>
      </c>
      <c r="I613" t="s">
        <v>3678</v>
      </c>
      <c r="J613" s="23" t="s">
        <v>22</v>
      </c>
      <c r="K613" s="22">
        <v>5</v>
      </c>
      <c r="L613" s="1">
        <v>41813</v>
      </c>
      <c r="M613" s="22">
        <f>Table12[[#This Row],[Ship Date]]-Table12[[#This Row],[Order Date]]</f>
        <v>5</v>
      </c>
      <c r="N613" s="23" t="s">
        <v>45</v>
      </c>
      <c r="O613" s="23" t="s">
        <v>23</v>
      </c>
      <c r="P613" s="23" t="s">
        <v>38</v>
      </c>
      <c r="Q613" s="23" t="s">
        <v>39</v>
      </c>
      <c r="R613" s="23" t="s">
        <v>37</v>
      </c>
      <c r="S613" s="33">
        <v>0.2</v>
      </c>
      <c r="T613" s="13">
        <v>139.80000000000001</v>
      </c>
      <c r="U613" s="13">
        <v>12.2325</v>
      </c>
      <c r="V613" s="55">
        <f>IFERROR(Table12[[#This Row],[Profit]]/Table12[[#This Row],[Sales]],0)</f>
        <v>8.7499999999999994E-2</v>
      </c>
    </row>
    <row r="614" spans="1:22" x14ac:dyDescent="0.2">
      <c r="A614">
        <v>613</v>
      </c>
      <c r="B614" t="s">
        <v>5990</v>
      </c>
      <c r="C614" s="1">
        <v>41810</v>
      </c>
      <c r="D614" s="22">
        <f>MONTH(Table12[[#This Row],[Order Date]])</f>
        <v>6</v>
      </c>
      <c r="E614" t="s">
        <v>5022</v>
      </c>
      <c r="F614" t="s">
        <v>5023</v>
      </c>
      <c r="G614" s="23" t="s">
        <v>64</v>
      </c>
      <c r="H614" s="23" t="s">
        <v>65</v>
      </c>
      <c r="I614" t="s">
        <v>5991</v>
      </c>
      <c r="J614" s="23" t="s">
        <v>22</v>
      </c>
      <c r="K614" s="22">
        <v>2</v>
      </c>
      <c r="L614" s="1">
        <v>41814</v>
      </c>
      <c r="M614" s="22">
        <f>Table12[[#This Row],[Ship Date]]-Table12[[#This Row],[Order Date]]</f>
        <v>4</v>
      </c>
      <c r="N614" s="23" t="s">
        <v>45</v>
      </c>
      <c r="O614" s="23" t="s">
        <v>23</v>
      </c>
      <c r="P614" s="23" t="s">
        <v>94</v>
      </c>
      <c r="Q614" s="23" t="s">
        <v>95</v>
      </c>
      <c r="R614" s="23" t="s">
        <v>3835</v>
      </c>
      <c r="S614" s="33">
        <v>0.2</v>
      </c>
      <c r="T614" s="13">
        <v>201.584</v>
      </c>
      <c r="U614" s="13">
        <v>20.1584</v>
      </c>
      <c r="V614" s="55">
        <f>IFERROR(Table12[[#This Row],[Profit]]/Table12[[#This Row],[Sales]],0)</f>
        <v>0.1</v>
      </c>
    </row>
    <row r="615" spans="1:22" x14ac:dyDescent="0.2">
      <c r="A615">
        <v>614</v>
      </c>
      <c r="B615" t="s">
        <v>5990</v>
      </c>
      <c r="C615" s="1">
        <v>41810</v>
      </c>
      <c r="D615" s="22">
        <f>MONTH(Table12[[#This Row],[Order Date]])</f>
        <v>6</v>
      </c>
      <c r="E615" t="s">
        <v>98</v>
      </c>
      <c r="F615" t="s">
        <v>99</v>
      </c>
      <c r="G615" s="23" t="s">
        <v>41</v>
      </c>
      <c r="H615" s="23" t="s">
        <v>68</v>
      </c>
      <c r="I615" t="s">
        <v>5991</v>
      </c>
      <c r="J615" s="23" t="s">
        <v>22</v>
      </c>
      <c r="K615" s="22">
        <v>4</v>
      </c>
      <c r="L615" s="1">
        <v>41814</v>
      </c>
      <c r="M615" s="22">
        <f>Table12[[#This Row],[Ship Date]]-Table12[[#This Row],[Order Date]]</f>
        <v>4</v>
      </c>
      <c r="N615" s="23" t="s">
        <v>45</v>
      </c>
      <c r="O615" s="23" t="s">
        <v>23</v>
      </c>
      <c r="P615" s="23" t="s">
        <v>94</v>
      </c>
      <c r="Q615" s="23" t="s">
        <v>95</v>
      </c>
      <c r="R615" s="23" t="s">
        <v>3835</v>
      </c>
      <c r="S615" s="33">
        <v>0.8</v>
      </c>
      <c r="T615" s="13">
        <v>3.3919999999999999</v>
      </c>
      <c r="U615" s="13">
        <v>-5.0880000000000001</v>
      </c>
      <c r="V615" s="55">
        <f>IFERROR(Table12[[#This Row],[Profit]]/Table12[[#This Row],[Sales]],0)</f>
        <v>-1.5</v>
      </c>
    </row>
    <row r="616" spans="1:22" x14ac:dyDescent="0.2">
      <c r="A616">
        <v>615</v>
      </c>
      <c r="B616" t="s">
        <v>5990</v>
      </c>
      <c r="C616" s="1">
        <v>41810</v>
      </c>
      <c r="D616" s="22">
        <f>MONTH(Table12[[#This Row],[Order Date]])</f>
        <v>6</v>
      </c>
      <c r="E616" t="s">
        <v>5992</v>
      </c>
      <c r="F616" t="s">
        <v>5993</v>
      </c>
      <c r="G616" s="23" t="s">
        <v>28</v>
      </c>
      <c r="H616" s="23" t="s">
        <v>29</v>
      </c>
      <c r="I616" t="s">
        <v>5991</v>
      </c>
      <c r="J616" s="23" t="s">
        <v>22</v>
      </c>
      <c r="K616" s="22">
        <v>4</v>
      </c>
      <c r="L616" s="1">
        <v>41814</v>
      </c>
      <c r="M616" s="22">
        <f>Table12[[#This Row],[Ship Date]]-Table12[[#This Row],[Order Date]]</f>
        <v>4</v>
      </c>
      <c r="N616" s="23" t="s">
        <v>45</v>
      </c>
      <c r="O616" s="23" t="s">
        <v>23</v>
      </c>
      <c r="P616" s="23" t="s">
        <v>94</v>
      </c>
      <c r="Q616" s="23" t="s">
        <v>95</v>
      </c>
      <c r="R616" s="23" t="s">
        <v>3835</v>
      </c>
      <c r="S616" s="33">
        <v>0.32</v>
      </c>
      <c r="T616" s="13">
        <v>193.06559999999999</v>
      </c>
      <c r="U616" s="13">
        <v>-19.874400000000001</v>
      </c>
      <c r="V616" s="55">
        <f>IFERROR(Table12[[#This Row],[Profit]]/Table12[[#This Row],[Sales]],0)</f>
        <v>-0.10294117647058824</v>
      </c>
    </row>
    <row r="617" spans="1:22" x14ac:dyDescent="0.2">
      <c r="A617">
        <v>616</v>
      </c>
      <c r="B617" t="s">
        <v>5990</v>
      </c>
      <c r="C617" s="1">
        <v>41810</v>
      </c>
      <c r="D617" s="22">
        <f>MONTH(Table12[[#This Row],[Order Date]])</f>
        <v>6</v>
      </c>
      <c r="E617" t="s">
        <v>2687</v>
      </c>
      <c r="F617" t="s">
        <v>2688</v>
      </c>
      <c r="G617" s="23" t="s">
        <v>41</v>
      </c>
      <c r="H617" s="23" t="s">
        <v>82</v>
      </c>
      <c r="I617" t="s">
        <v>5991</v>
      </c>
      <c r="J617" s="23" t="s">
        <v>22</v>
      </c>
      <c r="K617" s="22">
        <v>3</v>
      </c>
      <c r="L617" s="1">
        <v>41814</v>
      </c>
      <c r="M617" s="22">
        <f>Table12[[#This Row],[Ship Date]]-Table12[[#This Row],[Order Date]]</f>
        <v>4</v>
      </c>
      <c r="N617" s="23" t="s">
        <v>45</v>
      </c>
      <c r="O617" s="23" t="s">
        <v>23</v>
      </c>
      <c r="P617" s="23" t="s">
        <v>94</v>
      </c>
      <c r="Q617" s="23" t="s">
        <v>95</v>
      </c>
      <c r="R617" s="23" t="s">
        <v>3835</v>
      </c>
      <c r="S617" s="33">
        <v>0.2</v>
      </c>
      <c r="T617" s="13">
        <v>15.552</v>
      </c>
      <c r="U617" s="13">
        <v>5.4432</v>
      </c>
      <c r="V617" s="55">
        <f>IFERROR(Table12[[#This Row],[Profit]]/Table12[[#This Row],[Sales]],0)</f>
        <v>0.35000000000000003</v>
      </c>
    </row>
    <row r="618" spans="1:22" x14ac:dyDescent="0.2">
      <c r="A618">
        <v>617</v>
      </c>
      <c r="B618" t="s">
        <v>5990</v>
      </c>
      <c r="C618" s="1">
        <v>41810</v>
      </c>
      <c r="D618" s="22">
        <f>MONTH(Table12[[#This Row],[Order Date]])</f>
        <v>6</v>
      </c>
      <c r="E618" t="s">
        <v>253</v>
      </c>
      <c r="F618" t="s">
        <v>254</v>
      </c>
      <c r="G618" s="23" t="s">
        <v>41</v>
      </c>
      <c r="H618" s="23" t="s">
        <v>82</v>
      </c>
      <c r="I618" t="s">
        <v>5991</v>
      </c>
      <c r="J618" s="23" t="s">
        <v>22</v>
      </c>
      <c r="K618" s="22">
        <v>2</v>
      </c>
      <c r="L618" s="1">
        <v>41814</v>
      </c>
      <c r="M618" s="22">
        <f>Table12[[#This Row],[Ship Date]]-Table12[[#This Row],[Order Date]]</f>
        <v>4</v>
      </c>
      <c r="N618" s="23" t="s">
        <v>45</v>
      </c>
      <c r="O618" s="23" t="s">
        <v>23</v>
      </c>
      <c r="P618" s="23" t="s">
        <v>94</v>
      </c>
      <c r="Q618" s="23" t="s">
        <v>95</v>
      </c>
      <c r="R618" s="23" t="s">
        <v>3835</v>
      </c>
      <c r="S618" s="33">
        <v>0.2</v>
      </c>
      <c r="T618" s="13">
        <v>11.648</v>
      </c>
      <c r="U618" s="13">
        <v>4.0768000000000004</v>
      </c>
      <c r="V618" s="55">
        <f>IFERROR(Table12[[#This Row],[Profit]]/Table12[[#This Row],[Sales]],0)</f>
        <v>0.35000000000000003</v>
      </c>
    </row>
    <row r="619" spans="1:22" x14ac:dyDescent="0.2">
      <c r="A619">
        <v>618</v>
      </c>
      <c r="B619" t="s">
        <v>5990</v>
      </c>
      <c r="C619" s="1">
        <v>41810</v>
      </c>
      <c r="D619" s="22">
        <f>MONTH(Table12[[#This Row],[Order Date]])</f>
        <v>6</v>
      </c>
      <c r="E619" t="s">
        <v>5648</v>
      </c>
      <c r="F619" t="s">
        <v>5649</v>
      </c>
      <c r="G619" s="23" t="s">
        <v>64</v>
      </c>
      <c r="H619" s="23" t="s">
        <v>602</v>
      </c>
      <c r="I619" t="s">
        <v>5991</v>
      </c>
      <c r="J619" s="23" t="s">
        <v>22</v>
      </c>
      <c r="K619" s="22">
        <v>2</v>
      </c>
      <c r="L619" s="1">
        <v>41814</v>
      </c>
      <c r="M619" s="22">
        <f>Table12[[#This Row],[Ship Date]]-Table12[[#This Row],[Order Date]]</f>
        <v>4</v>
      </c>
      <c r="N619" s="23" t="s">
        <v>45</v>
      </c>
      <c r="O619" s="23" t="s">
        <v>23</v>
      </c>
      <c r="P619" s="23" t="s">
        <v>94</v>
      </c>
      <c r="Q619" s="23" t="s">
        <v>95</v>
      </c>
      <c r="R619" s="23" t="s">
        <v>3835</v>
      </c>
      <c r="S619" s="33">
        <v>0.4</v>
      </c>
      <c r="T619" s="13">
        <v>418.8</v>
      </c>
      <c r="U619" s="13">
        <v>-97.72</v>
      </c>
      <c r="V619" s="55">
        <f>IFERROR(Table12[[#This Row],[Profit]]/Table12[[#This Row],[Sales]],0)</f>
        <v>-0.23333333333333334</v>
      </c>
    </row>
    <row r="620" spans="1:22" x14ac:dyDescent="0.2">
      <c r="A620">
        <v>619</v>
      </c>
      <c r="B620" t="s">
        <v>5990</v>
      </c>
      <c r="C620" s="1">
        <v>41810</v>
      </c>
      <c r="D620" s="22">
        <f>MONTH(Table12[[#This Row],[Order Date]])</f>
        <v>6</v>
      </c>
      <c r="E620" t="s">
        <v>304</v>
      </c>
      <c r="F620" t="s">
        <v>305</v>
      </c>
      <c r="G620" s="23" t="s">
        <v>41</v>
      </c>
      <c r="H620" s="23" t="s">
        <v>53</v>
      </c>
      <c r="I620" t="s">
        <v>5991</v>
      </c>
      <c r="J620" s="23" t="s">
        <v>22</v>
      </c>
      <c r="K620" s="22">
        <v>7</v>
      </c>
      <c r="L620" s="1">
        <v>41814</v>
      </c>
      <c r="M620" s="22">
        <f>Table12[[#This Row],[Ship Date]]-Table12[[#This Row],[Order Date]]</f>
        <v>4</v>
      </c>
      <c r="N620" s="23" t="s">
        <v>45</v>
      </c>
      <c r="O620" s="23" t="s">
        <v>23</v>
      </c>
      <c r="P620" s="23" t="s">
        <v>94</v>
      </c>
      <c r="Q620" s="23" t="s">
        <v>95</v>
      </c>
      <c r="R620" s="23" t="s">
        <v>3835</v>
      </c>
      <c r="S620" s="33">
        <v>0.2</v>
      </c>
      <c r="T620" s="13">
        <v>509.488</v>
      </c>
      <c r="U620" s="13">
        <v>-127.372</v>
      </c>
      <c r="V620" s="55">
        <f>IFERROR(Table12[[#This Row],[Profit]]/Table12[[#This Row],[Sales]],0)</f>
        <v>-0.25</v>
      </c>
    </row>
    <row r="621" spans="1:22" x14ac:dyDescent="0.2">
      <c r="A621">
        <v>620</v>
      </c>
      <c r="B621" t="s">
        <v>9075</v>
      </c>
      <c r="C621" s="1">
        <v>41810</v>
      </c>
      <c r="D621" s="22">
        <f>MONTH(Table12[[#This Row],[Order Date]])</f>
        <v>6</v>
      </c>
      <c r="E621" t="s">
        <v>4077</v>
      </c>
      <c r="F621" t="s">
        <v>4078</v>
      </c>
      <c r="G621" s="23" t="s">
        <v>41</v>
      </c>
      <c r="H621" s="23" t="s">
        <v>71</v>
      </c>
      <c r="I621" t="s">
        <v>3528</v>
      </c>
      <c r="J621" s="23" t="s">
        <v>22</v>
      </c>
      <c r="K621" s="22">
        <v>6</v>
      </c>
      <c r="L621" s="1">
        <v>41817</v>
      </c>
      <c r="M621" s="22">
        <f>Table12[[#This Row],[Ship Date]]-Table12[[#This Row],[Order Date]]</f>
        <v>7</v>
      </c>
      <c r="N621" s="23" t="s">
        <v>45</v>
      </c>
      <c r="O621" s="23" t="s">
        <v>23</v>
      </c>
      <c r="P621" s="23" t="s">
        <v>573</v>
      </c>
      <c r="Q621" s="23" t="s">
        <v>95</v>
      </c>
      <c r="R621" s="23" t="s">
        <v>6788</v>
      </c>
      <c r="S621" s="33">
        <v>0</v>
      </c>
      <c r="T621" s="13">
        <v>471.9</v>
      </c>
      <c r="U621" s="13">
        <v>155.727</v>
      </c>
      <c r="V621" s="55">
        <f>IFERROR(Table12[[#This Row],[Profit]]/Table12[[#This Row],[Sales]],0)</f>
        <v>0.33</v>
      </c>
    </row>
    <row r="622" spans="1:22" x14ac:dyDescent="0.2">
      <c r="A622">
        <v>621</v>
      </c>
      <c r="B622" t="s">
        <v>9075</v>
      </c>
      <c r="C622" s="1">
        <v>41810</v>
      </c>
      <c r="D622" s="22">
        <f>MONTH(Table12[[#This Row],[Order Date]])</f>
        <v>6</v>
      </c>
      <c r="E622" t="s">
        <v>4588</v>
      </c>
      <c r="F622" t="s">
        <v>4589</v>
      </c>
      <c r="G622" s="23" t="s">
        <v>41</v>
      </c>
      <c r="H622" s="23" t="s">
        <v>61</v>
      </c>
      <c r="I622" t="s">
        <v>3528</v>
      </c>
      <c r="J622" s="23" t="s">
        <v>22</v>
      </c>
      <c r="K622" s="22">
        <v>2</v>
      </c>
      <c r="L622" s="1">
        <v>41817</v>
      </c>
      <c r="M622" s="22">
        <f>Table12[[#This Row],[Ship Date]]-Table12[[#This Row],[Order Date]]</f>
        <v>7</v>
      </c>
      <c r="N622" s="23" t="s">
        <v>45</v>
      </c>
      <c r="O622" s="23" t="s">
        <v>23</v>
      </c>
      <c r="P622" s="23" t="s">
        <v>573</v>
      </c>
      <c r="Q622" s="23" t="s">
        <v>95</v>
      </c>
      <c r="R622" s="23" t="s">
        <v>6788</v>
      </c>
      <c r="S622" s="33">
        <v>0</v>
      </c>
      <c r="T622" s="13">
        <v>3.52</v>
      </c>
      <c r="U622" s="13">
        <v>1.6896</v>
      </c>
      <c r="V622" s="55">
        <f>IFERROR(Table12[[#This Row],[Profit]]/Table12[[#This Row],[Sales]],0)</f>
        <v>0.48</v>
      </c>
    </row>
    <row r="623" spans="1:22" x14ac:dyDescent="0.2">
      <c r="A623">
        <v>622</v>
      </c>
      <c r="B623" t="s">
        <v>1968</v>
      </c>
      <c r="C623" s="1">
        <v>41811</v>
      </c>
      <c r="D623" s="22">
        <f>MONTH(Table12[[#This Row],[Order Date]])</f>
        <v>6</v>
      </c>
      <c r="E623" t="s">
        <v>1971</v>
      </c>
      <c r="F623" t="s">
        <v>1972</v>
      </c>
      <c r="G623" s="23" t="s">
        <v>28</v>
      </c>
      <c r="H623" s="23" t="s">
        <v>58</v>
      </c>
      <c r="I623" t="s">
        <v>1969</v>
      </c>
      <c r="J623" s="23" t="s">
        <v>22</v>
      </c>
      <c r="K623" s="22">
        <v>1</v>
      </c>
      <c r="L623" s="1">
        <v>41813</v>
      </c>
      <c r="M623" s="22">
        <f>Table12[[#This Row],[Ship Date]]-Table12[[#This Row],[Order Date]]</f>
        <v>2</v>
      </c>
      <c r="N623" s="23" t="s">
        <v>20</v>
      </c>
      <c r="O623" s="23" t="s">
        <v>23</v>
      </c>
      <c r="P623" s="23" t="s">
        <v>285</v>
      </c>
      <c r="Q623" s="23" t="s">
        <v>26</v>
      </c>
      <c r="R623" s="23" t="s">
        <v>1970</v>
      </c>
      <c r="S623" s="33">
        <v>0</v>
      </c>
      <c r="T623" s="13">
        <v>104.01</v>
      </c>
      <c r="U623" s="13">
        <v>14.561400000000001</v>
      </c>
      <c r="V623" s="55">
        <f>IFERROR(Table12[[#This Row],[Profit]]/Table12[[#This Row],[Sales]],0)</f>
        <v>0.14000000000000001</v>
      </c>
    </row>
    <row r="624" spans="1:22" x14ac:dyDescent="0.2">
      <c r="A624">
        <v>623</v>
      </c>
      <c r="B624" t="s">
        <v>1968</v>
      </c>
      <c r="C624" s="1">
        <v>41811</v>
      </c>
      <c r="D624" s="22">
        <f>MONTH(Table12[[#This Row],[Order Date]])</f>
        <v>6</v>
      </c>
      <c r="E624" t="s">
        <v>75</v>
      </c>
      <c r="F624" t="s">
        <v>76</v>
      </c>
      <c r="G624" s="23" t="s">
        <v>64</v>
      </c>
      <c r="H624" s="23" t="s">
        <v>65</v>
      </c>
      <c r="I624" t="s">
        <v>1969</v>
      </c>
      <c r="J624" s="23" t="s">
        <v>22</v>
      </c>
      <c r="K624" s="22">
        <v>1</v>
      </c>
      <c r="L624" s="1">
        <v>41813</v>
      </c>
      <c r="M624" s="22">
        <f>Table12[[#This Row],[Ship Date]]-Table12[[#This Row],[Order Date]]</f>
        <v>2</v>
      </c>
      <c r="N624" s="23" t="s">
        <v>20</v>
      </c>
      <c r="O624" s="23" t="s">
        <v>23</v>
      </c>
      <c r="P624" s="23" t="s">
        <v>285</v>
      </c>
      <c r="Q624" s="23" t="s">
        <v>26</v>
      </c>
      <c r="R624" s="23" t="s">
        <v>1970</v>
      </c>
      <c r="S624" s="33">
        <v>0</v>
      </c>
      <c r="T624" s="13">
        <v>284.82</v>
      </c>
      <c r="U624" s="13">
        <v>74.053200000000004</v>
      </c>
      <c r="V624" s="55">
        <f>IFERROR(Table12[[#This Row],[Profit]]/Table12[[#This Row],[Sales]],0)</f>
        <v>0.26</v>
      </c>
    </row>
    <row r="625" spans="1:22" x14ac:dyDescent="0.2">
      <c r="A625">
        <v>624</v>
      </c>
      <c r="B625" t="s">
        <v>1968</v>
      </c>
      <c r="C625" s="1">
        <v>41811</v>
      </c>
      <c r="D625" s="22">
        <f>MONTH(Table12[[#This Row],[Order Date]])</f>
        <v>6</v>
      </c>
      <c r="E625" t="s">
        <v>1973</v>
      </c>
      <c r="F625" t="s">
        <v>1974</v>
      </c>
      <c r="G625" s="23" t="s">
        <v>41</v>
      </c>
      <c r="H625" s="23" t="s">
        <v>53</v>
      </c>
      <c r="I625" t="s">
        <v>1969</v>
      </c>
      <c r="J625" s="23" t="s">
        <v>22</v>
      </c>
      <c r="K625" s="22">
        <v>3</v>
      </c>
      <c r="L625" s="1">
        <v>41813</v>
      </c>
      <c r="M625" s="22">
        <f>Table12[[#This Row],[Ship Date]]-Table12[[#This Row],[Order Date]]</f>
        <v>2</v>
      </c>
      <c r="N625" s="23" t="s">
        <v>20</v>
      </c>
      <c r="O625" s="23" t="s">
        <v>23</v>
      </c>
      <c r="P625" s="23" t="s">
        <v>285</v>
      </c>
      <c r="Q625" s="23" t="s">
        <v>26</v>
      </c>
      <c r="R625" s="23" t="s">
        <v>1970</v>
      </c>
      <c r="S625" s="33">
        <v>0</v>
      </c>
      <c r="T625" s="13">
        <v>36.840000000000003</v>
      </c>
      <c r="U625" s="13">
        <v>10.315200000000001</v>
      </c>
      <c r="V625" s="55">
        <f>IFERROR(Table12[[#This Row],[Profit]]/Table12[[#This Row],[Sales]],0)</f>
        <v>0.27999999999999997</v>
      </c>
    </row>
    <row r="626" spans="1:22" x14ac:dyDescent="0.2">
      <c r="A626">
        <v>625</v>
      </c>
      <c r="B626" t="s">
        <v>2983</v>
      </c>
      <c r="C626" s="1">
        <v>41811</v>
      </c>
      <c r="D626" s="22">
        <f>MONTH(Table12[[#This Row],[Order Date]])</f>
        <v>6</v>
      </c>
      <c r="E626" t="s">
        <v>2984</v>
      </c>
      <c r="F626" t="s">
        <v>2985</v>
      </c>
      <c r="G626" s="23" t="s">
        <v>64</v>
      </c>
      <c r="H626" s="23" t="s">
        <v>65</v>
      </c>
      <c r="I626" t="s">
        <v>569</v>
      </c>
      <c r="J626" s="23" t="s">
        <v>22</v>
      </c>
      <c r="K626" s="22">
        <v>7</v>
      </c>
      <c r="L626" s="1">
        <v>41815</v>
      </c>
      <c r="M626" s="22">
        <f>Table12[[#This Row],[Ship Date]]-Table12[[#This Row],[Order Date]]</f>
        <v>4</v>
      </c>
      <c r="N626" s="23" t="s">
        <v>45</v>
      </c>
      <c r="O626" s="23" t="s">
        <v>23</v>
      </c>
      <c r="P626" s="23" t="s">
        <v>695</v>
      </c>
      <c r="Q626" s="23" t="s">
        <v>133</v>
      </c>
      <c r="R626" s="23" t="s">
        <v>990</v>
      </c>
      <c r="S626" s="33">
        <v>0</v>
      </c>
      <c r="T626" s="13">
        <v>1322.93</v>
      </c>
      <c r="U626" s="13">
        <v>357.19110000000001</v>
      </c>
      <c r="V626" s="55">
        <f>IFERROR(Table12[[#This Row],[Profit]]/Table12[[#This Row],[Sales]],0)</f>
        <v>0.27</v>
      </c>
    </row>
    <row r="627" spans="1:22" x14ac:dyDescent="0.2">
      <c r="A627">
        <v>626</v>
      </c>
      <c r="B627" t="s">
        <v>2983</v>
      </c>
      <c r="C627" s="1">
        <v>41811</v>
      </c>
      <c r="D627" s="22">
        <f>MONTH(Table12[[#This Row],[Order Date]])</f>
        <v>6</v>
      </c>
      <c r="E627" t="s">
        <v>2986</v>
      </c>
      <c r="F627" t="s">
        <v>2987</v>
      </c>
      <c r="G627" s="23" t="s">
        <v>41</v>
      </c>
      <c r="H627" s="23" t="s">
        <v>61</v>
      </c>
      <c r="I627" t="s">
        <v>569</v>
      </c>
      <c r="J627" s="23" t="s">
        <v>22</v>
      </c>
      <c r="K627" s="22">
        <v>2</v>
      </c>
      <c r="L627" s="1">
        <v>41815</v>
      </c>
      <c r="M627" s="22">
        <f>Table12[[#This Row],[Ship Date]]-Table12[[#This Row],[Order Date]]</f>
        <v>4</v>
      </c>
      <c r="N627" s="23" t="s">
        <v>45</v>
      </c>
      <c r="O627" s="23" t="s">
        <v>23</v>
      </c>
      <c r="P627" s="23" t="s">
        <v>695</v>
      </c>
      <c r="Q627" s="23" t="s">
        <v>133</v>
      </c>
      <c r="R627" s="23" t="s">
        <v>990</v>
      </c>
      <c r="S627" s="33">
        <v>0</v>
      </c>
      <c r="T627" s="13">
        <v>3.76</v>
      </c>
      <c r="U627" s="13">
        <v>1.0904</v>
      </c>
      <c r="V627" s="55">
        <f>IFERROR(Table12[[#This Row],[Profit]]/Table12[[#This Row],[Sales]],0)</f>
        <v>0.29000000000000004</v>
      </c>
    </row>
    <row r="628" spans="1:22" x14ac:dyDescent="0.2">
      <c r="A628">
        <v>627</v>
      </c>
      <c r="B628" t="s">
        <v>4072</v>
      </c>
      <c r="C628" s="1">
        <v>41811</v>
      </c>
      <c r="D628" s="22">
        <f>MONTH(Table12[[#This Row],[Order Date]])</f>
        <v>6</v>
      </c>
      <c r="E628" t="s">
        <v>115</v>
      </c>
      <c r="F628" t="s">
        <v>116</v>
      </c>
      <c r="G628" s="23" t="s">
        <v>41</v>
      </c>
      <c r="H628" s="23" t="s">
        <v>61</v>
      </c>
      <c r="I628" t="s">
        <v>3946</v>
      </c>
      <c r="J628" s="23" t="s">
        <v>22</v>
      </c>
      <c r="K628" s="22">
        <v>5</v>
      </c>
      <c r="L628" s="1">
        <v>41814</v>
      </c>
      <c r="M628" s="22">
        <f>Table12[[#This Row],[Ship Date]]-Table12[[#This Row],[Order Date]]</f>
        <v>3</v>
      </c>
      <c r="N628" s="23" t="s">
        <v>169</v>
      </c>
      <c r="O628" s="23" t="s">
        <v>23</v>
      </c>
      <c r="P628" s="23" t="s">
        <v>660</v>
      </c>
      <c r="Q628" s="23" t="s">
        <v>133</v>
      </c>
      <c r="R628" s="23" t="s">
        <v>4073</v>
      </c>
      <c r="S628" s="33">
        <v>0</v>
      </c>
      <c r="T628" s="13">
        <v>21.4</v>
      </c>
      <c r="U628" s="13">
        <v>6.2060000000000004</v>
      </c>
      <c r="V628" s="55">
        <f>IFERROR(Table12[[#This Row],[Profit]]/Table12[[#This Row],[Sales]],0)</f>
        <v>0.29000000000000004</v>
      </c>
    </row>
    <row r="629" spans="1:22" x14ac:dyDescent="0.2">
      <c r="A629">
        <v>628</v>
      </c>
      <c r="B629" t="s">
        <v>5167</v>
      </c>
      <c r="C629" s="1">
        <v>41811</v>
      </c>
      <c r="D629" s="22">
        <f>MONTH(Table12[[#This Row],[Order Date]])</f>
        <v>6</v>
      </c>
      <c r="E629" t="s">
        <v>3808</v>
      </c>
      <c r="F629" t="s">
        <v>3809</v>
      </c>
      <c r="G629" s="23" t="s">
        <v>41</v>
      </c>
      <c r="H629" s="23" t="s">
        <v>68</v>
      </c>
      <c r="I629" t="s">
        <v>5168</v>
      </c>
      <c r="J629" s="23" t="s">
        <v>22</v>
      </c>
      <c r="K629" s="22">
        <v>7</v>
      </c>
      <c r="L629" s="1">
        <v>41811</v>
      </c>
      <c r="M629" s="22">
        <f>Table12[[#This Row],[Ship Date]]-Table12[[#This Row],[Order Date]]</f>
        <v>0</v>
      </c>
      <c r="N629" s="23" t="s">
        <v>1141</v>
      </c>
      <c r="O629" s="23" t="s">
        <v>23</v>
      </c>
      <c r="P629" s="23" t="s">
        <v>405</v>
      </c>
      <c r="Q629" s="23" t="s">
        <v>39</v>
      </c>
      <c r="R629" s="23" t="s">
        <v>3177</v>
      </c>
      <c r="S629" s="33">
        <v>0.7</v>
      </c>
      <c r="T629" s="13">
        <v>11.087999999999999</v>
      </c>
      <c r="U629" s="13">
        <v>-8.1311999999999998</v>
      </c>
      <c r="V629" s="55">
        <f>IFERROR(Table12[[#This Row],[Profit]]/Table12[[#This Row],[Sales]],0)</f>
        <v>-0.73333333333333339</v>
      </c>
    </row>
    <row r="630" spans="1:22" x14ac:dyDescent="0.2">
      <c r="A630">
        <v>629</v>
      </c>
      <c r="B630" t="s">
        <v>5167</v>
      </c>
      <c r="C630" s="1">
        <v>41811</v>
      </c>
      <c r="D630" s="22">
        <f>MONTH(Table12[[#This Row],[Order Date]])</f>
        <v>6</v>
      </c>
      <c r="E630" t="s">
        <v>2529</v>
      </c>
      <c r="F630" t="s">
        <v>2530</v>
      </c>
      <c r="G630" s="23" t="s">
        <v>41</v>
      </c>
      <c r="H630" s="23" t="s">
        <v>68</v>
      </c>
      <c r="I630" t="s">
        <v>5168</v>
      </c>
      <c r="J630" s="23" t="s">
        <v>22</v>
      </c>
      <c r="K630" s="22">
        <v>2</v>
      </c>
      <c r="L630" s="1">
        <v>41811</v>
      </c>
      <c r="M630" s="22">
        <f>Table12[[#This Row],[Ship Date]]-Table12[[#This Row],[Order Date]]</f>
        <v>0</v>
      </c>
      <c r="N630" s="23" t="s">
        <v>1141</v>
      </c>
      <c r="O630" s="23" t="s">
        <v>23</v>
      </c>
      <c r="P630" s="23" t="s">
        <v>405</v>
      </c>
      <c r="Q630" s="23" t="s">
        <v>39</v>
      </c>
      <c r="R630" s="23" t="s">
        <v>3177</v>
      </c>
      <c r="S630" s="33">
        <v>0.7</v>
      </c>
      <c r="T630" s="13">
        <v>25.164000000000001</v>
      </c>
      <c r="U630" s="13">
        <v>-16.776</v>
      </c>
      <c r="V630" s="55">
        <f>IFERROR(Table12[[#This Row],[Profit]]/Table12[[#This Row],[Sales]],0)</f>
        <v>-0.66666666666666663</v>
      </c>
    </row>
    <row r="631" spans="1:22" x14ac:dyDescent="0.2">
      <c r="A631">
        <v>630</v>
      </c>
      <c r="B631" t="s">
        <v>5520</v>
      </c>
      <c r="C631" s="1">
        <v>41811</v>
      </c>
      <c r="D631" s="22">
        <f>MONTH(Table12[[#This Row],[Order Date]])</f>
        <v>6</v>
      </c>
      <c r="E631" t="s">
        <v>2880</v>
      </c>
      <c r="F631" t="s">
        <v>591</v>
      </c>
      <c r="G631" s="23" t="s">
        <v>41</v>
      </c>
      <c r="H631" s="23" t="s">
        <v>155</v>
      </c>
      <c r="I631" t="s">
        <v>3774</v>
      </c>
      <c r="J631" s="23" t="s">
        <v>22</v>
      </c>
      <c r="K631" s="22">
        <v>4</v>
      </c>
      <c r="L631" s="1">
        <v>41815</v>
      </c>
      <c r="M631" s="22">
        <f>Table12[[#This Row],[Ship Date]]-Table12[[#This Row],[Order Date]]</f>
        <v>4</v>
      </c>
      <c r="N631" s="23" t="s">
        <v>45</v>
      </c>
      <c r="O631" s="23" t="s">
        <v>23</v>
      </c>
      <c r="P631" s="23" t="s">
        <v>132</v>
      </c>
      <c r="Q631" s="23" t="s">
        <v>133</v>
      </c>
      <c r="R631" s="23" t="s">
        <v>131</v>
      </c>
      <c r="S631" s="33">
        <v>0.2</v>
      </c>
      <c r="T631" s="13">
        <v>24.896000000000001</v>
      </c>
      <c r="U631" s="13">
        <v>8.4024000000000001</v>
      </c>
      <c r="V631" s="55">
        <f>IFERROR(Table12[[#This Row],[Profit]]/Table12[[#This Row],[Sales]],0)</f>
        <v>0.33749999999999997</v>
      </c>
    </row>
    <row r="632" spans="1:22" x14ac:dyDescent="0.2">
      <c r="A632">
        <v>631</v>
      </c>
      <c r="B632" t="s">
        <v>5520</v>
      </c>
      <c r="C632" s="1">
        <v>41811</v>
      </c>
      <c r="D632" s="22">
        <f>MONTH(Table12[[#This Row],[Order Date]])</f>
        <v>6</v>
      </c>
      <c r="E632" t="s">
        <v>5521</v>
      </c>
      <c r="F632" t="s">
        <v>5522</v>
      </c>
      <c r="G632" s="23" t="s">
        <v>28</v>
      </c>
      <c r="H632" s="23" t="s">
        <v>58</v>
      </c>
      <c r="I632" t="s">
        <v>3774</v>
      </c>
      <c r="J632" s="23" t="s">
        <v>22</v>
      </c>
      <c r="K632" s="22">
        <v>1</v>
      </c>
      <c r="L632" s="1">
        <v>41815</v>
      </c>
      <c r="M632" s="22">
        <f>Table12[[#This Row],[Ship Date]]-Table12[[#This Row],[Order Date]]</f>
        <v>4</v>
      </c>
      <c r="N632" s="23" t="s">
        <v>45</v>
      </c>
      <c r="O632" s="23" t="s">
        <v>23</v>
      </c>
      <c r="P632" s="23" t="s">
        <v>132</v>
      </c>
      <c r="Q632" s="23" t="s">
        <v>133</v>
      </c>
      <c r="R632" s="23" t="s">
        <v>131</v>
      </c>
      <c r="S632" s="33">
        <v>0.2</v>
      </c>
      <c r="T632" s="13">
        <v>3.984</v>
      </c>
      <c r="U632" s="13">
        <v>0.64739999999999998</v>
      </c>
      <c r="V632" s="55">
        <f>IFERROR(Table12[[#This Row],[Profit]]/Table12[[#This Row],[Sales]],0)</f>
        <v>0.16250000000000001</v>
      </c>
    </row>
    <row r="633" spans="1:22" x14ac:dyDescent="0.2">
      <c r="A633">
        <v>632</v>
      </c>
      <c r="B633" t="s">
        <v>5520</v>
      </c>
      <c r="C633" s="1">
        <v>41811</v>
      </c>
      <c r="D633" s="22">
        <f>MONTH(Table12[[#This Row],[Order Date]])</f>
        <v>6</v>
      </c>
      <c r="E633" t="s">
        <v>897</v>
      </c>
      <c r="F633" t="s">
        <v>898</v>
      </c>
      <c r="G633" s="23" t="s">
        <v>64</v>
      </c>
      <c r="H633" s="23" t="s">
        <v>144</v>
      </c>
      <c r="I633" t="s">
        <v>3774</v>
      </c>
      <c r="J633" s="23" t="s">
        <v>22</v>
      </c>
      <c r="K633" s="22">
        <v>4</v>
      </c>
      <c r="L633" s="1">
        <v>41815</v>
      </c>
      <c r="M633" s="22">
        <f>Table12[[#This Row],[Ship Date]]-Table12[[#This Row],[Order Date]]</f>
        <v>4</v>
      </c>
      <c r="N633" s="23" t="s">
        <v>45</v>
      </c>
      <c r="O633" s="23" t="s">
        <v>23</v>
      </c>
      <c r="P633" s="23" t="s">
        <v>132</v>
      </c>
      <c r="Q633" s="23" t="s">
        <v>133</v>
      </c>
      <c r="R633" s="23" t="s">
        <v>131</v>
      </c>
      <c r="S633" s="33">
        <v>0.2</v>
      </c>
      <c r="T633" s="13">
        <v>95.968000000000004</v>
      </c>
      <c r="U633" s="13">
        <v>28.790400000000002</v>
      </c>
      <c r="V633" s="55">
        <f>IFERROR(Table12[[#This Row],[Profit]]/Table12[[#This Row],[Sales]],0)</f>
        <v>0.3</v>
      </c>
    </row>
    <row r="634" spans="1:22" x14ac:dyDescent="0.2">
      <c r="A634">
        <v>633</v>
      </c>
      <c r="B634" t="s">
        <v>5520</v>
      </c>
      <c r="C634" s="1">
        <v>41811</v>
      </c>
      <c r="D634" s="22">
        <f>MONTH(Table12[[#This Row],[Order Date]])</f>
        <v>6</v>
      </c>
      <c r="E634" t="s">
        <v>5523</v>
      </c>
      <c r="F634" t="s">
        <v>5524</v>
      </c>
      <c r="G634" s="23" t="s">
        <v>64</v>
      </c>
      <c r="H634" s="23" t="s">
        <v>602</v>
      </c>
      <c r="I634" t="s">
        <v>3774</v>
      </c>
      <c r="J634" s="23" t="s">
        <v>22</v>
      </c>
      <c r="K634" s="22">
        <v>3</v>
      </c>
      <c r="L634" s="1">
        <v>41815</v>
      </c>
      <c r="M634" s="22">
        <f>Table12[[#This Row],[Ship Date]]-Table12[[#This Row],[Order Date]]</f>
        <v>4</v>
      </c>
      <c r="N634" s="23" t="s">
        <v>45</v>
      </c>
      <c r="O634" s="23" t="s">
        <v>23</v>
      </c>
      <c r="P634" s="23" t="s">
        <v>132</v>
      </c>
      <c r="Q634" s="23" t="s">
        <v>133</v>
      </c>
      <c r="R634" s="23" t="s">
        <v>131</v>
      </c>
      <c r="S634" s="33">
        <v>0.7</v>
      </c>
      <c r="T634" s="13">
        <v>206.99100000000001</v>
      </c>
      <c r="U634" s="13">
        <v>-172.49250000000001</v>
      </c>
      <c r="V634" s="55">
        <f>IFERROR(Table12[[#This Row],[Profit]]/Table12[[#This Row],[Sales]],0)</f>
        <v>-0.83333333333333326</v>
      </c>
    </row>
    <row r="635" spans="1:22" x14ac:dyDescent="0.2">
      <c r="A635">
        <v>634</v>
      </c>
      <c r="B635" t="s">
        <v>5520</v>
      </c>
      <c r="C635" s="1">
        <v>41811</v>
      </c>
      <c r="D635" s="22">
        <f>MONTH(Table12[[#This Row],[Order Date]])</f>
        <v>6</v>
      </c>
      <c r="E635" t="s">
        <v>3906</v>
      </c>
      <c r="F635" t="s">
        <v>3907</v>
      </c>
      <c r="G635" s="23" t="s">
        <v>41</v>
      </c>
      <c r="H635" s="23" t="s">
        <v>71</v>
      </c>
      <c r="I635" t="s">
        <v>3774</v>
      </c>
      <c r="J635" s="23" t="s">
        <v>22</v>
      </c>
      <c r="K635" s="22">
        <v>2</v>
      </c>
      <c r="L635" s="1">
        <v>41815</v>
      </c>
      <c r="M635" s="22">
        <f>Table12[[#This Row],[Ship Date]]-Table12[[#This Row],[Order Date]]</f>
        <v>4</v>
      </c>
      <c r="N635" s="23" t="s">
        <v>45</v>
      </c>
      <c r="O635" s="23" t="s">
        <v>23</v>
      </c>
      <c r="P635" s="23" t="s">
        <v>132</v>
      </c>
      <c r="Q635" s="23" t="s">
        <v>133</v>
      </c>
      <c r="R635" s="23" t="s">
        <v>131</v>
      </c>
      <c r="S635" s="33">
        <v>0.2</v>
      </c>
      <c r="T635" s="13">
        <v>44.415999999999997</v>
      </c>
      <c r="U635" s="13">
        <v>3.8864000000000001</v>
      </c>
      <c r="V635" s="55">
        <f>IFERROR(Table12[[#This Row],[Profit]]/Table12[[#This Row],[Sales]],0)</f>
        <v>8.7500000000000008E-2</v>
      </c>
    </row>
    <row r="636" spans="1:22" x14ac:dyDescent="0.2">
      <c r="A636">
        <v>635</v>
      </c>
      <c r="B636" t="s">
        <v>5520</v>
      </c>
      <c r="C636" s="1">
        <v>41811</v>
      </c>
      <c r="D636" s="22">
        <f>MONTH(Table12[[#This Row],[Order Date]])</f>
        <v>6</v>
      </c>
      <c r="E636" t="s">
        <v>1683</v>
      </c>
      <c r="F636" t="s">
        <v>1684</v>
      </c>
      <c r="G636" s="23" t="s">
        <v>41</v>
      </c>
      <c r="H636" s="23" t="s">
        <v>68</v>
      </c>
      <c r="I636" t="s">
        <v>3774</v>
      </c>
      <c r="J636" s="23" t="s">
        <v>22</v>
      </c>
      <c r="K636" s="22">
        <v>2</v>
      </c>
      <c r="L636" s="1">
        <v>41815</v>
      </c>
      <c r="M636" s="22">
        <f>Table12[[#This Row],[Ship Date]]-Table12[[#This Row],[Order Date]]</f>
        <v>4</v>
      </c>
      <c r="N636" s="23" t="s">
        <v>45</v>
      </c>
      <c r="O636" s="23" t="s">
        <v>23</v>
      </c>
      <c r="P636" s="23" t="s">
        <v>132</v>
      </c>
      <c r="Q636" s="23" t="s">
        <v>133</v>
      </c>
      <c r="R636" s="23" t="s">
        <v>131</v>
      </c>
      <c r="S636" s="33">
        <v>0.7</v>
      </c>
      <c r="T636" s="13">
        <v>9.0060000000000002</v>
      </c>
      <c r="U636" s="13">
        <v>-7.2047999999999996</v>
      </c>
      <c r="V636" s="55">
        <f>IFERROR(Table12[[#This Row],[Profit]]/Table12[[#This Row],[Sales]],0)</f>
        <v>-0.79999999999999993</v>
      </c>
    </row>
    <row r="637" spans="1:22" x14ac:dyDescent="0.2">
      <c r="A637">
        <v>636</v>
      </c>
      <c r="B637" t="s">
        <v>6741</v>
      </c>
      <c r="C637" s="1">
        <v>41811</v>
      </c>
      <c r="D637" s="22">
        <f>MONTH(Table12[[#This Row],[Order Date]])</f>
        <v>6</v>
      </c>
      <c r="E637" t="s">
        <v>4481</v>
      </c>
      <c r="F637" t="s">
        <v>4482</v>
      </c>
      <c r="G637" s="23" t="s">
        <v>41</v>
      </c>
      <c r="H637" s="23" t="s">
        <v>82</v>
      </c>
      <c r="I637" t="s">
        <v>3779</v>
      </c>
      <c r="J637" s="23" t="s">
        <v>22</v>
      </c>
      <c r="K637" s="22">
        <v>3</v>
      </c>
      <c r="L637" s="1">
        <v>41814</v>
      </c>
      <c r="M637" s="22">
        <f>Table12[[#This Row],[Ship Date]]-Table12[[#This Row],[Order Date]]</f>
        <v>3</v>
      </c>
      <c r="N637" s="23" t="s">
        <v>169</v>
      </c>
      <c r="O637" s="23" t="s">
        <v>23</v>
      </c>
      <c r="P637" s="23" t="s">
        <v>238</v>
      </c>
      <c r="Q637" s="23" t="s">
        <v>133</v>
      </c>
      <c r="R637" s="23" t="s">
        <v>237</v>
      </c>
      <c r="S637" s="33">
        <v>0</v>
      </c>
      <c r="T637" s="13">
        <v>19.649999999999999</v>
      </c>
      <c r="U637" s="13">
        <v>9.0389999999999997</v>
      </c>
      <c r="V637" s="55">
        <f>IFERROR(Table12[[#This Row],[Profit]]/Table12[[#This Row],[Sales]],0)</f>
        <v>0.46</v>
      </c>
    </row>
    <row r="638" spans="1:22" x14ac:dyDescent="0.2">
      <c r="A638">
        <v>637</v>
      </c>
      <c r="B638" t="s">
        <v>6741</v>
      </c>
      <c r="C638" s="1">
        <v>41811</v>
      </c>
      <c r="D638" s="22">
        <f>MONTH(Table12[[#This Row],[Order Date]])</f>
        <v>6</v>
      </c>
      <c r="E638" t="s">
        <v>1770</v>
      </c>
      <c r="F638" t="s">
        <v>1771</v>
      </c>
      <c r="G638" s="23" t="s">
        <v>64</v>
      </c>
      <c r="H638" s="23" t="s">
        <v>65</v>
      </c>
      <c r="I638" t="s">
        <v>3779</v>
      </c>
      <c r="J638" s="23" t="s">
        <v>22</v>
      </c>
      <c r="K638" s="22">
        <v>3</v>
      </c>
      <c r="L638" s="1">
        <v>41814</v>
      </c>
      <c r="M638" s="22">
        <f>Table12[[#This Row],[Ship Date]]-Table12[[#This Row],[Order Date]]</f>
        <v>3</v>
      </c>
      <c r="N638" s="23" t="s">
        <v>169</v>
      </c>
      <c r="O638" s="23" t="s">
        <v>23</v>
      </c>
      <c r="P638" s="23" t="s">
        <v>238</v>
      </c>
      <c r="Q638" s="23" t="s">
        <v>133</v>
      </c>
      <c r="R638" s="23" t="s">
        <v>237</v>
      </c>
      <c r="S638" s="33">
        <v>0</v>
      </c>
      <c r="T638" s="13">
        <v>617.97</v>
      </c>
      <c r="U638" s="13">
        <v>160.6722</v>
      </c>
      <c r="V638" s="55">
        <f>IFERROR(Table12[[#This Row],[Profit]]/Table12[[#This Row],[Sales]],0)</f>
        <v>0.26</v>
      </c>
    </row>
    <row r="639" spans="1:22" x14ac:dyDescent="0.2">
      <c r="A639">
        <v>638</v>
      </c>
      <c r="B639" t="s">
        <v>6741</v>
      </c>
      <c r="C639" s="1">
        <v>41811</v>
      </c>
      <c r="D639" s="22">
        <f>MONTH(Table12[[#This Row],[Order Date]])</f>
        <v>6</v>
      </c>
      <c r="E639" t="s">
        <v>3248</v>
      </c>
      <c r="F639" t="s">
        <v>3249</v>
      </c>
      <c r="G639" s="23" t="s">
        <v>41</v>
      </c>
      <c r="H639" s="23" t="s">
        <v>71</v>
      </c>
      <c r="I639" t="s">
        <v>3779</v>
      </c>
      <c r="J639" s="23" t="s">
        <v>22</v>
      </c>
      <c r="K639" s="22">
        <v>3</v>
      </c>
      <c r="L639" s="1">
        <v>41814</v>
      </c>
      <c r="M639" s="22">
        <f>Table12[[#This Row],[Ship Date]]-Table12[[#This Row],[Order Date]]</f>
        <v>3</v>
      </c>
      <c r="N639" s="23" t="s">
        <v>169</v>
      </c>
      <c r="O639" s="23" t="s">
        <v>23</v>
      </c>
      <c r="P639" s="23" t="s">
        <v>238</v>
      </c>
      <c r="Q639" s="23" t="s">
        <v>133</v>
      </c>
      <c r="R639" s="23" t="s">
        <v>237</v>
      </c>
      <c r="S639" s="33">
        <v>0</v>
      </c>
      <c r="T639" s="13">
        <v>59.7</v>
      </c>
      <c r="U639" s="13">
        <v>26.864999999999998</v>
      </c>
      <c r="V639" s="55">
        <f>IFERROR(Table12[[#This Row],[Profit]]/Table12[[#This Row],[Sales]],0)</f>
        <v>0.44999999999999996</v>
      </c>
    </row>
    <row r="640" spans="1:22" x14ac:dyDescent="0.2">
      <c r="A640">
        <v>639</v>
      </c>
      <c r="B640" t="s">
        <v>7274</v>
      </c>
      <c r="C640" s="1">
        <v>41811</v>
      </c>
      <c r="D640" s="22">
        <f>MONTH(Table12[[#This Row],[Order Date]])</f>
        <v>6</v>
      </c>
      <c r="E640" t="s">
        <v>4448</v>
      </c>
      <c r="F640" t="s">
        <v>4449</v>
      </c>
      <c r="G640" s="23" t="s">
        <v>64</v>
      </c>
      <c r="H640" s="23" t="s">
        <v>65</v>
      </c>
      <c r="I640" t="s">
        <v>3761</v>
      </c>
      <c r="J640" s="23" t="s">
        <v>22</v>
      </c>
      <c r="K640" s="22">
        <v>3</v>
      </c>
      <c r="L640" s="1">
        <v>41811</v>
      </c>
      <c r="M640" s="22">
        <f>Table12[[#This Row],[Ship Date]]-Table12[[#This Row],[Order Date]]</f>
        <v>0</v>
      </c>
      <c r="N640" s="23" t="s">
        <v>1141</v>
      </c>
      <c r="O640" s="23" t="s">
        <v>23</v>
      </c>
      <c r="P640" s="23" t="s">
        <v>238</v>
      </c>
      <c r="Q640" s="23" t="s">
        <v>133</v>
      </c>
      <c r="R640" s="23" t="s">
        <v>1037</v>
      </c>
      <c r="S640" s="33">
        <v>0</v>
      </c>
      <c r="T640" s="13">
        <v>1214.8499999999999</v>
      </c>
      <c r="U640" s="13">
        <v>352.30650000000003</v>
      </c>
      <c r="V640" s="55">
        <f>IFERROR(Table12[[#This Row],[Profit]]/Table12[[#This Row],[Sales]],0)</f>
        <v>0.29000000000000004</v>
      </c>
    </row>
    <row r="641" spans="1:22" x14ac:dyDescent="0.2">
      <c r="A641">
        <v>640</v>
      </c>
      <c r="B641" t="s">
        <v>1302</v>
      </c>
      <c r="C641" s="1">
        <v>41812</v>
      </c>
      <c r="D641" s="22">
        <f>MONTH(Table12[[#This Row],[Order Date]])</f>
        <v>6</v>
      </c>
      <c r="E641" t="s">
        <v>1304</v>
      </c>
      <c r="F641" t="s">
        <v>1305</v>
      </c>
      <c r="G641" s="23" t="s">
        <v>64</v>
      </c>
      <c r="H641" s="23" t="s">
        <v>144</v>
      </c>
      <c r="I641" t="s">
        <v>297</v>
      </c>
      <c r="J641" s="23" t="s">
        <v>22</v>
      </c>
      <c r="K641" s="22">
        <v>6</v>
      </c>
      <c r="L641" s="1">
        <v>41815</v>
      </c>
      <c r="M641" s="22">
        <f>Table12[[#This Row],[Ship Date]]-Table12[[#This Row],[Order Date]]</f>
        <v>3</v>
      </c>
      <c r="N641" s="23" t="s">
        <v>169</v>
      </c>
      <c r="O641" s="23" t="s">
        <v>23</v>
      </c>
      <c r="P641" s="23" t="s">
        <v>405</v>
      </c>
      <c r="Q641" s="23" t="s">
        <v>39</v>
      </c>
      <c r="R641" s="23" t="s">
        <v>1303</v>
      </c>
      <c r="S641" s="33">
        <v>0.2</v>
      </c>
      <c r="T641" s="13">
        <v>196.75200000000001</v>
      </c>
      <c r="U641" s="13">
        <v>56.566200000000002</v>
      </c>
      <c r="V641" s="55">
        <f>IFERROR(Table12[[#This Row],[Profit]]/Table12[[#This Row],[Sales]],0)</f>
        <v>0.28749999999999998</v>
      </c>
    </row>
    <row r="642" spans="1:22" x14ac:dyDescent="0.2">
      <c r="A642">
        <v>641</v>
      </c>
      <c r="B642" t="s">
        <v>4514</v>
      </c>
      <c r="C642" s="1">
        <v>41812</v>
      </c>
      <c r="D642" s="22">
        <f>MONTH(Table12[[#This Row],[Order Date]])</f>
        <v>6</v>
      </c>
      <c r="E642" t="s">
        <v>2578</v>
      </c>
      <c r="F642" t="s">
        <v>2579</v>
      </c>
      <c r="G642" s="23" t="s">
        <v>41</v>
      </c>
      <c r="H642" s="23" t="s">
        <v>53</v>
      </c>
      <c r="I642" t="s">
        <v>1733</v>
      </c>
      <c r="J642" s="23" t="s">
        <v>22</v>
      </c>
      <c r="K642" s="22">
        <v>3</v>
      </c>
      <c r="L642" s="1">
        <v>41814</v>
      </c>
      <c r="M642" s="22">
        <f>Table12[[#This Row],[Ship Date]]-Table12[[#This Row],[Order Date]]</f>
        <v>2</v>
      </c>
      <c r="N642" s="23" t="s">
        <v>169</v>
      </c>
      <c r="O642" s="23" t="s">
        <v>23</v>
      </c>
      <c r="P642" s="23" t="s">
        <v>204</v>
      </c>
      <c r="Q642" s="23" t="s">
        <v>95</v>
      </c>
      <c r="R642" s="23" t="s">
        <v>364</v>
      </c>
      <c r="S642" s="33">
        <v>0</v>
      </c>
      <c r="T642" s="13">
        <v>501.81</v>
      </c>
      <c r="U642" s="13">
        <v>0</v>
      </c>
      <c r="V642" s="55">
        <f>IFERROR(Table12[[#This Row],[Profit]]/Table12[[#This Row],[Sales]],0)</f>
        <v>0</v>
      </c>
    </row>
    <row r="643" spans="1:22" x14ac:dyDescent="0.2">
      <c r="A643">
        <v>642</v>
      </c>
      <c r="B643" t="s">
        <v>4514</v>
      </c>
      <c r="C643" s="1">
        <v>41812</v>
      </c>
      <c r="D643" s="22">
        <f>MONTH(Table12[[#This Row],[Order Date]])</f>
        <v>6</v>
      </c>
      <c r="E643" t="s">
        <v>1383</v>
      </c>
      <c r="F643" t="s">
        <v>1384</v>
      </c>
      <c r="G643" s="23" t="s">
        <v>41</v>
      </c>
      <c r="H643" s="23" t="s">
        <v>53</v>
      </c>
      <c r="I643" t="s">
        <v>1733</v>
      </c>
      <c r="J643" s="23" t="s">
        <v>22</v>
      </c>
      <c r="K643" s="22">
        <v>3</v>
      </c>
      <c r="L643" s="1">
        <v>41814</v>
      </c>
      <c r="M643" s="22">
        <f>Table12[[#This Row],[Ship Date]]-Table12[[#This Row],[Order Date]]</f>
        <v>2</v>
      </c>
      <c r="N643" s="23" t="s">
        <v>169</v>
      </c>
      <c r="O643" s="23" t="s">
        <v>23</v>
      </c>
      <c r="P643" s="23" t="s">
        <v>204</v>
      </c>
      <c r="Q643" s="23" t="s">
        <v>95</v>
      </c>
      <c r="R643" s="23" t="s">
        <v>364</v>
      </c>
      <c r="S643" s="33">
        <v>0</v>
      </c>
      <c r="T643" s="13">
        <v>161.94</v>
      </c>
      <c r="U643" s="13">
        <v>9.7164000000000001</v>
      </c>
      <c r="V643" s="55">
        <f>IFERROR(Table12[[#This Row],[Profit]]/Table12[[#This Row],[Sales]],0)</f>
        <v>6.0000000000000005E-2</v>
      </c>
    </row>
    <row r="644" spans="1:22" x14ac:dyDescent="0.2">
      <c r="A644">
        <v>643</v>
      </c>
      <c r="B644" t="s">
        <v>6431</v>
      </c>
      <c r="C644" s="1">
        <v>41812</v>
      </c>
      <c r="D644" s="22">
        <f>MONTH(Table12[[#This Row],[Order Date]])</f>
        <v>6</v>
      </c>
      <c r="E644" t="s">
        <v>633</v>
      </c>
      <c r="F644" t="s">
        <v>634</v>
      </c>
      <c r="G644" s="23" t="s">
        <v>28</v>
      </c>
      <c r="H644" s="23" t="s">
        <v>32</v>
      </c>
      <c r="I644" t="s">
        <v>6432</v>
      </c>
      <c r="J644" s="23" t="s">
        <v>22</v>
      </c>
      <c r="K644" s="22">
        <v>3</v>
      </c>
      <c r="L644" s="1">
        <v>41817</v>
      </c>
      <c r="M644" s="22">
        <f>Table12[[#This Row],[Ship Date]]-Table12[[#This Row],[Order Date]]</f>
        <v>5</v>
      </c>
      <c r="N644" s="23" t="s">
        <v>45</v>
      </c>
      <c r="O644" s="23" t="s">
        <v>23</v>
      </c>
      <c r="P644" s="23" t="s">
        <v>132</v>
      </c>
      <c r="Q644" s="23" t="s">
        <v>133</v>
      </c>
      <c r="R644" s="23" t="s">
        <v>1983</v>
      </c>
      <c r="S644" s="33">
        <v>0.3</v>
      </c>
      <c r="T644" s="13">
        <v>170.05799999999999</v>
      </c>
      <c r="U644" s="13">
        <v>-4.8587999999999996</v>
      </c>
      <c r="V644" s="55">
        <f>IFERROR(Table12[[#This Row],[Profit]]/Table12[[#This Row],[Sales]],0)</f>
        <v>-2.8571428571428571E-2</v>
      </c>
    </row>
    <row r="645" spans="1:22" x14ac:dyDescent="0.2">
      <c r="A645">
        <v>644</v>
      </c>
      <c r="B645" t="s">
        <v>6431</v>
      </c>
      <c r="C645" s="1">
        <v>41812</v>
      </c>
      <c r="D645" s="22">
        <f>MONTH(Table12[[#This Row],[Order Date]])</f>
        <v>6</v>
      </c>
      <c r="E645" t="s">
        <v>190</v>
      </c>
      <c r="F645" t="s">
        <v>191</v>
      </c>
      <c r="G645" s="23" t="s">
        <v>64</v>
      </c>
      <c r="H645" s="23" t="s">
        <v>65</v>
      </c>
      <c r="I645" t="s">
        <v>6432</v>
      </c>
      <c r="J645" s="23" t="s">
        <v>22</v>
      </c>
      <c r="K645" s="22">
        <v>3</v>
      </c>
      <c r="L645" s="1">
        <v>41817</v>
      </c>
      <c r="M645" s="22">
        <f>Table12[[#This Row],[Ship Date]]-Table12[[#This Row],[Order Date]]</f>
        <v>5</v>
      </c>
      <c r="N645" s="23" t="s">
        <v>45</v>
      </c>
      <c r="O645" s="23" t="s">
        <v>23</v>
      </c>
      <c r="P645" s="23" t="s">
        <v>132</v>
      </c>
      <c r="Q645" s="23" t="s">
        <v>133</v>
      </c>
      <c r="R645" s="23" t="s">
        <v>1983</v>
      </c>
      <c r="S645" s="33">
        <v>0.4</v>
      </c>
      <c r="T645" s="13">
        <v>82.781999999999996</v>
      </c>
      <c r="U645" s="13">
        <v>-15.1767</v>
      </c>
      <c r="V645" s="55">
        <f>IFERROR(Table12[[#This Row],[Profit]]/Table12[[#This Row],[Sales]],0)</f>
        <v>-0.18333333333333335</v>
      </c>
    </row>
    <row r="646" spans="1:22" x14ac:dyDescent="0.2">
      <c r="A646">
        <v>645</v>
      </c>
      <c r="B646" t="s">
        <v>6431</v>
      </c>
      <c r="C646" s="1">
        <v>41812</v>
      </c>
      <c r="D646" s="22">
        <f>MONTH(Table12[[#This Row],[Order Date]])</f>
        <v>6</v>
      </c>
      <c r="E646" t="s">
        <v>31</v>
      </c>
      <c r="F646" t="s">
        <v>33</v>
      </c>
      <c r="G646" s="23" t="s">
        <v>28</v>
      </c>
      <c r="H646" s="23" t="s">
        <v>32</v>
      </c>
      <c r="I646" t="s">
        <v>6432</v>
      </c>
      <c r="J646" s="23" t="s">
        <v>22</v>
      </c>
      <c r="K646" s="22">
        <v>5</v>
      </c>
      <c r="L646" s="1">
        <v>41817</v>
      </c>
      <c r="M646" s="22">
        <f>Table12[[#This Row],[Ship Date]]-Table12[[#This Row],[Order Date]]</f>
        <v>5</v>
      </c>
      <c r="N646" s="23" t="s">
        <v>45</v>
      </c>
      <c r="O646" s="23" t="s">
        <v>23</v>
      </c>
      <c r="P646" s="23" t="s">
        <v>132</v>
      </c>
      <c r="Q646" s="23" t="s">
        <v>133</v>
      </c>
      <c r="R646" s="23" t="s">
        <v>1983</v>
      </c>
      <c r="S646" s="33">
        <v>0.3</v>
      </c>
      <c r="T646" s="13">
        <v>853.93</v>
      </c>
      <c r="U646" s="13">
        <v>0</v>
      </c>
      <c r="V646" s="55">
        <f>IFERROR(Table12[[#This Row],[Profit]]/Table12[[#This Row],[Sales]],0)</f>
        <v>0</v>
      </c>
    </row>
    <row r="647" spans="1:22" x14ac:dyDescent="0.2">
      <c r="A647">
        <v>646</v>
      </c>
      <c r="B647" t="s">
        <v>9580</v>
      </c>
      <c r="C647" s="1">
        <v>41812</v>
      </c>
      <c r="D647" s="22">
        <f>MONTH(Table12[[#This Row],[Order Date]])</f>
        <v>6</v>
      </c>
      <c r="E647" t="s">
        <v>4784</v>
      </c>
      <c r="F647" t="s">
        <v>4785</v>
      </c>
      <c r="G647" s="23" t="s">
        <v>41</v>
      </c>
      <c r="H647" s="23" t="s">
        <v>68</v>
      </c>
      <c r="I647" t="s">
        <v>3779</v>
      </c>
      <c r="J647" s="23" t="s">
        <v>22</v>
      </c>
      <c r="K647" s="22">
        <v>3</v>
      </c>
      <c r="L647" s="1">
        <v>41812</v>
      </c>
      <c r="M647" s="22">
        <f>Table12[[#This Row],[Ship Date]]-Table12[[#This Row],[Order Date]]</f>
        <v>0</v>
      </c>
      <c r="N647" s="23" t="s">
        <v>1141</v>
      </c>
      <c r="O647" s="23" t="s">
        <v>23</v>
      </c>
      <c r="P647" s="23" t="s">
        <v>277</v>
      </c>
      <c r="Q647" s="23" t="s">
        <v>39</v>
      </c>
      <c r="R647" s="23" t="s">
        <v>481</v>
      </c>
      <c r="S647" s="33">
        <v>0.7</v>
      </c>
      <c r="T647" s="13">
        <v>8.2260000000000009</v>
      </c>
      <c r="U647" s="13">
        <v>-6.0324</v>
      </c>
      <c r="V647" s="55">
        <f>IFERROR(Table12[[#This Row],[Profit]]/Table12[[#This Row],[Sales]],0)</f>
        <v>-0.73333333333333328</v>
      </c>
    </row>
    <row r="648" spans="1:22" x14ac:dyDescent="0.2">
      <c r="A648">
        <v>647</v>
      </c>
      <c r="B648" t="s">
        <v>4469</v>
      </c>
      <c r="C648" s="1">
        <v>41813</v>
      </c>
      <c r="D648" s="22">
        <f>MONTH(Table12[[#This Row],[Order Date]])</f>
        <v>6</v>
      </c>
      <c r="E648" t="s">
        <v>1249</v>
      </c>
      <c r="F648" t="s">
        <v>1250</v>
      </c>
      <c r="G648" s="23" t="s">
        <v>64</v>
      </c>
      <c r="H648" s="23" t="s">
        <v>144</v>
      </c>
      <c r="I648" t="s">
        <v>4470</v>
      </c>
      <c r="J648" s="23" t="s">
        <v>22</v>
      </c>
      <c r="K648" s="22">
        <v>3</v>
      </c>
      <c r="L648" s="1">
        <v>41818</v>
      </c>
      <c r="M648" s="22">
        <f>Table12[[#This Row],[Ship Date]]-Table12[[#This Row],[Order Date]]</f>
        <v>5</v>
      </c>
      <c r="N648" s="23" t="s">
        <v>45</v>
      </c>
      <c r="O648" s="23" t="s">
        <v>23</v>
      </c>
      <c r="P648" s="23" t="s">
        <v>132</v>
      </c>
      <c r="Q648" s="23" t="s">
        <v>133</v>
      </c>
      <c r="R648" s="23" t="s">
        <v>131</v>
      </c>
      <c r="S648" s="33">
        <v>0.2</v>
      </c>
      <c r="T648" s="13">
        <v>86.376000000000005</v>
      </c>
      <c r="U648" s="13">
        <v>1.0797000000000001</v>
      </c>
      <c r="V648" s="55">
        <f>IFERROR(Table12[[#This Row],[Profit]]/Table12[[#This Row],[Sales]],0)</f>
        <v>1.2500000000000001E-2</v>
      </c>
    </row>
    <row r="649" spans="1:22" x14ac:dyDescent="0.2">
      <c r="A649">
        <v>648</v>
      </c>
      <c r="B649" t="s">
        <v>6457</v>
      </c>
      <c r="C649" s="1">
        <v>41813</v>
      </c>
      <c r="D649" s="22">
        <f>MONTH(Table12[[#This Row],[Order Date]])</f>
        <v>6</v>
      </c>
      <c r="E649" t="s">
        <v>6458</v>
      </c>
      <c r="F649" t="s">
        <v>3726</v>
      </c>
      <c r="G649" s="23" t="s">
        <v>41</v>
      </c>
      <c r="H649" s="23" t="s">
        <v>61</v>
      </c>
      <c r="I649" t="s">
        <v>5325</v>
      </c>
      <c r="J649" s="23" t="s">
        <v>22</v>
      </c>
      <c r="K649" s="22">
        <v>9</v>
      </c>
      <c r="L649" s="1">
        <v>41816</v>
      </c>
      <c r="M649" s="22">
        <f>Table12[[#This Row],[Ship Date]]-Table12[[#This Row],[Order Date]]</f>
        <v>3</v>
      </c>
      <c r="N649" s="23" t="s">
        <v>169</v>
      </c>
      <c r="O649" s="23" t="s">
        <v>23</v>
      </c>
      <c r="P649" s="23" t="s">
        <v>80</v>
      </c>
      <c r="Q649" s="23" t="s">
        <v>26</v>
      </c>
      <c r="R649" s="23" t="s">
        <v>79</v>
      </c>
      <c r="S649" s="33">
        <v>0.2</v>
      </c>
      <c r="T649" s="13">
        <v>20.015999999999998</v>
      </c>
      <c r="U649" s="13">
        <v>1.7514000000000001</v>
      </c>
      <c r="V649" s="55">
        <f>IFERROR(Table12[[#This Row],[Profit]]/Table12[[#This Row],[Sales]],0)</f>
        <v>8.7500000000000008E-2</v>
      </c>
    </row>
    <row r="650" spans="1:22" x14ac:dyDescent="0.2">
      <c r="A650">
        <v>649</v>
      </c>
      <c r="B650" t="s">
        <v>6457</v>
      </c>
      <c r="C650" s="1">
        <v>41813</v>
      </c>
      <c r="D650" s="22">
        <f>MONTH(Table12[[#This Row],[Order Date]])</f>
        <v>6</v>
      </c>
      <c r="E650" t="s">
        <v>6102</v>
      </c>
      <c r="F650" t="s">
        <v>6103</v>
      </c>
      <c r="G650" s="23" t="s">
        <v>41</v>
      </c>
      <c r="H650" s="23" t="s">
        <v>513</v>
      </c>
      <c r="I650" t="s">
        <v>5325</v>
      </c>
      <c r="J650" s="23" t="s">
        <v>22</v>
      </c>
      <c r="K650" s="22">
        <v>1</v>
      </c>
      <c r="L650" s="1">
        <v>41816</v>
      </c>
      <c r="M650" s="22">
        <f>Table12[[#This Row],[Ship Date]]-Table12[[#This Row],[Order Date]]</f>
        <v>3</v>
      </c>
      <c r="N650" s="23" t="s">
        <v>169</v>
      </c>
      <c r="O650" s="23" t="s">
        <v>23</v>
      </c>
      <c r="P650" s="23" t="s">
        <v>80</v>
      </c>
      <c r="Q650" s="23" t="s">
        <v>26</v>
      </c>
      <c r="R650" s="23" t="s">
        <v>79</v>
      </c>
      <c r="S650" s="33">
        <v>0.2</v>
      </c>
      <c r="T650" s="13">
        <v>3.1040000000000001</v>
      </c>
      <c r="U650" s="13">
        <v>0.34920000000000001</v>
      </c>
      <c r="V650" s="55">
        <f>IFERROR(Table12[[#This Row],[Profit]]/Table12[[#This Row],[Sales]],0)</f>
        <v>0.1125</v>
      </c>
    </row>
    <row r="651" spans="1:22" x14ac:dyDescent="0.2">
      <c r="A651">
        <v>650</v>
      </c>
      <c r="B651" t="s">
        <v>9811</v>
      </c>
      <c r="C651" s="1">
        <v>41814</v>
      </c>
      <c r="D651" s="22">
        <f>MONTH(Table12[[#This Row],[Order Date]])</f>
        <v>6</v>
      </c>
      <c r="E651" t="s">
        <v>6115</v>
      </c>
      <c r="F651" t="s">
        <v>6116</v>
      </c>
      <c r="G651" s="23" t="s">
        <v>28</v>
      </c>
      <c r="H651" s="23" t="s">
        <v>58</v>
      </c>
      <c r="I651" t="s">
        <v>1682</v>
      </c>
      <c r="J651" s="23" t="s">
        <v>22</v>
      </c>
      <c r="K651" s="22">
        <v>2</v>
      </c>
      <c r="L651" s="1">
        <v>41818</v>
      </c>
      <c r="M651" s="22">
        <f>Table12[[#This Row],[Ship Date]]-Table12[[#This Row],[Order Date]]</f>
        <v>4</v>
      </c>
      <c r="N651" s="23" t="s">
        <v>45</v>
      </c>
      <c r="O651" s="23" t="s">
        <v>23</v>
      </c>
      <c r="P651" s="23" t="s">
        <v>277</v>
      </c>
      <c r="Q651" s="23" t="s">
        <v>39</v>
      </c>
      <c r="R651" s="23" t="s">
        <v>1159</v>
      </c>
      <c r="S651" s="33">
        <v>0.2</v>
      </c>
      <c r="T651" s="13">
        <v>4.2720000000000002</v>
      </c>
      <c r="U651" s="13">
        <v>0.96120000000000005</v>
      </c>
      <c r="V651" s="55">
        <f>IFERROR(Table12[[#This Row],[Profit]]/Table12[[#This Row],[Sales]],0)</f>
        <v>0.22500000000000001</v>
      </c>
    </row>
    <row r="652" spans="1:22" x14ac:dyDescent="0.2">
      <c r="A652">
        <v>651</v>
      </c>
      <c r="B652" t="s">
        <v>2837</v>
      </c>
      <c r="C652" s="1">
        <v>41815</v>
      </c>
      <c r="D652" s="22">
        <f>MONTH(Table12[[#This Row],[Order Date]])</f>
        <v>6</v>
      </c>
      <c r="E652" t="s">
        <v>2838</v>
      </c>
      <c r="F652" t="s">
        <v>2839</v>
      </c>
      <c r="G652" s="23" t="s">
        <v>28</v>
      </c>
      <c r="H652" s="23" t="s">
        <v>50</v>
      </c>
      <c r="I652" t="s">
        <v>2725</v>
      </c>
      <c r="J652" s="23" t="s">
        <v>36</v>
      </c>
      <c r="K652" s="22">
        <v>5</v>
      </c>
      <c r="L652" s="1">
        <v>41818</v>
      </c>
      <c r="M652" s="22">
        <f>Table12[[#This Row],[Ship Date]]-Table12[[#This Row],[Order Date]]</f>
        <v>3</v>
      </c>
      <c r="N652" s="23" t="s">
        <v>169</v>
      </c>
      <c r="O652" s="23" t="s">
        <v>23</v>
      </c>
      <c r="P652" s="23" t="s">
        <v>38</v>
      </c>
      <c r="Q652" s="23" t="s">
        <v>39</v>
      </c>
      <c r="R652" s="23" t="s">
        <v>37</v>
      </c>
      <c r="S652" s="33">
        <v>0.2</v>
      </c>
      <c r="T652" s="13">
        <v>447.84</v>
      </c>
      <c r="U652" s="13">
        <v>11.196</v>
      </c>
      <c r="V652" s="55">
        <f>IFERROR(Table12[[#This Row],[Profit]]/Table12[[#This Row],[Sales]],0)</f>
        <v>2.5000000000000001E-2</v>
      </c>
    </row>
    <row r="653" spans="1:22" x14ac:dyDescent="0.2">
      <c r="A653">
        <v>652</v>
      </c>
      <c r="B653" t="s">
        <v>7070</v>
      </c>
      <c r="C653" s="1">
        <v>41815</v>
      </c>
      <c r="D653" s="22">
        <f>MONTH(Table12[[#This Row],[Order Date]])</f>
        <v>6</v>
      </c>
      <c r="E653" t="s">
        <v>2766</v>
      </c>
      <c r="F653" t="s">
        <v>2767</v>
      </c>
      <c r="G653" s="23" t="s">
        <v>64</v>
      </c>
      <c r="H653" s="23" t="s">
        <v>65</v>
      </c>
      <c r="I653" t="s">
        <v>1041</v>
      </c>
      <c r="J653" s="23" t="s">
        <v>36</v>
      </c>
      <c r="K653" s="22">
        <v>5</v>
      </c>
      <c r="L653" s="1">
        <v>41817</v>
      </c>
      <c r="M653" s="22">
        <f>Table12[[#This Row],[Ship Date]]-Table12[[#This Row],[Order Date]]</f>
        <v>2</v>
      </c>
      <c r="N653" s="23" t="s">
        <v>20</v>
      </c>
      <c r="O653" s="23" t="s">
        <v>23</v>
      </c>
      <c r="P653" s="23" t="s">
        <v>374</v>
      </c>
      <c r="Q653" s="23" t="s">
        <v>39</v>
      </c>
      <c r="R653" s="23" t="s">
        <v>1744</v>
      </c>
      <c r="S653" s="33">
        <v>0.2</v>
      </c>
      <c r="T653" s="13">
        <v>263.95999999999998</v>
      </c>
      <c r="U653" s="13">
        <v>19.797000000000001</v>
      </c>
      <c r="V653" s="55">
        <f>IFERROR(Table12[[#This Row],[Profit]]/Table12[[#This Row],[Sales]],0)</f>
        <v>7.5000000000000011E-2</v>
      </c>
    </row>
    <row r="654" spans="1:22" x14ac:dyDescent="0.2">
      <c r="A654">
        <v>653</v>
      </c>
      <c r="B654" t="s">
        <v>7070</v>
      </c>
      <c r="C654" s="1">
        <v>41815</v>
      </c>
      <c r="D654" s="22">
        <f>MONTH(Table12[[#This Row],[Order Date]])</f>
        <v>6</v>
      </c>
      <c r="E654" t="s">
        <v>1257</v>
      </c>
      <c r="F654" t="s">
        <v>1258</v>
      </c>
      <c r="G654" s="23" t="s">
        <v>41</v>
      </c>
      <c r="H654" s="23" t="s">
        <v>61</v>
      </c>
      <c r="I654" t="s">
        <v>1041</v>
      </c>
      <c r="J654" s="23" t="s">
        <v>36</v>
      </c>
      <c r="K654" s="22">
        <v>11</v>
      </c>
      <c r="L654" s="1">
        <v>41817</v>
      </c>
      <c r="M654" s="22">
        <f>Table12[[#This Row],[Ship Date]]-Table12[[#This Row],[Order Date]]</f>
        <v>2</v>
      </c>
      <c r="N654" s="23" t="s">
        <v>20</v>
      </c>
      <c r="O654" s="23" t="s">
        <v>23</v>
      </c>
      <c r="P654" s="23" t="s">
        <v>374</v>
      </c>
      <c r="Q654" s="23" t="s">
        <v>39</v>
      </c>
      <c r="R654" s="23" t="s">
        <v>1744</v>
      </c>
      <c r="S654" s="33">
        <v>0.2</v>
      </c>
      <c r="T654" s="13">
        <v>71.632000000000005</v>
      </c>
      <c r="U654" s="13">
        <v>17.908000000000001</v>
      </c>
      <c r="V654" s="55">
        <f>IFERROR(Table12[[#This Row],[Profit]]/Table12[[#This Row],[Sales]],0)</f>
        <v>0.25</v>
      </c>
    </row>
    <row r="655" spans="1:22" x14ac:dyDescent="0.2">
      <c r="A655">
        <v>654</v>
      </c>
      <c r="B655" t="s">
        <v>7070</v>
      </c>
      <c r="C655" s="1">
        <v>41815</v>
      </c>
      <c r="D655" s="22">
        <f>MONTH(Table12[[#This Row],[Order Date]])</f>
        <v>6</v>
      </c>
      <c r="E655" t="s">
        <v>3994</v>
      </c>
      <c r="F655" t="s">
        <v>3995</v>
      </c>
      <c r="G655" s="23" t="s">
        <v>41</v>
      </c>
      <c r="H655" s="23" t="s">
        <v>61</v>
      </c>
      <c r="I655" t="s">
        <v>1041</v>
      </c>
      <c r="J655" s="23" t="s">
        <v>36</v>
      </c>
      <c r="K655" s="22">
        <v>1</v>
      </c>
      <c r="L655" s="1">
        <v>41817</v>
      </c>
      <c r="M655" s="22">
        <f>Table12[[#This Row],[Ship Date]]-Table12[[#This Row],[Order Date]]</f>
        <v>2</v>
      </c>
      <c r="N655" s="23" t="s">
        <v>20</v>
      </c>
      <c r="O655" s="23" t="s">
        <v>23</v>
      </c>
      <c r="P655" s="23" t="s">
        <v>374</v>
      </c>
      <c r="Q655" s="23" t="s">
        <v>39</v>
      </c>
      <c r="R655" s="23" t="s">
        <v>1744</v>
      </c>
      <c r="S655" s="33">
        <v>0.2</v>
      </c>
      <c r="T655" s="13">
        <v>9.3279999999999994</v>
      </c>
      <c r="U655" s="13">
        <v>0.81620000000000004</v>
      </c>
      <c r="V655" s="55">
        <f>IFERROR(Table12[[#This Row],[Profit]]/Table12[[#This Row],[Sales]],0)</f>
        <v>8.7500000000000008E-2</v>
      </c>
    </row>
    <row r="656" spans="1:22" x14ac:dyDescent="0.2">
      <c r="A656">
        <v>655</v>
      </c>
      <c r="B656" t="s">
        <v>4683</v>
      </c>
      <c r="C656" s="1">
        <v>41817</v>
      </c>
      <c r="D656" s="22">
        <f>MONTH(Table12[[#This Row],[Order Date]])</f>
        <v>6</v>
      </c>
      <c r="E656" t="s">
        <v>2932</v>
      </c>
      <c r="F656" t="s">
        <v>2933</v>
      </c>
      <c r="G656" s="23" t="s">
        <v>41</v>
      </c>
      <c r="H656" s="23" t="s">
        <v>53</v>
      </c>
      <c r="I656" t="s">
        <v>1638</v>
      </c>
      <c r="J656" s="23" t="s">
        <v>22</v>
      </c>
      <c r="K656" s="22">
        <v>5</v>
      </c>
      <c r="L656" s="1">
        <v>41821</v>
      </c>
      <c r="M656" s="22">
        <f>Table12[[#This Row],[Ship Date]]-Table12[[#This Row],[Order Date]]</f>
        <v>4</v>
      </c>
      <c r="N656" s="23" t="s">
        <v>45</v>
      </c>
      <c r="O656" s="23" t="s">
        <v>23</v>
      </c>
      <c r="P656" s="23" t="s">
        <v>1315</v>
      </c>
      <c r="Q656" s="23" t="s">
        <v>26</v>
      </c>
      <c r="R656" s="23" t="s">
        <v>4684</v>
      </c>
      <c r="S656" s="33">
        <v>0</v>
      </c>
      <c r="T656" s="13">
        <v>306.2</v>
      </c>
      <c r="U656" s="13">
        <v>0</v>
      </c>
      <c r="V656" s="55">
        <f>IFERROR(Table12[[#This Row],[Profit]]/Table12[[#This Row],[Sales]],0)</f>
        <v>0</v>
      </c>
    </row>
    <row r="657" spans="1:22" x14ac:dyDescent="0.2">
      <c r="A657">
        <v>656</v>
      </c>
      <c r="B657" t="s">
        <v>4683</v>
      </c>
      <c r="C657" s="1">
        <v>41817</v>
      </c>
      <c r="D657" s="22">
        <f>MONTH(Table12[[#This Row],[Order Date]])</f>
        <v>6</v>
      </c>
      <c r="E657" t="s">
        <v>3373</v>
      </c>
      <c r="F657" t="s">
        <v>2884</v>
      </c>
      <c r="G657" s="23" t="s">
        <v>28</v>
      </c>
      <c r="H657" s="23" t="s">
        <v>50</v>
      </c>
      <c r="I657" t="s">
        <v>1638</v>
      </c>
      <c r="J657" s="23" t="s">
        <v>22</v>
      </c>
      <c r="K657" s="22">
        <v>1</v>
      </c>
      <c r="L657" s="1">
        <v>41821</v>
      </c>
      <c r="M657" s="22">
        <f>Table12[[#This Row],[Ship Date]]-Table12[[#This Row],[Order Date]]</f>
        <v>4</v>
      </c>
      <c r="N657" s="23" t="s">
        <v>45</v>
      </c>
      <c r="O657" s="23" t="s">
        <v>23</v>
      </c>
      <c r="P657" s="23" t="s">
        <v>1315</v>
      </c>
      <c r="Q657" s="23" t="s">
        <v>26</v>
      </c>
      <c r="R657" s="23" t="s">
        <v>4684</v>
      </c>
      <c r="S657" s="33">
        <v>0</v>
      </c>
      <c r="T657" s="13">
        <v>85.98</v>
      </c>
      <c r="U657" s="13">
        <v>22.354800000000001</v>
      </c>
      <c r="V657" s="55">
        <f>IFERROR(Table12[[#This Row],[Profit]]/Table12[[#This Row],[Sales]],0)</f>
        <v>0.26</v>
      </c>
    </row>
    <row r="658" spans="1:22" x14ac:dyDescent="0.2">
      <c r="A658">
        <v>657</v>
      </c>
      <c r="B658" t="s">
        <v>4683</v>
      </c>
      <c r="C658" s="1">
        <v>41817</v>
      </c>
      <c r="D658" s="22">
        <f>MONTH(Table12[[#This Row],[Order Date]])</f>
        <v>6</v>
      </c>
      <c r="E658" t="s">
        <v>754</v>
      </c>
      <c r="F658" t="s">
        <v>755</v>
      </c>
      <c r="G658" s="23" t="s">
        <v>64</v>
      </c>
      <c r="H658" s="23" t="s">
        <v>144</v>
      </c>
      <c r="I658" t="s">
        <v>1638</v>
      </c>
      <c r="J658" s="23" t="s">
        <v>22</v>
      </c>
      <c r="K658" s="22">
        <v>4</v>
      </c>
      <c r="L658" s="1">
        <v>41821</v>
      </c>
      <c r="M658" s="22">
        <f>Table12[[#This Row],[Ship Date]]-Table12[[#This Row],[Order Date]]</f>
        <v>4</v>
      </c>
      <c r="N658" s="23" t="s">
        <v>45</v>
      </c>
      <c r="O658" s="23" t="s">
        <v>23</v>
      </c>
      <c r="P658" s="23" t="s">
        <v>1315</v>
      </c>
      <c r="Q658" s="23" t="s">
        <v>26</v>
      </c>
      <c r="R658" s="23" t="s">
        <v>4684</v>
      </c>
      <c r="S658" s="33">
        <v>0</v>
      </c>
      <c r="T658" s="13">
        <v>223.96</v>
      </c>
      <c r="U658" s="13">
        <v>53.750399999999999</v>
      </c>
      <c r="V658" s="55">
        <f>IFERROR(Table12[[#This Row],[Profit]]/Table12[[#This Row],[Sales]],0)</f>
        <v>0.24</v>
      </c>
    </row>
    <row r="659" spans="1:22" x14ac:dyDescent="0.2">
      <c r="A659">
        <v>658</v>
      </c>
      <c r="B659" t="s">
        <v>2246</v>
      </c>
      <c r="C659" s="1">
        <v>41818</v>
      </c>
      <c r="D659" s="22">
        <f>MONTH(Table12[[#This Row],[Order Date]])</f>
        <v>6</v>
      </c>
      <c r="E659" t="s">
        <v>360</v>
      </c>
      <c r="F659" t="s">
        <v>361</v>
      </c>
      <c r="G659" s="23" t="s">
        <v>41</v>
      </c>
      <c r="H659" s="23" t="s">
        <v>82</v>
      </c>
      <c r="I659" t="s">
        <v>1686</v>
      </c>
      <c r="J659" s="23" t="s">
        <v>22</v>
      </c>
      <c r="K659" s="22">
        <v>8</v>
      </c>
      <c r="L659" s="1">
        <v>41822</v>
      </c>
      <c r="M659" s="22">
        <f>Table12[[#This Row],[Ship Date]]-Table12[[#This Row],[Order Date]]</f>
        <v>4</v>
      </c>
      <c r="N659" s="23" t="s">
        <v>45</v>
      </c>
      <c r="O659" s="23" t="s">
        <v>23</v>
      </c>
      <c r="P659" s="23" t="s">
        <v>132</v>
      </c>
      <c r="Q659" s="23" t="s">
        <v>133</v>
      </c>
      <c r="R659" s="23" t="s">
        <v>131</v>
      </c>
      <c r="S659" s="33">
        <v>0.2</v>
      </c>
      <c r="T659" s="13">
        <v>41.472000000000001</v>
      </c>
      <c r="U659" s="13">
        <v>14.5152</v>
      </c>
      <c r="V659" s="55">
        <f>IFERROR(Table12[[#This Row],[Profit]]/Table12[[#This Row],[Sales]],0)</f>
        <v>0.35</v>
      </c>
    </row>
    <row r="660" spans="1:22" x14ac:dyDescent="0.2">
      <c r="A660">
        <v>659</v>
      </c>
      <c r="B660" t="s">
        <v>2246</v>
      </c>
      <c r="C660" s="1">
        <v>41818</v>
      </c>
      <c r="D660" s="22">
        <f>MONTH(Table12[[#This Row],[Order Date]])</f>
        <v>6</v>
      </c>
      <c r="E660" t="s">
        <v>2247</v>
      </c>
      <c r="F660" t="s">
        <v>2248</v>
      </c>
      <c r="G660" s="23" t="s">
        <v>41</v>
      </c>
      <c r="H660" s="23" t="s">
        <v>68</v>
      </c>
      <c r="I660" t="s">
        <v>1686</v>
      </c>
      <c r="J660" s="23" t="s">
        <v>22</v>
      </c>
      <c r="K660" s="22">
        <v>3</v>
      </c>
      <c r="L660" s="1">
        <v>41822</v>
      </c>
      <c r="M660" s="22">
        <f>Table12[[#This Row],[Ship Date]]-Table12[[#This Row],[Order Date]]</f>
        <v>4</v>
      </c>
      <c r="N660" s="23" t="s">
        <v>45</v>
      </c>
      <c r="O660" s="23" t="s">
        <v>23</v>
      </c>
      <c r="P660" s="23" t="s">
        <v>132</v>
      </c>
      <c r="Q660" s="23" t="s">
        <v>133</v>
      </c>
      <c r="R660" s="23" t="s">
        <v>131</v>
      </c>
      <c r="S660" s="33">
        <v>0.7</v>
      </c>
      <c r="T660" s="13">
        <v>3.1680000000000001</v>
      </c>
      <c r="U660" s="13">
        <v>-2.4287999999999998</v>
      </c>
      <c r="V660" s="55">
        <f>IFERROR(Table12[[#This Row],[Profit]]/Table12[[#This Row],[Sales]],0)</f>
        <v>-0.76666666666666661</v>
      </c>
    </row>
    <row r="661" spans="1:22" x14ac:dyDescent="0.2">
      <c r="A661">
        <v>660</v>
      </c>
      <c r="B661" t="s">
        <v>2246</v>
      </c>
      <c r="C661" s="1">
        <v>41818</v>
      </c>
      <c r="D661" s="22">
        <f>MONTH(Table12[[#This Row],[Order Date]])</f>
        <v>6</v>
      </c>
      <c r="E661" t="s">
        <v>2249</v>
      </c>
      <c r="F661" t="s">
        <v>2250</v>
      </c>
      <c r="G661" s="23" t="s">
        <v>28</v>
      </c>
      <c r="H661" s="23" t="s">
        <v>32</v>
      </c>
      <c r="I661" t="s">
        <v>1686</v>
      </c>
      <c r="J661" s="23" t="s">
        <v>22</v>
      </c>
      <c r="K661" s="22">
        <v>5</v>
      </c>
      <c r="L661" s="1">
        <v>41822</v>
      </c>
      <c r="M661" s="22">
        <f>Table12[[#This Row],[Ship Date]]-Table12[[#This Row],[Order Date]]</f>
        <v>4</v>
      </c>
      <c r="N661" s="23" t="s">
        <v>45</v>
      </c>
      <c r="O661" s="23" t="s">
        <v>23</v>
      </c>
      <c r="P661" s="23" t="s">
        <v>132</v>
      </c>
      <c r="Q661" s="23" t="s">
        <v>133</v>
      </c>
      <c r="R661" s="23" t="s">
        <v>131</v>
      </c>
      <c r="S661" s="33">
        <v>0.3</v>
      </c>
      <c r="T661" s="13">
        <v>1228.4649999999999</v>
      </c>
      <c r="U661" s="13">
        <v>0</v>
      </c>
      <c r="V661" s="55">
        <f>IFERROR(Table12[[#This Row],[Profit]]/Table12[[#This Row],[Sales]],0)</f>
        <v>0</v>
      </c>
    </row>
    <row r="662" spans="1:22" x14ac:dyDescent="0.2">
      <c r="A662">
        <v>661</v>
      </c>
      <c r="B662" t="s">
        <v>2246</v>
      </c>
      <c r="C662" s="1">
        <v>41818</v>
      </c>
      <c r="D662" s="22">
        <f>MONTH(Table12[[#This Row],[Order Date]])</f>
        <v>6</v>
      </c>
      <c r="E662" t="s">
        <v>2251</v>
      </c>
      <c r="F662" t="s">
        <v>2252</v>
      </c>
      <c r="G662" s="23" t="s">
        <v>41</v>
      </c>
      <c r="H662" s="23" t="s">
        <v>68</v>
      </c>
      <c r="I662" t="s">
        <v>1686</v>
      </c>
      <c r="J662" s="23" t="s">
        <v>22</v>
      </c>
      <c r="K662" s="22">
        <v>3</v>
      </c>
      <c r="L662" s="1">
        <v>41822</v>
      </c>
      <c r="M662" s="22">
        <f>Table12[[#This Row],[Ship Date]]-Table12[[#This Row],[Order Date]]</f>
        <v>4</v>
      </c>
      <c r="N662" s="23" t="s">
        <v>45</v>
      </c>
      <c r="O662" s="23" t="s">
        <v>23</v>
      </c>
      <c r="P662" s="23" t="s">
        <v>132</v>
      </c>
      <c r="Q662" s="23" t="s">
        <v>133</v>
      </c>
      <c r="R662" s="23" t="s">
        <v>131</v>
      </c>
      <c r="S662" s="33">
        <v>0.7</v>
      </c>
      <c r="T662" s="13">
        <v>31.085999999999999</v>
      </c>
      <c r="U662" s="13">
        <v>-22.796399999999998</v>
      </c>
      <c r="V662" s="55">
        <f>IFERROR(Table12[[#This Row],[Profit]]/Table12[[#This Row],[Sales]],0)</f>
        <v>-0.73333333333333328</v>
      </c>
    </row>
    <row r="663" spans="1:22" x14ac:dyDescent="0.2">
      <c r="A663">
        <v>662</v>
      </c>
      <c r="B663" t="s">
        <v>2246</v>
      </c>
      <c r="C663" s="1">
        <v>41818</v>
      </c>
      <c r="D663" s="22">
        <f>MONTH(Table12[[#This Row],[Order Date]])</f>
        <v>6</v>
      </c>
      <c r="E663" t="s">
        <v>2253</v>
      </c>
      <c r="F663" t="s">
        <v>2254</v>
      </c>
      <c r="G663" s="23" t="s">
        <v>41</v>
      </c>
      <c r="H663" s="23" t="s">
        <v>82</v>
      </c>
      <c r="I663" t="s">
        <v>1686</v>
      </c>
      <c r="J663" s="23" t="s">
        <v>22</v>
      </c>
      <c r="K663" s="22">
        <v>4</v>
      </c>
      <c r="L663" s="1">
        <v>41822</v>
      </c>
      <c r="M663" s="22">
        <f>Table12[[#This Row],[Ship Date]]-Table12[[#This Row],[Order Date]]</f>
        <v>4</v>
      </c>
      <c r="N663" s="23" t="s">
        <v>45</v>
      </c>
      <c r="O663" s="23" t="s">
        <v>23</v>
      </c>
      <c r="P663" s="23" t="s">
        <v>132</v>
      </c>
      <c r="Q663" s="23" t="s">
        <v>133</v>
      </c>
      <c r="R663" s="23" t="s">
        <v>131</v>
      </c>
      <c r="S663" s="33">
        <v>0.2</v>
      </c>
      <c r="T663" s="13">
        <v>335.52</v>
      </c>
      <c r="U663" s="13">
        <v>117.432</v>
      </c>
      <c r="V663" s="55">
        <f>IFERROR(Table12[[#This Row],[Profit]]/Table12[[#This Row],[Sales]],0)</f>
        <v>0.35000000000000003</v>
      </c>
    </row>
    <row r="664" spans="1:22" x14ac:dyDescent="0.2">
      <c r="A664">
        <v>663</v>
      </c>
      <c r="B664" t="s">
        <v>5450</v>
      </c>
      <c r="C664" s="1">
        <v>41818</v>
      </c>
      <c r="D664" s="22">
        <f>MONTH(Table12[[#This Row],[Order Date]])</f>
        <v>6</v>
      </c>
      <c r="E664" t="s">
        <v>2856</v>
      </c>
      <c r="F664" t="s">
        <v>498</v>
      </c>
      <c r="G664" s="23" t="s">
        <v>41</v>
      </c>
      <c r="H664" s="23" t="s">
        <v>240</v>
      </c>
      <c r="I664" t="s">
        <v>2472</v>
      </c>
      <c r="J664" s="23" t="s">
        <v>36</v>
      </c>
      <c r="K664" s="22">
        <v>1</v>
      </c>
      <c r="L664" s="1">
        <v>41824</v>
      </c>
      <c r="M664" s="22">
        <f>Table12[[#This Row],[Ship Date]]-Table12[[#This Row],[Order Date]]</f>
        <v>6</v>
      </c>
      <c r="N664" s="23" t="s">
        <v>45</v>
      </c>
      <c r="O664" s="23" t="s">
        <v>23</v>
      </c>
      <c r="P664" s="23" t="s">
        <v>212</v>
      </c>
      <c r="Q664" s="23" t="s">
        <v>95</v>
      </c>
      <c r="R664" s="23" t="s">
        <v>775</v>
      </c>
      <c r="S664" s="33">
        <v>0</v>
      </c>
      <c r="T664" s="13">
        <v>6.08</v>
      </c>
      <c r="U664" s="13">
        <v>3.04</v>
      </c>
      <c r="V664" s="55">
        <f>IFERROR(Table12[[#This Row],[Profit]]/Table12[[#This Row],[Sales]],0)</f>
        <v>0.5</v>
      </c>
    </row>
    <row r="665" spans="1:22" x14ac:dyDescent="0.2">
      <c r="A665">
        <v>664</v>
      </c>
      <c r="B665" t="s">
        <v>2155</v>
      </c>
      <c r="C665" s="1">
        <v>41819</v>
      </c>
      <c r="D665" s="22">
        <f>MONTH(Table12[[#This Row],[Order Date]])</f>
        <v>6</v>
      </c>
      <c r="E665" t="s">
        <v>2157</v>
      </c>
      <c r="F665" t="s">
        <v>2158</v>
      </c>
      <c r="G665" s="23" t="s">
        <v>41</v>
      </c>
      <c r="H665" s="23" t="s">
        <v>61</v>
      </c>
      <c r="I665" t="s">
        <v>2156</v>
      </c>
      <c r="J665" s="23" t="s">
        <v>22</v>
      </c>
      <c r="K665" s="22">
        <v>7</v>
      </c>
      <c r="L665" s="1">
        <v>41826</v>
      </c>
      <c r="M665" s="22">
        <f>Table12[[#This Row],[Ship Date]]-Table12[[#This Row],[Order Date]]</f>
        <v>7</v>
      </c>
      <c r="N665" s="23" t="s">
        <v>45</v>
      </c>
      <c r="O665" s="23" t="s">
        <v>23</v>
      </c>
      <c r="P665" s="23" t="s">
        <v>441</v>
      </c>
      <c r="Q665" s="23" t="s">
        <v>133</v>
      </c>
      <c r="R665" s="23" t="s">
        <v>887</v>
      </c>
      <c r="S665" s="33">
        <v>0.2</v>
      </c>
      <c r="T665" s="13">
        <v>32.76</v>
      </c>
      <c r="U665" s="13">
        <v>3.6855000000000002</v>
      </c>
      <c r="V665" s="55">
        <f>IFERROR(Table12[[#This Row],[Profit]]/Table12[[#This Row],[Sales]],0)</f>
        <v>0.11250000000000002</v>
      </c>
    </row>
    <row r="666" spans="1:22" x14ac:dyDescent="0.2">
      <c r="A666">
        <v>665</v>
      </c>
      <c r="B666" t="s">
        <v>7686</v>
      </c>
      <c r="C666" s="1">
        <v>41819</v>
      </c>
      <c r="D666" s="22">
        <f>MONTH(Table12[[#This Row],[Order Date]])</f>
        <v>6</v>
      </c>
      <c r="E666" t="s">
        <v>5472</v>
      </c>
      <c r="F666" t="s">
        <v>5473</v>
      </c>
      <c r="G666" s="23" t="s">
        <v>41</v>
      </c>
      <c r="H666" s="23" t="s">
        <v>68</v>
      </c>
      <c r="I666" t="s">
        <v>4686</v>
      </c>
      <c r="J666" s="23" t="s">
        <v>22</v>
      </c>
      <c r="K666" s="22">
        <v>3</v>
      </c>
      <c r="L666" s="1">
        <v>41823</v>
      </c>
      <c r="M666" s="22">
        <f>Table12[[#This Row],[Ship Date]]-Table12[[#This Row],[Order Date]]</f>
        <v>4</v>
      </c>
      <c r="N666" s="23" t="s">
        <v>45</v>
      </c>
      <c r="O666" s="23" t="s">
        <v>23</v>
      </c>
      <c r="P666" s="23" t="s">
        <v>238</v>
      </c>
      <c r="Q666" s="23" t="s">
        <v>133</v>
      </c>
      <c r="R666" s="23" t="s">
        <v>237</v>
      </c>
      <c r="S666" s="33">
        <v>0.2</v>
      </c>
      <c r="T666" s="13">
        <v>13.92</v>
      </c>
      <c r="U666" s="13">
        <v>4.8719999999999999</v>
      </c>
      <c r="V666" s="55">
        <f>IFERROR(Table12[[#This Row],[Profit]]/Table12[[#This Row],[Sales]],0)</f>
        <v>0.35</v>
      </c>
    </row>
    <row r="667" spans="1:22" x14ac:dyDescent="0.2">
      <c r="A667">
        <v>666</v>
      </c>
      <c r="B667" t="s">
        <v>3381</v>
      </c>
      <c r="C667" s="1">
        <v>41820</v>
      </c>
      <c r="D667" s="22">
        <f>MONTH(Table12[[#This Row],[Order Date]])</f>
        <v>6</v>
      </c>
      <c r="E667" t="s">
        <v>3383</v>
      </c>
      <c r="F667" t="s">
        <v>3384</v>
      </c>
      <c r="G667" s="23" t="s">
        <v>41</v>
      </c>
      <c r="H667" s="23" t="s">
        <v>68</v>
      </c>
      <c r="I667" t="s">
        <v>3382</v>
      </c>
      <c r="J667" s="23" t="s">
        <v>22</v>
      </c>
      <c r="K667" s="22">
        <v>7</v>
      </c>
      <c r="L667" s="1">
        <v>41825</v>
      </c>
      <c r="M667" s="22">
        <f>Table12[[#This Row],[Ship Date]]-Table12[[#This Row],[Order Date]]</f>
        <v>5</v>
      </c>
      <c r="N667" s="23" t="s">
        <v>45</v>
      </c>
      <c r="O667" s="23" t="s">
        <v>23</v>
      </c>
      <c r="P667" s="23" t="s">
        <v>238</v>
      </c>
      <c r="Q667" s="23" t="s">
        <v>133</v>
      </c>
      <c r="R667" s="23" t="s">
        <v>237</v>
      </c>
      <c r="S667" s="33">
        <v>0.2</v>
      </c>
      <c r="T667" s="13">
        <v>334.76799999999997</v>
      </c>
      <c r="U667" s="13">
        <v>108.7996</v>
      </c>
      <c r="V667" s="55">
        <f>IFERROR(Table12[[#This Row],[Profit]]/Table12[[#This Row],[Sales]],0)</f>
        <v>0.32500000000000001</v>
      </c>
    </row>
    <row r="668" spans="1:22" x14ac:dyDescent="0.2">
      <c r="A668">
        <v>667</v>
      </c>
      <c r="B668" t="s">
        <v>5184</v>
      </c>
      <c r="C668" s="1">
        <v>41820</v>
      </c>
      <c r="D668" s="22">
        <f>MONTH(Table12[[#This Row],[Order Date]])</f>
        <v>6</v>
      </c>
      <c r="E668" t="s">
        <v>4259</v>
      </c>
      <c r="F668" t="s">
        <v>4260</v>
      </c>
      <c r="G668" s="23" t="s">
        <v>41</v>
      </c>
      <c r="H668" s="23" t="s">
        <v>61</v>
      </c>
      <c r="I668" t="s">
        <v>1176</v>
      </c>
      <c r="J668" s="23" t="s">
        <v>22</v>
      </c>
      <c r="K668" s="22">
        <v>4</v>
      </c>
      <c r="L668" s="1">
        <v>41822</v>
      </c>
      <c r="M668" s="22">
        <f>Table12[[#This Row],[Ship Date]]-Table12[[#This Row],[Order Date]]</f>
        <v>2</v>
      </c>
      <c r="N668" s="23" t="s">
        <v>169</v>
      </c>
      <c r="O668" s="23" t="s">
        <v>23</v>
      </c>
      <c r="P668" s="23" t="s">
        <v>189</v>
      </c>
      <c r="Q668" s="23" t="s">
        <v>95</v>
      </c>
      <c r="R668" s="23" t="s">
        <v>271</v>
      </c>
      <c r="S668" s="33">
        <v>0.2</v>
      </c>
      <c r="T668" s="13">
        <v>5.2480000000000002</v>
      </c>
      <c r="U668" s="13">
        <v>1.64</v>
      </c>
      <c r="V668" s="55">
        <f>IFERROR(Table12[[#This Row],[Profit]]/Table12[[#This Row],[Sales]],0)</f>
        <v>0.31249999999999994</v>
      </c>
    </row>
    <row r="669" spans="1:22" x14ac:dyDescent="0.2">
      <c r="A669">
        <v>668</v>
      </c>
      <c r="B669" t="s">
        <v>5675</v>
      </c>
      <c r="C669" s="1">
        <v>41820</v>
      </c>
      <c r="D669" s="22">
        <f>MONTH(Table12[[#This Row],[Order Date]])</f>
        <v>6</v>
      </c>
      <c r="E669" t="s">
        <v>1102</v>
      </c>
      <c r="F669" t="s">
        <v>1103</v>
      </c>
      <c r="G669" s="23" t="s">
        <v>41</v>
      </c>
      <c r="H669" s="23" t="s">
        <v>61</v>
      </c>
      <c r="I669" t="s">
        <v>1887</v>
      </c>
      <c r="J669" s="23" t="s">
        <v>36</v>
      </c>
      <c r="K669" s="22">
        <v>5</v>
      </c>
      <c r="L669" s="1">
        <v>41823</v>
      </c>
      <c r="M669" s="22">
        <f>Table12[[#This Row],[Ship Date]]-Table12[[#This Row],[Order Date]]</f>
        <v>3</v>
      </c>
      <c r="N669" s="23" t="s">
        <v>20</v>
      </c>
      <c r="O669" s="23" t="s">
        <v>23</v>
      </c>
      <c r="P669" s="23" t="s">
        <v>38</v>
      </c>
      <c r="Q669" s="23" t="s">
        <v>39</v>
      </c>
      <c r="R669" s="23" t="s">
        <v>37</v>
      </c>
      <c r="S669" s="33">
        <v>0</v>
      </c>
      <c r="T669" s="13">
        <v>32.4</v>
      </c>
      <c r="U669" s="13">
        <v>10.368</v>
      </c>
      <c r="V669" s="55">
        <f>IFERROR(Table12[[#This Row],[Profit]]/Table12[[#This Row],[Sales]],0)</f>
        <v>0.32</v>
      </c>
    </row>
    <row r="670" spans="1:22" x14ac:dyDescent="0.2">
      <c r="A670">
        <v>669</v>
      </c>
      <c r="B670" t="s">
        <v>6805</v>
      </c>
      <c r="C670" s="1">
        <v>41820</v>
      </c>
      <c r="D670" s="22">
        <f>MONTH(Table12[[#This Row],[Order Date]])</f>
        <v>6</v>
      </c>
      <c r="E670" t="s">
        <v>1747</v>
      </c>
      <c r="F670" t="s">
        <v>1748</v>
      </c>
      <c r="G670" s="23" t="s">
        <v>41</v>
      </c>
      <c r="H670" s="23" t="s">
        <v>82</v>
      </c>
      <c r="I670" t="s">
        <v>742</v>
      </c>
      <c r="J670" s="23" t="s">
        <v>36</v>
      </c>
      <c r="K670" s="22">
        <v>5</v>
      </c>
      <c r="L670" s="1">
        <v>41824</v>
      </c>
      <c r="M670" s="22">
        <f>Table12[[#This Row],[Ship Date]]-Table12[[#This Row],[Order Date]]</f>
        <v>4</v>
      </c>
      <c r="N670" s="23" t="s">
        <v>45</v>
      </c>
      <c r="O670" s="23" t="s">
        <v>23</v>
      </c>
      <c r="P670" s="23" t="s">
        <v>94</v>
      </c>
      <c r="Q670" s="23" t="s">
        <v>95</v>
      </c>
      <c r="R670" s="23" t="s">
        <v>165</v>
      </c>
      <c r="S670" s="33">
        <v>0.2</v>
      </c>
      <c r="T670" s="13">
        <v>25.92</v>
      </c>
      <c r="U670" s="13">
        <v>9.0719999999999992</v>
      </c>
      <c r="V670" s="55">
        <f>IFERROR(Table12[[#This Row],[Profit]]/Table12[[#This Row],[Sales]],0)</f>
        <v>0.34999999999999992</v>
      </c>
    </row>
    <row r="671" spans="1:22" x14ac:dyDescent="0.2">
      <c r="A671">
        <v>670</v>
      </c>
      <c r="B671" t="s">
        <v>6805</v>
      </c>
      <c r="C671" s="1">
        <v>41820</v>
      </c>
      <c r="D671" s="22">
        <f>MONTH(Table12[[#This Row],[Order Date]])</f>
        <v>6</v>
      </c>
      <c r="E671" t="s">
        <v>1584</v>
      </c>
      <c r="F671" t="s">
        <v>498</v>
      </c>
      <c r="G671" s="23" t="s">
        <v>41</v>
      </c>
      <c r="H671" s="23" t="s">
        <v>240</v>
      </c>
      <c r="I671" t="s">
        <v>742</v>
      </c>
      <c r="J671" s="23" t="s">
        <v>36</v>
      </c>
      <c r="K671" s="22">
        <v>6</v>
      </c>
      <c r="L671" s="1">
        <v>41824</v>
      </c>
      <c r="M671" s="22">
        <f>Table12[[#This Row],[Ship Date]]-Table12[[#This Row],[Order Date]]</f>
        <v>4</v>
      </c>
      <c r="N671" s="23" t="s">
        <v>45</v>
      </c>
      <c r="O671" s="23" t="s">
        <v>23</v>
      </c>
      <c r="P671" s="23" t="s">
        <v>94</v>
      </c>
      <c r="Q671" s="23" t="s">
        <v>95</v>
      </c>
      <c r="R671" s="23" t="s">
        <v>165</v>
      </c>
      <c r="S671" s="33">
        <v>0.2</v>
      </c>
      <c r="T671" s="13">
        <v>21.312000000000001</v>
      </c>
      <c r="U671" s="13">
        <v>7.1928000000000001</v>
      </c>
      <c r="V671" s="55">
        <f>IFERROR(Table12[[#This Row],[Profit]]/Table12[[#This Row],[Sales]],0)</f>
        <v>0.33749999999999997</v>
      </c>
    </row>
    <row r="672" spans="1:22" x14ac:dyDescent="0.2">
      <c r="A672">
        <v>671</v>
      </c>
      <c r="B672" t="s">
        <v>7278</v>
      </c>
      <c r="C672" s="1">
        <v>41820</v>
      </c>
      <c r="D672" s="22">
        <f>MONTH(Table12[[#This Row],[Order Date]])</f>
        <v>6</v>
      </c>
      <c r="E672" t="s">
        <v>1621</v>
      </c>
      <c r="F672" t="s">
        <v>1622</v>
      </c>
      <c r="G672" s="23" t="s">
        <v>41</v>
      </c>
      <c r="H672" s="23" t="s">
        <v>68</v>
      </c>
      <c r="I672" t="s">
        <v>7013</v>
      </c>
      <c r="J672" s="23" t="s">
        <v>22</v>
      </c>
      <c r="K672" s="22">
        <v>1</v>
      </c>
      <c r="L672" s="1">
        <v>41826</v>
      </c>
      <c r="M672" s="22">
        <f>Table12[[#This Row],[Ship Date]]-Table12[[#This Row],[Order Date]]</f>
        <v>6</v>
      </c>
      <c r="N672" s="23" t="s">
        <v>45</v>
      </c>
      <c r="O672" s="23" t="s">
        <v>23</v>
      </c>
      <c r="P672" s="23" t="s">
        <v>238</v>
      </c>
      <c r="Q672" s="23" t="s">
        <v>133</v>
      </c>
      <c r="R672" s="23" t="s">
        <v>237</v>
      </c>
      <c r="S672" s="33">
        <v>0.2</v>
      </c>
      <c r="T672" s="13">
        <v>2.6880000000000002</v>
      </c>
      <c r="U672" s="13">
        <v>0.84</v>
      </c>
      <c r="V672" s="55">
        <f>IFERROR(Table12[[#This Row],[Profit]]/Table12[[#This Row],[Sales]],0)</f>
        <v>0.31249999999999994</v>
      </c>
    </row>
    <row r="673" spans="1:22" x14ac:dyDescent="0.2">
      <c r="A673">
        <v>672</v>
      </c>
      <c r="B673" t="s">
        <v>7278</v>
      </c>
      <c r="C673" s="1">
        <v>41820</v>
      </c>
      <c r="D673" s="22">
        <f>MONTH(Table12[[#This Row],[Order Date]])</f>
        <v>6</v>
      </c>
      <c r="E673" t="s">
        <v>776</v>
      </c>
      <c r="F673" t="s">
        <v>777</v>
      </c>
      <c r="G673" s="23" t="s">
        <v>41</v>
      </c>
      <c r="H673" s="23" t="s">
        <v>61</v>
      </c>
      <c r="I673" t="s">
        <v>7013</v>
      </c>
      <c r="J673" s="23" t="s">
        <v>22</v>
      </c>
      <c r="K673" s="22">
        <v>3</v>
      </c>
      <c r="L673" s="1">
        <v>41826</v>
      </c>
      <c r="M673" s="22">
        <f>Table12[[#This Row],[Ship Date]]-Table12[[#This Row],[Order Date]]</f>
        <v>6</v>
      </c>
      <c r="N673" s="23" t="s">
        <v>45</v>
      </c>
      <c r="O673" s="23" t="s">
        <v>23</v>
      </c>
      <c r="P673" s="23" t="s">
        <v>238</v>
      </c>
      <c r="Q673" s="23" t="s">
        <v>133</v>
      </c>
      <c r="R673" s="23" t="s">
        <v>237</v>
      </c>
      <c r="S673" s="33">
        <v>0</v>
      </c>
      <c r="T673" s="13">
        <v>6.6</v>
      </c>
      <c r="U673" s="13">
        <v>2.9039999999999999</v>
      </c>
      <c r="V673" s="55">
        <f>IFERROR(Table12[[#This Row],[Profit]]/Table12[[#This Row],[Sales]],0)</f>
        <v>0.44</v>
      </c>
    </row>
    <row r="674" spans="1:22" x14ac:dyDescent="0.2">
      <c r="A674">
        <v>673</v>
      </c>
      <c r="B674" t="s">
        <v>9224</v>
      </c>
      <c r="C674" s="1">
        <v>41820</v>
      </c>
      <c r="D674" s="22">
        <f>MONTH(Table12[[#This Row],[Order Date]])</f>
        <v>6</v>
      </c>
      <c r="E674" t="s">
        <v>618</v>
      </c>
      <c r="F674" t="s">
        <v>619</v>
      </c>
      <c r="G674" s="23" t="s">
        <v>41</v>
      </c>
      <c r="H674" s="23" t="s">
        <v>82</v>
      </c>
      <c r="I674" t="s">
        <v>2773</v>
      </c>
      <c r="J674" s="23" t="s">
        <v>22</v>
      </c>
      <c r="K674" s="22">
        <v>7</v>
      </c>
      <c r="L674" s="1">
        <v>41820</v>
      </c>
      <c r="M674" s="22">
        <f>Table12[[#This Row],[Ship Date]]-Table12[[#This Row],[Order Date]]</f>
        <v>0</v>
      </c>
      <c r="N674" s="23" t="s">
        <v>1141</v>
      </c>
      <c r="O674" s="23" t="s">
        <v>23</v>
      </c>
      <c r="P674" s="23" t="s">
        <v>80</v>
      </c>
      <c r="Q674" s="23" t="s">
        <v>26</v>
      </c>
      <c r="R674" s="23" t="s">
        <v>461</v>
      </c>
      <c r="S674" s="33">
        <v>0.2</v>
      </c>
      <c r="T674" s="13">
        <v>310.68799999999999</v>
      </c>
      <c r="U674" s="13">
        <v>108.74079999999999</v>
      </c>
      <c r="V674" s="55">
        <f>IFERROR(Table12[[#This Row],[Profit]]/Table12[[#This Row],[Sales]],0)</f>
        <v>0.35</v>
      </c>
    </row>
    <row r="675" spans="1:22" x14ac:dyDescent="0.2">
      <c r="A675">
        <v>674</v>
      </c>
      <c r="B675" t="s">
        <v>2025</v>
      </c>
      <c r="C675" s="1">
        <v>41821</v>
      </c>
      <c r="D675" s="22">
        <f>MONTH(Table12[[#This Row],[Order Date]])</f>
        <v>7</v>
      </c>
      <c r="E675" t="s">
        <v>2026</v>
      </c>
      <c r="F675" t="s">
        <v>2027</v>
      </c>
      <c r="G675" s="23" t="s">
        <v>41</v>
      </c>
      <c r="H675" s="23" t="s">
        <v>68</v>
      </c>
      <c r="I675" t="s">
        <v>860</v>
      </c>
      <c r="J675" s="23" t="s">
        <v>36</v>
      </c>
      <c r="K675" s="22">
        <v>5</v>
      </c>
      <c r="L675" s="1">
        <v>41826</v>
      </c>
      <c r="M675" s="22">
        <f>Table12[[#This Row],[Ship Date]]-Table12[[#This Row],[Order Date]]</f>
        <v>5</v>
      </c>
      <c r="N675" s="23" t="s">
        <v>20</v>
      </c>
      <c r="O675" s="23" t="s">
        <v>23</v>
      </c>
      <c r="P675" s="23" t="s">
        <v>87</v>
      </c>
      <c r="Q675" s="23" t="s">
        <v>39</v>
      </c>
      <c r="R675" s="23" t="s">
        <v>86</v>
      </c>
      <c r="S675" s="33">
        <v>0.2</v>
      </c>
      <c r="T675" s="13">
        <v>19.920000000000002</v>
      </c>
      <c r="U675" s="13">
        <v>6.9720000000000004</v>
      </c>
      <c r="V675" s="55">
        <f>IFERROR(Table12[[#This Row],[Profit]]/Table12[[#This Row],[Sales]],0)</f>
        <v>0.35</v>
      </c>
    </row>
    <row r="676" spans="1:22" x14ac:dyDescent="0.2">
      <c r="A676">
        <v>675</v>
      </c>
      <c r="B676" t="s">
        <v>3216</v>
      </c>
      <c r="C676" s="1">
        <v>41821</v>
      </c>
      <c r="D676" s="22">
        <f>MONTH(Table12[[#This Row],[Order Date]])</f>
        <v>7</v>
      </c>
      <c r="E676" t="s">
        <v>3105</v>
      </c>
      <c r="F676" t="s">
        <v>3106</v>
      </c>
      <c r="G676" s="23" t="s">
        <v>64</v>
      </c>
      <c r="H676" s="23" t="s">
        <v>65</v>
      </c>
      <c r="I676" t="s">
        <v>3217</v>
      </c>
      <c r="J676" s="23" t="s">
        <v>36</v>
      </c>
      <c r="K676" s="22">
        <v>2</v>
      </c>
      <c r="L676" s="1">
        <v>41825</v>
      </c>
      <c r="M676" s="22">
        <f>Table12[[#This Row],[Ship Date]]-Table12[[#This Row],[Order Date]]</f>
        <v>4</v>
      </c>
      <c r="N676" s="23" t="s">
        <v>45</v>
      </c>
      <c r="O676" s="23" t="s">
        <v>23</v>
      </c>
      <c r="P676" s="23" t="s">
        <v>48</v>
      </c>
      <c r="Q676" s="23" t="s">
        <v>26</v>
      </c>
      <c r="R676" s="23" t="s">
        <v>3218</v>
      </c>
      <c r="S676" s="33">
        <v>0.2</v>
      </c>
      <c r="T676" s="13">
        <v>575.91999999999996</v>
      </c>
      <c r="U676" s="13">
        <v>71.989999999999995</v>
      </c>
      <c r="V676" s="55">
        <f>IFERROR(Table12[[#This Row],[Profit]]/Table12[[#This Row],[Sales]],0)</f>
        <v>0.125</v>
      </c>
    </row>
    <row r="677" spans="1:22" x14ac:dyDescent="0.2">
      <c r="A677">
        <v>676</v>
      </c>
      <c r="B677" t="s">
        <v>3216</v>
      </c>
      <c r="C677" s="1">
        <v>41821</v>
      </c>
      <c r="D677" s="22">
        <f>MONTH(Table12[[#This Row],[Order Date]])</f>
        <v>7</v>
      </c>
      <c r="E677" t="s">
        <v>2104</v>
      </c>
      <c r="F677" t="s">
        <v>2105</v>
      </c>
      <c r="G677" s="23" t="s">
        <v>41</v>
      </c>
      <c r="H677" s="23" t="s">
        <v>68</v>
      </c>
      <c r="I677" t="s">
        <v>3217</v>
      </c>
      <c r="J677" s="23" t="s">
        <v>36</v>
      </c>
      <c r="K677" s="22">
        <v>6</v>
      </c>
      <c r="L677" s="1">
        <v>41825</v>
      </c>
      <c r="M677" s="22">
        <f>Table12[[#This Row],[Ship Date]]-Table12[[#This Row],[Order Date]]</f>
        <v>4</v>
      </c>
      <c r="N677" s="23" t="s">
        <v>45</v>
      </c>
      <c r="O677" s="23" t="s">
        <v>23</v>
      </c>
      <c r="P677" s="23" t="s">
        <v>48</v>
      </c>
      <c r="Q677" s="23" t="s">
        <v>26</v>
      </c>
      <c r="R677" s="23" t="s">
        <v>3218</v>
      </c>
      <c r="S677" s="33">
        <v>0.7</v>
      </c>
      <c r="T677" s="13">
        <v>5.1840000000000002</v>
      </c>
      <c r="U677" s="13">
        <v>-3.6288</v>
      </c>
      <c r="V677" s="55">
        <f>IFERROR(Table12[[#This Row],[Profit]]/Table12[[#This Row],[Sales]],0)</f>
        <v>-0.7</v>
      </c>
    </row>
    <row r="678" spans="1:22" x14ac:dyDescent="0.2">
      <c r="A678">
        <v>677</v>
      </c>
      <c r="B678" t="s">
        <v>5239</v>
      </c>
      <c r="C678" s="1">
        <v>41822</v>
      </c>
      <c r="D678" s="22">
        <f>MONTH(Table12[[#This Row],[Order Date]])</f>
        <v>7</v>
      </c>
      <c r="E678" t="s">
        <v>2352</v>
      </c>
      <c r="F678" t="s">
        <v>2353</v>
      </c>
      <c r="G678" s="23" t="s">
        <v>64</v>
      </c>
      <c r="H678" s="23" t="s">
        <v>65</v>
      </c>
      <c r="I678" t="s">
        <v>140</v>
      </c>
      <c r="J678" s="23" t="s">
        <v>22</v>
      </c>
      <c r="K678" s="22">
        <v>2</v>
      </c>
      <c r="L678" s="1">
        <v>41826</v>
      </c>
      <c r="M678" s="22">
        <f>Table12[[#This Row],[Ship Date]]-Table12[[#This Row],[Order Date]]</f>
        <v>4</v>
      </c>
      <c r="N678" s="23" t="s">
        <v>45</v>
      </c>
      <c r="O678" s="23" t="s">
        <v>23</v>
      </c>
      <c r="P678" s="23" t="s">
        <v>695</v>
      </c>
      <c r="Q678" s="23" t="s">
        <v>133</v>
      </c>
      <c r="R678" s="23" t="s">
        <v>1874</v>
      </c>
      <c r="S678" s="33">
        <v>0</v>
      </c>
      <c r="T678" s="13">
        <v>73.98</v>
      </c>
      <c r="U678" s="13">
        <v>19.974599999999999</v>
      </c>
      <c r="V678" s="55">
        <f>IFERROR(Table12[[#This Row],[Profit]]/Table12[[#This Row],[Sales]],0)</f>
        <v>0.26999999999999996</v>
      </c>
    </row>
    <row r="679" spans="1:22" x14ac:dyDescent="0.2">
      <c r="A679">
        <v>678</v>
      </c>
      <c r="B679" t="s">
        <v>5239</v>
      </c>
      <c r="C679" s="1">
        <v>41822</v>
      </c>
      <c r="D679" s="22">
        <f>MONTH(Table12[[#This Row],[Order Date]])</f>
        <v>7</v>
      </c>
      <c r="E679" t="s">
        <v>2746</v>
      </c>
      <c r="F679" t="s">
        <v>2747</v>
      </c>
      <c r="G679" s="23" t="s">
        <v>41</v>
      </c>
      <c r="H679" s="23" t="s">
        <v>61</v>
      </c>
      <c r="I679" t="s">
        <v>140</v>
      </c>
      <c r="J679" s="23" t="s">
        <v>22</v>
      </c>
      <c r="K679" s="22">
        <v>1</v>
      </c>
      <c r="L679" s="1">
        <v>41826</v>
      </c>
      <c r="M679" s="22">
        <f>Table12[[#This Row],[Ship Date]]-Table12[[#This Row],[Order Date]]</f>
        <v>4</v>
      </c>
      <c r="N679" s="23" t="s">
        <v>45</v>
      </c>
      <c r="O679" s="23" t="s">
        <v>23</v>
      </c>
      <c r="P679" s="23" t="s">
        <v>695</v>
      </c>
      <c r="Q679" s="23" t="s">
        <v>133</v>
      </c>
      <c r="R679" s="23" t="s">
        <v>1874</v>
      </c>
      <c r="S679" s="33">
        <v>0</v>
      </c>
      <c r="T679" s="13">
        <v>5.58</v>
      </c>
      <c r="U679" s="13">
        <v>2.1762000000000001</v>
      </c>
      <c r="V679" s="55">
        <f>IFERROR(Table12[[#This Row],[Profit]]/Table12[[#This Row],[Sales]],0)</f>
        <v>0.39</v>
      </c>
    </row>
    <row r="680" spans="1:22" x14ac:dyDescent="0.2">
      <c r="A680">
        <v>679</v>
      </c>
      <c r="B680" t="s">
        <v>8289</v>
      </c>
      <c r="C680" s="1">
        <v>41824</v>
      </c>
      <c r="D680" s="22">
        <f>MONTH(Table12[[#This Row],[Order Date]])</f>
        <v>7</v>
      </c>
      <c r="E680" t="s">
        <v>5625</v>
      </c>
      <c r="F680" t="s">
        <v>5626</v>
      </c>
      <c r="G680" s="23" t="s">
        <v>41</v>
      </c>
      <c r="H680" s="23" t="s">
        <v>82</v>
      </c>
      <c r="I680" t="s">
        <v>6265</v>
      </c>
      <c r="J680" s="23" t="s">
        <v>36</v>
      </c>
      <c r="K680" s="22">
        <v>4</v>
      </c>
      <c r="L680" s="1">
        <v>41827</v>
      </c>
      <c r="M680" s="22">
        <f>Table12[[#This Row],[Ship Date]]-Table12[[#This Row],[Order Date]]</f>
        <v>3</v>
      </c>
      <c r="N680" s="23" t="s">
        <v>169</v>
      </c>
      <c r="O680" s="23" t="s">
        <v>23</v>
      </c>
      <c r="P680" s="23" t="s">
        <v>405</v>
      </c>
      <c r="Q680" s="23" t="s">
        <v>39</v>
      </c>
      <c r="R680" s="23" t="s">
        <v>404</v>
      </c>
      <c r="S680" s="33">
        <v>0.2</v>
      </c>
      <c r="T680" s="13">
        <v>177.536</v>
      </c>
      <c r="U680" s="13">
        <v>62.137599999999999</v>
      </c>
      <c r="V680" s="55">
        <f>IFERROR(Table12[[#This Row],[Profit]]/Table12[[#This Row],[Sales]],0)</f>
        <v>0.35</v>
      </c>
    </row>
    <row r="681" spans="1:22" x14ac:dyDescent="0.2">
      <c r="A681">
        <v>680</v>
      </c>
      <c r="B681" t="s">
        <v>8289</v>
      </c>
      <c r="C681" s="1">
        <v>41824</v>
      </c>
      <c r="D681" s="22">
        <f>MONTH(Table12[[#This Row],[Order Date]])</f>
        <v>7</v>
      </c>
      <c r="E681" t="s">
        <v>4552</v>
      </c>
      <c r="F681" t="s">
        <v>4553</v>
      </c>
      <c r="G681" s="23" t="s">
        <v>41</v>
      </c>
      <c r="H681" s="23" t="s">
        <v>71</v>
      </c>
      <c r="I681" t="s">
        <v>6265</v>
      </c>
      <c r="J681" s="23" t="s">
        <v>36</v>
      </c>
      <c r="K681" s="22">
        <v>2</v>
      </c>
      <c r="L681" s="1">
        <v>41827</v>
      </c>
      <c r="M681" s="22">
        <f>Table12[[#This Row],[Ship Date]]-Table12[[#This Row],[Order Date]]</f>
        <v>3</v>
      </c>
      <c r="N681" s="23" t="s">
        <v>169</v>
      </c>
      <c r="O681" s="23" t="s">
        <v>23</v>
      </c>
      <c r="P681" s="23" t="s">
        <v>405</v>
      </c>
      <c r="Q681" s="23" t="s">
        <v>39</v>
      </c>
      <c r="R681" s="23" t="s">
        <v>404</v>
      </c>
      <c r="S681" s="33">
        <v>0.2</v>
      </c>
      <c r="T681" s="13">
        <v>32.432000000000002</v>
      </c>
      <c r="U681" s="13">
        <v>3.2431999999999999</v>
      </c>
      <c r="V681" s="55">
        <f>IFERROR(Table12[[#This Row],[Profit]]/Table12[[#This Row],[Sales]],0)</f>
        <v>9.9999999999999992E-2</v>
      </c>
    </row>
    <row r="682" spans="1:22" x14ac:dyDescent="0.2">
      <c r="A682">
        <v>681</v>
      </c>
      <c r="B682" t="s">
        <v>8544</v>
      </c>
      <c r="C682" s="1">
        <v>41824</v>
      </c>
      <c r="D682" s="22">
        <f>MONTH(Table12[[#This Row],[Order Date]])</f>
        <v>7</v>
      </c>
      <c r="E682" t="s">
        <v>1185</v>
      </c>
      <c r="F682" t="s">
        <v>1186</v>
      </c>
      <c r="G682" s="23" t="s">
        <v>41</v>
      </c>
      <c r="H682" s="23" t="s">
        <v>82</v>
      </c>
      <c r="I682" t="s">
        <v>3519</v>
      </c>
      <c r="J682" s="23" t="s">
        <v>22</v>
      </c>
      <c r="K682" s="22">
        <v>3</v>
      </c>
      <c r="L682" s="1">
        <v>41829</v>
      </c>
      <c r="M682" s="22">
        <f>Table12[[#This Row],[Ship Date]]-Table12[[#This Row],[Order Date]]</f>
        <v>5</v>
      </c>
      <c r="N682" s="23" t="s">
        <v>45</v>
      </c>
      <c r="O682" s="23" t="s">
        <v>23</v>
      </c>
      <c r="P682" s="23" t="s">
        <v>285</v>
      </c>
      <c r="Q682" s="23" t="s">
        <v>26</v>
      </c>
      <c r="R682" s="23" t="s">
        <v>1294</v>
      </c>
      <c r="S682" s="33">
        <v>0</v>
      </c>
      <c r="T682" s="13">
        <v>21.84</v>
      </c>
      <c r="U682" s="13">
        <v>10.92</v>
      </c>
      <c r="V682" s="55">
        <f>IFERROR(Table12[[#This Row],[Profit]]/Table12[[#This Row],[Sales]],0)</f>
        <v>0.5</v>
      </c>
    </row>
    <row r="683" spans="1:22" x14ac:dyDescent="0.2">
      <c r="A683">
        <v>682</v>
      </c>
      <c r="B683" t="s">
        <v>8544</v>
      </c>
      <c r="C683" s="1">
        <v>41824</v>
      </c>
      <c r="D683" s="22">
        <f>MONTH(Table12[[#This Row],[Order Date]])</f>
        <v>7</v>
      </c>
      <c r="E683" t="s">
        <v>2563</v>
      </c>
      <c r="F683" t="s">
        <v>2564</v>
      </c>
      <c r="G683" s="23" t="s">
        <v>41</v>
      </c>
      <c r="H683" s="23" t="s">
        <v>68</v>
      </c>
      <c r="I683" t="s">
        <v>3519</v>
      </c>
      <c r="J683" s="23" t="s">
        <v>22</v>
      </c>
      <c r="K683" s="22">
        <v>5</v>
      </c>
      <c r="L683" s="1">
        <v>41829</v>
      </c>
      <c r="M683" s="22">
        <f>Table12[[#This Row],[Ship Date]]-Table12[[#This Row],[Order Date]]</f>
        <v>5</v>
      </c>
      <c r="N683" s="23" t="s">
        <v>45</v>
      </c>
      <c r="O683" s="23" t="s">
        <v>23</v>
      </c>
      <c r="P683" s="23" t="s">
        <v>285</v>
      </c>
      <c r="Q683" s="23" t="s">
        <v>26</v>
      </c>
      <c r="R683" s="23" t="s">
        <v>1294</v>
      </c>
      <c r="S683" s="33">
        <v>0</v>
      </c>
      <c r="T683" s="13">
        <v>15.6</v>
      </c>
      <c r="U683" s="13">
        <v>7.6440000000000001</v>
      </c>
      <c r="V683" s="55">
        <f>IFERROR(Table12[[#This Row],[Profit]]/Table12[[#This Row],[Sales]],0)</f>
        <v>0.49000000000000005</v>
      </c>
    </row>
    <row r="684" spans="1:22" x14ac:dyDescent="0.2">
      <c r="A684">
        <v>683</v>
      </c>
      <c r="B684" t="s">
        <v>1960</v>
      </c>
      <c r="C684" s="1">
        <v>41825</v>
      </c>
      <c r="D684" s="22">
        <f>MONTH(Table12[[#This Row],[Order Date]])</f>
        <v>7</v>
      </c>
      <c r="E684" t="s">
        <v>1160</v>
      </c>
      <c r="F684" t="s">
        <v>1161</v>
      </c>
      <c r="G684" s="23" t="s">
        <v>64</v>
      </c>
      <c r="H684" s="23" t="s">
        <v>144</v>
      </c>
      <c r="I684" t="s">
        <v>1961</v>
      </c>
      <c r="J684" s="23" t="s">
        <v>22</v>
      </c>
      <c r="K684" s="22">
        <v>3</v>
      </c>
      <c r="L684" s="1">
        <v>41828</v>
      </c>
      <c r="M684" s="22">
        <f>Table12[[#This Row],[Ship Date]]-Table12[[#This Row],[Order Date]]</f>
        <v>3</v>
      </c>
      <c r="N684" s="23" t="s">
        <v>169</v>
      </c>
      <c r="O684" s="23" t="s">
        <v>23</v>
      </c>
      <c r="P684" s="23" t="s">
        <v>1315</v>
      </c>
      <c r="Q684" s="23" t="s">
        <v>26</v>
      </c>
      <c r="R684" s="23" t="s">
        <v>293</v>
      </c>
      <c r="S684" s="33">
        <v>0</v>
      </c>
      <c r="T684" s="13">
        <v>479.97</v>
      </c>
      <c r="U684" s="13">
        <v>163.18979999999999</v>
      </c>
      <c r="V684" s="55">
        <f>IFERROR(Table12[[#This Row],[Profit]]/Table12[[#This Row],[Sales]],0)</f>
        <v>0.33999999999999997</v>
      </c>
    </row>
    <row r="685" spans="1:22" x14ac:dyDescent="0.2">
      <c r="A685">
        <v>684</v>
      </c>
      <c r="B685" t="s">
        <v>1960</v>
      </c>
      <c r="C685" s="1">
        <v>41825</v>
      </c>
      <c r="D685" s="22">
        <f>MONTH(Table12[[#This Row],[Order Date]])</f>
        <v>7</v>
      </c>
      <c r="E685" t="s">
        <v>1962</v>
      </c>
      <c r="F685" t="s">
        <v>1963</v>
      </c>
      <c r="G685" s="23" t="s">
        <v>41</v>
      </c>
      <c r="H685" s="23" t="s">
        <v>42</v>
      </c>
      <c r="I685" t="s">
        <v>1961</v>
      </c>
      <c r="J685" s="23" t="s">
        <v>22</v>
      </c>
      <c r="K685" s="22">
        <v>2</v>
      </c>
      <c r="L685" s="1">
        <v>41828</v>
      </c>
      <c r="M685" s="22">
        <f>Table12[[#This Row],[Ship Date]]-Table12[[#This Row],[Order Date]]</f>
        <v>3</v>
      </c>
      <c r="N685" s="23" t="s">
        <v>169</v>
      </c>
      <c r="O685" s="23" t="s">
        <v>23</v>
      </c>
      <c r="P685" s="23" t="s">
        <v>1315</v>
      </c>
      <c r="Q685" s="23" t="s">
        <v>26</v>
      </c>
      <c r="R685" s="23" t="s">
        <v>293</v>
      </c>
      <c r="S685" s="33">
        <v>0</v>
      </c>
      <c r="T685" s="13">
        <v>14.62</v>
      </c>
      <c r="U685" s="13">
        <v>6.8714000000000004</v>
      </c>
      <c r="V685" s="55">
        <f>IFERROR(Table12[[#This Row],[Profit]]/Table12[[#This Row],[Sales]],0)</f>
        <v>0.47000000000000003</v>
      </c>
    </row>
    <row r="686" spans="1:22" x14ac:dyDescent="0.2">
      <c r="A686">
        <v>685</v>
      </c>
      <c r="B686" t="s">
        <v>1960</v>
      </c>
      <c r="C686" s="1">
        <v>41825</v>
      </c>
      <c r="D686" s="22">
        <f>MONTH(Table12[[#This Row],[Order Date]])</f>
        <v>7</v>
      </c>
      <c r="E686" t="s">
        <v>360</v>
      </c>
      <c r="F686" t="s">
        <v>361</v>
      </c>
      <c r="G686" s="23" t="s">
        <v>41</v>
      </c>
      <c r="H686" s="23" t="s">
        <v>82</v>
      </c>
      <c r="I686" t="s">
        <v>1961</v>
      </c>
      <c r="J686" s="23" t="s">
        <v>22</v>
      </c>
      <c r="K686" s="22">
        <v>3</v>
      </c>
      <c r="L686" s="1">
        <v>41828</v>
      </c>
      <c r="M686" s="22">
        <f>Table12[[#This Row],[Ship Date]]-Table12[[#This Row],[Order Date]]</f>
        <v>3</v>
      </c>
      <c r="N686" s="23" t="s">
        <v>169</v>
      </c>
      <c r="O686" s="23" t="s">
        <v>23</v>
      </c>
      <c r="P686" s="23" t="s">
        <v>1315</v>
      </c>
      <c r="Q686" s="23" t="s">
        <v>26</v>
      </c>
      <c r="R686" s="23" t="s">
        <v>293</v>
      </c>
      <c r="S686" s="33">
        <v>0</v>
      </c>
      <c r="T686" s="13">
        <v>19.440000000000001</v>
      </c>
      <c r="U686" s="13">
        <v>9.3312000000000008</v>
      </c>
      <c r="V686" s="55">
        <f>IFERROR(Table12[[#This Row],[Profit]]/Table12[[#This Row],[Sales]],0)</f>
        <v>0.48000000000000004</v>
      </c>
    </row>
    <row r="687" spans="1:22" x14ac:dyDescent="0.2">
      <c r="A687">
        <v>686</v>
      </c>
      <c r="B687" t="s">
        <v>3291</v>
      </c>
      <c r="C687" s="1">
        <v>41825</v>
      </c>
      <c r="D687" s="22">
        <f>MONTH(Table12[[#This Row],[Order Date]])</f>
        <v>7</v>
      </c>
      <c r="E687" t="s">
        <v>739</v>
      </c>
      <c r="F687" t="s">
        <v>740</v>
      </c>
      <c r="G687" s="23" t="s">
        <v>41</v>
      </c>
      <c r="H687" s="23" t="s">
        <v>53</v>
      </c>
      <c r="I687" t="s">
        <v>3122</v>
      </c>
      <c r="J687" s="23" t="s">
        <v>22</v>
      </c>
      <c r="K687" s="22">
        <v>3</v>
      </c>
      <c r="L687" s="1">
        <v>41825</v>
      </c>
      <c r="M687" s="22">
        <f>Table12[[#This Row],[Ship Date]]-Table12[[#This Row],[Order Date]]</f>
        <v>0</v>
      </c>
      <c r="N687" s="23" t="s">
        <v>1141</v>
      </c>
      <c r="O687" s="23" t="s">
        <v>23</v>
      </c>
      <c r="P687" s="23" t="s">
        <v>94</v>
      </c>
      <c r="Q687" s="23" t="s">
        <v>95</v>
      </c>
      <c r="R687" s="23" t="s">
        <v>165</v>
      </c>
      <c r="S687" s="33">
        <v>0.2</v>
      </c>
      <c r="T687" s="13">
        <v>220.77600000000001</v>
      </c>
      <c r="U687" s="13">
        <v>-44.155200000000001</v>
      </c>
      <c r="V687" s="55">
        <f>IFERROR(Table12[[#This Row],[Profit]]/Table12[[#This Row],[Sales]],0)</f>
        <v>-0.19999999999999998</v>
      </c>
    </row>
    <row r="688" spans="1:22" x14ac:dyDescent="0.2">
      <c r="A688">
        <v>687</v>
      </c>
      <c r="B688" t="s">
        <v>3291</v>
      </c>
      <c r="C688" s="1">
        <v>41825</v>
      </c>
      <c r="D688" s="22">
        <f>MONTH(Table12[[#This Row],[Order Date]])</f>
        <v>7</v>
      </c>
      <c r="E688" t="s">
        <v>3126</v>
      </c>
      <c r="F688" t="s">
        <v>3127</v>
      </c>
      <c r="G688" s="23" t="s">
        <v>41</v>
      </c>
      <c r="H688" s="23" t="s">
        <v>53</v>
      </c>
      <c r="I688" t="s">
        <v>3122</v>
      </c>
      <c r="J688" s="23" t="s">
        <v>22</v>
      </c>
      <c r="K688" s="22">
        <v>11</v>
      </c>
      <c r="L688" s="1">
        <v>41825</v>
      </c>
      <c r="M688" s="22">
        <f>Table12[[#This Row],[Ship Date]]-Table12[[#This Row],[Order Date]]</f>
        <v>0</v>
      </c>
      <c r="N688" s="23" t="s">
        <v>1141</v>
      </c>
      <c r="O688" s="23" t="s">
        <v>23</v>
      </c>
      <c r="P688" s="23" t="s">
        <v>94</v>
      </c>
      <c r="Q688" s="23" t="s">
        <v>95</v>
      </c>
      <c r="R688" s="23" t="s">
        <v>165</v>
      </c>
      <c r="S688" s="33">
        <v>0.2</v>
      </c>
      <c r="T688" s="13">
        <v>281.42399999999998</v>
      </c>
      <c r="U688" s="13">
        <v>-35.177999999999997</v>
      </c>
      <c r="V688" s="55">
        <f>IFERROR(Table12[[#This Row],[Profit]]/Table12[[#This Row],[Sales]],0)</f>
        <v>-0.125</v>
      </c>
    </row>
    <row r="689" spans="1:22" x14ac:dyDescent="0.2">
      <c r="A689">
        <v>688</v>
      </c>
      <c r="B689" t="s">
        <v>6223</v>
      </c>
      <c r="C689" s="1">
        <v>41825</v>
      </c>
      <c r="D689" s="22">
        <f>MONTH(Table12[[#This Row],[Order Date]])</f>
        <v>7</v>
      </c>
      <c r="E689" t="s">
        <v>1524</v>
      </c>
      <c r="F689" t="s">
        <v>1525</v>
      </c>
      <c r="G689" s="23" t="s">
        <v>41</v>
      </c>
      <c r="H689" s="23" t="s">
        <v>68</v>
      </c>
      <c r="I689" t="s">
        <v>3710</v>
      </c>
      <c r="J689" s="23" t="s">
        <v>92</v>
      </c>
      <c r="K689" s="22">
        <v>6</v>
      </c>
      <c r="L689" s="1">
        <v>41831</v>
      </c>
      <c r="M689" s="22">
        <f>Table12[[#This Row],[Ship Date]]-Table12[[#This Row],[Order Date]]</f>
        <v>6</v>
      </c>
      <c r="N689" s="23" t="s">
        <v>45</v>
      </c>
      <c r="O689" s="23" t="s">
        <v>23</v>
      </c>
      <c r="P689" s="23" t="s">
        <v>38</v>
      </c>
      <c r="Q689" s="23" t="s">
        <v>39</v>
      </c>
      <c r="R689" s="23" t="s">
        <v>37</v>
      </c>
      <c r="S689" s="33">
        <v>0.2</v>
      </c>
      <c r="T689" s="13">
        <v>180.96</v>
      </c>
      <c r="U689" s="13">
        <v>67.86</v>
      </c>
      <c r="V689" s="55">
        <f>IFERROR(Table12[[#This Row],[Profit]]/Table12[[#This Row],[Sales]],0)</f>
        <v>0.375</v>
      </c>
    </row>
    <row r="690" spans="1:22" x14ac:dyDescent="0.2">
      <c r="A690">
        <v>689</v>
      </c>
      <c r="B690" t="s">
        <v>6308</v>
      </c>
      <c r="C690" s="1">
        <v>41825</v>
      </c>
      <c r="D690" s="22">
        <f>MONTH(Table12[[#This Row],[Order Date]])</f>
        <v>7</v>
      </c>
      <c r="E690" t="s">
        <v>60</v>
      </c>
      <c r="F690" t="s">
        <v>62</v>
      </c>
      <c r="G690" s="23" t="s">
        <v>41</v>
      </c>
      <c r="H690" s="23" t="s">
        <v>61</v>
      </c>
      <c r="I690" t="s">
        <v>5765</v>
      </c>
      <c r="J690" s="23" t="s">
        <v>36</v>
      </c>
      <c r="K690" s="22">
        <v>3</v>
      </c>
      <c r="L690" s="1">
        <v>41832</v>
      </c>
      <c r="M690" s="22">
        <f>Table12[[#This Row],[Ship Date]]-Table12[[#This Row],[Order Date]]</f>
        <v>7</v>
      </c>
      <c r="N690" s="23" t="s">
        <v>45</v>
      </c>
      <c r="O690" s="23" t="s">
        <v>23</v>
      </c>
      <c r="P690" s="23" t="s">
        <v>299</v>
      </c>
      <c r="Q690" s="23" t="s">
        <v>26</v>
      </c>
      <c r="R690" s="23" t="s">
        <v>4558</v>
      </c>
      <c r="S690" s="33">
        <v>0.2</v>
      </c>
      <c r="T690" s="13">
        <v>4.3680000000000003</v>
      </c>
      <c r="U690" s="13">
        <v>0.38219999999999998</v>
      </c>
      <c r="V690" s="55">
        <f>IFERROR(Table12[[#This Row],[Profit]]/Table12[[#This Row],[Sales]],0)</f>
        <v>8.7499999999999994E-2</v>
      </c>
    </row>
    <row r="691" spans="1:22" x14ac:dyDescent="0.2">
      <c r="A691">
        <v>690</v>
      </c>
      <c r="B691" t="s">
        <v>7480</v>
      </c>
      <c r="C691" s="1">
        <v>41825</v>
      </c>
      <c r="D691" s="22">
        <f>MONTH(Table12[[#This Row],[Order Date]])</f>
        <v>7</v>
      </c>
      <c r="E691" t="s">
        <v>3957</v>
      </c>
      <c r="F691" t="s">
        <v>3958</v>
      </c>
      <c r="G691" s="23" t="s">
        <v>28</v>
      </c>
      <c r="H691" s="23" t="s">
        <v>58</v>
      </c>
      <c r="I691" t="s">
        <v>7433</v>
      </c>
      <c r="J691" s="23" t="s">
        <v>36</v>
      </c>
      <c r="K691" s="22">
        <v>2</v>
      </c>
      <c r="L691" s="1">
        <v>41828</v>
      </c>
      <c r="M691" s="22">
        <f>Table12[[#This Row],[Ship Date]]-Table12[[#This Row],[Order Date]]</f>
        <v>3</v>
      </c>
      <c r="N691" s="23" t="s">
        <v>169</v>
      </c>
      <c r="O691" s="23" t="s">
        <v>23</v>
      </c>
      <c r="P691" s="23" t="s">
        <v>48</v>
      </c>
      <c r="Q691" s="23" t="s">
        <v>26</v>
      </c>
      <c r="R691" s="23" t="s">
        <v>2015</v>
      </c>
      <c r="S691" s="33">
        <v>0.2</v>
      </c>
      <c r="T691" s="13">
        <v>19.52</v>
      </c>
      <c r="U691" s="13">
        <v>5.3680000000000003</v>
      </c>
      <c r="V691" s="55">
        <f>IFERROR(Table12[[#This Row],[Profit]]/Table12[[#This Row],[Sales]],0)</f>
        <v>0.27500000000000002</v>
      </c>
    </row>
    <row r="692" spans="1:22" x14ac:dyDescent="0.2">
      <c r="A692">
        <v>691</v>
      </c>
      <c r="B692" t="s">
        <v>7480</v>
      </c>
      <c r="C692" s="1">
        <v>41825</v>
      </c>
      <c r="D692" s="22">
        <f>MONTH(Table12[[#This Row],[Order Date]])</f>
        <v>7</v>
      </c>
      <c r="E692" t="s">
        <v>5714</v>
      </c>
      <c r="F692" t="s">
        <v>5715</v>
      </c>
      <c r="G692" s="23" t="s">
        <v>41</v>
      </c>
      <c r="H692" s="23" t="s">
        <v>68</v>
      </c>
      <c r="I692" t="s">
        <v>7433</v>
      </c>
      <c r="J692" s="23" t="s">
        <v>36</v>
      </c>
      <c r="K692" s="22">
        <v>5</v>
      </c>
      <c r="L692" s="1">
        <v>41828</v>
      </c>
      <c r="M692" s="22">
        <f>Table12[[#This Row],[Ship Date]]-Table12[[#This Row],[Order Date]]</f>
        <v>3</v>
      </c>
      <c r="N692" s="23" t="s">
        <v>169</v>
      </c>
      <c r="O692" s="23" t="s">
        <v>23</v>
      </c>
      <c r="P692" s="23" t="s">
        <v>48</v>
      </c>
      <c r="Q692" s="23" t="s">
        <v>26</v>
      </c>
      <c r="R692" s="23" t="s">
        <v>2015</v>
      </c>
      <c r="S692" s="33">
        <v>0.7</v>
      </c>
      <c r="T692" s="13">
        <v>9.81</v>
      </c>
      <c r="U692" s="13">
        <v>-6.867</v>
      </c>
      <c r="V692" s="55">
        <f>IFERROR(Table12[[#This Row],[Profit]]/Table12[[#This Row],[Sales]],0)</f>
        <v>-0.7</v>
      </c>
    </row>
    <row r="693" spans="1:22" x14ac:dyDescent="0.2">
      <c r="A693">
        <v>692</v>
      </c>
      <c r="B693" t="s">
        <v>7480</v>
      </c>
      <c r="C693" s="1">
        <v>41825</v>
      </c>
      <c r="D693" s="22">
        <f>MONTH(Table12[[#This Row],[Order Date]])</f>
        <v>7</v>
      </c>
      <c r="E693" t="s">
        <v>7481</v>
      </c>
      <c r="F693" t="s">
        <v>7482</v>
      </c>
      <c r="G693" s="23" t="s">
        <v>28</v>
      </c>
      <c r="H693" s="23" t="s">
        <v>58</v>
      </c>
      <c r="I693" t="s">
        <v>7433</v>
      </c>
      <c r="J693" s="23" t="s">
        <v>36</v>
      </c>
      <c r="K693" s="22">
        <v>3</v>
      </c>
      <c r="L693" s="1">
        <v>41828</v>
      </c>
      <c r="M693" s="22">
        <f>Table12[[#This Row],[Ship Date]]-Table12[[#This Row],[Order Date]]</f>
        <v>3</v>
      </c>
      <c r="N693" s="23" t="s">
        <v>169</v>
      </c>
      <c r="O693" s="23" t="s">
        <v>23</v>
      </c>
      <c r="P693" s="23" t="s">
        <v>48</v>
      </c>
      <c r="Q693" s="23" t="s">
        <v>26</v>
      </c>
      <c r="R693" s="23" t="s">
        <v>2015</v>
      </c>
      <c r="S693" s="33">
        <v>0.2</v>
      </c>
      <c r="T693" s="13">
        <v>213.21600000000001</v>
      </c>
      <c r="U693" s="13">
        <v>15.991199999999999</v>
      </c>
      <c r="V693" s="55">
        <f>IFERROR(Table12[[#This Row],[Profit]]/Table12[[#This Row],[Sales]],0)</f>
        <v>7.4999999999999997E-2</v>
      </c>
    </row>
    <row r="694" spans="1:22" x14ac:dyDescent="0.2">
      <c r="A694">
        <v>693</v>
      </c>
      <c r="B694" t="s">
        <v>3623</v>
      </c>
      <c r="C694" s="1">
        <v>41826</v>
      </c>
      <c r="D694" s="22">
        <f>MONTH(Table12[[#This Row],[Order Date]])</f>
        <v>7</v>
      </c>
      <c r="E694" t="s">
        <v>3053</v>
      </c>
      <c r="F694" t="s">
        <v>3054</v>
      </c>
      <c r="G694" s="23" t="s">
        <v>64</v>
      </c>
      <c r="H694" s="23" t="s">
        <v>1075</v>
      </c>
      <c r="I694" t="s">
        <v>1617</v>
      </c>
      <c r="J694" s="23" t="s">
        <v>22</v>
      </c>
      <c r="K694" s="22">
        <v>1</v>
      </c>
      <c r="L694" s="1">
        <v>41828</v>
      </c>
      <c r="M694" s="22">
        <f>Table12[[#This Row],[Ship Date]]-Table12[[#This Row],[Order Date]]</f>
        <v>2</v>
      </c>
      <c r="N694" s="23" t="s">
        <v>169</v>
      </c>
      <c r="O694" s="23" t="s">
        <v>23</v>
      </c>
      <c r="P694" s="23" t="s">
        <v>238</v>
      </c>
      <c r="Q694" s="23" t="s">
        <v>133</v>
      </c>
      <c r="R694" s="23" t="s">
        <v>237</v>
      </c>
      <c r="S694" s="33">
        <v>0.2</v>
      </c>
      <c r="T694" s="13">
        <v>559.99199999999996</v>
      </c>
      <c r="U694" s="13">
        <v>174.9975</v>
      </c>
      <c r="V694" s="55">
        <f>IFERROR(Table12[[#This Row],[Profit]]/Table12[[#This Row],[Sales]],0)</f>
        <v>0.3125</v>
      </c>
    </row>
    <row r="695" spans="1:22" x14ac:dyDescent="0.2">
      <c r="A695">
        <v>694</v>
      </c>
      <c r="B695" t="s">
        <v>8357</v>
      </c>
      <c r="C695" s="1">
        <v>41826</v>
      </c>
      <c r="D695" s="22">
        <f>MONTH(Table12[[#This Row],[Order Date]])</f>
        <v>7</v>
      </c>
      <c r="E695" t="s">
        <v>4186</v>
      </c>
      <c r="F695" t="s">
        <v>4187</v>
      </c>
      <c r="G695" s="23" t="s">
        <v>28</v>
      </c>
      <c r="H695" s="23" t="s">
        <v>32</v>
      </c>
      <c r="I695" t="s">
        <v>4721</v>
      </c>
      <c r="J695" s="23" t="s">
        <v>92</v>
      </c>
      <c r="K695" s="22">
        <v>2</v>
      </c>
      <c r="L695" s="1">
        <v>41832</v>
      </c>
      <c r="M695" s="22">
        <f>Table12[[#This Row],[Ship Date]]-Table12[[#This Row],[Order Date]]</f>
        <v>6</v>
      </c>
      <c r="N695" s="23" t="s">
        <v>45</v>
      </c>
      <c r="O695" s="23" t="s">
        <v>23</v>
      </c>
      <c r="P695" s="23" t="s">
        <v>38</v>
      </c>
      <c r="Q695" s="23" t="s">
        <v>39</v>
      </c>
      <c r="R695" s="23" t="s">
        <v>8358</v>
      </c>
      <c r="S695" s="33">
        <v>0.2</v>
      </c>
      <c r="T695" s="13">
        <v>478.48</v>
      </c>
      <c r="U695" s="13">
        <v>47.847999999999999</v>
      </c>
      <c r="V695" s="55">
        <f>IFERROR(Table12[[#This Row],[Profit]]/Table12[[#This Row],[Sales]],0)</f>
        <v>9.9999999999999992E-2</v>
      </c>
    </row>
    <row r="696" spans="1:22" x14ac:dyDescent="0.2">
      <c r="A696">
        <v>695</v>
      </c>
      <c r="B696" t="s">
        <v>6732</v>
      </c>
      <c r="C696" s="1">
        <v>41827</v>
      </c>
      <c r="D696" s="22">
        <f>MONTH(Table12[[#This Row],[Order Date]])</f>
        <v>7</v>
      </c>
      <c r="E696" t="s">
        <v>2803</v>
      </c>
      <c r="F696" t="s">
        <v>2804</v>
      </c>
      <c r="G696" s="23" t="s">
        <v>28</v>
      </c>
      <c r="H696" s="23" t="s">
        <v>32</v>
      </c>
      <c r="I696" t="s">
        <v>1864</v>
      </c>
      <c r="J696" s="23" t="s">
        <v>22</v>
      </c>
      <c r="K696" s="22">
        <v>2</v>
      </c>
      <c r="L696" s="1">
        <v>41831</v>
      </c>
      <c r="M696" s="22">
        <f>Table12[[#This Row],[Ship Date]]-Table12[[#This Row],[Order Date]]</f>
        <v>4</v>
      </c>
      <c r="N696" s="23" t="s">
        <v>45</v>
      </c>
      <c r="O696" s="23" t="s">
        <v>23</v>
      </c>
      <c r="P696" s="23" t="s">
        <v>132</v>
      </c>
      <c r="Q696" s="23" t="s">
        <v>133</v>
      </c>
      <c r="R696" s="23" t="s">
        <v>131</v>
      </c>
      <c r="S696" s="33">
        <v>0.3</v>
      </c>
      <c r="T696" s="13">
        <v>172.18600000000001</v>
      </c>
      <c r="U696" s="13">
        <v>-46.736199999999997</v>
      </c>
      <c r="V696" s="55">
        <f>IFERROR(Table12[[#This Row],[Profit]]/Table12[[#This Row],[Sales]],0)</f>
        <v>-0.27142857142857141</v>
      </c>
    </row>
    <row r="697" spans="1:22" x14ac:dyDescent="0.2">
      <c r="A697">
        <v>696</v>
      </c>
      <c r="B697" t="s">
        <v>6732</v>
      </c>
      <c r="C697" s="1">
        <v>41827</v>
      </c>
      <c r="D697" s="22">
        <f>MONTH(Table12[[#This Row],[Order Date]])</f>
        <v>7</v>
      </c>
      <c r="E697" t="s">
        <v>1659</v>
      </c>
      <c r="F697" t="s">
        <v>1660</v>
      </c>
      <c r="G697" s="23" t="s">
        <v>28</v>
      </c>
      <c r="H697" s="23" t="s">
        <v>58</v>
      </c>
      <c r="I697" t="s">
        <v>1864</v>
      </c>
      <c r="J697" s="23" t="s">
        <v>22</v>
      </c>
      <c r="K697" s="22">
        <v>2</v>
      </c>
      <c r="L697" s="1">
        <v>41831</v>
      </c>
      <c r="M697" s="22">
        <f>Table12[[#This Row],[Ship Date]]-Table12[[#This Row],[Order Date]]</f>
        <v>4</v>
      </c>
      <c r="N697" s="23" t="s">
        <v>45</v>
      </c>
      <c r="O697" s="23" t="s">
        <v>23</v>
      </c>
      <c r="P697" s="23" t="s">
        <v>132</v>
      </c>
      <c r="Q697" s="23" t="s">
        <v>133</v>
      </c>
      <c r="R697" s="23" t="s">
        <v>131</v>
      </c>
      <c r="S697" s="33">
        <v>0.2</v>
      </c>
      <c r="T697" s="13">
        <v>69.007999999999996</v>
      </c>
      <c r="U697" s="13">
        <v>12.0764</v>
      </c>
      <c r="V697" s="55">
        <f>IFERROR(Table12[[#This Row],[Profit]]/Table12[[#This Row],[Sales]],0)</f>
        <v>0.17500000000000002</v>
      </c>
    </row>
    <row r="698" spans="1:22" x14ac:dyDescent="0.2">
      <c r="A698">
        <v>697</v>
      </c>
      <c r="B698" t="s">
        <v>7023</v>
      </c>
      <c r="C698" s="1">
        <v>41828</v>
      </c>
      <c r="D698" s="22">
        <f>MONTH(Table12[[#This Row],[Order Date]])</f>
        <v>7</v>
      </c>
      <c r="E698" t="s">
        <v>1627</v>
      </c>
      <c r="F698" t="s">
        <v>1628</v>
      </c>
      <c r="G698" s="23" t="s">
        <v>28</v>
      </c>
      <c r="H698" s="23" t="s">
        <v>32</v>
      </c>
      <c r="I698" t="s">
        <v>5331</v>
      </c>
      <c r="J698" s="23" t="s">
        <v>22</v>
      </c>
      <c r="K698" s="22">
        <v>1</v>
      </c>
      <c r="L698" s="1">
        <v>41830</v>
      </c>
      <c r="M698" s="22">
        <f>Table12[[#This Row],[Ship Date]]-Table12[[#This Row],[Order Date]]</f>
        <v>2</v>
      </c>
      <c r="N698" s="23" t="s">
        <v>169</v>
      </c>
      <c r="O698" s="23" t="s">
        <v>23</v>
      </c>
      <c r="P698" s="23" t="s">
        <v>238</v>
      </c>
      <c r="Q698" s="23" t="s">
        <v>133</v>
      </c>
      <c r="R698" s="23" t="s">
        <v>3048</v>
      </c>
      <c r="S698" s="33">
        <v>0.1</v>
      </c>
      <c r="T698" s="13">
        <v>63.881999999999998</v>
      </c>
      <c r="U698" s="13">
        <v>10.647</v>
      </c>
      <c r="V698" s="55">
        <f>IFERROR(Table12[[#This Row],[Profit]]/Table12[[#This Row],[Sales]],0)</f>
        <v>0.16666666666666669</v>
      </c>
    </row>
    <row r="699" spans="1:22" x14ac:dyDescent="0.2">
      <c r="A699">
        <v>698</v>
      </c>
      <c r="B699" t="s">
        <v>8037</v>
      </c>
      <c r="C699" s="1">
        <v>41828</v>
      </c>
      <c r="D699" s="22">
        <f>MONTH(Table12[[#This Row],[Order Date]])</f>
        <v>7</v>
      </c>
      <c r="E699" t="s">
        <v>3551</v>
      </c>
      <c r="F699" t="s">
        <v>3552</v>
      </c>
      <c r="G699" s="23" t="s">
        <v>28</v>
      </c>
      <c r="H699" s="23" t="s">
        <v>50</v>
      </c>
      <c r="I699" t="s">
        <v>1394</v>
      </c>
      <c r="J699" s="23" t="s">
        <v>36</v>
      </c>
      <c r="K699" s="22">
        <v>3</v>
      </c>
      <c r="L699" s="1">
        <v>41832</v>
      </c>
      <c r="M699" s="22">
        <f>Table12[[#This Row],[Ship Date]]-Table12[[#This Row],[Order Date]]</f>
        <v>4</v>
      </c>
      <c r="N699" s="23" t="s">
        <v>45</v>
      </c>
      <c r="O699" s="23" t="s">
        <v>23</v>
      </c>
      <c r="P699" s="23" t="s">
        <v>38</v>
      </c>
      <c r="Q699" s="23" t="s">
        <v>39</v>
      </c>
      <c r="R699" s="23" t="s">
        <v>114</v>
      </c>
      <c r="S699" s="33">
        <v>0.2</v>
      </c>
      <c r="T699" s="13">
        <v>502.488</v>
      </c>
      <c r="U699" s="13">
        <v>-87.935400000000001</v>
      </c>
      <c r="V699" s="55">
        <f>IFERROR(Table12[[#This Row],[Profit]]/Table12[[#This Row],[Sales]],0)</f>
        <v>-0.17500000000000002</v>
      </c>
    </row>
    <row r="700" spans="1:22" x14ac:dyDescent="0.2">
      <c r="A700">
        <v>699</v>
      </c>
      <c r="B700" t="s">
        <v>8037</v>
      </c>
      <c r="C700" s="1">
        <v>41828</v>
      </c>
      <c r="D700" s="22">
        <f>MONTH(Table12[[#This Row],[Order Date]])</f>
        <v>7</v>
      </c>
      <c r="E700" t="s">
        <v>2755</v>
      </c>
      <c r="F700" t="s">
        <v>2756</v>
      </c>
      <c r="G700" s="23" t="s">
        <v>41</v>
      </c>
      <c r="H700" s="23" t="s">
        <v>68</v>
      </c>
      <c r="I700" t="s">
        <v>1394</v>
      </c>
      <c r="J700" s="23" t="s">
        <v>36</v>
      </c>
      <c r="K700" s="22">
        <v>6</v>
      </c>
      <c r="L700" s="1">
        <v>41832</v>
      </c>
      <c r="M700" s="22">
        <f>Table12[[#This Row],[Ship Date]]-Table12[[#This Row],[Order Date]]</f>
        <v>4</v>
      </c>
      <c r="N700" s="23" t="s">
        <v>45</v>
      </c>
      <c r="O700" s="23" t="s">
        <v>23</v>
      </c>
      <c r="P700" s="23" t="s">
        <v>38</v>
      </c>
      <c r="Q700" s="23" t="s">
        <v>39</v>
      </c>
      <c r="R700" s="23" t="s">
        <v>114</v>
      </c>
      <c r="S700" s="33">
        <v>0.2</v>
      </c>
      <c r="T700" s="13">
        <v>196.70400000000001</v>
      </c>
      <c r="U700" s="13">
        <v>68.846400000000003</v>
      </c>
      <c r="V700" s="55">
        <f>IFERROR(Table12[[#This Row],[Profit]]/Table12[[#This Row],[Sales]],0)</f>
        <v>0.35</v>
      </c>
    </row>
    <row r="701" spans="1:22" x14ac:dyDescent="0.2">
      <c r="A701">
        <v>700</v>
      </c>
      <c r="B701" t="s">
        <v>5877</v>
      </c>
      <c r="C701" s="1">
        <v>41829</v>
      </c>
      <c r="D701" s="22">
        <f>MONTH(Table12[[#This Row],[Order Date]])</f>
        <v>7</v>
      </c>
      <c r="E701" t="s">
        <v>3209</v>
      </c>
      <c r="F701" t="s">
        <v>3210</v>
      </c>
      <c r="G701" s="23" t="s">
        <v>41</v>
      </c>
      <c r="H701" s="23" t="s">
        <v>82</v>
      </c>
      <c r="I701" t="s">
        <v>2296</v>
      </c>
      <c r="J701" s="23" t="s">
        <v>36</v>
      </c>
      <c r="K701" s="22">
        <v>2</v>
      </c>
      <c r="L701" s="1">
        <v>41835</v>
      </c>
      <c r="M701" s="22">
        <f>Table12[[#This Row],[Ship Date]]-Table12[[#This Row],[Order Date]]</f>
        <v>6</v>
      </c>
      <c r="N701" s="23" t="s">
        <v>45</v>
      </c>
      <c r="O701" s="23" t="s">
        <v>23</v>
      </c>
      <c r="P701" s="23" t="s">
        <v>94</v>
      </c>
      <c r="Q701" s="23" t="s">
        <v>95</v>
      </c>
      <c r="R701" s="23" t="s">
        <v>718</v>
      </c>
      <c r="S701" s="33">
        <v>0.2</v>
      </c>
      <c r="T701" s="13">
        <v>10.368</v>
      </c>
      <c r="U701" s="13">
        <v>3.6288</v>
      </c>
      <c r="V701" s="55">
        <f>IFERROR(Table12[[#This Row],[Profit]]/Table12[[#This Row],[Sales]],0)</f>
        <v>0.35</v>
      </c>
    </row>
    <row r="702" spans="1:22" x14ac:dyDescent="0.2">
      <c r="A702">
        <v>701</v>
      </c>
      <c r="B702" t="s">
        <v>5877</v>
      </c>
      <c r="C702" s="1">
        <v>41829</v>
      </c>
      <c r="D702" s="22">
        <f>MONTH(Table12[[#This Row],[Order Date]])</f>
        <v>7</v>
      </c>
      <c r="E702" t="s">
        <v>4949</v>
      </c>
      <c r="F702" t="s">
        <v>4950</v>
      </c>
      <c r="G702" s="23" t="s">
        <v>41</v>
      </c>
      <c r="H702" s="23" t="s">
        <v>82</v>
      </c>
      <c r="I702" t="s">
        <v>2296</v>
      </c>
      <c r="J702" s="23" t="s">
        <v>36</v>
      </c>
      <c r="K702" s="22">
        <v>3</v>
      </c>
      <c r="L702" s="1">
        <v>41835</v>
      </c>
      <c r="M702" s="22">
        <f>Table12[[#This Row],[Ship Date]]-Table12[[#This Row],[Order Date]]</f>
        <v>6</v>
      </c>
      <c r="N702" s="23" t="s">
        <v>45</v>
      </c>
      <c r="O702" s="23" t="s">
        <v>23</v>
      </c>
      <c r="P702" s="23" t="s">
        <v>94</v>
      </c>
      <c r="Q702" s="23" t="s">
        <v>95</v>
      </c>
      <c r="R702" s="23" t="s">
        <v>718</v>
      </c>
      <c r="S702" s="33">
        <v>0.2</v>
      </c>
      <c r="T702" s="13">
        <v>14.352</v>
      </c>
      <c r="U702" s="13">
        <v>4.4850000000000003</v>
      </c>
      <c r="V702" s="55">
        <f>IFERROR(Table12[[#This Row],[Profit]]/Table12[[#This Row],[Sales]],0)</f>
        <v>0.3125</v>
      </c>
    </row>
    <row r="703" spans="1:22" x14ac:dyDescent="0.2">
      <c r="A703">
        <v>702</v>
      </c>
      <c r="B703" t="s">
        <v>9092</v>
      </c>
      <c r="C703" s="1">
        <v>41829</v>
      </c>
      <c r="D703" s="22">
        <f>MONTH(Table12[[#This Row],[Order Date]])</f>
        <v>7</v>
      </c>
      <c r="E703" t="s">
        <v>4988</v>
      </c>
      <c r="F703" t="s">
        <v>4989</v>
      </c>
      <c r="G703" s="23" t="s">
        <v>41</v>
      </c>
      <c r="H703" s="23" t="s">
        <v>42</v>
      </c>
      <c r="I703" t="s">
        <v>5686</v>
      </c>
      <c r="J703" s="23" t="s">
        <v>92</v>
      </c>
      <c r="K703" s="22">
        <v>1</v>
      </c>
      <c r="L703" s="1">
        <v>41833</v>
      </c>
      <c r="M703" s="22">
        <f>Table12[[#This Row],[Ship Date]]-Table12[[#This Row],[Order Date]]</f>
        <v>4</v>
      </c>
      <c r="N703" s="23" t="s">
        <v>45</v>
      </c>
      <c r="O703" s="23" t="s">
        <v>23</v>
      </c>
      <c r="P703" s="23" t="s">
        <v>38</v>
      </c>
      <c r="Q703" s="23" t="s">
        <v>39</v>
      </c>
      <c r="R703" s="23" t="s">
        <v>37</v>
      </c>
      <c r="S703" s="33">
        <v>0</v>
      </c>
      <c r="T703" s="13">
        <v>2.88</v>
      </c>
      <c r="U703" s="13">
        <v>1.4112</v>
      </c>
      <c r="V703" s="55">
        <f>IFERROR(Table12[[#This Row],[Profit]]/Table12[[#This Row],[Sales]],0)</f>
        <v>0.49000000000000005</v>
      </c>
    </row>
    <row r="704" spans="1:22" x14ac:dyDescent="0.2">
      <c r="A704">
        <v>703</v>
      </c>
      <c r="B704" t="s">
        <v>9092</v>
      </c>
      <c r="C704" s="1">
        <v>41829</v>
      </c>
      <c r="D704" s="22">
        <f>MONTH(Table12[[#This Row],[Order Date]])</f>
        <v>7</v>
      </c>
      <c r="E704" t="s">
        <v>207</v>
      </c>
      <c r="F704" t="s">
        <v>208</v>
      </c>
      <c r="G704" s="23" t="s">
        <v>41</v>
      </c>
      <c r="H704" s="23" t="s">
        <v>68</v>
      </c>
      <c r="I704" t="s">
        <v>5686</v>
      </c>
      <c r="J704" s="23" t="s">
        <v>92</v>
      </c>
      <c r="K704" s="22">
        <v>6</v>
      </c>
      <c r="L704" s="1">
        <v>41833</v>
      </c>
      <c r="M704" s="22">
        <f>Table12[[#This Row],[Ship Date]]-Table12[[#This Row],[Order Date]]</f>
        <v>4</v>
      </c>
      <c r="N704" s="23" t="s">
        <v>45</v>
      </c>
      <c r="O704" s="23" t="s">
        <v>23</v>
      </c>
      <c r="P704" s="23" t="s">
        <v>38</v>
      </c>
      <c r="Q704" s="23" t="s">
        <v>39</v>
      </c>
      <c r="R704" s="23" t="s">
        <v>37</v>
      </c>
      <c r="S704" s="33">
        <v>0.2</v>
      </c>
      <c r="T704" s="13">
        <v>41.904000000000003</v>
      </c>
      <c r="U704" s="13">
        <v>14.1426</v>
      </c>
      <c r="V704" s="55">
        <f>IFERROR(Table12[[#This Row],[Profit]]/Table12[[#This Row],[Sales]],0)</f>
        <v>0.33749999999999997</v>
      </c>
    </row>
    <row r="705" spans="1:22" x14ac:dyDescent="0.2">
      <c r="A705">
        <v>704</v>
      </c>
      <c r="B705" t="s">
        <v>9092</v>
      </c>
      <c r="C705" s="1">
        <v>41829</v>
      </c>
      <c r="D705" s="22">
        <f>MONTH(Table12[[#This Row],[Order Date]])</f>
        <v>7</v>
      </c>
      <c r="E705" t="s">
        <v>4253</v>
      </c>
      <c r="F705" t="s">
        <v>4254</v>
      </c>
      <c r="G705" s="23" t="s">
        <v>41</v>
      </c>
      <c r="H705" s="23" t="s">
        <v>53</v>
      </c>
      <c r="I705" t="s">
        <v>5686</v>
      </c>
      <c r="J705" s="23" t="s">
        <v>92</v>
      </c>
      <c r="K705" s="22">
        <v>4</v>
      </c>
      <c r="L705" s="1">
        <v>41833</v>
      </c>
      <c r="M705" s="22">
        <f>Table12[[#This Row],[Ship Date]]-Table12[[#This Row],[Order Date]]</f>
        <v>4</v>
      </c>
      <c r="N705" s="23" t="s">
        <v>45</v>
      </c>
      <c r="O705" s="23" t="s">
        <v>23</v>
      </c>
      <c r="P705" s="23" t="s">
        <v>38</v>
      </c>
      <c r="Q705" s="23" t="s">
        <v>39</v>
      </c>
      <c r="R705" s="23" t="s">
        <v>37</v>
      </c>
      <c r="S705" s="33">
        <v>0</v>
      </c>
      <c r="T705" s="13">
        <v>23.92</v>
      </c>
      <c r="U705" s="13">
        <v>4.0663999999999998</v>
      </c>
      <c r="V705" s="55">
        <f>IFERROR(Table12[[#This Row],[Profit]]/Table12[[#This Row],[Sales]],0)</f>
        <v>0.16999999999999998</v>
      </c>
    </row>
    <row r="706" spans="1:22" x14ac:dyDescent="0.2">
      <c r="A706">
        <v>705</v>
      </c>
      <c r="B706" t="s">
        <v>9721</v>
      </c>
      <c r="C706" s="1">
        <v>41829</v>
      </c>
      <c r="D706" s="22">
        <f>MONTH(Table12[[#This Row],[Order Date]])</f>
        <v>7</v>
      </c>
      <c r="E706" t="s">
        <v>396</v>
      </c>
      <c r="F706" t="s">
        <v>397</v>
      </c>
      <c r="G706" s="23" t="s">
        <v>41</v>
      </c>
      <c r="H706" s="23" t="s">
        <v>68</v>
      </c>
      <c r="I706" t="s">
        <v>2069</v>
      </c>
      <c r="J706" s="23" t="s">
        <v>92</v>
      </c>
      <c r="K706" s="22">
        <v>6</v>
      </c>
      <c r="L706" s="1">
        <v>41834</v>
      </c>
      <c r="M706" s="22">
        <f>Table12[[#This Row],[Ship Date]]-Table12[[#This Row],[Order Date]]</f>
        <v>5</v>
      </c>
      <c r="N706" s="23" t="s">
        <v>45</v>
      </c>
      <c r="O706" s="23" t="s">
        <v>23</v>
      </c>
      <c r="P706" s="23" t="s">
        <v>38</v>
      </c>
      <c r="Q706" s="23" t="s">
        <v>39</v>
      </c>
      <c r="R706" s="23" t="s">
        <v>114</v>
      </c>
      <c r="S706" s="33">
        <v>0.2</v>
      </c>
      <c r="T706" s="13">
        <v>14.304</v>
      </c>
      <c r="U706" s="13">
        <v>4.6487999999999996</v>
      </c>
      <c r="V706" s="55">
        <f>IFERROR(Table12[[#This Row],[Profit]]/Table12[[#This Row],[Sales]],0)</f>
        <v>0.32499999999999996</v>
      </c>
    </row>
    <row r="707" spans="1:22" x14ac:dyDescent="0.2">
      <c r="A707">
        <v>706</v>
      </c>
      <c r="B707" t="s">
        <v>9721</v>
      </c>
      <c r="C707" s="1">
        <v>41829</v>
      </c>
      <c r="D707" s="22">
        <f>MONTH(Table12[[#This Row],[Order Date]])</f>
        <v>7</v>
      </c>
      <c r="E707" t="s">
        <v>6331</v>
      </c>
      <c r="F707" t="s">
        <v>6332</v>
      </c>
      <c r="G707" s="23" t="s">
        <v>28</v>
      </c>
      <c r="H707" s="23" t="s">
        <v>29</v>
      </c>
      <c r="I707" t="s">
        <v>2069</v>
      </c>
      <c r="J707" s="23" t="s">
        <v>92</v>
      </c>
      <c r="K707" s="22">
        <v>1</v>
      </c>
      <c r="L707" s="1">
        <v>41834</v>
      </c>
      <c r="M707" s="22">
        <f>Table12[[#This Row],[Ship Date]]-Table12[[#This Row],[Order Date]]</f>
        <v>5</v>
      </c>
      <c r="N707" s="23" t="s">
        <v>45</v>
      </c>
      <c r="O707" s="23" t="s">
        <v>23</v>
      </c>
      <c r="P707" s="23" t="s">
        <v>38</v>
      </c>
      <c r="Q707" s="23" t="s">
        <v>39</v>
      </c>
      <c r="R707" s="23" t="s">
        <v>114</v>
      </c>
      <c r="S707" s="33">
        <v>0.15</v>
      </c>
      <c r="T707" s="13">
        <v>119.833</v>
      </c>
      <c r="U707" s="13">
        <v>7.0490000000000004</v>
      </c>
      <c r="V707" s="55">
        <f>IFERROR(Table12[[#This Row],[Profit]]/Table12[[#This Row],[Sales]],0)</f>
        <v>5.8823529411764712E-2</v>
      </c>
    </row>
    <row r="708" spans="1:22" x14ac:dyDescent="0.2">
      <c r="A708">
        <v>707</v>
      </c>
      <c r="B708" t="s">
        <v>9721</v>
      </c>
      <c r="C708" s="1">
        <v>41829</v>
      </c>
      <c r="D708" s="22">
        <f>MONTH(Table12[[#This Row],[Order Date]])</f>
        <v>7</v>
      </c>
      <c r="E708" t="s">
        <v>3725</v>
      </c>
      <c r="F708" t="s">
        <v>3726</v>
      </c>
      <c r="G708" s="23" t="s">
        <v>41</v>
      </c>
      <c r="H708" s="23" t="s">
        <v>61</v>
      </c>
      <c r="I708" t="s">
        <v>2069</v>
      </c>
      <c r="J708" s="23" t="s">
        <v>92</v>
      </c>
      <c r="K708" s="22">
        <v>2</v>
      </c>
      <c r="L708" s="1">
        <v>41834</v>
      </c>
      <c r="M708" s="22">
        <f>Table12[[#This Row],[Ship Date]]-Table12[[#This Row],[Order Date]]</f>
        <v>5</v>
      </c>
      <c r="N708" s="23" t="s">
        <v>45</v>
      </c>
      <c r="O708" s="23" t="s">
        <v>23</v>
      </c>
      <c r="P708" s="23" t="s">
        <v>38</v>
      </c>
      <c r="Q708" s="23" t="s">
        <v>39</v>
      </c>
      <c r="R708" s="23" t="s">
        <v>114</v>
      </c>
      <c r="S708" s="33">
        <v>0</v>
      </c>
      <c r="T708" s="13">
        <v>5.56</v>
      </c>
      <c r="U708" s="13">
        <v>2.2240000000000002</v>
      </c>
      <c r="V708" s="55">
        <f>IFERROR(Table12[[#This Row],[Profit]]/Table12[[#This Row],[Sales]],0)</f>
        <v>0.40000000000000008</v>
      </c>
    </row>
    <row r="709" spans="1:22" x14ac:dyDescent="0.2">
      <c r="A709">
        <v>708</v>
      </c>
      <c r="B709" t="s">
        <v>9721</v>
      </c>
      <c r="C709" s="1">
        <v>41829</v>
      </c>
      <c r="D709" s="22">
        <f>MONTH(Table12[[#This Row],[Order Date]])</f>
        <v>7</v>
      </c>
      <c r="E709" t="s">
        <v>81</v>
      </c>
      <c r="F709" t="s">
        <v>83</v>
      </c>
      <c r="G709" s="23" t="s">
        <v>41</v>
      </c>
      <c r="H709" s="23" t="s">
        <v>82</v>
      </c>
      <c r="I709" t="s">
        <v>2069</v>
      </c>
      <c r="J709" s="23" t="s">
        <v>92</v>
      </c>
      <c r="K709" s="22">
        <v>5</v>
      </c>
      <c r="L709" s="1">
        <v>41834</v>
      </c>
      <c r="M709" s="22">
        <f>Table12[[#This Row],[Ship Date]]-Table12[[#This Row],[Order Date]]</f>
        <v>5</v>
      </c>
      <c r="N709" s="23" t="s">
        <v>45</v>
      </c>
      <c r="O709" s="23" t="s">
        <v>23</v>
      </c>
      <c r="P709" s="23" t="s">
        <v>38</v>
      </c>
      <c r="Q709" s="23" t="s">
        <v>39</v>
      </c>
      <c r="R709" s="23" t="s">
        <v>114</v>
      </c>
      <c r="S709" s="33">
        <v>0</v>
      </c>
      <c r="T709" s="13">
        <v>32.4</v>
      </c>
      <c r="U709" s="13">
        <v>15.552</v>
      </c>
      <c r="V709" s="55">
        <f>IFERROR(Table12[[#This Row],[Profit]]/Table12[[#This Row],[Sales]],0)</f>
        <v>0.48</v>
      </c>
    </row>
    <row r="710" spans="1:22" x14ac:dyDescent="0.2">
      <c r="A710">
        <v>709</v>
      </c>
      <c r="B710" t="s">
        <v>2693</v>
      </c>
      <c r="C710" s="1">
        <v>41831</v>
      </c>
      <c r="D710" s="22">
        <f>MONTH(Table12[[#This Row],[Order Date]])</f>
        <v>7</v>
      </c>
      <c r="E710" t="s">
        <v>930</v>
      </c>
      <c r="F710" t="s">
        <v>167</v>
      </c>
      <c r="G710" s="23" t="s">
        <v>41</v>
      </c>
      <c r="H710" s="23" t="s">
        <v>82</v>
      </c>
      <c r="I710" t="s">
        <v>1190</v>
      </c>
      <c r="J710" s="23" t="s">
        <v>36</v>
      </c>
      <c r="K710" s="22">
        <v>5</v>
      </c>
      <c r="L710" s="1">
        <v>41835</v>
      </c>
      <c r="M710" s="22">
        <f>Table12[[#This Row],[Ship Date]]-Table12[[#This Row],[Order Date]]</f>
        <v>4</v>
      </c>
      <c r="N710" s="23" t="s">
        <v>45</v>
      </c>
      <c r="O710" s="23" t="s">
        <v>23</v>
      </c>
      <c r="P710" s="23" t="s">
        <v>695</v>
      </c>
      <c r="Q710" s="23" t="s">
        <v>133</v>
      </c>
      <c r="R710" s="23" t="s">
        <v>1013</v>
      </c>
      <c r="S710" s="33">
        <v>0</v>
      </c>
      <c r="T710" s="13">
        <v>177.2</v>
      </c>
      <c r="U710" s="13">
        <v>83.284000000000006</v>
      </c>
      <c r="V710" s="55">
        <f>IFERROR(Table12[[#This Row],[Profit]]/Table12[[#This Row],[Sales]],0)</f>
        <v>0.47000000000000008</v>
      </c>
    </row>
    <row r="711" spans="1:22" x14ac:dyDescent="0.2">
      <c r="A711">
        <v>710</v>
      </c>
      <c r="B711" t="s">
        <v>2693</v>
      </c>
      <c r="C711" s="1">
        <v>41831</v>
      </c>
      <c r="D711" s="22">
        <f>MONTH(Table12[[#This Row],[Order Date]])</f>
        <v>7</v>
      </c>
      <c r="E711" t="s">
        <v>2694</v>
      </c>
      <c r="F711" t="s">
        <v>2695</v>
      </c>
      <c r="G711" s="23" t="s">
        <v>64</v>
      </c>
      <c r="H711" s="23" t="s">
        <v>65</v>
      </c>
      <c r="I711" t="s">
        <v>1190</v>
      </c>
      <c r="J711" s="23" t="s">
        <v>36</v>
      </c>
      <c r="K711" s="22">
        <v>3</v>
      </c>
      <c r="L711" s="1">
        <v>41835</v>
      </c>
      <c r="M711" s="22">
        <f>Table12[[#This Row],[Ship Date]]-Table12[[#This Row],[Order Date]]</f>
        <v>4</v>
      </c>
      <c r="N711" s="23" t="s">
        <v>45</v>
      </c>
      <c r="O711" s="23" t="s">
        <v>23</v>
      </c>
      <c r="P711" s="23" t="s">
        <v>695</v>
      </c>
      <c r="Q711" s="23" t="s">
        <v>133</v>
      </c>
      <c r="R711" s="23" t="s">
        <v>1013</v>
      </c>
      <c r="S711" s="33">
        <v>0</v>
      </c>
      <c r="T711" s="13">
        <v>197.97</v>
      </c>
      <c r="U711" s="13">
        <v>57.411299999999997</v>
      </c>
      <c r="V711" s="55">
        <f>IFERROR(Table12[[#This Row],[Profit]]/Table12[[#This Row],[Sales]],0)</f>
        <v>0.28999999999999998</v>
      </c>
    </row>
    <row r="712" spans="1:22" x14ac:dyDescent="0.2">
      <c r="A712">
        <v>711</v>
      </c>
      <c r="B712" t="s">
        <v>2693</v>
      </c>
      <c r="C712" s="1">
        <v>41831</v>
      </c>
      <c r="D712" s="22">
        <f>MONTH(Table12[[#This Row],[Order Date]])</f>
        <v>7</v>
      </c>
      <c r="E712" t="s">
        <v>1588</v>
      </c>
      <c r="F712" t="s">
        <v>1589</v>
      </c>
      <c r="G712" s="23" t="s">
        <v>28</v>
      </c>
      <c r="H712" s="23" t="s">
        <v>32</v>
      </c>
      <c r="I712" t="s">
        <v>1190</v>
      </c>
      <c r="J712" s="23" t="s">
        <v>36</v>
      </c>
      <c r="K712" s="22">
        <v>3</v>
      </c>
      <c r="L712" s="1">
        <v>41835</v>
      </c>
      <c r="M712" s="22">
        <f>Table12[[#This Row],[Ship Date]]-Table12[[#This Row],[Order Date]]</f>
        <v>4</v>
      </c>
      <c r="N712" s="23" t="s">
        <v>45</v>
      </c>
      <c r="O712" s="23" t="s">
        <v>23</v>
      </c>
      <c r="P712" s="23" t="s">
        <v>695</v>
      </c>
      <c r="Q712" s="23" t="s">
        <v>133</v>
      </c>
      <c r="R712" s="23" t="s">
        <v>1013</v>
      </c>
      <c r="S712" s="33">
        <v>0</v>
      </c>
      <c r="T712" s="13">
        <v>854.94</v>
      </c>
      <c r="U712" s="13">
        <v>213.73500000000001</v>
      </c>
      <c r="V712" s="55">
        <f>IFERROR(Table12[[#This Row],[Profit]]/Table12[[#This Row],[Sales]],0)</f>
        <v>0.25</v>
      </c>
    </row>
    <row r="713" spans="1:22" x14ac:dyDescent="0.2">
      <c r="A713">
        <v>712</v>
      </c>
      <c r="B713" t="s">
        <v>2693</v>
      </c>
      <c r="C713" s="1">
        <v>41831</v>
      </c>
      <c r="D713" s="22">
        <f>MONTH(Table12[[#This Row],[Order Date]])</f>
        <v>7</v>
      </c>
      <c r="E713" t="s">
        <v>379</v>
      </c>
      <c r="F713" t="s">
        <v>380</v>
      </c>
      <c r="G713" s="23" t="s">
        <v>28</v>
      </c>
      <c r="H713" s="23" t="s">
        <v>58</v>
      </c>
      <c r="I713" t="s">
        <v>1190</v>
      </c>
      <c r="J713" s="23" t="s">
        <v>36</v>
      </c>
      <c r="K713" s="22">
        <v>9</v>
      </c>
      <c r="L713" s="1">
        <v>41835</v>
      </c>
      <c r="M713" s="22">
        <f>Table12[[#This Row],[Ship Date]]-Table12[[#This Row],[Order Date]]</f>
        <v>4</v>
      </c>
      <c r="N713" s="23" t="s">
        <v>45</v>
      </c>
      <c r="O713" s="23" t="s">
        <v>23</v>
      </c>
      <c r="P713" s="23" t="s">
        <v>695</v>
      </c>
      <c r="Q713" s="23" t="s">
        <v>133</v>
      </c>
      <c r="R713" s="23" t="s">
        <v>1013</v>
      </c>
      <c r="S713" s="33">
        <v>0</v>
      </c>
      <c r="T713" s="13">
        <v>124.11</v>
      </c>
      <c r="U713" s="13">
        <v>52.126199999999997</v>
      </c>
      <c r="V713" s="55">
        <f>IFERROR(Table12[[#This Row],[Profit]]/Table12[[#This Row],[Sales]],0)</f>
        <v>0.42</v>
      </c>
    </row>
    <row r="714" spans="1:22" x14ac:dyDescent="0.2">
      <c r="A714">
        <v>713</v>
      </c>
      <c r="B714" t="s">
        <v>2693</v>
      </c>
      <c r="C714" s="1">
        <v>41831</v>
      </c>
      <c r="D714" s="22">
        <f>MONTH(Table12[[#This Row],[Order Date]])</f>
        <v>7</v>
      </c>
      <c r="E714" t="s">
        <v>2696</v>
      </c>
      <c r="F714" t="s">
        <v>2697</v>
      </c>
      <c r="G714" s="23" t="s">
        <v>41</v>
      </c>
      <c r="H714" s="23" t="s">
        <v>42</v>
      </c>
      <c r="I714" t="s">
        <v>1190</v>
      </c>
      <c r="J714" s="23" t="s">
        <v>36</v>
      </c>
      <c r="K714" s="22">
        <v>5</v>
      </c>
      <c r="L714" s="1">
        <v>41835</v>
      </c>
      <c r="M714" s="22">
        <f>Table12[[#This Row],[Ship Date]]-Table12[[#This Row],[Order Date]]</f>
        <v>4</v>
      </c>
      <c r="N714" s="23" t="s">
        <v>45</v>
      </c>
      <c r="O714" s="23" t="s">
        <v>23</v>
      </c>
      <c r="P714" s="23" t="s">
        <v>695</v>
      </c>
      <c r="Q714" s="23" t="s">
        <v>133</v>
      </c>
      <c r="R714" s="23" t="s">
        <v>1013</v>
      </c>
      <c r="S714" s="33">
        <v>0</v>
      </c>
      <c r="T714" s="13">
        <v>14.4</v>
      </c>
      <c r="U714" s="13">
        <v>7.056</v>
      </c>
      <c r="V714" s="55">
        <f>IFERROR(Table12[[#This Row],[Profit]]/Table12[[#This Row],[Sales]],0)</f>
        <v>0.49</v>
      </c>
    </row>
    <row r="715" spans="1:22" x14ac:dyDescent="0.2">
      <c r="A715">
        <v>714</v>
      </c>
      <c r="B715" t="s">
        <v>7731</v>
      </c>
      <c r="C715" s="1">
        <v>41831</v>
      </c>
      <c r="D715" s="22">
        <f>MONTH(Table12[[#This Row],[Order Date]])</f>
        <v>7</v>
      </c>
      <c r="E715" t="s">
        <v>4064</v>
      </c>
      <c r="F715" t="s">
        <v>4065</v>
      </c>
      <c r="G715" s="23" t="s">
        <v>64</v>
      </c>
      <c r="H715" s="23" t="s">
        <v>65</v>
      </c>
      <c r="I715" t="s">
        <v>3247</v>
      </c>
      <c r="J715" s="23" t="s">
        <v>22</v>
      </c>
      <c r="K715" s="22">
        <v>4</v>
      </c>
      <c r="L715" s="1">
        <v>41834</v>
      </c>
      <c r="M715" s="22">
        <f>Table12[[#This Row],[Ship Date]]-Table12[[#This Row],[Order Date]]</f>
        <v>3</v>
      </c>
      <c r="N715" s="23" t="s">
        <v>169</v>
      </c>
      <c r="O715" s="23" t="s">
        <v>23</v>
      </c>
      <c r="P715" s="23" t="s">
        <v>94</v>
      </c>
      <c r="Q715" s="23" t="s">
        <v>95</v>
      </c>
      <c r="R715" s="23" t="s">
        <v>3679</v>
      </c>
      <c r="S715" s="33">
        <v>0.2</v>
      </c>
      <c r="T715" s="13">
        <v>575.96799999999996</v>
      </c>
      <c r="U715" s="13">
        <v>43.197600000000001</v>
      </c>
      <c r="V715" s="55">
        <f>IFERROR(Table12[[#This Row],[Profit]]/Table12[[#This Row],[Sales]],0)</f>
        <v>7.5000000000000011E-2</v>
      </c>
    </row>
    <row r="716" spans="1:22" x14ac:dyDescent="0.2">
      <c r="A716">
        <v>715</v>
      </c>
      <c r="B716" t="s">
        <v>7731</v>
      </c>
      <c r="C716" s="1">
        <v>41831</v>
      </c>
      <c r="D716" s="22">
        <f>MONTH(Table12[[#This Row],[Order Date]])</f>
        <v>7</v>
      </c>
      <c r="E716" t="s">
        <v>6037</v>
      </c>
      <c r="F716" t="s">
        <v>6038</v>
      </c>
      <c r="G716" s="23" t="s">
        <v>41</v>
      </c>
      <c r="H716" s="23" t="s">
        <v>82</v>
      </c>
      <c r="I716" t="s">
        <v>3247</v>
      </c>
      <c r="J716" s="23" t="s">
        <v>22</v>
      </c>
      <c r="K716" s="22">
        <v>2</v>
      </c>
      <c r="L716" s="1">
        <v>41834</v>
      </c>
      <c r="M716" s="22">
        <f>Table12[[#This Row],[Ship Date]]-Table12[[#This Row],[Order Date]]</f>
        <v>3</v>
      </c>
      <c r="N716" s="23" t="s">
        <v>169</v>
      </c>
      <c r="O716" s="23" t="s">
        <v>23</v>
      </c>
      <c r="P716" s="23" t="s">
        <v>94</v>
      </c>
      <c r="Q716" s="23" t="s">
        <v>95</v>
      </c>
      <c r="R716" s="23" t="s">
        <v>3679</v>
      </c>
      <c r="S716" s="33">
        <v>0.2</v>
      </c>
      <c r="T716" s="13">
        <v>10.368</v>
      </c>
      <c r="U716" s="13">
        <v>3.6288</v>
      </c>
      <c r="V716" s="55">
        <f>IFERROR(Table12[[#This Row],[Profit]]/Table12[[#This Row],[Sales]],0)</f>
        <v>0.35</v>
      </c>
    </row>
    <row r="717" spans="1:22" x14ac:dyDescent="0.2">
      <c r="A717">
        <v>716</v>
      </c>
      <c r="B717" t="s">
        <v>8065</v>
      </c>
      <c r="C717" s="1">
        <v>41831</v>
      </c>
      <c r="D717" s="22">
        <f>MONTH(Table12[[#This Row],[Order Date]])</f>
        <v>7</v>
      </c>
      <c r="E717" t="s">
        <v>1106</v>
      </c>
      <c r="F717" t="s">
        <v>1107</v>
      </c>
      <c r="G717" s="23" t="s">
        <v>41</v>
      </c>
      <c r="H717" s="23" t="s">
        <v>82</v>
      </c>
      <c r="I717" t="s">
        <v>5960</v>
      </c>
      <c r="J717" s="23" t="s">
        <v>22</v>
      </c>
      <c r="K717" s="22">
        <v>4</v>
      </c>
      <c r="L717" s="1">
        <v>41835</v>
      </c>
      <c r="M717" s="22">
        <f>Table12[[#This Row],[Ship Date]]-Table12[[#This Row],[Order Date]]</f>
        <v>4</v>
      </c>
      <c r="N717" s="23" t="s">
        <v>45</v>
      </c>
      <c r="O717" s="23" t="s">
        <v>23</v>
      </c>
      <c r="P717" s="23" t="s">
        <v>238</v>
      </c>
      <c r="Q717" s="23" t="s">
        <v>133</v>
      </c>
      <c r="R717" s="23" t="s">
        <v>237</v>
      </c>
      <c r="S717" s="33">
        <v>0</v>
      </c>
      <c r="T717" s="13">
        <v>49.12</v>
      </c>
      <c r="U717" s="13">
        <v>23.086400000000001</v>
      </c>
      <c r="V717" s="55">
        <f>IFERROR(Table12[[#This Row],[Profit]]/Table12[[#This Row],[Sales]],0)</f>
        <v>0.47000000000000003</v>
      </c>
    </row>
    <row r="718" spans="1:22" x14ac:dyDescent="0.2">
      <c r="A718">
        <v>717</v>
      </c>
      <c r="B718" t="s">
        <v>8065</v>
      </c>
      <c r="C718" s="1">
        <v>41831</v>
      </c>
      <c r="D718" s="22">
        <f>MONTH(Table12[[#This Row],[Order Date]])</f>
        <v>7</v>
      </c>
      <c r="E718" t="s">
        <v>4268</v>
      </c>
      <c r="F718" t="s">
        <v>4269</v>
      </c>
      <c r="G718" s="23" t="s">
        <v>41</v>
      </c>
      <c r="H718" s="23" t="s">
        <v>68</v>
      </c>
      <c r="I718" t="s">
        <v>5960</v>
      </c>
      <c r="J718" s="23" t="s">
        <v>22</v>
      </c>
      <c r="K718" s="22">
        <v>5</v>
      </c>
      <c r="L718" s="1">
        <v>41835</v>
      </c>
      <c r="M718" s="22">
        <f>Table12[[#This Row],[Ship Date]]-Table12[[#This Row],[Order Date]]</f>
        <v>4</v>
      </c>
      <c r="N718" s="23" t="s">
        <v>45</v>
      </c>
      <c r="O718" s="23" t="s">
        <v>23</v>
      </c>
      <c r="P718" s="23" t="s">
        <v>238</v>
      </c>
      <c r="Q718" s="23" t="s">
        <v>133</v>
      </c>
      <c r="R718" s="23" t="s">
        <v>237</v>
      </c>
      <c r="S718" s="33">
        <v>0.2</v>
      </c>
      <c r="T718" s="13">
        <v>18.28</v>
      </c>
      <c r="U718" s="13">
        <v>6.3979999999999997</v>
      </c>
      <c r="V718" s="55">
        <f>IFERROR(Table12[[#This Row],[Profit]]/Table12[[#This Row],[Sales]],0)</f>
        <v>0.35</v>
      </c>
    </row>
    <row r="719" spans="1:22" x14ac:dyDescent="0.2">
      <c r="A719">
        <v>718</v>
      </c>
      <c r="B719" t="s">
        <v>10112</v>
      </c>
      <c r="C719" s="1">
        <v>41831</v>
      </c>
      <c r="D719" s="22">
        <f>MONTH(Table12[[#This Row],[Order Date]])</f>
        <v>7</v>
      </c>
      <c r="E719" t="s">
        <v>5772</v>
      </c>
      <c r="F719" t="s">
        <v>5773</v>
      </c>
      <c r="G719" s="23" t="s">
        <v>64</v>
      </c>
      <c r="H719" s="23" t="s">
        <v>65</v>
      </c>
      <c r="I719" t="s">
        <v>3880</v>
      </c>
      <c r="J719" s="23" t="s">
        <v>22</v>
      </c>
      <c r="K719" s="22">
        <v>3</v>
      </c>
      <c r="L719" s="1">
        <v>41834</v>
      </c>
      <c r="M719" s="22">
        <f>Table12[[#This Row],[Ship Date]]-Table12[[#This Row],[Order Date]]</f>
        <v>3</v>
      </c>
      <c r="N719" s="23" t="s">
        <v>169</v>
      </c>
      <c r="O719" s="23" t="s">
        <v>23</v>
      </c>
      <c r="P719" s="23" t="s">
        <v>238</v>
      </c>
      <c r="Q719" s="23" t="s">
        <v>133</v>
      </c>
      <c r="R719" s="23" t="s">
        <v>3494</v>
      </c>
      <c r="S719" s="33">
        <v>0</v>
      </c>
      <c r="T719" s="13">
        <v>164.85</v>
      </c>
      <c r="U719" s="13">
        <v>47.8065</v>
      </c>
      <c r="V719" s="55">
        <f>IFERROR(Table12[[#This Row],[Profit]]/Table12[[#This Row],[Sales]],0)</f>
        <v>0.29000000000000004</v>
      </c>
    </row>
    <row r="720" spans="1:22" x14ac:dyDescent="0.2">
      <c r="A720">
        <v>719</v>
      </c>
      <c r="B720" t="s">
        <v>1079</v>
      </c>
      <c r="C720" s="1">
        <v>41832</v>
      </c>
      <c r="D720" s="22">
        <f>MONTH(Table12[[#This Row],[Order Date]])</f>
        <v>7</v>
      </c>
      <c r="E720" t="s">
        <v>1081</v>
      </c>
      <c r="F720" t="s">
        <v>1082</v>
      </c>
      <c r="G720" s="23" t="s">
        <v>41</v>
      </c>
      <c r="H720" s="23" t="s">
        <v>68</v>
      </c>
      <c r="I720" t="s">
        <v>1080</v>
      </c>
      <c r="J720" s="23" t="s">
        <v>36</v>
      </c>
      <c r="K720" s="22">
        <v>2</v>
      </c>
      <c r="L720" s="1">
        <v>41837</v>
      </c>
      <c r="M720" s="22">
        <f>Table12[[#This Row],[Ship Date]]-Table12[[#This Row],[Order Date]]</f>
        <v>5</v>
      </c>
      <c r="N720" s="23" t="s">
        <v>45</v>
      </c>
      <c r="O720" s="23" t="s">
        <v>23</v>
      </c>
      <c r="P720" s="23" t="s">
        <v>38</v>
      </c>
      <c r="Q720" s="23" t="s">
        <v>39</v>
      </c>
      <c r="R720" s="23" t="s">
        <v>114</v>
      </c>
      <c r="S720" s="33">
        <v>0.2</v>
      </c>
      <c r="T720" s="13">
        <v>7.7119999999999997</v>
      </c>
      <c r="U720" s="13">
        <v>2.7955999999999999</v>
      </c>
      <c r="V720" s="55">
        <f>IFERROR(Table12[[#This Row],[Profit]]/Table12[[#This Row],[Sales]],0)</f>
        <v>0.36249999999999999</v>
      </c>
    </row>
    <row r="721" spans="1:22" x14ac:dyDescent="0.2">
      <c r="A721">
        <v>720</v>
      </c>
      <c r="B721" t="s">
        <v>1079</v>
      </c>
      <c r="C721" s="1">
        <v>41832</v>
      </c>
      <c r="D721" s="22">
        <f>MONTH(Table12[[#This Row],[Order Date]])</f>
        <v>7</v>
      </c>
      <c r="E721" t="s">
        <v>1083</v>
      </c>
      <c r="F721" t="s">
        <v>1084</v>
      </c>
      <c r="G721" s="23" t="s">
        <v>28</v>
      </c>
      <c r="H721" s="23" t="s">
        <v>50</v>
      </c>
      <c r="I721" t="s">
        <v>1080</v>
      </c>
      <c r="J721" s="23" t="s">
        <v>36</v>
      </c>
      <c r="K721" s="22">
        <v>3</v>
      </c>
      <c r="L721" s="1">
        <v>41837</v>
      </c>
      <c r="M721" s="22">
        <f>Table12[[#This Row],[Ship Date]]-Table12[[#This Row],[Order Date]]</f>
        <v>5</v>
      </c>
      <c r="N721" s="23" t="s">
        <v>45</v>
      </c>
      <c r="O721" s="23" t="s">
        <v>23</v>
      </c>
      <c r="P721" s="23" t="s">
        <v>38</v>
      </c>
      <c r="Q721" s="23" t="s">
        <v>39</v>
      </c>
      <c r="R721" s="23" t="s">
        <v>114</v>
      </c>
      <c r="S721" s="33">
        <v>0.2</v>
      </c>
      <c r="T721" s="13">
        <v>698.35199999999998</v>
      </c>
      <c r="U721" s="13">
        <v>-17.4588</v>
      </c>
      <c r="V721" s="55">
        <f>IFERROR(Table12[[#This Row],[Profit]]/Table12[[#This Row],[Sales]],0)</f>
        <v>-2.5000000000000001E-2</v>
      </c>
    </row>
    <row r="722" spans="1:22" x14ac:dyDescent="0.2">
      <c r="A722">
        <v>721</v>
      </c>
      <c r="B722" t="s">
        <v>3033</v>
      </c>
      <c r="C722" s="1">
        <v>41832</v>
      </c>
      <c r="D722" s="22">
        <f>MONTH(Table12[[#This Row],[Order Date]])</f>
        <v>7</v>
      </c>
      <c r="E722" t="s">
        <v>110</v>
      </c>
      <c r="F722" t="s">
        <v>111</v>
      </c>
      <c r="G722" s="23" t="s">
        <v>41</v>
      </c>
      <c r="H722" s="23" t="s">
        <v>53</v>
      </c>
      <c r="I722" t="s">
        <v>3034</v>
      </c>
      <c r="J722" s="23" t="s">
        <v>92</v>
      </c>
      <c r="K722" s="22">
        <v>9</v>
      </c>
      <c r="L722" s="1">
        <v>41836</v>
      </c>
      <c r="M722" s="22">
        <f>Table12[[#This Row],[Ship Date]]-Table12[[#This Row],[Order Date]]</f>
        <v>4</v>
      </c>
      <c r="N722" s="23" t="s">
        <v>45</v>
      </c>
      <c r="O722" s="23" t="s">
        <v>23</v>
      </c>
      <c r="P722" s="23" t="s">
        <v>38</v>
      </c>
      <c r="Q722" s="23" t="s">
        <v>39</v>
      </c>
      <c r="R722" s="23" t="s">
        <v>37</v>
      </c>
      <c r="S722" s="33">
        <v>0</v>
      </c>
      <c r="T722" s="13">
        <v>249.75</v>
      </c>
      <c r="U722" s="13">
        <v>44.954999999999998</v>
      </c>
      <c r="V722" s="55">
        <f>IFERROR(Table12[[#This Row],[Profit]]/Table12[[#This Row],[Sales]],0)</f>
        <v>0.18</v>
      </c>
    </row>
    <row r="723" spans="1:22" x14ac:dyDescent="0.2">
      <c r="A723">
        <v>722</v>
      </c>
      <c r="B723" t="s">
        <v>3033</v>
      </c>
      <c r="C723" s="1">
        <v>41832</v>
      </c>
      <c r="D723" s="22">
        <f>MONTH(Table12[[#This Row],[Order Date]])</f>
        <v>7</v>
      </c>
      <c r="E723" t="s">
        <v>3035</v>
      </c>
      <c r="F723" t="s">
        <v>3036</v>
      </c>
      <c r="G723" s="23" t="s">
        <v>64</v>
      </c>
      <c r="H723" s="23" t="s">
        <v>65</v>
      </c>
      <c r="I723" t="s">
        <v>3034</v>
      </c>
      <c r="J723" s="23" t="s">
        <v>92</v>
      </c>
      <c r="K723" s="22">
        <v>8</v>
      </c>
      <c r="L723" s="1">
        <v>41836</v>
      </c>
      <c r="M723" s="22">
        <f>Table12[[#This Row],[Ship Date]]-Table12[[#This Row],[Order Date]]</f>
        <v>4</v>
      </c>
      <c r="N723" s="23" t="s">
        <v>45</v>
      </c>
      <c r="O723" s="23" t="s">
        <v>23</v>
      </c>
      <c r="P723" s="23" t="s">
        <v>38</v>
      </c>
      <c r="Q723" s="23" t="s">
        <v>39</v>
      </c>
      <c r="R723" s="23" t="s">
        <v>37</v>
      </c>
      <c r="S723" s="33">
        <v>0.2</v>
      </c>
      <c r="T723" s="13">
        <v>255.93600000000001</v>
      </c>
      <c r="U723" s="13">
        <v>28.7928</v>
      </c>
      <c r="V723" s="55">
        <f>IFERROR(Table12[[#This Row],[Profit]]/Table12[[#This Row],[Sales]],0)</f>
        <v>0.11249999999999999</v>
      </c>
    </row>
    <row r="724" spans="1:22" x14ac:dyDescent="0.2">
      <c r="A724">
        <v>723</v>
      </c>
      <c r="B724" t="s">
        <v>5508</v>
      </c>
      <c r="C724" s="1">
        <v>41832</v>
      </c>
      <c r="D724" s="22">
        <f>MONTH(Table12[[#This Row],[Order Date]])</f>
        <v>7</v>
      </c>
      <c r="E724" t="s">
        <v>5499</v>
      </c>
      <c r="F724" t="s">
        <v>5500</v>
      </c>
      <c r="G724" s="23" t="s">
        <v>28</v>
      </c>
      <c r="H724" s="23" t="s">
        <v>32</v>
      </c>
      <c r="I724" t="s">
        <v>431</v>
      </c>
      <c r="J724" s="23" t="s">
        <v>22</v>
      </c>
      <c r="K724" s="22">
        <v>4</v>
      </c>
      <c r="L724" s="1">
        <v>41838</v>
      </c>
      <c r="M724" s="22">
        <f>Table12[[#This Row],[Ship Date]]-Table12[[#This Row],[Order Date]]</f>
        <v>6</v>
      </c>
      <c r="N724" s="23" t="s">
        <v>45</v>
      </c>
      <c r="O724" s="23" t="s">
        <v>23</v>
      </c>
      <c r="P724" s="23" t="s">
        <v>87</v>
      </c>
      <c r="Q724" s="23" t="s">
        <v>39</v>
      </c>
      <c r="R724" s="23" t="s">
        <v>86</v>
      </c>
      <c r="S724" s="33">
        <v>0.2</v>
      </c>
      <c r="T724" s="13">
        <v>123.136</v>
      </c>
      <c r="U724" s="13">
        <v>13.8528</v>
      </c>
      <c r="V724" s="55">
        <f>IFERROR(Table12[[#This Row],[Profit]]/Table12[[#This Row],[Sales]],0)</f>
        <v>0.1125</v>
      </c>
    </row>
    <row r="725" spans="1:22" x14ac:dyDescent="0.2">
      <c r="A725">
        <v>724</v>
      </c>
      <c r="B725" t="s">
        <v>5508</v>
      </c>
      <c r="C725" s="1">
        <v>41832</v>
      </c>
      <c r="D725" s="22">
        <f>MONTH(Table12[[#This Row],[Order Date]])</f>
        <v>7</v>
      </c>
      <c r="E725" t="s">
        <v>2247</v>
      </c>
      <c r="F725" t="s">
        <v>2248</v>
      </c>
      <c r="G725" s="23" t="s">
        <v>41</v>
      </c>
      <c r="H725" s="23" t="s">
        <v>68</v>
      </c>
      <c r="I725" t="s">
        <v>431</v>
      </c>
      <c r="J725" s="23" t="s">
        <v>22</v>
      </c>
      <c r="K725" s="22">
        <v>4</v>
      </c>
      <c r="L725" s="1">
        <v>41838</v>
      </c>
      <c r="M725" s="22">
        <f>Table12[[#This Row],[Ship Date]]-Table12[[#This Row],[Order Date]]</f>
        <v>6</v>
      </c>
      <c r="N725" s="23" t="s">
        <v>45</v>
      </c>
      <c r="O725" s="23" t="s">
        <v>23</v>
      </c>
      <c r="P725" s="23" t="s">
        <v>87</v>
      </c>
      <c r="Q725" s="23" t="s">
        <v>39</v>
      </c>
      <c r="R725" s="23" t="s">
        <v>86</v>
      </c>
      <c r="S725" s="33">
        <v>0.2</v>
      </c>
      <c r="T725" s="13">
        <v>11.263999999999999</v>
      </c>
      <c r="U725" s="13">
        <v>3.8016000000000001</v>
      </c>
      <c r="V725" s="55">
        <f>IFERROR(Table12[[#This Row],[Profit]]/Table12[[#This Row],[Sales]],0)</f>
        <v>0.33750000000000002</v>
      </c>
    </row>
    <row r="726" spans="1:22" x14ac:dyDescent="0.2">
      <c r="A726">
        <v>725</v>
      </c>
      <c r="B726" t="s">
        <v>8684</v>
      </c>
      <c r="C726" s="1">
        <v>41832</v>
      </c>
      <c r="D726" s="22">
        <f>MONTH(Table12[[#This Row],[Order Date]])</f>
        <v>7</v>
      </c>
      <c r="E726" t="s">
        <v>3685</v>
      </c>
      <c r="F726" t="s">
        <v>3686</v>
      </c>
      <c r="G726" s="23" t="s">
        <v>41</v>
      </c>
      <c r="H726" s="23" t="s">
        <v>82</v>
      </c>
      <c r="I726" t="s">
        <v>1850</v>
      </c>
      <c r="J726" s="23" t="s">
        <v>22</v>
      </c>
      <c r="K726" s="22">
        <v>9</v>
      </c>
      <c r="L726" s="1">
        <v>41835</v>
      </c>
      <c r="M726" s="22">
        <f>Table12[[#This Row],[Ship Date]]-Table12[[#This Row],[Order Date]]</f>
        <v>3</v>
      </c>
      <c r="N726" s="23" t="s">
        <v>20</v>
      </c>
      <c r="O726" s="23" t="s">
        <v>23</v>
      </c>
      <c r="P726" s="23" t="s">
        <v>189</v>
      </c>
      <c r="Q726" s="23" t="s">
        <v>95</v>
      </c>
      <c r="R726" s="23" t="s">
        <v>271</v>
      </c>
      <c r="S726" s="33">
        <v>0.2</v>
      </c>
      <c r="T726" s="13">
        <v>35.856000000000002</v>
      </c>
      <c r="U726" s="13">
        <v>12.9978</v>
      </c>
      <c r="V726" s="55">
        <f>IFERROR(Table12[[#This Row],[Profit]]/Table12[[#This Row],[Sales]],0)</f>
        <v>0.36249999999999999</v>
      </c>
    </row>
    <row r="727" spans="1:22" x14ac:dyDescent="0.2">
      <c r="A727">
        <v>726</v>
      </c>
      <c r="B727" t="s">
        <v>8684</v>
      </c>
      <c r="C727" s="1">
        <v>41832</v>
      </c>
      <c r="D727" s="22">
        <f>MONTH(Table12[[#This Row],[Order Date]])</f>
        <v>7</v>
      </c>
      <c r="E727" t="s">
        <v>1842</v>
      </c>
      <c r="F727" t="s">
        <v>1843</v>
      </c>
      <c r="G727" s="23" t="s">
        <v>64</v>
      </c>
      <c r="H727" s="23" t="s">
        <v>144</v>
      </c>
      <c r="I727" t="s">
        <v>1850</v>
      </c>
      <c r="J727" s="23" t="s">
        <v>22</v>
      </c>
      <c r="K727" s="22">
        <v>4</v>
      </c>
      <c r="L727" s="1">
        <v>41835</v>
      </c>
      <c r="M727" s="22">
        <f>Table12[[#This Row],[Ship Date]]-Table12[[#This Row],[Order Date]]</f>
        <v>3</v>
      </c>
      <c r="N727" s="23" t="s">
        <v>20</v>
      </c>
      <c r="O727" s="23" t="s">
        <v>23</v>
      </c>
      <c r="P727" s="23" t="s">
        <v>189</v>
      </c>
      <c r="Q727" s="23" t="s">
        <v>95</v>
      </c>
      <c r="R727" s="23" t="s">
        <v>271</v>
      </c>
      <c r="S727" s="33">
        <v>0.2</v>
      </c>
      <c r="T727" s="13">
        <v>23.84</v>
      </c>
      <c r="U727" s="13">
        <v>3.278</v>
      </c>
      <c r="V727" s="55">
        <f>IFERROR(Table12[[#This Row],[Profit]]/Table12[[#This Row],[Sales]],0)</f>
        <v>0.13750000000000001</v>
      </c>
    </row>
    <row r="728" spans="1:22" x14ac:dyDescent="0.2">
      <c r="A728">
        <v>727</v>
      </c>
      <c r="B728" t="s">
        <v>9168</v>
      </c>
      <c r="C728" s="1">
        <v>41832</v>
      </c>
      <c r="D728" s="22">
        <f>MONTH(Table12[[#This Row],[Order Date]])</f>
        <v>7</v>
      </c>
      <c r="E728" t="s">
        <v>2937</v>
      </c>
      <c r="F728" t="s">
        <v>2938</v>
      </c>
      <c r="G728" s="23" t="s">
        <v>28</v>
      </c>
      <c r="H728" s="23" t="s">
        <v>32</v>
      </c>
      <c r="I728" t="s">
        <v>2841</v>
      </c>
      <c r="J728" s="23" t="s">
        <v>92</v>
      </c>
      <c r="K728" s="22">
        <v>3</v>
      </c>
      <c r="L728" s="1">
        <v>41836</v>
      </c>
      <c r="M728" s="22">
        <f>Table12[[#This Row],[Ship Date]]-Table12[[#This Row],[Order Date]]</f>
        <v>4</v>
      </c>
      <c r="N728" s="23" t="s">
        <v>45</v>
      </c>
      <c r="O728" s="23" t="s">
        <v>23</v>
      </c>
      <c r="P728" s="23" t="s">
        <v>94</v>
      </c>
      <c r="Q728" s="23" t="s">
        <v>95</v>
      </c>
      <c r="R728" s="23" t="s">
        <v>7111</v>
      </c>
      <c r="S728" s="33">
        <v>0.3</v>
      </c>
      <c r="T728" s="13">
        <v>512.35799999999995</v>
      </c>
      <c r="U728" s="13">
        <v>-14.6388</v>
      </c>
      <c r="V728" s="55">
        <f>IFERROR(Table12[[#This Row],[Profit]]/Table12[[#This Row],[Sales]],0)</f>
        <v>-2.8571428571428574E-2</v>
      </c>
    </row>
    <row r="729" spans="1:22" x14ac:dyDescent="0.2">
      <c r="A729">
        <v>728</v>
      </c>
      <c r="B729" t="s">
        <v>9168</v>
      </c>
      <c r="C729" s="1">
        <v>41832</v>
      </c>
      <c r="D729" s="22">
        <f>MONTH(Table12[[#This Row],[Order Date]])</f>
        <v>7</v>
      </c>
      <c r="E729" t="s">
        <v>2906</v>
      </c>
      <c r="F729" t="s">
        <v>2907</v>
      </c>
      <c r="G729" s="23" t="s">
        <v>41</v>
      </c>
      <c r="H729" s="23" t="s">
        <v>240</v>
      </c>
      <c r="I729" t="s">
        <v>2841</v>
      </c>
      <c r="J729" s="23" t="s">
        <v>92</v>
      </c>
      <c r="K729" s="22">
        <v>2</v>
      </c>
      <c r="L729" s="1">
        <v>41836</v>
      </c>
      <c r="M729" s="22">
        <f>Table12[[#This Row],[Ship Date]]-Table12[[#This Row],[Order Date]]</f>
        <v>4</v>
      </c>
      <c r="N729" s="23" t="s">
        <v>45</v>
      </c>
      <c r="O729" s="23" t="s">
        <v>23</v>
      </c>
      <c r="P729" s="23" t="s">
        <v>94</v>
      </c>
      <c r="Q729" s="23" t="s">
        <v>95</v>
      </c>
      <c r="R729" s="23" t="s">
        <v>7111</v>
      </c>
      <c r="S729" s="33">
        <v>0.2</v>
      </c>
      <c r="T729" s="13">
        <v>3.488</v>
      </c>
      <c r="U729" s="13">
        <v>0.56679999999999997</v>
      </c>
      <c r="V729" s="55">
        <f>IFERROR(Table12[[#This Row],[Profit]]/Table12[[#This Row],[Sales]],0)</f>
        <v>0.16250000000000001</v>
      </c>
    </row>
    <row r="730" spans="1:22" x14ac:dyDescent="0.2">
      <c r="A730">
        <v>729</v>
      </c>
      <c r="B730" t="s">
        <v>9168</v>
      </c>
      <c r="C730" s="1">
        <v>41832</v>
      </c>
      <c r="D730" s="22">
        <f>MONTH(Table12[[#This Row],[Order Date]])</f>
        <v>7</v>
      </c>
      <c r="E730" t="s">
        <v>2416</v>
      </c>
      <c r="F730" t="s">
        <v>2417</v>
      </c>
      <c r="G730" s="23" t="s">
        <v>41</v>
      </c>
      <c r="H730" s="23" t="s">
        <v>61</v>
      </c>
      <c r="I730" t="s">
        <v>2841</v>
      </c>
      <c r="J730" s="23" t="s">
        <v>92</v>
      </c>
      <c r="K730" s="22">
        <v>7</v>
      </c>
      <c r="L730" s="1">
        <v>41836</v>
      </c>
      <c r="M730" s="22">
        <f>Table12[[#This Row],[Ship Date]]-Table12[[#This Row],[Order Date]]</f>
        <v>4</v>
      </c>
      <c r="N730" s="23" t="s">
        <v>45</v>
      </c>
      <c r="O730" s="23" t="s">
        <v>23</v>
      </c>
      <c r="P730" s="23" t="s">
        <v>94</v>
      </c>
      <c r="Q730" s="23" t="s">
        <v>95</v>
      </c>
      <c r="R730" s="23" t="s">
        <v>7111</v>
      </c>
      <c r="S730" s="33">
        <v>0.2</v>
      </c>
      <c r="T730" s="13">
        <v>22.288</v>
      </c>
      <c r="U730" s="13">
        <v>3.9003999999999999</v>
      </c>
      <c r="V730" s="55">
        <f>IFERROR(Table12[[#This Row],[Profit]]/Table12[[#This Row],[Sales]],0)</f>
        <v>0.17499999999999999</v>
      </c>
    </row>
    <row r="731" spans="1:22" x14ac:dyDescent="0.2">
      <c r="A731">
        <v>730</v>
      </c>
      <c r="B731" t="s">
        <v>9168</v>
      </c>
      <c r="C731" s="1">
        <v>41832</v>
      </c>
      <c r="D731" s="22">
        <f>MONTH(Table12[[#This Row],[Order Date]])</f>
        <v>7</v>
      </c>
      <c r="E731" t="s">
        <v>502</v>
      </c>
      <c r="F731" t="s">
        <v>503</v>
      </c>
      <c r="G731" s="23" t="s">
        <v>41</v>
      </c>
      <c r="H731" s="23" t="s">
        <v>82</v>
      </c>
      <c r="I731" t="s">
        <v>2841</v>
      </c>
      <c r="J731" s="23" t="s">
        <v>92</v>
      </c>
      <c r="K731" s="22">
        <v>3</v>
      </c>
      <c r="L731" s="1">
        <v>41836</v>
      </c>
      <c r="M731" s="22">
        <f>Table12[[#This Row],[Ship Date]]-Table12[[#This Row],[Order Date]]</f>
        <v>4</v>
      </c>
      <c r="N731" s="23" t="s">
        <v>45</v>
      </c>
      <c r="O731" s="23" t="s">
        <v>23</v>
      </c>
      <c r="P731" s="23" t="s">
        <v>94</v>
      </c>
      <c r="Q731" s="23" t="s">
        <v>95</v>
      </c>
      <c r="R731" s="23" t="s">
        <v>7111</v>
      </c>
      <c r="S731" s="33">
        <v>0.2</v>
      </c>
      <c r="T731" s="13">
        <v>16.032</v>
      </c>
      <c r="U731" s="13">
        <v>5.6112000000000002</v>
      </c>
      <c r="V731" s="55">
        <f>IFERROR(Table12[[#This Row],[Profit]]/Table12[[#This Row],[Sales]],0)</f>
        <v>0.35000000000000003</v>
      </c>
    </row>
    <row r="732" spans="1:22" x14ac:dyDescent="0.2">
      <c r="A732">
        <v>731</v>
      </c>
      <c r="B732" t="s">
        <v>6847</v>
      </c>
      <c r="C732" s="1">
        <v>41833</v>
      </c>
      <c r="D732" s="22">
        <f>MONTH(Table12[[#This Row],[Order Date]])</f>
        <v>7</v>
      </c>
      <c r="E732" t="s">
        <v>4304</v>
      </c>
      <c r="F732" t="s">
        <v>4305</v>
      </c>
      <c r="G732" s="23" t="s">
        <v>28</v>
      </c>
      <c r="H732" s="23" t="s">
        <v>50</v>
      </c>
      <c r="I732" t="s">
        <v>1041</v>
      </c>
      <c r="J732" s="23" t="s">
        <v>36</v>
      </c>
      <c r="K732" s="22">
        <v>3</v>
      </c>
      <c r="L732" s="1">
        <v>41837</v>
      </c>
      <c r="M732" s="22">
        <f>Table12[[#This Row],[Ship Date]]-Table12[[#This Row],[Order Date]]</f>
        <v>4</v>
      </c>
      <c r="N732" s="23" t="s">
        <v>45</v>
      </c>
      <c r="O732" s="23" t="s">
        <v>23</v>
      </c>
      <c r="P732" s="23" t="s">
        <v>38</v>
      </c>
      <c r="Q732" s="23" t="s">
        <v>39</v>
      </c>
      <c r="R732" s="23" t="s">
        <v>37</v>
      </c>
      <c r="S732" s="33">
        <v>0.2</v>
      </c>
      <c r="T732" s="13">
        <v>351.21600000000001</v>
      </c>
      <c r="U732" s="13">
        <v>4.3902000000000001</v>
      </c>
      <c r="V732" s="55">
        <f>IFERROR(Table12[[#This Row],[Profit]]/Table12[[#This Row],[Sales]],0)</f>
        <v>1.2500000000000001E-2</v>
      </c>
    </row>
    <row r="733" spans="1:22" x14ac:dyDescent="0.2">
      <c r="A733">
        <v>732</v>
      </c>
      <c r="B733" t="s">
        <v>4571</v>
      </c>
      <c r="C733" s="1">
        <v>41834</v>
      </c>
      <c r="D733" s="22">
        <f>MONTH(Table12[[#This Row],[Order Date]])</f>
        <v>7</v>
      </c>
      <c r="E733" t="s">
        <v>1414</v>
      </c>
      <c r="F733" t="s">
        <v>1415</v>
      </c>
      <c r="G733" s="23" t="s">
        <v>41</v>
      </c>
      <c r="H733" s="23" t="s">
        <v>68</v>
      </c>
      <c r="I733" t="s">
        <v>4572</v>
      </c>
      <c r="J733" s="23" t="s">
        <v>92</v>
      </c>
      <c r="K733" s="22">
        <v>7</v>
      </c>
      <c r="L733" s="1">
        <v>41840</v>
      </c>
      <c r="M733" s="22">
        <f>Table12[[#This Row],[Ship Date]]-Table12[[#This Row],[Order Date]]</f>
        <v>6</v>
      </c>
      <c r="N733" s="23" t="s">
        <v>45</v>
      </c>
      <c r="O733" s="23" t="s">
        <v>23</v>
      </c>
      <c r="P733" s="23" t="s">
        <v>189</v>
      </c>
      <c r="Q733" s="23" t="s">
        <v>95</v>
      </c>
      <c r="R733" s="23" t="s">
        <v>404</v>
      </c>
      <c r="S733" s="33">
        <v>0.8</v>
      </c>
      <c r="T733" s="13">
        <v>29.931999999999999</v>
      </c>
      <c r="U733" s="13">
        <v>-46.394599999999997</v>
      </c>
      <c r="V733" s="55">
        <f>IFERROR(Table12[[#This Row],[Profit]]/Table12[[#This Row],[Sales]],0)</f>
        <v>-1.55</v>
      </c>
    </row>
    <row r="734" spans="1:22" x14ac:dyDescent="0.2">
      <c r="A734">
        <v>733</v>
      </c>
      <c r="B734" t="s">
        <v>4571</v>
      </c>
      <c r="C734" s="1">
        <v>41834</v>
      </c>
      <c r="D734" s="22">
        <f>MONTH(Table12[[#This Row],[Order Date]])</f>
        <v>7</v>
      </c>
      <c r="E734" t="s">
        <v>676</v>
      </c>
      <c r="F734" t="s">
        <v>677</v>
      </c>
      <c r="G734" s="23" t="s">
        <v>64</v>
      </c>
      <c r="H734" s="23" t="s">
        <v>65</v>
      </c>
      <c r="I734" t="s">
        <v>4572</v>
      </c>
      <c r="J734" s="23" t="s">
        <v>92</v>
      </c>
      <c r="K734" s="22">
        <v>4</v>
      </c>
      <c r="L734" s="1">
        <v>41840</v>
      </c>
      <c r="M734" s="22">
        <f>Table12[[#This Row],[Ship Date]]-Table12[[#This Row],[Order Date]]</f>
        <v>6</v>
      </c>
      <c r="N734" s="23" t="s">
        <v>45</v>
      </c>
      <c r="O734" s="23" t="s">
        <v>23</v>
      </c>
      <c r="P734" s="23" t="s">
        <v>189</v>
      </c>
      <c r="Q734" s="23" t="s">
        <v>95</v>
      </c>
      <c r="R734" s="23" t="s">
        <v>404</v>
      </c>
      <c r="S734" s="33">
        <v>0.2</v>
      </c>
      <c r="T734" s="13">
        <v>38.271999999999998</v>
      </c>
      <c r="U734" s="13">
        <v>3.8271999999999999</v>
      </c>
      <c r="V734" s="55">
        <f>IFERROR(Table12[[#This Row],[Profit]]/Table12[[#This Row],[Sales]],0)</f>
        <v>0.1</v>
      </c>
    </row>
    <row r="735" spans="1:22" x14ac:dyDescent="0.2">
      <c r="A735">
        <v>734</v>
      </c>
      <c r="B735" t="s">
        <v>5519</v>
      </c>
      <c r="C735" s="1">
        <v>41834</v>
      </c>
      <c r="D735" s="22">
        <f>MONTH(Table12[[#This Row],[Order Date]])</f>
        <v>7</v>
      </c>
      <c r="E735" t="s">
        <v>52</v>
      </c>
      <c r="F735" t="s">
        <v>54</v>
      </c>
      <c r="G735" s="23" t="s">
        <v>41</v>
      </c>
      <c r="H735" s="23" t="s">
        <v>53</v>
      </c>
      <c r="I735" t="s">
        <v>1290</v>
      </c>
      <c r="J735" s="23" t="s">
        <v>22</v>
      </c>
      <c r="K735" s="22">
        <v>5</v>
      </c>
      <c r="L735" s="1">
        <v>41841</v>
      </c>
      <c r="M735" s="22">
        <f>Table12[[#This Row],[Ship Date]]-Table12[[#This Row],[Order Date]]</f>
        <v>7</v>
      </c>
      <c r="N735" s="23" t="s">
        <v>45</v>
      </c>
      <c r="O735" s="23" t="s">
        <v>23</v>
      </c>
      <c r="P735" s="23" t="s">
        <v>277</v>
      </c>
      <c r="Q735" s="23" t="s">
        <v>39</v>
      </c>
      <c r="R735" s="23" t="s">
        <v>481</v>
      </c>
      <c r="S735" s="33">
        <v>0.2</v>
      </c>
      <c r="T735" s="13">
        <v>55.92</v>
      </c>
      <c r="U735" s="13">
        <v>6.2910000000000004</v>
      </c>
      <c r="V735" s="55">
        <f>IFERROR(Table12[[#This Row],[Profit]]/Table12[[#This Row],[Sales]],0)</f>
        <v>0.1125</v>
      </c>
    </row>
    <row r="736" spans="1:22" x14ac:dyDescent="0.2">
      <c r="A736">
        <v>735</v>
      </c>
      <c r="B736" t="s">
        <v>8406</v>
      </c>
      <c r="C736" s="1">
        <v>41834</v>
      </c>
      <c r="D736" s="22">
        <f>MONTH(Table12[[#This Row],[Order Date]])</f>
        <v>7</v>
      </c>
      <c r="E736" t="s">
        <v>8407</v>
      </c>
      <c r="F736" t="s">
        <v>8408</v>
      </c>
      <c r="G736" s="23" t="s">
        <v>64</v>
      </c>
      <c r="H736" s="23" t="s">
        <v>65</v>
      </c>
      <c r="I736" t="s">
        <v>3413</v>
      </c>
      <c r="J736" s="23" t="s">
        <v>22</v>
      </c>
      <c r="K736" s="22">
        <v>1</v>
      </c>
      <c r="L736" s="1">
        <v>41838</v>
      </c>
      <c r="M736" s="22">
        <f>Table12[[#This Row],[Ship Date]]-Table12[[#This Row],[Order Date]]</f>
        <v>4</v>
      </c>
      <c r="N736" s="23" t="s">
        <v>45</v>
      </c>
      <c r="O736" s="23" t="s">
        <v>23</v>
      </c>
      <c r="P736" s="23" t="s">
        <v>132</v>
      </c>
      <c r="Q736" s="23" t="s">
        <v>133</v>
      </c>
      <c r="R736" s="23" t="s">
        <v>131</v>
      </c>
      <c r="S736" s="33">
        <v>0.4</v>
      </c>
      <c r="T736" s="13">
        <v>13.494</v>
      </c>
      <c r="U736" s="13">
        <v>-2.2490000000000001</v>
      </c>
      <c r="V736" s="55">
        <f>IFERROR(Table12[[#This Row],[Profit]]/Table12[[#This Row],[Sales]],0)</f>
        <v>-0.16666666666666669</v>
      </c>
    </row>
    <row r="737" spans="1:22" x14ac:dyDescent="0.2">
      <c r="A737">
        <v>736</v>
      </c>
      <c r="B737" t="s">
        <v>8406</v>
      </c>
      <c r="C737" s="1">
        <v>41834</v>
      </c>
      <c r="D737" s="22">
        <f>MONTH(Table12[[#This Row],[Order Date]])</f>
        <v>7</v>
      </c>
      <c r="E737" t="s">
        <v>7380</v>
      </c>
      <c r="F737" t="s">
        <v>7381</v>
      </c>
      <c r="G737" s="23" t="s">
        <v>64</v>
      </c>
      <c r="H737" s="23" t="s">
        <v>65</v>
      </c>
      <c r="I737" t="s">
        <v>3413</v>
      </c>
      <c r="J737" s="23" t="s">
        <v>22</v>
      </c>
      <c r="K737" s="22">
        <v>2</v>
      </c>
      <c r="L737" s="1">
        <v>41838</v>
      </c>
      <c r="M737" s="22">
        <f>Table12[[#This Row],[Ship Date]]-Table12[[#This Row],[Order Date]]</f>
        <v>4</v>
      </c>
      <c r="N737" s="23" t="s">
        <v>45</v>
      </c>
      <c r="O737" s="23" t="s">
        <v>23</v>
      </c>
      <c r="P737" s="23" t="s">
        <v>132</v>
      </c>
      <c r="Q737" s="23" t="s">
        <v>133</v>
      </c>
      <c r="R737" s="23" t="s">
        <v>131</v>
      </c>
      <c r="S737" s="33">
        <v>0.4</v>
      </c>
      <c r="T737" s="13">
        <v>23.988</v>
      </c>
      <c r="U737" s="13">
        <v>-13.993</v>
      </c>
      <c r="V737" s="55">
        <f>IFERROR(Table12[[#This Row],[Profit]]/Table12[[#This Row],[Sales]],0)</f>
        <v>-0.58333333333333337</v>
      </c>
    </row>
    <row r="738" spans="1:22" x14ac:dyDescent="0.2">
      <c r="A738">
        <v>737</v>
      </c>
      <c r="B738" t="s">
        <v>8406</v>
      </c>
      <c r="C738" s="1">
        <v>41834</v>
      </c>
      <c r="D738" s="22">
        <f>MONTH(Table12[[#This Row],[Order Date]])</f>
        <v>7</v>
      </c>
      <c r="E738" t="s">
        <v>8337</v>
      </c>
      <c r="F738" t="s">
        <v>8338</v>
      </c>
      <c r="G738" s="23" t="s">
        <v>28</v>
      </c>
      <c r="H738" s="23" t="s">
        <v>58</v>
      </c>
      <c r="I738" t="s">
        <v>3413</v>
      </c>
      <c r="J738" s="23" t="s">
        <v>22</v>
      </c>
      <c r="K738" s="22">
        <v>2</v>
      </c>
      <c r="L738" s="1">
        <v>41838</v>
      </c>
      <c r="M738" s="22">
        <f>Table12[[#This Row],[Ship Date]]-Table12[[#This Row],[Order Date]]</f>
        <v>4</v>
      </c>
      <c r="N738" s="23" t="s">
        <v>45</v>
      </c>
      <c r="O738" s="23" t="s">
        <v>23</v>
      </c>
      <c r="P738" s="23" t="s">
        <v>132</v>
      </c>
      <c r="Q738" s="23" t="s">
        <v>133</v>
      </c>
      <c r="R738" s="23" t="s">
        <v>131</v>
      </c>
      <c r="S738" s="33">
        <v>0.2</v>
      </c>
      <c r="T738" s="13">
        <v>31.984000000000002</v>
      </c>
      <c r="U738" s="13">
        <v>1.1994</v>
      </c>
      <c r="V738" s="55">
        <f>IFERROR(Table12[[#This Row],[Profit]]/Table12[[#This Row],[Sales]],0)</f>
        <v>3.7499999999999999E-2</v>
      </c>
    </row>
    <row r="739" spans="1:22" x14ac:dyDescent="0.2">
      <c r="A739">
        <v>738</v>
      </c>
      <c r="B739" t="s">
        <v>8406</v>
      </c>
      <c r="C739" s="1">
        <v>41834</v>
      </c>
      <c r="D739" s="22">
        <f>MONTH(Table12[[#This Row],[Order Date]])</f>
        <v>7</v>
      </c>
      <c r="E739" t="s">
        <v>3728</v>
      </c>
      <c r="F739" t="s">
        <v>3729</v>
      </c>
      <c r="G739" s="23" t="s">
        <v>41</v>
      </c>
      <c r="H739" s="23" t="s">
        <v>61</v>
      </c>
      <c r="I739" t="s">
        <v>3413</v>
      </c>
      <c r="J739" s="23" t="s">
        <v>22</v>
      </c>
      <c r="K739" s="22">
        <v>2</v>
      </c>
      <c r="L739" s="1">
        <v>41838</v>
      </c>
      <c r="M739" s="22">
        <f>Table12[[#This Row],[Ship Date]]-Table12[[#This Row],[Order Date]]</f>
        <v>4</v>
      </c>
      <c r="N739" s="23" t="s">
        <v>45</v>
      </c>
      <c r="O739" s="23" t="s">
        <v>23</v>
      </c>
      <c r="P739" s="23" t="s">
        <v>132</v>
      </c>
      <c r="Q739" s="23" t="s">
        <v>133</v>
      </c>
      <c r="R739" s="23" t="s">
        <v>131</v>
      </c>
      <c r="S739" s="33">
        <v>0.2</v>
      </c>
      <c r="T739" s="13">
        <v>41.584000000000003</v>
      </c>
      <c r="U739" s="13">
        <v>4.6782000000000004</v>
      </c>
      <c r="V739" s="55">
        <f>IFERROR(Table12[[#This Row],[Profit]]/Table12[[#This Row],[Sales]],0)</f>
        <v>0.1125</v>
      </c>
    </row>
    <row r="740" spans="1:22" x14ac:dyDescent="0.2">
      <c r="A740">
        <v>739</v>
      </c>
      <c r="B740" t="s">
        <v>8790</v>
      </c>
      <c r="C740" s="1">
        <v>41834</v>
      </c>
      <c r="D740" s="22">
        <f>MONTH(Table12[[#This Row],[Order Date]])</f>
        <v>7</v>
      </c>
      <c r="E740" t="s">
        <v>2210</v>
      </c>
      <c r="F740" t="s">
        <v>2211</v>
      </c>
      <c r="G740" s="23" t="s">
        <v>41</v>
      </c>
      <c r="H740" s="23" t="s">
        <v>71</v>
      </c>
      <c r="I740" t="s">
        <v>8155</v>
      </c>
      <c r="J740" s="23" t="s">
        <v>92</v>
      </c>
      <c r="K740" s="22">
        <v>1</v>
      </c>
      <c r="L740" s="1">
        <v>41840</v>
      </c>
      <c r="M740" s="22">
        <f>Table12[[#This Row],[Ship Date]]-Table12[[#This Row],[Order Date]]</f>
        <v>6</v>
      </c>
      <c r="N740" s="23" t="s">
        <v>45</v>
      </c>
      <c r="O740" s="23" t="s">
        <v>23</v>
      </c>
      <c r="P740" s="23" t="s">
        <v>218</v>
      </c>
      <c r="Q740" s="23" t="s">
        <v>133</v>
      </c>
      <c r="R740" s="23" t="s">
        <v>536</v>
      </c>
      <c r="S740" s="33">
        <v>0</v>
      </c>
      <c r="T740" s="13">
        <v>39.479999999999997</v>
      </c>
      <c r="U740" s="13">
        <v>11.054399999999999</v>
      </c>
      <c r="V740" s="55">
        <f>IFERROR(Table12[[#This Row],[Profit]]/Table12[[#This Row],[Sales]],0)</f>
        <v>0.28000000000000003</v>
      </c>
    </row>
    <row r="741" spans="1:22" x14ac:dyDescent="0.2">
      <c r="A741">
        <v>740</v>
      </c>
      <c r="B741" t="s">
        <v>9026</v>
      </c>
      <c r="C741" s="1">
        <v>41834</v>
      </c>
      <c r="D741" s="22">
        <f>MONTH(Table12[[#This Row],[Order Date]])</f>
        <v>7</v>
      </c>
      <c r="E741" t="s">
        <v>3021</v>
      </c>
      <c r="F741" t="s">
        <v>3022</v>
      </c>
      <c r="G741" s="23" t="s">
        <v>41</v>
      </c>
      <c r="H741" s="23" t="s">
        <v>61</v>
      </c>
      <c r="I741" t="s">
        <v>4076</v>
      </c>
      <c r="J741" s="23" t="s">
        <v>36</v>
      </c>
      <c r="K741" s="22">
        <v>3</v>
      </c>
      <c r="L741" s="1">
        <v>41837</v>
      </c>
      <c r="M741" s="22">
        <f>Table12[[#This Row],[Ship Date]]-Table12[[#This Row],[Order Date]]</f>
        <v>3</v>
      </c>
      <c r="N741" s="23" t="s">
        <v>20</v>
      </c>
      <c r="O741" s="23" t="s">
        <v>23</v>
      </c>
      <c r="P741" s="23" t="s">
        <v>238</v>
      </c>
      <c r="Q741" s="23" t="s">
        <v>133</v>
      </c>
      <c r="R741" s="23" t="s">
        <v>237</v>
      </c>
      <c r="S741" s="33">
        <v>0</v>
      </c>
      <c r="T741" s="13">
        <v>17.940000000000001</v>
      </c>
      <c r="U741" s="13">
        <v>4.4850000000000003</v>
      </c>
      <c r="V741" s="55">
        <f>IFERROR(Table12[[#This Row],[Profit]]/Table12[[#This Row],[Sales]],0)</f>
        <v>0.25</v>
      </c>
    </row>
    <row r="742" spans="1:22" x14ac:dyDescent="0.2">
      <c r="A742">
        <v>741</v>
      </c>
      <c r="B742" t="s">
        <v>5799</v>
      </c>
      <c r="C742" s="1">
        <v>41835</v>
      </c>
      <c r="D742" s="22">
        <f>MONTH(Table12[[#This Row],[Order Date]])</f>
        <v>7</v>
      </c>
      <c r="E742" t="s">
        <v>5279</v>
      </c>
      <c r="F742" t="s">
        <v>5280</v>
      </c>
      <c r="G742" s="23" t="s">
        <v>64</v>
      </c>
      <c r="H742" s="23" t="s">
        <v>144</v>
      </c>
      <c r="I742" t="s">
        <v>746</v>
      </c>
      <c r="J742" s="23" t="s">
        <v>36</v>
      </c>
      <c r="K742" s="22">
        <v>3</v>
      </c>
      <c r="L742" s="1">
        <v>41839</v>
      </c>
      <c r="M742" s="22">
        <f>Table12[[#This Row],[Ship Date]]-Table12[[#This Row],[Order Date]]</f>
        <v>4</v>
      </c>
      <c r="N742" s="23" t="s">
        <v>45</v>
      </c>
      <c r="O742" s="23" t="s">
        <v>23</v>
      </c>
      <c r="P742" s="23" t="s">
        <v>4725</v>
      </c>
      <c r="Q742" s="23" t="s">
        <v>95</v>
      </c>
      <c r="R742" s="23" t="s">
        <v>4724</v>
      </c>
      <c r="S742" s="33">
        <v>0</v>
      </c>
      <c r="T742" s="13">
        <v>2.97</v>
      </c>
      <c r="U742" s="13">
        <v>1.3068</v>
      </c>
      <c r="V742" s="55">
        <f>IFERROR(Table12[[#This Row],[Profit]]/Table12[[#This Row],[Sales]],0)</f>
        <v>0.43999999999999995</v>
      </c>
    </row>
    <row r="743" spans="1:22" x14ac:dyDescent="0.2">
      <c r="A743">
        <v>742</v>
      </c>
      <c r="B743" t="s">
        <v>5799</v>
      </c>
      <c r="C743" s="1">
        <v>41835</v>
      </c>
      <c r="D743" s="22">
        <f>MONTH(Table12[[#This Row],[Order Date]])</f>
        <v>7</v>
      </c>
      <c r="E743" t="s">
        <v>239</v>
      </c>
      <c r="F743" t="s">
        <v>241</v>
      </c>
      <c r="G743" s="23" t="s">
        <v>41</v>
      </c>
      <c r="H743" s="23" t="s">
        <v>240</v>
      </c>
      <c r="I743" t="s">
        <v>746</v>
      </c>
      <c r="J743" s="23" t="s">
        <v>36</v>
      </c>
      <c r="K743" s="22">
        <v>3</v>
      </c>
      <c r="L743" s="1">
        <v>41839</v>
      </c>
      <c r="M743" s="22">
        <f>Table12[[#This Row],[Ship Date]]-Table12[[#This Row],[Order Date]]</f>
        <v>4</v>
      </c>
      <c r="N743" s="23" t="s">
        <v>45</v>
      </c>
      <c r="O743" s="23" t="s">
        <v>23</v>
      </c>
      <c r="P743" s="23" t="s">
        <v>4725</v>
      </c>
      <c r="Q743" s="23" t="s">
        <v>95</v>
      </c>
      <c r="R743" s="23" t="s">
        <v>4724</v>
      </c>
      <c r="S743" s="33">
        <v>0</v>
      </c>
      <c r="T743" s="13">
        <v>6.54</v>
      </c>
      <c r="U743" s="13">
        <v>2.6814</v>
      </c>
      <c r="V743" s="55">
        <f>IFERROR(Table12[[#This Row],[Profit]]/Table12[[#This Row],[Sales]],0)</f>
        <v>0.41</v>
      </c>
    </row>
    <row r="744" spans="1:22" x14ac:dyDescent="0.2">
      <c r="A744">
        <v>743</v>
      </c>
      <c r="B744" t="s">
        <v>4437</v>
      </c>
      <c r="C744" s="1">
        <v>41838</v>
      </c>
      <c r="D744" s="22">
        <f>MONTH(Table12[[#This Row],[Order Date]])</f>
        <v>7</v>
      </c>
      <c r="E744" t="s">
        <v>1370</v>
      </c>
      <c r="F744" t="s">
        <v>1371</v>
      </c>
      <c r="G744" s="23" t="s">
        <v>28</v>
      </c>
      <c r="H744" s="23" t="s">
        <v>32</v>
      </c>
      <c r="I744" t="s">
        <v>4438</v>
      </c>
      <c r="J744" s="23" t="s">
        <v>92</v>
      </c>
      <c r="K744" s="22">
        <v>4</v>
      </c>
      <c r="L744" s="1">
        <v>41838</v>
      </c>
      <c r="M744" s="22">
        <f>Table12[[#This Row],[Ship Date]]-Table12[[#This Row],[Order Date]]</f>
        <v>0</v>
      </c>
      <c r="N744" s="23" t="s">
        <v>1141</v>
      </c>
      <c r="O744" s="23" t="s">
        <v>23</v>
      </c>
      <c r="P744" s="23" t="s">
        <v>277</v>
      </c>
      <c r="Q744" s="23" t="s">
        <v>39</v>
      </c>
      <c r="R744" s="23" t="s">
        <v>1159</v>
      </c>
      <c r="S744" s="33">
        <v>0.2</v>
      </c>
      <c r="T744" s="13">
        <v>259.13600000000002</v>
      </c>
      <c r="U744" s="13">
        <v>-25.913599999999999</v>
      </c>
      <c r="V744" s="55">
        <f>IFERROR(Table12[[#This Row],[Profit]]/Table12[[#This Row],[Sales]],0)</f>
        <v>-9.9999999999999992E-2</v>
      </c>
    </row>
    <row r="745" spans="1:22" x14ac:dyDescent="0.2">
      <c r="A745">
        <v>744</v>
      </c>
      <c r="B745" t="s">
        <v>9598</v>
      </c>
      <c r="C745" s="1">
        <v>41838</v>
      </c>
      <c r="D745" s="22">
        <f>MONTH(Table12[[#This Row],[Order Date]])</f>
        <v>7</v>
      </c>
      <c r="E745" t="s">
        <v>1811</v>
      </c>
      <c r="F745" t="s">
        <v>1812</v>
      </c>
      <c r="G745" s="23" t="s">
        <v>41</v>
      </c>
      <c r="H745" s="23" t="s">
        <v>68</v>
      </c>
      <c r="I745" t="s">
        <v>5723</v>
      </c>
      <c r="J745" s="23" t="s">
        <v>22</v>
      </c>
      <c r="K745" s="22">
        <v>2</v>
      </c>
      <c r="L745" s="1">
        <v>41843</v>
      </c>
      <c r="M745" s="22">
        <f>Table12[[#This Row],[Ship Date]]-Table12[[#This Row],[Order Date]]</f>
        <v>5</v>
      </c>
      <c r="N745" s="23" t="s">
        <v>45</v>
      </c>
      <c r="O745" s="23" t="s">
        <v>23</v>
      </c>
      <c r="P745" s="23" t="s">
        <v>238</v>
      </c>
      <c r="Q745" s="23" t="s">
        <v>133</v>
      </c>
      <c r="R745" s="23" t="s">
        <v>1326</v>
      </c>
      <c r="S745" s="33">
        <v>0.2</v>
      </c>
      <c r="T745" s="13">
        <v>13.904</v>
      </c>
      <c r="U745" s="13">
        <v>4.5187999999999997</v>
      </c>
      <c r="V745" s="55">
        <f>IFERROR(Table12[[#This Row],[Profit]]/Table12[[#This Row],[Sales]],0)</f>
        <v>0.32499999999999996</v>
      </c>
    </row>
    <row r="746" spans="1:22" x14ac:dyDescent="0.2">
      <c r="A746">
        <v>745</v>
      </c>
      <c r="B746" t="s">
        <v>5864</v>
      </c>
      <c r="C746" s="1">
        <v>41839</v>
      </c>
      <c r="D746" s="22">
        <f>MONTH(Table12[[#This Row],[Order Date]])</f>
        <v>7</v>
      </c>
      <c r="E746" t="s">
        <v>4064</v>
      </c>
      <c r="F746" t="s">
        <v>4065</v>
      </c>
      <c r="G746" s="23" t="s">
        <v>64</v>
      </c>
      <c r="H746" s="23" t="s">
        <v>65</v>
      </c>
      <c r="I746" t="s">
        <v>886</v>
      </c>
      <c r="J746" s="23" t="s">
        <v>36</v>
      </c>
      <c r="K746" s="22">
        <v>2</v>
      </c>
      <c r="L746" s="1">
        <v>41844</v>
      </c>
      <c r="M746" s="22">
        <f>Table12[[#This Row],[Ship Date]]-Table12[[#This Row],[Order Date]]</f>
        <v>5</v>
      </c>
      <c r="N746" s="23" t="s">
        <v>45</v>
      </c>
      <c r="O746" s="23" t="s">
        <v>23</v>
      </c>
      <c r="P746" s="23" t="s">
        <v>660</v>
      </c>
      <c r="Q746" s="23" t="s">
        <v>133</v>
      </c>
      <c r="R746" s="23" t="s">
        <v>456</v>
      </c>
      <c r="S746" s="33">
        <v>0</v>
      </c>
      <c r="T746" s="13">
        <v>359.98</v>
      </c>
      <c r="U746" s="13">
        <v>93.594800000000006</v>
      </c>
      <c r="V746" s="55">
        <f>IFERROR(Table12[[#This Row],[Profit]]/Table12[[#This Row],[Sales]],0)</f>
        <v>0.26</v>
      </c>
    </row>
    <row r="747" spans="1:22" x14ac:dyDescent="0.2">
      <c r="A747">
        <v>746</v>
      </c>
      <c r="B747" t="s">
        <v>5864</v>
      </c>
      <c r="C747" s="1">
        <v>41839</v>
      </c>
      <c r="D747" s="22">
        <f>MONTH(Table12[[#This Row],[Order Date]])</f>
        <v>7</v>
      </c>
      <c r="E747" t="s">
        <v>5865</v>
      </c>
      <c r="F747" t="s">
        <v>5866</v>
      </c>
      <c r="G747" s="23" t="s">
        <v>28</v>
      </c>
      <c r="H747" s="23" t="s">
        <v>50</v>
      </c>
      <c r="I747" t="s">
        <v>886</v>
      </c>
      <c r="J747" s="23" t="s">
        <v>36</v>
      </c>
      <c r="K747" s="22">
        <v>1</v>
      </c>
      <c r="L747" s="1">
        <v>41844</v>
      </c>
      <c r="M747" s="22">
        <f>Table12[[#This Row],[Ship Date]]-Table12[[#This Row],[Order Date]]</f>
        <v>5</v>
      </c>
      <c r="N747" s="23" t="s">
        <v>45</v>
      </c>
      <c r="O747" s="23" t="s">
        <v>23</v>
      </c>
      <c r="P747" s="23" t="s">
        <v>660</v>
      </c>
      <c r="Q747" s="23" t="s">
        <v>133</v>
      </c>
      <c r="R747" s="23" t="s">
        <v>456</v>
      </c>
      <c r="S747" s="33">
        <v>0.3</v>
      </c>
      <c r="T747" s="13">
        <v>70.56</v>
      </c>
      <c r="U747" s="13">
        <v>-4.032</v>
      </c>
      <c r="V747" s="55">
        <f>IFERROR(Table12[[#This Row],[Profit]]/Table12[[#This Row],[Sales]],0)</f>
        <v>-5.7142857142857141E-2</v>
      </c>
    </row>
    <row r="748" spans="1:22" x14ac:dyDescent="0.2">
      <c r="A748">
        <v>747</v>
      </c>
      <c r="B748" t="s">
        <v>5864</v>
      </c>
      <c r="C748" s="1">
        <v>41839</v>
      </c>
      <c r="D748" s="22">
        <f>MONTH(Table12[[#This Row],[Order Date]])</f>
        <v>7</v>
      </c>
      <c r="E748" t="s">
        <v>2970</v>
      </c>
      <c r="F748" t="s">
        <v>2971</v>
      </c>
      <c r="G748" s="23" t="s">
        <v>41</v>
      </c>
      <c r="H748" s="23" t="s">
        <v>68</v>
      </c>
      <c r="I748" t="s">
        <v>886</v>
      </c>
      <c r="J748" s="23" t="s">
        <v>36</v>
      </c>
      <c r="K748" s="22">
        <v>2</v>
      </c>
      <c r="L748" s="1">
        <v>41844</v>
      </c>
      <c r="M748" s="22">
        <f>Table12[[#This Row],[Ship Date]]-Table12[[#This Row],[Order Date]]</f>
        <v>5</v>
      </c>
      <c r="N748" s="23" t="s">
        <v>45</v>
      </c>
      <c r="O748" s="23" t="s">
        <v>23</v>
      </c>
      <c r="P748" s="23" t="s">
        <v>660</v>
      </c>
      <c r="Q748" s="23" t="s">
        <v>133</v>
      </c>
      <c r="R748" s="23" t="s">
        <v>456</v>
      </c>
      <c r="S748" s="33">
        <v>0</v>
      </c>
      <c r="T748" s="13">
        <v>20.88</v>
      </c>
      <c r="U748" s="13">
        <v>9.6047999999999991</v>
      </c>
      <c r="V748" s="55">
        <f>IFERROR(Table12[[#This Row],[Profit]]/Table12[[#This Row],[Sales]],0)</f>
        <v>0.45999999999999996</v>
      </c>
    </row>
    <row r="749" spans="1:22" x14ac:dyDescent="0.2">
      <c r="A749">
        <v>748</v>
      </c>
      <c r="B749" t="s">
        <v>5864</v>
      </c>
      <c r="C749" s="1">
        <v>41839</v>
      </c>
      <c r="D749" s="22">
        <f>MONTH(Table12[[#This Row],[Order Date]])</f>
        <v>7</v>
      </c>
      <c r="E749" t="s">
        <v>1108</v>
      </c>
      <c r="F749" t="s">
        <v>1109</v>
      </c>
      <c r="G749" s="23" t="s">
        <v>41</v>
      </c>
      <c r="H749" s="23" t="s">
        <v>68</v>
      </c>
      <c r="I749" t="s">
        <v>886</v>
      </c>
      <c r="J749" s="23" t="s">
        <v>36</v>
      </c>
      <c r="K749" s="22">
        <v>1</v>
      </c>
      <c r="L749" s="1">
        <v>41844</v>
      </c>
      <c r="M749" s="22">
        <f>Table12[[#This Row],[Ship Date]]-Table12[[#This Row],[Order Date]]</f>
        <v>5</v>
      </c>
      <c r="N749" s="23" t="s">
        <v>45</v>
      </c>
      <c r="O749" s="23" t="s">
        <v>23</v>
      </c>
      <c r="P749" s="23" t="s">
        <v>660</v>
      </c>
      <c r="Q749" s="23" t="s">
        <v>133</v>
      </c>
      <c r="R749" s="23" t="s">
        <v>456</v>
      </c>
      <c r="S749" s="33">
        <v>0</v>
      </c>
      <c r="T749" s="13">
        <v>3.81</v>
      </c>
      <c r="U749" s="13">
        <v>1.8288</v>
      </c>
      <c r="V749" s="55">
        <f>IFERROR(Table12[[#This Row],[Profit]]/Table12[[#This Row],[Sales]],0)</f>
        <v>0.48</v>
      </c>
    </row>
    <row r="750" spans="1:22" x14ac:dyDescent="0.2">
      <c r="A750">
        <v>749</v>
      </c>
      <c r="B750" t="s">
        <v>7587</v>
      </c>
      <c r="C750" s="1">
        <v>41839</v>
      </c>
      <c r="D750" s="22">
        <f>MONTH(Table12[[#This Row],[Order Date]])</f>
        <v>7</v>
      </c>
      <c r="E750" t="s">
        <v>2524</v>
      </c>
      <c r="F750" t="s">
        <v>2525</v>
      </c>
      <c r="G750" s="23" t="s">
        <v>41</v>
      </c>
      <c r="H750" s="23" t="s">
        <v>68</v>
      </c>
      <c r="I750" t="s">
        <v>5475</v>
      </c>
      <c r="J750" s="23" t="s">
        <v>92</v>
      </c>
      <c r="K750" s="22">
        <v>2</v>
      </c>
      <c r="L750" s="1">
        <v>41844</v>
      </c>
      <c r="M750" s="22">
        <f>Table12[[#This Row],[Ship Date]]-Table12[[#This Row],[Order Date]]</f>
        <v>5</v>
      </c>
      <c r="N750" s="23" t="s">
        <v>45</v>
      </c>
      <c r="O750" s="23" t="s">
        <v>23</v>
      </c>
      <c r="P750" s="23" t="s">
        <v>1561</v>
      </c>
      <c r="Q750" s="23" t="s">
        <v>39</v>
      </c>
      <c r="R750" s="23" t="s">
        <v>1560</v>
      </c>
      <c r="S750" s="33">
        <v>0.2</v>
      </c>
      <c r="T750" s="13">
        <v>6.0960000000000001</v>
      </c>
      <c r="U750" s="13">
        <v>2.2098</v>
      </c>
      <c r="V750" s="55">
        <f>IFERROR(Table12[[#This Row],[Profit]]/Table12[[#This Row],[Sales]],0)</f>
        <v>0.36249999999999999</v>
      </c>
    </row>
    <row r="751" spans="1:22" x14ac:dyDescent="0.2">
      <c r="A751">
        <v>750</v>
      </c>
      <c r="B751" t="s">
        <v>5614</v>
      </c>
      <c r="C751" s="1">
        <v>41840</v>
      </c>
      <c r="D751" s="22">
        <f>MONTH(Table12[[#This Row],[Order Date]])</f>
        <v>7</v>
      </c>
      <c r="E751" t="s">
        <v>1341</v>
      </c>
      <c r="F751" t="s">
        <v>1342</v>
      </c>
      <c r="G751" s="23" t="s">
        <v>41</v>
      </c>
      <c r="H751" s="23" t="s">
        <v>53</v>
      </c>
      <c r="I751" t="s">
        <v>3366</v>
      </c>
      <c r="J751" s="23" t="s">
        <v>92</v>
      </c>
      <c r="K751" s="22">
        <v>3</v>
      </c>
      <c r="L751" s="1">
        <v>41844</v>
      </c>
      <c r="M751" s="22">
        <f>Table12[[#This Row],[Ship Date]]-Table12[[#This Row],[Order Date]]</f>
        <v>4</v>
      </c>
      <c r="N751" s="23" t="s">
        <v>45</v>
      </c>
      <c r="O751" s="23" t="s">
        <v>23</v>
      </c>
      <c r="P751" s="23" t="s">
        <v>94</v>
      </c>
      <c r="Q751" s="23" t="s">
        <v>95</v>
      </c>
      <c r="R751" s="23" t="s">
        <v>718</v>
      </c>
      <c r="S751" s="33">
        <v>0.2</v>
      </c>
      <c r="T751" s="13">
        <v>342.86399999999998</v>
      </c>
      <c r="U751" s="13">
        <v>38.572200000000002</v>
      </c>
      <c r="V751" s="55">
        <f>IFERROR(Table12[[#This Row],[Profit]]/Table12[[#This Row],[Sales]],0)</f>
        <v>0.11250000000000002</v>
      </c>
    </row>
    <row r="752" spans="1:22" x14ac:dyDescent="0.2">
      <c r="A752">
        <v>751</v>
      </c>
      <c r="B752" t="s">
        <v>5614</v>
      </c>
      <c r="C752" s="1">
        <v>41840</v>
      </c>
      <c r="D752" s="22">
        <f>MONTH(Table12[[#This Row],[Order Date]])</f>
        <v>7</v>
      </c>
      <c r="E752" t="s">
        <v>3096</v>
      </c>
      <c r="F752" t="s">
        <v>3097</v>
      </c>
      <c r="G752" s="23" t="s">
        <v>28</v>
      </c>
      <c r="H752" s="23" t="s">
        <v>58</v>
      </c>
      <c r="I752" t="s">
        <v>3366</v>
      </c>
      <c r="J752" s="23" t="s">
        <v>92</v>
      </c>
      <c r="K752" s="22">
        <v>5</v>
      </c>
      <c r="L752" s="1">
        <v>41844</v>
      </c>
      <c r="M752" s="22">
        <f>Table12[[#This Row],[Ship Date]]-Table12[[#This Row],[Order Date]]</f>
        <v>4</v>
      </c>
      <c r="N752" s="23" t="s">
        <v>45</v>
      </c>
      <c r="O752" s="23" t="s">
        <v>23</v>
      </c>
      <c r="P752" s="23" t="s">
        <v>94</v>
      </c>
      <c r="Q752" s="23" t="s">
        <v>95</v>
      </c>
      <c r="R752" s="23" t="s">
        <v>718</v>
      </c>
      <c r="S752" s="33">
        <v>0.6</v>
      </c>
      <c r="T752" s="13">
        <v>16.739999999999998</v>
      </c>
      <c r="U752" s="13">
        <v>-14.228999999999999</v>
      </c>
      <c r="V752" s="55">
        <f>IFERROR(Table12[[#This Row],[Profit]]/Table12[[#This Row],[Sales]],0)</f>
        <v>-0.85</v>
      </c>
    </row>
    <row r="753" spans="1:22" x14ac:dyDescent="0.2">
      <c r="A753">
        <v>752</v>
      </c>
      <c r="B753" t="s">
        <v>5614</v>
      </c>
      <c r="C753" s="1">
        <v>41840</v>
      </c>
      <c r="D753" s="22">
        <f>MONTH(Table12[[#This Row],[Order Date]])</f>
        <v>7</v>
      </c>
      <c r="E753" t="s">
        <v>1656</v>
      </c>
      <c r="F753" t="s">
        <v>1657</v>
      </c>
      <c r="G753" s="23" t="s">
        <v>28</v>
      </c>
      <c r="H753" s="23" t="s">
        <v>32</v>
      </c>
      <c r="I753" t="s">
        <v>3366</v>
      </c>
      <c r="J753" s="23" t="s">
        <v>92</v>
      </c>
      <c r="K753" s="22">
        <v>2</v>
      </c>
      <c r="L753" s="1">
        <v>41844</v>
      </c>
      <c r="M753" s="22">
        <f>Table12[[#This Row],[Ship Date]]-Table12[[#This Row],[Order Date]]</f>
        <v>4</v>
      </c>
      <c r="N753" s="23" t="s">
        <v>45</v>
      </c>
      <c r="O753" s="23" t="s">
        <v>23</v>
      </c>
      <c r="P753" s="23" t="s">
        <v>94</v>
      </c>
      <c r="Q753" s="23" t="s">
        <v>95</v>
      </c>
      <c r="R753" s="23" t="s">
        <v>718</v>
      </c>
      <c r="S753" s="33">
        <v>0.3</v>
      </c>
      <c r="T753" s="13">
        <v>981.37199999999996</v>
      </c>
      <c r="U753" s="13">
        <v>-140.196</v>
      </c>
      <c r="V753" s="55">
        <f>IFERROR(Table12[[#This Row],[Profit]]/Table12[[#This Row],[Sales]],0)</f>
        <v>-0.14285714285714285</v>
      </c>
    </row>
    <row r="754" spans="1:22" x14ac:dyDescent="0.2">
      <c r="A754">
        <v>753</v>
      </c>
      <c r="B754" t="s">
        <v>6730</v>
      </c>
      <c r="C754" s="1">
        <v>41840</v>
      </c>
      <c r="D754" s="22">
        <f>MONTH(Table12[[#This Row],[Order Date]])</f>
        <v>7</v>
      </c>
      <c r="E754" t="s">
        <v>1953</v>
      </c>
      <c r="F754" t="s">
        <v>1954</v>
      </c>
      <c r="G754" s="23" t="s">
        <v>41</v>
      </c>
      <c r="H754" s="23" t="s">
        <v>53</v>
      </c>
      <c r="I754" t="s">
        <v>4456</v>
      </c>
      <c r="J754" s="23" t="s">
        <v>22</v>
      </c>
      <c r="K754" s="22">
        <v>1</v>
      </c>
      <c r="L754" s="1">
        <v>41840</v>
      </c>
      <c r="M754" s="22">
        <f>Table12[[#This Row],[Ship Date]]-Table12[[#This Row],[Order Date]]</f>
        <v>0</v>
      </c>
      <c r="N754" s="23" t="s">
        <v>1141</v>
      </c>
      <c r="O754" s="23" t="s">
        <v>23</v>
      </c>
      <c r="P754" s="23" t="s">
        <v>441</v>
      </c>
      <c r="Q754" s="23" t="s">
        <v>133</v>
      </c>
      <c r="R754" s="23" t="s">
        <v>284</v>
      </c>
      <c r="S754" s="33">
        <v>0.2</v>
      </c>
      <c r="T754" s="13">
        <v>25.984000000000002</v>
      </c>
      <c r="U754" s="13">
        <v>-5.1967999999999996</v>
      </c>
      <c r="V754" s="55">
        <f>IFERROR(Table12[[#This Row],[Profit]]/Table12[[#This Row],[Sales]],0)</f>
        <v>-0.19999999999999998</v>
      </c>
    </row>
    <row r="755" spans="1:22" x14ac:dyDescent="0.2">
      <c r="A755">
        <v>754</v>
      </c>
      <c r="B755" t="s">
        <v>6730</v>
      </c>
      <c r="C755" s="1">
        <v>41840</v>
      </c>
      <c r="D755" s="22">
        <f>MONTH(Table12[[#This Row],[Order Date]])</f>
        <v>7</v>
      </c>
      <c r="E755" t="s">
        <v>3455</v>
      </c>
      <c r="F755" t="s">
        <v>3456</v>
      </c>
      <c r="G755" s="23" t="s">
        <v>41</v>
      </c>
      <c r="H755" s="23" t="s">
        <v>68</v>
      </c>
      <c r="I755" t="s">
        <v>4456</v>
      </c>
      <c r="J755" s="23" t="s">
        <v>22</v>
      </c>
      <c r="K755" s="22">
        <v>3</v>
      </c>
      <c r="L755" s="1">
        <v>41840</v>
      </c>
      <c r="M755" s="22">
        <f>Table12[[#This Row],[Ship Date]]-Table12[[#This Row],[Order Date]]</f>
        <v>0</v>
      </c>
      <c r="N755" s="23" t="s">
        <v>1141</v>
      </c>
      <c r="O755" s="23" t="s">
        <v>23</v>
      </c>
      <c r="P755" s="23" t="s">
        <v>441</v>
      </c>
      <c r="Q755" s="23" t="s">
        <v>133</v>
      </c>
      <c r="R755" s="23" t="s">
        <v>284</v>
      </c>
      <c r="S755" s="33">
        <v>0.7</v>
      </c>
      <c r="T755" s="13">
        <v>27.36</v>
      </c>
      <c r="U755" s="13">
        <v>-21.888000000000002</v>
      </c>
      <c r="V755" s="55">
        <f>IFERROR(Table12[[#This Row],[Profit]]/Table12[[#This Row],[Sales]],0)</f>
        <v>-0.8</v>
      </c>
    </row>
    <row r="756" spans="1:22" x14ac:dyDescent="0.2">
      <c r="A756">
        <v>755</v>
      </c>
      <c r="B756" t="s">
        <v>7833</v>
      </c>
      <c r="C756" s="1">
        <v>41840</v>
      </c>
      <c r="D756" s="22">
        <f>MONTH(Table12[[#This Row],[Order Date]])</f>
        <v>7</v>
      </c>
      <c r="E756" t="s">
        <v>3370</v>
      </c>
      <c r="F756" t="s">
        <v>3371</v>
      </c>
      <c r="G756" s="23" t="s">
        <v>41</v>
      </c>
      <c r="H756" s="23" t="s">
        <v>82</v>
      </c>
      <c r="I756" t="s">
        <v>1729</v>
      </c>
      <c r="J756" s="23" t="s">
        <v>22</v>
      </c>
      <c r="K756" s="22">
        <v>1</v>
      </c>
      <c r="L756" s="1">
        <v>41842</v>
      </c>
      <c r="M756" s="22">
        <f>Table12[[#This Row],[Ship Date]]-Table12[[#This Row],[Order Date]]</f>
        <v>2</v>
      </c>
      <c r="N756" s="23" t="s">
        <v>169</v>
      </c>
      <c r="O756" s="23" t="s">
        <v>23</v>
      </c>
      <c r="P756" s="23" t="s">
        <v>38</v>
      </c>
      <c r="Q756" s="23" t="s">
        <v>39</v>
      </c>
      <c r="R756" s="23" t="s">
        <v>836</v>
      </c>
      <c r="S756" s="33">
        <v>0</v>
      </c>
      <c r="T756" s="13">
        <v>104.85</v>
      </c>
      <c r="U756" s="13">
        <v>50.328000000000003</v>
      </c>
      <c r="V756" s="55">
        <f>IFERROR(Table12[[#This Row],[Profit]]/Table12[[#This Row],[Sales]],0)</f>
        <v>0.48000000000000004</v>
      </c>
    </row>
    <row r="757" spans="1:22" x14ac:dyDescent="0.2">
      <c r="A757">
        <v>756</v>
      </c>
      <c r="B757" t="s">
        <v>7833</v>
      </c>
      <c r="C757" s="1">
        <v>41840</v>
      </c>
      <c r="D757" s="22">
        <f>MONTH(Table12[[#This Row],[Order Date]])</f>
        <v>7</v>
      </c>
      <c r="E757" t="s">
        <v>1068</v>
      </c>
      <c r="F757" t="s">
        <v>1069</v>
      </c>
      <c r="G757" s="23" t="s">
        <v>41</v>
      </c>
      <c r="H757" s="23" t="s">
        <v>68</v>
      </c>
      <c r="I757" t="s">
        <v>1729</v>
      </c>
      <c r="J757" s="23" t="s">
        <v>22</v>
      </c>
      <c r="K757" s="22">
        <v>2</v>
      </c>
      <c r="L757" s="1">
        <v>41842</v>
      </c>
      <c r="M757" s="22">
        <f>Table12[[#This Row],[Ship Date]]-Table12[[#This Row],[Order Date]]</f>
        <v>2</v>
      </c>
      <c r="N757" s="23" t="s">
        <v>169</v>
      </c>
      <c r="O757" s="23" t="s">
        <v>23</v>
      </c>
      <c r="P757" s="23" t="s">
        <v>38</v>
      </c>
      <c r="Q757" s="23" t="s">
        <v>39</v>
      </c>
      <c r="R757" s="23" t="s">
        <v>836</v>
      </c>
      <c r="S757" s="33">
        <v>0.2</v>
      </c>
      <c r="T757" s="13">
        <v>8.7040000000000006</v>
      </c>
      <c r="U757" s="13">
        <v>3.1551999999999998</v>
      </c>
      <c r="V757" s="55">
        <f>IFERROR(Table12[[#This Row],[Profit]]/Table12[[#This Row],[Sales]],0)</f>
        <v>0.36249999999999993</v>
      </c>
    </row>
    <row r="758" spans="1:22" x14ac:dyDescent="0.2">
      <c r="A758">
        <v>757</v>
      </c>
      <c r="B758" t="s">
        <v>7833</v>
      </c>
      <c r="C758" s="1">
        <v>41840</v>
      </c>
      <c r="D758" s="22">
        <f>MONTH(Table12[[#This Row],[Order Date]])</f>
        <v>7</v>
      </c>
      <c r="E758" t="s">
        <v>1356</v>
      </c>
      <c r="F758" t="s">
        <v>1357</v>
      </c>
      <c r="G758" s="23" t="s">
        <v>41</v>
      </c>
      <c r="H758" s="23" t="s">
        <v>82</v>
      </c>
      <c r="I758" t="s">
        <v>1729</v>
      </c>
      <c r="J758" s="23" t="s">
        <v>22</v>
      </c>
      <c r="K758" s="22">
        <v>4</v>
      </c>
      <c r="L758" s="1">
        <v>41842</v>
      </c>
      <c r="M758" s="22">
        <f>Table12[[#This Row],[Ship Date]]-Table12[[#This Row],[Order Date]]</f>
        <v>2</v>
      </c>
      <c r="N758" s="23" t="s">
        <v>169</v>
      </c>
      <c r="O758" s="23" t="s">
        <v>23</v>
      </c>
      <c r="P758" s="23" t="s">
        <v>38</v>
      </c>
      <c r="Q758" s="23" t="s">
        <v>39</v>
      </c>
      <c r="R758" s="23" t="s">
        <v>836</v>
      </c>
      <c r="S758" s="33">
        <v>0</v>
      </c>
      <c r="T758" s="13">
        <v>19.920000000000002</v>
      </c>
      <c r="U758" s="13">
        <v>9.7607999999999997</v>
      </c>
      <c r="V758" s="55">
        <f>IFERROR(Table12[[#This Row],[Profit]]/Table12[[#This Row],[Sales]],0)</f>
        <v>0.48999999999999994</v>
      </c>
    </row>
    <row r="759" spans="1:22" x14ac:dyDescent="0.2">
      <c r="A759">
        <v>758</v>
      </c>
      <c r="B759" t="s">
        <v>7833</v>
      </c>
      <c r="C759" s="1">
        <v>41840</v>
      </c>
      <c r="D759" s="22">
        <f>MONTH(Table12[[#This Row],[Order Date]])</f>
        <v>7</v>
      </c>
      <c r="E759" t="s">
        <v>2102</v>
      </c>
      <c r="F759" t="s">
        <v>2103</v>
      </c>
      <c r="G759" s="23" t="s">
        <v>28</v>
      </c>
      <c r="H759" s="23" t="s">
        <v>58</v>
      </c>
      <c r="I759" t="s">
        <v>1729</v>
      </c>
      <c r="J759" s="23" t="s">
        <v>22</v>
      </c>
      <c r="K759" s="22">
        <v>3</v>
      </c>
      <c r="L759" s="1">
        <v>41842</v>
      </c>
      <c r="M759" s="22">
        <f>Table12[[#This Row],[Ship Date]]-Table12[[#This Row],[Order Date]]</f>
        <v>2</v>
      </c>
      <c r="N759" s="23" t="s">
        <v>169</v>
      </c>
      <c r="O759" s="23" t="s">
        <v>23</v>
      </c>
      <c r="P759" s="23" t="s">
        <v>38</v>
      </c>
      <c r="Q759" s="23" t="s">
        <v>39</v>
      </c>
      <c r="R759" s="23" t="s">
        <v>836</v>
      </c>
      <c r="S759" s="33">
        <v>0</v>
      </c>
      <c r="T759" s="13">
        <v>43.02</v>
      </c>
      <c r="U759" s="13">
        <v>15.4872</v>
      </c>
      <c r="V759" s="55">
        <f>IFERROR(Table12[[#This Row],[Profit]]/Table12[[#This Row],[Sales]],0)</f>
        <v>0.36</v>
      </c>
    </row>
    <row r="760" spans="1:22" x14ac:dyDescent="0.2">
      <c r="A760">
        <v>759</v>
      </c>
      <c r="B760" t="s">
        <v>8582</v>
      </c>
      <c r="C760" s="1">
        <v>41840</v>
      </c>
      <c r="D760" s="22">
        <f>MONTH(Table12[[#This Row],[Order Date]])</f>
        <v>7</v>
      </c>
      <c r="E760" t="s">
        <v>1515</v>
      </c>
      <c r="F760" t="s">
        <v>1516</v>
      </c>
      <c r="G760" s="23" t="s">
        <v>41</v>
      </c>
      <c r="H760" s="23" t="s">
        <v>68</v>
      </c>
      <c r="I760" t="s">
        <v>6681</v>
      </c>
      <c r="J760" s="23" t="s">
        <v>22</v>
      </c>
      <c r="K760" s="22">
        <v>6</v>
      </c>
      <c r="L760" s="1">
        <v>41842</v>
      </c>
      <c r="M760" s="22">
        <f>Table12[[#This Row],[Ship Date]]-Table12[[#This Row],[Order Date]]</f>
        <v>2</v>
      </c>
      <c r="N760" s="23" t="s">
        <v>169</v>
      </c>
      <c r="O760" s="23" t="s">
        <v>23</v>
      </c>
      <c r="P760" s="23" t="s">
        <v>38</v>
      </c>
      <c r="Q760" s="23" t="s">
        <v>39</v>
      </c>
      <c r="R760" s="23" t="s">
        <v>114</v>
      </c>
      <c r="S760" s="33">
        <v>0.2</v>
      </c>
      <c r="T760" s="13">
        <v>89.712000000000003</v>
      </c>
      <c r="U760" s="13">
        <v>30.277799999999999</v>
      </c>
      <c r="V760" s="55">
        <f>IFERROR(Table12[[#This Row],[Profit]]/Table12[[#This Row],[Sales]],0)</f>
        <v>0.33749999999999997</v>
      </c>
    </row>
    <row r="761" spans="1:22" x14ac:dyDescent="0.2">
      <c r="A761">
        <v>760</v>
      </c>
      <c r="B761" t="s">
        <v>8582</v>
      </c>
      <c r="C761" s="1">
        <v>41840</v>
      </c>
      <c r="D761" s="22">
        <f>MONTH(Table12[[#This Row],[Order Date]])</f>
        <v>7</v>
      </c>
      <c r="E761" t="s">
        <v>837</v>
      </c>
      <c r="F761" t="s">
        <v>838</v>
      </c>
      <c r="G761" s="23" t="s">
        <v>41</v>
      </c>
      <c r="H761" s="23" t="s">
        <v>82</v>
      </c>
      <c r="I761" t="s">
        <v>6681</v>
      </c>
      <c r="J761" s="23" t="s">
        <v>22</v>
      </c>
      <c r="K761" s="22">
        <v>3</v>
      </c>
      <c r="L761" s="1">
        <v>41842</v>
      </c>
      <c r="M761" s="22">
        <f>Table12[[#This Row],[Ship Date]]-Table12[[#This Row],[Order Date]]</f>
        <v>2</v>
      </c>
      <c r="N761" s="23" t="s">
        <v>169</v>
      </c>
      <c r="O761" s="23" t="s">
        <v>23</v>
      </c>
      <c r="P761" s="23" t="s">
        <v>38</v>
      </c>
      <c r="Q761" s="23" t="s">
        <v>39</v>
      </c>
      <c r="R761" s="23" t="s">
        <v>114</v>
      </c>
      <c r="S761" s="33">
        <v>0</v>
      </c>
      <c r="T761" s="13">
        <v>22.83</v>
      </c>
      <c r="U761" s="13">
        <v>10.7301</v>
      </c>
      <c r="V761" s="55">
        <f>IFERROR(Table12[[#This Row],[Profit]]/Table12[[#This Row],[Sales]],0)</f>
        <v>0.47000000000000003</v>
      </c>
    </row>
    <row r="762" spans="1:22" x14ac:dyDescent="0.2">
      <c r="A762">
        <v>761</v>
      </c>
      <c r="B762" t="s">
        <v>9068</v>
      </c>
      <c r="C762" s="1">
        <v>41840</v>
      </c>
      <c r="D762" s="22">
        <f>MONTH(Table12[[#This Row],[Order Date]])</f>
        <v>7</v>
      </c>
      <c r="E762" t="s">
        <v>3143</v>
      </c>
      <c r="F762" t="s">
        <v>3144</v>
      </c>
      <c r="G762" s="23" t="s">
        <v>64</v>
      </c>
      <c r="H762" s="23" t="s">
        <v>144</v>
      </c>
      <c r="I762" t="s">
        <v>516</v>
      </c>
      <c r="J762" s="23" t="s">
        <v>36</v>
      </c>
      <c r="K762" s="22">
        <v>2</v>
      </c>
      <c r="L762" s="1">
        <v>41843</v>
      </c>
      <c r="M762" s="22">
        <f>Table12[[#This Row],[Ship Date]]-Table12[[#This Row],[Order Date]]</f>
        <v>3</v>
      </c>
      <c r="N762" s="23" t="s">
        <v>169</v>
      </c>
      <c r="O762" s="23" t="s">
        <v>23</v>
      </c>
      <c r="P762" s="23" t="s">
        <v>38</v>
      </c>
      <c r="Q762" s="23" t="s">
        <v>39</v>
      </c>
      <c r="R762" s="23" t="s">
        <v>2513</v>
      </c>
      <c r="S762" s="33">
        <v>0</v>
      </c>
      <c r="T762" s="13">
        <v>41.94</v>
      </c>
      <c r="U762" s="13">
        <v>15.0984</v>
      </c>
      <c r="V762" s="55">
        <f>IFERROR(Table12[[#This Row],[Profit]]/Table12[[#This Row],[Sales]],0)</f>
        <v>0.36000000000000004</v>
      </c>
    </row>
    <row r="763" spans="1:22" x14ac:dyDescent="0.2">
      <c r="A763">
        <v>762</v>
      </c>
      <c r="B763" t="s">
        <v>9068</v>
      </c>
      <c r="C763" s="1">
        <v>41840</v>
      </c>
      <c r="D763" s="22">
        <f>MONTH(Table12[[#This Row],[Order Date]])</f>
        <v>7</v>
      </c>
      <c r="E763" t="s">
        <v>4693</v>
      </c>
      <c r="F763" t="s">
        <v>4694</v>
      </c>
      <c r="G763" s="23" t="s">
        <v>41</v>
      </c>
      <c r="H763" s="23" t="s">
        <v>82</v>
      </c>
      <c r="I763" t="s">
        <v>516</v>
      </c>
      <c r="J763" s="23" t="s">
        <v>36</v>
      </c>
      <c r="K763" s="22">
        <v>2</v>
      </c>
      <c r="L763" s="1">
        <v>41843</v>
      </c>
      <c r="M763" s="22">
        <f>Table12[[#This Row],[Ship Date]]-Table12[[#This Row],[Order Date]]</f>
        <v>3</v>
      </c>
      <c r="N763" s="23" t="s">
        <v>169</v>
      </c>
      <c r="O763" s="23" t="s">
        <v>23</v>
      </c>
      <c r="P763" s="23" t="s">
        <v>38</v>
      </c>
      <c r="Q763" s="23" t="s">
        <v>39</v>
      </c>
      <c r="R763" s="23" t="s">
        <v>2513</v>
      </c>
      <c r="S763" s="33">
        <v>0</v>
      </c>
      <c r="T763" s="13">
        <v>11.96</v>
      </c>
      <c r="U763" s="13">
        <v>5.8604000000000003</v>
      </c>
      <c r="V763" s="55">
        <f>IFERROR(Table12[[#This Row],[Profit]]/Table12[[#This Row],[Sales]],0)</f>
        <v>0.49</v>
      </c>
    </row>
    <row r="764" spans="1:22" x14ac:dyDescent="0.2">
      <c r="A764">
        <v>763</v>
      </c>
      <c r="B764" t="s">
        <v>9068</v>
      </c>
      <c r="C764" s="1">
        <v>41840</v>
      </c>
      <c r="D764" s="22">
        <f>MONTH(Table12[[#This Row],[Order Date]])</f>
        <v>7</v>
      </c>
      <c r="E764" t="s">
        <v>6375</v>
      </c>
      <c r="F764" t="s">
        <v>6376</v>
      </c>
      <c r="G764" s="23" t="s">
        <v>41</v>
      </c>
      <c r="H764" s="23" t="s">
        <v>61</v>
      </c>
      <c r="I764" t="s">
        <v>516</v>
      </c>
      <c r="J764" s="23" t="s">
        <v>36</v>
      </c>
      <c r="K764" s="22">
        <v>4</v>
      </c>
      <c r="L764" s="1">
        <v>41843</v>
      </c>
      <c r="M764" s="22">
        <f>Table12[[#This Row],[Ship Date]]-Table12[[#This Row],[Order Date]]</f>
        <v>3</v>
      </c>
      <c r="N764" s="23" t="s">
        <v>169</v>
      </c>
      <c r="O764" s="23" t="s">
        <v>23</v>
      </c>
      <c r="P764" s="23" t="s">
        <v>38</v>
      </c>
      <c r="Q764" s="23" t="s">
        <v>39</v>
      </c>
      <c r="R764" s="23" t="s">
        <v>2513</v>
      </c>
      <c r="S764" s="33">
        <v>0</v>
      </c>
      <c r="T764" s="13">
        <v>13.12</v>
      </c>
      <c r="U764" s="13">
        <v>3.8048000000000002</v>
      </c>
      <c r="V764" s="55">
        <f>IFERROR(Table12[[#This Row],[Profit]]/Table12[[#This Row],[Sales]],0)</f>
        <v>0.29000000000000004</v>
      </c>
    </row>
    <row r="765" spans="1:22" x14ac:dyDescent="0.2">
      <c r="A765">
        <v>764</v>
      </c>
      <c r="B765" t="s">
        <v>9068</v>
      </c>
      <c r="C765" s="1">
        <v>41840</v>
      </c>
      <c r="D765" s="22">
        <f>MONTH(Table12[[#This Row],[Order Date]])</f>
        <v>7</v>
      </c>
      <c r="E765" t="s">
        <v>1774</v>
      </c>
      <c r="F765" t="s">
        <v>1775</v>
      </c>
      <c r="G765" s="23" t="s">
        <v>41</v>
      </c>
      <c r="H765" s="23" t="s">
        <v>53</v>
      </c>
      <c r="I765" t="s">
        <v>516</v>
      </c>
      <c r="J765" s="23" t="s">
        <v>36</v>
      </c>
      <c r="K765" s="22">
        <v>3</v>
      </c>
      <c r="L765" s="1">
        <v>41843</v>
      </c>
      <c r="M765" s="22">
        <f>Table12[[#This Row],[Ship Date]]-Table12[[#This Row],[Order Date]]</f>
        <v>3</v>
      </c>
      <c r="N765" s="23" t="s">
        <v>169</v>
      </c>
      <c r="O765" s="23" t="s">
        <v>23</v>
      </c>
      <c r="P765" s="23" t="s">
        <v>38</v>
      </c>
      <c r="Q765" s="23" t="s">
        <v>39</v>
      </c>
      <c r="R765" s="23" t="s">
        <v>2513</v>
      </c>
      <c r="S765" s="33">
        <v>0</v>
      </c>
      <c r="T765" s="13">
        <v>535.41</v>
      </c>
      <c r="U765" s="13">
        <v>160.62299999999999</v>
      </c>
      <c r="V765" s="55">
        <f>IFERROR(Table12[[#This Row],[Profit]]/Table12[[#This Row],[Sales]],0)</f>
        <v>0.3</v>
      </c>
    </row>
    <row r="766" spans="1:22" x14ac:dyDescent="0.2">
      <c r="A766">
        <v>765</v>
      </c>
      <c r="B766" t="s">
        <v>4127</v>
      </c>
      <c r="C766" s="1">
        <v>41841</v>
      </c>
      <c r="D766" s="22">
        <f>MONTH(Table12[[#This Row],[Order Date]])</f>
        <v>7</v>
      </c>
      <c r="E766" t="s">
        <v>4129</v>
      </c>
      <c r="F766" t="s">
        <v>4130</v>
      </c>
      <c r="G766" s="23" t="s">
        <v>41</v>
      </c>
      <c r="H766" s="23" t="s">
        <v>61</v>
      </c>
      <c r="I766" t="s">
        <v>4128</v>
      </c>
      <c r="J766" s="23" t="s">
        <v>36</v>
      </c>
      <c r="K766" s="22">
        <v>5</v>
      </c>
      <c r="L766" s="1">
        <v>41845</v>
      </c>
      <c r="M766" s="22">
        <f>Table12[[#This Row],[Ship Date]]-Table12[[#This Row],[Order Date]]</f>
        <v>4</v>
      </c>
      <c r="N766" s="23" t="s">
        <v>45</v>
      </c>
      <c r="O766" s="23" t="s">
        <v>23</v>
      </c>
      <c r="P766" s="23" t="s">
        <v>38</v>
      </c>
      <c r="Q766" s="23" t="s">
        <v>39</v>
      </c>
      <c r="R766" s="23" t="s">
        <v>114</v>
      </c>
      <c r="S766" s="33">
        <v>0</v>
      </c>
      <c r="T766" s="13">
        <v>99.2</v>
      </c>
      <c r="U766" s="13">
        <v>25.792000000000002</v>
      </c>
      <c r="V766" s="55">
        <f>IFERROR(Table12[[#This Row],[Profit]]/Table12[[#This Row],[Sales]],0)</f>
        <v>0.26</v>
      </c>
    </row>
    <row r="767" spans="1:22" x14ac:dyDescent="0.2">
      <c r="A767">
        <v>766</v>
      </c>
      <c r="B767" t="s">
        <v>4127</v>
      </c>
      <c r="C767" s="1">
        <v>41841</v>
      </c>
      <c r="D767" s="22">
        <f>MONTH(Table12[[#This Row],[Order Date]])</f>
        <v>7</v>
      </c>
      <c r="E767" t="s">
        <v>1528</v>
      </c>
      <c r="F767" t="s">
        <v>1529</v>
      </c>
      <c r="G767" s="23" t="s">
        <v>28</v>
      </c>
      <c r="H767" s="23" t="s">
        <v>32</v>
      </c>
      <c r="I767" t="s">
        <v>4128</v>
      </c>
      <c r="J767" s="23" t="s">
        <v>36</v>
      </c>
      <c r="K767" s="22">
        <v>2</v>
      </c>
      <c r="L767" s="1">
        <v>41845</v>
      </c>
      <c r="M767" s="22">
        <f>Table12[[#This Row],[Ship Date]]-Table12[[#This Row],[Order Date]]</f>
        <v>4</v>
      </c>
      <c r="N767" s="23" t="s">
        <v>45</v>
      </c>
      <c r="O767" s="23" t="s">
        <v>23</v>
      </c>
      <c r="P767" s="23" t="s">
        <v>38</v>
      </c>
      <c r="Q767" s="23" t="s">
        <v>39</v>
      </c>
      <c r="R767" s="23" t="s">
        <v>114</v>
      </c>
      <c r="S767" s="33">
        <v>0.2</v>
      </c>
      <c r="T767" s="13">
        <v>801.56799999999998</v>
      </c>
      <c r="U767" s="13">
        <v>50.097999999999999</v>
      </c>
      <c r="V767" s="55">
        <f>IFERROR(Table12[[#This Row],[Profit]]/Table12[[#This Row],[Sales]],0)</f>
        <v>6.25E-2</v>
      </c>
    </row>
    <row r="768" spans="1:22" x14ac:dyDescent="0.2">
      <c r="A768">
        <v>767</v>
      </c>
      <c r="B768" t="s">
        <v>4127</v>
      </c>
      <c r="C768" s="1">
        <v>41841</v>
      </c>
      <c r="D768" s="22">
        <f>MONTH(Table12[[#This Row],[Order Date]])</f>
        <v>7</v>
      </c>
      <c r="E768" t="s">
        <v>4131</v>
      </c>
      <c r="F768" t="s">
        <v>4132</v>
      </c>
      <c r="G768" s="23" t="s">
        <v>28</v>
      </c>
      <c r="H768" s="23" t="s">
        <v>50</v>
      </c>
      <c r="I768" t="s">
        <v>4128</v>
      </c>
      <c r="J768" s="23" t="s">
        <v>36</v>
      </c>
      <c r="K768" s="22">
        <v>1</v>
      </c>
      <c r="L768" s="1">
        <v>41845</v>
      </c>
      <c r="M768" s="22">
        <f>Table12[[#This Row],[Ship Date]]-Table12[[#This Row],[Order Date]]</f>
        <v>4</v>
      </c>
      <c r="N768" s="23" t="s">
        <v>45</v>
      </c>
      <c r="O768" s="23" t="s">
        <v>23</v>
      </c>
      <c r="P768" s="23" t="s">
        <v>38</v>
      </c>
      <c r="Q768" s="23" t="s">
        <v>39</v>
      </c>
      <c r="R768" s="23" t="s">
        <v>114</v>
      </c>
      <c r="S768" s="33">
        <v>0.2</v>
      </c>
      <c r="T768" s="13">
        <v>272.84800000000001</v>
      </c>
      <c r="U768" s="13">
        <v>27.284800000000001</v>
      </c>
      <c r="V768" s="55">
        <f>IFERROR(Table12[[#This Row],[Profit]]/Table12[[#This Row],[Sales]],0)</f>
        <v>9.9999999999999992E-2</v>
      </c>
    </row>
    <row r="769" spans="1:22" x14ac:dyDescent="0.2">
      <c r="A769">
        <v>768</v>
      </c>
      <c r="B769" t="s">
        <v>9008</v>
      </c>
      <c r="C769" s="1">
        <v>41841</v>
      </c>
      <c r="D769" s="22">
        <f>MONTH(Table12[[#This Row],[Order Date]])</f>
        <v>7</v>
      </c>
      <c r="E769" t="s">
        <v>4476</v>
      </c>
      <c r="F769" t="s">
        <v>4477</v>
      </c>
      <c r="G769" s="23" t="s">
        <v>41</v>
      </c>
      <c r="H769" s="23" t="s">
        <v>71</v>
      </c>
      <c r="I769" t="s">
        <v>3303</v>
      </c>
      <c r="J769" s="23" t="s">
        <v>36</v>
      </c>
      <c r="K769" s="22">
        <v>3</v>
      </c>
      <c r="L769" s="1">
        <v>41845</v>
      </c>
      <c r="M769" s="22">
        <f>Table12[[#This Row],[Ship Date]]-Table12[[#This Row],[Order Date]]</f>
        <v>4</v>
      </c>
      <c r="N769" s="23" t="s">
        <v>45</v>
      </c>
      <c r="O769" s="23" t="s">
        <v>23</v>
      </c>
      <c r="P769" s="23" t="s">
        <v>94</v>
      </c>
      <c r="Q769" s="23" t="s">
        <v>95</v>
      </c>
      <c r="R769" s="23" t="s">
        <v>718</v>
      </c>
      <c r="S769" s="33">
        <v>0.8</v>
      </c>
      <c r="T769" s="13">
        <v>4.992</v>
      </c>
      <c r="U769" s="13">
        <v>-12.979200000000001</v>
      </c>
      <c r="V769" s="55">
        <f>IFERROR(Table12[[#This Row],[Profit]]/Table12[[#This Row],[Sales]],0)</f>
        <v>-2.6</v>
      </c>
    </row>
    <row r="770" spans="1:22" x14ac:dyDescent="0.2">
      <c r="A770">
        <v>769</v>
      </c>
      <c r="B770" t="s">
        <v>9008</v>
      </c>
      <c r="C770" s="1">
        <v>41841</v>
      </c>
      <c r="D770" s="22">
        <f>MONTH(Table12[[#This Row],[Order Date]])</f>
        <v>7</v>
      </c>
      <c r="E770" t="s">
        <v>6772</v>
      </c>
      <c r="F770" t="s">
        <v>6773</v>
      </c>
      <c r="G770" s="23" t="s">
        <v>41</v>
      </c>
      <c r="H770" s="23" t="s">
        <v>155</v>
      </c>
      <c r="I770" t="s">
        <v>3303</v>
      </c>
      <c r="J770" s="23" t="s">
        <v>36</v>
      </c>
      <c r="K770" s="22">
        <v>5</v>
      </c>
      <c r="L770" s="1">
        <v>41845</v>
      </c>
      <c r="M770" s="22">
        <f>Table12[[#This Row],[Ship Date]]-Table12[[#This Row],[Order Date]]</f>
        <v>4</v>
      </c>
      <c r="N770" s="23" t="s">
        <v>45</v>
      </c>
      <c r="O770" s="23" t="s">
        <v>23</v>
      </c>
      <c r="P770" s="23" t="s">
        <v>94</v>
      </c>
      <c r="Q770" s="23" t="s">
        <v>95</v>
      </c>
      <c r="R770" s="23" t="s">
        <v>718</v>
      </c>
      <c r="S770" s="33">
        <v>0.2</v>
      </c>
      <c r="T770" s="13">
        <v>87.92</v>
      </c>
      <c r="U770" s="13">
        <v>29.672999999999998</v>
      </c>
      <c r="V770" s="55">
        <f>IFERROR(Table12[[#This Row],[Profit]]/Table12[[#This Row],[Sales]],0)</f>
        <v>0.33749999999999997</v>
      </c>
    </row>
    <row r="771" spans="1:22" x14ac:dyDescent="0.2">
      <c r="A771">
        <v>770</v>
      </c>
      <c r="B771" t="s">
        <v>9008</v>
      </c>
      <c r="C771" s="1">
        <v>41841</v>
      </c>
      <c r="D771" s="22">
        <f>MONTH(Table12[[#This Row],[Order Date]])</f>
        <v>7</v>
      </c>
      <c r="E771" t="s">
        <v>1707</v>
      </c>
      <c r="F771" t="s">
        <v>1708</v>
      </c>
      <c r="G771" s="23" t="s">
        <v>28</v>
      </c>
      <c r="H771" s="23" t="s">
        <v>32</v>
      </c>
      <c r="I771" t="s">
        <v>3303</v>
      </c>
      <c r="J771" s="23" t="s">
        <v>36</v>
      </c>
      <c r="K771" s="22">
        <v>5</v>
      </c>
      <c r="L771" s="1">
        <v>41845</v>
      </c>
      <c r="M771" s="22">
        <f>Table12[[#This Row],[Ship Date]]-Table12[[#This Row],[Order Date]]</f>
        <v>4</v>
      </c>
      <c r="N771" s="23" t="s">
        <v>45</v>
      </c>
      <c r="O771" s="23" t="s">
        <v>23</v>
      </c>
      <c r="P771" s="23" t="s">
        <v>94</v>
      </c>
      <c r="Q771" s="23" t="s">
        <v>95</v>
      </c>
      <c r="R771" s="23" t="s">
        <v>718</v>
      </c>
      <c r="S771" s="33">
        <v>0.3</v>
      </c>
      <c r="T771" s="13">
        <v>657.93</v>
      </c>
      <c r="U771" s="13">
        <v>-93.99</v>
      </c>
      <c r="V771" s="55">
        <f>IFERROR(Table12[[#This Row],[Profit]]/Table12[[#This Row],[Sales]],0)</f>
        <v>-0.14285714285714285</v>
      </c>
    </row>
    <row r="772" spans="1:22" x14ac:dyDescent="0.2">
      <c r="A772">
        <v>771</v>
      </c>
      <c r="B772" t="s">
        <v>9008</v>
      </c>
      <c r="C772" s="1">
        <v>41841</v>
      </c>
      <c r="D772" s="22">
        <f>MONTH(Table12[[#This Row],[Order Date]])</f>
        <v>7</v>
      </c>
      <c r="E772" t="s">
        <v>6218</v>
      </c>
      <c r="F772" t="s">
        <v>6219</v>
      </c>
      <c r="G772" s="23" t="s">
        <v>41</v>
      </c>
      <c r="H772" s="23" t="s">
        <v>68</v>
      </c>
      <c r="I772" t="s">
        <v>3303</v>
      </c>
      <c r="J772" s="23" t="s">
        <v>36</v>
      </c>
      <c r="K772" s="22">
        <v>1</v>
      </c>
      <c r="L772" s="1">
        <v>41845</v>
      </c>
      <c r="M772" s="22">
        <f>Table12[[#This Row],[Ship Date]]-Table12[[#This Row],[Order Date]]</f>
        <v>4</v>
      </c>
      <c r="N772" s="23" t="s">
        <v>45</v>
      </c>
      <c r="O772" s="23" t="s">
        <v>23</v>
      </c>
      <c r="P772" s="23" t="s">
        <v>94</v>
      </c>
      <c r="Q772" s="23" t="s">
        <v>95</v>
      </c>
      <c r="R772" s="23" t="s">
        <v>718</v>
      </c>
      <c r="S772" s="33">
        <v>0.8</v>
      </c>
      <c r="T772" s="13">
        <v>1.044</v>
      </c>
      <c r="U772" s="13">
        <v>-1.827</v>
      </c>
      <c r="V772" s="55">
        <f>IFERROR(Table12[[#This Row],[Profit]]/Table12[[#This Row],[Sales]],0)</f>
        <v>-1.75</v>
      </c>
    </row>
    <row r="773" spans="1:22" x14ac:dyDescent="0.2">
      <c r="A773">
        <v>772</v>
      </c>
      <c r="B773" t="s">
        <v>9277</v>
      </c>
      <c r="C773" s="1">
        <v>41841</v>
      </c>
      <c r="D773" s="22">
        <f>MONTH(Table12[[#This Row],[Order Date]])</f>
        <v>7</v>
      </c>
      <c r="E773" t="s">
        <v>7753</v>
      </c>
      <c r="F773" t="s">
        <v>7754</v>
      </c>
      <c r="G773" s="23" t="s">
        <v>64</v>
      </c>
      <c r="H773" s="23" t="s">
        <v>65</v>
      </c>
      <c r="I773" t="s">
        <v>2260</v>
      </c>
      <c r="J773" s="23" t="s">
        <v>22</v>
      </c>
      <c r="K773" s="22">
        <v>2</v>
      </c>
      <c r="L773" s="1">
        <v>41847</v>
      </c>
      <c r="M773" s="22">
        <f>Table12[[#This Row],[Ship Date]]-Table12[[#This Row],[Order Date]]</f>
        <v>6</v>
      </c>
      <c r="N773" s="23" t="s">
        <v>45</v>
      </c>
      <c r="O773" s="23" t="s">
        <v>23</v>
      </c>
      <c r="P773" s="23" t="s">
        <v>124</v>
      </c>
      <c r="Q773" s="23" t="s">
        <v>95</v>
      </c>
      <c r="R773" s="23" t="s">
        <v>2226</v>
      </c>
      <c r="S773" s="33">
        <v>0</v>
      </c>
      <c r="T773" s="13">
        <v>35.979999999999997</v>
      </c>
      <c r="U773" s="13">
        <v>10.074400000000001</v>
      </c>
      <c r="V773" s="55">
        <f>IFERROR(Table12[[#This Row],[Profit]]/Table12[[#This Row],[Sales]],0)</f>
        <v>0.28000000000000003</v>
      </c>
    </row>
    <row r="774" spans="1:22" x14ac:dyDescent="0.2">
      <c r="A774">
        <v>773</v>
      </c>
      <c r="B774" t="s">
        <v>1470</v>
      </c>
      <c r="C774" s="1">
        <v>41842</v>
      </c>
      <c r="D774" s="22">
        <f>MONTH(Table12[[#This Row],[Order Date]])</f>
        <v>7</v>
      </c>
      <c r="E774" t="s">
        <v>327</v>
      </c>
      <c r="F774" t="s">
        <v>328</v>
      </c>
      <c r="G774" s="23" t="s">
        <v>41</v>
      </c>
      <c r="H774" s="23" t="s">
        <v>61</v>
      </c>
      <c r="I774" t="s">
        <v>1471</v>
      </c>
      <c r="J774" s="23" t="s">
        <v>22</v>
      </c>
      <c r="K774" s="22">
        <v>2</v>
      </c>
      <c r="L774" s="1">
        <v>41847</v>
      </c>
      <c r="M774" s="22">
        <f>Table12[[#This Row],[Ship Date]]-Table12[[#This Row],[Order Date]]</f>
        <v>5</v>
      </c>
      <c r="N774" s="23" t="s">
        <v>45</v>
      </c>
      <c r="O774" s="23" t="s">
        <v>23</v>
      </c>
      <c r="P774" s="23" t="s">
        <v>238</v>
      </c>
      <c r="Q774" s="23" t="s">
        <v>133</v>
      </c>
      <c r="R774" s="23" t="s">
        <v>237</v>
      </c>
      <c r="S774" s="33">
        <v>0</v>
      </c>
      <c r="T774" s="13">
        <v>5.96</v>
      </c>
      <c r="U774" s="13">
        <v>1.6688000000000001</v>
      </c>
      <c r="V774" s="55">
        <f>IFERROR(Table12[[#This Row],[Profit]]/Table12[[#This Row],[Sales]],0)</f>
        <v>0.28000000000000003</v>
      </c>
    </row>
    <row r="775" spans="1:22" x14ac:dyDescent="0.2">
      <c r="A775">
        <v>774</v>
      </c>
      <c r="B775" t="s">
        <v>1470</v>
      </c>
      <c r="C775" s="1">
        <v>41842</v>
      </c>
      <c r="D775" s="22">
        <f>MONTH(Table12[[#This Row],[Order Date]])</f>
        <v>7</v>
      </c>
      <c r="E775" t="s">
        <v>1472</v>
      </c>
      <c r="F775" t="s">
        <v>1473</v>
      </c>
      <c r="G775" s="23" t="s">
        <v>64</v>
      </c>
      <c r="H775" s="23" t="s">
        <v>144</v>
      </c>
      <c r="I775" t="s">
        <v>1471</v>
      </c>
      <c r="J775" s="23" t="s">
        <v>22</v>
      </c>
      <c r="K775" s="22">
        <v>2</v>
      </c>
      <c r="L775" s="1">
        <v>41847</v>
      </c>
      <c r="M775" s="22">
        <f>Table12[[#This Row],[Ship Date]]-Table12[[#This Row],[Order Date]]</f>
        <v>5</v>
      </c>
      <c r="N775" s="23" t="s">
        <v>45</v>
      </c>
      <c r="O775" s="23" t="s">
        <v>23</v>
      </c>
      <c r="P775" s="23" t="s">
        <v>238</v>
      </c>
      <c r="Q775" s="23" t="s">
        <v>133</v>
      </c>
      <c r="R775" s="23" t="s">
        <v>237</v>
      </c>
      <c r="S775" s="33">
        <v>0</v>
      </c>
      <c r="T775" s="13">
        <v>159.97999999999999</v>
      </c>
      <c r="U775" s="13">
        <v>57.592799999999997</v>
      </c>
      <c r="V775" s="55">
        <f>IFERROR(Table12[[#This Row],[Profit]]/Table12[[#This Row],[Sales]],0)</f>
        <v>0.36</v>
      </c>
    </row>
    <row r="776" spans="1:22" x14ac:dyDescent="0.2">
      <c r="A776">
        <v>775</v>
      </c>
      <c r="B776" t="s">
        <v>8547</v>
      </c>
      <c r="C776" s="1">
        <v>41842</v>
      </c>
      <c r="D776" s="22">
        <f>MONTH(Table12[[#This Row],[Order Date]])</f>
        <v>7</v>
      </c>
      <c r="E776" t="s">
        <v>2231</v>
      </c>
      <c r="F776" t="s">
        <v>2232</v>
      </c>
      <c r="G776" s="23" t="s">
        <v>41</v>
      </c>
      <c r="H776" s="23" t="s">
        <v>61</v>
      </c>
      <c r="I776" t="s">
        <v>1969</v>
      </c>
      <c r="J776" s="23" t="s">
        <v>22</v>
      </c>
      <c r="K776" s="22">
        <v>4</v>
      </c>
      <c r="L776" s="1">
        <v>41844</v>
      </c>
      <c r="M776" s="22">
        <f>Table12[[#This Row],[Ship Date]]-Table12[[#This Row],[Order Date]]</f>
        <v>2</v>
      </c>
      <c r="N776" s="23" t="s">
        <v>20</v>
      </c>
      <c r="O776" s="23" t="s">
        <v>23</v>
      </c>
      <c r="P776" s="23" t="s">
        <v>38</v>
      </c>
      <c r="Q776" s="23" t="s">
        <v>39</v>
      </c>
      <c r="R776" s="23" t="s">
        <v>114</v>
      </c>
      <c r="S776" s="33">
        <v>0</v>
      </c>
      <c r="T776" s="13">
        <v>11.52</v>
      </c>
      <c r="U776" s="13">
        <v>3.2256</v>
      </c>
      <c r="V776" s="55">
        <f>IFERROR(Table12[[#This Row],[Profit]]/Table12[[#This Row],[Sales]],0)</f>
        <v>0.28000000000000003</v>
      </c>
    </row>
    <row r="777" spans="1:22" x14ac:dyDescent="0.2">
      <c r="A777">
        <v>776</v>
      </c>
      <c r="B777" t="s">
        <v>8547</v>
      </c>
      <c r="C777" s="1">
        <v>41842</v>
      </c>
      <c r="D777" s="22">
        <f>MONTH(Table12[[#This Row],[Order Date]])</f>
        <v>7</v>
      </c>
      <c r="E777" t="s">
        <v>4186</v>
      </c>
      <c r="F777" t="s">
        <v>4187</v>
      </c>
      <c r="G777" s="23" t="s">
        <v>28</v>
      </c>
      <c r="H777" s="23" t="s">
        <v>32</v>
      </c>
      <c r="I777" t="s">
        <v>1969</v>
      </c>
      <c r="J777" s="23" t="s">
        <v>22</v>
      </c>
      <c r="K777" s="22">
        <v>3</v>
      </c>
      <c r="L777" s="1">
        <v>41844</v>
      </c>
      <c r="M777" s="22">
        <f>Table12[[#This Row],[Ship Date]]-Table12[[#This Row],[Order Date]]</f>
        <v>2</v>
      </c>
      <c r="N777" s="23" t="s">
        <v>20</v>
      </c>
      <c r="O777" s="23" t="s">
        <v>23</v>
      </c>
      <c r="P777" s="23" t="s">
        <v>38</v>
      </c>
      <c r="Q777" s="23" t="s">
        <v>39</v>
      </c>
      <c r="R777" s="23" t="s">
        <v>114</v>
      </c>
      <c r="S777" s="33">
        <v>0.2</v>
      </c>
      <c r="T777" s="13">
        <v>717.72</v>
      </c>
      <c r="U777" s="13">
        <v>71.772000000000006</v>
      </c>
      <c r="V777" s="55">
        <f>IFERROR(Table12[[#This Row],[Profit]]/Table12[[#This Row],[Sales]],0)</f>
        <v>0.1</v>
      </c>
    </row>
    <row r="778" spans="1:22" x14ac:dyDescent="0.2">
      <c r="A778">
        <v>777</v>
      </c>
      <c r="B778" t="s">
        <v>8547</v>
      </c>
      <c r="C778" s="1">
        <v>41842</v>
      </c>
      <c r="D778" s="22">
        <f>MONTH(Table12[[#This Row],[Order Date]])</f>
        <v>7</v>
      </c>
      <c r="E778" t="s">
        <v>1366</v>
      </c>
      <c r="F778" t="s">
        <v>1367</v>
      </c>
      <c r="G778" s="23" t="s">
        <v>41</v>
      </c>
      <c r="H778" s="23" t="s">
        <v>53</v>
      </c>
      <c r="I778" t="s">
        <v>1969</v>
      </c>
      <c r="J778" s="23" t="s">
        <v>22</v>
      </c>
      <c r="K778" s="22">
        <v>10</v>
      </c>
      <c r="L778" s="1">
        <v>41844</v>
      </c>
      <c r="M778" s="22">
        <f>Table12[[#This Row],[Ship Date]]-Table12[[#This Row],[Order Date]]</f>
        <v>2</v>
      </c>
      <c r="N778" s="23" t="s">
        <v>20</v>
      </c>
      <c r="O778" s="23" t="s">
        <v>23</v>
      </c>
      <c r="P778" s="23" t="s">
        <v>38</v>
      </c>
      <c r="Q778" s="23" t="s">
        <v>39</v>
      </c>
      <c r="R778" s="23" t="s">
        <v>114</v>
      </c>
      <c r="S778" s="33">
        <v>0</v>
      </c>
      <c r="T778" s="13">
        <v>236.5</v>
      </c>
      <c r="U778" s="13">
        <v>68.584999999999994</v>
      </c>
      <c r="V778" s="55">
        <f>IFERROR(Table12[[#This Row],[Profit]]/Table12[[#This Row],[Sales]],0)</f>
        <v>0.28999999999999998</v>
      </c>
    </row>
    <row r="779" spans="1:22" x14ac:dyDescent="0.2">
      <c r="A779">
        <v>778</v>
      </c>
      <c r="B779" t="s">
        <v>8547</v>
      </c>
      <c r="C779" s="1">
        <v>41842</v>
      </c>
      <c r="D779" s="22">
        <f>MONTH(Table12[[#This Row],[Order Date]])</f>
        <v>7</v>
      </c>
      <c r="E779" t="s">
        <v>4136</v>
      </c>
      <c r="F779" t="s">
        <v>4137</v>
      </c>
      <c r="G779" s="23" t="s">
        <v>28</v>
      </c>
      <c r="H779" s="23" t="s">
        <v>50</v>
      </c>
      <c r="I779" t="s">
        <v>1969</v>
      </c>
      <c r="J779" s="23" t="s">
        <v>22</v>
      </c>
      <c r="K779" s="22">
        <v>3</v>
      </c>
      <c r="L779" s="1">
        <v>41844</v>
      </c>
      <c r="M779" s="22">
        <f>Table12[[#This Row],[Ship Date]]-Table12[[#This Row],[Order Date]]</f>
        <v>2</v>
      </c>
      <c r="N779" s="23" t="s">
        <v>20</v>
      </c>
      <c r="O779" s="23" t="s">
        <v>23</v>
      </c>
      <c r="P779" s="23" t="s">
        <v>38</v>
      </c>
      <c r="Q779" s="23" t="s">
        <v>39</v>
      </c>
      <c r="R779" s="23" t="s">
        <v>114</v>
      </c>
      <c r="S779" s="33">
        <v>0.2</v>
      </c>
      <c r="T779" s="13">
        <v>170.352</v>
      </c>
      <c r="U779" s="13">
        <v>19.1646</v>
      </c>
      <c r="V779" s="55">
        <f>IFERROR(Table12[[#This Row],[Profit]]/Table12[[#This Row],[Sales]],0)</f>
        <v>0.1125</v>
      </c>
    </row>
    <row r="780" spans="1:22" x14ac:dyDescent="0.2">
      <c r="A780">
        <v>779</v>
      </c>
      <c r="B780" t="s">
        <v>9866</v>
      </c>
      <c r="C780" s="1">
        <v>41842</v>
      </c>
      <c r="D780" s="22">
        <f>MONTH(Table12[[#This Row],[Order Date]])</f>
        <v>7</v>
      </c>
      <c r="E780" t="s">
        <v>1208</v>
      </c>
      <c r="F780" t="s">
        <v>1209</v>
      </c>
      <c r="G780" s="23" t="s">
        <v>41</v>
      </c>
      <c r="H780" s="23" t="s">
        <v>61</v>
      </c>
      <c r="I780" t="s">
        <v>3245</v>
      </c>
      <c r="J780" s="23" t="s">
        <v>92</v>
      </c>
      <c r="K780" s="22">
        <v>6</v>
      </c>
      <c r="L780" s="1">
        <v>41848</v>
      </c>
      <c r="M780" s="22">
        <f>Table12[[#This Row],[Ship Date]]-Table12[[#This Row],[Order Date]]</f>
        <v>6</v>
      </c>
      <c r="N780" s="23" t="s">
        <v>45</v>
      </c>
      <c r="O780" s="23" t="s">
        <v>23</v>
      </c>
      <c r="P780" s="23" t="s">
        <v>38</v>
      </c>
      <c r="Q780" s="23" t="s">
        <v>39</v>
      </c>
      <c r="R780" s="23" t="s">
        <v>37</v>
      </c>
      <c r="S780" s="33">
        <v>0</v>
      </c>
      <c r="T780" s="13">
        <v>19.68</v>
      </c>
      <c r="U780" s="13">
        <v>6.4943999999999997</v>
      </c>
      <c r="V780" s="55">
        <f>IFERROR(Table12[[#This Row],[Profit]]/Table12[[#This Row],[Sales]],0)</f>
        <v>0.33</v>
      </c>
    </row>
    <row r="781" spans="1:22" x14ac:dyDescent="0.2">
      <c r="A781">
        <v>780</v>
      </c>
      <c r="B781" t="s">
        <v>9983</v>
      </c>
      <c r="C781" s="1">
        <v>41842</v>
      </c>
      <c r="D781" s="22">
        <f>MONTH(Table12[[#This Row],[Order Date]])</f>
        <v>7</v>
      </c>
      <c r="E781" t="s">
        <v>4673</v>
      </c>
      <c r="F781" t="s">
        <v>4674</v>
      </c>
      <c r="G781" s="23" t="s">
        <v>41</v>
      </c>
      <c r="H781" s="23" t="s">
        <v>53</v>
      </c>
      <c r="I781" t="s">
        <v>1063</v>
      </c>
      <c r="J781" s="23" t="s">
        <v>22</v>
      </c>
      <c r="K781" s="22">
        <v>1</v>
      </c>
      <c r="L781" s="1">
        <v>41844</v>
      </c>
      <c r="M781" s="22">
        <f>Table12[[#This Row],[Ship Date]]-Table12[[#This Row],[Order Date]]</f>
        <v>2</v>
      </c>
      <c r="N781" s="23" t="s">
        <v>20</v>
      </c>
      <c r="O781" s="23" t="s">
        <v>23</v>
      </c>
      <c r="P781" s="23" t="s">
        <v>94</v>
      </c>
      <c r="Q781" s="23" t="s">
        <v>95</v>
      </c>
      <c r="R781" s="23" t="s">
        <v>165</v>
      </c>
      <c r="S781" s="33">
        <v>0.2</v>
      </c>
      <c r="T781" s="13">
        <v>26.632000000000001</v>
      </c>
      <c r="U781" s="13">
        <v>1.3315999999999999</v>
      </c>
      <c r="V781" s="55">
        <f>IFERROR(Table12[[#This Row],[Profit]]/Table12[[#This Row],[Sales]],0)</f>
        <v>4.9999999999999996E-2</v>
      </c>
    </row>
    <row r="782" spans="1:22" x14ac:dyDescent="0.2">
      <c r="A782">
        <v>781</v>
      </c>
      <c r="B782" t="s">
        <v>1157</v>
      </c>
      <c r="C782" s="1">
        <v>41843</v>
      </c>
      <c r="D782" s="22">
        <f>MONTH(Table12[[#This Row],[Order Date]])</f>
        <v>7</v>
      </c>
      <c r="E782" t="s">
        <v>1068</v>
      </c>
      <c r="F782" t="s">
        <v>1069</v>
      </c>
      <c r="G782" s="23" t="s">
        <v>41</v>
      </c>
      <c r="H782" s="23" t="s">
        <v>68</v>
      </c>
      <c r="I782" t="s">
        <v>1158</v>
      </c>
      <c r="J782" s="23" t="s">
        <v>22</v>
      </c>
      <c r="K782" s="22">
        <v>5</v>
      </c>
      <c r="L782" s="1">
        <v>41847</v>
      </c>
      <c r="M782" s="22">
        <f>Table12[[#This Row],[Ship Date]]-Table12[[#This Row],[Order Date]]</f>
        <v>4</v>
      </c>
      <c r="N782" s="23" t="s">
        <v>45</v>
      </c>
      <c r="O782" s="23" t="s">
        <v>23</v>
      </c>
      <c r="P782" s="23" t="s">
        <v>277</v>
      </c>
      <c r="Q782" s="23" t="s">
        <v>39</v>
      </c>
      <c r="R782" s="23" t="s">
        <v>1159</v>
      </c>
      <c r="S782" s="33">
        <v>0.7</v>
      </c>
      <c r="T782" s="13">
        <v>8.16</v>
      </c>
      <c r="U782" s="13">
        <v>-5.7119999999999997</v>
      </c>
      <c r="V782" s="55">
        <f>IFERROR(Table12[[#This Row],[Profit]]/Table12[[#This Row],[Sales]],0)</f>
        <v>-0.7</v>
      </c>
    </row>
    <row r="783" spans="1:22" x14ac:dyDescent="0.2">
      <c r="A783">
        <v>782</v>
      </c>
      <c r="B783" t="s">
        <v>1157</v>
      </c>
      <c r="C783" s="1">
        <v>41843</v>
      </c>
      <c r="D783" s="22">
        <f>MONTH(Table12[[#This Row],[Order Date]])</f>
        <v>7</v>
      </c>
      <c r="E783" t="s">
        <v>1160</v>
      </c>
      <c r="F783" t="s">
        <v>1161</v>
      </c>
      <c r="G783" s="23" t="s">
        <v>64</v>
      </c>
      <c r="H783" s="23" t="s">
        <v>144</v>
      </c>
      <c r="I783" t="s">
        <v>1158</v>
      </c>
      <c r="J783" s="23" t="s">
        <v>22</v>
      </c>
      <c r="K783" s="22">
        <v>8</v>
      </c>
      <c r="L783" s="1">
        <v>41847</v>
      </c>
      <c r="M783" s="22">
        <f>Table12[[#This Row],[Ship Date]]-Table12[[#This Row],[Order Date]]</f>
        <v>4</v>
      </c>
      <c r="N783" s="23" t="s">
        <v>45</v>
      </c>
      <c r="O783" s="23" t="s">
        <v>23</v>
      </c>
      <c r="P783" s="23" t="s">
        <v>277</v>
      </c>
      <c r="Q783" s="23" t="s">
        <v>39</v>
      </c>
      <c r="R783" s="23" t="s">
        <v>1159</v>
      </c>
      <c r="S783" s="33">
        <v>0.2</v>
      </c>
      <c r="T783" s="13">
        <v>1023.936</v>
      </c>
      <c r="U783" s="13">
        <v>179.18879999999999</v>
      </c>
      <c r="V783" s="55">
        <f>IFERROR(Table12[[#This Row],[Profit]]/Table12[[#This Row],[Sales]],0)</f>
        <v>0.17499999999999999</v>
      </c>
    </row>
    <row r="784" spans="1:22" x14ac:dyDescent="0.2">
      <c r="A784">
        <v>783</v>
      </c>
      <c r="B784" t="s">
        <v>1157</v>
      </c>
      <c r="C784" s="1">
        <v>41843</v>
      </c>
      <c r="D784" s="22">
        <f>MONTH(Table12[[#This Row],[Order Date]])</f>
        <v>7</v>
      </c>
      <c r="E784" t="s">
        <v>1162</v>
      </c>
      <c r="F784" t="s">
        <v>1163</v>
      </c>
      <c r="G784" s="23" t="s">
        <v>41</v>
      </c>
      <c r="H784" s="23" t="s">
        <v>61</v>
      </c>
      <c r="I784" t="s">
        <v>1158</v>
      </c>
      <c r="J784" s="23" t="s">
        <v>22</v>
      </c>
      <c r="K784" s="22">
        <v>1</v>
      </c>
      <c r="L784" s="1">
        <v>41847</v>
      </c>
      <c r="M784" s="22">
        <f>Table12[[#This Row],[Ship Date]]-Table12[[#This Row],[Order Date]]</f>
        <v>4</v>
      </c>
      <c r="N784" s="23" t="s">
        <v>45</v>
      </c>
      <c r="O784" s="23" t="s">
        <v>23</v>
      </c>
      <c r="P784" s="23" t="s">
        <v>277</v>
      </c>
      <c r="Q784" s="23" t="s">
        <v>39</v>
      </c>
      <c r="R784" s="23" t="s">
        <v>1159</v>
      </c>
      <c r="S784" s="33">
        <v>0.2</v>
      </c>
      <c r="T784" s="13">
        <v>9.24</v>
      </c>
      <c r="U784" s="13">
        <v>0.92400000000000004</v>
      </c>
      <c r="V784" s="55">
        <f>IFERROR(Table12[[#This Row],[Profit]]/Table12[[#This Row],[Sales]],0)</f>
        <v>0.1</v>
      </c>
    </row>
    <row r="785" spans="1:22" x14ac:dyDescent="0.2">
      <c r="A785">
        <v>784</v>
      </c>
      <c r="B785" t="s">
        <v>1157</v>
      </c>
      <c r="C785" s="1">
        <v>41843</v>
      </c>
      <c r="D785" s="22">
        <f>MONTH(Table12[[#This Row],[Order Date]])</f>
        <v>7</v>
      </c>
      <c r="E785" t="s">
        <v>1164</v>
      </c>
      <c r="F785" t="s">
        <v>1165</v>
      </c>
      <c r="G785" s="23" t="s">
        <v>64</v>
      </c>
      <c r="H785" s="23" t="s">
        <v>144</v>
      </c>
      <c r="I785" t="s">
        <v>1158</v>
      </c>
      <c r="J785" s="23" t="s">
        <v>22</v>
      </c>
      <c r="K785" s="22">
        <v>10</v>
      </c>
      <c r="L785" s="1">
        <v>41847</v>
      </c>
      <c r="M785" s="22">
        <f>Table12[[#This Row],[Ship Date]]-Table12[[#This Row],[Order Date]]</f>
        <v>4</v>
      </c>
      <c r="N785" s="23" t="s">
        <v>45</v>
      </c>
      <c r="O785" s="23" t="s">
        <v>23</v>
      </c>
      <c r="P785" s="23" t="s">
        <v>277</v>
      </c>
      <c r="Q785" s="23" t="s">
        <v>39</v>
      </c>
      <c r="R785" s="23" t="s">
        <v>1159</v>
      </c>
      <c r="S785" s="33">
        <v>0.2</v>
      </c>
      <c r="T785" s="13">
        <v>479.04</v>
      </c>
      <c r="U785" s="13">
        <v>-29.94</v>
      </c>
      <c r="V785" s="55">
        <f>IFERROR(Table12[[#This Row],[Profit]]/Table12[[#This Row],[Sales]],0)</f>
        <v>-6.25E-2</v>
      </c>
    </row>
    <row r="786" spans="1:22" x14ac:dyDescent="0.2">
      <c r="A786">
        <v>785</v>
      </c>
      <c r="B786" t="s">
        <v>8691</v>
      </c>
      <c r="C786" s="1">
        <v>41843</v>
      </c>
      <c r="D786" s="22">
        <f>MONTH(Table12[[#This Row],[Order Date]])</f>
        <v>7</v>
      </c>
      <c r="E786" t="s">
        <v>3312</v>
      </c>
      <c r="F786" t="s">
        <v>3313</v>
      </c>
      <c r="G786" s="23" t="s">
        <v>64</v>
      </c>
      <c r="H786" s="23" t="s">
        <v>144</v>
      </c>
      <c r="I786" t="s">
        <v>107</v>
      </c>
      <c r="J786" s="23" t="s">
        <v>22</v>
      </c>
      <c r="K786" s="22">
        <v>2</v>
      </c>
      <c r="L786" s="1">
        <v>41844</v>
      </c>
      <c r="M786" s="22">
        <f>Table12[[#This Row],[Ship Date]]-Table12[[#This Row],[Order Date]]</f>
        <v>1</v>
      </c>
      <c r="N786" s="23" t="s">
        <v>169</v>
      </c>
      <c r="O786" s="23" t="s">
        <v>23</v>
      </c>
      <c r="P786" s="23" t="s">
        <v>238</v>
      </c>
      <c r="Q786" s="23" t="s">
        <v>133</v>
      </c>
      <c r="R786" s="23" t="s">
        <v>237</v>
      </c>
      <c r="S786" s="33">
        <v>0</v>
      </c>
      <c r="T786" s="13">
        <v>99.98</v>
      </c>
      <c r="U786" s="13">
        <v>7.9984000000000002</v>
      </c>
      <c r="V786" s="55">
        <f>IFERROR(Table12[[#This Row],[Profit]]/Table12[[#This Row],[Sales]],0)</f>
        <v>0.08</v>
      </c>
    </row>
    <row r="787" spans="1:22" x14ac:dyDescent="0.2">
      <c r="A787">
        <v>786</v>
      </c>
      <c r="B787" t="s">
        <v>9823</v>
      </c>
      <c r="C787" s="1">
        <v>41843</v>
      </c>
      <c r="D787" s="22">
        <f>MONTH(Table12[[#This Row],[Order Date]])</f>
        <v>7</v>
      </c>
      <c r="E787" t="s">
        <v>3739</v>
      </c>
      <c r="F787" t="s">
        <v>3740</v>
      </c>
      <c r="G787" s="23" t="s">
        <v>64</v>
      </c>
      <c r="H787" s="23" t="s">
        <v>65</v>
      </c>
      <c r="I787" t="s">
        <v>6075</v>
      </c>
      <c r="J787" s="23" t="s">
        <v>36</v>
      </c>
      <c r="K787" s="22">
        <v>6</v>
      </c>
      <c r="L787" s="1">
        <v>41847</v>
      </c>
      <c r="M787" s="22">
        <f>Table12[[#This Row],[Ship Date]]-Table12[[#This Row],[Order Date]]</f>
        <v>4</v>
      </c>
      <c r="N787" s="23" t="s">
        <v>45</v>
      </c>
      <c r="O787" s="23" t="s">
        <v>23</v>
      </c>
      <c r="P787" s="23" t="s">
        <v>38</v>
      </c>
      <c r="Q787" s="23" t="s">
        <v>39</v>
      </c>
      <c r="R787" s="23" t="s">
        <v>114</v>
      </c>
      <c r="S787" s="33">
        <v>0.2</v>
      </c>
      <c r="T787" s="13">
        <v>604.75199999999995</v>
      </c>
      <c r="U787" s="13">
        <v>60.475200000000001</v>
      </c>
      <c r="V787" s="55">
        <f>IFERROR(Table12[[#This Row],[Profit]]/Table12[[#This Row],[Sales]],0)</f>
        <v>0.1</v>
      </c>
    </row>
    <row r="788" spans="1:22" x14ac:dyDescent="0.2">
      <c r="A788">
        <v>787</v>
      </c>
      <c r="B788" t="s">
        <v>9823</v>
      </c>
      <c r="C788" s="1">
        <v>41843</v>
      </c>
      <c r="D788" s="22">
        <f>MONTH(Table12[[#This Row],[Order Date]])</f>
        <v>7</v>
      </c>
      <c r="E788" t="s">
        <v>2051</v>
      </c>
      <c r="F788" t="s">
        <v>2052</v>
      </c>
      <c r="G788" s="23" t="s">
        <v>41</v>
      </c>
      <c r="H788" s="23" t="s">
        <v>513</v>
      </c>
      <c r="I788" t="s">
        <v>6075</v>
      </c>
      <c r="J788" s="23" t="s">
        <v>36</v>
      </c>
      <c r="K788" s="22">
        <v>5</v>
      </c>
      <c r="L788" s="1">
        <v>41847</v>
      </c>
      <c r="M788" s="22">
        <f>Table12[[#This Row],[Ship Date]]-Table12[[#This Row],[Order Date]]</f>
        <v>4</v>
      </c>
      <c r="N788" s="23" t="s">
        <v>45</v>
      </c>
      <c r="O788" s="23" t="s">
        <v>23</v>
      </c>
      <c r="P788" s="23" t="s">
        <v>38</v>
      </c>
      <c r="Q788" s="23" t="s">
        <v>39</v>
      </c>
      <c r="R788" s="23" t="s">
        <v>114</v>
      </c>
      <c r="S788" s="33">
        <v>0</v>
      </c>
      <c r="T788" s="13">
        <v>40.700000000000003</v>
      </c>
      <c r="U788" s="13">
        <v>11.803000000000001</v>
      </c>
      <c r="V788" s="55">
        <f>IFERROR(Table12[[#This Row],[Profit]]/Table12[[#This Row],[Sales]],0)</f>
        <v>0.28999999999999998</v>
      </c>
    </row>
    <row r="789" spans="1:22" x14ac:dyDescent="0.2">
      <c r="A789">
        <v>788</v>
      </c>
      <c r="B789" t="s">
        <v>9823</v>
      </c>
      <c r="C789" s="1">
        <v>41843</v>
      </c>
      <c r="D789" s="22">
        <f>MONTH(Table12[[#This Row],[Order Date]])</f>
        <v>7</v>
      </c>
      <c r="E789" t="s">
        <v>2481</v>
      </c>
      <c r="F789" t="s">
        <v>5219</v>
      </c>
      <c r="G789" s="23" t="s">
        <v>64</v>
      </c>
      <c r="H789" s="23" t="s">
        <v>65</v>
      </c>
      <c r="I789" t="s">
        <v>6075</v>
      </c>
      <c r="J789" s="23" t="s">
        <v>36</v>
      </c>
      <c r="K789" s="22">
        <v>3</v>
      </c>
      <c r="L789" s="1">
        <v>41847</v>
      </c>
      <c r="M789" s="22">
        <f>Table12[[#This Row],[Ship Date]]-Table12[[#This Row],[Order Date]]</f>
        <v>4</v>
      </c>
      <c r="N789" s="23" t="s">
        <v>45</v>
      </c>
      <c r="O789" s="23" t="s">
        <v>23</v>
      </c>
      <c r="P789" s="23" t="s">
        <v>38</v>
      </c>
      <c r="Q789" s="23" t="s">
        <v>39</v>
      </c>
      <c r="R789" s="23" t="s">
        <v>114</v>
      </c>
      <c r="S789" s="33">
        <v>0.2</v>
      </c>
      <c r="T789" s="13">
        <v>302.37599999999998</v>
      </c>
      <c r="U789" s="13">
        <v>37.796999999999997</v>
      </c>
      <c r="V789" s="55">
        <f>IFERROR(Table12[[#This Row],[Profit]]/Table12[[#This Row],[Sales]],0)</f>
        <v>0.125</v>
      </c>
    </row>
    <row r="790" spans="1:22" x14ac:dyDescent="0.2">
      <c r="A790">
        <v>789</v>
      </c>
      <c r="B790" t="s">
        <v>9823</v>
      </c>
      <c r="C790" s="1">
        <v>41843</v>
      </c>
      <c r="D790" s="22">
        <f>MONTH(Table12[[#This Row],[Order Date]])</f>
        <v>7</v>
      </c>
      <c r="E790" t="s">
        <v>219</v>
      </c>
      <c r="F790" t="s">
        <v>220</v>
      </c>
      <c r="G790" s="23" t="s">
        <v>64</v>
      </c>
      <c r="H790" s="23" t="s">
        <v>144</v>
      </c>
      <c r="I790" t="s">
        <v>6075</v>
      </c>
      <c r="J790" s="23" t="s">
        <v>36</v>
      </c>
      <c r="K790" s="22">
        <v>3</v>
      </c>
      <c r="L790" s="1">
        <v>41847</v>
      </c>
      <c r="M790" s="22">
        <f>Table12[[#This Row],[Ship Date]]-Table12[[#This Row],[Order Date]]</f>
        <v>4</v>
      </c>
      <c r="N790" s="23" t="s">
        <v>45</v>
      </c>
      <c r="O790" s="23" t="s">
        <v>23</v>
      </c>
      <c r="P790" s="23" t="s">
        <v>38</v>
      </c>
      <c r="Q790" s="23" t="s">
        <v>39</v>
      </c>
      <c r="R790" s="23" t="s">
        <v>114</v>
      </c>
      <c r="S790" s="33">
        <v>0</v>
      </c>
      <c r="T790" s="13">
        <v>45</v>
      </c>
      <c r="U790" s="13">
        <v>4.95</v>
      </c>
      <c r="V790" s="55">
        <f>IFERROR(Table12[[#This Row],[Profit]]/Table12[[#This Row],[Sales]],0)</f>
        <v>0.11</v>
      </c>
    </row>
    <row r="791" spans="1:22" x14ac:dyDescent="0.2">
      <c r="A791">
        <v>790</v>
      </c>
      <c r="B791" t="s">
        <v>4968</v>
      </c>
      <c r="C791" s="1">
        <v>41845</v>
      </c>
      <c r="D791" s="22">
        <f>MONTH(Table12[[#This Row],[Order Date]])</f>
        <v>7</v>
      </c>
      <c r="E791" t="s">
        <v>841</v>
      </c>
      <c r="F791" t="s">
        <v>842</v>
      </c>
      <c r="G791" s="23" t="s">
        <v>41</v>
      </c>
      <c r="H791" s="23" t="s">
        <v>53</v>
      </c>
      <c r="I791" t="s">
        <v>808</v>
      </c>
      <c r="J791" s="23" t="s">
        <v>22</v>
      </c>
      <c r="K791" s="22">
        <v>4</v>
      </c>
      <c r="L791" s="1">
        <v>41847</v>
      </c>
      <c r="M791" s="22">
        <f>Table12[[#This Row],[Ship Date]]-Table12[[#This Row],[Order Date]]</f>
        <v>2</v>
      </c>
      <c r="N791" s="23" t="s">
        <v>20</v>
      </c>
      <c r="O791" s="23" t="s">
        <v>23</v>
      </c>
      <c r="P791" s="23" t="s">
        <v>38</v>
      </c>
      <c r="Q791" s="23" t="s">
        <v>39</v>
      </c>
      <c r="R791" s="23" t="s">
        <v>114</v>
      </c>
      <c r="S791" s="33">
        <v>0</v>
      </c>
      <c r="T791" s="13">
        <v>53.72</v>
      </c>
      <c r="U791" s="13">
        <v>15.041600000000001</v>
      </c>
      <c r="V791" s="55">
        <f>IFERROR(Table12[[#This Row],[Profit]]/Table12[[#This Row],[Sales]],0)</f>
        <v>0.28000000000000003</v>
      </c>
    </row>
    <row r="792" spans="1:22" x14ac:dyDescent="0.2">
      <c r="A792">
        <v>791</v>
      </c>
      <c r="B792" t="s">
        <v>4968</v>
      </c>
      <c r="C792" s="1">
        <v>41845</v>
      </c>
      <c r="D792" s="22">
        <f>MONTH(Table12[[#This Row],[Order Date]])</f>
        <v>7</v>
      </c>
      <c r="E792" t="s">
        <v>4969</v>
      </c>
      <c r="F792" t="s">
        <v>4970</v>
      </c>
      <c r="G792" s="23" t="s">
        <v>41</v>
      </c>
      <c r="H792" s="23" t="s">
        <v>513</v>
      </c>
      <c r="I792" t="s">
        <v>808</v>
      </c>
      <c r="J792" s="23" t="s">
        <v>22</v>
      </c>
      <c r="K792" s="22">
        <v>5</v>
      </c>
      <c r="L792" s="1">
        <v>41847</v>
      </c>
      <c r="M792" s="22">
        <f>Table12[[#This Row],[Ship Date]]-Table12[[#This Row],[Order Date]]</f>
        <v>2</v>
      </c>
      <c r="N792" s="23" t="s">
        <v>20</v>
      </c>
      <c r="O792" s="23" t="s">
        <v>23</v>
      </c>
      <c r="P792" s="23" t="s">
        <v>38</v>
      </c>
      <c r="Q792" s="23" t="s">
        <v>39</v>
      </c>
      <c r="R792" s="23" t="s">
        <v>114</v>
      </c>
      <c r="S792" s="33">
        <v>0</v>
      </c>
      <c r="T792" s="13">
        <v>8187.65</v>
      </c>
      <c r="U792" s="13">
        <v>327.50599999999997</v>
      </c>
      <c r="V792" s="55">
        <f>IFERROR(Table12[[#This Row],[Profit]]/Table12[[#This Row],[Sales]],0)</f>
        <v>0.04</v>
      </c>
    </row>
    <row r="793" spans="1:22" x14ac:dyDescent="0.2">
      <c r="A793">
        <v>792</v>
      </c>
      <c r="B793" t="s">
        <v>4968</v>
      </c>
      <c r="C793" s="1">
        <v>41845</v>
      </c>
      <c r="D793" s="22">
        <f>MONTH(Table12[[#This Row],[Order Date]])</f>
        <v>7</v>
      </c>
      <c r="E793" t="s">
        <v>813</v>
      </c>
      <c r="F793" t="s">
        <v>814</v>
      </c>
      <c r="G793" s="23" t="s">
        <v>28</v>
      </c>
      <c r="H793" s="23" t="s">
        <v>58</v>
      </c>
      <c r="I793" t="s">
        <v>808</v>
      </c>
      <c r="J793" s="23" t="s">
        <v>22</v>
      </c>
      <c r="K793" s="22">
        <v>8</v>
      </c>
      <c r="L793" s="1">
        <v>41847</v>
      </c>
      <c r="M793" s="22">
        <f>Table12[[#This Row],[Ship Date]]-Table12[[#This Row],[Order Date]]</f>
        <v>2</v>
      </c>
      <c r="N793" s="23" t="s">
        <v>20</v>
      </c>
      <c r="O793" s="23" t="s">
        <v>23</v>
      </c>
      <c r="P793" s="23" t="s">
        <v>38</v>
      </c>
      <c r="Q793" s="23" t="s">
        <v>39</v>
      </c>
      <c r="R793" s="23" t="s">
        <v>114</v>
      </c>
      <c r="S793" s="33">
        <v>0</v>
      </c>
      <c r="T793" s="13">
        <v>77.92</v>
      </c>
      <c r="U793" s="13">
        <v>34.284799999999997</v>
      </c>
      <c r="V793" s="55">
        <f>IFERROR(Table12[[#This Row],[Profit]]/Table12[[#This Row],[Sales]],0)</f>
        <v>0.43999999999999995</v>
      </c>
    </row>
    <row r="794" spans="1:22" x14ac:dyDescent="0.2">
      <c r="A794">
        <v>793</v>
      </c>
      <c r="B794" t="s">
        <v>6100</v>
      </c>
      <c r="C794" s="1">
        <v>41845</v>
      </c>
      <c r="D794" s="22">
        <f>MONTH(Table12[[#This Row],[Order Date]])</f>
        <v>7</v>
      </c>
      <c r="E794" t="s">
        <v>2501</v>
      </c>
      <c r="F794" t="s">
        <v>6101</v>
      </c>
      <c r="G794" s="23" t="s">
        <v>41</v>
      </c>
      <c r="H794" s="23" t="s">
        <v>82</v>
      </c>
      <c r="I794" t="s">
        <v>5376</v>
      </c>
      <c r="J794" s="23" t="s">
        <v>92</v>
      </c>
      <c r="K794" s="22">
        <v>1</v>
      </c>
      <c r="L794" s="1">
        <v>41847</v>
      </c>
      <c r="M794" s="22">
        <f>Table12[[#This Row],[Ship Date]]-Table12[[#This Row],[Order Date]]</f>
        <v>2</v>
      </c>
      <c r="N794" s="23" t="s">
        <v>20</v>
      </c>
      <c r="O794" s="23" t="s">
        <v>23</v>
      </c>
      <c r="P794" s="23" t="s">
        <v>38</v>
      </c>
      <c r="Q794" s="23" t="s">
        <v>39</v>
      </c>
      <c r="R794" s="23" t="s">
        <v>37</v>
      </c>
      <c r="S794" s="33">
        <v>0</v>
      </c>
      <c r="T794" s="13">
        <v>6.48</v>
      </c>
      <c r="U794" s="13">
        <v>3.1751999999999998</v>
      </c>
      <c r="V794" s="55">
        <f>IFERROR(Table12[[#This Row],[Profit]]/Table12[[#This Row],[Sales]],0)</f>
        <v>0.48999999999999994</v>
      </c>
    </row>
    <row r="795" spans="1:22" x14ac:dyDescent="0.2">
      <c r="A795">
        <v>794</v>
      </c>
      <c r="B795" t="s">
        <v>6100</v>
      </c>
      <c r="C795" s="1">
        <v>41845</v>
      </c>
      <c r="D795" s="22">
        <f>MONTH(Table12[[#This Row],[Order Date]])</f>
        <v>7</v>
      </c>
      <c r="E795" t="s">
        <v>6102</v>
      </c>
      <c r="F795" t="s">
        <v>6103</v>
      </c>
      <c r="G795" s="23" t="s">
        <v>41</v>
      </c>
      <c r="H795" s="23" t="s">
        <v>513</v>
      </c>
      <c r="I795" t="s">
        <v>5376</v>
      </c>
      <c r="J795" s="23" t="s">
        <v>92</v>
      </c>
      <c r="K795" s="22">
        <v>4</v>
      </c>
      <c r="L795" s="1">
        <v>41847</v>
      </c>
      <c r="M795" s="22">
        <f>Table12[[#This Row],[Ship Date]]-Table12[[#This Row],[Order Date]]</f>
        <v>2</v>
      </c>
      <c r="N795" s="23" t="s">
        <v>20</v>
      </c>
      <c r="O795" s="23" t="s">
        <v>23</v>
      </c>
      <c r="P795" s="23" t="s">
        <v>38</v>
      </c>
      <c r="Q795" s="23" t="s">
        <v>39</v>
      </c>
      <c r="R795" s="23" t="s">
        <v>37</v>
      </c>
      <c r="S795" s="33">
        <v>0</v>
      </c>
      <c r="T795" s="13">
        <v>15.52</v>
      </c>
      <c r="U795" s="13">
        <v>4.5007999999999999</v>
      </c>
      <c r="V795" s="55">
        <f>IFERROR(Table12[[#This Row],[Profit]]/Table12[[#This Row],[Sales]],0)</f>
        <v>0.28999999999999998</v>
      </c>
    </row>
    <row r="796" spans="1:22" x14ac:dyDescent="0.2">
      <c r="A796">
        <v>795</v>
      </c>
      <c r="B796" t="s">
        <v>4761</v>
      </c>
      <c r="C796" s="1">
        <v>41846</v>
      </c>
      <c r="D796" s="22">
        <f>MONTH(Table12[[#This Row],[Order Date]])</f>
        <v>7</v>
      </c>
      <c r="E796" t="s">
        <v>847</v>
      </c>
      <c r="F796" t="s">
        <v>848</v>
      </c>
      <c r="G796" s="23" t="s">
        <v>41</v>
      </c>
      <c r="H796" s="23" t="s">
        <v>53</v>
      </c>
      <c r="I796" t="s">
        <v>3612</v>
      </c>
      <c r="J796" s="23" t="s">
        <v>22</v>
      </c>
      <c r="K796" s="22">
        <v>3</v>
      </c>
      <c r="L796" s="1">
        <v>41850</v>
      </c>
      <c r="M796" s="22">
        <f>Table12[[#This Row],[Ship Date]]-Table12[[#This Row],[Order Date]]</f>
        <v>4</v>
      </c>
      <c r="N796" s="23" t="s">
        <v>20</v>
      </c>
      <c r="O796" s="23" t="s">
        <v>23</v>
      </c>
      <c r="P796" s="23" t="s">
        <v>189</v>
      </c>
      <c r="Q796" s="23" t="s">
        <v>95</v>
      </c>
      <c r="R796" s="23" t="s">
        <v>271</v>
      </c>
      <c r="S796" s="33">
        <v>0.2</v>
      </c>
      <c r="T796" s="13">
        <v>123.55200000000001</v>
      </c>
      <c r="U796" s="13">
        <v>-29.343599999999999</v>
      </c>
      <c r="V796" s="55">
        <f>IFERROR(Table12[[#This Row],[Profit]]/Table12[[#This Row],[Sales]],0)</f>
        <v>-0.23749999999999999</v>
      </c>
    </row>
    <row r="797" spans="1:22" x14ac:dyDescent="0.2">
      <c r="A797">
        <v>796</v>
      </c>
      <c r="B797" t="s">
        <v>6261</v>
      </c>
      <c r="C797" s="1">
        <v>41846</v>
      </c>
      <c r="D797" s="22">
        <f>MONTH(Table12[[#This Row],[Order Date]])</f>
        <v>7</v>
      </c>
      <c r="E797" t="s">
        <v>1484</v>
      </c>
      <c r="F797" t="s">
        <v>1485</v>
      </c>
      <c r="G797" s="23" t="s">
        <v>64</v>
      </c>
      <c r="H797" s="23" t="s">
        <v>65</v>
      </c>
      <c r="I797" t="s">
        <v>260</v>
      </c>
      <c r="J797" s="23" t="s">
        <v>22</v>
      </c>
      <c r="K797" s="22">
        <v>2</v>
      </c>
      <c r="L797" s="1">
        <v>41853</v>
      </c>
      <c r="M797" s="22">
        <f>Table12[[#This Row],[Ship Date]]-Table12[[#This Row],[Order Date]]</f>
        <v>7</v>
      </c>
      <c r="N797" s="23" t="s">
        <v>45</v>
      </c>
      <c r="O797" s="23" t="s">
        <v>23</v>
      </c>
      <c r="P797" s="23" t="s">
        <v>1229</v>
      </c>
      <c r="Q797" s="23" t="s">
        <v>39</v>
      </c>
      <c r="R797" s="23" t="s">
        <v>3568</v>
      </c>
      <c r="S797" s="33">
        <v>0.2</v>
      </c>
      <c r="T797" s="13">
        <v>911.98400000000004</v>
      </c>
      <c r="U797" s="13">
        <v>113.998</v>
      </c>
      <c r="V797" s="55">
        <f>IFERROR(Table12[[#This Row],[Profit]]/Table12[[#This Row],[Sales]],0)</f>
        <v>0.125</v>
      </c>
    </row>
    <row r="798" spans="1:22" x14ac:dyDescent="0.2">
      <c r="A798">
        <v>797</v>
      </c>
      <c r="B798" t="s">
        <v>6261</v>
      </c>
      <c r="C798" s="1">
        <v>41846</v>
      </c>
      <c r="D798" s="22">
        <f>MONTH(Table12[[#This Row],[Order Date]])</f>
        <v>7</v>
      </c>
      <c r="E798" t="s">
        <v>1056</v>
      </c>
      <c r="F798" t="s">
        <v>1057</v>
      </c>
      <c r="G798" s="23" t="s">
        <v>28</v>
      </c>
      <c r="H798" s="23" t="s">
        <v>32</v>
      </c>
      <c r="I798" t="s">
        <v>260</v>
      </c>
      <c r="J798" s="23" t="s">
        <v>22</v>
      </c>
      <c r="K798" s="22">
        <v>3</v>
      </c>
      <c r="L798" s="1">
        <v>41853</v>
      </c>
      <c r="M798" s="22">
        <f>Table12[[#This Row],[Ship Date]]-Table12[[#This Row],[Order Date]]</f>
        <v>7</v>
      </c>
      <c r="N798" s="23" t="s">
        <v>45</v>
      </c>
      <c r="O798" s="23" t="s">
        <v>23</v>
      </c>
      <c r="P798" s="23" t="s">
        <v>1229</v>
      </c>
      <c r="Q798" s="23" t="s">
        <v>39</v>
      </c>
      <c r="R798" s="23" t="s">
        <v>3568</v>
      </c>
      <c r="S798" s="33">
        <v>0.2</v>
      </c>
      <c r="T798" s="13">
        <v>674.35199999999998</v>
      </c>
      <c r="U798" s="13">
        <v>-109.5822</v>
      </c>
      <c r="V798" s="55">
        <f>IFERROR(Table12[[#This Row],[Profit]]/Table12[[#This Row],[Sales]],0)</f>
        <v>-0.16250000000000001</v>
      </c>
    </row>
    <row r="799" spans="1:22" x14ac:dyDescent="0.2">
      <c r="A799">
        <v>798</v>
      </c>
      <c r="B799" t="s">
        <v>6261</v>
      </c>
      <c r="C799" s="1">
        <v>41846</v>
      </c>
      <c r="D799" s="22">
        <f>MONTH(Table12[[#This Row],[Order Date]])</f>
        <v>7</v>
      </c>
      <c r="E799" t="s">
        <v>3260</v>
      </c>
      <c r="F799" t="s">
        <v>3261</v>
      </c>
      <c r="G799" s="23" t="s">
        <v>28</v>
      </c>
      <c r="H799" s="23" t="s">
        <v>58</v>
      </c>
      <c r="I799" t="s">
        <v>260</v>
      </c>
      <c r="J799" s="23" t="s">
        <v>22</v>
      </c>
      <c r="K799" s="22">
        <v>9</v>
      </c>
      <c r="L799" s="1">
        <v>41853</v>
      </c>
      <c r="M799" s="22">
        <f>Table12[[#This Row],[Ship Date]]-Table12[[#This Row],[Order Date]]</f>
        <v>7</v>
      </c>
      <c r="N799" s="23" t="s">
        <v>45</v>
      </c>
      <c r="O799" s="23" t="s">
        <v>23</v>
      </c>
      <c r="P799" s="23" t="s">
        <v>1229</v>
      </c>
      <c r="Q799" s="23" t="s">
        <v>39</v>
      </c>
      <c r="R799" s="23" t="s">
        <v>3568</v>
      </c>
      <c r="S799" s="33">
        <v>0</v>
      </c>
      <c r="T799" s="13">
        <v>134.01</v>
      </c>
      <c r="U799" s="13">
        <v>36.182699999999997</v>
      </c>
      <c r="V799" s="55">
        <f>IFERROR(Table12[[#This Row],[Profit]]/Table12[[#This Row],[Sales]],0)</f>
        <v>0.27</v>
      </c>
    </row>
    <row r="800" spans="1:22" x14ac:dyDescent="0.2">
      <c r="A800">
        <v>799</v>
      </c>
      <c r="B800" t="s">
        <v>6261</v>
      </c>
      <c r="C800" s="1">
        <v>41846</v>
      </c>
      <c r="D800" s="22">
        <f>MONTH(Table12[[#This Row],[Order Date]])</f>
        <v>7</v>
      </c>
      <c r="E800" t="s">
        <v>6262</v>
      </c>
      <c r="F800" t="s">
        <v>6263</v>
      </c>
      <c r="G800" s="23" t="s">
        <v>64</v>
      </c>
      <c r="H800" s="23" t="s">
        <v>144</v>
      </c>
      <c r="I800" t="s">
        <v>260</v>
      </c>
      <c r="J800" s="23" t="s">
        <v>22</v>
      </c>
      <c r="K800" s="22">
        <v>3</v>
      </c>
      <c r="L800" s="1">
        <v>41853</v>
      </c>
      <c r="M800" s="22">
        <f>Table12[[#This Row],[Ship Date]]-Table12[[#This Row],[Order Date]]</f>
        <v>7</v>
      </c>
      <c r="N800" s="23" t="s">
        <v>45</v>
      </c>
      <c r="O800" s="23" t="s">
        <v>23</v>
      </c>
      <c r="P800" s="23" t="s">
        <v>1229</v>
      </c>
      <c r="Q800" s="23" t="s">
        <v>39</v>
      </c>
      <c r="R800" s="23" t="s">
        <v>3568</v>
      </c>
      <c r="S800" s="33">
        <v>0</v>
      </c>
      <c r="T800" s="13">
        <v>170.97</v>
      </c>
      <c r="U800" s="13">
        <v>70.097700000000003</v>
      </c>
      <c r="V800" s="55">
        <f>IFERROR(Table12[[#This Row],[Profit]]/Table12[[#This Row],[Sales]],0)</f>
        <v>0.41000000000000003</v>
      </c>
    </row>
    <row r="801" spans="1:22" x14ac:dyDescent="0.2">
      <c r="A801">
        <v>800</v>
      </c>
      <c r="B801" t="s">
        <v>8116</v>
      </c>
      <c r="C801" s="1">
        <v>41846</v>
      </c>
      <c r="D801" s="22">
        <f>MONTH(Table12[[#This Row],[Order Date]])</f>
        <v>7</v>
      </c>
      <c r="E801" t="s">
        <v>3867</v>
      </c>
      <c r="F801" t="s">
        <v>3868</v>
      </c>
      <c r="G801" s="23" t="s">
        <v>64</v>
      </c>
      <c r="H801" s="23" t="s">
        <v>144</v>
      </c>
      <c r="I801" t="s">
        <v>5934</v>
      </c>
      <c r="J801" s="23" t="s">
        <v>36</v>
      </c>
      <c r="K801" s="22">
        <v>7</v>
      </c>
      <c r="L801" s="1">
        <v>41852</v>
      </c>
      <c r="M801" s="22">
        <f>Table12[[#This Row],[Ship Date]]-Table12[[#This Row],[Order Date]]</f>
        <v>6</v>
      </c>
      <c r="N801" s="23" t="s">
        <v>45</v>
      </c>
      <c r="O801" s="23" t="s">
        <v>23</v>
      </c>
      <c r="P801" s="23" t="s">
        <v>109</v>
      </c>
      <c r="Q801" s="23" t="s">
        <v>39</v>
      </c>
      <c r="R801" s="23" t="s">
        <v>7559</v>
      </c>
      <c r="S801" s="33">
        <v>0</v>
      </c>
      <c r="T801" s="13">
        <v>111.93</v>
      </c>
      <c r="U801" s="13">
        <v>34.698300000000003</v>
      </c>
      <c r="V801" s="55">
        <f>IFERROR(Table12[[#This Row],[Profit]]/Table12[[#This Row],[Sales]],0)</f>
        <v>0.31</v>
      </c>
    </row>
    <row r="802" spans="1:22" x14ac:dyDescent="0.2">
      <c r="A802">
        <v>801</v>
      </c>
      <c r="B802" t="s">
        <v>8654</v>
      </c>
      <c r="C802" s="1">
        <v>41846</v>
      </c>
      <c r="D802" s="22">
        <f>MONTH(Table12[[#This Row],[Order Date]])</f>
        <v>7</v>
      </c>
      <c r="E802" t="s">
        <v>4584</v>
      </c>
      <c r="F802" t="s">
        <v>4585</v>
      </c>
      <c r="G802" s="23" t="s">
        <v>28</v>
      </c>
      <c r="H802" s="23" t="s">
        <v>32</v>
      </c>
      <c r="I802" t="s">
        <v>3654</v>
      </c>
      <c r="J802" s="23" t="s">
        <v>22</v>
      </c>
      <c r="K802" s="22">
        <v>2</v>
      </c>
      <c r="L802" s="1">
        <v>41852</v>
      </c>
      <c r="M802" s="22">
        <f>Table12[[#This Row],[Ship Date]]-Table12[[#This Row],[Order Date]]</f>
        <v>6</v>
      </c>
      <c r="N802" s="23" t="s">
        <v>45</v>
      </c>
      <c r="O802" s="23" t="s">
        <v>23</v>
      </c>
      <c r="P802" s="23" t="s">
        <v>1125</v>
      </c>
      <c r="Q802" s="23" t="s">
        <v>26</v>
      </c>
      <c r="R802" s="23" t="s">
        <v>1537</v>
      </c>
      <c r="S802" s="33">
        <v>0</v>
      </c>
      <c r="T802" s="13">
        <v>67.88</v>
      </c>
      <c r="U802" s="13">
        <v>18.3276</v>
      </c>
      <c r="V802" s="55">
        <f>IFERROR(Table12[[#This Row],[Profit]]/Table12[[#This Row],[Sales]],0)</f>
        <v>0.27</v>
      </c>
    </row>
    <row r="803" spans="1:22" x14ac:dyDescent="0.2">
      <c r="A803">
        <v>802</v>
      </c>
      <c r="B803" t="s">
        <v>8654</v>
      </c>
      <c r="C803" s="1">
        <v>41846</v>
      </c>
      <c r="D803" s="22">
        <f>MONTH(Table12[[#This Row],[Order Date]])</f>
        <v>7</v>
      </c>
      <c r="E803" t="s">
        <v>229</v>
      </c>
      <c r="F803" t="s">
        <v>230</v>
      </c>
      <c r="G803" s="23" t="s">
        <v>41</v>
      </c>
      <c r="H803" s="23" t="s">
        <v>42</v>
      </c>
      <c r="I803" t="s">
        <v>3654</v>
      </c>
      <c r="J803" s="23" t="s">
        <v>22</v>
      </c>
      <c r="K803" s="22">
        <v>13</v>
      </c>
      <c r="L803" s="1">
        <v>41852</v>
      </c>
      <c r="M803" s="22">
        <f>Table12[[#This Row],[Ship Date]]-Table12[[#This Row],[Order Date]]</f>
        <v>6</v>
      </c>
      <c r="N803" s="23" t="s">
        <v>45</v>
      </c>
      <c r="O803" s="23" t="s">
        <v>23</v>
      </c>
      <c r="P803" s="23" t="s">
        <v>1125</v>
      </c>
      <c r="Q803" s="23" t="s">
        <v>26</v>
      </c>
      <c r="R803" s="23" t="s">
        <v>1537</v>
      </c>
      <c r="S803" s="33">
        <v>0</v>
      </c>
      <c r="T803" s="13">
        <v>162.88999999999999</v>
      </c>
      <c r="U803" s="13">
        <v>76.558300000000003</v>
      </c>
      <c r="V803" s="55">
        <f>IFERROR(Table12[[#This Row],[Profit]]/Table12[[#This Row],[Sales]],0)</f>
        <v>0.47000000000000003</v>
      </c>
    </row>
    <row r="804" spans="1:22" x14ac:dyDescent="0.2">
      <c r="A804">
        <v>803</v>
      </c>
      <c r="B804" t="s">
        <v>8654</v>
      </c>
      <c r="C804" s="1">
        <v>41846</v>
      </c>
      <c r="D804" s="22">
        <f>MONTH(Table12[[#This Row],[Order Date]])</f>
        <v>7</v>
      </c>
      <c r="E804" t="s">
        <v>6911</v>
      </c>
      <c r="F804" t="s">
        <v>6912</v>
      </c>
      <c r="G804" s="23" t="s">
        <v>28</v>
      </c>
      <c r="H804" s="23" t="s">
        <v>58</v>
      </c>
      <c r="I804" t="s">
        <v>3654</v>
      </c>
      <c r="J804" s="23" t="s">
        <v>22</v>
      </c>
      <c r="K804" s="22">
        <v>3</v>
      </c>
      <c r="L804" s="1">
        <v>41852</v>
      </c>
      <c r="M804" s="22">
        <f>Table12[[#This Row],[Ship Date]]-Table12[[#This Row],[Order Date]]</f>
        <v>6</v>
      </c>
      <c r="N804" s="23" t="s">
        <v>45</v>
      </c>
      <c r="O804" s="23" t="s">
        <v>23</v>
      </c>
      <c r="P804" s="23" t="s">
        <v>1125</v>
      </c>
      <c r="Q804" s="23" t="s">
        <v>26</v>
      </c>
      <c r="R804" s="23" t="s">
        <v>1537</v>
      </c>
      <c r="S804" s="33">
        <v>0</v>
      </c>
      <c r="T804" s="13">
        <v>25.71</v>
      </c>
      <c r="U804" s="13">
        <v>9.2555999999999994</v>
      </c>
      <c r="V804" s="55">
        <f>IFERROR(Table12[[#This Row],[Profit]]/Table12[[#This Row],[Sales]],0)</f>
        <v>0.36</v>
      </c>
    </row>
    <row r="805" spans="1:22" x14ac:dyDescent="0.2">
      <c r="A805">
        <v>804</v>
      </c>
      <c r="B805" t="s">
        <v>10044</v>
      </c>
      <c r="C805" s="1">
        <v>41846</v>
      </c>
      <c r="D805" s="22">
        <f>MONTH(Table12[[#This Row],[Order Date]])</f>
        <v>7</v>
      </c>
      <c r="E805" t="s">
        <v>1110</v>
      </c>
      <c r="F805" t="s">
        <v>1111</v>
      </c>
      <c r="G805" s="23" t="s">
        <v>41</v>
      </c>
      <c r="H805" s="23" t="s">
        <v>68</v>
      </c>
      <c r="I805" t="s">
        <v>1252</v>
      </c>
      <c r="J805" s="23" t="s">
        <v>22</v>
      </c>
      <c r="K805" s="22">
        <v>8</v>
      </c>
      <c r="L805" s="1">
        <v>41850</v>
      </c>
      <c r="M805" s="22">
        <f>Table12[[#This Row],[Ship Date]]-Table12[[#This Row],[Order Date]]</f>
        <v>4</v>
      </c>
      <c r="N805" s="23" t="s">
        <v>45</v>
      </c>
      <c r="O805" s="23" t="s">
        <v>23</v>
      </c>
      <c r="P805" s="23" t="s">
        <v>94</v>
      </c>
      <c r="Q805" s="23" t="s">
        <v>95</v>
      </c>
      <c r="R805" s="23" t="s">
        <v>598</v>
      </c>
      <c r="S805" s="33">
        <v>0.8</v>
      </c>
      <c r="T805" s="13">
        <v>2177.5839999999998</v>
      </c>
      <c r="U805" s="13">
        <v>-3701.8928000000001</v>
      </c>
      <c r="V805" s="55">
        <f>IFERROR(Table12[[#This Row],[Profit]]/Table12[[#This Row],[Sales]],0)</f>
        <v>-1.7000000000000002</v>
      </c>
    </row>
    <row r="806" spans="1:22" x14ac:dyDescent="0.2">
      <c r="A806">
        <v>805</v>
      </c>
      <c r="B806" t="s">
        <v>10044</v>
      </c>
      <c r="C806" s="1">
        <v>41846</v>
      </c>
      <c r="D806" s="22">
        <f>MONTH(Table12[[#This Row],[Order Date]])</f>
        <v>7</v>
      </c>
      <c r="E806" t="s">
        <v>5566</v>
      </c>
      <c r="F806" t="s">
        <v>5567</v>
      </c>
      <c r="G806" s="23" t="s">
        <v>28</v>
      </c>
      <c r="H806" s="23" t="s">
        <v>58</v>
      </c>
      <c r="I806" t="s">
        <v>1252</v>
      </c>
      <c r="J806" s="23" t="s">
        <v>22</v>
      </c>
      <c r="K806" s="22">
        <v>3</v>
      </c>
      <c r="L806" s="1">
        <v>41850</v>
      </c>
      <c r="M806" s="22">
        <f>Table12[[#This Row],[Ship Date]]-Table12[[#This Row],[Order Date]]</f>
        <v>4</v>
      </c>
      <c r="N806" s="23" t="s">
        <v>45</v>
      </c>
      <c r="O806" s="23" t="s">
        <v>23</v>
      </c>
      <c r="P806" s="23" t="s">
        <v>94</v>
      </c>
      <c r="Q806" s="23" t="s">
        <v>95</v>
      </c>
      <c r="R806" s="23" t="s">
        <v>598</v>
      </c>
      <c r="S806" s="33">
        <v>0.6</v>
      </c>
      <c r="T806" s="13">
        <v>17.495999999999999</v>
      </c>
      <c r="U806" s="13">
        <v>-10.0602</v>
      </c>
      <c r="V806" s="55">
        <f>IFERROR(Table12[[#This Row],[Profit]]/Table12[[#This Row],[Sales]],0)</f>
        <v>-0.57500000000000007</v>
      </c>
    </row>
    <row r="807" spans="1:22" x14ac:dyDescent="0.2">
      <c r="A807">
        <v>806</v>
      </c>
      <c r="B807" t="s">
        <v>10044</v>
      </c>
      <c r="C807" s="1">
        <v>41846</v>
      </c>
      <c r="D807" s="22">
        <f>MONTH(Table12[[#This Row],[Order Date]])</f>
        <v>7</v>
      </c>
      <c r="E807" t="s">
        <v>1060</v>
      </c>
      <c r="F807" t="s">
        <v>1061</v>
      </c>
      <c r="G807" s="23" t="s">
        <v>41</v>
      </c>
      <c r="H807" s="23" t="s">
        <v>68</v>
      </c>
      <c r="I807" t="s">
        <v>1252</v>
      </c>
      <c r="J807" s="23" t="s">
        <v>22</v>
      </c>
      <c r="K807" s="22">
        <v>4</v>
      </c>
      <c r="L807" s="1">
        <v>41850</v>
      </c>
      <c r="M807" s="22">
        <f>Table12[[#This Row],[Ship Date]]-Table12[[#This Row],[Order Date]]</f>
        <v>4</v>
      </c>
      <c r="N807" s="23" t="s">
        <v>45</v>
      </c>
      <c r="O807" s="23" t="s">
        <v>23</v>
      </c>
      <c r="P807" s="23" t="s">
        <v>94</v>
      </c>
      <c r="Q807" s="23" t="s">
        <v>95</v>
      </c>
      <c r="R807" s="23" t="s">
        <v>598</v>
      </c>
      <c r="S807" s="33">
        <v>0.8</v>
      </c>
      <c r="T807" s="13">
        <v>16.783999999999999</v>
      </c>
      <c r="U807" s="13">
        <v>-26.854399999999998</v>
      </c>
      <c r="V807" s="55">
        <f>IFERROR(Table12[[#This Row],[Profit]]/Table12[[#This Row],[Sales]],0)</f>
        <v>-1.6</v>
      </c>
    </row>
    <row r="808" spans="1:22" x14ac:dyDescent="0.2">
      <c r="A808">
        <v>807</v>
      </c>
      <c r="B808" t="s">
        <v>10044</v>
      </c>
      <c r="C808" s="1">
        <v>41846</v>
      </c>
      <c r="D808" s="22">
        <f>MONTH(Table12[[#This Row],[Order Date]])</f>
        <v>7</v>
      </c>
      <c r="E808" t="s">
        <v>1164</v>
      </c>
      <c r="F808" t="s">
        <v>1165</v>
      </c>
      <c r="G808" s="23" t="s">
        <v>64</v>
      </c>
      <c r="H808" s="23" t="s">
        <v>144</v>
      </c>
      <c r="I808" t="s">
        <v>1252</v>
      </c>
      <c r="J808" s="23" t="s">
        <v>22</v>
      </c>
      <c r="K808" s="22">
        <v>9</v>
      </c>
      <c r="L808" s="1">
        <v>41850</v>
      </c>
      <c r="M808" s="22">
        <f>Table12[[#This Row],[Ship Date]]-Table12[[#This Row],[Order Date]]</f>
        <v>4</v>
      </c>
      <c r="N808" s="23" t="s">
        <v>45</v>
      </c>
      <c r="O808" s="23" t="s">
        <v>23</v>
      </c>
      <c r="P808" s="23" t="s">
        <v>94</v>
      </c>
      <c r="Q808" s="23" t="s">
        <v>95</v>
      </c>
      <c r="R808" s="23" t="s">
        <v>598</v>
      </c>
      <c r="S808" s="33">
        <v>0.2</v>
      </c>
      <c r="T808" s="13">
        <v>431.13600000000002</v>
      </c>
      <c r="U808" s="13">
        <v>-26.946000000000002</v>
      </c>
      <c r="V808" s="55">
        <f>IFERROR(Table12[[#This Row],[Profit]]/Table12[[#This Row],[Sales]],0)</f>
        <v>-6.25E-2</v>
      </c>
    </row>
    <row r="809" spans="1:22" x14ac:dyDescent="0.2">
      <c r="A809">
        <v>808</v>
      </c>
      <c r="B809" t="s">
        <v>10044</v>
      </c>
      <c r="C809" s="1">
        <v>41846</v>
      </c>
      <c r="D809" s="22">
        <f>MONTH(Table12[[#This Row],[Order Date]])</f>
        <v>7</v>
      </c>
      <c r="E809" t="s">
        <v>790</v>
      </c>
      <c r="F809" t="s">
        <v>791</v>
      </c>
      <c r="G809" s="23" t="s">
        <v>41</v>
      </c>
      <c r="H809" s="23" t="s">
        <v>68</v>
      </c>
      <c r="I809" t="s">
        <v>1252</v>
      </c>
      <c r="J809" s="23" t="s">
        <v>22</v>
      </c>
      <c r="K809" s="22">
        <v>5</v>
      </c>
      <c r="L809" s="1">
        <v>41850</v>
      </c>
      <c r="M809" s="22">
        <f>Table12[[#This Row],[Ship Date]]-Table12[[#This Row],[Order Date]]</f>
        <v>4</v>
      </c>
      <c r="N809" s="23" t="s">
        <v>45</v>
      </c>
      <c r="O809" s="23" t="s">
        <v>23</v>
      </c>
      <c r="P809" s="23" t="s">
        <v>94</v>
      </c>
      <c r="Q809" s="23" t="s">
        <v>95</v>
      </c>
      <c r="R809" s="23" t="s">
        <v>598</v>
      </c>
      <c r="S809" s="33">
        <v>0.8</v>
      </c>
      <c r="T809" s="13">
        <v>8.8800000000000008</v>
      </c>
      <c r="U809" s="13">
        <v>-13.32</v>
      </c>
      <c r="V809" s="55">
        <f>IFERROR(Table12[[#This Row],[Profit]]/Table12[[#This Row],[Sales]],0)</f>
        <v>-1.5</v>
      </c>
    </row>
    <row r="810" spans="1:22" x14ac:dyDescent="0.2">
      <c r="A810">
        <v>809</v>
      </c>
      <c r="B810" t="s">
        <v>10044</v>
      </c>
      <c r="C810" s="1">
        <v>41846</v>
      </c>
      <c r="D810" s="22">
        <f>MONTH(Table12[[#This Row],[Order Date]])</f>
        <v>7</v>
      </c>
      <c r="E810" t="s">
        <v>4270</v>
      </c>
      <c r="F810" t="s">
        <v>4271</v>
      </c>
      <c r="G810" s="23" t="s">
        <v>41</v>
      </c>
      <c r="H810" s="23" t="s">
        <v>71</v>
      </c>
      <c r="I810" t="s">
        <v>1252</v>
      </c>
      <c r="J810" s="23" t="s">
        <v>22</v>
      </c>
      <c r="K810" s="22">
        <v>2</v>
      </c>
      <c r="L810" s="1">
        <v>41850</v>
      </c>
      <c r="M810" s="22">
        <f>Table12[[#This Row],[Ship Date]]-Table12[[#This Row],[Order Date]]</f>
        <v>4</v>
      </c>
      <c r="N810" s="23" t="s">
        <v>45</v>
      </c>
      <c r="O810" s="23" t="s">
        <v>23</v>
      </c>
      <c r="P810" s="23" t="s">
        <v>94</v>
      </c>
      <c r="Q810" s="23" t="s">
        <v>95</v>
      </c>
      <c r="R810" s="23" t="s">
        <v>598</v>
      </c>
      <c r="S810" s="33">
        <v>0.8</v>
      </c>
      <c r="T810" s="13">
        <v>4.8360000000000003</v>
      </c>
      <c r="U810" s="13">
        <v>-12.09</v>
      </c>
      <c r="V810" s="55">
        <f>IFERROR(Table12[[#This Row],[Profit]]/Table12[[#This Row],[Sales]],0)</f>
        <v>-2.5</v>
      </c>
    </row>
    <row r="811" spans="1:22" x14ac:dyDescent="0.2">
      <c r="A811">
        <v>810</v>
      </c>
      <c r="B811" t="s">
        <v>6298</v>
      </c>
      <c r="C811" s="1">
        <v>41847</v>
      </c>
      <c r="D811" s="22">
        <f>MONTH(Table12[[#This Row],[Order Date]])</f>
        <v>7</v>
      </c>
      <c r="E811" t="s">
        <v>4261</v>
      </c>
      <c r="F811" t="s">
        <v>4262</v>
      </c>
      <c r="G811" s="23" t="s">
        <v>64</v>
      </c>
      <c r="H811" s="23" t="s">
        <v>144</v>
      </c>
      <c r="I811" t="s">
        <v>4088</v>
      </c>
      <c r="J811" s="23" t="s">
        <v>22</v>
      </c>
      <c r="K811" s="22">
        <v>2</v>
      </c>
      <c r="L811" s="1">
        <v>41849</v>
      </c>
      <c r="M811" s="22">
        <f>Table12[[#This Row],[Ship Date]]-Table12[[#This Row],[Order Date]]</f>
        <v>2</v>
      </c>
      <c r="N811" s="23" t="s">
        <v>20</v>
      </c>
      <c r="O811" s="23" t="s">
        <v>23</v>
      </c>
      <c r="P811" s="23" t="s">
        <v>38</v>
      </c>
      <c r="Q811" s="23" t="s">
        <v>39</v>
      </c>
      <c r="R811" s="23" t="s">
        <v>114</v>
      </c>
      <c r="S811" s="33">
        <v>0</v>
      </c>
      <c r="T811" s="13">
        <v>238</v>
      </c>
      <c r="U811" s="13">
        <v>38.08</v>
      </c>
      <c r="V811" s="55">
        <f>IFERROR(Table12[[#This Row],[Profit]]/Table12[[#This Row],[Sales]],0)</f>
        <v>0.16</v>
      </c>
    </row>
    <row r="812" spans="1:22" x14ac:dyDescent="0.2">
      <c r="A812">
        <v>811</v>
      </c>
      <c r="B812" t="s">
        <v>6873</v>
      </c>
      <c r="C812" s="1">
        <v>41847</v>
      </c>
      <c r="D812" s="22">
        <f>MONTH(Table12[[#This Row],[Order Date]])</f>
        <v>7</v>
      </c>
      <c r="E812" t="s">
        <v>6874</v>
      </c>
      <c r="F812" t="s">
        <v>6875</v>
      </c>
      <c r="G812" s="23" t="s">
        <v>41</v>
      </c>
      <c r="H812" s="23" t="s">
        <v>82</v>
      </c>
      <c r="I812" t="s">
        <v>3267</v>
      </c>
      <c r="J812" s="23" t="s">
        <v>36</v>
      </c>
      <c r="K812" s="22">
        <v>11</v>
      </c>
      <c r="L812" s="1">
        <v>41853</v>
      </c>
      <c r="M812" s="22">
        <f>Table12[[#This Row],[Ship Date]]-Table12[[#This Row],[Order Date]]</f>
        <v>6</v>
      </c>
      <c r="N812" s="23" t="s">
        <v>45</v>
      </c>
      <c r="O812" s="23" t="s">
        <v>23</v>
      </c>
      <c r="P812" s="23" t="s">
        <v>238</v>
      </c>
      <c r="Q812" s="23" t="s">
        <v>133</v>
      </c>
      <c r="R812" s="23" t="s">
        <v>237</v>
      </c>
      <c r="S812" s="33">
        <v>0</v>
      </c>
      <c r="T812" s="13">
        <v>65.78</v>
      </c>
      <c r="U812" s="13">
        <v>32.232199999999999</v>
      </c>
      <c r="V812" s="55">
        <f>IFERROR(Table12[[#This Row],[Profit]]/Table12[[#This Row],[Sales]],0)</f>
        <v>0.49</v>
      </c>
    </row>
    <row r="813" spans="1:22" x14ac:dyDescent="0.2">
      <c r="A813">
        <v>812</v>
      </c>
      <c r="B813" t="s">
        <v>9513</v>
      </c>
      <c r="C813" s="1">
        <v>41847</v>
      </c>
      <c r="D813" s="22">
        <f>MONTH(Table12[[#This Row],[Order Date]])</f>
        <v>7</v>
      </c>
      <c r="E813" t="s">
        <v>3254</v>
      </c>
      <c r="F813" t="s">
        <v>3255</v>
      </c>
      <c r="G813" s="23" t="s">
        <v>41</v>
      </c>
      <c r="H813" s="23" t="s">
        <v>53</v>
      </c>
      <c r="I813" t="s">
        <v>904</v>
      </c>
      <c r="J813" s="23" t="s">
        <v>36</v>
      </c>
      <c r="K813" s="22">
        <v>2</v>
      </c>
      <c r="L813" s="1">
        <v>41850</v>
      </c>
      <c r="M813" s="22">
        <f>Table12[[#This Row],[Ship Date]]-Table12[[#This Row],[Order Date]]</f>
        <v>3</v>
      </c>
      <c r="N813" s="23" t="s">
        <v>20</v>
      </c>
      <c r="O813" s="23" t="s">
        <v>23</v>
      </c>
      <c r="P813" s="23" t="s">
        <v>38</v>
      </c>
      <c r="Q813" s="23" t="s">
        <v>39</v>
      </c>
      <c r="R813" s="23" t="s">
        <v>37</v>
      </c>
      <c r="S813" s="33">
        <v>0</v>
      </c>
      <c r="T813" s="13">
        <v>276.27999999999997</v>
      </c>
      <c r="U813" s="13">
        <v>0</v>
      </c>
      <c r="V813" s="55">
        <f>IFERROR(Table12[[#This Row],[Profit]]/Table12[[#This Row],[Sales]],0)</f>
        <v>0</v>
      </c>
    </row>
    <row r="814" spans="1:22" x14ac:dyDescent="0.2">
      <c r="A814">
        <v>813</v>
      </c>
      <c r="B814" t="s">
        <v>7661</v>
      </c>
      <c r="C814" s="1">
        <v>41848</v>
      </c>
      <c r="D814" s="22">
        <f>MONTH(Table12[[#This Row],[Order Date]])</f>
        <v>7</v>
      </c>
      <c r="E814" t="s">
        <v>442</v>
      </c>
      <c r="F814" t="s">
        <v>443</v>
      </c>
      <c r="G814" s="23" t="s">
        <v>41</v>
      </c>
      <c r="H814" s="23" t="s">
        <v>240</v>
      </c>
      <c r="I814" t="s">
        <v>1767</v>
      </c>
      <c r="J814" s="23" t="s">
        <v>22</v>
      </c>
      <c r="K814" s="22">
        <v>5</v>
      </c>
      <c r="L814" s="1">
        <v>41848</v>
      </c>
      <c r="M814" s="22">
        <f>Table12[[#This Row],[Ship Date]]-Table12[[#This Row],[Order Date]]</f>
        <v>0</v>
      </c>
      <c r="N814" s="23" t="s">
        <v>1141</v>
      </c>
      <c r="O814" s="23" t="s">
        <v>23</v>
      </c>
      <c r="P814" s="23" t="s">
        <v>48</v>
      </c>
      <c r="Q814" s="23" t="s">
        <v>26</v>
      </c>
      <c r="R814" s="23" t="s">
        <v>4191</v>
      </c>
      <c r="S814" s="33">
        <v>0.2</v>
      </c>
      <c r="T814" s="13">
        <v>14.32</v>
      </c>
      <c r="U814" s="13">
        <v>5.1909999999999998</v>
      </c>
      <c r="V814" s="55">
        <f>IFERROR(Table12[[#This Row],[Profit]]/Table12[[#This Row],[Sales]],0)</f>
        <v>0.36249999999999999</v>
      </c>
    </row>
    <row r="815" spans="1:22" x14ac:dyDescent="0.2">
      <c r="A815">
        <v>814</v>
      </c>
      <c r="B815" t="s">
        <v>7661</v>
      </c>
      <c r="C815" s="1">
        <v>41848</v>
      </c>
      <c r="D815" s="22">
        <f>MONTH(Table12[[#This Row],[Order Date]])</f>
        <v>7</v>
      </c>
      <c r="E815" t="s">
        <v>4472</v>
      </c>
      <c r="F815" t="s">
        <v>4473</v>
      </c>
      <c r="G815" s="23" t="s">
        <v>28</v>
      </c>
      <c r="H815" s="23" t="s">
        <v>58</v>
      </c>
      <c r="I815" t="s">
        <v>1767</v>
      </c>
      <c r="J815" s="23" t="s">
        <v>22</v>
      </c>
      <c r="K815" s="22">
        <v>6</v>
      </c>
      <c r="L815" s="1">
        <v>41848</v>
      </c>
      <c r="M815" s="22">
        <f>Table12[[#This Row],[Ship Date]]-Table12[[#This Row],[Order Date]]</f>
        <v>0</v>
      </c>
      <c r="N815" s="23" t="s">
        <v>1141</v>
      </c>
      <c r="O815" s="23" t="s">
        <v>23</v>
      </c>
      <c r="P815" s="23" t="s">
        <v>48</v>
      </c>
      <c r="Q815" s="23" t="s">
        <v>26</v>
      </c>
      <c r="R815" s="23" t="s">
        <v>4191</v>
      </c>
      <c r="S815" s="33">
        <v>0.2</v>
      </c>
      <c r="T815" s="13">
        <v>129.88800000000001</v>
      </c>
      <c r="U815" s="13">
        <v>12.988799999999999</v>
      </c>
      <c r="V815" s="55">
        <f>IFERROR(Table12[[#This Row],[Profit]]/Table12[[#This Row],[Sales]],0)</f>
        <v>9.9999999999999992E-2</v>
      </c>
    </row>
    <row r="816" spans="1:22" x14ac:dyDescent="0.2">
      <c r="A816">
        <v>815</v>
      </c>
      <c r="B816" t="s">
        <v>7661</v>
      </c>
      <c r="C816" s="1">
        <v>41848</v>
      </c>
      <c r="D816" s="22">
        <f>MONTH(Table12[[#This Row],[Order Date]])</f>
        <v>7</v>
      </c>
      <c r="E816" t="s">
        <v>4306</v>
      </c>
      <c r="F816" t="s">
        <v>2603</v>
      </c>
      <c r="G816" s="23" t="s">
        <v>41</v>
      </c>
      <c r="H816" s="23" t="s">
        <v>155</v>
      </c>
      <c r="I816" t="s">
        <v>1767</v>
      </c>
      <c r="J816" s="23" t="s">
        <v>22</v>
      </c>
      <c r="K816" s="22">
        <v>7</v>
      </c>
      <c r="L816" s="1">
        <v>41848</v>
      </c>
      <c r="M816" s="22">
        <f>Table12[[#This Row],[Ship Date]]-Table12[[#This Row],[Order Date]]</f>
        <v>0</v>
      </c>
      <c r="N816" s="23" t="s">
        <v>1141</v>
      </c>
      <c r="O816" s="23" t="s">
        <v>23</v>
      </c>
      <c r="P816" s="23" t="s">
        <v>48</v>
      </c>
      <c r="Q816" s="23" t="s">
        <v>26</v>
      </c>
      <c r="R816" s="23" t="s">
        <v>4191</v>
      </c>
      <c r="S816" s="33">
        <v>0.2</v>
      </c>
      <c r="T816" s="13">
        <v>48.944000000000003</v>
      </c>
      <c r="U816" s="13">
        <v>16.518599999999999</v>
      </c>
      <c r="V816" s="55">
        <f>IFERROR(Table12[[#This Row],[Profit]]/Table12[[#This Row],[Sales]],0)</f>
        <v>0.33749999999999997</v>
      </c>
    </row>
    <row r="817" spans="1:22" x14ac:dyDescent="0.2">
      <c r="A817">
        <v>816</v>
      </c>
      <c r="B817" t="s">
        <v>7283</v>
      </c>
      <c r="C817" s="1">
        <v>41850</v>
      </c>
      <c r="D817" s="22">
        <f>MONTH(Table12[[#This Row],[Order Date]])</f>
        <v>7</v>
      </c>
      <c r="E817" t="s">
        <v>5862</v>
      </c>
      <c r="F817" t="s">
        <v>5863</v>
      </c>
      <c r="G817" s="23" t="s">
        <v>28</v>
      </c>
      <c r="H817" s="23" t="s">
        <v>29</v>
      </c>
      <c r="I817" t="s">
        <v>6883</v>
      </c>
      <c r="J817" s="23" t="s">
        <v>36</v>
      </c>
      <c r="K817" s="22">
        <v>8</v>
      </c>
      <c r="L817" s="1">
        <v>41856</v>
      </c>
      <c r="M817" s="22">
        <f>Table12[[#This Row],[Ship Date]]-Table12[[#This Row],[Order Date]]</f>
        <v>6</v>
      </c>
      <c r="N817" s="23" t="s">
        <v>45</v>
      </c>
      <c r="O817" s="23" t="s">
        <v>23</v>
      </c>
      <c r="P817" s="23" t="s">
        <v>87</v>
      </c>
      <c r="Q817" s="23" t="s">
        <v>39</v>
      </c>
      <c r="R817" s="23" t="s">
        <v>86</v>
      </c>
      <c r="S817" s="33">
        <v>0</v>
      </c>
      <c r="T817" s="13">
        <v>1367.84</v>
      </c>
      <c r="U817" s="13">
        <v>259.88959999999997</v>
      </c>
      <c r="V817" s="55">
        <f>IFERROR(Table12[[#This Row],[Profit]]/Table12[[#This Row],[Sales]],0)</f>
        <v>0.19</v>
      </c>
    </row>
    <row r="818" spans="1:22" x14ac:dyDescent="0.2">
      <c r="A818">
        <v>817</v>
      </c>
      <c r="B818" t="s">
        <v>4075</v>
      </c>
      <c r="C818" s="1">
        <v>41852</v>
      </c>
      <c r="D818" s="22">
        <f>MONTH(Table12[[#This Row],[Order Date]])</f>
        <v>8</v>
      </c>
      <c r="E818" t="s">
        <v>40</v>
      </c>
      <c r="F818" t="s">
        <v>43</v>
      </c>
      <c r="G818" s="23" t="s">
        <v>41</v>
      </c>
      <c r="H818" s="23" t="s">
        <v>42</v>
      </c>
      <c r="I818" t="s">
        <v>4076</v>
      </c>
      <c r="J818" s="23" t="s">
        <v>36</v>
      </c>
      <c r="K818" s="22">
        <v>3</v>
      </c>
      <c r="L818" s="1">
        <v>41856</v>
      </c>
      <c r="M818" s="22">
        <f>Table12[[#This Row],[Ship Date]]-Table12[[#This Row],[Order Date]]</f>
        <v>4</v>
      </c>
      <c r="N818" s="23" t="s">
        <v>45</v>
      </c>
      <c r="O818" s="23" t="s">
        <v>23</v>
      </c>
      <c r="P818" s="23" t="s">
        <v>80</v>
      </c>
      <c r="Q818" s="23" t="s">
        <v>26</v>
      </c>
      <c r="R818" s="23" t="s">
        <v>414</v>
      </c>
      <c r="S818" s="33">
        <v>0.2</v>
      </c>
      <c r="T818" s="13">
        <v>17.544</v>
      </c>
      <c r="U818" s="13">
        <v>5.9211</v>
      </c>
      <c r="V818" s="55">
        <f>IFERROR(Table12[[#This Row],[Profit]]/Table12[[#This Row],[Sales]],0)</f>
        <v>0.33749999999999997</v>
      </c>
    </row>
    <row r="819" spans="1:22" x14ac:dyDescent="0.2">
      <c r="A819">
        <v>818</v>
      </c>
      <c r="B819" t="s">
        <v>4075</v>
      </c>
      <c r="C819" s="1">
        <v>41852</v>
      </c>
      <c r="D819" s="22">
        <f>MONTH(Table12[[#This Row],[Order Date]])</f>
        <v>8</v>
      </c>
      <c r="E819" t="s">
        <v>379</v>
      </c>
      <c r="F819" t="s">
        <v>380</v>
      </c>
      <c r="G819" s="23" t="s">
        <v>28</v>
      </c>
      <c r="H819" s="23" t="s">
        <v>58</v>
      </c>
      <c r="I819" t="s">
        <v>4076</v>
      </c>
      <c r="J819" s="23" t="s">
        <v>36</v>
      </c>
      <c r="K819" s="22">
        <v>4</v>
      </c>
      <c r="L819" s="1">
        <v>41856</v>
      </c>
      <c r="M819" s="22">
        <f>Table12[[#This Row],[Ship Date]]-Table12[[#This Row],[Order Date]]</f>
        <v>4</v>
      </c>
      <c r="N819" s="23" t="s">
        <v>45</v>
      </c>
      <c r="O819" s="23" t="s">
        <v>23</v>
      </c>
      <c r="P819" s="23" t="s">
        <v>80</v>
      </c>
      <c r="Q819" s="23" t="s">
        <v>26</v>
      </c>
      <c r="R819" s="23" t="s">
        <v>414</v>
      </c>
      <c r="S819" s="33">
        <v>0.2</v>
      </c>
      <c r="T819" s="13">
        <v>44.128</v>
      </c>
      <c r="U819" s="13">
        <v>12.135199999999999</v>
      </c>
      <c r="V819" s="55">
        <f>IFERROR(Table12[[#This Row],[Profit]]/Table12[[#This Row],[Sales]],0)</f>
        <v>0.27499999999999997</v>
      </c>
    </row>
    <row r="820" spans="1:22" x14ac:dyDescent="0.2">
      <c r="A820">
        <v>819</v>
      </c>
      <c r="B820" t="s">
        <v>4075</v>
      </c>
      <c r="C820" s="1">
        <v>41852</v>
      </c>
      <c r="D820" s="22">
        <f>MONTH(Table12[[#This Row],[Order Date]])</f>
        <v>8</v>
      </c>
      <c r="E820" t="s">
        <v>4077</v>
      </c>
      <c r="F820" t="s">
        <v>4078</v>
      </c>
      <c r="G820" s="23" t="s">
        <v>41</v>
      </c>
      <c r="H820" s="23" t="s">
        <v>71</v>
      </c>
      <c r="I820" t="s">
        <v>4076</v>
      </c>
      <c r="J820" s="23" t="s">
        <v>36</v>
      </c>
      <c r="K820" s="22">
        <v>1</v>
      </c>
      <c r="L820" s="1">
        <v>41856</v>
      </c>
      <c r="M820" s="22">
        <f>Table12[[#This Row],[Ship Date]]-Table12[[#This Row],[Order Date]]</f>
        <v>4</v>
      </c>
      <c r="N820" s="23" t="s">
        <v>45</v>
      </c>
      <c r="O820" s="23" t="s">
        <v>23</v>
      </c>
      <c r="P820" s="23" t="s">
        <v>80</v>
      </c>
      <c r="Q820" s="23" t="s">
        <v>26</v>
      </c>
      <c r="R820" s="23" t="s">
        <v>414</v>
      </c>
      <c r="S820" s="33">
        <v>0.2</v>
      </c>
      <c r="T820" s="13">
        <v>62.92</v>
      </c>
      <c r="U820" s="13">
        <v>10.224500000000001</v>
      </c>
      <c r="V820" s="55">
        <f>IFERROR(Table12[[#This Row],[Profit]]/Table12[[#This Row],[Sales]],0)</f>
        <v>0.16250000000000001</v>
      </c>
    </row>
    <row r="821" spans="1:22" x14ac:dyDescent="0.2">
      <c r="A821">
        <v>820</v>
      </c>
      <c r="B821" t="s">
        <v>4075</v>
      </c>
      <c r="C821" s="1">
        <v>41852</v>
      </c>
      <c r="D821" s="22">
        <f>MONTH(Table12[[#This Row],[Order Date]])</f>
        <v>8</v>
      </c>
      <c r="E821" t="s">
        <v>495</v>
      </c>
      <c r="F821" t="s">
        <v>496</v>
      </c>
      <c r="G821" s="23" t="s">
        <v>41</v>
      </c>
      <c r="H821" s="23" t="s">
        <v>82</v>
      </c>
      <c r="I821" t="s">
        <v>4076</v>
      </c>
      <c r="J821" s="23" t="s">
        <v>36</v>
      </c>
      <c r="K821" s="22">
        <v>2</v>
      </c>
      <c r="L821" s="1">
        <v>41856</v>
      </c>
      <c r="M821" s="22">
        <f>Table12[[#This Row],[Ship Date]]-Table12[[#This Row],[Order Date]]</f>
        <v>4</v>
      </c>
      <c r="N821" s="23" t="s">
        <v>45</v>
      </c>
      <c r="O821" s="23" t="s">
        <v>23</v>
      </c>
      <c r="P821" s="23" t="s">
        <v>80</v>
      </c>
      <c r="Q821" s="23" t="s">
        <v>26</v>
      </c>
      <c r="R821" s="23" t="s">
        <v>414</v>
      </c>
      <c r="S821" s="33">
        <v>0.2</v>
      </c>
      <c r="T821" s="13">
        <v>78.304000000000002</v>
      </c>
      <c r="U821" s="13">
        <v>29.364000000000001</v>
      </c>
      <c r="V821" s="55">
        <f>IFERROR(Table12[[#This Row],[Profit]]/Table12[[#This Row],[Sales]],0)</f>
        <v>0.375</v>
      </c>
    </row>
    <row r="822" spans="1:22" x14ac:dyDescent="0.2">
      <c r="A822">
        <v>821</v>
      </c>
      <c r="B822" t="s">
        <v>4533</v>
      </c>
      <c r="C822" s="1">
        <v>41852</v>
      </c>
      <c r="D822" s="22">
        <f>MONTH(Table12[[#This Row],[Order Date]])</f>
        <v>8</v>
      </c>
      <c r="E822" t="s">
        <v>4535</v>
      </c>
      <c r="F822" t="s">
        <v>4536</v>
      </c>
      <c r="G822" s="23" t="s">
        <v>41</v>
      </c>
      <c r="H822" s="23" t="s">
        <v>68</v>
      </c>
      <c r="I822" t="s">
        <v>4534</v>
      </c>
      <c r="J822" s="23" t="s">
        <v>22</v>
      </c>
      <c r="K822" s="22">
        <v>3</v>
      </c>
      <c r="L822" s="1">
        <v>41854</v>
      </c>
      <c r="M822" s="22">
        <f>Table12[[#This Row],[Ship Date]]-Table12[[#This Row],[Order Date]]</f>
        <v>2</v>
      </c>
      <c r="N822" s="23" t="s">
        <v>169</v>
      </c>
      <c r="O822" s="23" t="s">
        <v>23</v>
      </c>
      <c r="P822" s="23" t="s">
        <v>38</v>
      </c>
      <c r="Q822" s="23" t="s">
        <v>39</v>
      </c>
      <c r="R822" s="23" t="s">
        <v>114</v>
      </c>
      <c r="S822" s="33">
        <v>0.2</v>
      </c>
      <c r="T822" s="13">
        <v>19.751999999999999</v>
      </c>
      <c r="U822" s="13">
        <v>6.9131999999999998</v>
      </c>
      <c r="V822" s="55">
        <f>IFERROR(Table12[[#This Row],[Profit]]/Table12[[#This Row],[Sales]],0)</f>
        <v>0.35000000000000003</v>
      </c>
    </row>
    <row r="823" spans="1:22" x14ac:dyDescent="0.2">
      <c r="A823">
        <v>822</v>
      </c>
      <c r="B823" t="s">
        <v>4849</v>
      </c>
      <c r="C823" s="1">
        <v>41852</v>
      </c>
      <c r="D823" s="22">
        <f>MONTH(Table12[[#This Row],[Order Date]])</f>
        <v>8</v>
      </c>
      <c r="E823" t="s">
        <v>3693</v>
      </c>
      <c r="F823" t="s">
        <v>3694</v>
      </c>
      <c r="G823" s="23" t="s">
        <v>41</v>
      </c>
      <c r="H823" s="23" t="s">
        <v>240</v>
      </c>
      <c r="I823" t="s">
        <v>2601</v>
      </c>
      <c r="J823" s="23" t="s">
        <v>92</v>
      </c>
      <c r="K823" s="22">
        <v>2</v>
      </c>
      <c r="L823" s="1">
        <v>41857</v>
      </c>
      <c r="M823" s="22">
        <f>Table12[[#This Row],[Ship Date]]-Table12[[#This Row],[Order Date]]</f>
        <v>5</v>
      </c>
      <c r="N823" s="23" t="s">
        <v>45</v>
      </c>
      <c r="O823" s="23" t="s">
        <v>23</v>
      </c>
      <c r="P823" s="23" t="s">
        <v>132</v>
      </c>
      <c r="Q823" s="23" t="s">
        <v>133</v>
      </c>
      <c r="R823" s="23" t="s">
        <v>131</v>
      </c>
      <c r="S823" s="33">
        <v>0.2</v>
      </c>
      <c r="T823" s="13">
        <v>5.68</v>
      </c>
      <c r="U823" s="13">
        <v>1.917</v>
      </c>
      <c r="V823" s="55">
        <f>IFERROR(Table12[[#This Row],[Profit]]/Table12[[#This Row],[Sales]],0)</f>
        <v>0.33750000000000002</v>
      </c>
    </row>
    <row r="824" spans="1:22" x14ac:dyDescent="0.2">
      <c r="A824">
        <v>823</v>
      </c>
      <c r="B824" t="s">
        <v>7959</v>
      </c>
      <c r="C824" s="1">
        <v>41853</v>
      </c>
      <c r="D824" s="22">
        <f>MONTH(Table12[[#This Row],[Order Date]])</f>
        <v>8</v>
      </c>
      <c r="E824" t="s">
        <v>3281</v>
      </c>
      <c r="F824" t="s">
        <v>3282</v>
      </c>
      <c r="G824" s="23" t="s">
        <v>41</v>
      </c>
      <c r="H824" s="23" t="s">
        <v>68</v>
      </c>
      <c r="I824" t="s">
        <v>943</v>
      </c>
      <c r="J824" s="23" t="s">
        <v>92</v>
      </c>
      <c r="K824" s="22">
        <v>5</v>
      </c>
      <c r="L824" s="1">
        <v>41859</v>
      </c>
      <c r="M824" s="22">
        <f>Table12[[#This Row],[Ship Date]]-Table12[[#This Row],[Order Date]]</f>
        <v>6</v>
      </c>
      <c r="N824" s="23" t="s">
        <v>45</v>
      </c>
      <c r="O824" s="23" t="s">
        <v>23</v>
      </c>
      <c r="P824" s="23" t="s">
        <v>528</v>
      </c>
      <c r="Q824" s="23" t="s">
        <v>95</v>
      </c>
      <c r="R824" s="23" t="s">
        <v>284</v>
      </c>
      <c r="S824" s="33">
        <v>0</v>
      </c>
      <c r="T824" s="13">
        <v>26.7</v>
      </c>
      <c r="U824" s="13">
        <v>12.548999999999999</v>
      </c>
      <c r="V824" s="55">
        <f>IFERROR(Table12[[#This Row],[Profit]]/Table12[[#This Row],[Sales]],0)</f>
        <v>0.47</v>
      </c>
    </row>
    <row r="825" spans="1:22" x14ac:dyDescent="0.2">
      <c r="A825">
        <v>824</v>
      </c>
      <c r="B825" t="s">
        <v>7959</v>
      </c>
      <c r="C825" s="1">
        <v>41853</v>
      </c>
      <c r="D825" s="22">
        <f>MONTH(Table12[[#This Row],[Order Date]])</f>
        <v>8</v>
      </c>
      <c r="E825" t="s">
        <v>6683</v>
      </c>
      <c r="F825" t="s">
        <v>6684</v>
      </c>
      <c r="G825" s="23" t="s">
        <v>64</v>
      </c>
      <c r="H825" s="23" t="s">
        <v>144</v>
      </c>
      <c r="I825" t="s">
        <v>943</v>
      </c>
      <c r="J825" s="23" t="s">
        <v>92</v>
      </c>
      <c r="K825" s="22">
        <v>2</v>
      </c>
      <c r="L825" s="1">
        <v>41859</v>
      </c>
      <c r="M825" s="22">
        <f>Table12[[#This Row],[Ship Date]]-Table12[[#This Row],[Order Date]]</f>
        <v>6</v>
      </c>
      <c r="N825" s="23" t="s">
        <v>45</v>
      </c>
      <c r="O825" s="23" t="s">
        <v>23</v>
      </c>
      <c r="P825" s="23" t="s">
        <v>528</v>
      </c>
      <c r="Q825" s="23" t="s">
        <v>95</v>
      </c>
      <c r="R825" s="23" t="s">
        <v>284</v>
      </c>
      <c r="S825" s="33">
        <v>0</v>
      </c>
      <c r="T825" s="13">
        <v>21.2</v>
      </c>
      <c r="U825" s="13">
        <v>9.1159999999999997</v>
      </c>
      <c r="V825" s="55">
        <f>IFERROR(Table12[[#This Row],[Profit]]/Table12[[#This Row],[Sales]],0)</f>
        <v>0.43</v>
      </c>
    </row>
    <row r="826" spans="1:22" x14ac:dyDescent="0.2">
      <c r="A826">
        <v>825</v>
      </c>
      <c r="B826" t="s">
        <v>7959</v>
      </c>
      <c r="C826" s="1">
        <v>41853</v>
      </c>
      <c r="D826" s="22">
        <f>MONTH(Table12[[#This Row],[Order Date]])</f>
        <v>8</v>
      </c>
      <c r="E826" t="s">
        <v>3771</v>
      </c>
      <c r="F826" t="s">
        <v>3772</v>
      </c>
      <c r="G826" s="23" t="s">
        <v>41</v>
      </c>
      <c r="H826" s="23" t="s">
        <v>53</v>
      </c>
      <c r="I826" t="s">
        <v>943</v>
      </c>
      <c r="J826" s="23" t="s">
        <v>92</v>
      </c>
      <c r="K826" s="22">
        <v>2</v>
      </c>
      <c r="L826" s="1">
        <v>41859</v>
      </c>
      <c r="M826" s="22">
        <f>Table12[[#This Row],[Ship Date]]-Table12[[#This Row],[Order Date]]</f>
        <v>6</v>
      </c>
      <c r="N826" s="23" t="s">
        <v>45</v>
      </c>
      <c r="O826" s="23" t="s">
        <v>23</v>
      </c>
      <c r="P826" s="23" t="s">
        <v>528</v>
      </c>
      <c r="Q826" s="23" t="s">
        <v>95</v>
      </c>
      <c r="R826" s="23" t="s">
        <v>284</v>
      </c>
      <c r="S826" s="33">
        <v>0</v>
      </c>
      <c r="T826" s="13">
        <v>838.38</v>
      </c>
      <c r="U826" s="13">
        <v>226.36259999999999</v>
      </c>
      <c r="V826" s="55">
        <f>IFERROR(Table12[[#This Row],[Profit]]/Table12[[#This Row],[Sales]],0)</f>
        <v>0.26999999999999996</v>
      </c>
    </row>
    <row r="827" spans="1:22" x14ac:dyDescent="0.2">
      <c r="A827">
        <v>826</v>
      </c>
      <c r="B827" t="s">
        <v>709</v>
      </c>
      <c r="C827" s="1">
        <v>41854</v>
      </c>
      <c r="D827" s="22">
        <f>MONTH(Table12[[#This Row],[Order Date]])</f>
        <v>8</v>
      </c>
      <c r="E827" t="s">
        <v>712</v>
      </c>
      <c r="F827" t="s">
        <v>713</v>
      </c>
      <c r="G827" s="23" t="s">
        <v>28</v>
      </c>
      <c r="H827" s="23" t="s">
        <v>50</v>
      </c>
      <c r="I827" t="s">
        <v>710</v>
      </c>
      <c r="J827" s="23" t="s">
        <v>22</v>
      </c>
      <c r="K827" s="22">
        <v>2</v>
      </c>
      <c r="L827" s="1">
        <v>41856</v>
      </c>
      <c r="M827" s="22">
        <f>Table12[[#This Row],[Ship Date]]-Table12[[#This Row],[Order Date]]</f>
        <v>2</v>
      </c>
      <c r="N827" s="23" t="s">
        <v>169</v>
      </c>
      <c r="O827" s="23" t="s">
        <v>23</v>
      </c>
      <c r="P827" s="23" t="s">
        <v>405</v>
      </c>
      <c r="Q827" s="23" t="s">
        <v>39</v>
      </c>
      <c r="R827" s="23" t="s">
        <v>711</v>
      </c>
      <c r="S827" s="33">
        <v>0.5</v>
      </c>
      <c r="T827" s="13">
        <v>218.75</v>
      </c>
      <c r="U827" s="13">
        <v>-161.875</v>
      </c>
      <c r="V827" s="55">
        <f>IFERROR(Table12[[#This Row],[Profit]]/Table12[[#This Row],[Sales]],0)</f>
        <v>-0.74</v>
      </c>
    </row>
    <row r="828" spans="1:22" x14ac:dyDescent="0.2">
      <c r="A828">
        <v>827</v>
      </c>
      <c r="B828" t="s">
        <v>709</v>
      </c>
      <c r="C828" s="1">
        <v>41854</v>
      </c>
      <c r="D828" s="22">
        <f>MONTH(Table12[[#This Row],[Order Date]])</f>
        <v>8</v>
      </c>
      <c r="E828" t="s">
        <v>714</v>
      </c>
      <c r="F828" t="s">
        <v>715</v>
      </c>
      <c r="G828" s="23" t="s">
        <v>41</v>
      </c>
      <c r="H828" s="23" t="s">
        <v>71</v>
      </c>
      <c r="I828" t="s">
        <v>710</v>
      </c>
      <c r="J828" s="23" t="s">
        <v>22</v>
      </c>
      <c r="K828" s="22">
        <v>1</v>
      </c>
      <c r="L828" s="1">
        <v>41856</v>
      </c>
      <c r="M828" s="22">
        <f>Table12[[#This Row],[Ship Date]]-Table12[[#This Row],[Order Date]]</f>
        <v>2</v>
      </c>
      <c r="N828" s="23" t="s">
        <v>169</v>
      </c>
      <c r="O828" s="23" t="s">
        <v>23</v>
      </c>
      <c r="P828" s="23" t="s">
        <v>405</v>
      </c>
      <c r="Q828" s="23" t="s">
        <v>39</v>
      </c>
      <c r="R828" s="23" t="s">
        <v>711</v>
      </c>
      <c r="S828" s="33">
        <v>0.2</v>
      </c>
      <c r="T828" s="13">
        <v>2.6</v>
      </c>
      <c r="U828" s="13">
        <v>0.29249999999999998</v>
      </c>
      <c r="V828" s="55">
        <f>IFERROR(Table12[[#This Row],[Profit]]/Table12[[#This Row],[Sales]],0)</f>
        <v>0.11249999999999999</v>
      </c>
    </row>
    <row r="829" spans="1:22" x14ac:dyDescent="0.2">
      <c r="A829">
        <v>828</v>
      </c>
      <c r="B829" t="s">
        <v>2332</v>
      </c>
      <c r="C829" s="1">
        <v>41854</v>
      </c>
      <c r="D829" s="22">
        <f>MONTH(Table12[[#This Row],[Order Date]])</f>
        <v>8</v>
      </c>
      <c r="E829" t="s">
        <v>2334</v>
      </c>
      <c r="F829" t="s">
        <v>2335</v>
      </c>
      <c r="G829" s="23" t="s">
        <v>41</v>
      </c>
      <c r="H829" s="23" t="s">
        <v>82</v>
      </c>
      <c r="I829" t="s">
        <v>2333</v>
      </c>
      <c r="J829" s="23" t="s">
        <v>22</v>
      </c>
      <c r="K829" s="22">
        <v>2</v>
      </c>
      <c r="L829" s="1">
        <v>41859</v>
      </c>
      <c r="M829" s="22">
        <f>Table12[[#This Row],[Ship Date]]-Table12[[#This Row],[Order Date]]</f>
        <v>5</v>
      </c>
      <c r="N829" s="23" t="s">
        <v>45</v>
      </c>
      <c r="O829" s="23" t="s">
        <v>23</v>
      </c>
      <c r="P829" s="23" t="s">
        <v>238</v>
      </c>
      <c r="Q829" s="23" t="s">
        <v>133</v>
      </c>
      <c r="R829" s="23" t="s">
        <v>237</v>
      </c>
      <c r="S829" s="33">
        <v>0</v>
      </c>
      <c r="T829" s="13">
        <v>39.96</v>
      </c>
      <c r="U829" s="13">
        <v>18.781199999999998</v>
      </c>
      <c r="V829" s="55">
        <f>IFERROR(Table12[[#This Row],[Profit]]/Table12[[#This Row],[Sales]],0)</f>
        <v>0.47</v>
      </c>
    </row>
    <row r="830" spans="1:22" x14ac:dyDescent="0.2">
      <c r="A830">
        <v>829</v>
      </c>
      <c r="B830" t="s">
        <v>2332</v>
      </c>
      <c r="C830" s="1">
        <v>41854</v>
      </c>
      <c r="D830" s="22">
        <f>MONTH(Table12[[#This Row],[Order Date]])</f>
        <v>8</v>
      </c>
      <c r="E830" t="s">
        <v>2336</v>
      </c>
      <c r="F830" t="s">
        <v>2337</v>
      </c>
      <c r="G830" s="23" t="s">
        <v>41</v>
      </c>
      <c r="H830" s="23" t="s">
        <v>513</v>
      </c>
      <c r="I830" t="s">
        <v>2333</v>
      </c>
      <c r="J830" s="23" t="s">
        <v>22</v>
      </c>
      <c r="K830" s="22">
        <v>10</v>
      </c>
      <c r="L830" s="1">
        <v>41859</v>
      </c>
      <c r="M830" s="22">
        <f>Table12[[#This Row],[Ship Date]]-Table12[[#This Row],[Order Date]]</f>
        <v>5</v>
      </c>
      <c r="N830" s="23" t="s">
        <v>45</v>
      </c>
      <c r="O830" s="23" t="s">
        <v>23</v>
      </c>
      <c r="P830" s="23" t="s">
        <v>238</v>
      </c>
      <c r="Q830" s="23" t="s">
        <v>133</v>
      </c>
      <c r="R830" s="23" t="s">
        <v>237</v>
      </c>
      <c r="S830" s="33">
        <v>0</v>
      </c>
      <c r="T830" s="13">
        <v>102.3</v>
      </c>
      <c r="U830" s="13">
        <v>26.597999999999999</v>
      </c>
      <c r="V830" s="55">
        <f>IFERROR(Table12[[#This Row],[Profit]]/Table12[[#This Row],[Sales]],0)</f>
        <v>0.26</v>
      </c>
    </row>
    <row r="831" spans="1:22" x14ac:dyDescent="0.2">
      <c r="A831">
        <v>830</v>
      </c>
      <c r="B831" t="s">
        <v>2332</v>
      </c>
      <c r="C831" s="1">
        <v>41854</v>
      </c>
      <c r="D831" s="22">
        <f>MONTH(Table12[[#This Row],[Order Date]])</f>
        <v>8</v>
      </c>
      <c r="E831" t="s">
        <v>2338</v>
      </c>
      <c r="F831" t="s">
        <v>2339</v>
      </c>
      <c r="G831" s="23" t="s">
        <v>41</v>
      </c>
      <c r="H831" s="23" t="s">
        <v>53</v>
      </c>
      <c r="I831" t="s">
        <v>2333</v>
      </c>
      <c r="J831" s="23" t="s">
        <v>22</v>
      </c>
      <c r="K831" s="22">
        <v>2</v>
      </c>
      <c r="L831" s="1">
        <v>41859</v>
      </c>
      <c r="M831" s="22">
        <f>Table12[[#This Row],[Ship Date]]-Table12[[#This Row],[Order Date]]</f>
        <v>5</v>
      </c>
      <c r="N831" s="23" t="s">
        <v>45</v>
      </c>
      <c r="O831" s="23" t="s">
        <v>23</v>
      </c>
      <c r="P831" s="23" t="s">
        <v>238</v>
      </c>
      <c r="Q831" s="23" t="s">
        <v>133</v>
      </c>
      <c r="R831" s="23" t="s">
        <v>237</v>
      </c>
      <c r="S831" s="33">
        <v>0</v>
      </c>
      <c r="T831" s="13">
        <v>21.36</v>
      </c>
      <c r="U831" s="13">
        <v>5.7671999999999999</v>
      </c>
      <c r="V831" s="55">
        <f>IFERROR(Table12[[#This Row],[Profit]]/Table12[[#This Row],[Sales]],0)</f>
        <v>0.27</v>
      </c>
    </row>
    <row r="832" spans="1:22" x14ac:dyDescent="0.2">
      <c r="A832">
        <v>831</v>
      </c>
      <c r="B832" t="s">
        <v>5685</v>
      </c>
      <c r="C832" s="1">
        <v>41854</v>
      </c>
      <c r="D832" s="22">
        <f>MONTH(Table12[[#This Row],[Order Date]])</f>
        <v>8</v>
      </c>
      <c r="E832" t="s">
        <v>3346</v>
      </c>
      <c r="F832" t="s">
        <v>3347</v>
      </c>
      <c r="G832" s="23" t="s">
        <v>41</v>
      </c>
      <c r="H832" s="23" t="s">
        <v>82</v>
      </c>
      <c r="I832" t="s">
        <v>5686</v>
      </c>
      <c r="J832" s="23" t="s">
        <v>92</v>
      </c>
      <c r="K832" s="22">
        <v>3</v>
      </c>
      <c r="L832" s="1">
        <v>41856</v>
      </c>
      <c r="M832" s="22">
        <f>Table12[[#This Row],[Ship Date]]-Table12[[#This Row],[Order Date]]</f>
        <v>2</v>
      </c>
      <c r="N832" s="23" t="s">
        <v>20</v>
      </c>
      <c r="O832" s="23" t="s">
        <v>23</v>
      </c>
      <c r="P832" s="23" t="s">
        <v>277</v>
      </c>
      <c r="Q832" s="23" t="s">
        <v>39</v>
      </c>
      <c r="R832" s="23" t="s">
        <v>3477</v>
      </c>
      <c r="S832" s="33">
        <v>0.2</v>
      </c>
      <c r="T832" s="13">
        <v>93.024000000000001</v>
      </c>
      <c r="U832" s="13">
        <v>33.721200000000003</v>
      </c>
      <c r="V832" s="55">
        <f>IFERROR(Table12[[#This Row],[Profit]]/Table12[[#This Row],[Sales]],0)</f>
        <v>0.36250000000000004</v>
      </c>
    </row>
    <row r="833" spans="1:22" x14ac:dyDescent="0.2">
      <c r="A833">
        <v>832</v>
      </c>
      <c r="B833" t="s">
        <v>3329</v>
      </c>
      <c r="C833" s="1">
        <v>41855</v>
      </c>
      <c r="D833" s="22">
        <f>MONTH(Table12[[#This Row],[Order Date]])</f>
        <v>8</v>
      </c>
      <c r="E833" t="s">
        <v>3331</v>
      </c>
      <c r="F833" t="s">
        <v>3332</v>
      </c>
      <c r="G833" s="23" t="s">
        <v>41</v>
      </c>
      <c r="H833" s="23" t="s">
        <v>71</v>
      </c>
      <c r="I833" t="s">
        <v>783</v>
      </c>
      <c r="J833" s="23" t="s">
        <v>22</v>
      </c>
      <c r="K833" s="22">
        <v>3</v>
      </c>
      <c r="L833" s="1">
        <v>41860</v>
      </c>
      <c r="M833" s="22">
        <f>Table12[[#This Row],[Ship Date]]-Table12[[#This Row],[Order Date]]</f>
        <v>5</v>
      </c>
      <c r="N833" s="23" t="s">
        <v>20</v>
      </c>
      <c r="O833" s="23" t="s">
        <v>23</v>
      </c>
      <c r="P833" s="23" t="s">
        <v>109</v>
      </c>
      <c r="Q833" s="23" t="s">
        <v>39</v>
      </c>
      <c r="R833" s="23" t="s">
        <v>3330</v>
      </c>
      <c r="S833" s="33">
        <v>0</v>
      </c>
      <c r="T833" s="13">
        <v>1089.75</v>
      </c>
      <c r="U833" s="13">
        <v>305.13</v>
      </c>
      <c r="V833" s="55">
        <f>IFERROR(Table12[[#This Row],[Profit]]/Table12[[#This Row],[Sales]],0)</f>
        <v>0.27999999999999997</v>
      </c>
    </row>
    <row r="834" spans="1:22" x14ac:dyDescent="0.2">
      <c r="A834">
        <v>833</v>
      </c>
      <c r="B834" t="s">
        <v>3329</v>
      </c>
      <c r="C834" s="1">
        <v>41855</v>
      </c>
      <c r="D834" s="22">
        <f>MONTH(Table12[[#This Row],[Order Date]])</f>
        <v>8</v>
      </c>
      <c r="E834" t="s">
        <v>3333</v>
      </c>
      <c r="F834" t="s">
        <v>3334</v>
      </c>
      <c r="G834" s="23" t="s">
        <v>41</v>
      </c>
      <c r="H834" s="23" t="s">
        <v>82</v>
      </c>
      <c r="I834" t="s">
        <v>783</v>
      </c>
      <c r="J834" s="23" t="s">
        <v>22</v>
      </c>
      <c r="K834" s="22">
        <v>8</v>
      </c>
      <c r="L834" s="1">
        <v>41860</v>
      </c>
      <c r="M834" s="22">
        <f>Table12[[#This Row],[Ship Date]]-Table12[[#This Row],[Order Date]]</f>
        <v>5</v>
      </c>
      <c r="N834" s="23" t="s">
        <v>20</v>
      </c>
      <c r="O834" s="23" t="s">
        <v>23</v>
      </c>
      <c r="P834" s="23" t="s">
        <v>109</v>
      </c>
      <c r="Q834" s="23" t="s">
        <v>39</v>
      </c>
      <c r="R834" s="23" t="s">
        <v>3330</v>
      </c>
      <c r="S834" s="33">
        <v>0</v>
      </c>
      <c r="T834" s="13">
        <v>447.84</v>
      </c>
      <c r="U834" s="13">
        <v>219.44159999999999</v>
      </c>
      <c r="V834" s="55">
        <f>IFERROR(Table12[[#This Row],[Profit]]/Table12[[#This Row],[Sales]],0)</f>
        <v>0.49</v>
      </c>
    </row>
    <row r="835" spans="1:22" x14ac:dyDescent="0.2">
      <c r="A835">
        <v>834</v>
      </c>
      <c r="B835" t="s">
        <v>3329</v>
      </c>
      <c r="C835" s="1">
        <v>41855</v>
      </c>
      <c r="D835" s="22">
        <f>MONTH(Table12[[#This Row],[Order Date]])</f>
        <v>8</v>
      </c>
      <c r="E835" t="s">
        <v>3335</v>
      </c>
      <c r="F835" t="s">
        <v>3336</v>
      </c>
      <c r="G835" s="23" t="s">
        <v>41</v>
      </c>
      <c r="H835" s="23" t="s">
        <v>61</v>
      </c>
      <c r="I835" t="s">
        <v>783</v>
      </c>
      <c r="J835" s="23" t="s">
        <v>22</v>
      </c>
      <c r="K835" s="22">
        <v>5</v>
      </c>
      <c r="L835" s="1">
        <v>41860</v>
      </c>
      <c r="M835" s="22">
        <f>Table12[[#This Row],[Ship Date]]-Table12[[#This Row],[Order Date]]</f>
        <v>5</v>
      </c>
      <c r="N835" s="23" t="s">
        <v>20</v>
      </c>
      <c r="O835" s="23" t="s">
        <v>23</v>
      </c>
      <c r="P835" s="23" t="s">
        <v>109</v>
      </c>
      <c r="Q835" s="23" t="s">
        <v>39</v>
      </c>
      <c r="R835" s="23" t="s">
        <v>3330</v>
      </c>
      <c r="S835" s="33">
        <v>0</v>
      </c>
      <c r="T835" s="13">
        <v>16.399999999999999</v>
      </c>
      <c r="U835" s="13">
        <v>4.2640000000000002</v>
      </c>
      <c r="V835" s="55">
        <f>IFERROR(Table12[[#This Row],[Profit]]/Table12[[#This Row],[Sales]],0)</f>
        <v>0.26000000000000006</v>
      </c>
    </row>
    <row r="836" spans="1:22" x14ac:dyDescent="0.2">
      <c r="A836">
        <v>835</v>
      </c>
      <c r="B836" t="s">
        <v>3329</v>
      </c>
      <c r="C836" s="1">
        <v>41855</v>
      </c>
      <c r="D836" s="22">
        <f>MONTH(Table12[[#This Row],[Order Date]])</f>
        <v>8</v>
      </c>
      <c r="E836" t="s">
        <v>3337</v>
      </c>
      <c r="F836" t="s">
        <v>3338</v>
      </c>
      <c r="G836" s="23" t="s">
        <v>64</v>
      </c>
      <c r="H836" s="23" t="s">
        <v>65</v>
      </c>
      <c r="I836" t="s">
        <v>783</v>
      </c>
      <c r="J836" s="23" t="s">
        <v>22</v>
      </c>
      <c r="K836" s="22">
        <v>5</v>
      </c>
      <c r="L836" s="1">
        <v>41860</v>
      </c>
      <c r="M836" s="22">
        <f>Table12[[#This Row],[Ship Date]]-Table12[[#This Row],[Order Date]]</f>
        <v>5</v>
      </c>
      <c r="N836" s="23" t="s">
        <v>20</v>
      </c>
      <c r="O836" s="23" t="s">
        <v>23</v>
      </c>
      <c r="P836" s="23" t="s">
        <v>109</v>
      </c>
      <c r="Q836" s="23" t="s">
        <v>39</v>
      </c>
      <c r="R836" s="23" t="s">
        <v>3330</v>
      </c>
      <c r="S836" s="33">
        <v>0.2</v>
      </c>
      <c r="T836" s="13">
        <v>399.96</v>
      </c>
      <c r="U836" s="13">
        <v>34.996499999999997</v>
      </c>
      <c r="V836" s="55">
        <f>IFERROR(Table12[[#This Row],[Profit]]/Table12[[#This Row],[Sales]],0)</f>
        <v>8.7499999999999994E-2</v>
      </c>
    </row>
    <row r="837" spans="1:22" x14ac:dyDescent="0.2">
      <c r="A837">
        <v>836</v>
      </c>
      <c r="B837" t="s">
        <v>3329</v>
      </c>
      <c r="C837" s="1">
        <v>41855</v>
      </c>
      <c r="D837" s="22">
        <f>MONTH(Table12[[#This Row],[Order Date]])</f>
        <v>8</v>
      </c>
      <c r="E837" t="s">
        <v>3339</v>
      </c>
      <c r="F837" t="s">
        <v>3340</v>
      </c>
      <c r="G837" s="23" t="s">
        <v>41</v>
      </c>
      <c r="H837" s="23" t="s">
        <v>53</v>
      </c>
      <c r="I837" t="s">
        <v>783</v>
      </c>
      <c r="J837" s="23" t="s">
        <v>22</v>
      </c>
      <c r="K837" s="22">
        <v>5</v>
      </c>
      <c r="L837" s="1">
        <v>41860</v>
      </c>
      <c r="M837" s="22">
        <f>Table12[[#This Row],[Ship Date]]-Table12[[#This Row],[Order Date]]</f>
        <v>5</v>
      </c>
      <c r="N837" s="23" t="s">
        <v>20</v>
      </c>
      <c r="O837" s="23" t="s">
        <v>23</v>
      </c>
      <c r="P837" s="23" t="s">
        <v>109</v>
      </c>
      <c r="Q837" s="23" t="s">
        <v>39</v>
      </c>
      <c r="R837" s="23" t="s">
        <v>3330</v>
      </c>
      <c r="S837" s="33">
        <v>0</v>
      </c>
      <c r="T837" s="13">
        <v>158.9</v>
      </c>
      <c r="U837" s="13">
        <v>7.9450000000000003</v>
      </c>
      <c r="V837" s="55">
        <f>IFERROR(Table12[[#This Row],[Profit]]/Table12[[#This Row],[Sales]],0)</f>
        <v>0.05</v>
      </c>
    </row>
    <row r="838" spans="1:22" x14ac:dyDescent="0.2">
      <c r="A838">
        <v>837</v>
      </c>
      <c r="B838" t="s">
        <v>3329</v>
      </c>
      <c r="C838" s="1">
        <v>41855</v>
      </c>
      <c r="D838" s="22">
        <f>MONTH(Table12[[#This Row],[Order Date]])</f>
        <v>8</v>
      </c>
      <c r="E838" t="s">
        <v>369</v>
      </c>
      <c r="F838" t="s">
        <v>370</v>
      </c>
      <c r="G838" s="23" t="s">
        <v>41</v>
      </c>
      <c r="H838" s="23" t="s">
        <v>68</v>
      </c>
      <c r="I838" t="s">
        <v>783</v>
      </c>
      <c r="J838" s="23" t="s">
        <v>22</v>
      </c>
      <c r="K838" s="22">
        <v>1</v>
      </c>
      <c r="L838" s="1">
        <v>41860</v>
      </c>
      <c r="M838" s="22">
        <f>Table12[[#This Row],[Ship Date]]-Table12[[#This Row],[Order Date]]</f>
        <v>5</v>
      </c>
      <c r="N838" s="23" t="s">
        <v>20</v>
      </c>
      <c r="O838" s="23" t="s">
        <v>23</v>
      </c>
      <c r="P838" s="23" t="s">
        <v>109</v>
      </c>
      <c r="Q838" s="23" t="s">
        <v>39</v>
      </c>
      <c r="R838" s="23" t="s">
        <v>3330</v>
      </c>
      <c r="S838" s="33">
        <v>0.2</v>
      </c>
      <c r="T838" s="13">
        <v>13.183999999999999</v>
      </c>
      <c r="U838" s="13">
        <v>4.7792000000000003</v>
      </c>
      <c r="V838" s="55">
        <f>IFERROR(Table12[[#This Row],[Profit]]/Table12[[#This Row],[Sales]],0)</f>
        <v>0.36250000000000004</v>
      </c>
    </row>
    <row r="839" spans="1:22" x14ac:dyDescent="0.2">
      <c r="A839">
        <v>838</v>
      </c>
      <c r="B839" t="s">
        <v>9677</v>
      </c>
      <c r="C839" s="1">
        <v>41855</v>
      </c>
      <c r="D839" s="22">
        <f>MONTH(Table12[[#This Row],[Order Date]])</f>
        <v>8</v>
      </c>
      <c r="E839" t="s">
        <v>1625</v>
      </c>
      <c r="F839" t="s">
        <v>1626</v>
      </c>
      <c r="G839" s="23" t="s">
        <v>41</v>
      </c>
      <c r="H839" s="23" t="s">
        <v>71</v>
      </c>
      <c r="I839" t="s">
        <v>3738</v>
      </c>
      <c r="J839" s="23" t="s">
        <v>36</v>
      </c>
      <c r="K839" s="22">
        <v>2</v>
      </c>
      <c r="L839" s="1">
        <v>41859</v>
      </c>
      <c r="M839" s="22">
        <f>Table12[[#This Row],[Ship Date]]-Table12[[#This Row],[Order Date]]</f>
        <v>4</v>
      </c>
      <c r="N839" s="23" t="s">
        <v>45</v>
      </c>
      <c r="O839" s="23" t="s">
        <v>23</v>
      </c>
      <c r="P839" s="23" t="s">
        <v>4645</v>
      </c>
      <c r="Q839" s="23" t="s">
        <v>133</v>
      </c>
      <c r="R839" s="23" t="s">
        <v>4644</v>
      </c>
      <c r="S839" s="33">
        <v>0</v>
      </c>
      <c r="T839" s="13">
        <v>101.96</v>
      </c>
      <c r="U839" s="13">
        <v>27.529199999999999</v>
      </c>
      <c r="V839" s="55">
        <f>IFERROR(Table12[[#This Row],[Profit]]/Table12[[#This Row],[Sales]],0)</f>
        <v>0.27</v>
      </c>
    </row>
    <row r="840" spans="1:22" x14ac:dyDescent="0.2">
      <c r="A840">
        <v>839</v>
      </c>
      <c r="B840" t="s">
        <v>9677</v>
      </c>
      <c r="C840" s="1">
        <v>41855</v>
      </c>
      <c r="D840" s="22">
        <f>MONTH(Table12[[#This Row],[Order Date]])</f>
        <v>8</v>
      </c>
      <c r="E840" t="s">
        <v>6829</v>
      </c>
      <c r="F840" t="s">
        <v>6830</v>
      </c>
      <c r="G840" s="23" t="s">
        <v>41</v>
      </c>
      <c r="H840" s="23" t="s">
        <v>82</v>
      </c>
      <c r="I840" t="s">
        <v>3738</v>
      </c>
      <c r="J840" s="23" t="s">
        <v>36</v>
      </c>
      <c r="K840" s="22">
        <v>13</v>
      </c>
      <c r="L840" s="1">
        <v>41859</v>
      </c>
      <c r="M840" s="22">
        <f>Table12[[#This Row],[Ship Date]]-Table12[[#This Row],[Order Date]]</f>
        <v>4</v>
      </c>
      <c r="N840" s="23" t="s">
        <v>45</v>
      </c>
      <c r="O840" s="23" t="s">
        <v>23</v>
      </c>
      <c r="P840" s="23" t="s">
        <v>4645</v>
      </c>
      <c r="Q840" s="23" t="s">
        <v>133</v>
      </c>
      <c r="R840" s="23" t="s">
        <v>4644</v>
      </c>
      <c r="S840" s="33">
        <v>0</v>
      </c>
      <c r="T840" s="13">
        <v>259.74</v>
      </c>
      <c r="U840" s="13">
        <v>124.6752</v>
      </c>
      <c r="V840" s="55">
        <f>IFERROR(Table12[[#This Row],[Profit]]/Table12[[#This Row],[Sales]],0)</f>
        <v>0.48</v>
      </c>
    </row>
    <row r="841" spans="1:22" x14ac:dyDescent="0.2">
      <c r="A841">
        <v>840</v>
      </c>
      <c r="B841" t="s">
        <v>9677</v>
      </c>
      <c r="C841" s="1">
        <v>41855</v>
      </c>
      <c r="D841" s="22">
        <f>MONTH(Table12[[#This Row],[Order Date]])</f>
        <v>8</v>
      </c>
      <c r="E841" t="s">
        <v>2479</v>
      </c>
      <c r="F841" t="s">
        <v>2480</v>
      </c>
      <c r="G841" s="23" t="s">
        <v>64</v>
      </c>
      <c r="H841" s="23" t="s">
        <v>144</v>
      </c>
      <c r="I841" t="s">
        <v>3738</v>
      </c>
      <c r="J841" s="23" t="s">
        <v>36</v>
      </c>
      <c r="K841" s="22">
        <v>9</v>
      </c>
      <c r="L841" s="1">
        <v>41859</v>
      </c>
      <c r="M841" s="22">
        <f>Table12[[#This Row],[Ship Date]]-Table12[[#This Row],[Order Date]]</f>
        <v>4</v>
      </c>
      <c r="N841" s="23" t="s">
        <v>45</v>
      </c>
      <c r="O841" s="23" t="s">
        <v>23</v>
      </c>
      <c r="P841" s="23" t="s">
        <v>4645</v>
      </c>
      <c r="Q841" s="23" t="s">
        <v>133</v>
      </c>
      <c r="R841" s="23" t="s">
        <v>4644</v>
      </c>
      <c r="S841" s="33">
        <v>0</v>
      </c>
      <c r="T841" s="13">
        <v>255.42</v>
      </c>
      <c r="U841" s="13">
        <v>104.7222</v>
      </c>
      <c r="V841" s="55">
        <f>IFERROR(Table12[[#This Row],[Profit]]/Table12[[#This Row],[Sales]],0)</f>
        <v>0.41000000000000003</v>
      </c>
    </row>
    <row r="842" spans="1:22" x14ac:dyDescent="0.2">
      <c r="A842">
        <v>841</v>
      </c>
      <c r="B842" t="s">
        <v>614</v>
      </c>
      <c r="C842" s="1">
        <v>41856</v>
      </c>
      <c r="D842" s="22">
        <f>MONTH(Table12[[#This Row],[Order Date]])</f>
        <v>8</v>
      </c>
      <c r="E842" t="s">
        <v>616</v>
      </c>
      <c r="F842" t="s">
        <v>617</v>
      </c>
      <c r="G842" s="23" t="s">
        <v>41</v>
      </c>
      <c r="H842" s="23" t="s">
        <v>82</v>
      </c>
      <c r="I842" t="s">
        <v>615</v>
      </c>
      <c r="J842" s="23" t="s">
        <v>22</v>
      </c>
      <c r="K842" s="22">
        <v>3</v>
      </c>
      <c r="L842" s="1">
        <v>41860</v>
      </c>
      <c r="M842" s="22">
        <f>Table12[[#This Row],[Ship Date]]-Table12[[#This Row],[Order Date]]</f>
        <v>4</v>
      </c>
      <c r="N842" s="23" t="s">
        <v>45</v>
      </c>
      <c r="O842" s="23" t="s">
        <v>23</v>
      </c>
      <c r="P842" s="23" t="s">
        <v>38</v>
      </c>
      <c r="Q842" s="23" t="s">
        <v>39</v>
      </c>
      <c r="R842" s="23" t="s">
        <v>37</v>
      </c>
      <c r="S842" s="33">
        <v>0</v>
      </c>
      <c r="T842" s="13">
        <v>20.94</v>
      </c>
      <c r="U842" s="13">
        <v>9.8417999999999992</v>
      </c>
      <c r="V842" s="55">
        <f>IFERROR(Table12[[#This Row],[Profit]]/Table12[[#This Row],[Sales]],0)</f>
        <v>0.46999999999999992</v>
      </c>
    </row>
    <row r="843" spans="1:22" x14ac:dyDescent="0.2">
      <c r="A843">
        <v>842</v>
      </c>
      <c r="B843" t="s">
        <v>614</v>
      </c>
      <c r="C843" s="1">
        <v>41856</v>
      </c>
      <c r="D843" s="22">
        <f>MONTH(Table12[[#This Row],[Order Date]])</f>
        <v>8</v>
      </c>
      <c r="E843" t="s">
        <v>618</v>
      </c>
      <c r="F843" t="s">
        <v>619</v>
      </c>
      <c r="G843" s="23" t="s">
        <v>41</v>
      </c>
      <c r="H843" s="23" t="s">
        <v>82</v>
      </c>
      <c r="I843" t="s">
        <v>615</v>
      </c>
      <c r="J843" s="23" t="s">
        <v>22</v>
      </c>
      <c r="K843" s="22">
        <v>2</v>
      </c>
      <c r="L843" s="1">
        <v>41860</v>
      </c>
      <c r="M843" s="22">
        <f>Table12[[#This Row],[Ship Date]]-Table12[[#This Row],[Order Date]]</f>
        <v>4</v>
      </c>
      <c r="N843" s="23" t="s">
        <v>45</v>
      </c>
      <c r="O843" s="23" t="s">
        <v>23</v>
      </c>
      <c r="P843" s="23" t="s">
        <v>38</v>
      </c>
      <c r="Q843" s="23" t="s">
        <v>39</v>
      </c>
      <c r="R843" s="23" t="s">
        <v>37</v>
      </c>
      <c r="S843" s="33">
        <v>0</v>
      </c>
      <c r="T843" s="13">
        <v>110.96</v>
      </c>
      <c r="U843" s="13">
        <v>53.260800000000003</v>
      </c>
      <c r="V843" s="55">
        <f>IFERROR(Table12[[#This Row],[Profit]]/Table12[[#This Row],[Sales]],0)</f>
        <v>0.48000000000000004</v>
      </c>
    </row>
    <row r="844" spans="1:22" x14ac:dyDescent="0.2">
      <c r="A844">
        <v>843</v>
      </c>
      <c r="B844" t="s">
        <v>614</v>
      </c>
      <c r="C844" s="1">
        <v>41856</v>
      </c>
      <c r="D844" s="22">
        <f>MONTH(Table12[[#This Row],[Order Date]])</f>
        <v>8</v>
      </c>
      <c r="E844" t="s">
        <v>620</v>
      </c>
      <c r="F844" t="s">
        <v>621</v>
      </c>
      <c r="G844" s="23" t="s">
        <v>28</v>
      </c>
      <c r="H844" s="23" t="s">
        <v>32</v>
      </c>
      <c r="I844" t="s">
        <v>615</v>
      </c>
      <c r="J844" s="23" t="s">
        <v>22</v>
      </c>
      <c r="K844" s="22">
        <v>7</v>
      </c>
      <c r="L844" s="1">
        <v>41860</v>
      </c>
      <c r="M844" s="22">
        <f>Table12[[#This Row],[Ship Date]]-Table12[[#This Row],[Order Date]]</f>
        <v>4</v>
      </c>
      <c r="N844" s="23" t="s">
        <v>45</v>
      </c>
      <c r="O844" s="23" t="s">
        <v>23</v>
      </c>
      <c r="P844" s="23" t="s">
        <v>38</v>
      </c>
      <c r="Q844" s="23" t="s">
        <v>39</v>
      </c>
      <c r="R844" s="23" t="s">
        <v>37</v>
      </c>
      <c r="S844" s="33">
        <v>0.2</v>
      </c>
      <c r="T844" s="13">
        <v>340.14400000000001</v>
      </c>
      <c r="U844" s="13">
        <v>21.259</v>
      </c>
      <c r="V844" s="55">
        <f>IFERROR(Table12[[#This Row],[Profit]]/Table12[[#This Row],[Sales]],0)</f>
        <v>6.25E-2</v>
      </c>
    </row>
    <row r="845" spans="1:22" x14ac:dyDescent="0.2">
      <c r="A845">
        <v>844</v>
      </c>
      <c r="B845" t="s">
        <v>7415</v>
      </c>
      <c r="C845" s="1">
        <v>41856</v>
      </c>
      <c r="D845" s="22">
        <f>MONTH(Table12[[#This Row],[Order Date]])</f>
        <v>8</v>
      </c>
      <c r="E845" t="s">
        <v>3320</v>
      </c>
      <c r="F845" t="s">
        <v>3321</v>
      </c>
      <c r="G845" s="23" t="s">
        <v>64</v>
      </c>
      <c r="H845" s="23" t="s">
        <v>144</v>
      </c>
      <c r="I845" t="s">
        <v>1500</v>
      </c>
      <c r="J845" s="23" t="s">
        <v>22</v>
      </c>
      <c r="K845" s="22">
        <v>1</v>
      </c>
      <c r="L845" s="1">
        <v>41862</v>
      </c>
      <c r="M845" s="22">
        <f>Table12[[#This Row],[Ship Date]]-Table12[[#This Row],[Order Date]]</f>
        <v>6</v>
      </c>
      <c r="N845" s="23" t="s">
        <v>45</v>
      </c>
      <c r="O845" s="23" t="s">
        <v>23</v>
      </c>
      <c r="P845" s="23" t="s">
        <v>38</v>
      </c>
      <c r="Q845" s="23" t="s">
        <v>39</v>
      </c>
      <c r="R845" s="23" t="s">
        <v>114</v>
      </c>
      <c r="S845" s="33">
        <v>0</v>
      </c>
      <c r="T845" s="13">
        <v>16.36</v>
      </c>
      <c r="U845" s="13">
        <v>1.6359999999999999</v>
      </c>
      <c r="V845" s="55">
        <f>IFERROR(Table12[[#This Row],[Profit]]/Table12[[#This Row],[Sales]],0)</f>
        <v>9.9999999999999992E-2</v>
      </c>
    </row>
    <row r="846" spans="1:22" x14ac:dyDescent="0.2">
      <c r="A846">
        <v>845</v>
      </c>
      <c r="B846" t="s">
        <v>7415</v>
      </c>
      <c r="C846" s="1">
        <v>41856</v>
      </c>
      <c r="D846" s="22">
        <f>MONTH(Table12[[#This Row],[Order Date]])</f>
        <v>8</v>
      </c>
      <c r="E846" t="s">
        <v>6051</v>
      </c>
      <c r="F846" t="s">
        <v>6052</v>
      </c>
      <c r="G846" s="23" t="s">
        <v>41</v>
      </c>
      <c r="H846" s="23" t="s">
        <v>53</v>
      </c>
      <c r="I846" t="s">
        <v>1500</v>
      </c>
      <c r="J846" s="23" t="s">
        <v>22</v>
      </c>
      <c r="K846" s="22">
        <v>2</v>
      </c>
      <c r="L846" s="1">
        <v>41862</v>
      </c>
      <c r="M846" s="22">
        <f>Table12[[#This Row],[Ship Date]]-Table12[[#This Row],[Order Date]]</f>
        <v>6</v>
      </c>
      <c r="N846" s="23" t="s">
        <v>45</v>
      </c>
      <c r="O846" s="23" t="s">
        <v>23</v>
      </c>
      <c r="P846" s="23" t="s">
        <v>38</v>
      </c>
      <c r="Q846" s="23" t="s">
        <v>39</v>
      </c>
      <c r="R846" s="23" t="s">
        <v>114</v>
      </c>
      <c r="S846" s="33">
        <v>0</v>
      </c>
      <c r="T846" s="13">
        <v>15.78</v>
      </c>
      <c r="U846" s="13">
        <v>0.63119999999999998</v>
      </c>
      <c r="V846" s="55">
        <f>IFERROR(Table12[[#This Row],[Profit]]/Table12[[#This Row],[Sales]],0)</f>
        <v>0.04</v>
      </c>
    </row>
    <row r="847" spans="1:22" x14ac:dyDescent="0.2">
      <c r="A847">
        <v>846</v>
      </c>
      <c r="B847" t="s">
        <v>7415</v>
      </c>
      <c r="C847" s="1">
        <v>41856</v>
      </c>
      <c r="D847" s="22">
        <f>MONTH(Table12[[#This Row],[Order Date]])</f>
        <v>8</v>
      </c>
      <c r="E847" t="s">
        <v>4431</v>
      </c>
      <c r="F847" t="s">
        <v>4432</v>
      </c>
      <c r="G847" s="23" t="s">
        <v>41</v>
      </c>
      <c r="H847" s="23" t="s">
        <v>61</v>
      </c>
      <c r="I847" t="s">
        <v>1500</v>
      </c>
      <c r="J847" s="23" t="s">
        <v>22</v>
      </c>
      <c r="K847" s="22">
        <v>2</v>
      </c>
      <c r="L847" s="1">
        <v>41862</v>
      </c>
      <c r="M847" s="22">
        <f>Table12[[#This Row],[Ship Date]]-Table12[[#This Row],[Order Date]]</f>
        <v>6</v>
      </c>
      <c r="N847" s="23" t="s">
        <v>45</v>
      </c>
      <c r="O847" s="23" t="s">
        <v>23</v>
      </c>
      <c r="P847" s="23" t="s">
        <v>38</v>
      </c>
      <c r="Q847" s="23" t="s">
        <v>39</v>
      </c>
      <c r="R847" s="23" t="s">
        <v>114</v>
      </c>
      <c r="S847" s="33">
        <v>0</v>
      </c>
      <c r="T847" s="13">
        <v>45.98</v>
      </c>
      <c r="U847" s="13">
        <v>12.8744</v>
      </c>
      <c r="V847" s="55">
        <f>IFERROR(Table12[[#This Row],[Profit]]/Table12[[#This Row],[Sales]],0)</f>
        <v>0.28000000000000003</v>
      </c>
    </row>
    <row r="848" spans="1:22" x14ac:dyDescent="0.2">
      <c r="A848">
        <v>847</v>
      </c>
      <c r="B848" t="s">
        <v>7772</v>
      </c>
      <c r="C848" s="1">
        <v>41856</v>
      </c>
      <c r="D848" s="22">
        <f>MONTH(Table12[[#This Row],[Order Date]])</f>
        <v>8</v>
      </c>
      <c r="E848" t="s">
        <v>4606</v>
      </c>
      <c r="F848" t="s">
        <v>4607</v>
      </c>
      <c r="G848" s="23" t="s">
        <v>41</v>
      </c>
      <c r="H848" s="23" t="s">
        <v>71</v>
      </c>
      <c r="I848" t="s">
        <v>4703</v>
      </c>
      <c r="J848" s="23" t="s">
        <v>36</v>
      </c>
      <c r="K848" s="22">
        <v>3</v>
      </c>
      <c r="L848" s="1">
        <v>41858</v>
      </c>
      <c r="M848" s="22">
        <f>Table12[[#This Row],[Ship Date]]-Table12[[#This Row],[Order Date]]</f>
        <v>2</v>
      </c>
      <c r="N848" s="23" t="s">
        <v>20</v>
      </c>
      <c r="O848" s="23" t="s">
        <v>23</v>
      </c>
      <c r="P848" s="23" t="s">
        <v>660</v>
      </c>
      <c r="Q848" s="23" t="s">
        <v>133</v>
      </c>
      <c r="R848" s="23" t="s">
        <v>4073</v>
      </c>
      <c r="S848" s="33">
        <v>0</v>
      </c>
      <c r="T848" s="13">
        <v>79.47</v>
      </c>
      <c r="U848" s="13">
        <v>22.2516</v>
      </c>
      <c r="V848" s="55">
        <f>IFERROR(Table12[[#This Row],[Profit]]/Table12[[#This Row],[Sales]],0)</f>
        <v>0.28000000000000003</v>
      </c>
    </row>
    <row r="849" spans="1:22" x14ac:dyDescent="0.2">
      <c r="A849">
        <v>848</v>
      </c>
      <c r="B849" t="s">
        <v>7772</v>
      </c>
      <c r="C849" s="1">
        <v>41856</v>
      </c>
      <c r="D849" s="22">
        <f>MONTH(Table12[[#This Row],[Order Date]])</f>
        <v>8</v>
      </c>
      <c r="E849" t="s">
        <v>6348</v>
      </c>
      <c r="F849" t="s">
        <v>6349</v>
      </c>
      <c r="G849" s="23" t="s">
        <v>41</v>
      </c>
      <c r="H849" s="23" t="s">
        <v>61</v>
      </c>
      <c r="I849" t="s">
        <v>4703</v>
      </c>
      <c r="J849" s="23" t="s">
        <v>36</v>
      </c>
      <c r="K849" s="22">
        <v>2</v>
      </c>
      <c r="L849" s="1">
        <v>41858</v>
      </c>
      <c r="M849" s="22">
        <f>Table12[[#This Row],[Ship Date]]-Table12[[#This Row],[Order Date]]</f>
        <v>2</v>
      </c>
      <c r="N849" s="23" t="s">
        <v>20</v>
      </c>
      <c r="O849" s="23" t="s">
        <v>23</v>
      </c>
      <c r="P849" s="23" t="s">
        <v>660</v>
      </c>
      <c r="Q849" s="23" t="s">
        <v>133</v>
      </c>
      <c r="R849" s="23" t="s">
        <v>4073</v>
      </c>
      <c r="S849" s="33">
        <v>0</v>
      </c>
      <c r="T849" s="13">
        <v>4.5599999999999996</v>
      </c>
      <c r="U849" s="13">
        <v>2.0064000000000002</v>
      </c>
      <c r="V849" s="55">
        <f>IFERROR(Table12[[#This Row],[Profit]]/Table12[[#This Row],[Sales]],0)</f>
        <v>0.44000000000000006</v>
      </c>
    </row>
    <row r="850" spans="1:22" x14ac:dyDescent="0.2">
      <c r="A850">
        <v>849</v>
      </c>
      <c r="B850" t="s">
        <v>7772</v>
      </c>
      <c r="C850" s="1">
        <v>41856</v>
      </c>
      <c r="D850" s="22">
        <f>MONTH(Table12[[#This Row],[Order Date]])</f>
        <v>8</v>
      </c>
      <c r="E850" t="s">
        <v>2160</v>
      </c>
      <c r="F850" t="s">
        <v>2161</v>
      </c>
      <c r="G850" s="23" t="s">
        <v>28</v>
      </c>
      <c r="H850" s="23" t="s">
        <v>32</v>
      </c>
      <c r="I850" t="s">
        <v>4703</v>
      </c>
      <c r="J850" s="23" t="s">
        <v>36</v>
      </c>
      <c r="K850" s="22">
        <v>5</v>
      </c>
      <c r="L850" s="1">
        <v>41858</v>
      </c>
      <c r="M850" s="22">
        <f>Table12[[#This Row],[Ship Date]]-Table12[[#This Row],[Order Date]]</f>
        <v>2</v>
      </c>
      <c r="N850" s="23" t="s">
        <v>20</v>
      </c>
      <c r="O850" s="23" t="s">
        <v>23</v>
      </c>
      <c r="P850" s="23" t="s">
        <v>660</v>
      </c>
      <c r="Q850" s="23" t="s">
        <v>133</v>
      </c>
      <c r="R850" s="23" t="s">
        <v>4073</v>
      </c>
      <c r="S850" s="33">
        <v>0</v>
      </c>
      <c r="T850" s="13">
        <v>1133.3499999999999</v>
      </c>
      <c r="U850" s="13">
        <v>294.67099999999999</v>
      </c>
      <c r="V850" s="55">
        <f>IFERROR(Table12[[#This Row],[Profit]]/Table12[[#This Row],[Sales]],0)</f>
        <v>0.26</v>
      </c>
    </row>
    <row r="851" spans="1:22" x14ac:dyDescent="0.2">
      <c r="A851">
        <v>850</v>
      </c>
      <c r="B851" t="s">
        <v>8137</v>
      </c>
      <c r="C851" s="1">
        <v>41856</v>
      </c>
      <c r="D851" s="22">
        <f>MONTH(Table12[[#This Row],[Order Date]])</f>
        <v>8</v>
      </c>
      <c r="E851" t="s">
        <v>4401</v>
      </c>
      <c r="F851" t="s">
        <v>4402</v>
      </c>
      <c r="G851" s="23" t="s">
        <v>64</v>
      </c>
      <c r="H851" s="23" t="s">
        <v>65</v>
      </c>
      <c r="I851" t="s">
        <v>556</v>
      </c>
      <c r="J851" s="23" t="s">
        <v>36</v>
      </c>
      <c r="K851" s="22">
        <v>1</v>
      </c>
      <c r="L851" s="1">
        <v>41862</v>
      </c>
      <c r="M851" s="22">
        <f>Table12[[#This Row],[Ship Date]]-Table12[[#This Row],[Order Date]]</f>
        <v>6</v>
      </c>
      <c r="N851" s="23" t="s">
        <v>45</v>
      </c>
      <c r="O851" s="23" t="s">
        <v>23</v>
      </c>
      <c r="P851" s="23" t="s">
        <v>238</v>
      </c>
      <c r="Q851" s="23" t="s">
        <v>133</v>
      </c>
      <c r="R851" s="23" t="s">
        <v>237</v>
      </c>
      <c r="S851" s="33">
        <v>0</v>
      </c>
      <c r="T851" s="13">
        <v>135.99</v>
      </c>
      <c r="U851" s="13">
        <v>36.717300000000002</v>
      </c>
      <c r="V851" s="55">
        <f>IFERROR(Table12[[#This Row],[Profit]]/Table12[[#This Row],[Sales]],0)</f>
        <v>0.27</v>
      </c>
    </row>
    <row r="852" spans="1:22" x14ac:dyDescent="0.2">
      <c r="A852">
        <v>851</v>
      </c>
      <c r="B852" t="s">
        <v>8137</v>
      </c>
      <c r="C852" s="1">
        <v>41856</v>
      </c>
      <c r="D852" s="22">
        <f>MONTH(Table12[[#This Row],[Order Date]])</f>
        <v>8</v>
      </c>
      <c r="E852" t="s">
        <v>6348</v>
      </c>
      <c r="F852" t="s">
        <v>6349</v>
      </c>
      <c r="G852" s="23" t="s">
        <v>41</v>
      </c>
      <c r="H852" s="23" t="s">
        <v>61</v>
      </c>
      <c r="I852" t="s">
        <v>556</v>
      </c>
      <c r="J852" s="23" t="s">
        <v>36</v>
      </c>
      <c r="K852" s="22">
        <v>7</v>
      </c>
      <c r="L852" s="1">
        <v>41862</v>
      </c>
      <c r="M852" s="22">
        <f>Table12[[#This Row],[Ship Date]]-Table12[[#This Row],[Order Date]]</f>
        <v>6</v>
      </c>
      <c r="N852" s="23" t="s">
        <v>45</v>
      </c>
      <c r="O852" s="23" t="s">
        <v>23</v>
      </c>
      <c r="P852" s="23" t="s">
        <v>238</v>
      </c>
      <c r="Q852" s="23" t="s">
        <v>133</v>
      </c>
      <c r="R852" s="23" t="s">
        <v>237</v>
      </c>
      <c r="S852" s="33">
        <v>0</v>
      </c>
      <c r="T852" s="13">
        <v>15.96</v>
      </c>
      <c r="U852" s="13">
        <v>7.0224000000000002</v>
      </c>
      <c r="V852" s="55">
        <f>IFERROR(Table12[[#This Row],[Profit]]/Table12[[#This Row],[Sales]],0)</f>
        <v>0.44</v>
      </c>
    </row>
    <row r="853" spans="1:22" x14ac:dyDescent="0.2">
      <c r="A853">
        <v>852</v>
      </c>
      <c r="B853" t="s">
        <v>9518</v>
      </c>
      <c r="C853" s="1">
        <v>41856</v>
      </c>
      <c r="D853" s="22">
        <f>MONTH(Table12[[#This Row],[Order Date]])</f>
        <v>8</v>
      </c>
      <c r="E853" t="s">
        <v>3910</v>
      </c>
      <c r="F853" t="s">
        <v>3911</v>
      </c>
      <c r="G853" s="23" t="s">
        <v>28</v>
      </c>
      <c r="H853" s="23" t="s">
        <v>50</v>
      </c>
      <c r="I853" t="s">
        <v>399</v>
      </c>
      <c r="J853" s="23" t="s">
        <v>22</v>
      </c>
      <c r="K853" s="22">
        <v>2</v>
      </c>
      <c r="L853" s="1">
        <v>41863</v>
      </c>
      <c r="M853" s="22">
        <f>Table12[[#This Row],[Ship Date]]-Table12[[#This Row],[Order Date]]</f>
        <v>7</v>
      </c>
      <c r="N853" s="23" t="s">
        <v>45</v>
      </c>
      <c r="O853" s="23" t="s">
        <v>23</v>
      </c>
      <c r="P853" s="23" t="s">
        <v>94</v>
      </c>
      <c r="Q853" s="23" t="s">
        <v>95</v>
      </c>
      <c r="R853" s="23" t="s">
        <v>8223</v>
      </c>
      <c r="S853" s="33">
        <v>0.3</v>
      </c>
      <c r="T853" s="13">
        <v>489.23</v>
      </c>
      <c r="U853" s="13">
        <v>41.933999999999997</v>
      </c>
      <c r="V853" s="55">
        <f>IFERROR(Table12[[#This Row],[Profit]]/Table12[[#This Row],[Sales]],0)</f>
        <v>8.5714285714285701E-2</v>
      </c>
    </row>
    <row r="854" spans="1:22" x14ac:dyDescent="0.2">
      <c r="A854">
        <v>853</v>
      </c>
      <c r="B854" t="s">
        <v>6202</v>
      </c>
      <c r="C854" s="1">
        <v>41857</v>
      </c>
      <c r="D854" s="22">
        <f>MONTH(Table12[[#This Row],[Order Date]])</f>
        <v>8</v>
      </c>
      <c r="E854" t="s">
        <v>3143</v>
      </c>
      <c r="F854" t="s">
        <v>3144</v>
      </c>
      <c r="G854" s="23" t="s">
        <v>64</v>
      </c>
      <c r="H854" s="23" t="s">
        <v>144</v>
      </c>
      <c r="I854" t="s">
        <v>2098</v>
      </c>
      <c r="J854" s="23" t="s">
        <v>22</v>
      </c>
      <c r="K854" s="22">
        <v>3</v>
      </c>
      <c r="L854" s="1">
        <v>41862</v>
      </c>
      <c r="M854" s="22">
        <f>Table12[[#This Row],[Ship Date]]-Table12[[#This Row],[Order Date]]</f>
        <v>5</v>
      </c>
      <c r="N854" s="23" t="s">
        <v>20</v>
      </c>
      <c r="O854" s="23" t="s">
        <v>23</v>
      </c>
      <c r="P854" s="23" t="s">
        <v>342</v>
      </c>
      <c r="Q854" s="23" t="s">
        <v>26</v>
      </c>
      <c r="R854" s="23" t="s">
        <v>341</v>
      </c>
      <c r="S854" s="33">
        <v>0</v>
      </c>
      <c r="T854" s="13">
        <v>62.91</v>
      </c>
      <c r="U854" s="13">
        <v>22.647600000000001</v>
      </c>
      <c r="V854" s="55">
        <f>IFERROR(Table12[[#This Row],[Profit]]/Table12[[#This Row],[Sales]],0)</f>
        <v>0.36000000000000004</v>
      </c>
    </row>
    <row r="855" spans="1:22" x14ac:dyDescent="0.2">
      <c r="A855">
        <v>854</v>
      </c>
      <c r="B855" t="s">
        <v>9313</v>
      </c>
      <c r="C855" s="1">
        <v>41857</v>
      </c>
      <c r="D855" s="22">
        <f>MONTH(Table12[[#This Row],[Order Date]])</f>
        <v>8</v>
      </c>
      <c r="E855" t="s">
        <v>1412</v>
      </c>
      <c r="F855" t="s">
        <v>1413</v>
      </c>
      <c r="G855" s="23" t="s">
        <v>64</v>
      </c>
      <c r="H855" s="23" t="s">
        <v>144</v>
      </c>
      <c r="I855" t="s">
        <v>4488</v>
      </c>
      <c r="J855" s="23" t="s">
        <v>22</v>
      </c>
      <c r="K855" s="22">
        <v>2</v>
      </c>
      <c r="L855" s="1">
        <v>41862</v>
      </c>
      <c r="M855" s="22">
        <f>Table12[[#This Row],[Ship Date]]-Table12[[#This Row],[Order Date]]</f>
        <v>5</v>
      </c>
      <c r="N855" s="23" t="s">
        <v>45</v>
      </c>
      <c r="O855" s="23" t="s">
        <v>23</v>
      </c>
      <c r="P855" s="23" t="s">
        <v>238</v>
      </c>
      <c r="Q855" s="23" t="s">
        <v>133</v>
      </c>
      <c r="R855" s="23" t="s">
        <v>237</v>
      </c>
      <c r="S855" s="33">
        <v>0</v>
      </c>
      <c r="T855" s="13">
        <v>199.98</v>
      </c>
      <c r="U855" s="13">
        <v>83.991600000000005</v>
      </c>
      <c r="V855" s="55">
        <f>IFERROR(Table12[[#This Row],[Profit]]/Table12[[#This Row],[Sales]],0)</f>
        <v>0.42000000000000004</v>
      </c>
    </row>
    <row r="856" spans="1:22" x14ac:dyDescent="0.2">
      <c r="A856">
        <v>855</v>
      </c>
      <c r="B856" t="s">
        <v>1756</v>
      </c>
      <c r="C856" s="1">
        <v>41859</v>
      </c>
      <c r="D856" s="22">
        <f>MONTH(Table12[[#This Row],[Order Date]])</f>
        <v>8</v>
      </c>
      <c r="E856" t="s">
        <v>1758</v>
      </c>
      <c r="F856" t="s">
        <v>1759</v>
      </c>
      <c r="G856" s="23" t="s">
        <v>41</v>
      </c>
      <c r="H856" s="23" t="s">
        <v>71</v>
      </c>
      <c r="I856" t="s">
        <v>1757</v>
      </c>
      <c r="J856" s="23" t="s">
        <v>22</v>
      </c>
      <c r="K856" s="22">
        <v>2</v>
      </c>
      <c r="L856" s="1">
        <v>41866</v>
      </c>
      <c r="M856" s="22">
        <f>Table12[[#This Row],[Ship Date]]-Table12[[#This Row],[Order Date]]</f>
        <v>7</v>
      </c>
      <c r="N856" s="23" t="s">
        <v>45</v>
      </c>
      <c r="O856" s="23" t="s">
        <v>23</v>
      </c>
      <c r="P856" s="23" t="s">
        <v>38</v>
      </c>
      <c r="Q856" s="23" t="s">
        <v>39</v>
      </c>
      <c r="R856" s="23" t="s">
        <v>836</v>
      </c>
      <c r="S856" s="33">
        <v>0</v>
      </c>
      <c r="T856" s="13">
        <v>76.12</v>
      </c>
      <c r="U856" s="13">
        <v>22.0748</v>
      </c>
      <c r="V856" s="55">
        <f>IFERROR(Table12[[#This Row],[Profit]]/Table12[[#This Row],[Sales]],0)</f>
        <v>0.28999999999999998</v>
      </c>
    </row>
    <row r="857" spans="1:22" x14ac:dyDescent="0.2">
      <c r="A857">
        <v>856</v>
      </c>
      <c r="B857" t="s">
        <v>1756</v>
      </c>
      <c r="C857" s="1">
        <v>41859</v>
      </c>
      <c r="D857" s="22">
        <f>MONTH(Table12[[#This Row],[Order Date]])</f>
        <v>8</v>
      </c>
      <c r="E857" t="s">
        <v>1265</v>
      </c>
      <c r="F857" t="s">
        <v>1266</v>
      </c>
      <c r="G857" s="23" t="s">
        <v>64</v>
      </c>
      <c r="H857" s="23" t="s">
        <v>1075</v>
      </c>
      <c r="I857" t="s">
        <v>1757</v>
      </c>
      <c r="J857" s="23" t="s">
        <v>22</v>
      </c>
      <c r="K857" s="22">
        <v>3</v>
      </c>
      <c r="L857" s="1">
        <v>41866</v>
      </c>
      <c r="M857" s="22">
        <f>Table12[[#This Row],[Ship Date]]-Table12[[#This Row],[Order Date]]</f>
        <v>7</v>
      </c>
      <c r="N857" s="23" t="s">
        <v>45</v>
      </c>
      <c r="O857" s="23" t="s">
        <v>23</v>
      </c>
      <c r="P857" s="23" t="s">
        <v>38</v>
      </c>
      <c r="Q857" s="23" t="s">
        <v>39</v>
      </c>
      <c r="R857" s="23" t="s">
        <v>836</v>
      </c>
      <c r="S857" s="33">
        <v>0.2</v>
      </c>
      <c r="T857" s="13">
        <v>1199.9760000000001</v>
      </c>
      <c r="U857" s="13">
        <v>434.99130000000002</v>
      </c>
      <c r="V857" s="55">
        <f>IFERROR(Table12[[#This Row],[Profit]]/Table12[[#This Row],[Sales]],0)</f>
        <v>0.36249999999999999</v>
      </c>
    </row>
    <row r="858" spans="1:22" x14ac:dyDescent="0.2">
      <c r="A858">
        <v>857</v>
      </c>
      <c r="B858" t="s">
        <v>1756</v>
      </c>
      <c r="C858" s="1">
        <v>41859</v>
      </c>
      <c r="D858" s="22">
        <f>MONTH(Table12[[#This Row],[Order Date]])</f>
        <v>8</v>
      </c>
      <c r="E858" t="s">
        <v>1019</v>
      </c>
      <c r="F858" t="s">
        <v>1020</v>
      </c>
      <c r="G858" s="23" t="s">
        <v>64</v>
      </c>
      <c r="H858" s="23" t="s">
        <v>65</v>
      </c>
      <c r="I858" t="s">
        <v>1757</v>
      </c>
      <c r="J858" s="23" t="s">
        <v>22</v>
      </c>
      <c r="K858" s="22">
        <v>5</v>
      </c>
      <c r="L858" s="1">
        <v>41866</v>
      </c>
      <c r="M858" s="22">
        <f>Table12[[#This Row],[Ship Date]]-Table12[[#This Row],[Order Date]]</f>
        <v>7</v>
      </c>
      <c r="N858" s="23" t="s">
        <v>45</v>
      </c>
      <c r="O858" s="23" t="s">
        <v>23</v>
      </c>
      <c r="P858" s="23" t="s">
        <v>38</v>
      </c>
      <c r="Q858" s="23" t="s">
        <v>39</v>
      </c>
      <c r="R858" s="23" t="s">
        <v>836</v>
      </c>
      <c r="S858" s="33">
        <v>0.2</v>
      </c>
      <c r="T858" s="13">
        <v>445.96</v>
      </c>
      <c r="U858" s="13">
        <v>55.744999999999997</v>
      </c>
      <c r="V858" s="55">
        <f>IFERROR(Table12[[#This Row],[Profit]]/Table12[[#This Row],[Sales]],0)</f>
        <v>0.125</v>
      </c>
    </row>
    <row r="859" spans="1:22" x14ac:dyDescent="0.2">
      <c r="A859">
        <v>858</v>
      </c>
      <c r="B859" t="s">
        <v>1756</v>
      </c>
      <c r="C859" s="1">
        <v>41859</v>
      </c>
      <c r="D859" s="22">
        <f>MONTH(Table12[[#This Row],[Order Date]])</f>
        <v>8</v>
      </c>
      <c r="E859" t="s">
        <v>1760</v>
      </c>
      <c r="F859" t="s">
        <v>1761</v>
      </c>
      <c r="G859" s="23" t="s">
        <v>28</v>
      </c>
      <c r="H859" s="23" t="s">
        <v>58</v>
      </c>
      <c r="I859" t="s">
        <v>1757</v>
      </c>
      <c r="J859" s="23" t="s">
        <v>22</v>
      </c>
      <c r="K859" s="22">
        <v>8</v>
      </c>
      <c r="L859" s="1">
        <v>41866</v>
      </c>
      <c r="M859" s="22">
        <f>Table12[[#This Row],[Ship Date]]-Table12[[#This Row],[Order Date]]</f>
        <v>7</v>
      </c>
      <c r="N859" s="23" t="s">
        <v>45</v>
      </c>
      <c r="O859" s="23" t="s">
        <v>23</v>
      </c>
      <c r="P859" s="23" t="s">
        <v>38</v>
      </c>
      <c r="Q859" s="23" t="s">
        <v>39</v>
      </c>
      <c r="R859" s="23" t="s">
        <v>836</v>
      </c>
      <c r="S859" s="33">
        <v>0</v>
      </c>
      <c r="T859" s="13">
        <v>327.76</v>
      </c>
      <c r="U859" s="13">
        <v>91.772800000000004</v>
      </c>
      <c r="V859" s="55">
        <f>IFERROR(Table12[[#This Row],[Profit]]/Table12[[#This Row],[Sales]],0)</f>
        <v>0.28000000000000003</v>
      </c>
    </row>
    <row r="860" spans="1:22" x14ac:dyDescent="0.2">
      <c r="A860">
        <v>859</v>
      </c>
      <c r="B860" t="s">
        <v>3476</v>
      </c>
      <c r="C860" s="1">
        <v>41859</v>
      </c>
      <c r="D860" s="22">
        <f>MONTH(Table12[[#This Row],[Order Date]])</f>
        <v>8</v>
      </c>
      <c r="E860" t="s">
        <v>2651</v>
      </c>
      <c r="F860" t="s">
        <v>2652</v>
      </c>
      <c r="G860" s="23" t="s">
        <v>28</v>
      </c>
      <c r="H860" s="23" t="s">
        <v>58</v>
      </c>
      <c r="I860" t="s">
        <v>705</v>
      </c>
      <c r="J860" s="23" t="s">
        <v>22</v>
      </c>
      <c r="K860" s="22">
        <v>4</v>
      </c>
      <c r="L860" s="1">
        <v>41865</v>
      </c>
      <c r="M860" s="22">
        <f>Table12[[#This Row],[Ship Date]]-Table12[[#This Row],[Order Date]]</f>
        <v>6</v>
      </c>
      <c r="N860" s="23" t="s">
        <v>45</v>
      </c>
      <c r="O860" s="23" t="s">
        <v>23</v>
      </c>
      <c r="P860" s="23" t="s">
        <v>277</v>
      </c>
      <c r="Q860" s="23" t="s">
        <v>39</v>
      </c>
      <c r="R860" s="23" t="s">
        <v>3477</v>
      </c>
      <c r="S860" s="33">
        <v>0.2</v>
      </c>
      <c r="T860" s="13">
        <v>121.376</v>
      </c>
      <c r="U860" s="13">
        <v>-3.0344000000000002</v>
      </c>
      <c r="V860" s="55">
        <f>IFERROR(Table12[[#This Row],[Profit]]/Table12[[#This Row],[Sales]],0)</f>
        <v>-2.5000000000000001E-2</v>
      </c>
    </row>
    <row r="861" spans="1:22" x14ac:dyDescent="0.2">
      <c r="A861">
        <v>860</v>
      </c>
      <c r="B861" t="s">
        <v>3476</v>
      </c>
      <c r="C861" s="1">
        <v>41859</v>
      </c>
      <c r="D861" s="22">
        <f>MONTH(Table12[[#This Row],[Order Date]])</f>
        <v>8</v>
      </c>
      <c r="E861" t="s">
        <v>394</v>
      </c>
      <c r="F861" t="s">
        <v>395</v>
      </c>
      <c r="G861" s="23" t="s">
        <v>64</v>
      </c>
      <c r="H861" s="23" t="s">
        <v>144</v>
      </c>
      <c r="I861" t="s">
        <v>705</v>
      </c>
      <c r="J861" s="23" t="s">
        <v>22</v>
      </c>
      <c r="K861" s="22">
        <v>3</v>
      </c>
      <c r="L861" s="1">
        <v>41865</v>
      </c>
      <c r="M861" s="22">
        <f>Table12[[#This Row],[Ship Date]]-Table12[[#This Row],[Order Date]]</f>
        <v>6</v>
      </c>
      <c r="N861" s="23" t="s">
        <v>45</v>
      </c>
      <c r="O861" s="23" t="s">
        <v>23</v>
      </c>
      <c r="P861" s="23" t="s">
        <v>277</v>
      </c>
      <c r="Q861" s="23" t="s">
        <v>39</v>
      </c>
      <c r="R861" s="23" t="s">
        <v>3477</v>
      </c>
      <c r="S861" s="33">
        <v>0.2</v>
      </c>
      <c r="T861" s="13">
        <v>95.975999999999999</v>
      </c>
      <c r="U861" s="13">
        <v>-10.7973</v>
      </c>
      <c r="V861" s="55">
        <f>IFERROR(Table12[[#This Row],[Profit]]/Table12[[#This Row],[Sales]],0)</f>
        <v>-0.1125</v>
      </c>
    </row>
    <row r="862" spans="1:22" x14ac:dyDescent="0.2">
      <c r="A862">
        <v>861</v>
      </c>
      <c r="B862" t="s">
        <v>5266</v>
      </c>
      <c r="C862" s="1">
        <v>41859</v>
      </c>
      <c r="D862" s="22">
        <f>MONTH(Table12[[#This Row],[Order Date]])</f>
        <v>8</v>
      </c>
      <c r="E862" t="s">
        <v>5268</v>
      </c>
      <c r="F862" t="s">
        <v>5269</v>
      </c>
      <c r="G862" s="23" t="s">
        <v>41</v>
      </c>
      <c r="H862" s="23" t="s">
        <v>53</v>
      </c>
      <c r="I862" t="s">
        <v>4845</v>
      </c>
      <c r="J862" s="23" t="s">
        <v>22</v>
      </c>
      <c r="K862" s="22">
        <v>11</v>
      </c>
      <c r="L862" s="1">
        <v>41862</v>
      </c>
      <c r="M862" s="22">
        <f>Table12[[#This Row],[Ship Date]]-Table12[[#This Row],[Order Date]]</f>
        <v>3</v>
      </c>
      <c r="N862" s="23" t="s">
        <v>20</v>
      </c>
      <c r="O862" s="23" t="s">
        <v>23</v>
      </c>
      <c r="P862" s="23" t="s">
        <v>38</v>
      </c>
      <c r="Q862" s="23" t="s">
        <v>39</v>
      </c>
      <c r="R862" s="23" t="s">
        <v>5267</v>
      </c>
      <c r="S862" s="33">
        <v>0</v>
      </c>
      <c r="T862" s="13">
        <v>423.28</v>
      </c>
      <c r="U862" s="13">
        <v>110.0528</v>
      </c>
      <c r="V862" s="55">
        <f>IFERROR(Table12[[#This Row],[Profit]]/Table12[[#This Row],[Sales]],0)</f>
        <v>0.26</v>
      </c>
    </row>
    <row r="863" spans="1:22" x14ac:dyDescent="0.2">
      <c r="A863">
        <v>862</v>
      </c>
      <c r="B863" t="s">
        <v>7222</v>
      </c>
      <c r="C863" s="1">
        <v>41859</v>
      </c>
      <c r="D863" s="22">
        <f>MONTH(Table12[[#This Row],[Order Date]])</f>
        <v>8</v>
      </c>
      <c r="E863" t="s">
        <v>6142</v>
      </c>
      <c r="F863" t="s">
        <v>6143</v>
      </c>
      <c r="G863" s="23" t="s">
        <v>64</v>
      </c>
      <c r="H863" s="23" t="s">
        <v>1075</v>
      </c>
      <c r="I863" t="s">
        <v>164</v>
      </c>
      <c r="J863" s="23" t="s">
        <v>92</v>
      </c>
      <c r="K863" s="22">
        <v>1</v>
      </c>
      <c r="L863" s="1">
        <v>41863</v>
      </c>
      <c r="M863" s="22">
        <f>Table12[[#This Row],[Ship Date]]-Table12[[#This Row],[Order Date]]</f>
        <v>4</v>
      </c>
      <c r="N863" s="23" t="s">
        <v>45</v>
      </c>
      <c r="O863" s="23" t="s">
        <v>23</v>
      </c>
      <c r="P863" s="23" t="s">
        <v>212</v>
      </c>
      <c r="Q863" s="23" t="s">
        <v>95</v>
      </c>
      <c r="R863" s="23" t="s">
        <v>2099</v>
      </c>
      <c r="S863" s="33">
        <v>0</v>
      </c>
      <c r="T863" s="13">
        <v>549.99</v>
      </c>
      <c r="U863" s="13">
        <v>274.995</v>
      </c>
      <c r="V863" s="55">
        <f>IFERROR(Table12[[#This Row],[Profit]]/Table12[[#This Row],[Sales]],0)</f>
        <v>0.5</v>
      </c>
    </row>
    <row r="864" spans="1:22" x14ac:dyDescent="0.2">
      <c r="A864">
        <v>863</v>
      </c>
      <c r="B864" t="s">
        <v>7222</v>
      </c>
      <c r="C864" s="1">
        <v>41859</v>
      </c>
      <c r="D864" s="22">
        <f>MONTH(Table12[[#This Row],[Order Date]])</f>
        <v>8</v>
      </c>
      <c r="E864" t="s">
        <v>3851</v>
      </c>
      <c r="F864" t="s">
        <v>3852</v>
      </c>
      <c r="G864" s="23" t="s">
        <v>41</v>
      </c>
      <c r="H864" s="23" t="s">
        <v>71</v>
      </c>
      <c r="I864" t="s">
        <v>164</v>
      </c>
      <c r="J864" s="23" t="s">
        <v>92</v>
      </c>
      <c r="K864" s="22">
        <v>3</v>
      </c>
      <c r="L864" s="1">
        <v>41863</v>
      </c>
      <c r="M864" s="22">
        <f>Table12[[#This Row],[Ship Date]]-Table12[[#This Row],[Order Date]]</f>
        <v>4</v>
      </c>
      <c r="N864" s="23" t="s">
        <v>45</v>
      </c>
      <c r="O864" s="23" t="s">
        <v>23</v>
      </c>
      <c r="P864" s="23" t="s">
        <v>212</v>
      </c>
      <c r="Q864" s="23" t="s">
        <v>95</v>
      </c>
      <c r="R864" s="23" t="s">
        <v>2099</v>
      </c>
      <c r="S864" s="33">
        <v>0.1</v>
      </c>
      <c r="T864" s="13">
        <v>167.535</v>
      </c>
      <c r="U864" s="13">
        <v>37.229999999999997</v>
      </c>
      <c r="V864" s="55">
        <f>IFERROR(Table12[[#This Row],[Profit]]/Table12[[#This Row],[Sales]],0)</f>
        <v>0.22222222222222221</v>
      </c>
    </row>
    <row r="865" spans="1:22" x14ac:dyDescent="0.2">
      <c r="A865">
        <v>864</v>
      </c>
      <c r="B865" t="s">
        <v>7222</v>
      </c>
      <c r="C865" s="1">
        <v>41859</v>
      </c>
      <c r="D865" s="22">
        <f>MONTH(Table12[[#This Row],[Order Date]])</f>
        <v>8</v>
      </c>
      <c r="E865" t="s">
        <v>466</v>
      </c>
      <c r="F865" t="s">
        <v>467</v>
      </c>
      <c r="G865" s="23" t="s">
        <v>41</v>
      </c>
      <c r="H865" s="23" t="s">
        <v>155</v>
      </c>
      <c r="I865" t="s">
        <v>164</v>
      </c>
      <c r="J865" s="23" t="s">
        <v>92</v>
      </c>
      <c r="K865" s="22">
        <v>3</v>
      </c>
      <c r="L865" s="1">
        <v>41863</v>
      </c>
      <c r="M865" s="22">
        <f>Table12[[#This Row],[Ship Date]]-Table12[[#This Row],[Order Date]]</f>
        <v>4</v>
      </c>
      <c r="N865" s="23" t="s">
        <v>45</v>
      </c>
      <c r="O865" s="23" t="s">
        <v>23</v>
      </c>
      <c r="P865" s="23" t="s">
        <v>212</v>
      </c>
      <c r="Q865" s="23" t="s">
        <v>95</v>
      </c>
      <c r="R865" s="23" t="s">
        <v>2099</v>
      </c>
      <c r="S865" s="33">
        <v>0</v>
      </c>
      <c r="T865" s="13">
        <v>38.340000000000003</v>
      </c>
      <c r="U865" s="13">
        <v>17.253</v>
      </c>
      <c r="V865" s="55">
        <f>IFERROR(Table12[[#This Row],[Profit]]/Table12[[#This Row],[Sales]],0)</f>
        <v>0.44999999999999996</v>
      </c>
    </row>
    <row r="866" spans="1:22" x14ac:dyDescent="0.2">
      <c r="A866">
        <v>865</v>
      </c>
      <c r="B866" t="s">
        <v>7222</v>
      </c>
      <c r="C866" s="1">
        <v>41859</v>
      </c>
      <c r="D866" s="22">
        <f>MONTH(Table12[[#This Row],[Order Date]])</f>
        <v>8</v>
      </c>
      <c r="E866" t="s">
        <v>3894</v>
      </c>
      <c r="F866" t="s">
        <v>3895</v>
      </c>
      <c r="G866" s="23" t="s">
        <v>28</v>
      </c>
      <c r="H866" s="23" t="s">
        <v>58</v>
      </c>
      <c r="I866" t="s">
        <v>164</v>
      </c>
      <c r="J866" s="23" t="s">
        <v>92</v>
      </c>
      <c r="K866" s="22">
        <v>6</v>
      </c>
      <c r="L866" s="1">
        <v>41863</v>
      </c>
      <c r="M866" s="22">
        <f>Table12[[#This Row],[Ship Date]]-Table12[[#This Row],[Order Date]]</f>
        <v>4</v>
      </c>
      <c r="N866" s="23" t="s">
        <v>45</v>
      </c>
      <c r="O866" s="23" t="s">
        <v>23</v>
      </c>
      <c r="P866" s="23" t="s">
        <v>212</v>
      </c>
      <c r="Q866" s="23" t="s">
        <v>95</v>
      </c>
      <c r="R866" s="23" t="s">
        <v>2099</v>
      </c>
      <c r="S866" s="33">
        <v>0</v>
      </c>
      <c r="T866" s="13">
        <v>53.88</v>
      </c>
      <c r="U866" s="13">
        <v>22.6296</v>
      </c>
      <c r="V866" s="55">
        <f>IFERROR(Table12[[#This Row],[Profit]]/Table12[[#This Row],[Sales]],0)</f>
        <v>0.42</v>
      </c>
    </row>
    <row r="867" spans="1:22" x14ac:dyDescent="0.2">
      <c r="A867">
        <v>866</v>
      </c>
      <c r="B867" t="s">
        <v>7222</v>
      </c>
      <c r="C867" s="1">
        <v>41859</v>
      </c>
      <c r="D867" s="22">
        <f>MONTH(Table12[[#This Row],[Order Date]])</f>
        <v>8</v>
      </c>
      <c r="E867" t="s">
        <v>5826</v>
      </c>
      <c r="F867" t="s">
        <v>5827</v>
      </c>
      <c r="G867" s="23" t="s">
        <v>64</v>
      </c>
      <c r="H867" s="23" t="s">
        <v>65</v>
      </c>
      <c r="I867" t="s">
        <v>164</v>
      </c>
      <c r="J867" s="23" t="s">
        <v>92</v>
      </c>
      <c r="K867" s="22">
        <v>2</v>
      </c>
      <c r="L867" s="1">
        <v>41863</v>
      </c>
      <c r="M867" s="22">
        <f>Table12[[#This Row],[Ship Date]]-Table12[[#This Row],[Order Date]]</f>
        <v>4</v>
      </c>
      <c r="N867" s="23" t="s">
        <v>45</v>
      </c>
      <c r="O867" s="23" t="s">
        <v>23</v>
      </c>
      <c r="P867" s="23" t="s">
        <v>212</v>
      </c>
      <c r="Q867" s="23" t="s">
        <v>95</v>
      </c>
      <c r="R867" s="23" t="s">
        <v>2099</v>
      </c>
      <c r="S867" s="33">
        <v>0</v>
      </c>
      <c r="T867" s="13">
        <v>299.98</v>
      </c>
      <c r="U867" s="13">
        <v>83.994399999999999</v>
      </c>
      <c r="V867" s="55">
        <f>IFERROR(Table12[[#This Row],[Profit]]/Table12[[#This Row],[Sales]],0)</f>
        <v>0.27999999999999997</v>
      </c>
    </row>
    <row r="868" spans="1:22" x14ac:dyDescent="0.2">
      <c r="A868">
        <v>867</v>
      </c>
      <c r="B868" t="s">
        <v>9554</v>
      </c>
      <c r="C868" s="1">
        <v>41859</v>
      </c>
      <c r="D868" s="22">
        <f>MONTH(Table12[[#This Row],[Order Date]])</f>
        <v>8</v>
      </c>
      <c r="E868" t="s">
        <v>4242</v>
      </c>
      <c r="F868" t="s">
        <v>4243</v>
      </c>
      <c r="G868" s="23" t="s">
        <v>28</v>
      </c>
      <c r="H868" s="23" t="s">
        <v>29</v>
      </c>
      <c r="I868" t="s">
        <v>2650</v>
      </c>
      <c r="J868" s="23" t="s">
        <v>22</v>
      </c>
      <c r="K868" s="22">
        <v>4</v>
      </c>
      <c r="L868" s="1">
        <v>41861</v>
      </c>
      <c r="M868" s="22">
        <f>Table12[[#This Row],[Ship Date]]-Table12[[#This Row],[Order Date]]</f>
        <v>2</v>
      </c>
      <c r="N868" s="23" t="s">
        <v>20</v>
      </c>
      <c r="O868" s="23" t="s">
        <v>23</v>
      </c>
      <c r="P868" s="23" t="s">
        <v>48</v>
      </c>
      <c r="Q868" s="23" t="s">
        <v>26</v>
      </c>
      <c r="R868" s="23" t="s">
        <v>1345</v>
      </c>
      <c r="S868" s="33">
        <v>0.2</v>
      </c>
      <c r="T868" s="13">
        <v>155.45599999999999</v>
      </c>
      <c r="U868" s="13">
        <v>-7.7728000000000002</v>
      </c>
      <c r="V868" s="55">
        <f>IFERROR(Table12[[#This Row],[Profit]]/Table12[[#This Row],[Sales]],0)</f>
        <v>-0.05</v>
      </c>
    </row>
    <row r="869" spans="1:22" x14ac:dyDescent="0.2">
      <c r="A869">
        <v>868</v>
      </c>
      <c r="B869" t="s">
        <v>1016</v>
      </c>
      <c r="C869" s="1">
        <v>41860</v>
      </c>
      <c r="D869" s="22">
        <f>MONTH(Table12[[#This Row],[Order Date]])</f>
        <v>8</v>
      </c>
      <c r="E869" t="s">
        <v>1019</v>
      </c>
      <c r="F869" t="s">
        <v>1020</v>
      </c>
      <c r="G869" s="23" t="s">
        <v>64</v>
      </c>
      <c r="H869" s="23" t="s">
        <v>65</v>
      </c>
      <c r="I869" t="s">
        <v>1017</v>
      </c>
      <c r="J869" s="23" t="s">
        <v>36</v>
      </c>
      <c r="K869" s="22">
        <v>2</v>
      </c>
      <c r="L869" s="1">
        <v>41867</v>
      </c>
      <c r="M869" s="22">
        <f>Table12[[#This Row],[Ship Date]]-Table12[[#This Row],[Order Date]]</f>
        <v>7</v>
      </c>
      <c r="N869" s="23" t="s">
        <v>45</v>
      </c>
      <c r="O869" s="23" t="s">
        <v>23</v>
      </c>
      <c r="P869" s="23" t="s">
        <v>48</v>
      </c>
      <c r="Q869" s="23" t="s">
        <v>26</v>
      </c>
      <c r="R869" s="23" t="s">
        <v>1018</v>
      </c>
      <c r="S869" s="33">
        <v>0.2</v>
      </c>
      <c r="T869" s="13">
        <v>178.38399999999999</v>
      </c>
      <c r="U869" s="13">
        <v>22.297999999999998</v>
      </c>
      <c r="V869" s="55">
        <f>IFERROR(Table12[[#This Row],[Profit]]/Table12[[#This Row],[Sales]],0)</f>
        <v>0.125</v>
      </c>
    </row>
    <row r="870" spans="1:22" x14ac:dyDescent="0.2">
      <c r="A870">
        <v>869</v>
      </c>
      <c r="B870" t="s">
        <v>1016</v>
      </c>
      <c r="C870" s="1">
        <v>41860</v>
      </c>
      <c r="D870" s="22">
        <f>MONTH(Table12[[#This Row],[Order Date]])</f>
        <v>8</v>
      </c>
      <c r="E870" t="s">
        <v>1021</v>
      </c>
      <c r="F870" t="s">
        <v>1022</v>
      </c>
      <c r="G870" s="23" t="s">
        <v>41</v>
      </c>
      <c r="H870" s="23" t="s">
        <v>82</v>
      </c>
      <c r="I870" t="s">
        <v>1017</v>
      </c>
      <c r="J870" s="23" t="s">
        <v>36</v>
      </c>
      <c r="K870" s="22">
        <v>3</v>
      </c>
      <c r="L870" s="1">
        <v>41867</v>
      </c>
      <c r="M870" s="22">
        <f>Table12[[#This Row],[Ship Date]]-Table12[[#This Row],[Order Date]]</f>
        <v>7</v>
      </c>
      <c r="N870" s="23" t="s">
        <v>45</v>
      </c>
      <c r="O870" s="23" t="s">
        <v>23</v>
      </c>
      <c r="P870" s="23" t="s">
        <v>48</v>
      </c>
      <c r="Q870" s="23" t="s">
        <v>26</v>
      </c>
      <c r="R870" s="23" t="s">
        <v>1018</v>
      </c>
      <c r="S870" s="33">
        <v>0.2</v>
      </c>
      <c r="T870" s="13">
        <v>15.552</v>
      </c>
      <c r="U870" s="13">
        <v>5.4432</v>
      </c>
      <c r="V870" s="55">
        <f>IFERROR(Table12[[#This Row],[Profit]]/Table12[[#This Row],[Sales]],0)</f>
        <v>0.35000000000000003</v>
      </c>
    </row>
    <row r="871" spans="1:22" x14ac:dyDescent="0.2">
      <c r="A871">
        <v>870</v>
      </c>
      <c r="B871" t="s">
        <v>3923</v>
      </c>
      <c r="C871" s="1">
        <v>41860</v>
      </c>
      <c r="D871" s="22">
        <f>MONTH(Table12[[#This Row],[Order Date]])</f>
        <v>8</v>
      </c>
      <c r="E871" t="s">
        <v>3274</v>
      </c>
      <c r="F871" t="s">
        <v>3275</v>
      </c>
      <c r="G871" s="23" t="s">
        <v>41</v>
      </c>
      <c r="H871" s="23" t="s">
        <v>42</v>
      </c>
      <c r="I871" t="s">
        <v>3924</v>
      </c>
      <c r="J871" s="23" t="s">
        <v>92</v>
      </c>
      <c r="K871" s="22">
        <v>8</v>
      </c>
      <c r="L871" s="1">
        <v>41867</v>
      </c>
      <c r="M871" s="22">
        <f>Table12[[#This Row],[Ship Date]]-Table12[[#This Row],[Order Date]]</f>
        <v>7</v>
      </c>
      <c r="N871" s="23" t="s">
        <v>45</v>
      </c>
      <c r="O871" s="23" t="s">
        <v>23</v>
      </c>
      <c r="P871" s="23" t="s">
        <v>38</v>
      </c>
      <c r="Q871" s="23" t="s">
        <v>39</v>
      </c>
      <c r="R871" s="23" t="s">
        <v>836</v>
      </c>
      <c r="S871" s="33">
        <v>0</v>
      </c>
      <c r="T871" s="13">
        <v>20.88</v>
      </c>
      <c r="U871" s="13">
        <v>9.6047999999999991</v>
      </c>
      <c r="V871" s="55">
        <f>IFERROR(Table12[[#This Row],[Profit]]/Table12[[#This Row],[Sales]],0)</f>
        <v>0.45999999999999996</v>
      </c>
    </row>
    <row r="872" spans="1:22" x14ac:dyDescent="0.2">
      <c r="A872">
        <v>871</v>
      </c>
      <c r="B872" t="s">
        <v>5900</v>
      </c>
      <c r="C872" s="1">
        <v>41860</v>
      </c>
      <c r="D872" s="22">
        <f>MONTH(Table12[[#This Row],[Order Date]])</f>
        <v>8</v>
      </c>
      <c r="E872" t="s">
        <v>2189</v>
      </c>
      <c r="F872" t="s">
        <v>2190</v>
      </c>
      <c r="G872" s="23" t="s">
        <v>64</v>
      </c>
      <c r="H872" s="23" t="s">
        <v>65</v>
      </c>
      <c r="I872" t="s">
        <v>2758</v>
      </c>
      <c r="J872" s="23" t="s">
        <v>92</v>
      </c>
      <c r="K872" s="22">
        <v>4</v>
      </c>
      <c r="L872" s="1">
        <v>41864</v>
      </c>
      <c r="M872" s="22">
        <f>Table12[[#This Row],[Ship Date]]-Table12[[#This Row],[Order Date]]</f>
        <v>4</v>
      </c>
      <c r="N872" s="23" t="s">
        <v>45</v>
      </c>
      <c r="O872" s="23" t="s">
        <v>23</v>
      </c>
      <c r="P872" s="23" t="s">
        <v>87</v>
      </c>
      <c r="Q872" s="23" t="s">
        <v>39</v>
      </c>
      <c r="R872" s="23" t="s">
        <v>86</v>
      </c>
      <c r="S872" s="33">
        <v>0.2</v>
      </c>
      <c r="T872" s="13">
        <v>1091.1679999999999</v>
      </c>
      <c r="U872" s="13">
        <v>68.197999999999993</v>
      </c>
      <c r="V872" s="55">
        <f>IFERROR(Table12[[#This Row],[Profit]]/Table12[[#This Row],[Sales]],0)</f>
        <v>6.25E-2</v>
      </c>
    </row>
    <row r="873" spans="1:22" x14ac:dyDescent="0.2">
      <c r="A873">
        <v>872</v>
      </c>
      <c r="B873" t="s">
        <v>5900</v>
      </c>
      <c r="C873" s="1">
        <v>41860</v>
      </c>
      <c r="D873" s="22">
        <f>MONTH(Table12[[#This Row],[Order Date]])</f>
        <v>8</v>
      </c>
      <c r="E873" t="s">
        <v>3776</v>
      </c>
      <c r="F873" t="s">
        <v>3777</v>
      </c>
      <c r="G873" s="23" t="s">
        <v>64</v>
      </c>
      <c r="H873" s="23" t="s">
        <v>65</v>
      </c>
      <c r="I873" t="s">
        <v>2758</v>
      </c>
      <c r="J873" s="23" t="s">
        <v>92</v>
      </c>
      <c r="K873" s="22">
        <v>2</v>
      </c>
      <c r="L873" s="1">
        <v>41864</v>
      </c>
      <c r="M873" s="22">
        <f>Table12[[#This Row],[Ship Date]]-Table12[[#This Row],[Order Date]]</f>
        <v>4</v>
      </c>
      <c r="N873" s="23" t="s">
        <v>45</v>
      </c>
      <c r="O873" s="23" t="s">
        <v>23</v>
      </c>
      <c r="P873" s="23" t="s">
        <v>87</v>
      </c>
      <c r="Q873" s="23" t="s">
        <v>39</v>
      </c>
      <c r="R873" s="23" t="s">
        <v>86</v>
      </c>
      <c r="S873" s="33">
        <v>0.2</v>
      </c>
      <c r="T873" s="13">
        <v>219.16800000000001</v>
      </c>
      <c r="U873" s="13">
        <v>-43.833599999999997</v>
      </c>
      <c r="V873" s="55">
        <f>IFERROR(Table12[[#This Row],[Profit]]/Table12[[#This Row],[Sales]],0)</f>
        <v>-0.19999999999999998</v>
      </c>
    </row>
    <row r="874" spans="1:22" x14ac:dyDescent="0.2">
      <c r="A874">
        <v>873</v>
      </c>
      <c r="B874" t="s">
        <v>6085</v>
      </c>
      <c r="C874" s="1">
        <v>41860</v>
      </c>
      <c r="D874" s="22">
        <f>MONTH(Table12[[#This Row],[Order Date]])</f>
        <v>8</v>
      </c>
      <c r="E874" t="s">
        <v>5683</v>
      </c>
      <c r="F874" t="s">
        <v>5684</v>
      </c>
      <c r="G874" s="23" t="s">
        <v>41</v>
      </c>
      <c r="H874" s="23" t="s">
        <v>68</v>
      </c>
      <c r="I874" t="s">
        <v>731</v>
      </c>
      <c r="J874" s="23" t="s">
        <v>22</v>
      </c>
      <c r="K874" s="22">
        <v>7</v>
      </c>
      <c r="L874" s="1">
        <v>41864</v>
      </c>
      <c r="M874" s="22">
        <f>Table12[[#This Row],[Ship Date]]-Table12[[#This Row],[Order Date]]</f>
        <v>4</v>
      </c>
      <c r="N874" s="23" t="s">
        <v>45</v>
      </c>
      <c r="O874" s="23" t="s">
        <v>23</v>
      </c>
      <c r="P874" s="23" t="s">
        <v>87</v>
      </c>
      <c r="Q874" s="23" t="s">
        <v>39</v>
      </c>
      <c r="R874" s="23" t="s">
        <v>86</v>
      </c>
      <c r="S874" s="33">
        <v>0.2</v>
      </c>
      <c r="T874" s="13">
        <v>2060.7440000000001</v>
      </c>
      <c r="U874" s="13">
        <v>643.98249999999996</v>
      </c>
      <c r="V874" s="55">
        <f>IFERROR(Table12[[#This Row],[Profit]]/Table12[[#This Row],[Sales]],0)</f>
        <v>0.31249999999999994</v>
      </c>
    </row>
    <row r="875" spans="1:22" x14ac:dyDescent="0.2">
      <c r="A875">
        <v>874</v>
      </c>
      <c r="B875" t="s">
        <v>8495</v>
      </c>
      <c r="C875" s="1">
        <v>41860</v>
      </c>
      <c r="D875" s="22">
        <f>MONTH(Table12[[#This Row],[Order Date]])</f>
        <v>8</v>
      </c>
      <c r="E875" t="s">
        <v>1566</v>
      </c>
      <c r="F875" t="s">
        <v>1567</v>
      </c>
      <c r="G875" s="23" t="s">
        <v>41</v>
      </c>
      <c r="H875" s="23" t="s">
        <v>82</v>
      </c>
      <c r="I875" t="s">
        <v>3160</v>
      </c>
      <c r="J875" s="23" t="s">
        <v>22</v>
      </c>
      <c r="K875" s="22">
        <v>1</v>
      </c>
      <c r="L875" s="1">
        <v>41865</v>
      </c>
      <c r="M875" s="22">
        <f>Table12[[#This Row],[Ship Date]]-Table12[[#This Row],[Order Date]]</f>
        <v>5</v>
      </c>
      <c r="N875" s="23" t="s">
        <v>45</v>
      </c>
      <c r="O875" s="23" t="s">
        <v>23</v>
      </c>
      <c r="P875" s="23" t="s">
        <v>38</v>
      </c>
      <c r="Q875" s="23" t="s">
        <v>39</v>
      </c>
      <c r="R875" s="23" t="s">
        <v>3080</v>
      </c>
      <c r="S875" s="33">
        <v>0</v>
      </c>
      <c r="T875" s="13">
        <v>5.98</v>
      </c>
      <c r="U875" s="13">
        <v>2.6909999999999998</v>
      </c>
      <c r="V875" s="55">
        <f>IFERROR(Table12[[#This Row],[Profit]]/Table12[[#This Row],[Sales]],0)</f>
        <v>0.44999999999999996</v>
      </c>
    </row>
    <row r="876" spans="1:22" x14ac:dyDescent="0.2">
      <c r="A876">
        <v>875</v>
      </c>
      <c r="B876" t="s">
        <v>8699</v>
      </c>
      <c r="C876" s="1">
        <v>41860</v>
      </c>
      <c r="D876" s="22">
        <f>MONTH(Table12[[#This Row],[Order Date]])</f>
        <v>8</v>
      </c>
      <c r="E876" t="s">
        <v>2764</v>
      </c>
      <c r="F876" t="s">
        <v>2765</v>
      </c>
      <c r="G876" s="23" t="s">
        <v>41</v>
      </c>
      <c r="H876" s="23" t="s">
        <v>240</v>
      </c>
      <c r="I876" t="s">
        <v>6681</v>
      </c>
      <c r="J876" s="23" t="s">
        <v>22</v>
      </c>
      <c r="K876" s="22">
        <v>3</v>
      </c>
      <c r="L876" s="1">
        <v>41864</v>
      </c>
      <c r="M876" s="22">
        <f>Table12[[#This Row],[Ship Date]]-Table12[[#This Row],[Order Date]]</f>
        <v>4</v>
      </c>
      <c r="N876" s="23" t="s">
        <v>45</v>
      </c>
      <c r="O876" s="23" t="s">
        <v>23</v>
      </c>
      <c r="P876" s="23" t="s">
        <v>277</v>
      </c>
      <c r="Q876" s="23" t="s">
        <v>39</v>
      </c>
      <c r="R876" s="23" t="s">
        <v>481</v>
      </c>
      <c r="S876" s="33">
        <v>0.2</v>
      </c>
      <c r="T876" s="13">
        <v>4.4640000000000004</v>
      </c>
      <c r="U876" s="13">
        <v>-0.9486</v>
      </c>
      <c r="V876" s="55">
        <f>IFERROR(Table12[[#This Row],[Profit]]/Table12[[#This Row],[Sales]],0)</f>
        <v>-0.21249999999999997</v>
      </c>
    </row>
    <row r="877" spans="1:22" x14ac:dyDescent="0.2">
      <c r="A877">
        <v>876</v>
      </c>
      <c r="B877" t="s">
        <v>8699</v>
      </c>
      <c r="C877" s="1">
        <v>41860</v>
      </c>
      <c r="D877" s="22">
        <f>MONTH(Table12[[#This Row],[Order Date]])</f>
        <v>8</v>
      </c>
      <c r="E877" t="s">
        <v>2753</v>
      </c>
      <c r="F877" t="s">
        <v>2754</v>
      </c>
      <c r="G877" s="23" t="s">
        <v>41</v>
      </c>
      <c r="H877" s="23" t="s">
        <v>68</v>
      </c>
      <c r="I877" t="s">
        <v>6681</v>
      </c>
      <c r="J877" s="23" t="s">
        <v>22</v>
      </c>
      <c r="K877" s="22">
        <v>5</v>
      </c>
      <c r="L877" s="1">
        <v>41864</v>
      </c>
      <c r="M877" s="22">
        <f>Table12[[#This Row],[Ship Date]]-Table12[[#This Row],[Order Date]]</f>
        <v>4</v>
      </c>
      <c r="N877" s="23" t="s">
        <v>45</v>
      </c>
      <c r="O877" s="23" t="s">
        <v>23</v>
      </c>
      <c r="P877" s="23" t="s">
        <v>277</v>
      </c>
      <c r="Q877" s="23" t="s">
        <v>39</v>
      </c>
      <c r="R877" s="23" t="s">
        <v>481</v>
      </c>
      <c r="S877" s="33">
        <v>0.7</v>
      </c>
      <c r="T877" s="13">
        <v>9.3450000000000006</v>
      </c>
      <c r="U877" s="13">
        <v>-6.5415000000000001</v>
      </c>
      <c r="V877" s="55">
        <f>IFERROR(Table12[[#This Row],[Profit]]/Table12[[#This Row],[Sales]],0)</f>
        <v>-0.7</v>
      </c>
    </row>
    <row r="878" spans="1:22" x14ac:dyDescent="0.2">
      <c r="A878">
        <v>877</v>
      </c>
      <c r="B878" t="s">
        <v>3061</v>
      </c>
      <c r="C878" s="1">
        <v>41862</v>
      </c>
      <c r="D878" s="22">
        <f>MONTH(Table12[[#This Row],[Order Date]])</f>
        <v>8</v>
      </c>
      <c r="E878" t="s">
        <v>3063</v>
      </c>
      <c r="F878" t="s">
        <v>3064</v>
      </c>
      <c r="G878" s="23" t="s">
        <v>28</v>
      </c>
      <c r="H878" s="23" t="s">
        <v>58</v>
      </c>
      <c r="I878" t="s">
        <v>3062</v>
      </c>
      <c r="J878" s="23" t="s">
        <v>22</v>
      </c>
      <c r="K878" s="22">
        <v>1</v>
      </c>
      <c r="L878" s="1">
        <v>41866</v>
      </c>
      <c r="M878" s="22">
        <f>Table12[[#This Row],[Ship Date]]-Table12[[#This Row],[Order Date]]</f>
        <v>4</v>
      </c>
      <c r="N878" s="23" t="s">
        <v>45</v>
      </c>
      <c r="O878" s="23" t="s">
        <v>23</v>
      </c>
      <c r="P878" s="23" t="s">
        <v>87</v>
      </c>
      <c r="Q878" s="23" t="s">
        <v>39</v>
      </c>
      <c r="R878" s="23" t="s">
        <v>86</v>
      </c>
      <c r="S878" s="33">
        <v>0</v>
      </c>
      <c r="T878" s="13">
        <v>12.35</v>
      </c>
      <c r="U878" s="13">
        <v>5.4340000000000002</v>
      </c>
      <c r="V878" s="55">
        <f>IFERROR(Table12[[#This Row],[Profit]]/Table12[[#This Row],[Sales]],0)</f>
        <v>0.44</v>
      </c>
    </row>
    <row r="879" spans="1:22" x14ac:dyDescent="0.2">
      <c r="A879">
        <v>878</v>
      </c>
      <c r="B879" t="s">
        <v>3061</v>
      </c>
      <c r="C879" s="1">
        <v>41862</v>
      </c>
      <c r="D879" s="22">
        <f>MONTH(Table12[[#This Row],[Order Date]])</f>
        <v>8</v>
      </c>
      <c r="E879" t="s">
        <v>3065</v>
      </c>
      <c r="F879" t="s">
        <v>3066</v>
      </c>
      <c r="G879" s="23" t="s">
        <v>41</v>
      </c>
      <c r="H879" s="23" t="s">
        <v>61</v>
      </c>
      <c r="I879" t="s">
        <v>3062</v>
      </c>
      <c r="J879" s="23" t="s">
        <v>22</v>
      </c>
      <c r="K879" s="22">
        <v>1</v>
      </c>
      <c r="L879" s="1">
        <v>41866</v>
      </c>
      <c r="M879" s="22">
        <f>Table12[[#This Row],[Ship Date]]-Table12[[#This Row],[Order Date]]</f>
        <v>4</v>
      </c>
      <c r="N879" s="23" t="s">
        <v>45</v>
      </c>
      <c r="O879" s="23" t="s">
        <v>23</v>
      </c>
      <c r="P879" s="23" t="s">
        <v>87</v>
      </c>
      <c r="Q879" s="23" t="s">
        <v>39</v>
      </c>
      <c r="R879" s="23" t="s">
        <v>86</v>
      </c>
      <c r="S879" s="33">
        <v>0</v>
      </c>
      <c r="T879" s="13">
        <v>40.97</v>
      </c>
      <c r="U879" s="13">
        <v>10.652200000000001</v>
      </c>
      <c r="V879" s="55">
        <f>IFERROR(Table12[[#This Row],[Profit]]/Table12[[#This Row],[Sales]],0)</f>
        <v>0.26</v>
      </c>
    </row>
    <row r="880" spans="1:22" x14ac:dyDescent="0.2">
      <c r="A880">
        <v>879</v>
      </c>
      <c r="B880" t="s">
        <v>3061</v>
      </c>
      <c r="C880" s="1">
        <v>41862</v>
      </c>
      <c r="D880" s="22">
        <f>MONTH(Table12[[#This Row],[Order Date]])</f>
        <v>8</v>
      </c>
      <c r="E880" t="s">
        <v>963</v>
      </c>
      <c r="F880" t="s">
        <v>964</v>
      </c>
      <c r="G880" s="23" t="s">
        <v>41</v>
      </c>
      <c r="H880" s="23" t="s">
        <v>240</v>
      </c>
      <c r="I880" t="s">
        <v>3062</v>
      </c>
      <c r="J880" s="23" t="s">
        <v>22</v>
      </c>
      <c r="K880" s="22">
        <v>2</v>
      </c>
      <c r="L880" s="1">
        <v>41866</v>
      </c>
      <c r="M880" s="22">
        <f>Table12[[#This Row],[Ship Date]]-Table12[[#This Row],[Order Date]]</f>
        <v>4</v>
      </c>
      <c r="N880" s="23" t="s">
        <v>45</v>
      </c>
      <c r="O880" s="23" t="s">
        <v>23</v>
      </c>
      <c r="P880" s="23" t="s">
        <v>87</v>
      </c>
      <c r="Q880" s="23" t="s">
        <v>39</v>
      </c>
      <c r="R880" s="23" t="s">
        <v>86</v>
      </c>
      <c r="S880" s="33">
        <v>0</v>
      </c>
      <c r="T880" s="13">
        <v>22.96</v>
      </c>
      <c r="U880" s="13">
        <v>10.7912</v>
      </c>
      <c r="V880" s="55">
        <f>IFERROR(Table12[[#This Row],[Profit]]/Table12[[#This Row],[Sales]],0)</f>
        <v>0.47</v>
      </c>
    </row>
    <row r="881" spans="1:22" x14ac:dyDescent="0.2">
      <c r="A881">
        <v>880</v>
      </c>
      <c r="B881" t="s">
        <v>5755</v>
      </c>
      <c r="C881" s="1">
        <v>41862</v>
      </c>
      <c r="D881" s="22">
        <f>MONTH(Table12[[#This Row],[Order Date]])</f>
        <v>8</v>
      </c>
      <c r="E881" t="s">
        <v>1568</v>
      </c>
      <c r="F881" t="s">
        <v>1569</v>
      </c>
      <c r="G881" s="23" t="s">
        <v>41</v>
      </c>
      <c r="H881" s="23" t="s">
        <v>53</v>
      </c>
      <c r="I881" t="s">
        <v>808</v>
      </c>
      <c r="J881" s="23" t="s">
        <v>22</v>
      </c>
      <c r="K881" s="22">
        <v>1</v>
      </c>
      <c r="L881" s="1">
        <v>41867</v>
      </c>
      <c r="M881" s="22">
        <f>Table12[[#This Row],[Ship Date]]-Table12[[#This Row],[Order Date]]</f>
        <v>5</v>
      </c>
      <c r="N881" s="23" t="s">
        <v>45</v>
      </c>
      <c r="O881" s="23" t="s">
        <v>23</v>
      </c>
      <c r="P881" s="23" t="s">
        <v>238</v>
      </c>
      <c r="Q881" s="23" t="s">
        <v>133</v>
      </c>
      <c r="R881" s="23" t="s">
        <v>237</v>
      </c>
      <c r="S881" s="33">
        <v>0</v>
      </c>
      <c r="T881" s="13">
        <v>375.34</v>
      </c>
      <c r="U881" s="13">
        <v>18.766999999999999</v>
      </c>
      <c r="V881" s="55">
        <f>IFERROR(Table12[[#This Row],[Profit]]/Table12[[#This Row],[Sales]],0)</f>
        <v>0.05</v>
      </c>
    </row>
    <row r="882" spans="1:22" x14ac:dyDescent="0.2">
      <c r="A882">
        <v>881</v>
      </c>
      <c r="B882" t="s">
        <v>8308</v>
      </c>
      <c r="C882" s="1">
        <v>41863</v>
      </c>
      <c r="D882" s="22">
        <f>MONTH(Table12[[#This Row],[Order Date]])</f>
        <v>8</v>
      </c>
      <c r="E882" t="s">
        <v>3128</v>
      </c>
      <c r="F882" t="s">
        <v>3129</v>
      </c>
      <c r="G882" s="23" t="s">
        <v>41</v>
      </c>
      <c r="H882" s="23" t="s">
        <v>68</v>
      </c>
      <c r="I882" t="s">
        <v>6399</v>
      </c>
      <c r="J882" s="23" t="s">
        <v>36</v>
      </c>
      <c r="K882" s="22">
        <v>7</v>
      </c>
      <c r="L882" s="1">
        <v>41867</v>
      </c>
      <c r="M882" s="22">
        <f>Table12[[#This Row],[Ship Date]]-Table12[[#This Row],[Order Date]]</f>
        <v>4</v>
      </c>
      <c r="N882" s="23" t="s">
        <v>45</v>
      </c>
      <c r="O882" s="23" t="s">
        <v>23</v>
      </c>
      <c r="P882" s="23" t="s">
        <v>695</v>
      </c>
      <c r="Q882" s="23" t="s">
        <v>133</v>
      </c>
      <c r="R882" s="23" t="s">
        <v>990</v>
      </c>
      <c r="S882" s="33">
        <v>0</v>
      </c>
      <c r="T882" s="13">
        <v>196.21</v>
      </c>
      <c r="U882" s="13">
        <v>98.105000000000004</v>
      </c>
      <c r="V882" s="55">
        <f>IFERROR(Table12[[#This Row],[Profit]]/Table12[[#This Row],[Sales]],0)</f>
        <v>0.5</v>
      </c>
    </row>
    <row r="883" spans="1:22" x14ac:dyDescent="0.2">
      <c r="A883">
        <v>882</v>
      </c>
      <c r="B883" t="s">
        <v>9130</v>
      </c>
      <c r="C883" s="1">
        <v>41863</v>
      </c>
      <c r="D883" s="22">
        <f>MONTH(Table12[[#This Row],[Order Date]])</f>
        <v>8</v>
      </c>
      <c r="E883" t="s">
        <v>5243</v>
      </c>
      <c r="F883" t="s">
        <v>5244</v>
      </c>
      <c r="G883" s="23" t="s">
        <v>64</v>
      </c>
      <c r="H883" s="23" t="s">
        <v>65</v>
      </c>
      <c r="I883" t="s">
        <v>4442</v>
      </c>
      <c r="J883" s="23" t="s">
        <v>22</v>
      </c>
      <c r="K883" s="22">
        <v>8</v>
      </c>
      <c r="L883" s="1">
        <v>41867</v>
      </c>
      <c r="M883" s="22">
        <f>Table12[[#This Row],[Ship Date]]-Table12[[#This Row],[Order Date]]</f>
        <v>4</v>
      </c>
      <c r="N883" s="23" t="s">
        <v>45</v>
      </c>
      <c r="O883" s="23" t="s">
        <v>23</v>
      </c>
      <c r="P883" s="23" t="s">
        <v>38</v>
      </c>
      <c r="Q883" s="23" t="s">
        <v>39</v>
      </c>
      <c r="R883" s="23" t="s">
        <v>114</v>
      </c>
      <c r="S883" s="33">
        <v>0.2</v>
      </c>
      <c r="T883" s="13">
        <v>806.33600000000001</v>
      </c>
      <c r="U883" s="13">
        <v>50.396000000000001</v>
      </c>
      <c r="V883" s="55">
        <f>IFERROR(Table12[[#This Row],[Profit]]/Table12[[#This Row],[Sales]],0)</f>
        <v>6.25E-2</v>
      </c>
    </row>
    <row r="884" spans="1:22" x14ac:dyDescent="0.2">
      <c r="A884">
        <v>883</v>
      </c>
      <c r="B884" t="s">
        <v>9130</v>
      </c>
      <c r="C884" s="1">
        <v>41863</v>
      </c>
      <c r="D884" s="22">
        <f>MONTH(Table12[[#This Row],[Order Date]])</f>
        <v>8</v>
      </c>
      <c r="E884" t="s">
        <v>4050</v>
      </c>
      <c r="F884" t="s">
        <v>4051</v>
      </c>
      <c r="G884" s="23" t="s">
        <v>28</v>
      </c>
      <c r="H884" s="23" t="s">
        <v>58</v>
      </c>
      <c r="I884" t="s">
        <v>4442</v>
      </c>
      <c r="J884" s="23" t="s">
        <v>22</v>
      </c>
      <c r="K884" s="22">
        <v>3</v>
      </c>
      <c r="L884" s="1">
        <v>41867</v>
      </c>
      <c r="M884" s="22">
        <f>Table12[[#This Row],[Ship Date]]-Table12[[#This Row],[Order Date]]</f>
        <v>4</v>
      </c>
      <c r="N884" s="23" t="s">
        <v>45</v>
      </c>
      <c r="O884" s="23" t="s">
        <v>23</v>
      </c>
      <c r="P884" s="23" t="s">
        <v>38</v>
      </c>
      <c r="Q884" s="23" t="s">
        <v>39</v>
      </c>
      <c r="R884" s="23" t="s">
        <v>114</v>
      </c>
      <c r="S884" s="33">
        <v>0</v>
      </c>
      <c r="T884" s="13">
        <v>85.44</v>
      </c>
      <c r="U884" s="13">
        <v>31.6128</v>
      </c>
      <c r="V884" s="55">
        <f>IFERROR(Table12[[#This Row],[Profit]]/Table12[[#This Row],[Sales]],0)</f>
        <v>0.37</v>
      </c>
    </row>
    <row r="885" spans="1:22" x14ac:dyDescent="0.2">
      <c r="A885">
        <v>884</v>
      </c>
      <c r="B885" t="s">
        <v>9153</v>
      </c>
      <c r="C885" s="1">
        <v>41863</v>
      </c>
      <c r="D885" s="22">
        <f>MONTH(Table12[[#This Row],[Order Date]])</f>
        <v>8</v>
      </c>
      <c r="E885" t="s">
        <v>8312</v>
      </c>
      <c r="F885" t="s">
        <v>8313</v>
      </c>
      <c r="G885" s="23" t="s">
        <v>41</v>
      </c>
      <c r="H885" s="23" t="s">
        <v>82</v>
      </c>
      <c r="I885" t="s">
        <v>6275</v>
      </c>
      <c r="J885" s="23" t="s">
        <v>92</v>
      </c>
      <c r="K885" s="22">
        <v>6</v>
      </c>
      <c r="L885" s="1">
        <v>41867</v>
      </c>
      <c r="M885" s="22">
        <f>Table12[[#This Row],[Ship Date]]-Table12[[#This Row],[Order Date]]</f>
        <v>4</v>
      </c>
      <c r="N885" s="23" t="s">
        <v>45</v>
      </c>
      <c r="O885" s="23" t="s">
        <v>23</v>
      </c>
      <c r="P885" s="23" t="s">
        <v>48</v>
      </c>
      <c r="Q885" s="23" t="s">
        <v>26</v>
      </c>
      <c r="R885" s="23" t="s">
        <v>1253</v>
      </c>
      <c r="S885" s="33">
        <v>0.2</v>
      </c>
      <c r="T885" s="13">
        <v>31.103999999999999</v>
      </c>
      <c r="U885" s="13">
        <v>10.8864</v>
      </c>
      <c r="V885" s="55">
        <f>IFERROR(Table12[[#This Row],[Profit]]/Table12[[#This Row],[Sales]],0)</f>
        <v>0.35000000000000003</v>
      </c>
    </row>
    <row r="886" spans="1:22" x14ac:dyDescent="0.2">
      <c r="A886">
        <v>885</v>
      </c>
      <c r="B886" t="s">
        <v>9153</v>
      </c>
      <c r="C886" s="1">
        <v>41863</v>
      </c>
      <c r="D886" s="22">
        <f>MONTH(Table12[[#This Row],[Order Date]])</f>
        <v>8</v>
      </c>
      <c r="E886" t="s">
        <v>1287</v>
      </c>
      <c r="F886" t="s">
        <v>1288</v>
      </c>
      <c r="G886" s="23" t="s">
        <v>41</v>
      </c>
      <c r="H886" s="23" t="s">
        <v>61</v>
      </c>
      <c r="I886" t="s">
        <v>6275</v>
      </c>
      <c r="J886" s="23" t="s">
        <v>92</v>
      </c>
      <c r="K886" s="22">
        <v>5</v>
      </c>
      <c r="L886" s="1">
        <v>41867</v>
      </c>
      <c r="M886" s="22">
        <f>Table12[[#This Row],[Ship Date]]-Table12[[#This Row],[Order Date]]</f>
        <v>4</v>
      </c>
      <c r="N886" s="23" t="s">
        <v>45</v>
      </c>
      <c r="O886" s="23" t="s">
        <v>23</v>
      </c>
      <c r="P886" s="23" t="s">
        <v>48</v>
      </c>
      <c r="Q886" s="23" t="s">
        <v>26</v>
      </c>
      <c r="R886" s="23" t="s">
        <v>1253</v>
      </c>
      <c r="S886" s="33">
        <v>0.2</v>
      </c>
      <c r="T886" s="13">
        <v>47.96</v>
      </c>
      <c r="U886" s="13">
        <v>4.1965000000000003</v>
      </c>
      <c r="V886" s="55">
        <f>IFERROR(Table12[[#This Row],[Profit]]/Table12[[#This Row],[Sales]],0)</f>
        <v>8.7500000000000008E-2</v>
      </c>
    </row>
    <row r="887" spans="1:22" x14ac:dyDescent="0.2">
      <c r="A887">
        <v>886</v>
      </c>
      <c r="B887" t="s">
        <v>9153</v>
      </c>
      <c r="C887" s="1">
        <v>41863</v>
      </c>
      <c r="D887" s="22">
        <f>MONTH(Table12[[#This Row],[Order Date]])</f>
        <v>8</v>
      </c>
      <c r="E887" t="s">
        <v>2479</v>
      </c>
      <c r="F887" t="s">
        <v>2480</v>
      </c>
      <c r="G887" s="23" t="s">
        <v>64</v>
      </c>
      <c r="H887" s="23" t="s">
        <v>144</v>
      </c>
      <c r="I887" t="s">
        <v>6275</v>
      </c>
      <c r="J887" s="23" t="s">
        <v>92</v>
      </c>
      <c r="K887" s="22">
        <v>7</v>
      </c>
      <c r="L887" s="1">
        <v>41867</v>
      </c>
      <c r="M887" s="22">
        <f>Table12[[#This Row],[Ship Date]]-Table12[[#This Row],[Order Date]]</f>
        <v>4</v>
      </c>
      <c r="N887" s="23" t="s">
        <v>45</v>
      </c>
      <c r="O887" s="23" t="s">
        <v>23</v>
      </c>
      <c r="P887" s="23" t="s">
        <v>48</v>
      </c>
      <c r="Q887" s="23" t="s">
        <v>26</v>
      </c>
      <c r="R887" s="23" t="s">
        <v>1253</v>
      </c>
      <c r="S887" s="33">
        <v>0.2</v>
      </c>
      <c r="T887" s="13">
        <v>158.928</v>
      </c>
      <c r="U887" s="13">
        <v>41.718600000000002</v>
      </c>
      <c r="V887" s="55">
        <f>IFERROR(Table12[[#This Row],[Profit]]/Table12[[#This Row],[Sales]],0)</f>
        <v>0.26250000000000001</v>
      </c>
    </row>
    <row r="888" spans="1:22" x14ac:dyDescent="0.2">
      <c r="A888">
        <v>887</v>
      </c>
      <c r="B888" t="s">
        <v>9153</v>
      </c>
      <c r="C888" s="1">
        <v>41863</v>
      </c>
      <c r="D888" s="22">
        <f>MONTH(Table12[[#This Row],[Order Date]])</f>
        <v>8</v>
      </c>
      <c r="E888" t="s">
        <v>4815</v>
      </c>
      <c r="F888" t="s">
        <v>4816</v>
      </c>
      <c r="G888" s="23" t="s">
        <v>41</v>
      </c>
      <c r="H888" s="23" t="s">
        <v>71</v>
      </c>
      <c r="I888" t="s">
        <v>6275</v>
      </c>
      <c r="J888" s="23" t="s">
        <v>92</v>
      </c>
      <c r="K888" s="22">
        <v>6</v>
      </c>
      <c r="L888" s="1">
        <v>41867</v>
      </c>
      <c r="M888" s="22">
        <f>Table12[[#This Row],[Ship Date]]-Table12[[#This Row],[Order Date]]</f>
        <v>4</v>
      </c>
      <c r="N888" s="23" t="s">
        <v>45</v>
      </c>
      <c r="O888" s="23" t="s">
        <v>23</v>
      </c>
      <c r="P888" s="23" t="s">
        <v>48</v>
      </c>
      <c r="Q888" s="23" t="s">
        <v>26</v>
      </c>
      <c r="R888" s="23" t="s">
        <v>1253</v>
      </c>
      <c r="S888" s="33">
        <v>0.2</v>
      </c>
      <c r="T888" s="13">
        <v>211.24799999999999</v>
      </c>
      <c r="U888" s="13">
        <v>15.8436</v>
      </c>
      <c r="V888" s="55">
        <f>IFERROR(Table12[[#This Row],[Profit]]/Table12[[#This Row],[Sales]],0)</f>
        <v>7.5000000000000011E-2</v>
      </c>
    </row>
    <row r="889" spans="1:22" x14ac:dyDescent="0.2">
      <c r="A889">
        <v>888</v>
      </c>
      <c r="B889" t="s">
        <v>9153</v>
      </c>
      <c r="C889" s="1">
        <v>41863</v>
      </c>
      <c r="D889" s="22">
        <f>MONTH(Table12[[#This Row],[Order Date]])</f>
        <v>8</v>
      </c>
      <c r="E889" t="s">
        <v>6123</v>
      </c>
      <c r="F889" t="s">
        <v>6124</v>
      </c>
      <c r="G889" s="23" t="s">
        <v>41</v>
      </c>
      <c r="H889" s="23" t="s">
        <v>513</v>
      </c>
      <c r="I889" t="s">
        <v>6275</v>
      </c>
      <c r="J889" s="23" t="s">
        <v>92</v>
      </c>
      <c r="K889" s="22">
        <v>2</v>
      </c>
      <c r="L889" s="1">
        <v>41867</v>
      </c>
      <c r="M889" s="22">
        <f>Table12[[#This Row],[Ship Date]]-Table12[[#This Row],[Order Date]]</f>
        <v>4</v>
      </c>
      <c r="N889" s="23" t="s">
        <v>45</v>
      </c>
      <c r="O889" s="23" t="s">
        <v>23</v>
      </c>
      <c r="P889" s="23" t="s">
        <v>48</v>
      </c>
      <c r="Q889" s="23" t="s">
        <v>26</v>
      </c>
      <c r="R889" s="23" t="s">
        <v>1253</v>
      </c>
      <c r="S889" s="33">
        <v>0.2</v>
      </c>
      <c r="T889" s="13">
        <v>5.5519999999999996</v>
      </c>
      <c r="U889" s="13">
        <v>-1.0409999999999999</v>
      </c>
      <c r="V889" s="55">
        <f>IFERROR(Table12[[#This Row],[Profit]]/Table12[[#This Row],[Sales]],0)</f>
        <v>-0.1875</v>
      </c>
    </row>
    <row r="890" spans="1:22" x14ac:dyDescent="0.2">
      <c r="A890">
        <v>889</v>
      </c>
      <c r="B890" t="s">
        <v>9153</v>
      </c>
      <c r="C890" s="1">
        <v>41863</v>
      </c>
      <c r="D890" s="22">
        <f>MONTH(Table12[[#This Row],[Order Date]])</f>
        <v>8</v>
      </c>
      <c r="E890" t="s">
        <v>4030</v>
      </c>
      <c r="F890" t="s">
        <v>4031</v>
      </c>
      <c r="G890" s="23" t="s">
        <v>41</v>
      </c>
      <c r="H890" s="23" t="s">
        <v>42</v>
      </c>
      <c r="I890" t="s">
        <v>6275</v>
      </c>
      <c r="J890" s="23" t="s">
        <v>92</v>
      </c>
      <c r="K890" s="22">
        <v>1</v>
      </c>
      <c r="L890" s="1">
        <v>41867</v>
      </c>
      <c r="M890" s="22">
        <f>Table12[[#This Row],[Ship Date]]-Table12[[#This Row],[Order Date]]</f>
        <v>4</v>
      </c>
      <c r="N890" s="23" t="s">
        <v>45</v>
      </c>
      <c r="O890" s="23" t="s">
        <v>23</v>
      </c>
      <c r="P890" s="23" t="s">
        <v>48</v>
      </c>
      <c r="Q890" s="23" t="s">
        <v>26</v>
      </c>
      <c r="R890" s="23" t="s">
        <v>1253</v>
      </c>
      <c r="S890" s="33">
        <v>0.2</v>
      </c>
      <c r="T890" s="13">
        <v>2.952</v>
      </c>
      <c r="U890" s="13">
        <v>0.99629999999999996</v>
      </c>
      <c r="V890" s="55">
        <f>IFERROR(Table12[[#This Row],[Profit]]/Table12[[#This Row],[Sales]],0)</f>
        <v>0.33749999999999997</v>
      </c>
    </row>
    <row r="891" spans="1:22" x14ac:dyDescent="0.2">
      <c r="A891">
        <v>890</v>
      </c>
      <c r="B891" t="s">
        <v>10088</v>
      </c>
      <c r="C891" s="1">
        <v>41863</v>
      </c>
      <c r="D891" s="22">
        <f>MONTH(Table12[[#This Row],[Order Date]])</f>
        <v>8</v>
      </c>
      <c r="E891" t="s">
        <v>2074</v>
      </c>
      <c r="F891" t="s">
        <v>2075</v>
      </c>
      <c r="G891" s="23" t="s">
        <v>41</v>
      </c>
      <c r="H891" s="23" t="s">
        <v>68</v>
      </c>
      <c r="I891" t="s">
        <v>2396</v>
      </c>
      <c r="J891" s="23" t="s">
        <v>22</v>
      </c>
      <c r="K891" s="22">
        <v>3</v>
      </c>
      <c r="L891" s="1">
        <v>41864</v>
      </c>
      <c r="M891" s="22">
        <f>Table12[[#This Row],[Ship Date]]-Table12[[#This Row],[Order Date]]</f>
        <v>1</v>
      </c>
      <c r="N891" s="23" t="s">
        <v>169</v>
      </c>
      <c r="O891" s="23" t="s">
        <v>23</v>
      </c>
      <c r="P891" s="23" t="s">
        <v>1125</v>
      </c>
      <c r="Q891" s="23" t="s">
        <v>26</v>
      </c>
      <c r="R891" s="23" t="s">
        <v>5048</v>
      </c>
      <c r="S891" s="33">
        <v>0</v>
      </c>
      <c r="T891" s="13">
        <v>14.04</v>
      </c>
      <c r="U891" s="13">
        <v>6.7392000000000003</v>
      </c>
      <c r="V891" s="55">
        <f>IFERROR(Table12[[#This Row],[Profit]]/Table12[[#This Row],[Sales]],0)</f>
        <v>0.48000000000000004</v>
      </c>
    </row>
    <row r="892" spans="1:22" x14ac:dyDescent="0.2">
      <c r="A892">
        <v>891</v>
      </c>
      <c r="B892" t="s">
        <v>10088</v>
      </c>
      <c r="C892" s="1">
        <v>41863</v>
      </c>
      <c r="D892" s="22">
        <f>MONTH(Table12[[#This Row],[Order Date]])</f>
        <v>8</v>
      </c>
      <c r="E892" t="s">
        <v>3143</v>
      </c>
      <c r="F892" t="s">
        <v>3144</v>
      </c>
      <c r="G892" s="23" t="s">
        <v>64</v>
      </c>
      <c r="H892" s="23" t="s">
        <v>144</v>
      </c>
      <c r="I892" t="s">
        <v>2396</v>
      </c>
      <c r="J892" s="23" t="s">
        <v>22</v>
      </c>
      <c r="K892" s="22">
        <v>13</v>
      </c>
      <c r="L892" s="1">
        <v>41864</v>
      </c>
      <c r="M892" s="22">
        <f>Table12[[#This Row],[Ship Date]]-Table12[[#This Row],[Order Date]]</f>
        <v>1</v>
      </c>
      <c r="N892" s="23" t="s">
        <v>169</v>
      </c>
      <c r="O892" s="23" t="s">
        <v>23</v>
      </c>
      <c r="P892" s="23" t="s">
        <v>1125</v>
      </c>
      <c r="Q892" s="23" t="s">
        <v>26</v>
      </c>
      <c r="R892" s="23" t="s">
        <v>5048</v>
      </c>
      <c r="S892" s="33">
        <v>0</v>
      </c>
      <c r="T892" s="13">
        <v>272.61</v>
      </c>
      <c r="U892" s="13">
        <v>98.139600000000002</v>
      </c>
      <c r="V892" s="55">
        <f>IFERROR(Table12[[#This Row],[Profit]]/Table12[[#This Row],[Sales]],0)</f>
        <v>0.36</v>
      </c>
    </row>
    <row r="893" spans="1:22" x14ac:dyDescent="0.2">
      <c r="A893">
        <v>892</v>
      </c>
      <c r="B893" t="s">
        <v>5819</v>
      </c>
      <c r="C893" s="1">
        <v>41866</v>
      </c>
      <c r="D893" s="22">
        <f>MONTH(Table12[[#This Row],[Order Date]])</f>
        <v>8</v>
      </c>
      <c r="E893" t="s">
        <v>2100</v>
      </c>
      <c r="F893" t="s">
        <v>2101</v>
      </c>
      <c r="G893" s="23" t="s">
        <v>41</v>
      </c>
      <c r="H893" s="23" t="s">
        <v>68</v>
      </c>
      <c r="I893" t="s">
        <v>1264</v>
      </c>
      <c r="J893" s="23" t="s">
        <v>22</v>
      </c>
      <c r="K893" s="22">
        <v>8</v>
      </c>
      <c r="L893" s="1">
        <v>41869</v>
      </c>
      <c r="M893" s="22">
        <f>Table12[[#This Row],[Ship Date]]-Table12[[#This Row],[Order Date]]</f>
        <v>3</v>
      </c>
      <c r="N893" s="23" t="s">
        <v>169</v>
      </c>
      <c r="O893" s="23" t="s">
        <v>23</v>
      </c>
      <c r="P893" s="23" t="s">
        <v>94</v>
      </c>
      <c r="Q893" s="23" t="s">
        <v>95</v>
      </c>
      <c r="R893" s="23" t="s">
        <v>718</v>
      </c>
      <c r="S893" s="33">
        <v>0.8</v>
      </c>
      <c r="T893" s="13">
        <v>30.96</v>
      </c>
      <c r="U893" s="13">
        <v>-52.631999999999998</v>
      </c>
      <c r="V893" s="55">
        <f>IFERROR(Table12[[#This Row],[Profit]]/Table12[[#This Row],[Sales]],0)</f>
        <v>-1.7</v>
      </c>
    </row>
    <row r="894" spans="1:22" x14ac:dyDescent="0.2">
      <c r="A894">
        <v>893</v>
      </c>
      <c r="B894" t="s">
        <v>8326</v>
      </c>
      <c r="C894" s="1">
        <v>41866</v>
      </c>
      <c r="D894" s="22">
        <f>MONTH(Table12[[#This Row],[Order Date]])</f>
        <v>8</v>
      </c>
      <c r="E894" t="s">
        <v>1851</v>
      </c>
      <c r="F894" t="s">
        <v>1852</v>
      </c>
      <c r="G894" s="23" t="s">
        <v>41</v>
      </c>
      <c r="H894" s="23" t="s">
        <v>68</v>
      </c>
      <c r="I894" t="s">
        <v>2870</v>
      </c>
      <c r="J894" s="23" t="s">
        <v>22</v>
      </c>
      <c r="K894" s="22">
        <v>3</v>
      </c>
      <c r="L894" s="1">
        <v>41869</v>
      </c>
      <c r="M894" s="22">
        <f>Table12[[#This Row],[Ship Date]]-Table12[[#This Row],[Order Date]]</f>
        <v>3</v>
      </c>
      <c r="N894" s="23" t="s">
        <v>169</v>
      </c>
      <c r="O894" s="23" t="s">
        <v>23</v>
      </c>
      <c r="P894" s="23" t="s">
        <v>660</v>
      </c>
      <c r="Q894" s="23" t="s">
        <v>133</v>
      </c>
      <c r="R894" s="23" t="s">
        <v>659</v>
      </c>
      <c r="S894" s="33">
        <v>0</v>
      </c>
      <c r="T894" s="13">
        <v>62.94</v>
      </c>
      <c r="U894" s="13">
        <v>30.211200000000002</v>
      </c>
      <c r="V894" s="55">
        <f>IFERROR(Table12[[#This Row],[Profit]]/Table12[[#This Row],[Sales]],0)</f>
        <v>0.48000000000000004</v>
      </c>
    </row>
    <row r="895" spans="1:22" x14ac:dyDescent="0.2">
      <c r="A895">
        <v>894</v>
      </c>
      <c r="B895" t="s">
        <v>9576</v>
      </c>
      <c r="C895" s="1">
        <v>41866</v>
      </c>
      <c r="D895" s="22">
        <f>MONTH(Table12[[#This Row],[Order Date]])</f>
        <v>8</v>
      </c>
      <c r="E895" t="s">
        <v>9407</v>
      </c>
      <c r="F895" t="s">
        <v>9408</v>
      </c>
      <c r="G895" s="23" t="s">
        <v>41</v>
      </c>
      <c r="H895" s="23" t="s">
        <v>82</v>
      </c>
      <c r="I895" t="s">
        <v>2870</v>
      </c>
      <c r="J895" s="23" t="s">
        <v>22</v>
      </c>
      <c r="K895" s="22">
        <v>5</v>
      </c>
      <c r="L895" s="1">
        <v>41868</v>
      </c>
      <c r="M895" s="22">
        <f>Table12[[#This Row],[Ship Date]]-Table12[[#This Row],[Order Date]]</f>
        <v>2</v>
      </c>
      <c r="N895" s="23" t="s">
        <v>169</v>
      </c>
      <c r="O895" s="23" t="s">
        <v>23</v>
      </c>
      <c r="P895" s="23" t="s">
        <v>48</v>
      </c>
      <c r="Q895" s="23" t="s">
        <v>26</v>
      </c>
      <c r="R895" s="23" t="s">
        <v>6510</v>
      </c>
      <c r="S895" s="33">
        <v>0.2</v>
      </c>
      <c r="T895" s="13">
        <v>91.36</v>
      </c>
      <c r="U895" s="13">
        <v>29.692</v>
      </c>
      <c r="V895" s="55">
        <f>IFERROR(Table12[[#This Row],[Profit]]/Table12[[#This Row],[Sales]],0)</f>
        <v>0.32500000000000001</v>
      </c>
    </row>
    <row r="896" spans="1:22" x14ac:dyDescent="0.2">
      <c r="A896">
        <v>895</v>
      </c>
      <c r="B896" t="s">
        <v>9576</v>
      </c>
      <c r="C896" s="1">
        <v>41866</v>
      </c>
      <c r="D896" s="22">
        <f>MONTH(Table12[[#This Row],[Order Date]])</f>
        <v>8</v>
      </c>
      <c r="E896" t="s">
        <v>1758</v>
      </c>
      <c r="F896" t="s">
        <v>1759</v>
      </c>
      <c r="G896" s="23" t="s">
        <v>41</v>
      </c>
      <c r="H896" s="23" t="s">
        <v>71</v>
      </c>
      <c r="I896" t="s">
        <v>2870</v>
      </c>
      <c r="J896" s="23" t="s">
        <v>22</v>
      </c>
      <c r="K896" s="22">
        <v>5</v>
      </c>
      <c r="L896" s="1">
        <v>41868</v>
      </c>
      <c r="M896" s="22">
        <f>Table12[[#This Row],[Ship Date]]-Table12[[#This Row],[Order Date]]</f>
        <v>2</v>
      </c>
      <c r="N896" s="23" t="s">
        <v>169</v>
      </c>
      <c r="O896" s="23" t="s">
        <v>23</v>
      </c>
      <c r="P896" s="23" t="s">
        <v>48</v>
      </c>
      <c r="Q896" s="23" t="s">
        <v>26</v>
      </c>
      <c r="R896" s="23" t="s">
        <v>6510</v>
      </c>
      <c r="S896" s="33">
        <v>0.2</v>
      </c>
      <c r="T896" s="13">
        <v>152.24</v>
      </c>
      <c r="U896" s="13">
        <v>17.126999999999999</v>
      </c>
      <c r="V896" s="55">
        <f>IFERROR(Table12[[#This Row],[Profit]]/Table12[[#This Row],[Sales]],0)</f>
        <v>0.11249999999999999</v>
      </c>
    </row>
    <row r="897" spans="1:22" x14ac:dyDescent="0.2">
      <c r="A897">
        <v>896</v>
      </c>
      <c r="B897" t="s">
        <v>10062</v>
      </c>
      <c r="C897" s="1">
        <v>41866</v>
      </c>
      <c r="D897" s="22">
        <f>MONTH(Table12[[#This Row],[Order Date]])</f>
        <v>8</v>
      </c>
      <c r="E897" t="s">
        <v>1853</v>
      </c>
      <c r="F897" t="s">
        <v>1854</v>
      </c>
      <c r="G897" s="23" t="s">
        <v>41</v>
      </c>
      <c r="H897" s="23" t="s">
        <v>71</v>
      </c>
      <c r="I897" t="s">
        <v>1583</v>
      </c>
      <c r="J897" s="23" t="s">
        <v>22</v>
      </c>
      <c r="K897" s="22">
        <v>3</v>
      </c>
      <c r="L897" s="1">
        <v>41870</v>
      </c>
      <c r="M897" s="22">
        <f>Table12[[#This Row],[Ship Date]]-Table12[[#This Row],[Order Date]]</f>
        <v>4</v>
      </c>
      <c r="N897" s="23" t="s">
        <v>45</v>
      </c>
      <c r="O897" s="23" t="s">
        <v>23</v>
      </c>
      <c r="P897" s="23" t="s">
        <v>38</v>
      </c>
      <c r="Q897" s="23" t="s">
        <v>39</v>
      </c>
      <c r="R897" s="23" t="s">
        <v>114</v>
      </c>
      <c r="S897" s="33">
        <v>0</v>
      </c>
      <c r="T897" s="13">
        <v>152.91</v>
      </c>
      <c r="U897" s="13">
        <v>42.814799999999998</v>
      </c>
      <c r="V897" s="55">
        <f>IFERROR(Table12[[#This Row],[Profit]]/Table12[[#This Row],[Sales]],0)</f>
        <v>0.27999999999999997</v>
      </c>
    </row>
    <row r="898" spans="1:22" x14ac:dyDescent="0.2">
      <c r="A898">
        <v>897</v>
      </c>
      <c r="B898" t="s">
        <v>10062</v>
      </c>
      <c r="C898" s="1">
        <v>41866</v>
      </c>
      <c r="D898" s="22">
        <f>MONTH(Table12[[#This Row],[Order Date]])</f>
        <v>8</v>
      </c>
      <c r="E898" t="s">
        <v>3826</v>
      </c>
      <c r="F898" t="s">
        <v>3827</v>
      </c>
      <c r="G898" s="23" t="s">
        <v>41</v>
      </c>
      <c r="H898" s="23" t="s">
        <v>82</v>
      </c>
      <c r="I898" t="s">
        <v>1583</v>
      </c>
      <c r="J898" s="23" t="s">
        <v>22</v>
      </c>
      <c r="K898" s="22">
        <v>3</v>
      </c>
      <c r="L898" s="1">
        <v>41870</v>
      </c>
      <c r="M898" s="22">
        <f>Table12[[#This Row],[Ship Date]]-Table12[[#This Row],[Order Date]]</f>
        <v>4</v>
      </c>
      <c r="N898" s="23" t="s">
        <v>45</v>
      </c>
      <c r="O898" s="23" t="s">
        <v>23</v>
      </c>
      <c r="P898" s="23" t="s">
        <v>38</v>
      </c>
      <c r="Q898" s="23" t="s">
        <v>39</v>
      </c>
      <c r="R898" s="23" t="s">
        <v>114</v>
      </c>
      <c r="S898" s="33">
        <v>0</v>
      </c>
      <c r="T898" s="13">
        <v>92.94</v>
      </c>
      <c r="U898" s="13">
        <v>41.823</v>
      </c>
      <c r="V898" s="55">
        <f>IFERROR(Table12[[#This Row],[Profit]]/Table12[[#This Row],[Sales]],0)</f>
        <v>0.45</v>
      </c>
    </row>
    <row r="899" spans="1:22" x14ac:dyDescent="0.2">
      <c r="A899">
        <v>898</v>
      </c>
      <c r="B899" t="s">
        <v>10062</v>
      </c>
      <c r="C899" s="1">
        <v>41866</v>
      </c>
      <c r="D899" s="22">
        <f>MONTH(Table12[[#This Row],[Order Date]])</f>
        <v>8</v>
      </c>
      <c r="E899" t="s">
        <v>323</v>
      </c>
      <c r="F899" t="s">
        <v>324</v>
      </c>
      <c r="G899" s="23" t="s">
        <v>41</v>
      </c>
      <c r="H899" s="23" t="s">
        <v>68</v>
      </c>
      <c r="I899" t="s">
        <v>1583</v>
      </c>
      <c r="J899" s="23" t="s">
        <v>22</v>
      </c>
      <c r="K899" s="22">
        <v>4</v>
      </c>
      <c r="L899" s="1">
        <v>41870</v>
      </c>
      <c r="M899" s="22">
        <f>Table12[[#This Row],[Ship Date]]-Table12[[#This Row],[Order Date]]</f>
        <v>4</v>
      </c>
      <c r="N899" s="23" t="s">
        <v>45</v>
      </c>
      <c r="O899" s="23" t="s">
        <v>23</v>
      </c>
      <c r="P899" s="23" t="s">
        <v>38</v>
      </c>
      <c r="Q899" s="23" t="s">
        <v>39</v>
      </c>
      <c r="R899" s="23" t="s">
        <v>114</v>
      </c>
      <c r="S899" s="33">
        <v>0.2</v>
      </c>
      <c r="T899" s="13">
        <v>17.856000000000002</v>
      </c>
      <c r="U899" s="13">
        <v>6.2496</v>
      </c>
      <c r="V899" s="55">
        <f>IFERROR(Table12[[#This Row],[Profit]]/Table12[[#This Row],[Sales]],0)</f>
        <v>0.35</v>
      </c>
    </row>
    <row r="900" spans="1:22" x14ac:dyDescent="0.2">
      <c r="A900">
        <v>899</v>
      </c>
      <c r="B900" t="s">
        <v>10062</v>
      </c>
      <c r="C900" s="1">
        <v>41866</v>
      </c>
      <c r="D900" s="22">
        <f>MONTH(Table12[[#This Row],[Order Date]])</f>
        <v>8</v>
      </c>
      <c r="E900" t="s">
        <v>2100</v>
      </c>
      <c r="F900" t="s">
        <v>2101</v>
      </c>
      <c r="G900" s="23" t="s">
        <v>41</v>
      </c>
      <c r="H900" s="23" t="s">
        <v>68</v>
      </c>
      <c r="I900" t="s">
        <v>1583</v>
      </c>
      <c r="J900" s="23" t="s">
        <v>22</v>
      </c>
      <c r="K900" s="22">
        <v>3</v>
      </c>
      <c r="L900" s="1">
        <v>41870</v>
      </c>
      <c r="M900" s="22">
        <f>Table12[[#This Row],[Ship Date]]-Table12[[#This Row],[Order Date]]</f>
        <v>4</v>
      </c>
      <c r="N900" s="23" t="s">
        <v>45</v>
      </c>
      <c r="O900" s="23" t="s">
        <v>23</v>
      </c>
      <c r="P900" s="23" t="s">
        <v>38</v>
      </c>
      <c r="Q900" s="23" t="s">
        <v>39</v>
      </c>
      <c r="R900" s="23" t="s">
        <v>114</v>
      </c>
      <c r="S900" s="33">
        <v>0.2</v>
      </c>
      <c r="T900" s="13">
        <v>46.44</v>
      </c>
      <c r="U900" s="13">
        <v>15.093</v>
      </c>
      <c r="V900" s="55">
        <f>IFERROR(Table12[[#This Row],[Profit]]/Table12[[#This Row],[Sales]],0)</f>
        <v>0.32500000000000001</v>
      </c>
    </row>
    <row r="901" spans="1:22" x14ac:dyDescent="0.2">
      <c r="A901">
        <v>900</v>
      </c>
      <c r="B901" t="s">
        <v>10062</v>
      </c>
      <c r="C901" s="1">
        <v>41866</v>
      </c>
      <c r="D901" s="22">
        <f>MONTH(Table12[[#This Row],[Order Date]])</f>
        <v>8</v>
      </c>
      <c r="E901" t="s">
        <v>4368</v>
      </c>
      <c r="F901" t="s">
        <v>4369</v>
      </c>
      <c r="G901" s="23" t="s">
        <v>28</v>
      </c>
      <c r="H901" s="23" t="s">
        <v>32</v>
      </c>
      <c r="I901" t="s">
        <v>1583</v>
      </c>
      <c r="J901" s="23" t="s">
        <v>22</v>
      </c>
      <c r="K901" s="22">
        <v>4</v>
      </c>
      <c r="L901" s="1">
        <v>41870</v>
      </c>
      <c r="M901" s="22">
        <f>Table12[[#This Row],[Ship Date]]-Table12[[#This Row],[Order Date]]</f>
        <v>4</v>
      </c>
      <c r="N901" s="23" t="s">
        <v>45</v>
      </c>
      <c r="O901" s="23" t="s">
        <v>23</v>
      </c>
      <c r="P901" s="23" t="s">
        <v>38</v>
      </c>
      <c r="Q901" s="23" t="s">
        <v>39</v>
      </c>
      <c r="R901" s="23" t="s">
        <v>114</v>
      </c>
      <c r="S901" s="33">
        <v>0.2</v>
      </c>
      <c r="T901" s="13">
        <v>195.136</v>
      </c>
      <c r="U901" s="13">
        <v>-12.196</v>
      </c>
      <c r="V901" s="55">
        <f>IFERROR(Table12[[#This Row],[Profit]]/Table12[[#This Row],[Sales]],0)</f>
        <v>-6.25E-2</v>
      </c>
    </row>
    <row r="902" spans="1:22" x14ac:dyDescent="0.2">
      <c r="A902">
        <v>901</v>
      </c>
      <c r="B902" t="s">
        <v>3856</v>
      </c>
      <c r="C902" s="1">
        <v>41867</v>
      </c>
      <c r="D902" s="22">
        <f>MONTH(Table12[[#This Row],[Order Date]])</f>
        <v>8</v>
      </c>
      <c r="E902" t="s">
        <v>73</v>
      </c>
      <c r="F902" t="s">
        <v>74</v>
      </c>
      <c r="G902" s="23" t="s">
        <v>28</v>
      </c>
      <c r="H902" s="23" t="s">
        <v>50</v>
      </c>
      <c r="I902" t="s">
        <v>480</v>
      </c>
      <c r="J902" s="23" t="s">
        <v>22</v>
      </c>
      <c r="K902" s="22">
        <v>6</v>
      </c>
      <c r="L902" s="1">
        <v>41871</v>
      </c>
      <c r="M902" s="22">
        <f>Table12[[#This Row],[Ship Date]]-Table12[[#This Row],[Order Date]]</f>
        <v>4</v>
      </c>
      <c r="N902" s="23" t="s">
        <v>45</v>
      </c>
      <c r="O902" s="23" t="s">
        <v>23</v>
      </c>
      <c r="P902" s="23" t="s">
        <v>132</v>
      </c>
      <c r="Q902" s="23" t="s">
        <v>133</v>
      </c>
      <c r="R902" s="23" t="s">
        <v>131</v>
      </c>
      <c r="S902" s="33">
        <v>0.4</v>
      </c>
      <c r="T902" s="13">
        <v>853.09199999999998</v>
      </c>
      <c r="U902" s="13">
        <v>-227.49119999999999</v>
      </c>
      <c r="V902" s="55">
        <f>IFERROR(Table12[[#This Row],[Profit]]/Table12[[#This Row],[Sales]],0)</f>
        <v>-0.26666666666666666</v>
      </c>
    </row>
    <row r="903" spans="1:22" x14ac:dyDescent="0.2">
      <c r="A903">
        <v>902</v>
      </c>
      <c r="B903" t="s">
        <v>4363</v>
      </c>
      <c r="C903" s="1">
        <v>41868</v>
      </c>
      <c r="D903" s="22">
        <f>MONTH(Table12[[#This Row],[Order Date]])</f>
        <v>8</v>
      </c>
      <c r="E903" t="s">
        <v>3415</v>
      </c>
      <c r="F903" t="s">
        <v>3416</v>
      </c>
      <c r="G903" s="23" t="s">
        <v>41</v>
      </c>
      <c r="H903" s="23" t="s">
        <v>82</v>
      </c>
      <c r="I903" t="s">
        <v>122</v>
      </c>
      <c r="J903" s="23" t="s">
        <v>36</v>
      </c>
      <c r="K903" s="22">
        <v>3</v>
      </c>
      <c r="L903" s="1">
        <v>41874</v>
      </c>
      <c r="M903" s="22">
        <f>Table12[[#This Row],[Ship Date]]-Table12[[#This Row],[Order Date]]</f>
        <v>6</v>
      </c>
      <c r="N903" s="23" t="s">
        <v>45</v>
      </c>
      <c r="O903" s="23" t="s">
        <v>23</v>
      </c>
      <c r="P903" s="23" t="s">
        <v>94</v>
      </c>
      <c r="Q903" s="23" t="s">
        <v>95</v>
      </c>
      <c r="R903" s="23" t="s">
        <v>165</v>
      </c>
      <c r="S903" s="33">
        <v>0.2</v>
      </c>
      <c r="T903" s="13">
        <v>15.552</v>
      </c>
      <c r="U903" s="13">
        <v>5.4432</v>
      </c>
      <c r="V903" s="55">
        <f>IFERROR(Table12[[#This Row],[Profit]]/Table12[[#This Row],[Sales]],0)</f>
        <v>0.35000000000000003</v>
      </c>
    </row>
    <row r="904" spans="1:22" x14ac:dyDescent="0.2">
      <c r="A904">
        <v>903</v>
      </c>
      <c r="B904" t="s">
        <v>4997</v>
      </c>
      <c r="C904" s="1">
        <v>41868</v>
      </c>
      <c r="D904" s="22">
        <f>MONTH(Table12[[#This Row],[Order Date]])</f>
        <v>8</v>
      </c>
      <c r="E904" t="s">
        <v>4023</v>
      </c>
      <c r="F904" t="s">
        <v>4024</v>
      </c>
      <c r="G904" s="23" t="s">
        <v>41</v>
      </c>
      <c r="H904" s="23" t="s">
        <v>82</v>
      </c>
      <c r="I904" t="s">
        <v>1046</v>
      </c>
      <c r="J904" s="23" t="s">
        <v>36</v>
      </c>
      <c r="K904" s="22">
        <v>5</v>
      </c>
      <c r="L904" s="1">
        <v>41872</v>
      </c>
      <c r="M904" s="22">
        <f>Table12[[#This Row],[Ship Date]]-Table12[[#This Row],[Order Date]]</f>
        <v>4</v>
      </c>
      <c r="N904" s="23" t="s">
        <v>45</v>
      </c>
      <c r="O904" s="23" t="s">
        <v>23</v>
      </c>
      <c r="P904" s="23" t="s">
        <v>1510</v>
      </c>
      <c r="Q904" s="23" t="s">
        <v>26</v>
      </c>
      <c r="R904" s="23" t="s">
        <v>4562</v>
      </c>
      <c r="S904" s="33">
        <v>0</v>
      </c>
      <c r="T904" s="13">
        <v>114.2</v>
      </c>
      <c r="U904" s="13">
        <v>52.531999999999996</v>
      </c>
      <c r="V904" s="55">
        <f>IFERROR(Table12[[#This Row],[Profit]]/Table12[[#This Row],[Sales]],0)</f>
        <v>0.45999999999999996</v>
      </c>
    </row>
    <row r="905" spans="1:22" x14ac:dyDescent="0.2">
      <c r="A905">
        <v>904</v>
      </c>
      <c r="B905" t="s">
        <v>4997</v>
      </c>
      <c r="C905" s="1">
        <v>41868</v>
      </c>
      <c r="D905" s="22">
        <f>MONTH(Table12[[#This Row],[Order Date]])</f>
        <v>8</v>
      </c>
      <c r="E905" t="s">
        <v>4998</v>
      </c>
      <c r="F905" t="s">
        <v>1078</v>
      </c>
      <c r="G905" s="23" t="s">
        <v>41</v>
      </c>
      <c r="H905" s="23" t="s">
        <v>68</v>
      </c>
      <c r="I905" t="s">
        <v>1046</v>
      </c>
      <c r="J905" s="23" t="s">
        <v>36</v>
      </c>
      <c r="K905" s="22">
        <v>4</v>
      </c>
      <c r="L905" s="1">
        <v>41872</v>
      </c>
      <c r="M905" s="22">
        <f>Table12[[#This Row],[Ship Date]]-Table12[[#This Row],[Order Date]]</f>
        <v>4</v>
      </c>
      <c r="N905" s="23" t="s">
        <v>45</v>
      </c>
      <c r="O905" s="23" t="s">
        <v>23</v>
      </c>
      <c r="P905" s="23" t="s">
        <v>1510</v>
      </c>
      <c r="Q905" s="23" t="s">
        <v>26</v>
      </c>
      <c r="R905" s="23" t="s">
        <v>4562</v>
      </c>
      <c r="S905" s="33">
        <v>0</v>
      </c>
      <c r="T905" s="13">
        <v>17.96</v>
      </c>
      <c r="U905" s="13">
        <v>8.2615999999999996</v>
      </c>
      <c r="V905" s="55">
        <f>IFERROR(Table12[[#This Row],[Profit]]/Table12[[#This Row],[Sales]],0)</f>
        <v>0.45999999999999996</v>
      </c>
    </row>
    <row r="906" spans="1:22" x14ac:dyDescent="0.2">
      <c r="A906">
        <v>905</v>
      </c>
      <c r="B906" t="s">
        <v>4997</v>
      </c>
      <c r="C906" s="1">
        <v>41868</v>
      </c>
      <c r="D906" s="22">
        <f>MONTH(Table12[[#This Row],[Order Date]])</f>
        <v>8</v>
      </c>
      <c r="E906" t="s">
        <v>3822</v>
      </c>
      <c r="F906" t="s">
        <v>3823</v>
      </c>
      <c r="G906" s="23" t="s">
        <v>41</v>
      </c>
      <c r="H906" s="23" t="s">
        <v>240</v>
      </c>
      <c r="I906" t="s">
        <v>1046</v>
      </c>
      <c r="J906" s="23" t="s">
        <v>36</v>
      </c>
      <c r="K906" s="22">
        <v>7</v>
      </c>
      <c r="L906" s="1">
        <v>41872</v>
      </c>
      <c r="M906" s="22">
        <f>Table12[[#This Row],[Ship Date]]-Table12[[#This Row],[Order Date]]</f>
        <v>4</v>
      </c>
      <c r="N906" s="23" t="s">
        <v>45</v>
      </c>
      <c r="O906" s="23" t="s">
        <v>23</v>
      </c>
      <c r="P906" s="23" t="s">
        <v>1510</v>
      </c>
      <c r="Q906" s="23" t="s">
        <v>26</v>
      </c>
      <c r="R906" s="23" t="s">
        <v>4562</v>
      </c>
      <c r="S906" s="33">
        <v>0</v>
      </c>
      <c r="T906" s="13">
        <v>12.67</v>
      </c>
      <c r="U906" s="13">
        <v>4.5612000000000004</v>
      </c>
      <c r="V906" s="55">
        <f>IFERROR(Table12[[#This Row],[Profit]]/Table12[[#This Row],[Sales]],0)</f>
        <v>0.36000000000000004</v>
      </c>
    </row>
    <row r="907" spans="1:22" x14ac:dyDescent="0.2">
      <c r="A907">
        <v>906</v>
      </c>
      <c r="B907" t="s">
        <v>4997</v>
      </c>
      <c r="C907" s="1">
        <v>41868</v>
      </c>
      <c r="D907" s="22">
        <f>MONTH(Table12[[#This Row],[Order Date]])</f>
        <v>8</v>
      </c>
      <c r="E907" t="s">
        <v>424</v>
      </c>
      <c r="F907" t="s">
        <v>425</v>
      </c>
      <c r="G907" s="23" t="s">
        <v>64</v>
      </c>
      <c r="H907" s="23" t="s">
        <v>144</v>
      </c>
      <c r="I907" t="s">
        <v>1046</v>
      </c>
      <c r="J907" s="23" t="s">
        <v>36</v>
      </c>
      <c r="K907" s="22">
        <v>4</v>
      </c>
      <c r="L907" s="1">
        <v>41872</v>
      </c>
      <c r="M907" s="22">
        <f>Table12[[#This Row],[Ship Date]]-Table12[[#This Row],[Order Date]]</f>
        <v>4</v>
      </c>
      <c r="N907" s="23" t="s">
        <v>45</v>
      </c>
      <c r="O907" s="23" t="s">
        <v>23</v>
      </c>
      <c r="P907" s="23" t="s">
        <v>1510</v>
      </c>
      <c r="Q907" s="23" t="s">
        <v>26</v>
      </c>
      <c r="R907" s="23" t="s">
        <v>4562</v>
      </c>
      <c r="S907" s="33">
        <v>0</v>
      </c>
      <c r="T907" s="13">
        <v>339.96</v>
      </c>
      <c r="U907" s="13">
        <v>122.3856</v>
      </c>
      <c r="V907" s="55">
        <f>IFERROR(Table12[[#This Row],[Profit]]/Table12[[#This Row],[Sales]],0)</f>
        <v>0.36</v>
      </c>
    </row>
    <row r="908" spans="1:22" x14ac:dyDescent="0.2">
      <c r="A908">
        <v>907</v>
      </c>
      <c r="B908" t="s">
        <v>4756</v>
      </c>
      <c r="C908" s="1">
        <v>41870</v>
      </c>
      <c r="D908" s="22">
        <f>MONTH(Table12[[#This Row],[Order Date]])</f>
        <v>8</v>
      </c>
      <c r="E908" t="s">
        <v>358</v>
      </c>
      <c r="F908" t="s">
        <v>359</v>
      </c>
      <c r="G908" s="23" t="s">
        <v>41</v>
      </c>
      <c r="H908" s="23" t="s">
        <v>61</v>
      </c>
      <c r="I908" t="s">
        <v>4686</v>
      </c>
      <c r="J908" s="23" t="s">
        <v>22</v>
      </c>
      <c r="K908" s="22">
        <v>2</v>
      </c>
      <c r="L908" s="1">
        <v>41875</v>
      </c>
      <c r="M908" s="22">
        <f>Table12[[#This Row],[Ship Date]]-Table12[[#This Row],[Order Date]]</f>
        <v>5</v>
      </c>
      <c r="N908" s="23" t="s">
        <v>45</v>
      </c>
      <c r="O908" s="23" t="s">
        <v>23</v>
      </c>
      <c r="P908" s="23" t="s">
        <v>441</v>
      </c>
      <c r="Q908" s="23" t="s">
        <v>133</v>
      </c>
      <c r="R908" s="23" t="s">
        <v>440</v>
      </c>
      <c r="S908" s="33">
        <v>0.2</v>
      </c>
      <c r="T908" s="13">
        <v>10.72</v>
      </c>
      <c r="U908" s="13">
        <v>1.742</v>
      </c>
      <c r="V908" s="55">
        <f>IFERROR(Table12[[#This Row],[Profit]]/Table12[[#This Row],[Sales]],0)</f>
        <v>0.16249999999999998</v>
      </c>
    </row>
    <row r="909" spans="1:22" x14ac:dyDescent="0.2">
      <c r="A909">
        <v>908</v>
      </c>
      <c r="B909" t="s">
        <v>4804</v>
      </c>
      <c r="C909" s="1">
        <v>41870</v>
      </c>
      <c r="D909" s="22">
        <f>MONTH(Table12[[#This Row],[Order Date]])</f>
        <v>8</v>
      </c>
      <c r="E909" t="s">
        <v>4429</v>
      </c>
      <c r="F909" t="s">
        <v>4430</v>
      </c>
      <c r="G909" s="23" t="s">
        <v>41</v>
      </c>
      <c r="H909" s="23" t="s">
        <v>68</v>
      </c>
      <c r="I909" t="s">
        <v>3519</v>
      </c>
      <c r="J909" s="23" t="s">
        <v>22</v>
      </c>
      <c r="K909" s="22">
        <v>4</v>
      </c>
      <c r="L909" s="1">
        <v>41872</v>
      </c>
      <c r="M909" s="22">
        <f>Table12[[#This Row],[Ship Date]]-Table12[[#This Row],[Order Date]]</f>
        <v>2</v>
      </c>
      <c r="N909" s="23" t="s">
        <v>20</v>
      </c>
      <c r="O909" s="23" t="s">
        <v>23</v>
      </c>
      <c r="P909" s="23" t="s">
        <v>441</v>
      </c>
      <c r="Q909" s="23" t="s">
        <v>133</v>
      </c>
      <c r="R909" s="23" t="s">
        <v>440</v>
      </c>
      <c r="S909" s="33">
        <v>0.7</v>
      </c>
      <c r="T909" s="13">
        <v>76.775999999999996</v>
      </c>
      <c r="U909" s="13">
        <v>-58.861600000000003</v>
      </c>
      <c r="V909" s="55">
        <f>IFERROR(Table12[[#This Row],[Profit]]/Table12[[#This Row],[Sales]],0)</f>
        <v>-0.76666666666666672</v>
      </c>
    </row>
    <row r="910" spans="1:22" x14ac:dyDescent="0.2">
      <c r="A910">
        <v>909</v>
      </c>
      <c r="B910" t="s">
        <v>4804</v>
      </c>
      <c r="C910" s="1">
        <v>41870</v>
      </c>
      <c r="D910" s="22">
        <f>MONTH(Table12[[#This Row],[Order Date]])</f>
        <v>8</v>
      </c>
      <c r="E910" t="s">
        <v>4805</v>
      </c>
      <c r="F910" t="s">
        <v>4806</v>
      </c>
      <c r="G910" s="23" t="s">
        <v>41</v>
      </c>
      <c r="H910" s="23" t="s">
        <v>513</v>
      </c>
      <c r="I910" t="s">
        <v>3519</v>
      </c>
      <c r="J910" s="23" t="s">
        <v>22</v>
      </c>
      <c r="K910" s="22">
        <v>2</v>
      </c>
      <c r="L910" s="1">
        <v>41872</v>
      </c>
      <c r="M910" s="22">
        <f>Table12[[#This Row],[Ship Date]]-Table12[[#This Row],[Order Date]]</f>
        <v>2</v>
      </c>
      <c r="N910" s="23" t="s">
        <v>20</v>
      </c>
      <c r="O910" s="23" t="s">
        <v>23</v>
      </c>
      <c r="P910" s="23" t="s">
        <v>441</v>
      </c>
      <c r="Q910" s="23" t="s">
        <v>133</v>
      </c>
      <c r="R910" s="23" t="s">
        <v>440</v>
      </c>
      <c r="S910" s="33">
        <v>0.2</v>
      </c>
      <c r="T910" s="13">
        <v>9.1839999999999993</v>
      </c>
      <c r="U910" s="13">
        <v>1.1479999999999999</v>
      </c>
      <c r="V910" s="55">
        <f>IFERROR(Table12[[#This Row],[Profit]]/Table12[[#This Row],[Sales]],0)</f>
        <v>0.125</v>
      </c>
    </row>
    <row r="911" spans="1:22" x14ac:dyDescent="0.2">
      <c r="A911">
        <v>910</v>
      </c>
      <c r="B911" t="s">
        <v>6474</v>
      </c>
      <c r="C911" s="1">
        <v>41870</v>
      </c>
      <c r="D911" s="22">
        <f>MONTH(Table12[[#This Row],[Order Date]])</f>
        <v>8</v>
      </c>
      <c r="E911" t="s">
        <v>6475</v>
      </c>
      <c r="F911" t="s">
        <v>6476</v>
      </c>
      <c r="G911" s="23" t="s">
        <v>28</v>
      </c>
      <c r="H911" s="23" t="s">
        <v>29</v>
      </c>
      <c r="I911" t="s">
        <v>216</v>
      </c>
      <c r="J911" s="23" t="s">
        <v>22</v>
      </c>
      <c r="K911" s="22">
        <v>9</v>
      </c>
      <c r="L911" s="1">
        <v>41877</v>
      </c>
      <c r="M911" s="22">
        <f>Table12[[#This Row],[Ship Date]]-Table12[[#This Row],[Order Date]]</f>
        <v>7</v>
      </c>
      <c r="N911" s="23" t="s">
        <v>45</v>
      </c>
      <c r="O911" s="23" t="s">
        <v>23</v>
      </c>
      <c r="P911" s="23" t="s">
        <v>1510</v>
      </c>
      <c r="Q911" s="23" t="s">
        <v>26</v>
      </c>
      <c r="R911" s="23" t="s">
        <v>2875</v>
      </c>
      <c r="S911" s="33">
        <v>0</v>
      </c>
      <c r="T911" s="13">
        <v>638.82000000000005</v>
      </c>
      <c r="U911" s="13">
        <v>172.48140000000001</v>
      </c>
      <c r="V911" s="55">
        <f>IFERROR(Table12[[#This Row],[Profit]]/Table12[[#This Row],[Sales]],0)</f>
        <v>0.27</v>
      </c>
    </row>
    <row r="912" spans="1:22" x14ac:dyDescent="0.2">
      <c r="A912">
        <v>911</v>
      </c>
      <c r="B912" t="s">
        <v>8458</v>
      </c>
      <c r="C912" s="1">
        <v>41870</v>
      </c>
      <c r="D912" s="22">
        <f>MONTH(Table12[[#This Row],[Order Date]])</f>
        <v>8</v>
      </c>
      <c r="E912" t="s">
        <v>1644</v>
      </c>
      <c r="F912" t="s">
        <v>1645</v>
      </c>
      <c r="G912" s="23" t="s">
        <v>28</v>
      </c>
      <c r="H912" s="23" t="s">
        <v>58</v>
      </c>
      <c r="I912" t="s">
        <v>5765</v>
      </c>
      <c r="J912" s="23" t="s">
        <v>36</v>
      </c>
      <c r="K912" s="22">
        <v>7</v>
      </c>
      <c r="L912" s="1">
        <v>41872</v>
      </c>
      <c r="M912" s="22">
        <f>Table12[[#This Row],[Ship Date]]-Table12[[#This Row],[Order Date]]</f>
        <v>2</v>
      </c>
      <c r="N912" s="23" t="s">
        <v>20</v>
      </c>
      <c r="O912" s="23" t="s">
        <v>23</v>
      </c>
      <c r="P912" s="23" t="s">
        <v>38</v>
      </c>
      <c r="Q912" s="23" t="s">
        <v>39</v>
      </c>
      <c r="R912" s="23" t="s">
        <v>37</v>
      </c>
      <c r="S912" s="33">
        <v>0</v>
      </c>
      <c r="T912" s="13">
        <v>289.24</v>
      </c>
      <c r="U912" s="13">
        <v>26.031600000000001</v>
      </c>
      <c r="V912" s="55">
        <f>IFERROR(Table12[[#This Row],[Profit]]/Table12[[#This Row],[Sales]],0)</f>
        <v>0.09</v>
      </c>
    </row>
    <row r="913" spans="1:22" x14ac:dyDescent="0.2">
      <c r="A913">
        <v>912</v>
      </c>
      <c r="B913" t="s">
        <v>8458</v>
      </c>
      <c r="C913" s="1">
        <v>41870</v>
      </c>
      <c r="D913" s="22">
        <f>MONTH(Table12[[#This Row],[Order Date]])</f>
        <v>8</v>
      </c>
      <c r="E913" t="s">
        <v>4770</v>
      </c>
      <c r="F913" t="s">
        <v>4771</v>
      </c>
      <c r="G913" s="23" t="s">
        <v>41</v>
      </c>
      <c r="H913" s="23" t="s">
        <v>68</v>
      </c>
      <c r="I913" t="s">
        <v>5765</v>
      </c>
      <c r="J913" s="23" t="s">
        <v>36</v>
      </c>
      <c r="K913" s="22">
        <v>2</v>
      </c>
      <c r="L913" s="1">
        <v>41872</v>
      </c>
      <c r="M913" s="22">
        <f>Table12[[#This Row],[Ship Date]]-Table12[[#This Row],[Order Date]]</f>
        <v>2</v>
      </c>
      <c r="N913" s="23" t="s">
        <v>20</v>
      </c>
      <c r="O913" s="23" t="s">
        <v>23</v>
      </c>
      <c r="P913" s="23" t="s">
        <v>38</v>
      </c>
      <c r="Q913" s="23" t="s">
        <v>39</v>
      </c>
      <c r="R913" s="23" t="s">
        <v>37</v>
      </c>
      <c r="S913" s="33">
        <v>0.2</v>
      </c>
      <c r="T913" s="13">
        <v>69.456000000000003</v>
      </c>
      <c r="U913" s="13">
        <v>22.5732</v>
      </c>
      <c r="V913" s="55">
        <f>IFERROR(Table12[[#This Row],[Profit]]/Table12[[#This Row],[Sales]],0)</f>
        <v>0.32500000000000001</v>
      </c>
    </row>
    <row r="914" spans="1:22" x14ac:dyDescent="0.2">
      <c r="A914">
        <v>913</v>
      </c>
      <c r="B914" t="s">
        <v>9131</v>
      </c>
      <c r="C914" s="1">
        <v>41870</v>
      </c>
      <c r="D914" s="22">
        <f>MONTH(Table12[[#This Row],[Order Date]])</f>
        <v>8</v>
      </c>
      <c r="E914" t="s">
        <v>604</v>
      </c>
      <c r="F914" t="s">
        <v>605</v>
      </c>
      <c r="G914" s="23" t="s">
        <v>41</v>
      </c>
      <c r="H914" s="23" t="s">
        <v>53</v>
      </c>
      <c r="I914" t="s">
        <v>6619</v>
      </c>
      <c r="J914" s="23" t="s">
        <v>36</v>
      </c>
      <c r="K914" s="22">
        <v>3</v>
      </c>
      <c r="L914" s="1">
        <v>41874</v>
      </c>
      <c r="M914" s="22">
        <f>Table12[[#This Row],[Ship Date]]-Table12[[#This Row],[Order Date]]</f>
        <v>4</v>
      </c>
      <c r="N914" s="23" t="s">
        <v>45</v>
      </c>
      <c r="O914" s="23" t="s">
        <v>23</v>
      </c>
      <c r="P914" s="23" t="s">
        <v>1125</v>
      </c>
      <c r="Q914" s="23" t="s">
        <v>26</v>
      </c>
      <c r="R914" s="23" t="s">
        <v>440</v>
      </c>
      <c r="S914" s="33">
        <v>0</v>
      </c>
      <c r="T914" s="13">
        <v>344.91</v>
      </c>
      <c r="U914" s="13">
        <v>10.347300000000001</v>
      </c>
      <c r="V914" s="55">
        <f>IFERROR(Table12[[#This Row],[Profit]]/Table12[[#This Row],[Sales]],0)</f>
        <v>0.03</v>
      </c>
    </row>
    <row r="915" spans="1:22" x14ac:dyDescent="0.2">
      <c r="A915">
        <v>914</v>
      </c>
      <c r="B915" t="s">
        <v>7730</v>
      </c>
      <c r="C915" s="1">
        <v>41871</v>
      </c>
      <c r="D915" s="22">
        <f>MONTH(Table12[[#This Row],[Order Date]])</f>
        <v>8</v>
      </c>
      <c r="E915" t="s">
        <v>5673</v>
      </c>
      <c r="F915" t="s">
        <v>5674</v>
      </c>
      <c r="G915" s="23" t="s">
        <v>28</v>
      </c>
      <c r="H915" s="23" t="s">
        <v>32</v>
      </c>
      <c r="I915" t="s">
        <v>1897</v>
      </c>
      <c r="J915" s="23" t="s">
        <v>22</v>
      </c>
      <c r="K915" s="22">
        <v>2</v>
      </c>
      <c r="L915" s="1">
        <v>41876</v>
      </c>
      <c r="M915" s="22">
        <f>Table12[[#This Row],[Ship Date]]-Table12[[#This Row],[Order Date]]</f>
        <v>5</v>
      </c>
      <c r="N915" s="23" t="s">
        <v>20</v>
      </c>
      <c r="O915" s="23" t="s">
        <v>23</v>
      </c>
      <c r="P915" s="23" t="s">
        <v>189</v>
      </c>
      <c r="Q915" s="23" t="s">
        <v>95</v>
      </c>
      <c r="R915" s="23" t="s">
        <v>271</v>
      </c>
      <c r="S915" s="33">
        <v>0.3</v>
      </c>
      <c r="T915" s="13">
        <v>421.37200000000001</v>
      </c>
      <c r="U915" s="13">
        <v>-6.0195999999999996</v>
      </c>
      <c r="V915" s="55">
        <f>IFERROR(Table12[[#This Row],[Profit]]/Table12[[#This Row],[Sales]],0)</f>
        <v>-1.4285714285714284E-2</v>
      </c>
    </row>
    <row r="916" spans="1:22" x14ac:dyDescent="0.2">
      <c r="A916">
        <v>915</v>
      </c>
      <c r="B916" t="s">
        <v>10019</v>
      </c>
      <c r="C916" s="1">
        <v>41871</v>
      </c>
      <c r="D916" s="22">
        <f>MONTH(Table12[[#This Row],[Order Date]])</f>
        <v>8</v>
      </c>
      <c r="E916" t="s">
        <v>5499</v>
      </c>
      <c r="F916" t="s">
        <v>5500</v>
      </c>
      <c r="G916" s="23" t="s">
        <v>28</v>
      </c>
      <c r="H916" s="23" t="s">
        <v>32</v>
      </c>
      <c r="I916" t="s">
        <v>6075</v>
      </c>
      <c r="J916" s="23" t="s">
        <v>36</v>
      </c>
      <c r="K916" s="22">
        <v>13</v>
      </c>
      <c r="L916" s="1">
        <v>41876</v>
      </c>
      <c r="M916" s="22">
        <f>Table12[[#This Row],[Ship Date]]-Table12[[#This Row],[Order Date]]</f>
        <v>5</v>
      </c>
      <c r="N916" s="23" t="s">
        <v>45</v>
      </c>
      <c r="O916" s="23" t="s">
        <v>23</v>
      </c>
      <c r="P916" s="23" t="s">
        <v>285</v>
      </c>
      <c r="Q916" s="23" t="s">
        <v>26</v>
      </c>
      <c r="R916" s="23" t="s">
        <v>6815</v>
      </c>
      <c r="S916" s="33">
        <v>0</v>
      </c>
      <c r="T916" s="13">
        <v>500.24</v>
      </c>
      <c r="U916" s="13">
        <v>145.06960000000001</v>
      </c>
      <c r="V916" s="55">
        <f>IFERROR(Table12[[#This Row],[Profit]]/Table12[[#This Row],[Sales]],0)</f>
        <v>0.29000000000000004</v>
      </c>
    </row>
    <row r="917" spans="1:22" x14ac:dyDescent="0.2">
      <c r="A917">
        <v>916</v>
      </c>
      <c r="B917" t="s">
        <v>10019</v>
      </c>
      <c r="C917" s="1">
        <v>41871</v>
      </c>
      <c r="D917" s="22">
        <f>MONTH(Table12[[#This Row],[Order Date]])</f>
        <v>8</v>
      </c>
      <c r="E917" t="s">
        <v>6338</v>
      </c>
      <c r="F917" t="s">
        <v>6339</v>
      </c>
      <c r="G917" s="23" t="s">
        <v>41</v>
      </c>
      <c r="H917" s="23" t="s">
        <v>82</v>
      </c>
      <c r="I917" t="s">
        <v>6075</v>
      </c>
      <c r="J917" s="23" t="s">
        <v>36</v>
      </c>
      <c r="K917" s="22">
        <v>2</v>
      </c>
      <c r="L917" s="1">
        <v>41876</v>
      </c>
      <c r="M917" s="22">
        <f>Table12[[#This Row],[Ship Date]]-Table12[[#This Row],[Order Date]]</f>
        <v>5</v>
      </c>
      <c r="N917" s="23" t="s">
        <v>45</v>
      </c>
      <c r="O917" s="23" t="s">
        <v>23</v>
      </c>
      <c r="P917" s="23" t="s">
        <v>285</v>
      </c>
      <c r="Q917" s="23" t="s">
        <v>26</v>
      </c>
      <c r="R917" s="23" t="s">
        <v>6815</v>
      </c>
      <c r="S917" s="33">
        <v>0</v>
      </c>
      <c r="T917" s="13">
        <v>20.12</v>
      </c>
      <c r="U917" s="13">
        <v>9.2552000000000003</v>
      </c>
      <c r="V917" s="55">
        <f>IFERROR(Table12[[#This Row],[Profit]]/Table12[[#This Row],[Sales]],0)</f>
        <v>0.46</v>
      </c>
    </row>
    <row r="918" spans="1:22" x14ac:dyDescent="0.2">
      <c r="A918">
        <v>917</v>
      </c>
      <c r="B918" t="s">
        <v>10019</v>
      </c>
      <c r="C918" s="1">
        <v>41871</v>
      </c>
      <c r="D918" s="22">
        <f>MONTH(Table12[[#This Row],[Order Date]])</f>
        <v>8</v>
      </c>
      <c r="E918" t="s">
        <v>4174</v>
      </c>
      <c r="F918" t="s">
        <v>4175</v>
      </c>
      <c r="G918" s="23" t="s">
        <v>41</v>
      </c>
      <c r="H918" s="23" t="s">
        <v>68</v>
      </c>
      <c r="I918" t="s">
        <v>6075</v>
      </c>
      <c r="J918" s="23" t="s">
        <v>36</v>
      </c>
      <c r="K918" s="22">
        <v>1</v>
      </c>
      <c r="L918" s="1">
        <v>41876</v>
      </c>
      <c r="M918" s="22">
        <f>Table12[[#This Row],[Ship Date]]-Table12[[#This Row],[Order Date]]</f>
        <v>5</v>
      </c>
      <c r="N918" s="23" t="s">
        <v>45</v>
      </c>
      <c r="O918" s="23" t="s">
        <v>23</v>
      </c>
      <c r="P918" s="23" t="s">
        <v>285</v>
      </c>
      <c r="Q918" s="23" t="s">
        <v>26</v>
      </c>
      <c r="R918" s="23" t="s">
        <v>6815</v>
      </c>
      <c r="S918" s="33">
        <v>0</v>
      </c>
      <c r="T918" s="13">
        <v>896.99</v>
      </c>
      <c r="U918" s="13">
        <v>421.58530000000002</v>
      </c>
      <c r="V918" s="55">
        <f>IFERROR(Table12[[#This Row],[Profit]]/Table12[[#This Row],[Sales]],0)</f>
        <v>0.47000000000000003</v>
      </c>
    </row>
    <row r="919" spans="1:22" x14ac:dyDescent="0.2">
      <c r="A919">
        <v>918</v>
      </c>
      <c r="B919" t="s">
        <v>6658</v>
      </c>
      <c r="C919" s="1">
        <v>41873</v>
      </c>
      <c r="D919" s="22">
        <f>MONTH(Table12[[#This Row],[Order Date]])</f>
        <v>8</v>
      </c>
      <c r="E919" t="s">
        <v>998</v>
      </c>
      <c r="F919" t="s">
        <v>999</v>
      </c>
      <c r="G919" s="23" t="s">
        <v>41</v>
      </c>
      <c r="H919" s="23" t="s">
        <v>61</v>
      </c>
      <c r="I919" t="s">
        <v>2686</v>
      </c>
      <c r="J919" s="23" t="s">
        <v>92</v>
      </c>
      <c r="K919" s="22">
        <v>1</v>
      </c>
      <c r="L919" s="1">
        <v>41876</v>
      </c>
      <c r="M919" s="22">
        <f>Table12[[#This Row],[Ship Date]]-Table12[[#This Row],[Order Date]]</f>
        <v>3</v>
      </c>
      <c r="N919" s="23" t="s">
        <v>20</v>
      </c>
      <c r="O919" s="23" t="s">
        <v>23</v>
      </c>
      <c r="P919" s="23" t="s">
        <v>441</v>
      </c>
      <c r="Q919" s="23" t="s">
        <v>133</v>
      </c>
      <c r="R919" s="23" t="s">
        <v>990</v>
      </c>
      <c r="S919" s="33">
        <v>0.2</v>
      </c>
      <c r="T919" s="13">
        <v>3.9119999999999999</v>
      </c>
      <c r="U919" s="13">
        <v>1.0268999999999999</v>
      </c>
      <c r="V919" s="55">
        <f>IFERROR(Table12[[#This Row],[Profit]]/Table12[[#This Row],[Sales]],0)</f>
        <v>0.26250000000000001</v>
      </c>
    </row>
    <row r="920" spans="1:22" x14ac:dyDescent="0.2">
      <c r="A920">
        <v>919</v>
      </c>
      <c r="B920" t="s">
        <v>9542</v>
      </c>
      <c r="C920" s="1">
        <v>41873</v>
      </c>
      <c r="D920" s="22">
        <f>MONTH(Table12[[#This Row],[Order Date]])</f>
        <v>8</v>
      </c>
      <c r="E920" t="s">
        <v>9543</v>
      </c>
      <c r="F920" t="s">
        <v>9544</v>
      </c>
      <c r="G920" s="23" t="s">
        <v>41</v>
      </c>
      <c r="H920" s="23" t="s">
        <v>513</v>
      </c>
      <c r="I920" t="s">
        <v>1442</v>
      </c>
      <c r="J920" s="23" t="s">
        <v>22</v>
      </c>
      <c r="K920" s="22">
        <v>3</v>
      </c>
      <c r="L920" s="1">
        <v>41875</v>
      </c>
      <c r="M920" s="22">
        <f>Table12[[#This Row],[Ship Date]]-Table12[[#This Row],[Order Date]]</f>
        <v>2</v>
      </c>
      <c r="N920" s="23" t="s">
        <v>20</v>
      </c>
      <c r="O920" s="23" t="s">
        <v>23</v>
      </c>
      <c r="P920" s="23" t="s">
        <v>48</v>
      </c>
      <c r="Q920" s="23" t="s">
        <v>26</v>
      </c>
      <c r="R920" s="23" t="s">
        <v>6048</v>
      </c>
      <c r="S920" s="33">
        <v>0.2</v>
      </c>
      <c r="T920" s="13">
        <v>7.6319999999999997</v>
      </c>
      <c r="U920" s="13">
        <v>-1.8126</v>
      </c>
      <c r="V920" s="55">
        <f>IFERROR(Table12[[#This Row],[Profit]]/Table12[[#This Row],[Sales]],0)</f>
        <v>-0.23750000000000002</v>
      </c>
    </row>
    <row r="921" spans="1:22" x14ac:dyDescent="0.2">
      <c r="A921">
        <v>920</v>
      </c>
      <c r="B921" t="s">
        <v>9785</v>
      </c>
      <c r="C921" s="1">
        <v>41873</v>
      </c>
      <c r="D921" s="22">
        <f>MONTH(Table12[[#This Row],[Order Date]])</f>
        <v>8</v>
      </c>
      <c r="E921" t="s">
        <v>8930</v>
      </c>
      <c r="F921" t="s">
        <v>8931</v>
      </c>
      <c r="G921" s="23" t="s">
        <v>41</v>
      </c>
      <c r="H921" s="23" t="s">
        <v>82</v>
      </c>
      <c r="I921" t="s">
        <v>1710</v>
      </c>
      <c r="J921" s="23" t="s">
        <v>22</v>
      </c>
      <c r="K921" s="22">
        <v>2</v>
      </c>
      <c r="L921" s="1">
        <v>41876</v>
      </c>
      <c r="M921" s="22">
        <f>Table12[[#This Row],[Ship Date]]-Table12[[#This Row],[Order Date]]</f>
        <v>3</v>
      </c>
      <c r="N921" s="23" t="s">
        <v>169</v>
      </c>
      <c r="O921" s="23" t="s">
        <v>23</v>
      </c>
      <c r="P921" s="23" t="s">
        <v>528</v>
      </c>
      <c r="Q921" s="23" t="s">
        <v>95</v>
      </c>
      <c r="R921" s="23" t="s">
        <v>8529</v>
      </c>
      <c r="S921" s="33">
        <v>0</v>
      </c>
      <c r="T921" s="13">
        <v>11.56</v>
      </c>
      <c r="U921" s="13">
        <v>5.6643999999999997</v>
      </c>
      <c r="V921" s="55">
        <f>IFERROR(Table12[[#This Row],[Profit]]/Table12[[#This Row],[Sales]],0)</f>
        <v>0.48999999999999994</v>
      </c>
    </row>
    <row r="922" spans="1:22" x14ac:dyDescent="0.2">
      <c r="A922">
        <v>921</v>
      </c>
      <c r="B922" t="s">
        <v>4753</v>
      </c>
      <c r="C922" s="1">
        <v>41874</v>
      </c>
      <c r="D922" s="22">
        <f>MONTH(Table12[[#This Row],[Order Date]])</f>
        <v>8</v>
      </c>
      <c r="E922" t="s">
        <v>4754</v>
      </c>
      <c r="F922" t="s">
        <v>4755</v>
      </c>
      <c r="G922" s="23" t="s">
        <v>41</v>
      </c>
      <c r="H922" s="23" t="s">
        <v>82</v>
      </c>
      <c r="I922" t="s">
        <v>2196</v>
      </c>
      <c r="J922" s="23" t="s">
        <v>22</v>
      </c>
      <c r="K922" s="22">
        <v>4</v>
      </c>
      <c r="L922" s="1">
        <v>41874</v>
      </c>
      <c r="M922" s="22">
        <f>Table12[[#This Row],[Ship Date]]-Table12[[#This Row],[Order Date]]</f>
        <v>0</v>
      </c>
      <c r="N922" s="23" t="s">
        <v>1141</v>
      </c>
      <c r="O922" s="23" t="s">
        <v>23</v>
      </c>
      <c r="P922" s="23" t="s">
        <v>238</v>
      </c>
      <c r="Q922" s="23" t="s">
        <v>133</v>
      </c>
      <c r="R922" s="23" t="s">
        <v>237</v>
      </c>
      <c r="S922" s="33">
        <v>0</v>
      </c>
      <c r="T922" s="13">
        <v>25.92</v>
      </c>
      <c r="U922" s="13">
        <v>12.441599999999999</v>
      </c>
      <c r="V922" s="55">
        <f>IFERROR(Table12[[#This Row],[Profit]]/Table12[[#This Row],[Sales]],0)</f>
        <v>0.47999999999999993</v>
      </c>
    </row>
    <row r="923" spans="1:22" x14ac:dyDescent="0.2">
      <c r="A923">
        <v>922</v>
      </c>
      <c r="B923" t="s">
        <v>4753</v>
      </c>
      <c r="C923" s="1">
        <v>41874</v>
      </c>
      <c r="D923" s="22">
        <f>MONTH(Table12[[#This Row],[Order Date]])</f>
        <v>8</v>
      </c>
      <c r="E923" t="s">
        <v>1701</v>
      </c>
      <c r="F923" t="s">
        <v>1702</v>
      </c>
      <c r="G923" s="23" t="s">
        <v>41</v>
      </c>
      <c r="H923" s="23" t="s">
        <v>82</v>
      </c>
      <c r="I923" t="s">
        <v>2196</v>
      </c>
      <c r="J923" s="23" t="s">
        <v>22</v>
      </c>
      <c r="K923" s="22">
        <v>4</v>
      </c>
      <c r="L923" s="1">
        <v>41874</v>
      </c>
      <c r="M923" s="22">
        <f>Table12[[#This Row],[Ship Date]]-Table12[[#This Row],[Order Date]]</f>
        <v>0</v>
      </c>
      <c r="N923" s="23" t="s">
        <v>1141</v>
      </c>
      <c r="O923" s="23" t="s">
        <v>23</v>
      </c>
      <c r="P923" s="23" t="s">
        <v>238</v>
      </c>
      <c r="Q923" s="23" t="s">
        <v>133</v>
      </c>
      <c r="R923" s="23" t="s">
        <v>237</v>
      </c>
      <c r="S923" s="33">
        <v>0</v>
      </c>
      <c r="T923" s="13">
        <v>45.92</v>
      </c>
      <c r="U923" s="13">
        <v>22.500800000000002</v>
      </c>
      <c r="V923" s="55">
        <f>IFERROR(Table12[[#This Row],[Profit]]/Table12[[#This Row],[Sales]],0)</f>
        <v>0.49</v>
      </c>
    </row>
    <row r="924" spans="1:22" x14ac:dyDescent="0.2">
      <c r="A924">
        <v>923</v>
      </c>
      <c r="B924" t="s">
        <v>8245</v>
      </c>
      <c r="C924" s="1">
        <v>41874</v>
      </c>
      <c r="D924" s="22">
        <f>MONTH(Table12[[#This Row],[Order Date]])</f>
        <v>8</v>
      </c>
      <c r="E924" t="s">
        <v>1990</v>
      </c>
      <c r="F924" t="s">
        <v>1991</v>
      </c>
      <c r="G924" s="23" t="s">
        <v>41</v>
      </c>
      <c r="H924" s="23" t="s">
        <v>68</v>
      </c>
      <c r="I924" t="s">
        <v>3833</v>
      </c>
      <c r="J924" s="23" t="s">
        <v>36</v>
      </c>
      <c r="K924" s="22">
        <v>2</v>
      </c>
      <c r="L924" s="1">
        <v>41878</v>
      </c>
      <c r="M924" s="22">
        <f>Table12[[#This Row],[Ship Date]]-Table12[[#This Row],[Order Date]]</f>
        <v>4</v>
      </c>
      <c r="N924" s="23" t="s">
        <v>20</v>
      </c>
      <c r="O924" s="23" t="s">
        <v>23</v>
      </c>
      <c r="P924" s="23" t="s">
        <v>38</v>
      </c>
      <c r="Q924" s="23" t="s">
        <v>39</v>
      </c>
      <c r="R924" s="23" t="s">
        <v>37</v>
      </c>
      <c r="S924" s="33">
        <v>0.2</v>
      </c>
      <c r="T924" s="13">
        <v>49.567999999999998</v>
      </c>
      <c r="U924" s="13">
        <v>17.348800000000001</v>
      </c>
      <c r="V924" s="55">
        <f>IFERROR(Table12[[#This Row],[Profit]]/Table12[[#This Row],[Sales]],0)</f>
        <v>0.35000000000000003</v>
      </c>
    </row>
    <row r="925" spans="1:22" x14ac:dyDescent="0.2">
      <c r="A925">
        <v>924</v>
      </c>
      <c r="B925" t="s">
        <v>8467</v>
      </c>
      <c r="C925" s="1">
        <v>41874</v>
      </c>
      <c r="D925" s="22">
        <f>MONTH(Table12[[#This Row],[Order Date]])</f>
        <v>8</v>
      </c>
      <c r="E925" t="s">
        <v>8468</v>
      </c>
      <c r="F925" t="s">
        <v>8469</v>
      </c>
      <c r="G925" s="23" t="s">
        <v>41</v>
      </c>
      <c r="H925" s="23" t="s">
        <v>82</v>
      </c>
      <c r="I925" t="s">
        <v>2014</v>
      </c>
      <c r="J925" s="23" t="s">
        <v>22</v>
      </c>
      <c r="K925" s="22">
        <v>3</v>
      </c>
      <c r="L925" s="1">
        <v>41878</v>
      </c>
      <c r="M925" s="22">
        <f>Table12[[#This Row],[Ship Date]]-Table12[[#This Row],[Order Date]]</f>
        <v>4</v>
      </c>
      <c r="N925" s="23" t="s">
        <v>45</v>
      </c>
      <c r="O925" s="23" t="s">
        <v>23</v>
      </c>
      <c r="P925" s="23" t="s">
        <v>405</v>
      </c>
      <c r="Q925" s="23" t="s">
        <v>39</v>
      </c>
      <c r="R925" s="23" t="s">
        <v>711</v>
      </c>
      <c r="S925" s="33">
        <v>0.2</v>
      </c>
      <c r="T925" s="13">
        <v>15.552</v>
      </c>
      <c r="U925" s="13">
        <v>5.4432</v>
      </c>
      <c r="V925" s="55">
        <f>IFERROR(Table12[[#This Row],[Profit]]/Table12[[#This Row],[Sales]],0)</f>
        <v>0.35000000000000003</v>
      </c>
    </row>
    <row r="926" spans="1:22" x14ac:dyDescent="0.2">
      <c r="A926">
        <v>925</v>
      </c>
      <c r="B926" t="s">
        <v>8467</v>
      </c>
      <c r="C926" s="1">
        <v>41874</v>
      </c>
      <c r="D926" s="22">
        <f>MONTH(Table12[[#This Row],[Order Date]])</f>
        <v>8</v>
      </c>
      <c r="E926" t="s">
        <v>7806</v>
      </c>
      <c r="F926" t="s">
        <v>7807</v>
      </c>
      <c r="G926" s="23" t="s">
        <v>41</v>
      </c>
      <c r="H926" s="23" t="s">
        <v>513</v>
      </c>
      <c r="I926" t="s">
        <v>2014</v>
      </c>
      <c r="J926" s="23" t="s">
        <v>22</v>
      </c>
      <c r="K926" s="22">
        <v>1</v>
      </c>
      <c r="L926" s="1">
        <v>41878</v>
      </c>
      <c r="M926" s="22">
        <f>Table12[[#This Row],[Ship Date]]-Table12[[#This Row],[Order Date]]</f>
        <v>4</v>
      </c>
      <c r="N926" s="23" t="s">
        <v>45</v>
      </c>
      <c r="O926" s="23" t="s">
        <v>23</v>
      </c>
      <c r="P926" s="23" t="s">
        <v>405</v>
      </c>
      <c r="Q926" s="23" t="s">
        <v>39</v>
      </c>
      <c r="R926" s="23" t="s">
        <v>711</v>
      </c>
      <c r="S926" s="33">
        <v>0.2</v>
      </c>
      <c r="T926" s="13">
        <v>6.8</v>
      </c>
      <c r="U926" s="13">
        <v>0.51</v>
      </c>
      <c r="V926" s="55">
        <f>IFERROR(Table12[[#This Row],[Profit]]/Table12[[#This Row],[Sales]],0)</f>
        <v>7.4999999999999997E-2</v>
      </c>
    </row>
    <row r="927" spans="1:22" x14ac:dyDescent="0.2">
      <c r="A927">
        <v>926</v>
      </c>
      <c r="B927" t="s">
        <v>8467</v>
      </c>
      <c r="C927" s="1">
        <v>41874</v>
      </c>
      <c r="D927" s="22">
        <f>MONTH(Table12[[#This Row],[Order Date]])</f>
        <v>8</v>
      </c>
      <c r="E927" t="s">
        <v>899</v>
      </c>
      <c r="F927" t="s">
        <v>900</v>
      </c>
      <c r="G927" s="23" t="s">
        <v>28</v>
      </c>
      <c r="H927" s="23" t="s">
        <v>58</v>
      </c>
      <c r="I927" t="s">
        <v>2014</v>
      </c>
      <c r="J927" s="23" t="s">
        <v>22</v>
      </c>
      <c r="K927" s="22">
        <v>3</v>
      </c>
      <c r="L927" s="1">
        <v>41878</v>
      </c>
      <c r="M927" s="22">
        <f>Table12[[#This Row],[Ship Date]]-Table12[[#This Row],[Order Date]]</f>
        <v>4</v>
      </c>
      <c r="N927" s="23" t="s">
        <v>45</v>
      </c>
      <c r="O927" s="23" t="s">
        <v>23</v>
      </c>
      <c r="P927" s="23" t="s">
        <v>405</v>
      </c>
      <c r="Q927" s="23" t="s">
        <v>39</v>
      </c>
      <c r="R927" s="23" t="s">
        <v>711</v>
      </c>
      <c r="S927" s="33">
        <v>0.2</v>
      </c>
      <c r="T927" s="13">
        <v>4.2240000000000002</v>
      </c>
      <c r="U927" s="13">
        <v>1.2672000000000001</v>
      </c>
      <c r="V927" s="55">
        <f>IFERROR(Table12[[#This Row],[Profit]]/Table12[[#This Row],[Sales]],0)</f>
        <v>0.3</v>
      </c>
    </row>
    <row r="928" spans="1:22" x14ac:dyDescent="0.2">
      <c r="A928">
        <v>927</v>
      </c>
      <c r="B928" t="s">
        <v>8467</v>
      </c>
      <c r="C928" s="1">
        <v>41874</v>
      </c>
      <c r="D928" s="22">
        <f>MONTH(Table12[[#This Row],[Order Date]])</f>
        <v>8</v>
      </c>
      <c r="E928" t="s">
        <v>1456</v>
      </c>
      <c r="F928" t="s">
        <v>1457</v>
      </c>
      <c r="G928" s="23" t="s">
        <v>64</v>
      </c>
      <c r="H928" s="23" t="s">
        <v>65</v>
      </c>
      <c r="I928" t="s">
        <v>2014</v>
      </c>
      <c r="J928" s="23" t="s">
        <v>22</v>
      </c>
      <c r="K928" s="22">
        <v>9</v>
      </c>
      <c r="L928" s="1">
        <v>41878</v>
      </c>
      <c r="M928" s="22">
        <f>Table12[[#This Row],[Ship Date]]-Table12[[#This Row],[Order Date]]</f>
        <v>4</v>
      </c>
      <c r="N928" s="23" t="s">
        <v>45</v>
      </c>
      <c r="O928" s="23" t="s">
        <v>23</v>
      </c>
      <c r="P928" s="23" t="s">
        <v>405</v>
      </c>
      <c r="Q928" s="23" t="s">
        <v>39</v>
      </c>
      <c r="R928" s="23" t="s">
        <v>711</v>
      </c>
      <c r="S928" s="33">
        <v>0.2</v>
      </c>
      <c r="T928" s="13">
        <v>143.63999999999999</v>
      </c>
      <c r="U928" s="13">
        <v>10.773</v>
      </c>
      <c r="V928" s="55">
        <f>IFERROR(Table12[[#This Row],[Profit]]/Table12[[#This Row],[Sales]],0)</f>
        <v>7.5000000000000011E-2</v>
      </c>
    </row>
    <row r="929" spans="1:22" x14ac:dyDescent="0.2">
      <c r="A929">
        <v>928</v>
      </c>
      <c r="B929" t="s">
        <v>8467</v>
      </c>
      <c r="C929" s="1">
        <v>41874</v>
      </c>
      <c r="D929" s="22">
        <f>MONTH(Table12[[#This Row],[Order Date]])</f>
        <v>8</v>
      </c>
      <c r="E929" t="s">
        <v>2447</v>
      </c>
      <c r="F929" t="s">
        <v>2448</v>
      </c>
      <c r="G929" s="23" t="s">
        <v>41</v>
      </c>
      <c r="H929" s="23" t="s">
        <v>82</v>
      </c>
      <c r="I929" t="s">
        <v>2014</v>
      </c>
      <c r="J929" s="23" t="s">
        <v>22</v>
      </c>
      <c r="K929" s="22">
        <v>6</v>
      </c>
      <c r="L929" s="1">
        <v>41878</v>
      </c>
      <c r="M929" s="22">
        <f>Table12[[#This Row],[Ship Date]]-Table12[[#This Row],[Order Date]]</f>
        <v>4</v>
      </c>
      <c r="N929" s="23" t="s">
        <v>45</v>
      </c>
      <c r="O929" s="23" t="s">
        <v>23</v>
      </c>
      <c r="P929" s="23" t="s">
        <v>405</v>
      </c>
      <c r="Q929" s="23" t="s">
        <v>39</v>
      </c>
      <c r="R929" s="23" t="s">
        <v>711</v>
      </c>
      <c r="S929" s="33">
        <v>0.2</v>
      </c>
      <c r="T929" s="13">
        <v>31.103999999999999</v>
      </c>
      <c r="U929" s="13">
        <v>10.8864</v>
      </c>
      <c r="V929" s="55">
        <f>IFERROR(Table12[[#This Row],[Profit]]/Table12[[#This Row],[Sales]],0)</f>
        <v>0.35000000000000003</v>
      </c>
    </row>
    <row r="930" spans="1:22" x14ac:dyDescent="0.2">
      <c r="A930">
        <v>929</v>
      </c>
      <c r="B930" t="s">
        <v>8467</v>
      </c>
      <c r="C930" s="1">
        <v>41874</v>
      </c>
      <c r="D930" s="22">
        <f>MONTH(Table12[[#This Row],[Order Date]])</f>
        <v>8</v>
      </c>
      <c r="E930" t="s">
        <v>3592</v>
      </c>
      <c r="F930" t="s">
        <v>3593</v>
      </c>
      <c r="G930" s="23" t="s">
        <v>41</v>
      </c>
      <c r="H930" s="23" t="s">
        <v>82</v>
      </c>
      <c r="I930" t="s">
        <v>2014</v>
      </c>
      <c r="J930" s="23" t="s">
        <v>22</v>
      </c>
      <c r="K930" s="22">
        <v>9</v>
      </c>
      <c r="L930" s="1">
        <v>41878</v>
      </c>
      <c r="M930" s="22">
        <f>Table12[[#This Row],[Ship Date]]-Table12[[#This Row],[Order Date]]</f>
        <v>4</v>
      </c>
      <c r="N930" s="23" t="s">
        <v>45</v>
      </c>
      <c r="O930" s="23" t="s">
        <v>23</v>
      </c>
      <c r="P930" s="23" t="s">
        <v>405</v>
      </c>
      <c r="Q930" s="23" t="s">
        <v>39</v>
      </c>
      <c r="R930" s="23" t="s">
        <v>711</v>
      </c>
      <c r="S930" s="33">
        <v>0.2</v>
      </c>
      <c r="T930" s="13">
        <v>223.05600000000001</v>
      </c>
      <c r="U930" s="13">
        <v>69.704999999999998</v>
      </c>
      <c r="V930" s="55">
        <f>IFERROR(Table12[[#This Row],[Profit]]/Table12[[#This Row],[Sales]],0)</f>
        <v>0.3125</v>
      </c>
    </row>
    <row r="931" spans="1:22" x14ac:dyDescent="0.2">
      <c r="A931">
        <v>930</v>
      </c>
      <c r="B931" t="s">
        <v>9404</v>
      </c>
      <c r="C931" s="1">
        <v>41874</v>
      </c>
      <c r="D931" s="22">
        <f>MONTH(Table12[[#This Row],[Order Date]])</f>
        <v>8</v>
      </c>
      <c r="E931" t="s">
        <v>1875</v>
      </c>
      <c r="F931" t="s">
        <v>1876</v>
      </c>
      <c r="G931" s="23" t="s">
        <v>41</v>
      </c>
      <c r="H931" s="23" t="s">
        <v>82</v>
      </c>
      <c r="I931" t="s">
        <v>989</v>
      </c>
      <c r="J931" s="23" t="s">
        <v>92</v>
      </c>
      <c r="K931" s="22">
        <v>3</v>
      </c>
      <c r="L931" s="1">
        <v>41879</v>
      </c>
      <c r="M931" s="22">
        <f>Table12[[#This Row],[Ship Date]]-Table12[[#This Row],[Order Date]]</f>
        <v>5</v>
      </c>
      <c r="N931" s="23" t="s">
        <v>20</v>
      </c>
      <c r="O931" s="23" t="s">
        <v>23</v>
      </c>
      <c r="P931" s="23" t="s">
        <v>212</v>
      </c>
      <c r="Q931" s="23" t="s">
        <v>95</v>
      </c>
      <c r="R931" s="23" t="s">
        <v>5779</v>
      </c>
      <c r="S931" s="33">
        <v>0</v>
      </c>
      <c r="T931" s="13">
        <v>19.440000000000001</v>
      </c>
      <c r="U931" s="13">
        <v>9.5256000000000007</v>
      </c>
      <c r="V931" s="55">
        <f>IFERROR(Table12[[#This Row],[Profit]]/Table12[[#This Row],[Sales]],0)</f>
        <v>0.49</v>
      </c>
    </row>
    <row r="932" spans="1:22" x14ac:dyDescent="0.2">
      <c r="A932">
        <v>931</v>
      </c>
      <c r="B932" t="s">
        <v>5552</v>
      </c>
      <c r="C932" s="1">
        <v>41875</v>
      </c>
      <c r="D932" s="22">
        <f>MONTH(Table12[[#This Row],[Order Date]])</f>
        <v>8</v>
      </c>
      <c r="E932" t="s">
        <v>5554</v>
      </c>
      <c r="F932" t="s">
        <v>5555</v>
      </c>
      <c r="G932" s="23" t="s">
        <v>41</v>
      </c>
      <c r="H932" s="23" t="s">
        <v>68</v>
      </c>
      <c r="I932" t="s">
        <v>3833</v>
      </c>
      <c r="J932" s="23" t="s">
        <v>36</v>
      </c>
      <c r="K932" s="22">
        <v>2</v>
      </c>
      <c r="L932" s="1">
        <v>41875</v>
      </c>
      <c r="M932" s="22">
        <f>Table12[[#This Row],[Ship Date]]-Table12[[#This Row],[Order Date]]</f>
        <v>0</v>
      </c>
      <c r="N932" s="23" t="s">
        <v>1141</v>
      </c>
      <c r="O932" s="23" t="s">
        <v>23</v>
      </c>
      <c r="P932" s="23" t="s">
        <v>1561</v>
      </c>
      <c r="Q932" s="23" t="s">
        <v>39</v>
      </c>
      <c r="R932" s="23" t="s">
        <v>5553</v>
      </c>
      <c r="S932" s="33">
        <v>0.2</v>
      </c>
      <c r="T932" s="13">
        <v>8.2880000000000003</v>
      </c>
      <c r="U932" s="13">
        <v>2.6936</v>
      </c>
      <c r="V932" s="55">
        <f>IFERROR(Table12[[#This Row],[Profit]]/Table12[[#This Row],[Sales]],0)</f>
        <v>0.32500000000000001</v>
      </c>
    </row>
    <row r="933" spans="1:22" x14ac:dyDescent="0.2">
      <c r="A933">
        <v>932</v>
      </c>
      <c r="B933" t="s">
        <v>5660</v>
      </c>
      <c r="C933" s="1">
        <v>41875</v>
      </c>
      <c r="D933" s="22">
        <f>MONTH(Table12[[#This Row],[Order Date]])</f>
        <v>8</v>
      </c>
      <c r="E933" t="s">
        <v>5662</v>
      </c>
      <c r="F933" t="s">
        <v>5663</v>
      </c>
      <c r="G933" s="23" t="s">
        <v>28</v>
      </c>
      <c r="H933" s="23" t="s">
        <v>58</v>
      </c>
      <c r="I933" t="s">
        <v>5661</v>
      </c>
      <c r="J933" s="23" t="s">
        <v>36</v>
      </c>
      <c r="K933" s="22">
        <v>2</v>
      </c>
      <c r="L933" s="1">
        <v>41877</v>
      </c>
      <c r="M933" s="22">
        <f>Table12[[#This Row],[Ship Date]]-Table12[[#This Row],[Order Date]]</f>
        <v>2</v>
      </c>
      <c r="N933" s="23" t="s">
        <v>169</v>
      </c>
      <c r="O933" s="23" t="s">
        <v>23</v>
      </c>
      <c r="P933" s="23" t="s">
        <v>238</v>
      </c>
      <c r="Q933" s="23" t="s">
        <v>133</v>
      </c>
      <c r="R933" s="23" t="s">
        <v>2061</v>
      </c>
      <c r="S933" s="33">
        <v>0</v>
      </c>
      <c r="T933" s="13">
        <v>13.28</v>
      </c>
      <c r="U933" s="13">
        <v>6.3743999999999996</v>
      </c>
      <c r="V933" s="55">
        <f>IFERROR(Table12[[#This Row],[Profit]]/Table12[[#This Row],[Sales]],0)</f>
        <v>0.48</v>
      </c>
    </row>
    <row r="934" spans="1:22" x14ac:dyDescent="0.2">
      <c r="A934">
        <v>933</v>
      </c>
      <c r="B934" t="s">
        <v>5660</v>
      </c>
      <c r="C934" s="1">
        <v>41875</v>
      </c>
      <c r="D934" s="22">
        <f>MONTH(Table12[[#This Row],[Order Date]])</f>
        <v>8</v>
      </c>
      <c r="E934" t="s">
        <v>3808</v>
      </c>
      <c r="F934" t="s">
        <v>3809</v>
      </c>
      <c r="G934" s="23" t="s">
        <v>41</v>
      </c>
      <c r="H934" s="23" t="s">
        <v>68</v>
      </c>
      <c r="I934" t="s">
        <v>5661</v>
      </c>
      <c r="J934" s="23" t="s">
        <v>36</v>
      </c>
      <c r="K934" s="22">
        <v>3</v>
      </c>
      <c r="L934" s="1">
        <v>41877</v>
      </c>
      <c r="M934" s="22">
        <f>Table12[[#This Row],[Ship Date]]-Table12[[#This Row],[Order Date]]</f>
        <v>2</v>
      </c>
      <c r="N934" s="23" t="s">
        <v>169</v>
      </c>
      <c r="O934" s="23" t="s">
        <v>23</v>
      </c>
      <c r="P934" s="23" t="s">
        <v>238</v>
      </c>
      <c r="Q934" s="23" t="s">
        <v>133</v>
      </c>
      <c r="R934" s="23" t="s">
        <v>2061</v>
      </c>
      <c r="S934" s="33">
        <v>0.2</v>
      </c>
      <c r="T934" s="13">
        <v>12.672000000000001</v>
      </c>
      <c r="U934" s="13">
        <v>4.4352</v>
      </c>
      <c r="V934" s="55">
        <f>IFERROR(Table12[[#This Row],[Profit]]/Table12[[#This Row],[Sales]],0)</f>
        <v>0.35</v>
      </c>
    </row>
    <row r="935" spans="1:22" x14ac:dyDescent="0.2">
      <c r="A935">
        <v>934</v>
      </c>
      <c r="B935" t="s">
        <v>7805</v>
      </c>
      <c r="C935" s="1">
        <v>41875</v>
      </c>
      <c r="D935" s="22">
        <f>MONTH(Table12[[#This Row],[Order Date]])</f>
        <v>8</v>
      </c>
      <c r="E935" t="s">
        <v>7806</v>
      </c>
      <c r="F935" t="s">
        <v>7807</v>
      </c>
      <c r="G935" s="23" t="s">
        <v>41</v>
      </c>
      <c r="H935" s="23" t="s">
        <v>513</v>
      </c>
      <c r="I935" t="s">
        <v>492</v>
      </c>
      <c r="J935" s="23" t="s">
        <v>36</v>
      </c>
      <c r="K935" s="22">
        <v>3</v>
      </c>
      <c r="L935" s="1">
        <v>41877</v>
      </c>
      <c r="M935" s="22">
        <f>Table12[[#This Row],[Ship Date]]-Table12[[#This Row],[Order Date]]</f>
        <v>2</v>
      </c>
      <c r="N935" s="23" t="s">
        <v>20</v>
      </c>
      <c r="O935" s="23" t="s">
        <v>23</v>
      </c>
      <c r="P935" s="23" t="s">
        <v>25</v>
      </c>
      <c r="Q935" s="23" t="s">
        <v>26</v>
      </c>
      <c r="R935" s="23" t="s">
        <v>7790</v>
      </c>
      <c r="S935" s="33">
        <v>0</v>
      </c>
      <c r="T935" s="13">
        <v>25.5</v>
      </c>
      <c r="U935" s="13">
        <v>6.63</v>
      </c>
      <c r="V935" s="55">
        <f>IFERROR(Table12[[#This Row],[Profit]]/Table12[[#This Row],[Sales]],0)</f>
        <v>0.26</v>
      </c>
    </row>
    <row r="936" spans="1:22" x14ac:dyDescent="0.2">
      <c r="A936">
        <v>935</v>
      </c>
      <c r="B936" t="s">
        <v>438</v>
      </c>
      <c r="C936" s="1">
        <v>41876</v>
      </c>
      <c r="D936" s="22">
        <f>MONTH(Table12[[#This Row],[Order Date]])</f>
        <v>8</v>
      </c>
      <c r="E936" t="s">
        <v>442</v>
      </c>
      <c r="F936" t="s">
        <v>443</v>
      </c>
      <c r="G936" s="23" t="s">
        <v>41</v>
      </c>
      <c r="H936" s="23" t="s">
        <v>240</v>
      </c>
      <c r="I936" t="s">
        <v>439</v>
      </c>
      <c r="J936" s="23" t="s">
        <v>22</v>
      </c>
      <c r="K936" s="22">
        <v>14</v>
      </c>
      <c r="L936" s="1">
        <v>41878</v>
      </c>
      <c r="M936" s="22">
        <f>Table12[[#This Row],[Ship Date]]-Table12[[#This Row],[Order Date]]</f>
        <v>2</v>
      </c>
      <c r="N936" s="23" t="s">
        <v>20</v>
      </c>
      <c r="O936" s="23" t="s">
        <v>23</v>
      </c>
      <c r="P936" s="23" t="s">
        <v>441</v>
      </c>
      <c r="Q936" s="23" t="s">
        <v>133</v>
      </c>
      <c r="R936" s="23" t="s">
        <v>440</v>
      </c>
      <c r="S936" s="33">
        <v>0.2</v>
      </c>
      <c r="T936" s="13">
        <v>40.095999999999997</v>
      </c>
      <c r="U936" s="13">
        <v>14.534800000000001</v>
      </c>
      <c r="V936" s="55">
        <f>IFERROR(Table12[[#This Row],[Profit]]/Table12[[#This Row],[Sales]],0)</f>
        <v>0.36250000000000004</v>
      </c>
    </row>
    <row r="937" spans="1:22" x14ac:dyDescent="0.2">
      <c r="A937">
        <v>936</v>
      </c>
      <c r="B937" t="s">
        <v>438</v>
      </c>
      <c r="C937" s="1">
        <v>41876</v>
      </c>
      <c r="D937" s="22">
        <f>MONTH(Table12[[#This Row],[Order Date]])</f>
        <v>8</v>
      </c>
      <c r="E937" t="s">
        <v>444</v>
      </c>
      <c r="F937" t="s">
        <v>445</v>
      </c>
      <c r="G937" s="23" t="s">
        <v>41</v>
      </c>
      <c r="H937" s="23" t="s">
        <v>155</v>
      </c>
      <c r="I937" t="s">
        <v>439</v>
      </c>
      <c r="J937" s="23" t="s">
        <v>22</v>
      </c>
      <c r="K937" s="22">
        <v>2</v>
      </c>
      <c r="L937" s="1">
        <v>41878</v>
      </c>
      <c r="M937" s="22">
        <f>Table12[[#This Row],[Ship Date]]-Table12[[#This Row],[Order Date]]</f>
        <v>2</v>
      </c>
      <c r="N937" s="23" t="s">
        <v>20</v>
      </c>
      <c r="O937" s="23" t="s">
        <v>23</v>
      </c>
      <c r="P937" s="23" t="s">
        <v>441</v>
      </c>
      <c r="Q937" s="23" t="s">
        <v>133</v>
      </c>
      <c r="R937" s="23" t="s">
        <v>440</v>
      </c>
      <c r="S937" s="33">
        <v>0.2</v>
      </c>
      <c r="T937" s="13">
        <v>4.72</v>
      </c>
      <c r="U937" s="13">
        <v>1.6519999999999999</v>
      </c>
      <c r="V937" s="55">
        <f>IFERROR(Table12[[#This Row],[Profit]]/Table12[[#This Row],[Sales]],0)</f>
        <v>0.35</v>
      </c>
    </row>
    <row r="938" spans="1:22" x14ac:dyDescent="0.2">
      <c r="A938">
        <v>937</v>
      </c>
      <c r="B938" t="s">
        <v>438</v>
      </c>
      <c r="C938" s="1">
        <v>41876</v>
      </c>
      <c r="D938" s="22">
        <f>MONTH(Table12[[#This Row],[Order Date]])</f>
        <v>8</v>
      </c>
      <c r="E938" t="s">
        <v>446</v>
      </c>
      <c r="F938" t="s">
        <v>447</v>
      </c>
      <c r="G938" s="23" t="s">
        <v>41</v>
      </c>
      <c r="H938" s="23" t="s">
        <v>82</v>
      </c>
      <c r="I938" t="s">
        <v>439</v>
      </c>
      <c r="J938" s="23" t="s">
        <v>22</v>
      </c>
      <c r="K938" s="22">
        <v>3</v>
      </c>
      <c r="L938" s="1">
        <v>41878</v>
      </c>
      <c r="M938" s="22">
        <f>Table12[[#This Row],[Ship Date]]-Table12[[#This Row],[Order Date]]</f>
        <v>2</v>
      </c>
      <c r="N938" s="23" t="s">
        <v>20</v>
      </c>
      <c r="O938" s="23" t="s">
        <v>23</v>
      </c>
      <c r="P938" s="23" t="s">
        <v>441</v>
      </c>
      <c r="Q938" s="23" t="s">
        <v>133</v>
      </c>
      <c r="R938" s="23" t="s">
        <v>440</v>
      </c>
      <c r="S938" s="33">
        <v>0.2</v>
      </c>
      <c r="T938" s="13">
        <v>23.975999999999999</v>
      </c>
      <c r="U938" s="13">
        <v>7.4924999999999997</v>
      </c>
      <c r="V938" s="55">
        <f>IFERROR(Table12[[#This Row],[Profit]]/Table12[[#This Row],[Sales]],0)</f>
        <v>0.3125</v>
      </c>
    </row>
    <row r="939" spans="1:22" x14ac:dyDescent="0.2">
      <c r="A939">
        <v>938</v>
      </c>
      <c r="B939" t="s">
        <v>438</v>
      </c>
      <c r="C939" s="1">
        <v>41876</v>
      </c>
      <c r="D939" s="22">
        <f>MONTH(Table12[[#This Row],[Order Date]])</f>
        <v>8</v>
      </c>
      <c r="E939" t="s">
        <v>448</v>
      </c>
      <c r="F939" t="s">
        <v>449</v>
      </c>
      <c r="G939" s="23" t="s">
        <v>41</v>
      </c>
      <c r="H939" s="23" t="s">
        <v>155</v>
      </c>
      <c r="I939" t="s">
        <v>439</v>
      </c>
      <c r="J939" s="23" t="s">
        <v>22</v>
      </c>
      <c r="K939" s="22">
        <v>6</v>
      </c>
      <c r="L939" s="1">
        <v>41878</v>
      </c>
      <c r="M939" s="22">
        <f>Table12[[#This Row],[Ship Date]]-Table12[[#This Row],[Order Date]]</f>
        <v>2</v>
      </c>
      <c r="N939" s="23" t="s">
        <v>20</v>
      </c>
      <c r="O939" s="23" t="s">
        <v>23</v>
      </c>
      <c r="P939" s="23" t="s">
        <v>441</v>
      </c>
      <c r="Q939" s="23" t="s">
        <v>133</v>
      </c>
      <c r="R939" s="23" t="s">
        <v>440</v>
      </c>
      <c r="S939" s="33">
        <v>0.2</v>
      </c>
      <c r="T939" s="13">
        <v>130.464</v>
      </c>
      <c r="U939" s="13">
        <v>44.031599999999997</v>
      </c>
      <c r="V939" s="55">
        <f>IFERROR(Table12[[#This Row],[Profit]]/Table12[[#This Row],[Sales]],0)</f>
        <v>0.33749999999999997</v>
      </c>
    </row>
    <row r="940" spans="1:22" x14ac:dyDescent="0.2">
      <c r="A940">
        <v>939</v>
      </c>
      <c r="B940" t="s">
        <v>7819</v>
      </c>
      <c r="C940" s="1">
        <v>41876</v>
      </c>
      <c r="D940" s="22">
        <f>MONTH(Table12[[#This Row],[Order Date]])</f>
        <v>8</v>
      </c>
      <c r="E940" t="s">
        <v>5419</v>
      </c>
      <c r="F940" t="s">
        <v>5420</v>
      </c>
      <c r="G940" s="23" t="s">
        <v>28</v>
      </c>
      <c r="H940" s="23" t="s">
        <v>58</v>
      </c>
      <c r="I940" t="s">
        <v>236</v>
      </c>
      <c r="J940" s="23" t="s">
        <v>36</v>
      </c>
      <c r="K940" s="22">
        <v>1</v>
      </c>
      <c r="L940" s="1">
        <v>41880</v>
      </c>
      <c r="M940" s="22">
        <f>Table12[[#This Row],[Ship Date]]-Table12[[#This Row],[Order Date]]</f>
        <v>4</v>
      </c>
      <c r="N940" s="23" t="s">
        <v>45</v>
      </c>
      <c r="O940" s="23" t="s">
        <v>23</v>
      </c>
      <c r="P940" s="23" t="s">
        <v>38</v>
      </c>
      <c r="Q940" s="23" t="s">
        <v>39</v>
      </c>
      <c r="R940" s="23" t="s">
        <v>37</v>
      </c>
      <c r="S940" s="33">
        <v>0</v>
      </c>
      <c r="T940" s="13">
        <v>6.28</v>
      </c>
      <c r="U940" s="13">
        <v>2.6375999999999999</v>
      </c>
      <c r="V940" s="55">
        <f>IFERROR(Table12[[#This Row],[Profit]]/Table12[[#This Row],[Sales]],0)</f>
        <v>0.42</v>
      </c>
    </row>
    <row r="941" spans="1:22" x14ac:dyDescent="0.2">
      <c r="A941">
        <v>940</v>
      </c>
      <c r="B941" t="s">
        <v>7819</v>
      </c>
      <c r="C941" s="1">
        <v>41876</v>
      </c>
      <c r="D941" s="22">
        <f>MONTH(Table12[[#This Row],[Order Date]])</f>
        <v>8</v>
      </c>
      <c r="E941" t="s">
        <v>1550</v>
      </c>
      <c r="F941" t="s">
        <v>1551</v>
      </c>
      <c r="G941" s="23" t="s">
        <v>64</v>
      </c>
      <c r="H941" s="23" t="s">
        <v>144</v>
      </c>
      <c r="I941" t="s">
        <v>236</v>
      </c>
      <c r="J941" s="23" t="s">
        <v>36</v>
      </c>
      <c r="K941" s="22">
        <v>5</v>
      </c>
      <c r="L941" s="1">
        <v>41880</v>
      </c>
      <c r="M941" s="22">
        <f>Table12[[#This Row],[Ship Date]]-Table12[[#This Row],[Order Date]]</f>
        <v>4</v>
      </c>
      <c r="N941" s="23" t="s">
        <v>45</v>
      </c>
      <c r="O941" s="23" t="s">
        <v>23</v>
      </c>
      <c r="P941" s="23" t="s">
        <v>38</v>
      </c>
      <c r="Q941" s="23" t="s">
        <v>39</v>
      </c>
      <c r="R941" s="23" t="s">
        <v>37</v>
      </c>
      <c r="S941" s="33">
        <v>0</v>
      </c>
      <c r="T941" s="13">
        <v>95.1</v>
      </c>
      <c r="U941" s="13">
        <v>30.431999999999999</v>
      </c>
      <c r="V941" s="55">
        <f>IFERROR(Table12[[#This Row],[Profit]]/Table12[[#This Row],[Sales]],0)</f>
        <v>0.32</v>
      </c>
    </row>
    <row r="942" spans="1:22" x14ac:dyDescent="0.2">
      <c r="A942">
        <v>941</v>
      </c>
      <c r="B942" t="s">
        <v>7819</v>
      </c>
      <c r="C942" s="1">
        <v>41876</v>
      </c>
      <c r="D942" s="22">
        <f>MONTH(Table12[[#This Row],[Order Date]])</f>
        <v>8</v>
      </c>
      <c r="E942" t="s">
        <v>4916</v>
      </c>
      <c r="F942" t="s">
        <v>4917</v>
      </c>
      <c r="G942" s="23" t="s">
        <v>41</v>
      </c>
      <c r="H942" s="23" t="s">
        <v>82</v>
      </c>
      <c r="I942" t="s">
        <v>236</v>
      </c>
      <c r="J942" s="23" t="s">
        <v>36</v>
      </c>
      <c r="K942" s="22">
        <v>4</v>
      </c>
      <c r="L942" s="1">
        <v>41880</v>
      </c>
      <c r="M942" s="22">
        <f>Table12[[#This Row],[Ship Date]]-Table12[[#This Row],[Order Date]]</f>
        <v>4</v>
      </c>
      <c r="N942" s="23" t="s">
        <v>45</v>
      </c>
      <c r="O942" s="23" t="s">
        <v>23</v>
      </c>
      <c r="P942" s="23" t="s">
        <v>38</v>
      </c>
      <c r="Q942" s="23" t="s">
        <v>39</v>
      </c>
      <c r="R942" s="23" t="s">
        <v>37</v>
      </c>
      <c r="S942" s="33">
        <v>0</v>
      </c>
      <c r="T942" s="13">
        <v>25.92</v>
      </c>
      <c r="U942" s="13">
        <v>12.441599999999999</v>
      </c>
      <c r="V942" s="55">
        <f>IFERROR(Table12[[#This Row],[Profit]]/Table12[[#This Row],[Sales]],0)</f>
        <v>0.47999999999999993</v>
      </c>
    </row>
    <row r="943" spans="1:22" x14ac:dyDescent="0.2">
      <c r="A943">
        <v>942</v>
      </c>
      <c r="B943" t="s">
        <v>7819</v>
      </c>
      <c r="C943" s="1">
        <v>41876</v>
      </c>
      <c r="D943" s="22">
        <f>MONTH(Table12[[#This Row],[Order Date]])</f>
        <v>8</v>
      </c>
      <c r="E943" t="s">
        <v>2629</v>
      </c>
      <c r="F943" t="s">
        <v>2630</v>
      </c>
      <c r="G943" s="23" t="s">
        <v>41</v>
      </c>
      <c r="H943" s="23" t="s">
        <v>53</v>
      </c>
      <c r="I943" t="s">
        <v>236</v>
      </c>
      <c r="J943" s="23" t="s">
        <v>36</v>
      </c>
      <c r="K943" s="22">
        <v>4</v>
      </c>
      <c r="L943" s="1">
        <v>41880</v>
      </c>
      <c r="M943" s="22">
        <f>Table12[[#This Row],[Ship Date]]-Table12[[#This Row],[Order Date]]</f>
        <v>4</v>
      </c>
      <c r="N943" s="23" t="s">
        <v>45</v>
      </c>
      <c r="O943" s="23" t="s">
        <v>23</v>
      </c>
      <c r="P943" s="23" t="s">
        <v>38</v>
      </c>
      <c r="Q943" s="23" t="s">
        <v>39</v>
      </c>
      <c r="R943" s="23" t="s">
        <v>37</v>
      </c>
      <c r="S943" s="33">
        <v>0</v>
      </c>
      <c r="T943" s="13">
        <v>48.84</v>
      </c>
      <c r="U943" s="13">
        <v>13.1868</v>
      </c>
      <c r="V943" s="55">
        <f>IFERROR(Table12[[#This Row],[Profit]]/Table12[[#This Row],[Sales]],0)</f>
        <v>0.26999999999999996</v>
      </c>
    </row>
    <row r="944" spans="1:22" x14ac:dyDescent="0.2">
      <c r="A944">
        <v>943</v>
      </c>
      <c r="B944" t="s">
        <v>8198</v>
      </c>
      <c r="C944" s="1">
        <v>41876</v>
      </c>
      <c r="D944" s="22">
        <f>MONTH(Table12[[#This Row],[Order Date]])</f>
        <v>8</v>
      </c>
      <c r="E944" t="s">
        <v>4064</v>
      </c>
      <c r="F944" t="s">
        <v>4065</v>
      </c>
      <c r="G944" s="23" t="s">
        <v>64</v>
      </c>
      <c r="H944" s="23" t="s">
        <v>65</v>
      </c>
      <c r="I944" t="s">
        <v>4654</v>
      </c>
      <c r="J944" s="23" t="s">
        <v>22</v>
      </c>
      <c r="K944" s="22">
        <v>7</v>
      </c>
      <c r="L944" s="1">
        <v>41881</v>
      </c>
      <c r="M944" s="22">
        <f>Table12[[#This Row],[Ship Date]]-Table12[[#This Row],[Order Date]]</f>
        <v>5</v>
      </c>
      <c r="N944" s="23" t="s">
        <v>45</v>
      </c>
      <c r="O944" s="23" t="s">
        <v>23</v>
      </c>
      <c r="P944" s="23" t="s">
        <v>87</v>
      </c>
      <c r="Q944" s="23" t="s">
        <v>39</v>
      </c>
      <c r="R944" s="23" t="s">
        <v>86</v>
      </c>
      <c r="S944" s="33">
        <v>0.2</v>
      </c>
      <c r="T944" s="13">
        <v>1007.944</v>
      </c>
      <c r="U944" s="13">
        <v>75.595799999999997</v>
      </c>
      <c r="V944" s="55">
        <f>IFERROR(Table12[[#This Row],[Profit]]/Table12[[#This Row],[Sales]],0)</f>
        <v>7.4999999999999997E-2</v>
      </c>
    </row>
    <row r="945" spans="1:22" x14ac:dyDescent="0.2">
      <c r="A945">
        <v>944</v>
      </c>
      <c r="B945" t="s">
        <v>9259</v>
      </c>
      <c r="C945" s="1">
        <v>41876</v>
      </c>
      <c r="D945" s="22">
        <f>MONTH(Table12[[#This Row],[Order Date]])</f>
        <v>8</v>
      </c>
      <c r="E945" t="s">
        <v>4104</v>
      </c>
      <c r="F945" t="s">
        <v>4105</v>
      </c>
      <c r="G945" s="23" t="s">
        <v>41</v>
      </c>
      <c r="H945" s="23" t="s">
        <v>68</v>
      </c>
      <c r="I945" t="s">
        <v>4249</v>
      </c>
      <c r="J945" s="23" t="s">
        <v>22</v>
      </c>
      <c r="K945" s="22">
        <v>3</v>
      </c>
      <c r="L945" s="1">
        <v>41880</v>
      </c>
      <c r="M945" s="22">
        <f>Table12[[#This Row],[Ship Date]]-Table12[[#This Row],[Order Date]]</f>
        <v>4</v>
      </c>
      <c r="N945" s="23" t="s">
        <v>45</v>
      </c>
      <c r="O945" s="23" t="s">
        <v>23</v>
      </c>
      <c r="P945" s="23" t="s">
        <v>94</v>
      </c>
      <c r="Q945" s="23" t="s">
        <v>95</v>
      </c>
      <c r="R945" s="23" t="s">
        <v>165</v>
      </c>
      <c r="S945" s="33">
        <v>0.8</v>
      </c>
      <c r="T945" s="13">
        <v>25.68</v>
      </c>
      <c r="U945" s="13">
        <v>-39.804000000000002</v>
      </c>
      <c r="V945" s="55">
        <f>IFERROR(Table12[[#This Row],[Profit]]/Table12[[#This Row],[Sales]],0)</f>
        <v>-1.55</v>
      </c>
    </row>
    <row r="946" spans="1:22" x14ac:dyDescent="0.2">
      <c r="A946">
        <v>945</v>
      </c>
      <c r="B946" t="s">
        <v>9259</v>
      </c>
      <c r="C946" s="1">
        <v>41876</v>
      </c>
      <c r="D946" s="22">
        <f>MONTH(Table12[[#This Row],[Order Date]])</f>
        <v>8</v>
      </c>
      <c r="E946" t="s">
        <v>1187</v>
      </c>
      <c r="F946" t="s">
        <v>1188</v>
      </c>
      <c r="G946" s="23" t="s">
        <v>41</v>
      </c>
      <c r="H946" s="23" t="s">
        <v>68</v>
      </c>
      <c r="I946" t="s">
        <v>4249</v>
      </c>
      <c r="J946" s="23" t="s">
        <v>22</v>
      </c>
      <c r="K946" s="22">
        <v>3</v>
      </c>
      <c r="L946" s="1">
        <v>41880</v>
      </c>
      <c r="M946" s="22">
        <f>Table12[[#This Row],[Ship Date]]-Table12[[#This Row],[Order Date]]</f>
        <v>4</v>
      </c>
      <c r="N946" s="23" t="s">
        <v>45</v>
      </c>
      <c r="O946" s="23" t="s">
        <v>23</v>
      </c>
      <c r="P946" s="23" t="s">
        <v>94</v>
      </c>
      <c r="Q946" s="23" t="s">
        <v>95</v>
      </c>
      <c r="R946" s="23" t="s">
        <v>165</v>
      </c>
      <c r="S946" s="33">
        <v>0.8</v>
      </c>
      <c r="T946" s="13">
        <v>12.384</v>
      </c>
      <c r="U946" s="13">
        <v>-19.814399999999999</v>
      </c>
      <c r="V946" s="55">
        <f>IFERROR(Table12[[#This Row],[Profit]]/Table12[[#This Row],[Sales]],0)</f>
        <v>-1.5999999999999999</v>
      </c>
    </row>
    <row r="947" spans="1:22" x14ac:dyDescent="0.2">
      <c r="A947">
        <v>946</v>
      </c>
      <c r="B947" t="s">
        <v>9512</v>
      </c>
      <c r="C947" s="1">
        <v>41876</v>
      </c>
      <c r="D947" s="22">
        <f>MONTH(Table12[[#This Row],[Order Date]])</f>
        <v>8</v>
      </c>
      <c r="E947" t="s">
        <v>1068</v>
      </c>
      <c r="F947" t="s">
        <v>1069</v>
      </c>
      <c r="G947" s="23" t="s">
        <v>41</v>
      </c>
      <c r="H947" s="23" t="s">
        <v>68</v>
      </c>
      <c r="I947" t="s">
        <v>275</v>
      </c>
      <c r="J947" s="23" t="s">
        <v>36</v>
      </c>
      <c r="K947" s="22">
        <v>4</v>
      </c>
      <c r="L947" s="1">
        <v>41881</v>
      </c>
      <c r="M947" s="22">
        <f>Table12[[#This Row],[Ship Date]]-Table12[[#This Row],[Order Date]]</f>
        <v>5</v>
      </c>
      <c r="N947" s="23" t="s">
        <v>45</v>
      </c>
      <c r="O947" s="23" t="s">
        <v>23</v>
      </c>
      <c r="P947" s="23" t="s">
        <v>441</v>
      </c>
      <c r="Q947" s="23" t="s">
        <v>133</v>
      </c>
      <c r="R947" s="23" t="s">
        <v>440</v>
      </c>
      <c r="S947" s="33">
        <v>0.7</v>
      </c>
      <c r="T947" s="13">
        <v>6.5279999999999996</v>
      </c>
      <c r="U947" s="13">
        <v>-4.5696000000000003</v>
      </c>
      <c r="V947" s="55">
        <f>IFERROR(Table12[[#This Row],[Profit]]/Table12[[#This Row],[Sales]],0)</f>
        <v>-0.70000000000000007</v>
      </c>
    </row>
    <row r="948" spans="1:22" x14ac:dyDescent="0.2">
      <c r="A948">
        <v>947</v>
      </c>
      <c r="B948" t="s">
        <v>9512</v>
      </c>
      <c r="C948" s="1">
        <v>41876</v>
      </c>
      <c r="D948" s="22">
        <f>MONTH(Table12[[#This Row],[Order Date]])</f>
        <v>8</v>
      </c>
      <c r="E948" t="s">
        <v>4767</v>
      </c>
      <c r="F948" t="s">
        <v>4768</v>
      </c>
      <c r="G948" s="23" t="s">
        <v>41</v>
      </c>
      <c r="H948" s="23" t="s">
        <v>68</v>
      </c>
      <c r="I948" t="s">
        <v>275</v>
      </c>
      <c r="J948" s="23" t="s">
        <v>36</v>
      </c>
      <c r="K948" s="22">
        <v>3</v>
      </c>
      <c r="L948" s="1">
        <v>41881</v>
      </c>
      <c r="M948" s="22">
        <f>Table12[[#This Row],[Ship Date]]-Table12[[#This Row],[Order Date]]</f>
        <v>5</v>
      </c>
      <c r="N948" s="23" t="s">
        <v>45</v>
      </c>
      <c r="O948" s="23" t="s">
        <v>23</v>
      </c>
      <c r="P948" s="23" t="s">
        <v>441</v>
      </c>
      <c r="Q948" s="23" t="s">
        <v>133</v>
      </c>
      <c r="R948" s="23" t="s">
        <v>440</v>
      </c>
      <c r="S948" s="33">
        <v>0.7</v>
      </c>
      <c r="T948" s="13">
        <v>2.8620000000000001</v>
      </c>
      <c r="U948" s="13">
        <v>-2.2896000000000001</v>
      </c>
      <c r="V948" s="55">
        <f>IFERROR(Table12[[#This Row],[Profit]]/Table12[[#This Row],[Sales]],0)</f>
        <v>-0.8</v>
      </c>
    </row>
    <row r="949" spans="1:22" x14ac:dyDescent="0.2">
      <c r="A949">
        <v>948</v>
      </c>
      <c r="B949" t="s">
        <v>9512</v>
      </c>
      <c r="C949" s="1">
        <v>41876</v>
      </c>
      <c r="D949" s="22">
        <f>MONTH(Table12[[#This Row],[Order Date]])</f>
        <v>8</v>
      </c>
      <c r="E949" t="s">
        <v>1811</v>
      </c>
      <c r="F949" t="s">
        <v>1812</v>
      </c>
      <c r="G949" s="23" t="s">
        <v>41</v>
      </c>
      <c r="H949" s="23" t="s">
        <v>68</v>
      </c>
      <c r="I949" t="s">
        <v>275</v>
      </c>
      <c r="J949" s="23" t="s">
        <v>36</v>
      </c>
      <c r="K949" s="22">
        <v>8</v>
      </c>
      <c r="L949" s="1">
        <v>41881</v>
      </c>
      <c r="M949" s="22">
        <f>Table12[[#This Row],[Ship Date]]-Table12[[#This Row],[Order Date]]</f>
        <v>5</v>
      </c>
      <c r="N949" s="23" t="s">
        <v>45</v>
      </c>
      <c r="O949" s="23" t="s">
        <v>23</v>
      </c>
      <c r="P949" s="23" t="s">
        <v>441</v>
      </c>
      <c r="Q949" s="23" t="s">
        <v>133</v>
      </c>
      <c r="R949" s="23" t="s">
        <v>440</v>
      </c>
      <c r="S949" s="33">
        <v>0.7</v>
      </c>
      <c r="T949" s="13">
        <v>20.856000000000002</v>
      </c>
      <c r="U949" s="13">
        <v>-16.684799999999999</v>
      </c>
      <c r="V949" s="55">
        <f>IFERROR(Table12[[#This Row],[Profit]]/Table12[[#This Row],[Sales]],0)</f>
        <v>-0.79999999999999993</v>
      </c>
    </row>
    <row r="950" spans="1:22" x14ac:dyDescent="0.2">
      <c r="A950">
        <v>949</v>
      </c>
      <c r="B950" t="s">
        <v>663</v>
      </c>
      <c r="C950" s="1">
        <v>41877</v>
      </c>
      <c r="D950" s="22">
        <f>MONTH(Table12[[#This Row],[Order Date]])</f>
        <v>8</v>
      </c>
      <c r="E950" t="s">
        <v>665</v>
      </c>
      <c r="F950" t="s">
        <v>666</v>
      </c>
      <c r="G950" s="23" t="s">
        <v>64</v>
      </c>
      <c r="H950" s="23" t="s">
        <v>144</v>
      </c>
      <c r="I950" t="s">
        <v>664</v>
      </c>
      <c r="J950" s="23" t="s">
        <v>92</v>
      </c>
      <c r="K950" s="22">
        <v>8</v>
      </c>
      <c r="L950" s="1">
        <v>41881</v>
      </c>
      <c r="M950" s="22">
        <f>Table12[[#This Row],[Ship Date]]-Table12[[#This Row],[Order Date]]</f>
        <v>4</v>
      </c>
      <c r="N950" s="23" t="s">
        <v>45</v>
      </c>
      <c r="O950" s="23" t="s">
        <v>23</v>
      </c>
      <c r="P950" s="23" t="s">
        <v>38</v>
      </c>
      <c r="Q950" s="23" t="s">
        <v>39</v>
      </c>
      <c r="R950" s="23" t="s">
        <v>37</v>
      </c>
      <c r="S950" s="33">
        <v>0</v>
      </c>
      <c r="T950" s="13">
        <v>176.8</v>
      </c>
      <c r="U950" s="13">
        <v>22.984000000000002</v>
      </c>
      <c r="V950" s="55">
        <f>IFERROR(Table12[[#This Row],[Profit]]/Table12[[#This Row],[Sales]],0)</f>
        <v>0.13</v>
      </c>
    </row>
    <row r="951" spans="1:22" x14ac:dyDescent="0.2">
      <c r="A951">
        <v>950</v>
      </c>
      <c r="B951" t="s">
        <v>7398</v>
      </c>
      <c r="C951" s="1">
        <v>41877</v>
      </c>
      <c r="D951" s="22">
        <f>MONTH(Table12[[#This Row],[Order Date]])</f>
        <v>8</v>
      </c>
      <c r="E951" t="s">
        <v>6115</v>
      </c>
      <c r="F951" t="s">
        <v>6116</v>
      </c>
      <c r="G951" s="23" t="s">
        <v>28</v>
      </c>
      <c r="H951" s="23" t="s">
        <v>58</v>
      </c>
      <c r="I951" t="s">
        <v>363</v>
      </c>
      <c r="J951" s="23" t="s">
        <v>22</v>
      </c>
      <c r="K951" s="22">
        <v>4</v>
      </c>
      <c r="L951" s="1">
        <v>41883</v>
      </c>
      <c r="M951" s="22">
        <f>Table12[[#This Row],[Ship Date]]-Table12[[#This Row],[Order Date]]</f>
        <v>6</v>
      </c>
      <c r="N951" s="23" t="s">
        <v>45</v>
      </c>
      <c r="O951" s="23" t="s">
        <v>23</v>
      </c>
      <c r="P951" s="23" t="s">
        <v>218</v>
      </c>
      <c r="Q951" s="23" t="s">
        <v>133</v>
      </c>
      <c r="R951" s="23" t="s">
        <v>536</v>
      </c>
      <c r="S951" s="33">
        <v>0</v>
      </c>
      <c r="T951" s="13">
        <v>10.68</v>
      </c>
      <c r="U951" s="13">
        <v>4.0583999999999998</v>
      </c>
      <c r="V951" s="55">
        <f>IFERROR(Table12[[#This Row],[Profit]]/Table12[[#This Row],[Sales]],0)</f>
        <v>0.38</v>
      </c>
    </row>
    <row r="952" spans="1:22" x14ac:dyDescent="0.2">
      <c r="A952">
        <v>951</v>
      </c>
      <c r="B952" t="s">
        <v>7398</v>
      </c>
      <c r="C952" s="1">
        <v>41877</v>
      </c>
      <c r="D952" s="22">
        <f>MONTH(Table12[[#This Row],[Order Date]])</f>
        <v>8</v>
      </c>
      <c r="E952" t="s">
        <v>4307</v>
      </c>
      <c r="F952" t="s">
        <v>4308</v>
      </c>
      <c r="G952" s="23" t="s">
        <v>41</v>
      </c>
      <c r="H952" s="23" t="s">
        <v>82</v>
      </c>
      <c r="I952" t="s">
        <v>363</v>
      </c>
      <c r="J952" s="23" t="s">
        <v>22</v>
      </c>
      <c r="K952" s="22">
        <v>3</v>
      </c>
      <c r="L952" s="1">
        <v>41883</v>
      </c>
      <c r="M952" s="22">
        <f>Table12[[#This Row],[Ship Date]]-Table12[[#This Row],[Order Date]]</f>
        <v>6</v>
      </c>
      <c r="N952" s="23" t="s">
        <v>45</v>
      </c>
      <c r="O952" s="23" t="s">
        <v>23</v>
      </c>
      <c r="P952" s="23" t="s">
        <v>218</v>
      </c>
      <c r="Q952" s="23" t="s">
        <v>133</v>
      </c>
      <c r="R952" s="23" t="s">
        <v>536</v>
      </c>
      <c r="S952" s="33">
        <v>0</v>
      </c>
      <c r="T952" s="13">
        <v>17.34</v>
      </c>
      <c r="U952" s="13">
        <v>8.4966000000000008</v>
      </c>
      <c r="V952" s="55">
        <f>IFERROR(Table12[[#This Row],[Profit]]/Table12[[#This Row],[Sales]],0)</f>
        <v>0.49000000000000005</v>
      </c>
    </row>
    <row r="953" spans="1:22" x14ac:dyDescent="0.2">
      <c r="A953">
        <v>952</v>
      </c>
      <c r="B953" t="s">
        <v>7398</v>
      </c>
      <c r="C953" s="1">
        <v>41877</v>
      </c>
      <c r="D953" s="22">
        <f>MONTH(Table12[[#This Row],[Order Date]])</f>
        <v>8</v>
      </c>
      <c r="E953" t="s">
        <v>3228</v>
      </c>
      <c r="F953" t="s">
        <v>3229</v>
      </c>
      <c r="G953" s="23" t="s">
        <v>41</v>
      </c>
      <c r="H953" s="23" t="s">
        <v>82</v>
      </c>
      <c r="I953" t="s">
        <v>363</v>
      </c>
      <c r="J953" s="23" t="s">
        <v>22</v>
      </c>
      <c r="K953" s="22">
        <v>1</v>
      </c>
      <c r="L953" s="1">
        <v>41883</v>
      </c>
      <c r="M953" s="22">
        <f>Table12[[#This Row],[Ship Date]]-Table12[[#This Row],[Order Date]]</f>
        <v>6</v>
      </c>
      <c r="N953" s="23" t="s">
        <v>45</v>
      </c>
      <c r="O953" s="23" t="s">
        <v>23</v>
      </c>
      <c r="P953" s="23" t="s">
        <v>218</v>
      </c>
      <c r="Q953" s="23" t="s">
        <v>133</v>
      </c>
      <c r="R953" s="23" t="s">
        <v>536</v>
      </c>
      <c r="S953" s="33">
        <v>0</v>
      </c>
      <c r="T953" s="13">
        <v>3.38</v>
      </c>
      <c r="U953" s="13">
        <v>1.5548</v>
      </c>
      <c r="V953" s="55">
        <f>IFERROR(Table12[[#This Row],[Profit]]/Table12[[#This Row],[Sales]],0)</f>
        <v>0.46</v>
      </c>
    </row>
    <row r="954" spans="1:22" x14ac:dyDescent="0.2">
      <c r="A954">
        <v>953</v>
      </c>
      <c r="B954" t="s">
        <v>8907</v>
      </c>
      <c r="C954" s="1">
        <v>41877</v>
      </c>
      <c r="D954" s="22">
        <f>MONTH(Table12[[#This Row],[Order Date]])</f>
        <v>8</v>
      </c>
      <c r="E954" t="s">
        <v>3495</v>
      </c>
      <c r="F954" t="s">
        <v>3496</v>
      </c>
      <c r="G954" s="23" t="s">
        <v>41</v>
      </c>
      <c r="H954" s="23" t="s">
        <v>61</v>
      </c>
      <c r="I954" t="s">
        <v>3344</v>
      </c>
      <c r="J954" s="23" t="s">
        <v>92</v>
      </c>
      <c r="K954" s="22">
        <v>3</v>
      </c>
      <c r="L954" s="1">
        <v>41883</v>
      </c>
      <c r="M954" s="22">
        <f>Table12[[#This Row],[Ship Date]]-Table12[[#This Row],[Order Date]]</f>
        <v>6</v>
      </c>
      <c r="N954" s="23" t="s">
        <v>45</v>
      </c>
      <c r="O954" s="23" t="s">
        <v>23</v>
      </c>
      <c r="P954" s="23" t="s">
        <v>218</v>
      </c>
      <c r="Q954" s="23" t="s">
        <v>133</v>
      </c>
      <c r="R954" s="23" t="s">
        <v>536</v>
      </c>
      <c r="S954" s="33">
        <v>0</v>
      </c>
      <c r="T954" s="13">
        <v>8.64</v>
      </c>
      <c r="U954" s="13">
        <v>2.5055999999999998</v>
      </c>
      <c r="V954" s="55">
        <f>IFERROR(Table12[[#This Row],[Profit]]/Table12[[#This Row],[Sales]],0)</f>
        <v>0.28999999999999998</v>
      </c>
    </row>
    <row r="955" spans="1:22" x14ac:dyDescent="0.2">
      <c r="A955">
        <v>954</v>
      </c>
      <c r="B955" t="s">
        <v>8907</v>
      </c>
      <c r="C955" s="1">
        <v>41877</v>
      </c>
      <c r="D955" s="22">
        <f>MONTH(Table12[[#This Row],[Order Date]])</f>
        <v>8</v>
      </c>
      <c r="E955" t="s">
        <v>4387</v>
      </c>
      <c r="F955" t="s">
        <v>4388</v>
      </c>
      <c r="G955" s="23" t="s">
        <v>64</v>
      </c>
      <c r="H955" s="23" t="s">
        <v>144</v>
      </c>
      <c r="I955" t="s">
        <v>3344</v>
      </c>
      <c r="J955" s="23" t="s">
        <v>92</v>
      </c>
      <c r="K955" s="22">
        <v>3</v>
      </c>
      <c r="L955" s="1">
        <v>41883</v>
      </c>
      <c r="M955" s="22">
        <f>Table12[[#This Row],[Ship Date]]-Table12[[#This Row],[Order Date]]</f>
        <v>6</v>
      </c>
      <c r="N955" s="23" t="s">
        <v>45</v>
      </c>
      <c r="O955" s="23" t="s">
        <v>23</v>
      </c>
      <c r="P955" s="23" t="s">
        <v>218</v>
      </c>
      <c r="Q955" s="23" t="s">
        <v>133</v>
      </c>
      <c r="R955" s="23" t="s">
        <v>536</v>
      </c>
      <c r="S955" s="33">
        <v>0</v>
      </c>
      <c r="T955" s="13">
        <v>149.97</v>
      </c>
      <c r="U955" s="13">
        <v>52.4895</v>
      </c>
      <c r="V955" s="55">
        <f>IFERROR(Table12[[#This Row],[Profit]]/Table12[[#This Row],[Sales]],0)</f>
        <v>0.35</v>
      </c>
    </row>
    <row r="956" spans="1:22" x14ac:dyDescent="0.2">
      <c r="A956">
        <v>955</v>
      </c>
      <c r="B956" t="s">
        <v>112</v>
      </c>
      <c r="C956" s="1">
        <v>41878</v>
      </c>
      <c r="D956" s="22">
        <f>MONTH(Table12[[#This Row],[Order Date]])</f>
        <v>8</v>
      </c>
      <c r="E956" t="s">
        <v>115</v>
      </c>
      <c r="F956" t="s">
        <v>116</v>
      </c>
      <c r="G956" s="23" t="s">
        <v>41</v>
      </c>
      <c r="H956" s="23" t="s">
        <v>61</v>
      </c>
      <c r="I956" t="s">
        <v>113</v>
      </c>
      <c r="J956" s="23" t="s">
        <v>22</v>
      </c>
      <c r="K956" s="22">
        <v>2</v>
      </c>
      <c r="L956" s="1">
        <v>41883</v>
      </c>
      <c r="M956" s="22">
        <f>Table12[[#This Row],[Ship Date]]-Table12[[#This Row],[Order Date]]</f>
        <v>5</v>
      </c>
      <c r="N956" s="23" t="s">
        <v>20</v>
      </c>
      <c r="O956" s="23" t="s">
        <v>23</v>
      </c>
      <c r="P956" s="23" t="s">
        <v>38</v>
      </c>
      <c r="Q956" s="23" t="s">
        <v>39</v>
      </c>
      <c r="R956" s="23" t="s">
        <v>114</v>
      </c>
      <c r="S956" s="33">
        <v>0</v>
      </c>
      <c r="T956" s="13">
        <v>8.56</v>
      </c>
      <c r="U956" s="13">
        <v>2.4824000000000002</v>
      </c>
      <c r="V956" s="55">
        <f>IFERROR(Table12[[#This Row],[Profit]]/Table12[[#This Row],[Sales]],0)</f>
        <v>0.28999999999999998</v>
      </c>
    </row>
    <row r="957" spans="1:22" x14ac:dyDescent="0.2">
      <c r="A957">
        <v>956</v>
      </c>
      <c r="B957" t="s">
        <v>112</v>
      </c>
      <c r="C957" s="1">
        <v>41878</v>
      </c>
      <c r="D957" s="22">
        <f>MONTH(Table12[[#This Row],[Order Date]])</f>
        <v>8</v>
      </c>
      <c r="E957" t="s">
        <v>117</v>
      </c>
      <c r="F957" t="s">
        <v>118</v>
      </c>
      <c r="G957" s="23" t="s">
        <v>64</v>
      </c>
      <c r="H957" s="23" t="s">
        <v>65</v>
      </c>
      <c r="I957" t="s">
        <v>113</v>
      </c>
      <c r="J957" s="23" t="s">
        <v>22</v>
      </c>
      <c r="K957" s="22">
        <v>3</v>
      </c>
      <c r="L957" s="1">
        <v>41883</v>
      </c>
      <c r="M957" s="22">
        <f>Table12[[#This Row],[Ship Date]]-Table12[[#This Row],[Order Date]]</f>
        <v>5</v>
      </c>
      <c r="N957" s="23" t="s">
        <v>20</v>
      </c>
      <c r="O957" s="23" t="s">
        <v>23</v>
      </c>
      <c r="P957" s="23" t="s">
        <v>38</v>
      </c>
      <c r="Q957" s="23" t="s">
        <v>39</v>
      </c>
      <c r="R957" s="23" t="s">
        <v>114</v>
      </c>
      <c r="S957" s="33">
        <v>0.2</v>
      </c>
      <c r="T957" s="13">
        <v>213.48</v>
      </c>
      <c r="U957" s="13">
        <v>16.010999999999999</v>
      </c>
      <c r="V957" s="55">
        <f>IFERROR(Table12[[#This Row],[Profit]]/Table12[[#This Row],[Sales]],0)</f>
        <v>7.4999999999999997E-2</v>
      </c>
    </row>
    <row r="958" spans="1:22" x14ac:dyDescent="0.2">
      <c r="A958">
        <v>957</v>
      </c>
      <c r="B958" t="s">
        <v>112</v>
      </c>
      <c r="C958" s="1">
        <v>41878</v>
      </c>
      <c r="D958" s="22">
        <f>MONTH(Table12[[#This Row],[Order Date]])</f>
        <v>8</v>
      </c>
      <c r="E958" t="s">
        <v>119</v>
      </c>
      <c r="F958" t="s">
        <v>120</v>
      </c>
      <c r="G958" s="23" t="s">
        <v>41</v>
      </c>
      <c r="H958" s="23" t="s">
        <v>68</v>
      </c>
      <c r="I958" t="s">
        <v>113</v>
      </c>
      <c r="J958" s="23" t="s">
        <v>22</v>
      </c>
      <c r="K958" s="22">
        <v>4</v>
      </c>
      <c r="L958" s="1">
        <v>41883</v>
      </c>
      <c r="M958" s="22">
        <f>Table12[[#This Row],[Ship Date]]-Table12[[#This Row],[Order Date]]</f>
        <v>5</v>
      </c>
      <c r="N958" s="23" t="s">
        <v>20</v>
      </c>
      <c r="O958" s="23" t="s">
        <v>23</v>
      </c>
      <c r="P958" s="23" t="s">
        <v>38</v>
      </c>
      <c r="Q958" s="23" t="s">
        <v>39</v>
      </c>
      <c r="R958" s="23" t="s">
        <v>114</v>
      </c>
      <c r="S958" s="33">
        <v>0.2</v>
      </c>
      <c r="T958" s="13">
        <v>22.72</v>
      </c>
      <c r="U958" s="13">
        <v>7.3840000000000003</v>
      </c>
      <c r="V958" s="55">
        <f>IFERROR(Table12[[#This Row],[Profit]]/Table12[[#This Row],[Sales]],0)</f>
        <v>0.32500000000000001</v>
      </c>
    </row>
    <row r="959" spans="1:22" x14ac:dyDescent="0.2">
      <c r="A959">
        <v>958</v>
      </c>
      <c r="B959" t="s">
        <v>5972</v>
      </c>
      <c r="C959" s="1">
        <v>41878</v>
      </c>
      <c r="D959" s="22">
        <f>MONTH(Table12[[#This Row],[Order Date]])</f>
        <v>8</v>
      </c>
      <c r="E959" t="s">
        <v>4003</v>
      </c>
      <c r="F959" t="s">
        <v>4004</v>
      </c>
      <c r="G959" s="23" t="s">
        <v>64</v>
      </c>
      <c r="H959" s="23" t="s">
        <v>65</v>
      </c>
      <c r="I959" t="s">
        <v>4392</v>
      </c>
      <c r="J959" s="23" t="s">
        <v>36</v>
      </c>
      <c r="K959" s="22">
        <v>5</v>
      </c>
      <c r="L959" s="1">
        <v>41880</v>
      </c>
      <c r="M959" s="22">
        <f>Table12[[#This Row],[Ship Date]]-Table12[[#This Row],[Order Date]]</f>
        <v>2</v>
      </c>
      <c r="N959" s="23" t="s">
        <v>169</v>
      </c>
      <c r="O959" s="23" t="s">
        <v>23</v>
      </c>
      <c r="P959" s="23" t="s">
        <v>285</v>
      </c>
      <c r="Q959" s="23" t="s">
        <v>26</v>
      </c>
      <c r="R959" s="23" t="s">
        <v>284</v>
      </c>
      <c r="S959" s="33">
        <v>0</v>
      </c>
      <c r="T959" s="13">
        <v>579.95000000000005</v>
      </c>
      <c r="U959" s="13">
        <v>168.18549999999999</v>
      </c>
      <c r="V959" s="55">
        <f>IFERROR(Table12[[#This Row],[Profit]]/Table12[[#This Row],[Sales]],0)</f>
        <v>0.28999999999999998</v>
      </c>
    </row>
    <row r="960" spans="1:22" x14ac:dyDescent="0.2">
      <c r="A960">
        <v>959</v>
      </c>
      <c r="B960" t="s">
        <v>5972</v>
      </c>
      <c r="C960" s="1">
        <v>41878</v>
      </c>
      <c r="D960" s="22">
        <f>MONTH(Table12[[#This Row],[Order Date]])</f>
        <v>8</v>
      </c>
      <c r="E960" t="s">
        <v>3584</v>
      </c>
      <c r="F960" t="s">
        <v>3585</v>
      </c>
      <c r="G960" s="23" t="s">
        <v>28</v>
      </c>
      <c r="H960" s="23" t="s">
        <v>58</v>
      </c>
      <c r="I960" t="s">
        <v>4392</v>
      </c>
      <c r="J960" s="23" t="s">
        <v>36</v>
      </c>
      <c r="K960" s="22">
        <v>4</v>
      </c>
      <c r="L960" s="1">
        <v>41880</v>
      </c>
      <c r="M960" s="22">
        <f>Table12[[#This Row],[Ship Date]]-Table12[[#This Row],[Order Date]]</f>
        <v>2</v>
      </c>
      <c r="N960" s="23" t="s">
        <v>169</v>
      </c>
      <c r="O960" s="23" t="s">
        <v>23</v>
      </c>
      <c r="P960" s="23" t="s">
        <v>285</v>
      </c>
      <c r="Q960" s="23" t="s">
        <v>26</v>
      </c>
      <c r="R960" s="23" t="s">
        <v>284</v>
      </c>
      <c r="S960" s="33">
        <v>0</v>
      </c>
      <c r="T960" s="13">
        <v>29.12</v>
      </c>
      <c r="U960" s="13">
        <v>12.521599999999999</v>
      </c>
      <c r="V960" s="55">
        <f>IFERROR(Table12[[#This Row],[Profit]]/Table12[[#This Row],[Sales]],0)</f>
        <v>0.42999999999999994</v>
      </c>
    </row>
    <row r="961" spans="1:22" x14ac:dyDescent="0.2">
      <c r="A961">
        <v>960</v>
      </c>
      <c r="B961" t="s">
        <v>5972</v>
      </c>
      <c r="C961" s="1">
        <v>41878</v>
      </c>
      <c r="D961" s="22">
        <f>MONTH(Table12[[#This Row],[Order Date]])</f>
        <v>8</v>
      </c>
      <c r="E961" t="s">
        <v>5072</v>
      </c>
      <c r="F961" t="s">
        <v>5073</v>
      </c>
      <c r="G961" s="23" t="s">
        <v>28</v>
      </c>
      <c r="H961" s="23" t="s">
        <v>50</v>
      </c>
      <c r="I961" t="s">
        <v>4392</v>
      </c>
      <c r="J961" s="23" t="s">
        <v>36</v>
      </c>
      <c r="K961" s="22">
        <v>3</v>
      </c>
      <c r="L961" s="1">
        <v>41880</v>
      </c>
      <c r="M961" s="22">
        <f>Table12[[#This Row],[Ship Date]]-Table12[[#This Row],[Order Date]]</f>
        <v>2</v>
      </c>
      <c r="N961" s="23" t="s">
        <v>169</v>
      </c>
      <c r="O961" s="23" t="s">
        <v>23</v>
      </c>
      <c r="P961" s="23" t="s">
        <v>285</v>
      </c>
      <c r="Q961" s="23" t="s">
        <v>26</v>
      </c>
      <c r="R961" s="23" t="s">
        <v>284</v>
      </c>
      <c r="S961" s="33">
        <v>0</v>
      </c>
      <c r="T961" s="13">
        <v>1202.94</v>
      </c>
      <c r="U961" s="13">
        <v>300.73500000000001</v>
      </c>
      <c r="V961" s="55">
        <f>IFERROR(Table12[[#This Row],[Profit]]/Table12[[#This Row],[Sales]],0)</f>
        <v>0.25</v>
      </c>
    </row>
    <row r="962" spans="1:22" x14ac:dyDescent="0.2">
      <c r="A962">
        <v>961</v>
      </c>
      <c r="B962" t="s">
        <v>7956</v>
      </c>
      <c r="C962" s="1">
        <v>41878</v>
      </c>
      <c r="D962" s="22">
        <f>MONTH(Table12[[#This Row],[Order Date]])</f>
        <v>8</v>
      </c>
      <c r="E962" t="s">
        <v>1650</v>
      </c>
      <c r="F962" t="s">
        <v>1651</v>
      </c>
      <c r="G962" s="23" t="s">
        <v>41</v>
      </c>
      <c r="H962" s="23" t="s">
        <v>82</v>
      </c>
      <c r="I962" t="s">
        <v>3425</v>
      </c>
      <c r="J962" s="23" t="s">
        <v>22</v>
      </c>
      <c r="K962" s="22">
        <v>2</v>
      </c>
      <c r="L962" s="1">
        <v>41881</v>
      </c>
      <c r="M962" s="22">
        <f>Table12[[#This Row],[Ship Date]]-Table12[[#This Row],[Order Date]]</f>
        <v>3</v>
      </c>
      <c r="N962" s="23" t="s">
        <v>20</v>
      </c>
      <c r="O962" s="23" t="s">
        <v>23</v>
      </c>
      <c r="P962" s="23" t="s">
        <v>285</v>
      </c>
      <c r="Q962" s="23" t="s">
        <v>26</v>
      </c>
      <c r="R962" s="23" t="s">
        <v>284</v>
      </c>
      <c r="S962" s="33">
        <v>0</v>
      </c>
      <c r="T962" s="13">
        <v>13.36</v>
      </c>
      <c r="U962" s="13">
        <v>6.4127999999999998</v>
      </c>
      <c r="V962" s="55">
        <f>IFERROR(Table12[[#This Row],[Profit]]/Table12[[#This Row],[Sales]],0)</f>
        <v>0.48</v>
      </c>
    </row>
    <row r="963" spans="1:22" x14ac:dyDescent="0.2">
      <c r="A963">
        <v>962</v>
      </c>
      <c r="B963" t="s">
        <v>3798</v>
      </c>
      <c r="C963" s="1">
        <v>41880</v>
      </c>
      <c r="D963" s="22">
        <f>MONTH(Table12[[#This Row],[Order Date]])</f>
        <v>8</v>
      </c>
      <c r="E963" t="s">
        <v>3800</v>
      </c>
      <c r="F963" t="s">
        <v>3801</v>
      </c>
      <c r="G963" s="23" t="s">
        <v>41</v>
      </c>
      <c r="H963" s="23" t="s">
        <v>82</v>
      </c>
      <c r="I963" t="s">
        <v>3799</v>
      </c>
      <c r="J963" s="23" t="s">
        <v>36</v>
      </c>
      <c r="K963" s="22">
        <v>2</v>
      </c>
      <c r="L963" s="1">
        <v>41880</v>
      </c>
      <c r="M963" s="22">
        <f>Table12[[#This Row],[Ship Date]]-Table12[[#This Row],[Order Date]]</f>
        <v>0</v>
      </c>
      <c r="N963" s="23" t="s">
        <v>1141</v>
      </c>
      <c r="O963" s="23" t="s">
        <v>23</v>
      </c>
      <c r="P963" s="23" t="s">
        <v>38</v>
      </c>
      <c r="Q963" s="23" t="s">
        <v>39</v>
      </c>
      <c r="R963" s="23" t="s">
        <v>114</v>
      </c>
      <c r="S963" s="33">
        <v>0</v>
      </c>
      <c r="T963" s="13">
        <v>109.92</v>
      </c>
      <c r="U963" s="13">
        <v>53.860799999999998</v>
      </c>
      <c r="V963" s="55">
        <f>IFERROR(Table12[[#This Row],[Profit]]/Table12[[#This Row],[Sales]],0)</f>
        <v>0.49</v>
      </c>
    </row>
    <row r="964" spans="1:22" x14ac:dyDescent="0.2">
      <c r="A964">
        <v>963</v>
      </c>
      <c r="B964" t="s">
        <v>3798</v>
      </c>
      <c r="C964" s="1">
        <v>41880</v>
      </c>
      <c r="D964" s="22">
        <f>MONTH(Table12[[#This Row],[Order Date]])</f>
        <v>8</v>
      </c>
      <c r="E964" t="s">
        <v>3802</v>
      </c>
      <c r="F964" t="s">
        <v>3803</v>
      </c>
      <c r="G964" s="23" t="s">
        <v>41</v>
      </c>
      <c r="H964" s="23" t="s">
        <v>82</v>
      </c>
      <c r="I964" t="s">
        <v>3799</v>
      </c>
      <c r="J964" s="23" t="s">
        <v>36</v>
      </c>
      <c r="K964" s="22">
        <v>2</v>
      </c>
      <c r="L964" s="1">
        <v>41880</v>
      </c>
      <c r="M964" s="22">
        <f>Table12[[#This Row],[Ship Date]]-Table12[[#This Row],[Order Date]]</f>
        <v>0</v>
      </c>
      <c r="N964" s="23" t="s">
        <v>1141</v>
      </c>
      <c r="O964" s="23" t="s">
        <v>23</v>
      </c>
      <c r="P964" s="23" t="s">
        <v>38</v>
      </c>
      <c r="Q964" s="23" t="s">
        <v>39</v>
      </c>
      <c r="R964" s="23" t="s">
        <v>114</v>
      </c>
      <c r="S964" s="33">
        <v>0</v>
      </c>
      <c r="T964" s="13">
        <v>13.36</v>
      </c>
      <c r="U964" s="13">
        <v>6.4127999999999998</v>
      </c>
      <c r="V964" s="55">
        <f>IFERROR(Table12[[#This Row],[Profit]]/Table12[[#This Row],[Sales]],0)</f>
        <v>0.48</v>
      </c>
    </row>
    <row r="965" spans="1:22" x14ac:dyDescent="0.2">
      <c r="A965">
        <v>964</v>
      </c>
      <c r="B965" t="s">
        <v>4176</v>
      </c>
      <c r="C965" s="1">
        <v>41880</v>
      </c>
      <c r="D965" s="22">
        <f>MONTH(Table12[[#This Row],[Order Date]])</f>
        <v>8</v>
      </c>
      <c r="E965" t="s">
        <v>4177</v>
      </c>
      <c r="F965" t="s">
        <v>4178</v>
      </c>
      <c r="G965" s="23" t="s">
        <v>41</v>
      </c>
      <c r="H965" s="23" t="s">
        <v>155</v>
      </c>
      <c r="I965" t="s">
        <v>2638</v>
      </c>
      <c r="J965" s="23" t="s">
        <v>22</v>
      </c>
      <c r="K965" s="22">
        <v>2</v>
      </c>
      <c r="L965" s="1">
        <v>41884</v>
      </c>
      <c r="M965" s="22">
        <f>Table12[[#This Row],[Ship Date]]-Table12[[#This Row],[Order Date]]</f>
        <v>4</v>
      </c>
      <c r="N965" s="23" t="s">
        <v>20</v>
      </c>
      <c r="O965" s="23" t="s">
        <v>23</v>
      </c>
      <c r="P965" s="23" t="s">
        <v>48</v>
      </c>
      <c r="Q965" s="23" t="s">
        <v>26</v>
      </c>
      <c r="R965" s="23" t="s">
        <v>1253</v>
      </c>
      <c r="S965" s="33">
        <v>0.2</v>
      </c>
      <c r="T965" s="13">
        <v>29.808</v>
      </c>
      <c r="U965" s="13">
        <v>10.805400000000001</v>
      </c>
      <c r="V965" s="55">
        <f>IFERROR(Table12[[#This Row],[Profit]]/Table12[[#This Row],[Sales]],0)</f>
        <v>0.36250000000000004</v>
      </c>
    </row>
    <row r="966" spans="1:22" x14ac:dyDescent="0.2">
      <c r="A966">
        <v>965</v>
      </c>
      <c r="B966" t="s">
        <v>4176</v>
      </c>
      <c r="C966" s="1">
        <v>41880</v>
      </c>
      <c r="D966" s="22">
        <f>MONTH(Table12[[#This Row],[Order Date]])</f>
        <v>8</v>
      </c>
      <c r="E966" t="s">
        <v>4179</v>
      </c>
      <c r="F966" t="s">
        <v>4180</v>
      </c>
      <c r="G966" s="23" t="s">
        <v>41</v>
      </c>
      <c r="H966" s="23" t="s">
        <v>68</v>
      </c>
      <c r="I966" t="s">
        <v>2638</v>
      </c>
      <c r="J966" s="23" t="s">
        <v>22</v>
      </c>
      <c r="K966" s="22">
        <v>4</v>
      </c>
      <c r="L966" s="1">
        <v>41884</v>
      </c>
      <c r="M966" s="22">
        <f>Table12[[#This Row],[Ship Date]]-Table12[[#This Row],[Order Date]]</f>
        <v>4</v>
      </c>
      <c r="N966" s="23" t="s">
        <v>20</v>
      </c>
      <c r="O966" s="23" t="s">
        <v>23</v>
      </c>
      <c r="P966" s="23" t="s">
        <v>48</v>
      </c>
      <c r="Q966" s="23" t="s">
        <v>26</v>
      </c>
      <c r="R966" s="23" t="s">
        <v>1253</v>
      </c>
      <c r="S966" s="33">
        <v>0.7</v>
      </c>
      <c r="T966" s="13">
        <v>505.17599999999999</v>
      </c>
      <c r="U966" s="13">
        <v>-336.78399999999999</v>
      </c>
      <c r="V966" s="55">
        <f>IFERROR(Table12[[#This Row],[Profit]]/Table12[[#This Row],[Sales]],0)</f>
        <v>-0.66666666666666663</v>
      </c>
    </row>
    <row r="967" spans="1:22" x14ac:dyDescent="0.2">
      <c r="A967">
        <v>966</v>
      </c>
      <c r="B967" t="s">
        <v>4176</v>
      </c>
      <c r="C967" s="1">
        <v>41880</v>
      </c>
      <c r="D967" s="22">
        <f>MONTH(Table12[[#This Row],[Order Date]])</f>
        <v>8</v>
      </c>
      <c r="E967" t="s">
        <v>1505</v>
      </c>
      <c r="F967" t="s">
        <v>1506</v>
      </c>
      <c r="G967" s="23" t="s">
        <v>28</v>
      </c>
      <c r="H967" s="23" t="s">
        <v>50</v>
      </c>
      <c r="I967" t="s">
        <v>2638</v>
      </c>
      <c r="J967" s="23" t="s">
        <v>22</v>
      </c>
      <c r="K967" s="22">
        <v>3</v>
      </c>
      <c r="L967" s="1">
        <v>41884</v>
      </c>
      <c r="M967" s="22">
        <f>Table12[[#This Row],[Ship Date]]-Table12[[#This Row],[Order Date]]</f>
        <v>4</v>
      </c>
      <c r="N967" s="23" t="s">
        <v>20</v>
      </c>
      <c r="O967" s="23" t="s">
        <v>23</v>
      </c>
      <c r="P967" s="23" t="s">
        <v>48</v>
      </c>
      <c r="Q967" s="23" t="s">
        <v>26</v>
      </c>
      <c r="R967" s="23" t="s">
        <v>1253</v>
      </c>
      <c r="S967" s="33">
        <v>0.45</v>
      </c>
      <c r="T967" s="13">
        <v>174.05850000000001</v>
      </c>
      <c r="U967" s="13">
        <v>-110.7645</v>
      </c>
      <c r="V967" s="55">
        <f>IFERROR(Table12[[#This Row],[Profit]]/Table12[[#This Row],[Sales]],0)</f>
        <v>-0.63636363636363635</v>
      </c>
    </row>
    <row r="968" spans="1:22" x14ac:dyDescent="0.2">
      <c r="A968">
        <v>967</v>
      </c>
      <c r="B968" t="s">
        <v>9260</v>
      </c>
      <c r="C968" s="1">
        <v>41881</v>
      </c>
      <c r="D968" s="22">
        <f>MONTH(Table12[[#This Row],[Order Date]])</f>
        <v>8</v>
      </c>
      <c r="E968" t="s">
        <v>3027</v>
      </c>
      <c r="F968" t="s">
        <v>3028</v>
      </c>
      <c r="G968" s="23" t="s">
        <v>41</v>
      </c>
      <c r="H968" s="23" t="s">
        <v>68</v>
      </c>
      <c r="I968" t="s">
        <v>1827</v>
      </c>
      <c r="J968" s="23" t="s">
        <v>22</v>
      </c>
      <c r="K968" s="22">
        <v>5</v>
      </c>
      <c r="L968" s="1">
        <v>41886</v>
      </c>
      <c r="M968" s="22">
        <f>Table12[[#This Row],[Ship Date]]-Table12[[#This Row],[Order Date]]</f>
        <v>5</v>
      </c>
      <c r="N968" s="23" t="s">
        <v>45</v>
      </c>
      <c r="O968" s="23" t="s">
        <v>23</v>
      </c>
      <c r="P968" s="23" t="s">
        <v>660</v>
      </c>
      <c r="Q968" s="23" t="s">
        <v>133</v>
      </c>
      <c r="R968" s="23" t="s">
        <v>456</v>
      </c>
      <c r="S968" s="33">
        <v>0</v>
      </c>
      <c r="T968" s="13">
        <v>25.3</v>
      </c>
      <c r="U968" s="13">
        <v>11.891</v>
      </c>
      <c r="V968" s="55">
        <f>IFERROR(Table12[[#This Row],[Profit]]/Table12[[#This Row],[Sales]],0)</f>
        <v>0.47</v>
      </c>
    </row>
    <row r="969" spans="1:22" x14ac:dyDescent="0.2">
      <c r="A969">
        <v>968</v>
      </c>
      <c r="B969" t="s">
        <v>9260</v>
      </c>
      <c r="C969" s="1">
        <v>41881</v>
      </c>
      <c r="D969" s="22">
        <f>MONTH(Table12[[#This Row],[Order Date]])</f>
        <v>8</v>
      </c>
      <c r="E969" t="s">
        <v>3126</v>
      </c>
      <c r="F969" t="s">
        <v>3127</v>
      </c>
      <c r="G969" s="23" t="s">
        <v>41</v>
      </c>
      <c r="H969" s="23" t="s">
        <v>53</v>
      </c>
      <c r="I969" t="s">
        <v>1827</v>
      </c>
      <c r="J969" s="23" t="s">
        <v>22</v>
      </c>
      <c r="K969" s="22">
        <v>3</v>
      </c>
      <c r="L969" s="1">
        <v>41886</v>
      </c>
      <c r="M969" s="22">
        <f>Table12[[#This Row],[Ship Date]]-Table12[[#This Row],[Order Date]]</f>
        <v>5</v>
      </c>
      <c r="N969" s="23" t="s">
        <v>45</v>
      </c>
      <c r="O969" s="23" t="s">
        <v>23</v>
      </c>
      <c r="P969" s="23" t="s">
        <v>660</v>
      </c>
      <c r="Q969" s="23" t="s">
        <v>133</v>
      </c>
      <c r="R969" s="23" t="s">
        <v>456</v>
      </c>
      <c r="S969" s="33">
        <v>0</v>
      </c>
      <c r="T969" s="13">
        <v>95.94</v>
      </c>
      <c r="U969" s="13">
        <v>9.5939999999999994</v>
      </c>
      <c r="V969" s="55">
        <f>IFERROR(Table12[[#This Row],[Profit]]/Table12[[#This Row],[Sales]],0)</f>
        <v>9.9999999999999992E-2</v>
      </c>
    </row>
    <row r="970" spans="1:22" x14ac:dyDescent="0.2">
      <c r="A970">
        <v>969</v>
      </c>
      <c r="B970" t="s">
        <v>5966</v>
      </c>
      <c r="C970" s="1">
        <v>41882</v>
      </c>
      <c r="D970" s="22">
        <f>MONTH(Table12[[#This Row],[Order Date]])</f>
        <v>8</v>
      </c>
      <c r="E970" t="s">
        <v>5091</v>
      </c>
      <c r="F970" t="s">
        <v>5092</v>
      </c>
      <c r="G970" s="23" t="s">
        <v>64</v>
      </c>
      <c r="H970" s="23" t="s">
        <v>144</v>
      </c>
      <c r="I970" t="s">
        <v>629</v>
      </c>
      <c r="J970" s="23" t="s">
        <v>22</v>
      </c>
      <c r="K970" s="22">
        <v>9</v>
      </c>
      <c r="L970" s="1">
        <v>41887</v>
      </c>
      <c r="M970" s="22">
        <f>Table12[[#This Row],[Ship Date]]-Table12[[#This Row],[Order Date]]</f>
        <v>5</v>
      </c>
      <c r="N970" s="23" t="s">
        <v>45</v>
      </c>
      <c r="O970" s="23" t="s">
        <v>23</v>
      </c>
      <c r="P970" s="23" t="s">
        <v>589</v>
      </c>
      <c r="Q970" s="23" t="s">
        <v>39</v>
      </c>
      <c r="R970" s="23" t="s">
        <v>5967</v>
      </c>
      <c r="S970" s="33">
        <v>0</v>
      </c>
      <c r="T970" s="13">
        <v>92.52</v>
      </c>
      <c r="U970" s="13">
        <v>18.504000000000001</v>
      </c>
      <c r="V970" s="55">
        <f>IFERROR(Table12[[#This Row],[Profit]]/Table12[[#This Row],[Sales]],0)</f>
        <v>0.2</v>
      </c>
    </row>
    <row r="971" spans="1:22" x14ac:dyDescent="0.2">
      <c r="A971">
        <v>970</v>
      </c>
      <c r="B971" t="s">
        <v>2942</v>
      </c>
      <c r="C971" s="1">
        <v>41883</v>
      </c>
      <c r="D971" s="22">
        <f>MONTH(Table12[[#This Row],[Order Date]])</f>
        <v>9</v>
      </c>
      <c r="E971" t="s">
        <v>157</v>
      </c>
      <c r="F971" t="s">
        <v>158</v>
      </c>
      <c r="G971" s="23" t="s">
        <v>41</v>
      </c>
      <c r="H971" s="23" t="s">
        <v>61</v>
      </c>
      <c r="I971" t="s">
        <v>2943</v>
      </c>
      <c r="J971" s="23" t="s">
        <v>22</v>
      </c>
      <c r="K971" s="22">
        <v>3</v>
      </c>
      <c r="L971" s="1">
        <v>41887</v>
      </c>
      <c r="M971" s="22">
        <f>Table12[[#This Row],[Ship Date]]-Table12[[#This Row],[Order Date]]</f>
        <v>4</v>
      </c>
      <c r="N971" s="23" t="s">
        <v>20</v>
      </c>
      <c r="O971" s="23" t="s">
        <v>23</v>
      </c>
      <c r="P971" s="23" t="s">
        <v>38</v>
      </c>
      <c r="Q971" s="23" t="s">
        <v>39</v>
      </c>
      <c r="R971" s="23" t="s">
        <v>2944</v>
      </c>
      <c r="S971" s="33">
        <v>0</v>
      </c>
      <c r="T971" s="13">
        <v>53.94</v>
      </c>
      <c r="U971" s="13">
        <v>15.6426</v>
      </c>
      <c r="V971" s="55">
        <f>IFERROR(Table12[[#This Row],[Profit]]/Table12[[#This Row],[Sales]],0)</f>
        <v>0.29000000000000004</v>
      </c>
    </row>
    <row r="972" spans="1:22" x14ac:dyDescent="0.2">
      <c r="A972">
        <v>971</v>
      </c>
      <c r="B972" t="s">
        <v>5722</v>
      </c>
      <c r="C972" s="1">
        <v>41883</v>
      </c>
      <c r="D972" s="22">
        <f>MONTH(Table12[[#This Row],[Order Date]])</f>
        <v>9</v>
      </c>
      <c r="E972" t="s">
        <v>1797</v>
      </c>
      <c r="F972" t="s">
        <v>1798</v>
      </c>
      <c r="G972" s="23" t="s">
        <v>41</v>
      </c>
      <c r="H972" s="23" t="s">
        <v>68</v>
      </c>
      <c r="I972" t="s">
        <v>5723</v>
      </c>
      <c r="J972" s="23" t="s">
        <v>22</v>
      </c>
      <c r="K972" s="22">
        <v>3</v>
      </c>
      <c r="L972" s="1">
        <v>41886</v>
      </c>
      <c r="M972" s="22">
        <f>Table12[[#This Row],[Ship Date]]-Table12[[#This Row],[Order Date]]</f>
        <v>3</v>
      </c>
      <c r="N972" s="23" t="s">
        <v>169</v>
      </c>
      <c r="O972" s="23" t="s">
        <v>23</v>
      </c>
      <c r="P972" s="23" t="s">
        <v>94</v>
      </c>
      <c r="Q972" s="23" t="s">
        <v>95</v>
      </c>
      <c r="R972" s="23" t="s">
        <v>165</v>
      </c>
      <c r="S972" s="33">
        <v>0.8</v>
      </c>
      <c r="T972" s="13">
        <v>3.6480000000000001</v>
      </c>
      <c r="U972" s="13">
        <v>-6.0191999999999997</v>
      </c>
      <c r="V972" s="55">
        <f>IFERROR(Table12[[#This Row],[Profit]]/Table12[[#This Row],[Sales]],0)</f>
        <v>-1.65</v>
      </c>
    </row>
    <row r="973" spans="1:22" x14ac:dyDescent="0.2">
      <c r="A973">
        <v>972</v>
      </c>
      <c r="B973" t="s">
        <v>5722</v>
      </c>
      <c r="C973" s="1">
        <v>41883</v>
      </c>
      <c r="D973" s="22">
        <f>MONTH(Table12[[#This Row],[Order Date]])</f>
        <v>9</v>
      </c>
      <c r="E973" t="s">
        <v>933</v>
      </c>
      <c r="F973" t="s">
        <v>934</v>
      </c>
      <c r="G973" s="23" t="s">
        <v>41</v>
      </c>
      <c r="H973" s="23" t="s">
        <v>82</v>
      </c>
      <c r="I973" t="s">
        <v>5723</v>
      </c>
      <c r="J973" s="23" t="s">
        <v>22</v>
      </c>
      <c r="K973" s="22">
        <v>6</v>
      </c>
      <c r="L973" s="1">
        <v>41886</v>
      </c>
      <c r="M973" s="22">
        <f>Table12[[#This Row],[Ship Date]]-Table12[[#This Row],[Order Date]]</f>
        <v>3</v>
      </c>
      <c r="N973" s="23" t="s">
        <v>169</v>
      </c>
      <c r="O973" s="23" t="s">
        <v>23</v>
      </c>
      <c r="P973" s="23" t="s">
        <v>94</v>
      </c>
      <c r="Q973" s="23" t="s">
        <v>95</v>
      </c>
      <c r="R973" s="23" t="s">
        <v>165</v>
      </c>
      <c r="S973" s="33">
        <v>0.2</v>
      </c>
      <c r="T973" s="13">
        <v>31.103999999999999</v>
      </c>
      <c r="U973" s="13">
        <v>10.8864</v>
      </c>
      <c r="V973" s="55">
        <f>IFERROR(Table12[[#This Row],[Profit]]/Table12[[#This Row],[Sales]],0)</f>
        <v>0.35000000000000003</v>
      </c>
    </row>
    <row r="974" spans="1:22" x14ac:dyDescent="0.2">
      <c r="A974">
        <v>973</v>
      </c>
      <c r="B974" t="s">
        <v>9129</v>
      </c>
      <c r="C974" s="1">
        <v>41883</v>
      </c>
      <c r="D974" s="22">
        <f>MONTH(Table12[[#This Row],[Order Date]])</f>
        <v>9</v>
      </c>
      <c r="E974" t="s">
        <v>2435</v>
      </c>
      <c r="F974" t="s">
        <v>2436</v>
      </c>
      <c r="G974" s="23" t="s">
        <v>41</v>
      </c>
      <c r="H974" s="23" t="s">
        <v>68</v>
      </c>
      <c r="I974" t="s">
        <v>216</v>
      </c>
      <c r="J974" s="23" t="s">
        <v>22</v>
      </c>
      <c r="K974" s="22">
        <v>2</v>
      </c>
      <c r="L974" s="1">
        <v>41887</v>
      </c>
      <c r="M974" s="22">
        <f>Table12[[#This Row],[Ship Date]]-Table12[[#This Row],[Order Date]]</f>
        <v>4</v>
      </c>
      <c r="N974" s="23" t="s">
        <v>45</v>
      </c>
      <c r="O974" s="23" t="s">
        <v>23</v>
      </c>
      <c r="P974" s="23" t="s">
        <v>238</v>
      </c>
      <c r="Q974" s="23" t="s">
        <v>133</v>
      </c>
      <c r="R974" s="23" t="s">
        <v>237</v>
      </c>
      <c r="S974" s="33">
        <v>0.2</v>
      </c>
      <c r="T974" s="13">
        <v>23.744</v>
      </c>
      <c r="U974" s="13">
        <v>8.3103999999999996</v>
      </c>
      <c r="V974" s="55">
        <f>IFERROR(Table12[[#This Row],[Profit]]/Table12[[#This Row],[Sales]],0)</f>
        <v>0.35</v>
      </c>
    </row>
    <row r="975" spans="1:22" x14ac:dyDescent="0.2">
      <c r="A975">
        <v>974</v>
      </c>
      <c r="B975" t="s">
        <v>9129</v>
      </c>
      <c r="C975" s="1">
        <v>41883</v>
      </c>
      <c r="D975" s="22">
        <f>MONTH(Table12[[#This Row],[Order Date]])</f>
        <v>9</v>
      </c>
      <c r="E975" t="s">
        <v>4261</v>
      </c>
      <c r="F975" t="s">
        <v>4262</v>
      </c>
      <c r="G975" s="23" t="s">
        <v>64</v>
      </c>
      <c r="H975" s="23" t="s">
        <v>144</v>
      </c>
      <c r="I975" t="s">
        <v>216</v>
      </c>
      <c r="J975" s="23" t="s">
        <v>22</v>
      </c>
      <c r="K975" s="22">
        <v>3</v>
      </c>
      <c r="L975" s="1">
        <v>41887</v>
      </c>
      <c r="M975" s="22">
        <f>Table12[[#This Row],[Ship Date]]-Table12[[#This Row],[Order Date]]</f>
        <v>4</v>
      </c>
      <c r="N975" s="23" t="s">
        <v>45</v>
      </c>
      <c r="O975" s="23" t="s">
        <v>23</v>
      </c>
      <c r="P975" s="23" t="s">
        <v>238</v>
      </c>
      <c r="Q975" s="23" t="s">
        <v>133</v>
      </c>
      <c r="R975" s="23" t="s">
        <v>237</v>
      </c>
      <c r="S975" s="33">
        <v>0</v>
      </c>
      <c r="T975" s="13">
        <v>357</v>
      </c>
      <c r="U975" s="13">
        <v>57.12</v>
      </c>
      <c r="V975" s="55">
        <f>IFERROR(Table12[[#This Row],[Profit]]/Table12[[#This Row],[Sales]],0)</f>
        <v>0.16</v>
      </c>
    </row>
    <row r="976" spans="1:22" x14ac:dyDescent="0.2">
      <c r="A976">
        <v>975</v>
      </c>
      <c r="B976" t="s">
        <v>5451</v>
      </c>
      <c r="C976" s="1">
        <v>41884</v>
      </c>
      <c r="D976" s="22">
        <f>MONTH(Table12[[#This Row],[Order Date]])</f>
        <v>9</v>
      </c>
      <c r="E976" t="s">
        <v>3248</v>
      </c>
      <c r="F976" t="s">
        <v>3249</v>
      </c>
      <c r="G976" s="23" t="s">
        <v>41</v>
      </c>
      <c r="H976" s="23" t="s">
        <v>71</v>
      </c>
      <c r="I976" t="s">
        <v>4635</v>
      </c>
      <c r="J976" s="23" t="s">
        <v>22</v>
      </c>
      <c r="K976" s="22">
        <v>1</v>
      </c>
      <c r="L976" s="1">
        <v>41887</v>
      </c>
      <c r="M976" s="22">
        <f>Table12[[#This Row],[Ship Date]]-Table12[[#This Row],[Order Date]]</f>
        <v>3</v>
      </c>
      <c r="N976" s="23" t="s">
        <v>169</v>
      </c>
      <c r="O976" s="23" t="s">
        <v>23</v>
      </c>
      <c r="P976" s="23" t="s">
        <v>238</v>
      </c>
      <c r="Q976" s="23" t="s">
        <v>133</v>
      </c>
      <c r="R976" s="23" t="s">
        <v>3619</v>
      </c>
      <c r="S976" s="33">
        <v>0</v>
      </c>
      <c r="T976" s="13">
        <v>19.899999999999999</v>
      </c>
      <c r="U976" s="13">
        <v>8.9550000000000001</v>
      </c>
      <c r="V976" s="55">
        <f>IFERROR(Table12[[#This Row],[Profit]]/Table12[[#This Row],[Sales]],0)</f>
        <v>0.45</v>
      </c>
    </row>
    <row r="977" spans="1:22" x14ac:dyDescent="0.2">
      <c r="A977">
        <v>976</v>
      </c>
      <c r="B977" t="s">
        <v>5451</v>
      </c>
      <c r="C977" s="1">
        <v>41884</v>
      </c>
      <c r="D977" s="22">
        <f>MONTH(Table12[[#This Row],[Order Date]])</f>
        <v>9</v>
      </c>
      <c r="E977" t="s">
        <v>5452</v>
      </c>
      <c r="F977" t="s">
        <v>5453</v>
      </c>
      <c r="G977" s="23" t="s">
        <v>28</v>
      </c>
      <c r="H977" s="23" t="s">
        <v>58</v>
      </c>
      <c r="I977" t="s">
        <v>4635</v>
      </c>
      <c r="J977" s="23" t="s">
        <v>22</v>
      </c>
      <c r="K977" s="22">
        <v>1</v>
      </c>
      <c r="L977" s="1">
        <v>41887</v>
      </c>
      <c r="M977" s="22">
        <f>Table12[[#This Row],[Ship Date]]-Table12[[#This Row],[Order Date]]</f>
        <v>3</v>
      </c>
      <c r="N977" s="23" t="s">
        <v>169</v>
      </c>
      <c r="O977" s="23" t="s">
        <v>23</v>
      </c>
      <c r="P977" s="23" t="s">
        <v>238</v>
      </c>
      <c r="Q977" s="23" t="s">
        <v>133</v>
      </c>
      <c r="R977" s="23" t="s">
        <v>3619</v>
      </c>
      <c r="S977" s="33">
        <v>0</v>
      </c>
      <c r="T977" s="13">
        <v>70.709999999999994</v>
      </c>
      <c r="U977" s="13">
        <v>4.9497</v>
      </c>
      <c r="V977" s="55">
        <f>IFERROR(Table12[[#This Row],[Profit]]/Table12[[#This Row],[Sales]],0)</f>
        <v>7.0000000000000007E-2</v>
      </c>
    </row>
    <row r="978" spans="1:22" x14ac:dyDescent="0.2">
      <c r="A978">
        <v>977</v>
      </c>
      <c r="B978" t="s">
        <v>6737</v>
      </c>
      <c r="C978" s="1">
        <v>41884</v>
      </c>
      <c r="D978" s="22">
        <f>MONTH(Table12[[#This Row],[Order Date]])</f>
        <v>9</v>
      </c>
      <c r="E978" t="s">
        <v>6735</v>
      </c>
      <c r="F978" t="s">
        <v>6736</v>
      </c>
      <c r="G978" s="23" t="s">
        <v>41</v>
      </c>
      <c r="H978" s="23" t="s">
        <v>61</v>
      </c>
      <c r="I978" t="s">
        <v>431</v>
      </c>
      <c r="J978" s="23" t="s">
        <v>22</v>
      </c>
      <c r="K978" s="22">
        <v>3</v>
      </c>
      <c r="L978" s="1">
        <v>41886</v>
      </c>
      <c r="M978" s="22">
        <f>Table12[[#This Row],[Ship Date]]-Table12[[#This Row],[Order Date]]</f>
        <v>2</v>
      </c>
      <c r="N978" s="23" t="s">
        <v>169</v>
      </c>
      <c r="O978" s="23" t="s">
        <v>23</v>
      </c>
      <c r="P978" s="23" t="s">
        <v>238</v>
      </c>
      <c r="Q978" s="23" t="s">
        <v>133</v>
      </c>
      <c r="R978" s="23" t="s">
        <v>237</v>
      </c>
      <c r="S978" s="33">
        <v>0</v>
      </c>
      <c r="T978" s="13">
        <v>21.24</v>
      </c>
      <c r="U978" s="13">
        <v>8.0711999999999993</v>
      </c>
      <c r="V978" s="55">
        <f>IFERROR(Table12[[#This Row],[Profit]]/Table12[[#This Row],[Sales]],0)</f>
        <v>0.38</v>
      </c>
    </row>
    <row r="979" spans="1:22" x14ac:dyDescent="0.2">
      <c r="A979">
        <v>978</v>
      </c>
      <c r="B979" t="s">
        <v>7122</v>
      </c>
      <c r="C979" s="1">
        <v>41884</v>
      </c>
      <c r="D979" s="22">
        <f>MONTH(Table12[[#This Row],[Order Date]])</f>
        <v>9</v>
      </c>
      <c r="E979" t="s">
        <v>1162</v>
      </c>
      <c r="F979" t="s">
        <v>1163</v>
      </c>
      <c r="G979" s="23" t="s">
        <v>41</v>
      </c>
      <c r="H979" s="23" t="s">
        <v>61</v>
      </c>
      <c r="I979" t="s">
        <v>382</v>
      </c>
      <c r="J979" s="23" t="s">
        <v>22</v>
      </c>
      <c r="K979" s="22">
        <v>5</v>
      </c>
      <c r="L979" s="1">
        <v>41885</v>
      </c>
      <c r="M979" s="22">
        <f>Table12[[#This Row],[Ship Date]]-Table12[[#This Row],[Order Date]]</f>
        <v>1</v>
      </c>
      <c r="N979" s="23" t="s">
        <v>169</v>
      </c>
      <c r="O979" s="23" t="s">
        <v>23</v>
      </c>
      <c r="P979" s="23" t="s">
        <v>238</v>
      </c>
      <c r="Q979" s="23" t="s">
        <v>133</v>
      </c>
      <c r="R979" s="23" t="s">
        <v>237</v>
      </c>
      <c r="S979" s="33">
        <v>0</v>
      </c>
      <c r="T979" s="13">
        <v>57.75</v>
      </c>
      <c r="U979" s="13">
        <v>16.170000000000002</v>
      </c>
      <c r="V979" s="55">
        <f>IFERROR(Table12[[#This Row],[Profit]]/Table12[[#This Row],[Sales]],0)</f>
        <v>0.28000000000000003</v>
      </c>
    </row>
    <row r="980" spans="1:22" x14ac:dyDescent="0.2">
      <c r="A980">
        <v>979</v>
      </c>
      <c r="B980" t="s">
        <v>7122</v>
      </c>
      <c r="C980" s="1">
        <v>41884</v>
      </c>
      <c r="D980" s="22">
        <f>MONTH(Table12[[#This Row],[Order Date]])</f>
        <v>9</v>
      </c>
      <c r="E980" t="s">
        <v>2802</v>
      </c>
      <c r="F980" t="s">
        <v>167</v>
      </c>
      <c r="G980" s="23" t="s">
        <v>41</v>
      </c>
      <c r="H980" s="23" t="s">
        <v>82</v>
      </c>
      <c r="I980" t="s">
        <v>382</v>
      </c>
      <c r="J980" s="23" t="s">
        <v>22</v>
      </c>
      <c r="K980" s="22">
        <v>3</v>
      </c>
      <c r="L980" s="1">
        <v>41885</v>
      </c>
      <c r="M980" s="22">
        <f>Table12[[#This Row],[Ship Date]]-Table12[[#This Row],[Order Date]]</f>
        <v>1</v>
      </c>
      <c r="N980" s="23" t="s">
        <v>169</v>
      </c>
      <c r="O980" s="23" t="s">
        <v>23</v>
      </c>
      <c r="P980" s="23" t="s">
        <v>238</v>
      </c>
      <c r="Q980" s="23" t="s">
        <v>133</v>
      </c>
      <c r="R980" s="23" t="s">
        <v>237</v>
      </c>
      <c r="S980" s="33">
        <v>0</v>
      </c>
      <c r="T980" s="13">
        <v>14.94</v>
      </c>
      <c r="U980" s="13">
        <v>7.0217999999999998</v>
      </c>
      <c r="V980" s="55">
        <f>IFERROR(Table12[[#This Row],[Profit]]/Table12[[#This Row],[Sales]],0)</f>
        <v>0.47000000000000003</v>
      </c>
    </row>
    <row r="981" spans="1:22" x14ac:dyDescent="0.2">
      <c r="A981">
        <v>980</v>
      </c>
      <c r="B981" t="s">
        <v>7200</v>
      </c>
      <c r="C981" s="1">
        <v>41884</v>
      </c>
      <c r="D981" s="22">
        <f>MONTH(Table12[[#This Row],[Order Date]])</f>
        <v>9</v>
      </c>
      <c r="E981" t="s">
        <v>2023</v>
      </c>
      <c r="F981" t="s">
        <v>2024</v>
      </c>
      <c r="G981" s="23" t="s">
        <v>64</v>
      </c>
      <c r="H981" s="23" t="s">
        <v>144</v>
      </c>
      <c r="I981" t="s">
        <v>4814</v>
      </c>
      <c r="J981" s="23" t="s">
        <v>22</v>
      </c>
      <c r="K981" s="22">
        <v>3</v>
      </c>
      <c r="L981" s="1">
        <v>41889</v>
      </c>
      <c r="M981" s="22">
        <f>Table12[[#This Row],[Ship Date]]-Table12[[#This Row],[Order Date]]</f>
        <v>5</v>
      </c>
      <c r="N981" s="23" t="s">
        <v>20</v>
      </c>
      <c r="O981" s="23" t="s">
        <v>23</v>
      </c>
      <c r="P981" s="23" t="s">
        <v>189</v>
      </c>
      <c r="Q981" s="23" t="s">
        <v>95</v>
      </c>
      <c r="R981" s="23" t="s">
        <v>271</v>
      </c>
      <c r="S981" s="33">
        <v>0.2</v>
      </c>
      <c r="T981" s="13">
        <v>239.976</v>
      </c>
      <c r="U981" s="13">
        <v>53.994599999999998</v>
      </c>
      <c r="V981" s="55">
        <f>IFERROR(Table12[[#This Row],[Profit]]/Table12[[#This Row],[Sales]],0)</f>
        <v>0.22500000000000001</v>
      </c>
    </row>
    <row r="982" spans="1:22" x14ac:dyDescent="0.2">
      <c r="A982">
        <v>981</v>
      </c>
      <c r="B982" t="s">
        <v>8621</v>
      </c>
      <c r="C982" s="1">
        <v>41884</v>
      </c>
      <c r="D982" s="22">
        <f>MONTH(Table12[[#This Row],[Order Date]])</f>
        <v>9</v>
      </c>
      <c r="E982" t="s">
        <v>5108</v>
      </c>
      <c r="F982" t="s">
        <v>5109</v>
      </c>
      <c r="G982" s="23" t="s">
        <v>64</v>
      </c>
      <c r="H982" s="23" t="s">
        <v>602</v>
      </c>
      <c r="I982" t="s">
        <v>1017</v>
      </c>
      <c r="J982" s="23" t="s">
        <v>36</v>
      </c>
      <c r="K982" s="22">
        <v>3</v>
      </c>
      <c r="L982" s="1">
        <v>41889</v>
      </c>
      <c r="M982" s="22">
        <f>Table12[[#This Row],[Ship Date]]-Table12[[#This Row],[Order Date]]</f>
        <v>5</v>
      </c>
      <c r="N982" s="23" t="s">
        <v>45</v>
      </c>
      <c r="O982" s="23" t="s">
        <v>23</v>
      </c>
      <c r="P982" s="23" t="s">
        <v>94</v>
      </c>
      <c r="Q982" s="23" t="s">
        <v>95</v>
      </c>
      <c r="R982" s="23" t="s">
        <v>165</v>
      </c>
      <c r="S982" s="33">
        <v>0.4</v>
      </c>
      <c r="T982" s="13">
        <v>559.71</v>
      </c>
      <c r="U982" s="13">
        <v>-121.2705</v>
      </c>
      <c r="V982" s="55">
        <f>IFERROR(Table12[[#This Row],[Profit]]/Table12[[#This Row],[Sales]],0)</f>
        <v>-0.21666666666666665</v>
      </c>
    </row>
    <row r="983" spans="1:22" x14ac:dyDescent="0.2">
      <c r="A983">
        <v>982</v>
      </c>
      <c r="B983" t="s">
        <v>9601</v>
      </c>
      <c r="C983" s="1">
        <v>41884</v>
      </c>
      <c r="D983" s="22">
        <f>MONTH(Table12[[#This Row],[Order Date]])</f>
        <v>9</v>
      </c>
      <c r="E983" t="s">
        <v>4174</v>
      </c>
      <c r="F983" t="s">
        <v>4175</v>
      </c>
      <c r="G983" s="23" t="s">
        <v>41</v>
      </c>
      <c r="H983" s="23" t="s">
        <v>68</v>
      </c>
      <c r="I983" t="s">
        <v>1402</v>
      </c>
      <c r="J983" s="23" t="s">
        <v>22</v>
      </c>
      <c r="K983" s="22">
        <v>2</v>
      </c>
      <c r="L983" s="1">
        <v>41889</v>
      </c>
      <c r="M983" s="22">
        <f>Table12[[#This Row],[Ship Date]]-Table12[[#This Row],[Order Date]]</f>
        <v>5</v>
      </c>
      <c r="N983" s="23" t="s">
        <v>45</v>
      </c>
      <c r="O983" s="23" t="s">
        <v>23</v>
      </c>
      <c r="P983" s="23" t="s">
        <v>1510</v>
      </c>
      <c r="Q983" s="23" t="s">
        <v>26</v>
      </c>
      <c r="R983" s="23" t="s">
        <v>1509</v>
      </c>
      <c r="S983" s="33">
        <v>0</v>
      </c>
      <c r="T983" s="13">
        <v>1793.98</v>
      </c>
      <c r="U983" s="13">
        <v>843.17060000000004</v>
      </c>
      <c r="V983" s="55">
        <f>IFERROR(Table12[[#This Row],[Profit]]/Table12[[#This Row],[Sales]],0)</f>
        <v>0.47000000000000003</v>
      </c>
    </row>
    <row r="984" spans="1:22" x14ac:dyDescent="0.2">
      <c r="A984">
        <v>983</v>
      </c>
      <c r="B984" t="s">
        <v>9665</v>
      </c>
      <c r="C984" s="1">
        <v>41884</v>
      </c>
      <c r="D984" s="22">
        <f>MONTH(Table12[[#This Row],[Order Date]])</f>
        <v>9</v>
      </c>
      <c r="E984" t="s">
        <v>424</v>
      </c>
      <c r="F984" t="s">
        <v>425</v>
      </c>
      <c r="G984" s="23" t="s">
        <v>64</v>
      </c>
      <c r="H984" s="23" t="s">
        <v>144</v>
      </c>
      <c r="I984" t="s">
        <v>2165</v>
      </c>
      <c r="J984" s="23" t="s">
        <v>22</v>
      </c>
      <c r="K984" s="22">
        <v>7</v>
      </c>
      <c r="L984" s="1">
        <v>41890</v>
      </c>
      <c r="M984" s="22">
        <f>Table12[[#This Row],[Ship Date]]-Table12[[#This Row],[Order Date]]</f>
        <v>6</v>
      </c>
      <c r="N984" s="23" t="s">
        <v>45</v>
      </c>
      <c r="O984" s="23" t="s">
        <v>23</v>
      </c>
      <c r="P984" s="23" t="s">
        <v>189</v>
      </c>
      <c r="Q984" s="23" t="s">
        <v>95</v>
      </c>
      <c r="R984" s="23" t="s">
        <v>7693</v>
      </c>
      <c r="S984" s="33">
        <v>0.2</v>
      </c>
      <c r="T984" s="13">
        <v>475.94400000000002</v>
      </c>
      <c r="U984" s="13">
        <v>95.188800000000001</v>
      </c>
      <c r="V984" s="55">
        <f>IFERROR(Table12[[#This Row],[Profit]]/Table12[[#This Row],[Sales]],0)</f>
        <v>0.19999999999999998</v>
      </c>
    </row>
    <row r="985" spans="1:22" x14ac:dyDescent="0.2">
      <c r="A985">
        <v>984</v>
      </c>
      <c r="B985" t="s">
        <v>7161</v>
      </c>
      <c r="C985" s="1">
        <v>41885</v>
      </c>
      <c r="D985" s="22">
        <f>MONTH(Table12[[#This Row],[Order Date]])</f>
        <v>9</v>
      </c>
      <c r="E985" t="s">
        <v>2696</v>
      </c>
      <c r="F985" t="s">
        <v>2697</v>
      </c>
      <c r="G985" s="23" t="s">
        <v>41</v>
      </c>
      <c r="H985" s="23" t="s">
        <v>42</v>
      </c>
      <c r="I985" t="s">
        <v>2699</v>
      </c>
      <c r="J985" s="23" t="s">
        <v>22</v>
      </c>
      <c r="K985" s="22">
        <v>5</v>
      </c>
      <c r="L985" s="1">
        <v>41885</v>
      </c>
      <c r="M985" s="22">
        <f>Table12[[#This Row],[Ship Date]]-Table12[[#This Row],[Order Date]]</f>
        <v>0</v>
      </c>
      <c r="N985" s="23" t="s">
        <v>1141</v>
      </c>
      <c r="O985" s="23" t="s">
        <v>23</v>
      </c>
      <c r="P985" s="23" t="s">
        <v>238</v>
      </c>
      <c r="Q985" s="23" t="s">
        <v>133</v>
      </c>
      <c r="R985" s="23" t="s">
        <v>237</v>
      </c>
      <c r="S985" s="33">
        <v>0</v>
      </c>
      <c r="T985" s="13">
        <v>14.4</v>
      </c>
      <c r="U985" s="13">
        <v>7.056</v>
      </c>
      <c r="V985" s="55">
        <f>IFERROR(Table12[[#This Row],[Profit]]/Table12[[#This Row],[Sales]],0)</f>
        <v>0.49</v>
      </c>
    </row>
    <row r="986" spans="1:22" x14ac:dyDescent="0.2">
      <c r="A986">
        <v>985</v>
      </c>
      <c r="B986" t="s">
        <v>9225</v>
      </c>
      <c r="C986" s="1">
        <v>41885</v>
      </c>
      <c r="D986" s="22">
        <f>MONTH(Table12[[#This Row],[Order Date]])</f>
        <v>9</v>
      </c>
      <c r="E986" t="s">
        <v>7458</v>
      </c>
      <c r="F986" t="s">
        <v>7459</v>
      </c>
      <c r="G986" s="23" t="s">
        <v>41</v>
      </c>
      <c r="H986" s="23" t="s">
        <v>68</v>
      </c>
      <c r="I986" t="s">
        <v>2045</v>
      </c>
      <c r="J986" s="23" t="s">
        <v>92</v>
      </c>
      <c r="K986" s="22">
        <v>5</v>
      </c>
      <c r="L986" s="1">
        <v>41886</v>
      </c>
      <c r="M986" s="22">
        <f>Table12[[#This Row],[Ship Date]]-Table12[[#This Row],[Order Date]]</f>
        <v>1</v>
      </c>
      <c r="N986" s="23" t="s">
        <v>169</v>
      </c>
      <c r="O986" s="23" t="s">
        <v>23</v>
      </c>
      <c r="P986" s="23" t="s">
        <v>94</v>
      </c>
      <c r="Q986" s="23" t="s">
        <v>95</v>
      </c>
      <c r="R986" s="23" t="s">
        <v>165</v>
      </c>
      <c r="S986" s="33">
        <v>0.8</v>
      </c>
      <c r="T986" s="13">
        <v>7.68</v>
      </c>
      <c r="U986" s="13">
        <v>-11.52</v>
      </c>
      <c r="V986" s="55">
        <f>IFERROR(Table12[[#This Row],[Profit]]/Table12[[#This Row],[Sales]],0)</f>
        <v>-1.5</v>
      </c>
    </row>
    <row r="987" spans="1:22" x14ac:dyDescent="0.2">
      <c r="A987">
        <v>986</v>
      </c>
      <c r="B987" t="s">
        <v>4984</v>
      </c>
      <c r="C987" s="1">
        <v>41887</v>
      </c>
      <c r="D987" s="22">
        <f>MONTH(Table12[[#This Row],[Order Date]])</f>
        <v>9</v>
      </c>
      <c r="E987" t="s">
        <v>1866</v>
      </c>
      <c r="F987" t="s">
        <v>1867</v>
      </c>
      <c r="G987" s="23" t="s">
        <v>41</v>
      </c>
      <c r="H987" s="23" t="s">
        <v>53</v>
      </c>
      <c r="I987" t="s">
        <v>3079</v>
      </c>
      <c r="J987" s="23" t="s">
        <v>22</v>
      </c>
      <c r="K987" s="22">
        <v>2</v>
      </c>
      <c r="L987" s="1">
        <v>41892</v>
      </c>
      <c r="M987" s="22">
        <f>Table12[[#This Row],[Ship Date]]-Table12[[#This Row],[Order Date]]</f>
        <v>5</v>
      </c>
      <c r="N987" s="23" t="s">
        <v>45</v>
      </c>
      <c r="O987" s="23" t="s">
        <v>23</v>
      </c>
      <c r="P987" s="23" t="s">
        <v>441</v>
      </c>
      <c r="Q987" s="23" t="s">
        <v>133</v>
      </c>
      <c r="R987" s="23" t="s">
        <v>4081</v>
      </c>
      <c r="S987" s="33">
        <v>0.2</v>
      </c>
      <c r="T987" s="13">
        <v>264.32</v>
      </c>
      <c r="U987" s="13">
        <v>19.824000000000002</v>
      </c>
      <c r="V987" s="55">
        <f>IFERROR(Table12[[#This Row],[Profit]]/Table12[[#This Row],[Sales]],0)</f>
        <v>7.5000000000000011E-2</v>
      </c>
    </row>
    <row r="988" spans="1:22" x14ac:dyDescent="0.2">
      <c r="A988">
        <v>987</v>
      </c>
      <c r="B988" t="s">
        <v>7473</v>
      </c>
      <c r="C988" s="1">
        <v>41887</v>
      </c>
      <c r="D988" s="22">
        <f>MONTH(Table12[[#This Row],[Order Date]])</f>
        <v>9</v>
      </c>
      <c r="E988" t="s">
        <v>1048</v>
      </c>
      <c r="F988" t="s">
        <v>1049</v>
      </c>
      <c r="G988" s="23" t="s">
        <v>28</v>
      </c>
      <c r="H988" s="23" t="s">
        <v>58</v>
      </c>
      <c r="I988" t="s">
        <v>5848</v>
      </c>
      <c r="J988" s="23" t="s">
        <v>22</v>
      </c>
      <c r="K988" s="22">
        <v>2</v>
      </c>
      <c r="L988" s="1">
        <v>41889</v>
      </c>
      <c r="M988" s="22">
        <f>Table12[[#This Row],[Ship Date]]-Table12[[#This Row],[Order Date]]</f>
        <v>2</v>
      </c>
      <c r="N988" s="23" t="s">
        <v>169</v>
      </c>
      <c r="O988" s="23" t="s">
        <v>23</v>
      </c>
      <c r="P988" s="23" t="s">
        <v>48</v>
      </c>
      <c r="Q988" s="23" t="s">
        <v>26</v>
      </c>
      <c r="R988" s="23" t="s">
        <v>1018</v>
      </c>
      <c r="S988" s="33">
        <v>0.2</v>
      </c>
      <c r="T988" s="13">
        <v>31.984000000000002</v>
      </c>
      <c r="U988" s="13">
        <v>1.9990000000000001</v>
      </c>
      <c r="V988" s="55">
        <f>IFERROR(Table12[[#This Row],[Profit]]/Table12[[#This Row],[Sales]],0)</f>
        <v>6.25E-2</v>
      </c>
    </row>
    <row r="989" spans="1:22" x14ac:dyDescent="0.2">
      <c r="A989">
        <v>988</v>
      </c>
      <c r="B989" t="s">
        <v>8220</v>
      </c>
      <c r="C989" s="1">
        <v>41888</v>
      </c>
      <c r="D989" s="22">
        <f>MONTH(Table12[[#This Row],[Order Date]])</f>
        <v>9</v>
      </c>
      <c r="E989" t="s">
        <v>57</v>
      </c>
      <c r="F989" t="s">
        <v>59</v>
      </c>
      <c r="G989" s="23" t="s">
        <v>28</v>
      </c>
      <c r="H989" s="23" t="s">
        <v>58</v>
      </c>
      <c r="I989" t="s">
        <v>8221</v>
      </c>
      <c r="J989" s="23" t="s">
        <v>36</v>
      </c>
      <c r="K989" s="22">
        <v>6</v>
      </c>
      <c r="L989" s="1">
        <v>41891</v>
      </c>
      <c r="M989" s="22">
        <f>Table12[[#This Row],[Ship Date]]-Table12[[#This Row],[Order Date]]</f>
        <v>3</v>
      </c>
      <c r="N989" s="23" t="s">
        <v>169</v>
      </c>
      <c r="O989" s="23" t="s">
        <v>23</v>
      </c>
      <c r="P989" s="23" t="s">
        <v>38</v>
      </c>
      <c r="Q989" s="23" t="s">
        <v>39</v>
      </c>
      <c r="R989" s="23" t="s">
        <v>114</v>
      </c>
      <c r="S989" s="33">
        <v>0</v>
      </c>
      <c r="T989" s="13">
        <v>41.88</v>
      </c>
      <c r="U989" s="13">
        <v>12.145200000000001</v>
      </c>
      <c r="V989" s="55">
        <f>IFERROR(Table12[[#This Row],[Profit]]/Table12[[#This Row],[Sales]],0)</f>
        <v>0.28999999999999998</v>
      </c>
    </row>
    <row r="990" spans="1:22" x14ac:dyDescent="0.2">
      <c r="A990">
        <v>989</v>
      </c>
      <c r="B990" t="s">
        <v>8220</v>
      </c>
      <c r="C990" s="1">
        <v>41888</v>
      </c>
      <c r="D990" s="22">
        <f>MONTH(Table12[[#This Row],[Order Date]])</f>
        <v>9</v>
      </c>
      <c r="E990" t="s">
        <v>1962</v>
      </c>
      <c r="F990" t="s">
        <v>1963</v>
      </c>
      <c r="G990" s="23" t="s">
        <v>41</v>
      </c>
      <c r="H990" s="23" t="s">
        <v>42</v>
      </c>
      <c r="I990" t="s">
        <v>8221</v>
      </c>
      <c r="J990" s="23" t="s">
        <v>36</v>
      </c>
      <c r="K990" s="22">
        <v>8</v>
      </c>
      <c r="L990" s="1">
        <v>41891</v>
      </c>
      <c r="M990" s="22">
        <f>Table12[[#This Row],[Ship Date]]-Table12[[#This Row],[Order Date]]</f>
        <v>3</v>
      </c>
      <c r="N990" s="23" t="s">
        <v>169</v>
      </c>
      <c r="O990" s="23" t="s">
        <v>23</v>
      </c>
      <c r="P990" s="23" t="s">
        <v>38</v>
      </c>
      <c r="Q990" s="23" t="s">
        <v>39</v>
      </c>
      <c r="R990" s="23" t="s">
        <v>114</v>
      </c>
      <c r="S990" s="33">
        <v>0</v>
      </c>
      <c r="T990" s="13">
        <v>58.48</v>
      </c>
      <c r="U990" s="13">
        <v>27.485600000000002</v>
      </c>
      <c r="V990" s="55">
        <f>IFERROR(Table12[[#This Row],[Profit]]/Table12[[#This Row],[Sales]],0)</f>
        <v>0.47000000000000003</v>
      </c>
    </row>
    <row r="991" spans="1:22" x14ac:dyDescent="0.2">
      <c r="A991">
        <v>990</v>
      </c>
      <c r="B991" t="s">
        <v>3842</v>
      </c>
      <c r="C991" s="1">
        <v>41889</v>
      </c>
      <c r="D991" s="22">
        <f>MONTH(Table12[[#This Row],[Order Date]])</f>
        <v>9</v>
      </c>
      <c r="E991" t="s">
        <v>2995</v>
      </c>
      <c r="F991" t="s">
        <v>2996</v>
      </c>
      <c r="G991" s="23" t="s">
        <v>41</v>
      </c>
      <c r="H991" s="23" t="s">
        <v>53</v>
      </c>
      <c r="I991" t="s">
        <v>864</v>
      </c>
      <c r="J991" s="23" t="s">
        <v>36</v>
      </c>
      <c r="K991" s="22">
        <v>1</v>
      </c>
      <c r="L991" s="1">
        <v>41895</v>
      </c>
      <c r="M991" s="22">
        <f>Table12[[#This Row],[Ship Date]]-Table12[[#This Row],[Order Date]]</f>
        <v>6</v>
      </c>
      <c r="N991" s="23" t="s">
        <v>45</v>
      </c>
      <c r="O991" s="23" t="s">
        <v>23</v>
      </c>
      <c r="P991" s="23" t="s">
        <v>132</v>
      </c>
      <c r="Q991" s="23" t="s">
        <v>133</v>
      </c>
      <c r="R991" s="23" t="s">
        <v>131</v>
      </c>
      <c r="S991" s="33">
        <v>0.2</v>
      </c>
      <c r="T991" s="13">
        <v>64.784000000000006</v>
      </c>
      <c r="U991" s="13">
        <v>-14.5764</v>
      </c>
      <c r="V991" s="55">
        <f>IFERROR(Table12[[#This Row],[Profit]]/Table12[[#This Row],[Sales]],0)</f>
        <v>-0.22499999999999998</v>
      </c>
    </row>
    <row r="992" spans="1:22" x14ac:dyDescent="0.2">
      <c r="A992">
        <v>991</v>
      </c>
      <c r="B992" t="s">
        <v>3842</v>
      </c>
      <c r="C992" s="1">
        <v>41889</v>
      </c>
      <c r="D992" s="22">
        <f>MONTH(Table12[[#This Row],[Order Date]])</f>
        <v>9</v>
      </c>
      <c r="E992" t="s">
        <v>2859</v>
      </c>
      <c r="F992" t="s">
        <v>2860</v>
      </c>
      <c r="G992" s="23" t="s">
        <v>64</v>
      </c>
      <c r="H992" s="23" t="s">
        <v>65</v>
      </c>
      <c r="I992" t="s">
        <v>864</v>
      </c>
      <c r="J992" s="23" t="s">
        <v>36</v>
      </c>
      <c r="K992" s="22">
        <v>3</v>
      </c>
      <c r="L992" s="1">
        <v>41895</v>
      </c>
      <c r="M992" s="22">
        <f>Table12[[#This Row],[Ship Date]]-Table12[[#This Row],[Order Date]]</f>
        <v>6</v>
      </c>
      <c r="N992" s="23" t="s">
        <v>45</v>
      </c>
      <c r="O992" s="23" t="s">
        <v>23</v>
      </c>
      <c r="P992" s="23" t="s">
        <v>132</v>
      </c>
      <c r="Q992" s="23" t="s">
        <v>133</v>
      </c>
      <c r="R992" s="23" t="s">
        <v>131</v>
      </c>
      <c r="S992" s="33">
        <v>0.4</v>
      </c>
      <c r="T992" s="13">
        <v>32.381999999999998</v>
      </c>
      <c r="U992" s="13">
        <v>4.3175999999999997</v>
      </c>
      <c r="V992" s="55">
        <f>IFERROR(Table12[[#This Row],[Profit]]/Table12[[#This Row],[Sales]],0)</f>
        <v>0.13333333333333333</v>
      </c>
    </row>
    <row r="993" spans="1:22" x14ac:dyDescent="0.2">
      <c r="A993">
        <v>992</v>
      </c>
      <c r="B993" t="s">
        <v>3842</v>
      </c>
      <c r="C993" s="1">
        <v>41889</v>
      </c>
      <c r="D993" s="22">
        <f>MONTH(Table12[[#This Row],[Order Date]])</f>
        <v>9</v>
      </c>
      <c r="E993" t="s">
        <v>3843</v>
      </c>
      <c r="F993" t="s">
        <v>3844</v>
      </c>
      <c r="G993" s="23" t="s">
        <v>28</v>
      </c>
      <c r="H993" s="23" t="s">
        <v>58</v>
      </c>
      <c r="I993" t="s">
        <v>864</v>
      </c>
      <c r="J993" s="23" t="s">
        <v>36</v>
      </c>
      <c r="K993" s="22">
        <v>2</v>
      </c>
      <c r="L993" s="1">
        <v>41895</v>
      </c>
      <c r="M993" s="22">
        <f>Table12[[#This Row],[Ship Date]]-Table12[[#This Row],[Order Date]]</f>
        <v>6</v>
      </c>
      <c r="N993" s="23" t="s">
        <v>45</v>
      </c>
      <c r="O993" s="23" t="s">
        <v>23</v>
      </c>
      <c r="P993" s="23" t="s">
        <v>132</v>
      </c>
      <c r="Q993" s="23" t="s">
        <v>133</v>
      </c>
      <c r="R993" s="23" t="s">
        <v>131</v>
      </c>
      <c r="S993" s="33">
        <v>0.2</v>
      </c>
      <c r="T993" s="13">
        <v>42.368000000000002</v>
      </c>
      <c r="U993" s="13">
        <v>8.4735999999999994</v>
      </c>
      <c r="V993" s="55">
        <f>IFERROR(Table12[[#This Row],[Profit]]/Table12[[#This Row],[Sales]],0)</f>
        <v>0.19999999999999998</v>
      </c>
    </row>
    <row r="994" spans="1:22" x14ac:dyDescent="0.2">
      <c r="A994">
        <v>993</v>
      </c>
      <c r="B994" t="s">
        <v>3842</v>
      </c>
      <c r="C994" s="1">
        <v>41889</v>
      </c>
      <c r="D994" s="22">
        <f>MONTH(Table12[[#This Row],[Order Date]])</f>
        <v>9</v>
      </c>
      <c r="E994" t="s">
        <v>3845</v>
      </c>
      <c r="F994" t="s">
        <v>3846</v>
      </c>
      <c r="G994" s="23" t="s">
        <v>64</v>
      </c>
      <c r="H994" s="23" t="s">
        <v>602</v>
      </c>
      <c r="I994" t="s">
        <v>864</v>
      </c>
      <c r="J994" s="23" t="s">
        <v>36</v>
      </c>
      <c r="K994" s="22">
        <v>4</v>
      </c>
      <c r="L994" s="1">
        <v>41895</v>
      </c>
      <c r="M994" s="22">
        <f>Table12[[#This Row],[Ship Date]]-Table12[[#This Row],[Order Date]]</f>
        <v>6</v>
      </c>
      <c r="N994" s="23" t="s">
        <v>45</v>
      </c>
      <c r="O994" s="23" t="s">
        <v>23</v>
      </c>
      <c r="P994" s="23" t="s">
        <v>132</v>
      </c>
      <c r="Q994" s="23" t="s">
        <v>133</v>
      </c>
      <c r="R994" s="23" t="s">
        <v>131</v>
      </c>
      <c r="S994" s="33">
        <v>0.7</v>
      </c>
      <c r="T994" s="13">
        <v>399.54</v>
      </c>
      <c r="U994" s="13">
        <v>-559.35599999999999</v>
      </c>
      <c r="V994" s="55">
        <f>IFERROR(Table12[[#This Row],[Profit]]/Table12[[#This Row],[Sales]],0)</f>
        <v>-1.4</v>
      </c>
    </row>
    <row r="995" spans="1:22" x14ac:dyDescent="0.2">
      <c r="A995">
        <v>994</v>
      </c>
      <c r="B995" t="s">
        <v>5132</v>
      </c>
      <c r="C995" s="1">
        <v>41889</v>
      </c>
      <c r="D995" s="22">
        <f>MONTH(Table12[[#This Row],[Order Date]])</f>
        <v>9</v>
      </c>
      <c r="E995" t="s">
        <v>3490</v>
      </c>
      <c r="F995" t="s">
        <v>5133</v>
      </c>
      <c r="G995" s="23" t="s">
        <v>28</v>
      </c>
      <c r="H995" s="23" t="s">
        <v>58</v>
      </c>
      <c r="I995" t="s">
        <v>3570</v>
      </c>
      <c r="J995" s="23" t="s">
        <v>22</v>
      </c>
      <c r="K995" s="22">
        <v>3</v>
      </c>
      <c r="L995" s="1">
        <v>41894</v>
      </c>
      <c r="M995" s="22">
        <f>Table12[[#This Row],[Ship Date]]-Table12[[#This Row],[Order Date]]</f>
        <v>5</v>
      </c>
      <c r="N995" s="23" t="s">
        <v>20</v>
      </c>
      <c r="O995" s="23" t="s">
        <v>23</v>
      </c>
      <c r="P995" s="23" t="s">
        <v>573</v>
      </c>
      <c r="Q995" s="23" t="s">
        <v>95</v>
      </c>
      <c r="R995" s="23" t="s">
        <v>4017</v>
      </c>
      <c r="S995" s="33">
        <v>0</v>
      </c>
      <c r="T995" s="13">
        <v>57.69</v>
      </c>
      <c r="U995" s="13">
        <v>23.652899999999999</v>
      </c>
      <c r="V995" s="55">
        <f>IFERROR(Table12[[#This Row],[Profit]]/Table12[[#This Row],[Sales]],0)</f>
        <v>0.41</v>
      </c>
    </row>
    <row r="996" spans="1:22" x14ac:dyDescent="0.2">
      <c r="A996">
        <v>995</v>
      </c>
      <c r="B996" t="s">
        <v>5132</v>
      </c>
      <c r="C996" s="1">
        <v>41889</v>
      </c>
      <c r="D996" s="22">
        <f>MONTH(Table12[[#This Row],[Order Date]])</f>
        <v>9</v>
      </c>
      <c r="E996" t="s">
        <v>5134</v>
      </c>
      <c r="F996" t="s">
        <v>5135</v>
      </c>
      <c r="G996" s="23" t="s">
        <v>41</v>
      </c>
      <c r="H996" s="23" t="s">
        <v>68</v>
      </c>
      <c r="I996" t="s">
        <v>3570</v>
      </c>
      <c r="J996" s="23" t="s">
        <v>22</v>
      </c>
      <c r="K996" s="22">
        <v>3</v>
      </c>
      <c r="L996" s="1">
        <v>41894</v>
      </c>
      <c r="M996" s="22">
        <f>Table12[[#This Row],[Ship Date]]-Table12[[#This Row],[Order Date]]</f>
        <v>5</v>
      </c>
      <c r="N996" s="23" t="s">
        <v>20</v>
      </c>
      <c r="O996" s="23" t="s">
        <v>23</v>
      </c>
      <c r="P996" s="23" t="s">
        <v>573</v>
      </c>
      <c r="Q996" s="23" t="s">
        <v>95</v>
      </c>
      <c r="R996" s="23" t="s">
        <v>4017</v>
      </c>
      <c r="S996" s="33">
        <v>0</v>
      </c>
      <c r="T996" s="13">
        <v>42.81</v>
      </c>
      <c r="U996" s="13">
        <v>20.120699999999999</v>
      </c>
      <c r="V996" s="55">
        <f>IFERROR(Table12[[#This Row],[Profit]]/Table12[[#This Row],[Sales]],0)</f>
        <v>0.47</v>
      </c>
    </row>
    <row r="997" spans="1:22" x14ac:dyDescent="0.2">
      <c r="A997">
        <v>996</v>
      </c>
      <c r="B997" t="s">
        <v>5132</v>
      </c>
      <c r="C997" s="1">
        <v>41889</v>
      </c>
      <c r="D997" s="22">
        <f>MONTH(Table12[[#This Row],[Order Date]])</f>
        <v>9</v>
      </c>
      <c r="E997" t="s">
        <v>5136</v>
      </c>
      <c r="F997" t="s">
        <v>5137</v>
      </c>
      <c r="G997" s="23" t="s">
        <v>41</v>
      </c>
      <c r="H997" s="23" t="s">
        <v>82</v>
      </c>
      <c r="I997" t="s">
        <v>3570</v>
      </c>
      <c r="J997" s="23" t="s">
        <v>22</v>
      </c>
      <c r="K997" s="22">
        <v>2</v>
      </c>
      <c r="L997" s="1">
        <v>41894</v>
      </c>
      <c r="M997" s="22">
        <f>Table12[[#This Row],[Ship Date]]-Table12[[#This Row],[Order Date]]</f>
        <v>5</v>
      </c>
      <c r="N997" s="23" t="s">
        <v>20</v>
      </c>
      <c r="O997" s="23" t="s">
        <v>23</v>
      </c>
      <c r="P997" s="23" t="s">
        <v>573</v>
      </c>
      <c r="Q997" s="23" t="s">
        <v>95</v>
      </c>
      <c r="R997" s="23" t="s">
        <v>4017</v>
      </c>
      <c r="S997" s="33">
        <v>0</v>
      </c>
      <c r="T997" s="13">
        <v>12.96</v>
      </c>
      <c r="U997" s="13">
        <v>6.2207999999999997</v>
      </c>
      <c r="V997" s="55">
        <f>IFERROR(Table12[[#This Row],[Profit]]/Table12[[#This Row],[Sales]],0)</f>
        <v>0.47999999999999993</v>
      </c>
    </row>
    <row r="998" spans="1:22" x14ac:dyDescent="0.2">
      <c r="A998">
        <v>997</v>
      </c>
      <c r="B998" t="s">
        <v>5132</v>
      </c>
      <c r="C998" s="1">
        <v>41889</v>
      </c>
      <c r="D998" s="22">
        <f>MONTH(Table12[[#This Row],[Order Date]])</f>
        <v>9</v>
      </c>
      <c r="E998" t="s">
        <v>5017</v>
      </c>
      <c r="F998" t="s">
        <v>5018</v>
      </c>
      <c r="G998" s="23" t="s">
        <v>28</v>
      </c>
      <c r="H998" s="23" t="s">
        <v>58</v>
      </c>
      <c r="I998" t="s">
        <v>3570</v>
      </c>
      <c r="J998" s="23" t="s">
        <v>22</v>
      </c>
      <c r="K998" s="22">
        <v>6</v>
      </c>
      <c r="L998" s="1">
        <v>41894</v>
      </c>
      <c r="M998" s="22">
        <f>Table12[[#This Row],[Ship Date]]-Table12[[#This Row],[Order Date]]</f>
        <v>5</v>
      </c>
      <c r="N998" s="23" t="s">
        <v>20</v>
      </c>
      <c r="O998" s="23" t="s">
        <v>23</v>
      </c>
      <c r="P998" s="23" t="s">
        <v>573</v>
      </c>
      <c r="Q998" s="23" t="s">
        <v>95</v>
      </c>
      <c r="R998" s="23" t="s">
        <v>4017</v>
      </c>
      <c r="S998" s="33">
        <v>0</v>
      </c>
      <c r="T998" s="13">
        <v>821.88</v>
      </c>
      <c r="U998" s="13">
        <v>213.68879999999999</v>
      </c>
      <c r="V998" s="55">
        <f>IFERROR(Table12[[#This Row],[Profit]]/Table12[[#This Row],[Sales]],0)</f>
        <v>0.26</v>
      </c>
    </row>
    <row r="999" spans="1:22" x14ac:dyDescent="0.2">
      <c r="A999">
        <v>998</v>
      </c>
      <c r="B999" t="s">
        <v>5132</v>
      </c>
      <c r="C999" s="1">
        <v>41889</v>
      </c>
      <c r="D999" s="22">
        <f>MONTH(Table12[[#This Row],[Order Date]])</f>
        <v>9</v>
      </c>
      <c r="E999" t="s">
        <v>542</v>
      </c>
      <c r="F999" t="s">
        <v>543</v>
      </c>
      <c r="G999" s="23" t="s">
        <v>64</v>
      </c>
      <c r="H999" s="23" t="s">
        <v>65</v>
      </c>
      <c r="I999" t="s">
        <v>3570</v>
      </c>
      <c r="J999" s="23" t="s">
        <v>22</v>
      </c>
      <c r="K999" s="22">
        <v>3</v>
      </c>
      <c r="L999" s="1">
        <v>41894</v>
      </c>
      <c r="M999" s="22">
        <f>Table12[[#This Row],[Ship Date]]-Table12[[#This Row],[Order Date]]</f>
        <v>5</v>
      </c>
      <c r="N999" s="23" t="s">
        <v>20</v>
      </c>
      <c r="O999" s="23" t="s">
        <v>23</v>
      </c>
      <c r="P999" s="23" t="s">
        <v>573</v>
      </c>
      <c r="Q999" s="23" t="s">
        <v>95</v>
      </c>
      <c r="R999" s="23" t="s">
        <v>4017</v>
      </c>
      <c r="S999" s="33">
        <v>0</v>
      </c>
      <c r="T999" s="13">
        <v>104.85</v>
      </c>
      <c r="U999" s="13">
        <v>28.3095</v>
      </c>
      <c r="V999" s="55">
        <f>IFERROR(Table12[[#This Row],[Profit]]/Table12[[#This Row],[Sales]],0)</f>
        <v>0.27</v>
      </c>
    </row>
    <row r="1000" spans="1:22" x14ac:dyDescent="0.2">
      <c r="A1000">
        <v>999</v>
      </c>
      <c r="B1000" t="s">
        <v>5226</v>
      </c>
      <c r="C1000" s="1">
        <v>41889</v>
      </c>
      <c r="D1000" s="22">
        <f>MONTH(Table12[[#This Row],[Order Date]])</f>
        <v>9</v>
      </c>
      <c r="E1000" t="s">
        <v>5227</v>
      </c>
      <c r="F1000" t="s">
        <v>5228</v>
      </c>
      <c r="G1000" s="23" t="s">
        <v>64</v>
      </c>
      <c r="H1000" s="23" t="s">
        <v>65</v>
      </c>
      <c r="I1000" t="s">
        <v>4593</v>
      </c>
      <c r="J1000" s="23" t="s">
        <v>22</v>
      </c>
      <c r="K1000" s="22">
        <v>3</v>
      </c>
      <c r="L1000" s="1">
        <v>41895</v>
      </c>
      <c r="M1000" s="22">
        <f>Table12[[#This Row],[Ship Date]]-Table12[[#This Row],[Order Date]]</f>
        <v>6</v>
      </c>
      <c r="N1000" s="23" t="s">
        <v>45</v>
      </c>
      <c r="O1000" s="23" t="s">
        <v>23</v>
      </c>
      <c r="P1000" s="23" t="s">
        <v>238</v>
      </c>
      <c r="Q1000" s="23" t="s">
        <v>133</v>
      </c>
      <c r="R1000" s="23" t="s">
        <v>237</v>
      </c>
      <c r="S1000" s="33">
        <v>0</v>
      </c>
      <c r="T1000" s="13">
        <v>377.97</v>
      </c>
      <c r="U1000" s="13">
        <v>109.6113</v>
      </c>
      <c r="V1000" s="55">
        <f>IFERROR(Table12[[#This Row],[Profit]]/Table12[[#This Row],[Sales]],0)</f>
        <v>0.28999999999999998</v>
      </c>
    </row>
    <row r="1001" spans="1:22" x14ac:dyDescent="0.2">
      <c r="A1001">
        <v>1000</v>
      </c>
      <c r="B1001" t="s">
        <v>7349</v>
      </c>
      <c r="C1001" s="1">
        <v>41889</v>
      </c>
      <c r="D1001" s="22">
        <f>MONTH(Table12[[#This Row],[Order Date]])</f>
        <v>9</v>
      </c>
      <c r="E1001" t="s">
        <v>4975</v>
      </c>
      <c r="F1001" t="s">
        <v>4976</v>
      </c>
      <c r="G1001" s="23" t="s">
        <v>64</v>
      </c>
      <c r="H1001" s="23" t="s">
        <v>65</v>
      </c>
      <c r="I1001" t="s">
        <v>3315</v>
      </c>
      <c r="J1001" s="23" t="s">
        <v>92</v>
      </c>
      <c r="K1001" s="22">
        <v>3</v>
      </c>
      <c r="L1001" s="1">
        <v>41892</v>
      </c>
      <c r="M1001" s="22">
        <f>Table12[[#This Row],[Ship Date]]-Table12[[#This Row],[Order Date]]</f>
        <v>3</v>
      </c>
      <c r="N1001" s="23" t="s">
        <v>169</v>
      </c>
      <c r="O1001" s="23" t="s">
        <v>23</v>
      </c>
      <c r="P1001" s="23" t="s">
        <v>94</v>
      </c>
      <c r="Q1001" s="23" t="s">
        <v>95</v>
      </c>
      <c r="R1001" s="23" t="s">
        <v>165</v>
      </c>
      <c r="S1001" s="33">
        <v>0.2</v>
      </c>
      <c r="T1001" s="13">
        <v>196.77600000000001</v>
      </c>
      <c r="U1001" s="13">
        <v>14.7582</v>
      </c>
      <c r="V1001" s="55">
        <f>IFERROR(Table12[[#This Row],[Profit]]/Table12[[#This Row],[Sales]],0)</f>
        <v>7.4999999999999997E-2</v>
      </c>
    </row>
    <row r="1002" spans="1:22" x14ac:dyDescent="0.2">
      <c r="A1002">
        <v>1001</v>
      </c>
      <c r="B1002" t="s">
        <v>7349</v>
      </c>
      <c r="C1002" s="1">
        <v>41889</v>
      </c>
      <c r="D1002" s="22">
        <f>MONTH(Table12[[#This Row],[Order Date]])</f>
        <v>9</v>
      </c>
      <c r="E1002" t="s">
        <v>1212</v>
      </c>
      <c r="F1002" t="s">
        <v>1213</v>
      </c>
      <c r="G1002" s="23" t="s">
        <v>41</v>
      </c>
      <c r="H1002" s="23" t="s">
        <v>68</v>
      </c>
      <c r="I1002" t="s">
        <v>3315</v>
      </c>
      <c r="J1002" s="23" t="s">
        <v>92</v>
      </c>
      <c r="K1002" s="22">
        <v>2</v>
      </c>
      <c r="L1002" s="1">
        <v>41892</v>
      </c>
      <c r="M1002" s="22">
        <f>Table12[[#This Row],[Ship Date]]-Table12[[#This Row],[Order Date]]</f>
        <v>3</v>
      </c>
      <c r="N1002" s="23" t="s">
        <v>169</v>
      </c>
      <c r="O1002" s="23" t="s">
        <v>23</v>
      </c>
      <c r="P1002" s="23" t="s">
        <v>94</v>
      </c>
      <c r="Q1002" s="23" t="s">
        <v>95</v>
      </c>
      <c r="R1002" s="23" t="s">
        <v>165</v>
      </c>
      <c r="S1002" s="33">
        <v>0.8</v>
      </c>
      <c r="T1002" s="13">
        <v>2.92</v>
      </c>
      <c r="U1002" s="13">
        <v>-4.8179999999999996</v>
      </c>
      <c r="V1002" s="55">
        <f>IFERROR(Table12[[#This Row],[Profit]]/Table12[[#This Row],[Sales]],0)</f>
        <v>-1.65</v>
      </c>
    </row>
    <row r="1003" spans="1:22" x14ac:dyDescent="0.2">
      <c r="A1003">
        <v>1002</v>
      </c>
      <c r="B1003" t="s">
        <v>7349</v>
      </c>
      <c r="C1003" s="1">
        <v>41889</v>
      </c>
      <c r="D1003" s="22">
        <f>MONTH(Table12[[#This Row],[Order Date]])</f>
        <v>9</v>
      </c>
      <c r="E1003" t="s">
        <v>2537</v>
      </c>
      <c r="F1003" t="s">
        <v>2538</v>
      </c>
      <c r="G1003" s="23" t="s">
        <v>28</v>
      </c>
      <c r="H1003" s="23" t="s">
        <v>50</v>
      </c>
      <c r="I1003" t="s">
        <v>3315</v>
      </c>
      <c r="J1003" s="23" t="s">
        <v>92</v>
      </c>
      <c r="K1003" s="22">
        <v>1</v>
      </c>
      <c r="L1003" s="1">
        <v>41892</v>
      </c>
      <c r="M1003" s="22">
        <f>Table12[[#This Row],[Ship Date]]-Table12[[#This Row],[Order Date]]</f>
        <v>3</v>
      </c>
      <c r="N1003" s="23" t="s">
        <v>169</v>
      </c>
      <c r="O1003" s="23" t="s">
        <v>23</v>
      </c>
      <c r="P1003" s="23" t="s">
        <v>94</v>
      </c>
      <c r="Q1003" s="23" t="s">
        <v>95</v>
      </c>
      <c r="R1003" s="23" t="s">
        <v>165</v>
      </c>
      <c r="S1003" s="33">
        <v>0.3</v>
      </c>
      <c r="T1003" s="13">
        <v>200.79499999999999</v>
      </c>
      <c r="U1003" s="13">
        <v>-22.948</v>
      </c>
      <c r="V1003" s="55">
        <f>IFERROR(Table12[[#This Row],[Profit]]/Table12[[#This Row],[Sales]],0)</f>
        <v>-0.1142857142857143</v>
      </c>
    </row>
    <row r="1004" spans="1:22" x14ac:dyDescent="0.2">
      <c r="A1004">
        <v>1003</v>
      </c>
      <c r="B1004" t="s">
        <v>7349</v>
      </c>
      <c r="C1004" s="1">
        <v>41889</v>
      </c>
      <c r="D1004" s="22">
        <f>MONTH(Table12[[#This Row],[Order Date]])</f>
        <v>9</v>
      </c>
      <c r="E1004" t="s">
        <v>4282</v>
      </c>
      <c r="F1004" t="s">
        <v>4283</v>
      </c>
      <c r="G1004" s="23" t="s">
        <v>64</v>
      </c>
      <c r="H1004" s="23" t="s">
        <v>144</v>
      </c>
      <c r="I1004" t="s">
        <v>3315</v>
      </c>
      <c r="J1004" s="23" t="s">
        <v>92</v>
      </c>
      <c r="K1004" s="22">
        <v>4</v>
      </c>
      <c r="L1004" s="1">
        <v>41892</v>
      </c>
      <c r="M1004" s="22">
        <f>Table12[[#This Row],[Ship Date]]-Table12[[#This Row],[Order Date]]</f>
        <v>3</v>
      </c>
      <c r="N1004" s="23" t="s">
        <v>169</v>
      </c>
      <c r="O1004" s="23" t="s">
        <v>23</v>
      </c>
      <c r="P1004" s="23" t="s">
        <v>94</v>
      </c>
      <c r="Q1004" s="23" t="s">
        <v>95</v>
      </c>
      <c r="R1004" s="23" t="s">
        <v>165</v>
      </c>
      <c r="S1004" s="33">
        <v>0.2</v>
      </c>
      <c r="T1004" s="13">
        <v>46.688000000000002</v>
      </c>
      <c r="U1004" s="13">
        <v>-2.9180000000000001</v>
      </c>
      <c r="V1004" s="55">
        <f>IFERROR(Table12[[#This Row],[Profit]]/Table12[[#This Row],[Sales]],0)</f>
        <v>-6.25E-2</v>
      </c>
    </row>
    <row r="1005" spans="1:22" x14ac:dyDescent="0.2">
      <c r="A1005">
        <v>1004</v>
      </c>
      <c r="B1005" t="s">
        <v>7349</v>
      </c>
      <c r="C1005" s="1">
        <v>41889</v>
      </c>
      <c r="D1005" s="22">
        <f>MONTH(Table12[[#This Row],[Order Date]])</f>
        <v>9</v>
      </c>
      <c r="E1005" t="s">
        <v>6231</v>
      </c>
      <c r="F1005" t="s">
        <v>6232</v>
      </c>
      <c r="G1005" s="23" t="s">
        <v>41</v>
      </c>
      <c r="H1005" s="23" t="s">
        <v>61</v>
      </c>
      <c r="I1005" t="s">
        <v>3315</v>
      </c>
      <c r="J1005" s="23" t="s">
        <v>92</v>
      </c>
      <c r="K1005" s="22">
        <v>3</v>
      </c>
      <c r="L1005" s="1">
        <v>41892</v>
      </c>
      <c r="M1005" s="22">
        <f>Table12[[#This Row],[Ship Date]]-Table12[[#This Row],[Order Date]]</f>
        <v>3</v>
      </c>
      <c r="N1005" s="23" t="s">
        <v>169</v>
      </c>
      <c r="O1005" s="23" t="s">
        <v>23</v>
      </c>
      <c r="P1005" s="23" t="s">
        <v>94</v>
      </c>
      <c r="Q1005" s="23" t="s">
        <v>95</v>
      </c>
      <c r="R1005" s="23" t="s">
        <v>165</v>
      </c>
      <c r="S1005" s="33">
        <v>0.2</v>
      </c>
      <c r="T1005" s="13">
        <v>21.864000000000001</v>
      </c>
      <c r="U1005" s="13">
        <v>3.5529000000000002</v>
      </c>
      <c r="V1005" s="55">
        <f>IFERROR(Table12[[#This Row],[Profit]]/Table12[[#This Row],[Sales]],0)</f>
        <v>0.16250000000000001</v>
      </c>
    </row>
    <row r="1006" spans="1:22" x14ac:dyDescent="0.2">
      <c r="A1006">
        <v>1005</v>
      </c>
      <c r="B1006" t="s">
        <v>7839</v>
      </c>
      <c r="C1006" s="1">
        <v>41889</v>
      </c>
      <c r="D1006" s="22">
        <f>MONTH(Table12[[#This Row],[Order Date]])</f>
        <v>9</v>
      </c>
      <c r="E1006" t="s">
        <v>3373</v>
      </c>
      <c r="F1006" t="s">
        <v>2884</v>
      </c>
      <c r="G1006" s="23" t="s">
        <v>28</v>
      </c>
      <c r="H1006" s="23" t="s">
        <v>50</v>
      </c>
      <c r="I1006" t="s">
        <v>391</v>
      </c>
      <c r="J1006" s="23" t="s">
        <v>92</v>
      </c>
      <c r="K1006" s="22">
        <v>5</v>
      </c>
      <c r="L1006" s="1">
        <v>41895</v>
      </c>
      <c r="M1006" s="22">
        <f>Table12[[#This Row],[Ship Date]]-Table12[[#This Row],[Order Date]]</f>
        <v>6</v>
      </c>
      <c r="N1006" s="23" t="s">
        <v>45</v>
      </c>
      <c r="O1006" s="23" t="s">
        <v>23</v>
      </c>
      <c r="P1006" s="23" t="s">
        <v>573</v>
      </c>
      <c r="Q1006" s="23" t="s">
        <v>95</v>
      </c>
      <c r="R1006" s="23" t="s">
        <v>4017</v>
      </c>
      <c r="S1006" s="33">
        <v>0</v>
      </c>
      <c r="T1006" s="13">
        <v>429.9</v>
      </c>
      <c r="U1006" s="13">
        <v>111.774</v>
      </c>
      <c r="V1006" s="55">
        <f>IFERROR(Table12[[#This Row],[Profit]]/Table12[[#This Row],[Sales]],0)</f>
        <v>0.26</v>
      </c>
    </row>
    <row r="1007" spans="1:22" x14ac:dyDescent="0.2">
      <c r="A1007">
        <v>1006</v>
      </c>
      <c r="B1007" t="s">
        <v>7839</v>
      </c>
      <c r="C1007" s="1">
        <v>41889</v>
      </c>
      <c r="D1007" s="22">
        <f>MONTH(Table12[[#This Row],[Order Date]])</f>
        <v>9</v>
      </c>
      <c r="E1007" t="s">
        <v>150</v>
      </c>
      <c r="F1007" t="s">
        <v>151</v>
      </c>
      <c r="G1007" s="23" t="s">
        <v>41</v>
      </c>
      <c r="H1007" s="23" t="s">
        <v>68</v>
      </c>
      <c r="I1007" t="s">
        <v>391</v>
      </c>
      <c r="J1007" s="23" t="s">
        <v>92</v>
      </c>
      <c r="K1007" s="22">
        <v>2</v>
      </c>
      <c r="L1007" s="1">
        <v>41895</v>
      </c>
      <c r="M1007" s="22">
        <f>Table12[[#This Row],[Ship Date]]-Table12[[#This Row],[Order Date]]</f>
        <v>6</v>
      </c>
      <c r="N1007" s="23" t="s">
        <v>45</v>
      </c>
      <c r="O1007" s="23" t="s">
        <v>23</v>
      </c>
      <c r="P1007" s="23" t="s">
        <v>573</v>
      </c>
      <c r="Q1007" s="23" t="s">
        <v>95</v>
      </c>
      <c r="R1007" s="23" t="s">
        <v>4017</v>
      </c>
      <c r="S1007" s="33">
        <v>0</v>
      </c>
      <c r="T1007" s="13">
        <v>32.06</v>
      </c>
      <c r="U1007" s="13">
        <v>15.3888</v>
      </c>
      <c r="V1007" s="55">
        <f>IFERROR(Table12[[#This Row],[Profit]]/Table12[[#This Row],[Sales]],0)</f>
        <v>0.48</v>
      </c>
    </row>
    <row r="1008" spans="1:22" x14ac:dyDescent="0.2">
      <c r="A1008">
        <v>1007</v>
      </c>
      <c r="B1008" t="s">
        <v>7839</v>
      </c>
      <c r="C1008" s="1">
        <v>41889</v>
      </c>
      <c r="D1008" s="22">
        <f>MONTH(Table12[[#This Row],[Order Date]])</f>
        <v>9</v>
      </c>
      <c r="E1008" t="s">
        <v>633</v>
      </c>
      <c r="F1008" t="s">
        <v>634</v>
      </c>
      <c r="G1008" s="23" t="s">
        <v>28</v>
      </c>
      <c r="H1008" s="23" t="s">
        <v>32</v>
      </c>
      <c r="I1008" t="s">
        <v>391</v>
      </c>
      <c r="J1008" s="23" t="s">
        <v>92</v>
      </c>
      <c r="K1008" s="22">
        <v>2</v>
      </c>
      <c r="L1008" s="1">
        <v>41895</v>
      </c>
      <c r="M1008" s="22">
        <f>Table12[[#This Row],[Ship Date]]-Table12[[#This Row],[Order Date]]</f>
        <v>6</v>
      </c>
      <c r="N1008" s="23" t="s">
        <v>45</v>
      </c>
      <c r="O1008" s="23" t="s">
        <v>23</v>
      </c>
      <c r="P1008" s="23" t="s">
        <v>573</v>
      </c>
      <c r="Q1008" s="23" t="s">
        <v>95</v>
      </c>
      <c r="R1008" s="23" t="s">
        <v>4017</v>
      </c>
      <c r="S1008" s="33">
        <v>0</v>
      </c>
      <c r="T1008" s="13">
        <v>161.96</v>
      </c>
      <c r="U1008" s="13">
        <v>45.348799999999997</v>
      </c>
      <c r="V1008" s="55">
        <f>IFERROR(Table12[[#This Row],[Profit]]/Table12[[#This Row],[Sales]],0)</f>
        <v>0.27999999999999997</v>
      </c>
    </row>
    <row r="1009" spans="1:22" x14ac:dyDescent="0.2">
      <c r="A1009">
        <v>1008</v>
      </c>
      <c r="B1009" t="s">
        <v>7839</v>
      </c>
      <c r="C1009" s="1">
        <v>41889</v>
      </c>
      <c r="D1009" s="22">
        <f>MONTH(Table12[[#This Row],[Order Date]])</f>
        <v>9</v>
      </c>
      <c r="E1009" t="s">
        <v>1179</v>
      </c>
      <c r="F1009" t="s">
        <v>1180</v>
      </c>
      <c r="G1009" s="23" t="s">
        <v>41</v>
      </c>
      <c r="H1009" s="23" t="s">
        <v>53</v>
      </c>
      <c r="I1009" t="s">
        <v>391</v>
      </c>
      <c r="J1009" s="23" t="s">
        <v>92</v>
      </c>
      <c r="K1009" s="22">
        <v>2</v>
      </c>
      <c r="L1009" s="1">
        <v>41895</v>
      </c>
      <c r="M1009" s="22">
        <f>Table12[[#This Row],[Ship Date]]-Table12[[#This Row],[Order Date]]</f>
        <v>6</v>
      </c>
      <c r="N1009" s="23" t="s">
        <v>45</v>
      </c>
      <c r="O1009" s="23" t="s">
        <v>23</v>
      </c>
      <c r="P1009" s="23" t="s">
        <v>573</v>
      </c>
      <c r="Q1009" s="23" t="s">
        <v>95</v>
      </c>
      <c r="R1009" s="23" t="s">
        <v>4017</v>
      </c>
      <c r="S1009" s="33">
        <v>0</v>
      </c>
      <c r="T1009" s="13">
        <v>19.86</v>
      </c>
      <c r="U1009" s="13">
        <v>5.7594000000000003</v>
      </c>
      <c r="V1009" s="55">
        <f>IFERROR(Table12[[#This Row],[Profit]]/Table12[[#This Row],[Sales]],0)</f>
        <v>0.29000000000000004</v>
      </c>
    </row>
    <row r="1010" spans="1:22" x14ac:dyDescent="0.2">
      <c r="A1010">
        <v>1009</v>
      </c>
      <c r="B1010" t="s">
        <v>9200</v>
      </c>
      <c r="C1010" s="1">
        <v>41889</v>
      </c>
      <c r="D1010" s="22">
        <f>MONTH(Table12[[#This Row],[Order Date]])</f>
        <v>9</v>
      </c>
      <c r="E1010" t="s">
        <v>9201</v>
      </c>
      <c r="F1010" t="s">
        <v>9202</v>
      </c>
      <c r="G1010" s="23" t="s">
        <v>41</v>
      </c>
      <c r="H1010" s="23" t="s">
        <v>513</v>
      </c>
      <c r="I1010" t="s">
        <v>7183</v>
      </c>
      <c r="J1010" s="23" t="s">
        <v>36</v>
      </c>
      <c r="K1010" s="22">
        <v>4</v>
      </c>
      <c r="L1010" s="1">
        <v>41894</v>
      </c>
      <c r="M1010" s="22">
        <f>Table12[[#This Row],[Ship Date]]-Table12[[#This Row],[Order Date]]</f>
        <v>5</v>
      </c>
      <c r="N1010" s="23" t="s">
        <v>20</v>
      </c>
      <c r="O1010" s="23" t="s">
        <v>23</v>
      </c>
      <c r="P1010" s="23" t="s">
        <v>38</v>
      </c>
      <c r="Q1010" s="23" t="s">
        <v>39</v>
      </c>
      <c r="R1010" s="23" t="s">
        <v>804</v>
      </c>
      <c r="S1010" s="33">
        <v>0</v>
      </c>
      <c r="T1010" s="13">
        <v>27.36</v>
      </c>
      <c r="U1010" s="13">
        <v>7.3872</v>
      </c>
      <c r="V1010" s="55">
        <f>IFERROR(Table12[[#This Row],[Profit]]/Table12[[#This Row],[Sales]],0)</f>
        <v>0.27</v>
      </c>
    </row>
    <row r="1011" spans="1:22" x14ac:dyDescent="0.2">
      <c r="A1011">
        <v>1010</v>
      </c>
      <c r="B1011" t="s">
        <v>9200</v>
      </c>
      <c r="C1011" s="1">
        <v>41889</v>
      </c>
      <c r="D1011" s="22">
        <f>MONTH(Table12[[#This Row],[Order Date]])</f>
        <v>9</v>
      </c>
      <c r="E1011" t="s">
        <v>5922</v>
      </c>
      <c r="F1011" t="s">
        <v>5923</v>
      </c>
      <c r="G1011" s="23" t="s">
        <v>41</v>
      </c>
      <c r="H1011" s="23" t="s">
        <v>82</v>
      </c>
      <c r="I1011" t="s">
        <v>7183</v>
      </c>
      <c r="J1011" s="23" t="s">
        <v>36</v>
      </c>
      <c r="K1011" s="22">
        <v>2</v>
      </c>
      <c r="L1011" s="1">
        <v>41894</v>
      </c>
      <c r="M1011" s="22">
        <f>Table12[[#This Row],[Ship Date]]-Table12[[#This Row],[Order Date]]</f>
        <v>5</v>
      </c>
      <c r="N1011" s="23" t="s">
        <v>20</v>
      </c>
      <c r="O1011" s="23" t="s">
        <v>23</v>
      </c>
      <c r="P1011" s="23" t="s">
        <v>38</v>
      </c>
      <c r="Q1011" s="23" t="s">
        <v>39</v>
      </c>
      <c r="R1011" s="23" t="s">
        <v>804</v>
      </c>
      <c r="S1011" s="33">
        <v>0</v>
      </c>
      <c r="T1011" s="13">
        <v>20.56</v>
      </c>
      <c r="U1011" s="13">
        <v>9.6631999999999998</v>
      </c>
      <c r="V1011" s="55">
        <f>IFERROR(Table12[[#This Row],[Profit]]/Table12[[#This Row],[Sales]],0)</f>
        <v>0.47000000000000003</v>
      </c>
    </row>
    <row r="1012" spans="1:22" x14ac:dyDescent="0.2">
      <c r="A1012">
        <v>1011</v>
      </c>
      <c r="B1012" t="s">
        <v>9200</v>
      </c>
      <c r="C1012" s="1">
        <v>41889</v>
      </c>
      <c r="D1012" s="22">
        <f>MONTH(Table12[[#This Row],[Order Date]])</f>
        <v>9</v>
      </c>
      <c r="E1012" t="s">
        <v>8120</v>
      </c>
      <c r="F1012" t="s">
        <v>8121</v>
      </c>
      <c r="G1012" s="23" t="s">
        <v>41</v>
      </c>
      <c r="H1012" s="23" t="s">
        <v>68</v>
      </c>
      <c r="I1012" t="s">
        <v>7183</v>
      </c>
      <c r="J1012" s="23" t="s">
        <v>36</v>
      </c>
      <c r="K1012" s="22">
        <v>5</v>
      </c>
      <c r="L1012" s="1">
        <v>41894</v>
      </c>
      <c r="M1012" s="22">
        <f>Table12[[#This Row],[Ship Date]]-Table12[[#This Row],[Order Date]]</f>
        <v>5</v>
      </c>
      <c r="N1012" s="23" t="s">
        <v>20</v>
      </c>
      <c r="O1012" s="23" t="s">
        <v>23</v>
      </c>
      <c r="P1012" s="23" t="s">
        <v>38</v>
      </c>
      <c r="Q1012" s="23" t="s">
        <v>39</v>
      </c>
      <c r="R1012" s="23" t="s">
        <v>804</v>
      </c>
      <c r="S1012" s="33">
        <v>0.2</v>
      </c>
      <c r="T1012" s="13">
        <v>83.92</v>
      </c>
      <c r="U1012" s="13">
        <v>31.47</v>
      </c>
      <c r="V1012" s="55">
        <f>IFERROR(Table12[[#This Row],[Profit]]/Table12[[#This Row],[Sales]],0)</f>
        <v>0.375</v>
      </c>
    </row>
    <row r="1013" spans="1:22" x14ac:dyDescent="0.2">
      <c r="A1013">
        <v>1012</v>
      </c>
      <c r="B1013" t="s">
        <v>9862</v>
      </c>
      <c r="C1013" s="1">
        <v>41889</v>
      </c>
      <c r="D1013" s="22">
        <f>MONTH(Table12[[#This Row],[Order Date]])</f>
        <v>9</v>
      </c>
      <c r="E1013" t="s">
        <v>4801</v>
      </c>
      <c r="F1013" t="s">
        <v>4802</v>
      </c>
      <c r="G1013" s="23" t="s">
        <v>41</v>
      </c>
      <c r="H1013" s="23" t="s">
        <v>240</v>
      </c>
      <c r="I1013" t="s">
        <v>7194</v>
      </c>
      <c r="J1013" s="23" t="s">
        <v>22</v>
      </c>
      <c r="K1013" s="22">
        <v>5</v>
      </c>
      <c r="L1013" s="1">
        <v>41896</v>
      </c>
      <c r="M1013" s="22">
        <f>Table12[[#This Row],[Ship Date]]-Table12[[#This Row],[Order Date]]</f>
        <v>7</v>
      </c>
      <c r="N1013" s="23" t="s">
        <v>45</v>
      </c>
      <c r="O1013" s="23" t="s">
        <v>23</v>
      </c>
      <c r="P1013" s="23" t="s">
        <v>189</v>
      </c>
      <c r="Q1013" s="23" t="s">
        <v>95</v>
      </c>
      <c r="R1013" s="23" t="s">
        <v>9863</v>
      </c>
      <c r="S1013" s="33">
        <v>0.2</v>
      </c>
      <c r="T1013" s="13">
        <v>13.16</v>
      </c>
      <c r="U1013" s="13">
        <v>4.1124999999999998</v>
      </c>
      <c r="V1013" s="55">
        <f>IFERROR(Table12[[#This Row],[Profit]]/Table12[[#This Row],[Sales]],0)</f>
        <v>0.3125</v>
      </c>
    </row>
    <row r="1014" spans="1:22" x14ac:dyDescent="0.2">
      <c r="A1014">
        <v>1013</v>
      </c>
      <c r="B1014" t="s">
        <v>9862</v>
      </c>
      <c r="C1014" s="1">
        <v>41889</v>
      </c>
      <c r="D1014" s="22">
        <f>MONTH(Table12[[#This Row],[Order Date]])</f>
        <v>9</v>
      </c>
      <c r="E1014" t="s">
        <v>4280</v>
      </c>
      <c r="F1014" t="s">
        <v>4281</v>
      </c>
      <c r="G1014" s="23" t="s">
        <v>41</v>
      </c>
      <c r="H1014" s="23" t="s">
        <v>68</v>
      </c>
      <c r="I1014" t="s">
        <v>7194</v>
      </c>
      <c r="J1014" s="23" t="s">
        <v>22</v>
      </c>
      <c r="K1014" s="22">
        <v>3</v>
      </c>
      <c r="L1014" s="1">
        <v>41896</v>
      </c>
      <c r="M1014" s="22">
        <f>Table12[[#This Row],[Ship Date]]-Table12[[#This Row],[Order Date]]</f>
        <v>7</v>
      </c>
      <c r="N1014" s="23" t="s">
        <v>45</v>
      </c>
      <c r="O1014" s="23" t="s">
        <v>23</v>
      </c>
      <c r="P1014" s="23" t="s">
        <v>189</v>
      </c>
      <c r="Q1014" s="23" t="s">
        <v>95</v>
      </c>
      <c r="R1014" s="23" t="s">
        <v>9863</v>
      </c>
      <c r="S1014" s="33">
        <v>0.8</v>
      </c>
      <c r="T1014" s="13">
        <v>3.8279999999999998</v>
      </c>
      <c r="U1014" s="13">
        <v>-6.5076000000000001</v>
      </c>
      <c r="V1014" s="55">
        <f>IFERROR(Table12[[#This Row],[Profit]]/Table12[[#This Row],[Sales]],0)</f>
        <v>-1.7000000000000002</v>
      </c>
    </row>
    <row r="1015" spans="1:22" x14ac:dyDescent="0.2">
      <c r="A1015">
        <v>1014</v>
      </c>
      <c r="B1015" t="s">
        <v>9862</v>
      </c>
      <c r="C1015" s="1">
        <v>41889</v>
      </c>
      <c r="D1015" s="22">
        <f>MONTH(Table12[[#This Row],[Order Date]])</f>
        <v>9</v>
      </c>
      <c r="E1015" t="s">
        <v>1947</v>
      </c>
      <c r="F1015" t="s">
        <v>1948</v>
      </c>
      <c r="G1015" s="23" t="s">
        <v>41</v>
      </c>
      <c r="H1015" s="23" t="s">
        <v>68</v>
      </c>
      <c r="I1015" t="s">
        <v>7194</v>
      </c>
      <c r="J1015" s="23" t="s">
        <v>22</v>
      </c>
      <c r="K1015" s="22">
        <v>5</v>
      </c>
      <c r="L1015" s="1">
        <v>41896</v>
      </c>
      <c r="M1015" s="22">
        <f>Table12[[#This Row],[Ship Date]]-Table12[[#This Row],[Order Date]]</f>
        <v>7</v>
      </c>
      <c r="N1015" s="23" t="s">
        <v>45</v>
      </c>
      <c r="O1015" s="23" t="s">
        <v>23</v>
      </c>
      <c r="P1015" s="23" t="s">
        <v>189</v>
      </c>
      <c r="Q1015" s="23" t="s">
        <v>95</v>
      </c>
      <c r="R1015" s="23" t="s">
        <v>9863</v>
      </c>
      <c r="S1015" s="33">
        <v>0.8</v>
      </c>
      <c r="T1015" s="13">
        <v>304.99</v>
      </c>
      <c r="U1015" s="13">
        <v>-533.73249999999996</v>
      </c>
      <c r="V1015" s="55">
        <f>IFERROR(Table12[[#This Row],[Profit]]/Table12[[#This Row],[Sales]],0)</f>
        <v>-1.7499999999999998</v>
      </c>
    </row>
    <row r="1016" spans="1:22" x14ac:dyDescent="0.2">
      <c r="A1016">
        <v>1015</v>
      </c>
      <c r="B1016" t="s">
        <v>596</v>
      </c>
      <c r="C1016" s="1">
        <v>41890</v>
      </c>
      <c r="D1016" s="22">
        <f>MONTH(Table12[[#This Row],[Order Date]])</f>
        <v>9</v>
      </c>
      <c r="E1016" t="s">
        <v>599</v>
      </c>
      <c r="F1016" t="s">
        <v>600</v>
      </c>
      <c r="G1016" s="23" t="s">
        <v>41</v>
      </c>
      <c r="H1016" s="23" t="s">
        <v>61</v>
      </c>
      <c r="I1016" t="s">
        <v>597</v>
      </c>
      <c r="J1016" s="23" t="s">
        <v>22</v>
      </c>
      <c r="K1016" s="22">
        <v>3</v>
      </c>
      <c r="L1016" s="1">
        <v>41894</v>
      </c>
      <c r="M1016" s="22">
        <f>Table12[[#This Row],[Ship Date]]-Table12[[#This Row],[Order Date]]</f>
        <v>4</v>
      </c>
      <c r="N1016" s="23" t="s">
        <v>45</v>
      </c>
      <c r="O1016" s="23" t="s">
        <v>23</v>
      </c>
      <c r="P1016" s="23" t="s">
        <v>94</v>
      </c>
      <c r="Q1016" s="23" t="s">
        <v>95</v>
      </c>
      <c r="R1016" s="23" t="s">
        <v>598</v>
      </c>
      <c r="S1016" s="33">
        <v>0.2</v>
      </c>
      <c r="T1016" s="13">
        <v>9.9359999999999999</v>
      </c>
      <c r="U1016" s="13">
        <v>2.7324000000000002</v>
      </c>
      <c r="V1016" s="55">
        <f>IFERROR(Table12[[#This Row],[Profit]]/Table12[[#This Row],[Sales]],0)</f>
        <v>0.27500000000000002</v>
      </c>
    </row>
    <row r="1017" spans="1:22" x14ac:dyDescent="0.2">
      <c r="A1017">
        <v>1016</v>
      </c>
      <c r="B1017" t="s">
        <v>596</v>
      </c>
      <c r="C1017" s="1">
        <v>41890</v>
      </c>
      <c r="D1017" s="22">
        <f>MONTH(Table12[[#This Row],[Order Date]])</f>
        <v>9</v>
      </c>
      <c r="E1017" t="s">
        <v>601</v>
      </c>
      <c r="F1017" t="s">
        <v>603</v>
      </c>
      <c r="G1017" s="23" t="s">
        <v>64</v>
      </c>
      <c r="H1017" s="23" t="s">
        <v>602</v>
      </c>
      <c r="I1017" t="s">
        <v>597</v>
      </c>
      <c r="J1017" s="23" t="s">
        <v>22</v>
      </c>
      <c r="K1017" s="22">
        <v>8</v>
      </c>
      <c r="L1017" s="1">
        <v>41894</v>
      </c>
      <c r="M1017" s="22">
        <f>Table12[[#This Row],[Ship Date]]-Table12[[#This Row],[Order Date]]</f>
        <v>4</v>
      </c>
      <c r="N1017" s="23" t="s">
        <v>45</v>
      </c>
      <c r="O1017" s="23" t="s">
        <v>23</v>
      </c>
      <c r="P1017" s="23" t="s">
        <v>94</v>
      </c>
      <c r="Q1017" s="23" t="s">
        <v>95</v>
      </c>
      <c r="R1017" s="23" t="s">
        <v>598</v>
      </c>
      <c r="S1017" s="33">
        <v>0.4</v>
      </c>
      <c r="T1017" s="13">
        <v>8159.9520000000002</v>
      </c>
      <c r="U1017" s="13">
        <v>-1359.992</v>
      </c>
      <c r="V1017" s="55">
        <f>IFERROR(Table12[[#This Row],[Profit]]/Table12[[#This Row],[Sales]],0)</f>
        <v>-0.16666666666666666</v>
      </c>
    </row>
    <row r="1018" spans="1:22" x14ac:dyDescent="0.2">
      <c r="A1018">
        <v>1017</v>
      </c>
      <c r="B1018" t="s">
        <v>596</v>
      </c>
      <c r="C1018" s="1">
        <v>41890</v>
      </c>
      <c r="D1018" s="22">
        <f>MONTH(Table12[[#This Row],[Order Date]])</f>
        <v>9</v>
      </c>
      <c r="E1018" t="s">
        <v>604</v>
      </c>
      <c r="F1018" t="s">
        <v>605</v>
      </c>
      <c r="G1018" s="23" t="s">
        <v>41</v>
      </c>
      <c r="H1018" s="23" t="s">
        <v>53</v>
      </c>
      <c r="I1018" t="s">
        <v>597</v>
      </c>
      <c r="J1018" s="23" t="s">
        <v>22</v>
      </c>
      <c r="K1018" s="22">
        <v>3</v>
      </c>
      <c r="L1018" s="1">
        <v>41894</v>
      </c>
      <c r="M1018" s="22">
        <f>Table12[[#This Row],[Ship Date]]-Table12[[#This Row],[Order Date]]</f>
        <v>4</v>
      </c>
      <c r="N1018" s="23" t="s">
        <v>45</v>
      </c>
      <c r="O1018" s="23" t="s">
        <v>23</v>
      </c>
      <c r="P1018" s="23" t="s">
        <v>94</v>
      </c>
      <c r="Q1018" s="23" t="s">
        <v>95</v>
      </c>
      <c r="R1018" s="23" t="s">
        <v>598</v>
      </c>
      <c r="S1018" s="33">
        <v>0.2</v>
      </c>
      <c r="T1018" s="13">
        <v>275.928</v>
      </c>
      <c r="U1018" s="13">
        <v>-58.634700000000002</v>
      </c>
      <c r="V1018" s="55">
        <f>IFERROR(Table12[[#This Row],[Profit]]/Table12[[#This Row],[Sales]],0)</f>
        <v>-0.21250000000000002</v>
      </c>
    </row>
    <row r="1019" spans="1:22" x14ac:dyDescent="0.2">
      <c r="A1019">
        <v>1018</v>
      </c>
      <c r="B1019" t="s">
        <v>596</v>
      </c>
      <c r="C1019" s="1">
        <v>41890</v>
      </c>
      <c r="D1019" s="22">
        <f>MONTH(Table12[[#This Row],[Order Date]])</f>
        <v>9</v>
      </c>
      <c r="E1019" t="s">
        <v>606</v>
      </c>
      <c r="F1019" t="s">
        <v>607</v>
      </c>
      <c r="G1019" s="23" t="s">
        <v>28</v>
      </c>
      <c r="H1019" s="23" t="s">
        <v>32</v>
      </c>
      <c r="I1019" t="s">
        <v>597</v>
      </c>
      <c r="J1019" s="23" t="s">
        <v>22</v>
      </c>
      <c r="K1019" s="22">
        <v>9</v>
      </c>
      <c r="L1019" s="1">
        <v>41894</v>
      </c>
      <c r="M1019" s="22">
        <f>Table12[[#This Row],[Ship Date]]-Table12[[#This Row],[Order Date]]</f>
        <v>4</v>
      </c>
      <c r="N1019" s="23" t="s">
        <v>45</v>
      </c>
      <c r="O1019" s="23" t="s">
        <v>23</v>
      </c>
      <c r="P1019" s="23" t="s">
        <v>94</v>
      </c>
      <c r="Q1019" s="23" t="s">
        <v>95</v>
      </c>
      <c r="R1019" s="23" t="s">
        <v>598</v>
      </c>
      <c r="S1019" s="33">
        <v>0.3</v>
      </c>
      <c r="T1019" s="13">
        <v>1740.06</v>
      </c>
      <c r="U1019" s="13">
        <v>-24.858000000000001</v>
      </c>
      <c r="V1019" s="55">
        <f>IFERROR(Table12[[#This Row],[Profit]]/Table12[[#This Row],[Sales]],0)</f>
        <v>-1.4285714285714287E-2</v>
      </c>
    </row>
    <row r="1020" spans="1:22" x14ac:dyDescent="0.2">
      <c r="A1020">
        <v>1019</v>
      </c>
      <c r="B1020" t="s">
        <v>596</v>
      </c>
      <c r="C1020" s="1">
        <v>41890</v>
      </c>
      <c r="D1020" s="22">
        <f>MONTH(Table12[[#This Row],[Order Date]])</f>
        <v>9</v>
      </c>
      <c r="E1020" t="s">
        <v>608</v>
      </c>
      <c r="F1020" t="s">
        <v>609</v>
      </c>
      <c r="G1020" s="23" t="s">
        <v>41</v>
      </c>
      <c r="H1020" s="23" t="s">
        <v>61</v>
      </c>
      <c r="I1020" t="s">
        <v>597</v>
      </c>
      <c r="J1020" s="23" t="s">
        <v>22</v>
      </c>
      <c r="K1020" s="22">
        <v>6</v>
      </c>
      <c r="L1020" s="1">
        <v>41894</v>
      </c>
      <c r="M1020" s="22">
        <f>Table12[[#This Row],[Ship Date]]-Table12[[#This Row],[Order Date]]</f>
        <v>4</v>
      </c>
      <c r="N1020" s="23" t="s">
        <v>45</v>
      </c>
      <c r="O1020" s="23" t="s">
        <v>23</v>
      </c>
      <c r="P1020" s="23" t="s">
        <v>94</v>
      </c>
      <c r="Q1020" s="23" t="s">
        <v>95</v>
      </c>
      <c r="R1020" s="23" t="s">
        <v>598</v>
      </c>
      <c r="S1020" s="33">
        <v>0.2</v>
      </c>
      <c r="T1020" s="13">
        <v>32.064</v>
      </c>
      <c r="U1020" s="13">
        <v>6.8136000000000001</v>
      </c>
      <c r="V1020" s="55">
        <f>IFERROR(Table12[[#This Row],[Profit]]/Table12[[#This Row],[Sales]],0)</f>
        <v>0.21249999999999999</v>
      </c>
    </row>
    <row r="1021" spans="1:22" x14ac:dyDescent="0.2">
      <c r="A1021">
        <v>1020</v>
      </c>
      <c r="B1021" t="s">
        <v>596</v>
      </c>
      <c r="C1021" s="1">
        <v>41890</v>
      </c>
      <c r="D1021" s="22">
        <f>MONTH(Table12[[#This Row],[Order Date]])</f>
        <v>9</v>
      </c>
      <c r="E1021" t="s">
        <v>610</v>
      </c>
      <c r="F1021" t="s">
        <v>611</v>
      </c>
      <c r="G1021" s="23" t="s">
        <v>41</v>
      </c>
      <c r="H1021" s="23" t="s">
        <v>71</v>
      </c>
      <c r="I1021" t="s">
        <v>597</v>
      </c>
      <c r="J1021" s="23" t="s">
        <v>22</v>
      </c>
      <c r="K1021" s="22">
        <v>5</v>
      </c>
      <c r="L1021" s="1">
        <v>41894</v>
      </c>
      <c r="M1021" s="22">
        <f>Table12[[#This Row],[Ship Date]]-Table12[[#This Row],[Order Date]]</f>
        <v>4</v>
      </c>
      <c r="N1021" s="23" t="s">
        <v>45</v>
      </c>
      <c r="O1021" s="23" t="s">
        <v>23</v>
      </c>
      <c r="P1021" s="23" t="s">
        <v>94</v>
      </c>
      <c r="Q1021" s="23" t="s">
        <v>95</v>
      </c>
      <c r="R1021" s="23" t="s">
        <v>598</v>
      </c>
      <c r="S1021" s="33">
        <v>0.8</v>
      </c>
      <c r="T1021" s="13">
        <v>177.98</v>
      </c>
      <c r="U1021" s="13">
        <v>-453.84899999999999</v>
      </c>
      <c r="V1021" s="55">
        <f>IFERROR(Table12[[#This Row],[Profit]]/Table12[[#This Row],[Sales]],0)</f>
        <v>-2.5500000000000003</v>
      </c>
    </row>
    <row r="1022" spans="1:22" x14ac:dyDescent="0.2">
      <c r="A1022">
        <v>1021</v>
      </c>
      <c r="B1022" t="s">
        <v>596</v>
      </c>
      <c r="C1022" s="1">
        <v>41890</v>
      </c>
      <c r="D1022" s="22">
        <f>MONTH(Table12[[#This Row],[Order Date]])</f>
        <v>9</v>
      </c>
      <c r="E1022" t="s">
        <v>612</v>
      </c>
      <c r="F1022" t="s">
        <v>613</v>
      </c>
      <c r="G1022" s="23" t="s">
        <v>64</v>
      </c>
      <c r="H1022" s="23" t="s">
        <v>65</v>
      </c>
      <c r="I1022" t="s">
        <v>597</v>
      </c>
      <c r="J1022" s="23" t="s">
        <v>22</v>
      </c>
      <c r="K1022" s="22">
        <v>3</v>
      </c>
      <c r="L1022" s="1">
        <v>41894</v>
      </c>
      <c r="M1022" s="22">
        <f>Table12[[#This Row],[Ship Date]]-Table12[[#This Row],[Order Date]]</f>
        <v>4</v>
      </c>
      <c r="N1022" s="23" t="s">
        <v>45</v>
      </c>
      <c r="O1022" s="23" t="s">
        <v>23</v>
      </c>
      <c r="P1022" s="23" t="s">
        <v>94</v>
      </c>
      <c r="Q1022" s="23" t="s">
        <v>95</v>
      </c>
      <c r="R1022" s="23" t="s">
        <v>598</v>
      </c>
      <c r="S1022" s="33">
        <v>0.2</v>
      </c>
      <c r="T1022" s="13">
        <v>143.976</v>
      </c>
      <c r="U1022" s="13">
        <v>8.9984999999999999</v>
      </c>
      <c r="V1022" s="55">
        <f>IFERROR(Table12[[#This Row],[Profit]]/Table12[[#This Row],[Sales]],0)</f>
        <v>6.25E-2</v>
      </c>
    </row>
    <row r="1023" spans="1:22" x14ac:dyDescent="0.2">
      <c r="A1023">
        <v>1022</v>
      </c>
      <c r="B1023" t="s">
        <v>2076</v>
      </c>
      <c r="C1023" s="1">
        <v>41890</v>
      </c>
      <c r="D1023" s="22">
        <f>MONTH(Table12[[#This Row],[Order Date]])</f>
        <v>9</v>
      </c>
      <c r="E1023" t="s">
        <v>2077</v>
      </c>
      <c r="F1023" t="s">
        <v>2078</v>
      </c>
      <c r="G1023" s="23" t="s">
        <v>64</v>
      </c>
      <c r="H1023" s="23" t="s">
        <v>144</v>
      </c>
      <c r="I1023" t="s">
        <v>399</v>
      </c>
      <c r="J1023" s="23" t="s">
        <v>22</v>
      </c>
      <c r="K1023" s="22">
        <v>2</v>
      </c>
      <c r="L1023" s="1">
        <v>41894</v>
      </c>
      <c r="M1023" s="22">
        <f>Table12[[#This Row],[Ship Date]]-Table12[[#This Row],[Order Date]]</f>
        <v>4</v>
      </c>
      <c r="N1023" s="23" t="s">
        <v>45</v>
      </c>
      <c r="O1023" s="23" t="s">
        <v>23</v>
      </c>
      <c r="P1023" s="23" t="s">
        <v>38</v>
      </c>
      <c r="Q1023" s="23" t="s">
        <v>39</v>
      </c>
      <c r="R1023" s="23" t="s">
        <v>114</v>
      </c>
      <c r="S1023" s="33">
        <v>0</v>
      </c>
      <c r="T1023" s="13">
        <v>49.98</v>
      </c>
      <c r="U1023" s="13">
        <v>8.4966000000000008</v>
      </c>
      <c r="V1023" s="55">
        <f>IFERROR(Table12[[#This Row],[Profit]]/Table12[[#This Row],[Sales]],0)</f>
        <v>0.17000000000000004</v>
      </c>
    </row>
    <row r="1024" spans="1:22" x14ac:dyDescent="0.2">
      <c r="A1024">
        <v>1023</v>
      </c>
      <c r="B1024" t="s">
        <v>2287</v>
      </c>
      <c r="C1024" s="1">
        <v>41890</v>
      </c>
      <c r="D1024" s="22">
        <f>MONTH(Table12[[#This Row],[Order Date]])</f>
        <v>9</v>
      </c>
      <c r="E1024" t="s">
        <v>2288</v>
      </c>
      <c r="F1024" t="s">
        <v>2289</v>
      </c>
      <c r="G1024" s="23" t="s">
        <v>41</v>
      </c>
      <c r="H1024" s="23" t="s">
        <v>68</v>
      </c>
      <c r="I1024" t="s">
        <v>2126</v>
      </c>
      <c r="J1024" s="23" t="s">
        <v>22</v>
      </c>
      <c r="K1024" s="22">
        <v>4</v>
      </c>
      <c r="L1024" s="1">
        <v>41895</v>
      </c>
      <c r="M1024" s="22">
        <f>Table12[[#This Row],[Ship Date]]-Table12[[#This Row],[Order Date]]</f>
        <v>5</v>
      </c>
      <c r="N1024" s="23" t="s">
        <v>20</v>
      </c>
      <c r="O1024" s="23" t="s">
        <v>23</v>
      </c>
      <c r="P1024" s="23" t="s">
        <v>94</v>
      </c>
      <c r="Q1024" s="23" t="s">
        <v>95</v>
      </c>
      <c r="R1024" s="23" t="s">
        <v>1940</v>
      </c>
      <c r="S1024" s="33">
        <v>0.8</v>
      </c>
      <c r="T1024" s="13">
        <v>51.183999999999997</v>
      </c>
      <c r="U1024" s="13">
        <v>-79.3352</v>
      </c>
      <c r="V1024" s="55">
        <f>IFERROR(Table12[[#This Row],[Profit]]/Table12[[#This Row],[Sales]],0)</f>
        <v>-1.55</v>
      </c>
    </row>
    <row r="1025" spans="1:22" x14ac:dyDescent="0.2">
      <c r="A1025">
        <v>1024</v>
      </c>
      <c r="B1025" t="s">
        <v>3139</v>
      </c>
      <c r="C1025" s="1">
        <v>41890</v>
      </c>
      <c r="D1025" s="22">
        <f>MONTH(Table12[[#This Row],[Order Date]])</f>
        <v>9</v>
      </c>
      <c r="E1025" t="s">
        <v>3141</v>
      </c>
      <c r="F1025" t="s">
        <v>3142</v>
      </c>
      <c r="G1025" s="23" t="s">
        <v>64</v>
      </c>
      <c r="H1025" s="23" t="s">
        <v>144</v>
      </c>
      <c r="I1025" t="s">
        <v>2519</v>
      </c>
      <c r="J1025" s="23" t="s">
        <v>36</v>
      </c>
      <c r="K1025" s="22">
        <v>3</v>
      </c>
      <c r="L1025" s="1">
        <v>41893</v>
      </c>
      <c r="M1025" s="22">
        <f>Table12[[#This Row],[Ship Date]]-Table12[[#This Row],[Order Date]]</f>
        <v>3</v>
      </c>
      <c r="N1025" s="23" t="s">
        <v>169</v>
      </c>
      <c r="O1025" s="23" t="s">
        <v>23</v>
      </c>
      <c r="P1025" s="23" t="s">
        <v>1125</v>
      </c>
      <c r="Q1025" s="23" t="s">
        <v>26</v>
      </c>
      <c r="R1025" s="23" t="s">
        <v>3140</v>
      </c>
      <c r="S1025" s="33">
        <v>0</v>
      </c>
      <c r="T1025" s="13">
        <v>32.97</v>
      </c>
      <c r="U1025" s="13">
        <v>12.8583</v>
      </c>
      <c r="V1025" s="55">
        <f>IFERROR(Table12[[#This Row],[Profit]]/Table12[[#This Row],[Sales]],0)</f>
        <v>0.39</v>
      </c>
    </row>
    <row r="1026" spans="1:22" x14ac:dyDescent="0.2">
      <c r="A1026">
        <v>1025</v>
      </c>
      <c r="B1026" t="s">
        <v>3139</v>
      </c>
      <c r="C1026" s="1">
        <v>41890</v>
      </c>
      <c r="D1026" s="22">
        <f>MONTH(Table12[[#This Row],[Order Date]])</f>
        <v>9</v>
      </c>
      <c r="E1026" t="s">
        <v>3143</v>
      </c>
      <c r="F1026" t="s">
        <v>3144</v>
      </c>
      <c r="G1026" s="23" t="s">
        <v>64</v>
      </c>
      <c r="H1026" s="23" t="s">
        <v>144</v>
      </c>
      <c r="I1026" t="s">
        <v>2519</v>
      </c>
      <c r="J1026" s="23" t="s">
        <v>36</v>
      </c>
      <c r="K1026" s="22">
        <v>4</v>
      </c>
      <c r="L1026" s="1">
        <v>41893</v>
      </c>
      <c r="M1026" s="22">
        <f>Table12[[#This Row],[Ship Date]]-Table12[[#This Row],[Order Date]]</f>
        <v>3</v>
      </c>
      <c r="N1026" s="23" t="s">
        <v>169</v>
      </c>
      <c r="O1026" s="23" t="s">
        <v>23</v>
      </c>
      <c r="P1026" s="23" t="s">
        <v>1125</v>
      </c>
      <c r="Q1026" s="23" t="s">
        <v>26</v>
      </c>
      <c r="R1026" s="23" t="s">
        <v>3140</v>
      </c>
      <c r="S1026" s="33">
        <v>0</v>
      </c>
      <c r="T1026" s="13">
        <v>83.88</v>
      </c>
      <c r="U1026" s="13">
        <v>30.1968</v>
      </c>
      <c r="V1026" s="55">
        <f>IFERROR(Table12[[#This Row],[Profit]]/Table12[[#This Row],[Sales]],0)</f>
        <v>0.36000000000000004</v>
      </c>
    </row>
    <row r="1027" spans="1:22" x14ac:dyDescent="0.2">
      <c r="A1027">
        <v>1026</v>
      </c>
      <c r="B1027" t="s">
        <v>5940</v>
      </c>
      <c r="C1027" s="1">
        <v>41890</v>
      </c>
      <c r="D1027" s="22">
        <f>MONTH(Table12[[#This Row],[Order Date]])</f>
        <v>9</v>
      </c>
      <c r="E1027" t="s">
        <v>4264</v>
      </c>
      <c r="F1027" t="s">
        <v>4265</v>
      </c>
      <c r="G1027" s="23" t="s">
        <v>41</v>
      </c>
      <c r="H1027" s="23" t="s">
        <v>71</v>
      </c>
      <c r="I1027" t="s">
        <v>3710</v>
      </c>
      <c r="J1027" s="23" t="s">
        <v>92</v>
      </c>
      <c r="K1027" s="22">
        <v>5</v>
      </c>
      <c r="L1027" s="1">
        <v>41896</v>
      </c>
      <c r="M1027" s="22">
        <f>Table12[[#This Row],[Ship Date]]-Table12[[#This Row],[Order Date]]</f>
        <v>6</v>
      </c>
      <c r="N1027" s="23" t="s">
        <v>45</v>
      </c>
      <c r="O1027" s="23" t="s">
        <v>23</v>
      </c>
      <c r="P1027" s="23" t="s">
        <v>38</v>
      </c>
      <c r="Q1027" s="23" t="s">
        <v>39</v>
      </c>
      <c r="R1027" s="23" t="s">
        <v>114</v>
      </c>
      <c r="S1027" s="33">
        <v>0</v>
      </c>
      <c r="T1027" s="13">
        <v>56.65</v>
      </c>
      <c r="U1027" s="13">
        <v>24.359500000000001</v>
      </c>
      <c r="V1027" s="55">
        <f>IFERROR(Table12[[#This Row],[Profit]]/Table12[[#This Row],[Sales]],0)</f>
        <v>0.43000000000000005</v>
      </c>
    </row>
    <row r="1028" spans="1:22" x14ac:dyDescent="0.2">
      <c r="A1028">
        <v>1027</v>
      </c>
      <c r="B1028" t="s">
        <v>5940</v>
      </c>
      <c r="C1028" s="1">
        <v>41890</v>
      </c>
      <c r="D1028" s="22">
        <f>MONTH(Table12[[#This Row],[Order Date]])</f>
        <v>9</v>
      </c>
      <c r="E1028" t="s">
        <v>1148</v>
      </c>
      <c r="F1028" t="s">
        <v>1149</v>
      </c>
      <c r="G1028" s="23" t="s">
        <v>41</v>
      </c>
      <c r="H1028" s="23" t="s">
        <v>53</v>
      </c>
      <c r="I1028" t="s">
        <v>3710</v>
      </c>
      <c r="J1028" s="23" t="s">
        <v>92</v>
      </c>
      <c r="K1028" s="22">
        <v>1</v>
      </c>
      <c r="L1028" s="1">
        <v>41896</v>
      </c>
      <c r="M1028" s="22">
        <f>Table12[[#This Row],[Ship Date]]-Table12[[#This Row],[Order Date]]</f>
        <v>6</v>
      </c>
      <c r="N1028" s="23" t="s">
        <v>45</v>
      </c>
      <c r="O1028" s="23" t="s">
        <v>23</v>
      </c>
      <c r="P1028" s="23" t="s">
        <v>38</v>
      </c>
      <c r="Q1028" s="23" t="s">
        <v>39</v>
      </c>
      <c r="R1028" s="23" t="s">
        <v>114</v>
      </c>
      <c r="S1028" s="33">
        <v>0</v>
      </c>
      <c r="T1028" s="13">
        <v>14.97</v>
      </c>
      <c r="U1028" s="13">
        <v>4.1916000000000002</v>
      </c>
      <c r="V1028" s="55">
        <f>IFERROR(Table12[[#This Row],[Profit]]/Table12[[#This Row],[Sales]],0)</f>
        <v>0.28000000000000003</v>
      </c>
    </row>
    <row r="1029" spans="1:22" x14ac:dyDescent="0.2">
      <c r="A1029">
        <v>1028</v>
      </c>
      <c r="B1029" t="s">
        <v>5940</v>
      </c>
      <c r="C1029" s="1">
        <v>41890</v>
      </c>
      <c r="D1029" s="22">
        <f>MONTH(Table12[[#This Row],[Order Date]])</f>
        <v>9</v>
      </c>
      <c r="E1029" t="s">
        <v>508</v>
      </c>
      <c r="F1029" t="s">
        <v>509</v>
      </c>
      <c r="G1029" s="23" t="s">
        <v>41</v>
      </c>
      <c r="H1029" s="23" t="s">
        <v>240</v>
      </c>
      <c r="I1029" t="s">
        <v>3710</v>
      </c>
      <c r="J1029" s="23" t="s">
        <v>92</v>
      </c>
      <c r="K1029" s="22">
        <v>2</v>
      </c>
      <c r="L1029" s="1">
        <v>41896</v>
      </c>
      <c r="M1029" s="22">
        <f>Table12[[#This Row],[Ship Date]]-Table12[[#This Row],[Order Date]]</f>
        <v>6</v>
      </c>
      <c r="N1029" s="23" t="s">
        <v>45</v>
      </c>
      <c r="O1029" s="23" t="s">
        <v>23</v>
      </c>
      <c r="P1029" s="23" t="s">
        <v>38</v>
      </c>
      <c r="Q1029" s="23" t="s">
        <v>39</v>
      </c>
      <c r="R1029" s="23" t="s">
        <v>114</v>
      </c>
      <c r="S1029" s="33">
        <v>0</v>
      </c>
      <c r="T1029" s="13">
        <v>4.0199999999999996</v>
      </c>
      <c r="U1029" s="13">
        <v>1.9698</v>
      </c>
      <c r="V1029" s="55">
        <f>IFERROR(Table12[[#This Row],[Profit]]/Table12[[#This Row],[Sales]],0)</f>
        <v>0.49000000000000005</v>
      </c>
    </row>
    <row r="1030" spans="1:22" x14ac:dyDescent="0.2">
      <c r="A1030">
        <v>1029</v>
      </c>
      <c r="B1030" t="s">
        <v>6511</v>
      </c>
      <c r="C1030" s="1">
        <v>41890</v>
      </c>
      <c r="D1030" s="22">
        <f>MONTH(Table12[[#This Row],[Order Date]])</f>
        <v>9</v>
      </c>
      <c r="E1030" t="s">
        <v>2264</v>
      </c>
      <c r="F1030" t="s">
        <v>2265</v>
      </c>
      <c r="G1030" s="23" t="s">
        <v>41</v>
      </c>
      <c r="H1030" s="23" t="s">
        <v>240</v>
      </c>
      <c r="I1030" t="s">
        <v>579</v>
      </c>
      <c r="J1030" s="23" t="s">
        <v>22</v>
      </c>
      <c r="K1030" s="22">
        <v>9</v>
      </c>
      <c r="L1030" s="1">
        <v>41895</v>
      </c>
      <c r="M1030" s="22">
        <f>Table12[[#This Row],[Ship Date]]-Table12[[#This Row],[Order Date]]</f>
        <v>5</v>
      </c>
      <c r="N1030" s="23" t="s">
        <v>45</v>
      </c>
      <c r="O1030" s="23" t="s">
        <v>23</v>
      </c>
      <c r="P1030" s="23" t="s">
        <v>285</v>
      </c>
      <c r="Q1030" s="23" t="s">
        <v>26</v>
      </c>
      <c r="R1030" s="23" t="s">
        <v>4320</v>
      </c>
      <c r="S1030" s="33">
        <v>0</v>
      </c>
      <c r="T1030" s="13">
        <v>45</v>
      </c>
      <c r="U1030" s="13">
        <v>21.6</v>
      </c>
      <c r="V1030" s="55">
        <f>IFERROR(Table12[[#This Row],[Profit]]/Table12[[#This Row],[Sales]],0)</f>
        <v>0.48000000000000004</v>
      </c>
    </row>
    <row r="1031" spans="1:22" x14ac:dyDescent="0.2">
      <c r="A1031">
        <v>1030</v>
      </c>
      <c r="B1031" t="s">
        <v>6511</v>
      </c>
      <c r="C1031" s="1">
        <v>41890</v>
      </c>
      <c r="D1031" s="22">
        <f>MONTH(Table12[[#This Row],[Order Date]])</f>
        <v>9</v>
      </c>
      <c r="E1031" t="s">
        <v>1327</v>
      </c>
      <c r="F1031" t="s">
        <v>1328</v>
      </c>
      <c r="G1031" s="23" t="s">
        <v>64</v>
      </c>
      <c r="H1031" s="23" t="s">
        <v>602</v>
      </c>
      <c r="I1031" t="s">
        <v>579</v>
      </c>
      <c r="J1031" s="23" t="s">
        <v>22</v>
      </c>
      <c r="K1031" s="22">
        <v>3</v>
      </c>
      <c r="L1031" s="1">
        <v>41895</v>
      </c>
      <c r="M1031" s="22">
        <f>Table12[[#This Row],[Ship Date]]-Table12[[#This Row],[Order Date]]</f>
        <v>5</v>
      </c>
      <c r="N1031" s="23" t="s">
        <v>45</v>
      </c>
      <c r="O1031" s="23" t="s">
        <v>23</v>
      </c>
      <c r="P1031" s="23" t="s">
        <v>285</v>
      </c>
      <c r="Q1031" s="23" t="s">
        <v>26</v>
      </c>
      <c r="R1031" s="23" t="s">
        <v>4320</v>
      </c>
      <c r="S1031" s="33">
        <v>0</v>
      </c>
      <c r="T1031" s="13">
        <v>209.97</v>
      </c>
      <c r="U1031" s="13">
        <v>90.287099999999995</v>
      </c>
      <c r="V1031" s="55">
        <f>IFERROR(Table12[[#This Row],[Profit]]/Table12[[#This Row],[Sales]],0)</f>
        <v>0.43</v>
      </c>
    </row>
    <row r="1032" spans="1:22" x14ac:dyDescent="0.2">
      <c r="A1032">
        <v>1031</v>
      </c>
      <c r="B1032" t="s">
        <v>6666</v>
      </c>
      <c r="C1032" s="1">
        <v>41890</v>
      </c>
      <c r="D1032" s="22">
        <f>MONTH(Table12[[#This Row],[Order Date]])</f>
        <v>9</v>
      </c>
      <c r="E1032" t="s">
        <v>6396</v>
      </c>
      <c r="F1032" t="s">
        <v>6397</v>
      </c>
      <c r="G1032" s="23" t="s">
        <v>41</v>
      </c>
      <c r="H1032" s="23" t="s">
        <v>71</v>
      </c>
      <c r="I1032" t="s">
        <v>3026</v>
      </c>
      <c r="J1032" s="23" t="s">
        <v>36</v>
      </c>
      <c r="K1032" s="22">
        <v>2</v>
      </c>
      <c r="L1032" s="1">
        <v>41894</v>
      </c>
      <c r="M1032" s="22">
        <f>Table12[[#This Row],[Ship Date]]-Table12[[#This Row],[Order Date]]</f>
        <v>4</v>
      </c>
      <c r="N1032" s="23" t="s">
        <v>45</v>
      </c>
      <c r="O1032" s="23" t="s">
        <v>23</v>
      </c>
      <c r="P1032" s="23" t="s">
        <v>238</v>
      </c>
      <c r="Q1032" s="23" t="s">
        <v>133</v>
      </c>
      <c r="R1032" s="23" t="s">
        <v>1037</v>
      </c>
      <c r="S1032" s="33">
        <v>0</v>
      </c>
      <c r="T1032" s="13">
        <v>16.78</v>
      </c>
      <c r="U1032" s="13">
        <v>4.1950000000000003</v>
      </c>
      <c r="V1032" s="55">
        <f>IFERROR(Table12[[#This Row],[Profit]]/Table12[[#This Row],[Sales]],0)</f>
        <v>0.25</v>
      </c>
    </row>
    <row r="1033" spans="1:22" x14ac:dyDescent="0.2">
      <c r="A1033">
        <v>1032</v>
      </c>
      <c r="B1033" t="s">
        <v>7071</v>
      </c>
      <c r="C1033" s="1">
        <v>41890</v>
      </c>
      <c r="D1033" s="22">
        <f>MONTH(Table12[[#This Row],[Order Date]])</f>
        <v>9</v>
      </c>
      <c r="E1033" t="s">
        <v>1462</v>
      </c>
      <c r="F1033" t="s">
        <v>1463</v>
      </c>
      <c r="G1033" s="23" t="s">
        <v>41</v>
      </c>
      <c r="H1033" s="23" t="s">
        <v>61</v>
      </c>
      <c r="I1033" t="s">
        <v>3765</v>
      </c>
      <c r="J1033" s="23" t="s">
        <v>22</v>
      </c>
      <c r="K1033" s="22">
        <v>2</v>
      </c>
      <c r="L1033" s="1">
        <v>41896</v>
      </c>
      <c r="M1033" s="22">
        <f>Table12[[#This Row],[Ship Date]]-Table12[[#This Row],[Order Date]]</f>
        <v>6</v>
      </c>
      <c r="N1033" s="23" t="s">
        <v>45</v>
      </c>
      <c r="O1033" s="23" t="s">
        <v>23</v>
      </c>
      <c r="P1033" s="23" t="s">
        <v>87</v>
      </c>
      <c r="Q1033" s="23" t="s">
        <v>39</v>
      </c>
      <c r="R1033" s="23" t="s">
        <v>7072</v>
      </c>
      <c r="S1033" s="33">
        <v>0</v>
      </c>
      <c r="T1033" s="13">
        <v>5.88</v>
      </c>
      <c r="U1033" s="13">
        <v>2.6459999999999999</v>
      </c>
      <c r="V1033" s="55">
        <f>IFERROR(Table12[[#This Row],[Profit]]/Table12[[#This Row],[Sales]],0)</f>
        <v>0.45</v>
      </c>
    </row>
    <row r="1034" spans="1:22" x14ac:dyDescent="0.2">
      <c r="A1034">
        <v>1033</v>
      </c>
      <c r="B1034" t="s">
        <v>7071</v>
      </c>
      <c r="C1034" s="1">
        <v>41890</v>
      </c>
      <c r="D1034" s="22">
        <f>MONTH(Table12[[#This Row],[Order Date]])</f>
        <v>9</v>
      </c>
      <c r="E1034" t="s">
        <v>31</v>
      </c>
      <c r="F1034" t="s">
        <v>33</v>
      </c>
      <c r="G1034" s="23" t="s">
        <v>28</v>
      </c>
      <c r="H1034" s="23" t="s">
        <v>32</v>
      </c>
      <c r="I1034" t="s">
        <v>3765</v>
      </c>
      <c r="J1034" s="23" t="s">
        <v>22</v>
      </c>
      <c r="K1034" s="22">
        <v>5</v>
      </c>
      <c r="L1034" s="1">
        <v>41896</v>
      </c>
      <c r="M1034" s="22">
        <f>Table12[[#This Row],[Ship Date]]-Table12[[#This Row],[Order Date]]</f>
        <v>6</v>
      </c>
      <c r="N1034" s="23" t="s">
        <v>45</v>
      </c>
      <c r="O1034" s="23" t="s">
        <v>23</v>
      </c>
      <c r="P1034" s="23" t="s">
        <v>87</v>
      </c>
      <c r="Q1034" s="23" t="s">
        <v>39</v>
      </c>
      <c r="R1034" s="23" t="s">
        <v>7072</v>
      </c>
      <c r="S1034" s="33">
        <v>0.2</v>
      </c>
      <c r="T1034" s="13">
        <v>975.92</v>
      </c>
      <c r="U1034" s="13">
        <v>121.99</v>
      </c>
      <c r="V1034" s="55">
        <f>IFERROR(Table12[[#This Row],[Profit]]/Table12[[#This Row],[Sales]],0)</f>
        <v>0.125</v>
      </c>
    </row>
    <row r="1035" spans="1:22" x14ac:dyDescent="0.2">
      <c r="A1035">
        <v>1034</v>
      </c>
      <c r="B1035" t="s">
        <v>7071</v>
      </c>
      <c r="C1035" s="1">
        <v>41890</v>
      </c>
      <c r="D1035" s="22">
        <f>MONTH(Table12[[#This Row],[Order Date]])</f>
        <v>9</v>
      </c>
      <c r="E1035" t="s">
        <v>434</v>
      </c>
      <c r="F1035" t="s">
        <v>435</v>
      </c>
      <c r="G1035" s="23" t="s">
        <v>41</v>
      </c>
      <c r="H1035" s="23" t="s">
        <v>61</v>
      </c>
      <c r="I1035" t="s">
        <v>3765</v>
      </c>
      <c r="J1035" s="23" t="s">
        <v>22</v>
      </c>
      <c r="K1035" s="22">
        <v>8</v>
      </c>
      <c r="L1035" s="1">
        <v>41896</v>
      </c>
      <c r="M1035" s="22">
        <f>Table12[[#This Row],[Ship Date]]-Table12[[#This Row],[Order Date]]</f>
        <v>6</v>
      </c>
      <c r="N1035" s="23" t="s">
        <v>45</v>
      </c>
      <c r="O1035" s="23" t="s">
        <v>23</v>
      </c>
      <c r="P1035" s="23" t="s">
        <v>87</v>
      </c>
      <c r="Q1035" s="23" t="s">
        <v>39</v>
      </c>
      <c r="R1035" s="23" t="s">
        <v>7072</v>
      </c>
      <c r="S1035" s="33">
        <v>0</v>
      </c>
      <c r="T1035" s="13">
        <v>303.83999999999997</v>
      </c>
      <c r="U1035" s="13">
        <v>91.152000000000001</v>
      </c>
      <c r="V1035" s="55">
        <f>IFERROR(Table12[[#This Row],[Profit]]/Table12[[#This Row],[Sales]],0)</f>
        <v>0.30000000000000004</v>
      </c>
    </row>
    <row r="1036" spans="1:22" x14ac:dyDescent="0.2">
      <c r="A1036">
        <v>1035</v>
      </c>
      <c r="B1036" t="s">
        <v>7071</v>
      </c>
      <c r="C1036" s="1">
        <v>41890</v>
      </c>
      <c r="D1036" s="22">
        <f>MONTH(Table12[[#This Row],[Order Date]])</f>
        <v>9</v>
      </c>
      <c r="E1036" t="s">
        <v>1572</v>
      </c>
      <c r="F1036" t="s">
        <v>1573</v>
      </c>
      <c r="G1036" s="23" t="s">
        <v>41</v>
      </c>
      <c r="H1036" s="23" t="s">
        <v>53</v>
      </c>
      <c r="I1036" t="s">
        <v>3765</v>
      </c>
      <c r="J1036" s="23" t="s">
        <v>22</v>
      </c>
      <c r="K1036" s="22">
        <v>6</v>
      </c>
      <c r="L1036" s="1">
        <v>41896</v>
      </c>
      <c r="M1036" s="22">
        <f>Table12[[#This Row],[Ship Date]]-Table12[[#This Row],[Order Date]]</f>
        <v>6</v>
      </c>
      <c r="N1036" s="23" t="s">
        <v>45</v>
      </c>
      <c r="O1036" s="23" t="s">
        <v>23</v>
      </c>
      <c r="P1036" s="23" t="s">
        <v>87</v>
      </c>
      <c r="Q1036" s="23" t="s">
        <v>39</v>
      </c>
      <c r="R1036" s="23" t="s">
        <v>7072</v>
      </c>
      <c r="S1036" s="33">
        <v>0</v>
      </c>
      <c r="T1036" s="13">
        <v>485.88</v>
      </c>
      <c r="U1036" s="13">
        <v>19.435199999999998</v>
      </c>
      <c r="V1036" s="55">
        <f>IFERROR(Table12[[#This Row],[Profit]]/Table12[[#This Row],[Sales]],0)</f>
        <v>3.9999999999999994E-2</v>
      </c>
    </row>
    <row r="1037" spans="1:22" x14ac:dyDescent="0.2">
      <c r="A1037">
        <v>1036</v>
      </c>
      <c r="B1037" t="s">
        <v>7367</v>
      </c>
      <c r="C1037" s="1">
        <v>41890</v>
      </c>
      <c r="D1037" s="22">
        <f>MONTH(Table12[[#This Row],[Order Date]])</f>
        <v>9</v>
      </c>
      <c r="E1037" t="s">
        <v>2963</v>
      </c>
      <c r="F1037" t="s">
        <v>2964</v>
      </c>
      <c r="G1037" s="23" t="s">
        <v>41</v>
      </c>
      <c r="H1037" s="23" t="s">
        <v>82</v>
      </c>
      <c r="I1037" t="s">
        <v>3299</v>
      </c>
      <c r="J1037" s="23" t="s">
        <v>22</v>
      </c>
      <c r="K1037" s="22">
        <v>2</v>
      </c>
      <c r="L1037" s="1">
        <v>41897</v>
      </c>
      <c r="M1037" s="22">
        <f>Table12[[#This Row],[Ship Date]]-Table12[[#This Row],[Order Date]]</f>
        <v>7</v>
      </c>
      <c r="N1037" s="23" t="s">
        <v>45</v>
      </c>
      <c r="O1037" s="23" t="s">
        <v>23</v>
      </c>
      <c r="P1037" s="23" t="s">
        <v>94</v>
      </c>
      <c r="Q1037" s="23" t="s">
        <v>95</v>
      </c>
      <c r="R1037" s="23" t="s">
        <v>165</v>
      </c>
      <c r="S1037" s="33">
        <v>0.2</v>
      </c>
      <c r="T1037" s="13">
        <v>17.904</v>
      </c>
      <c r="U1037" s="13">
        <v>6.2664</v>
      </c>
      <c r="V1037" s="55">
        <f>IFERROR(Table12[[#This Row],[Profit]]/Table12[[#This Row],[Sales]],0)</f>
        <v>0.35</v>
      </c>
    </row>
    <row r="1038" spans="1:22" x14ac:dyDescent="0.2">
      <c r="A1038">
        <v>1037</v>
      </c>
      <c r="B1038" t="s">
        <v>7367</v>
      </c>
      <c r="C1038" s="1">
        <v>41890</v>
      </c>
      <c r="D1038" s="22">
        <f>MONTH(Table12[[#This Row],[Order Date]])</f>
        <v>9</v>
      </c>
      <c r="E1038" t="s">
        <v>606</v>
      </c>
      <c r="F1038" t="s">
        <v>607</v>
      </c>
      <c r="G1038" s="23" t="s">
        <v>28</v>
      </c>
      <c r="H1038" s="23" t="s">
        <v>32</v>
      </c>
      <c r="I1038" t="s">
        <v>3299</v>
      </c>
      <c r="J1038" s="23" t="s">
        <v>22</v>
      </c>
      <c r="K1038" s="22">
        <v>5</v>
      </c>
      <c r="L1038" s="1">
        <v>41897</v>
      </c>
      <c r="M1038" s="22">
        <f>Table12[[#This Row],[Ship Date]]-Table12[[#This Row],[Order Date]]</f>
        <v>7</v>
      </c>
      <c r="N1038" s="23" t="s">
        <v>45</v>
      </c>
      <c r="O1038" s="23" t="s">
        <v>23</v>
      </c>
      <c r="P1038" s="23" t="s">
        <v>94</v>
      </c>
      <c r="Q1038" s="23" t="s">
        <v>95</v>
      </c>
      <c r="R1038" s="23" t="s">
        <v>165</v>
      </c>
      <c r="S1038" s="33">
        <v>0.3</v>
      </c>
      <c r="T1038" s="13">
        <v>966.7</v>
      </c>
      <c r="U1038" s="13">
        <v>-13.81</v>
      </c>
      <c r="V1038" s="55">
        <f>IFERROR(Table12[[#This Row],[Profit]]/Table12[[#This Row],[Sales]],0)</f>
        <v>-1.4285714285714285E-2</v>
      </c>
    </row>
    <row r="1039" spans="1:22" x14ac:dyDescent="0.2">
      <c r="A1039">
        <v>1038</v>
      </c>
      <c r="B1039" t="s">
        <v>7367</v>
      </c>
      <c r="C1039" s="1">
        <v>41890</v>
      </c>
      <c r="D1039" s="22">
        <f>MONTH(Table12[[#This Row],[Order Date]])</f>
        <v>9</v>
      </c>
      <c r="E1039" t="s">
        <v>286</v>
      </c>
      <c r="F1039" t="s">
        <v>287</v>
      </c>
      <c r="G1039" s="23" t="s">
        <v>41</v>
      </c>
      <c r="H1039" s="23" t="s">
        <v>82</v>
      </c>
      <c r="I1039" t="s">
        <v>3299</v>
      </c>
      <c r="J1039" s="23" t="s">
        <v>22</v>
      </c>
      <c r="K1039" s="22">
        <v>6</v>
      </c>
      <c r="L1039" s="1">
        <v>41897</v>
      </c>
      <c r="M1039" s="22">
        <f>Table12[[#This Row],[Ship Date]]-Table12[[#This Row],[Order Date]]</f>
        <v>7</v>
      </c>
      <c r="N1039" s="23" t="s">
        <v>45</v>
      </c>
      <c r="O1039" s="23" t="s">
        <v>23</v>
      </c>
      <c r="P1039" s="23" t="s">
        <v>94</v>
      </c>
      <c r="Q1039" s="23" t="s">
        <v>95</v>
      </c>
      <c r="R1039" s="23" t="s">
        <v>165</v>
      </c>
      <c r="S1039" s="33">
        <v>0.2</v>
      </c>
      <c r="T1039" s="13">
        <v>182.11199999999999</v>
      </c>
      <c r="U1039" s="13">
        <v>61.462800000000001</v>
      </c>
      <c r="V1039" s="55">
        <f>IFERROR(Table12[[#This Row],[Profit]]/Table12[[#This Row],[Sales]],0)</f>
        <v>0.33750000000000002</v>
      </c>
    </row>
    <row r="1040" spans="1:22" x14ac:dyDescent="0.2">
      <c r="A1040">
        <v>1039</v>
      </c>
      <c r="B1040" t="s">
        <v>9412</v>
      </c>
      <c r="C1040" s="1">
        <v>41890</v>
      </c>
      <c r="D1040" s="22">
        <f>MONTH(Table12[[#This Row],[Order Date]])</f>
        <v>9</v>
      </c>
      <c r="E1040" t="s">
        <v>3432</v>
      </c>
      <c r="F1040" t="s">
        <v>3433</v>
      </c>
      <c r="G1040" s="23" t="s">
        <v>28</v>
      </c>
      <c r="H1040" s="23" t="s">
        <v>32</v>
      </c>
      <c r="I1040" t="s">
        <v>3344</v>
      </c>
      <c r="J1040" s="23" t="s">
        <v>92</v>
      </c>
      <c r="K1040" s="22">
        <v>2</v>
      </c>
      <c r="L1040" s="1">
        <v>41895</v>
      </c>
      <c r="M1040" s="22">
        <f>Table12[[#This Row],[Ship Date]]-Table12[[#This Row],[Order Date]]</f>
        <v>5</v>
      </c>
      <c r="N1040" s="23" t="s">
        <v>45</v>
      </c>
      <c r="O1040" s="23" t="s">
        <v>23</v>
      </c>
      <c r="P1040" s="23" t="s">
        <v>238</v>
      </c>
      <c r="Q1040" s="23" t="s">
        <v>133</v>
      </c>
      <c r="R1040" s="23" t="s">
        <v>237</v>
      </c>
      <c r="S1040" s="33">
        <v>0.1</v>
      </c>
      <c r="T1040" s="13">
        <v>172.76400000000001</v>
      </c>
      <c r="U1040" s="13">
        <v>13.437200000000001</v>
      </c>
      <c r="V1040" s="55">
        <f>IFERROR(Table12[[#This Row],[Profit]]/Table12[[#This Row],[Sales]],0)</f>
        <v>7.7777777777777779E-2</v>
      </c>
    </row>
    <row r="1041" spans="1:22" x14ac:dyDescent="0.2">
      <c r="A1041">
        <v>1040</v>
      </c>
      <c r="B1041" t="s">
        <v>9412</v>
      </c>
      <c r="C1041" s="1">
        <v>41890</v>
      </c>
      <c r="D1041" s="22">
        <f>MONTH(Table12[[#This Row],[Order Date]])</f>
        <v>9</v>
      </c>
      <c r="E1041" t="s">
        <v>4588</v>
      </c>
      <c r="F1041" t="s">
        <v>4589</v>
      </c>
      <c r="G1041" s="23" t="s">
        <v>41</v>
      </c>
      <c r="H1041" s="23" t="s">
        <v>61</v>
      </c>
      <c r="I1041" t="s">
        <v>3344</v>
      </c>
      <c r="J1041" s="23" t="s">
        <v>92</v>
      </c>
      <c r="K1041" s="22">
        <v>2</v>
      </c>
      <c r="L1041" s="1">
        <v>41895</v>
      </c>
      <c r="M1041" s="22">
        <f>Table12[[#This Row],[Ship Date]]-Table12[[#This Row],[Order Date]]</f>
        <v>5</v>
      </c>
      <c r="N1041" s="23" t="s">
        <v>45</v>
      </c>
      <c r="O1041" s="23" t="s">
        <v>23</v>
      </c>
      <c r="P1041" s="23" t="s">
        <v>238</v>
      </c>
      <c r="Q1041" s="23" t="s">
        <v>133</v>
      </c>
      <c r="R1041" s="23" t="s">
        <v>237</v>
      </c>
      <c r="S1041" s="33">
        <v>0</v>
      </c>
      <c r="T1041" s="13">
        <v>3.52</v>
      </c>
      <c r="U1041" s="13">
        <v>1.6896</v>
      </c>
      <c r="V1041" s="55">
        <f>IFERROR(Table12[[#This Row],[Profit]]/Table12[[#This Row],[Sales]],0)</f>
        <v>0.48</v>
      </c>
    </row>
    <row r="1042" spans="1:22" x14ac:dyDescent="0.2">
      <c r="A1042">
        <v>1041</v>
      </c>
      <c r="B1042" t="s">
        <v>9844</v>
      </c>
      <c r="C1042" s="1">
        <v>41890</v>
      </c>
      <c r="D1042" s="22">
        <f>MONTH(Table12[[#This Row],[Order Date]])</f>
        <v>9</v>
      </c>
      <c r="E1042" t="s">
        <v>3361</v>
      </c>
      <c r="F1042" t="s">
        <v>3362</v>
      </c>
      <c r="G1042" s="23" t="s">
        <v>41</v>
      </c>
      <c r="H1042" s="23" t="s">
        <v>68</v>
      </c>
      <c r="I1042" t="s">
        <v>2607</v>
      </c>
      <c r="J1042" s="23" t="s">
        <v>22</v>
      </c>
      <c r="K1042" s="22">
        <v>2</v>
      </c>
      <c r="L1042" s="1">
        <v>41895</v>
      </c>
      <c r="M1042" s="22">
        <f>Table12[[#This Row],[Ship Date]]-Table12[[#This Row],[Order Date]]</f>
        <v>5</v>
      </c>
      <c r="N1042" s="23" t="s">
        <v>45</v>
      </c>
      <c r="O1042" s="23" t="s">
        <v>23</v>
      </c>
      <c r="P1042" s="23" t="s">
        <v>38</v>
      </c>
      <c r="Q1042" s="23" t="s">
        <v>39</v>
      </c>
      <c r="R1042" s="23" t="s">
        <v>114</v>
      </c>
      <c r="S1042" s="33">
        <v>0.2</v>
      </c>
      <c r="T1042" s="13">
        <v>8.6080000000000005</v>
      </c>
      <c r="U1042" s="13">
        <v>3.0127999999999999</v>
      </c>
      <c r="V1042" s="55">
        <f>IFERROR(Table12[[#This Row],[Profit]]/Table12[[#This Row],[Sales]],0)</f>
        <v>0.35</v>
      </c>
    </row>
    <row r="1043" spans="1:22" x14ac:dyDescent="0.2">
      <c r="A1043">
        <v>1042</v>
      </c>
      <c r="B1043" t="s">
        <v>2427</v>
      </c>
      <c r="C1043" s="1">
        <v>41891</v>
      </c>
      <c r="D1043" s="22">
        <f>MONTH(Table12[[#This Row],[Order Date]])</f>
        <v>9</v>
      </c>
      <c r="E1043" t="s">
        <v>1476</v>
      </c>
      <c r="F1043" t="s">
        <v>1477</v>
      </c>
      <c r="G1043" s="23" t="s">
        <v>41</v>
      </c>
      <c r="H1043" s="23" t="s">
        <v>42</v>
      </c>
      <c r="I1043" t="s">
        <v>2428</v>
      </c>
      <c r="J1043" s="23" t="s">
        <v>22</v>
      </c>
      <c r="K1043" s="22">
        <v>7</v>
      </c>
      <c r="L1043" s="1">
        <v>41897</v>
      </c>
      <c r="M1043" s="22">
        <f>Table12[[#This Row],[Ship Date]]-Table12[[#This Row],[Order Date]]</f>
        <v>6</v>
      </c>
      <c r="N1043" s="23" t="s">
        <v>45</v>
      </c>
      <c r="O1043" s="23" t="s">
        <v>23</v>
      </c>
      <c r="P1043" s="23" t="s">
        <v>212</v>
      </c>
      <c r="Q1043" s="23" t="s">
        <v>95</v>
      </c>
      <c r="R1043" s="23" t="s">
        <v>775</v>
      </c>
      <c r="S1043" s="33">
        <v>0</v>
      </c>
      <c r="T1043" s="13">
        <v>103.6</v>
      </c>
      <c r="U1043" s="13">
        <v>51.8</v>
      </c>
      <c r="V1043" s="55">
        <f>IFERROR(Table12[[#This Row],[Profit]]/Table12[[#This Row],[Sales]],0)</f>
        <v>0.5</v>
      </c>
    </row>
    <row r="1044" spans="1:22" x14ac:dyDescent="0.2">
      <c r="A1044">
        <v>1043</v>
      </c>
      <c r="B1044" t="s">
        <v>5158</v>
      </c>
      <c r="C1044" s="1">
        <v>41891</v>
      </c>
      <c r="D1044" s="22">
        <f>MONTH(Table12[[#This Row],[Order Date]])</f>
        <v>9</v>
      </c>
      <c r="E1044" t="s">
        <v>618</v>
      </c>
      <c r="F1044" t="s">
        <v>619</v>
      </c>
      <c r="G1044" s="23" t="s">
        <v>41</v>
      </c>
      <c r="H1044" s="23" t="s">
        <v>82</v>
      </c>
      <c r="I1044" t="s">
        <v>5159</v>
      </c>
      <c r="J1044" s="23" t="s">
        <v>36</v>
      </c>
      <c r="K1044" s="22">
        <v>3</v>
      </c>
      <c r="L1044" s="1">
        <v>41894</v>
      </c>
      <c r="M1044" s="22">
        <f>Table12[[#This Row],[Ship Date]]-Table12[[#This Row],[Order Date]]</f>
        <v>3</v>
      </c>
      <c r="N1044" s="23" t="s">
        <v>20</v>
      </c>
      <c r="O1044" s="23" t="s">
        <v>23</v>
      </c>
      <c r="P1044" s="23" t="s">
        <v>1101</v>
      </c>
      <c r="Q1044" s="23" t="s">
        <v>133</v>
      </c>
      <c r="R1044" s="23" t="s">
        <v>1100</v>
      </c>
      <c r="S1044" s="33">
        <v>0</v>
      </c>
      <c r="T1044" s="13">
        <v>166.44</v>
      </c>
      <c r="U1044" s="13">
        <v>79.891199999999998</v>
      </c>
      <c r="V1044" s="55">
        <f>IFERROR(Table12[[#This Row],[Profit]]/Table12[[#This Row],[Sales]],0)</f>
        <v>0.48</v>
      </c>
    </row>
    <row r="1045" spans="1:22" x14ac:dyDescent="0.2">
      <c r="A1045">
        <v>1044</v>
      </c>
      <c r="B1045" t="s">
        <v>5158</v>
      </c>
      <c r="C1045" s="1">
        <v>41891</v>
      </c>
      <c r="D1045" s="22">
        <f>MONTH(Table12[[#This Row],[Order Date]])</f>
        <v>9</v>
      </c>
      <c r="E1045" t="s">
        <v>5160</v>
      </c>
      <c r="F1045" t="s">
        <v>5161</v>
      </c>
      <c r="G1045" s="23" t="s">
        <v>28</v>
      </c>
      <c r="H1045" s="23" t="s">
        <v>32</v>
      </c>
      <c r="I1045" t="s">
        <v>5159</v>
      </c>
      <c r="J1045" s="23" t="s">
        <v>36</v>
      </c>
      <c r="K1045" s="22">
        <v>6</v>
      </c>
      <c r="L1045" s="1">
        <v>41894</v>
      </c>
      <c r="M1045" s="22">
        <f>Table12[[#This Row],[Ship Date]]-Table12[[#This Row],[Order Date]]</f>
        <v>3</v>
      </c>
      <c r="N1045" s="23" t="s">
        <v>20</v>
      </c>
      <c r="O1045" s="23" t="s">
        <v>23</v>
      </c>
      <c r="P1045" s="23" t="s">
        <v>1101</v>
      </c>
      <c r="Q1045" s="23" t="s">
        <v>133</v>
      </c>
      <c r="R1045" s="23" t="s">
        <v>1100</v>
      </c>
      <c r="S1045" s="33">
        <v>0</v>
      </c>
      <c r="T1045" s="13">
        <v>785.88</v>
      </c>
      <c r="U1045" s="13">
        <v>212.1876</v>
      </c>
      <c r="V1045" s="55">
        <f>IFERROR(Table12[[#This Row],[Profit]]/Table12[[#This Row],[Sales]],0)</f>
        <v>0.27</v>
      </c>
    </row>
    <row r="1046" spans="1:22" x14ac:dyDescent="0.2">
      <c r="A1046">
        <v>1045</v>
      </c>
      <c r="B1046" t="s">
        <v>5158</v>
      </c>
      <c r="C1046" s="1">
        <v>41891</v>
      </c>
      <c r="D1046" s="22">
        <f>MONTH(Table12[[#This Row],[Order Date]])</f>
        <v>9</v>
      </c>
      <c r="E1046" t="s">
        <v>5162</v>
      </c>
      <c r="F1046" t="s">
        <v>5163</v>
      </c>
      <c r="G1046" s="23" t="s">
        <v>41</v>
      </c>
      <c r="H1046" s="23" t="s">
        <v>82</v>
      </c>
      <c r="I1046" t="s">
        <v>5159</v>
      </c>
      <c r="J1046" s="23" t="s">
        <v>36</v>
      </c>
      <c r="K1046" s="22">
        <v>2</v>
      </c>
      <c r="L1046" s="1">
        <v>41894</v>
      </c>
      <c r="M1046" s="22">
        <f>Table12[[#This Row],[Ship Date]]-Table12[[#This Row],[Order Date]]</f>
        <v>3</v>
      </c>
      <c r="N1046" s="23" t="s">
        <v>20</v>
      </c>
      <c r="O1046" s="23" t="s">
        <v>23</v>
      </c>
      <c r="P1046" s="23" t="s">
        <v>1101</v>
      </c>
      <c r="Q1046" s="23" t="s">
        <v>133</v>
      </c>
      <c r="R1046" s="23" t="s">
        <v>1100</v>
      </c>
      <c r="S1046" s="33">
        <v>0</v>
      </c>
      <c r="T1046" s="13">
        <v>26.2</v>
      </c>
      <c r="U1046" s="13">
        <v>12.837999999999999</v>
      </c>
      <c r="V1046" s="55">
        <f>IFERROR(Table12[[#This Row],[Profit]]/Table12[[#This Row],[Sales]],0)</f>
        <v>0.49</v>
      </c>
    </row>
    <row r="1047" spans="1:22" x14ac:dyDescent="0.2">
      <c r="A1047">
        <v>1046</v>
      </c>
      <c r="B1047" t="s">
        <v>5158</v>
      </c>
      <c r="C1047" s="1">
        <v>41891</v>
      </c>
      <c r="D1047" s="22">
        <f>MONTH(Table12[[#This Row],[Order Date]])</f>
        <v>9</v>
      </c>
      <c r="E1047" t="s">
        <v>4435</v>
      </c>
      <c r="F1047" t="s">
        <v>4436</v>
      </c>
      <c r="G1047" s="23" t="s">
        <v>41</v>
      </c>
      <c r="H1047" s="23" t="s">
        <v>53</v>
      </c>
      <c r="I1047" t="s">
        <v>5159</v>
      </c>
      <c r="J1047" s="23" t="s">
        <v>36</v>
      </c>
      <c r="K1047" s="22">
        <v>5</v>
      </c>
      <c r="L1047" s="1">
        <v>41894</v>
      </c>
      <c r="M1047" s="22">
        <f>Table12[[#This Row],[Ship Date]]-Table12[[#This Row],[Order Date]]</f>
        <v>3</v>
      </c>
      <c r="N1047" s="23" t="s">
        <v>20</v>
      </c>
      <c r="O1047" s="23" t="s">
        <v>23</v>
      </c>
      <c r="P1047" s="23" t="s">
        <v>1101</v>
      </c>
      <c r="Q1047" s="23" t="s">
        <v>133</v>
      </c>
      <c r="R1047" s="23" t="s">
        <v>1100</v>
      </c>
      <c r="S1047" s="33">
        <v>0</v>
      </c>
      <c r="T1047" s="13">
        <v>1325.85</v>
      </c>
      <c r="U1047" s="13">
        <v>238.65299999999999</v>
      </c>
      <c r="V1047" s="55">
        <f>IFERROR(Table12[[#This Row],[Profit]]/Table12[[#This Row],[Sales]],0)</f>
        <v>0.18</v>
      </c>
    </row>
    <row r="1048" spans="1:22" x14ac:dyDescent="0.2">
      <c r="A1048">
        <v>1047</v>
      </c>
      <c r="B1048" t="s">
        <v>6064</v>
      </c>
      <c r="C1048" s="1">
        <v>41891</v>
      </c>
      <c r="D1048" s="22">
        <f>MONTH(Table12[[#This Row],[Order Date]])</f>
        <v>9</v>
      </c>
      <c r="E1048" t="s">
        <v>2539</v>
      </c>
      <c r="F1048" t="s">
        <v>2540</v>
      </c>
      <c r="G1048" s="23" t="s">
        <v>41</v>
      </c>
      <c r="H1048" s="23" t="s">
        <v>82</v>
      </c>
      <c r="I1048" t="s">
        <v>717</v>
      </c>
      <c r="J1048" s="23" t="s">
        <v>22</v>
      </c>
      <c r="K1048" s="22">
        <v>3</v>
      </c>
      <c r="L1048" s="1">
        <v>41896</v>
      </c>
      <c r="M1048" s="22">
        <f>Table12[[#This Row],[Ship Date]]-Table12[[#This Row],[Order Date]]</f>
        <v>5</v>
      </c>
      <c r="N1048" s="23" t="s">
        <v>20</v>
      </c>
      <c r="O1048" s="23" t="s">
        <v>23</v>
      </c>
      <c r="P1048" s="23" t="s">
        <v>132</v>
      </c>
      <c r="Q1048" s="23" t="s">
        <v>133</v>
      </c>
      <c r="R1048" s="23" t="s">
        <v>131</v>
      </c>
      <c r="S1048" s="33">
        <v>0.2</v>
      </c>
      <c r="T1048" s="13">
        <v>15.552</v>
      </c>
      <c r="U1048" s="13">
        <v>5.4432</v>
      </c>
      <c r="V1048" s="55">
        <f>IFERROR(Table12[[#This Row],[Profit]]/Table12[[#This Row],[Sales]],0)</f>
        <v>0.35000000000000003</v>
      </c>
    </row>
    <row r="1049" spans="1:22" x14ac:dyDescent="0.2">
      <c r="A1049">
        <v>1048</v>
      </c>
      <c r="B1049" t="s">
        <v>6064</v>
      </c>
      <c r="C1049" s="1">
        <v>41891</v>
      </c>
      <c r="D1049" s="22">
        <f>MONTH(Table12[[#This Row],[Order Date]])</f>
        <v>9</v>
      </c>
      <c r="E1049" t="s">
        <v>6065</v>
      </c>
      <c r="F1049" t="s">
        <v>6066</v>
      </c>
      <c r="G1049" s="23" t="s">
        <v>64</v>
      </c>
      <c r="H1049" s="23" t="s">
        <v>144</v>
      </c>
      <c r="I1049" t="s">
        <v>717</v>
      </c>
      <c r="J1049" s="23" t="s">
        <v>22</v>
      </c>
      <c r="K1049" s="22">
        <v>6</v>
      </c>
      <c r="L1049" s="1">
        <v>41896</v>
      </c>
      <c r="M1049" s="22">
        <f>Table12[[#This Row],[Ship Date]]-Table12[[#This Row],[Order Date]]</f>
        <v>5</v>
      </c>
      <c r="N1049" s="23" t="s">
        <v>20</v>
      </c>
      <c r="O1049" s="23" t="s">
        <v>23</v>
      </c>
      <c r="P1049" s="23" t="s">
        <v>132</v>
      </c>
      <c r="Q1049" s="23" t="s">
        <v>133</v>
      </c>
      <c r="R1049" s="23" t="s">
        <v>131</v>
      </c>
      <c r="S1049" s="33">
        <v>0.2</v>
      </c>
      <c r="T1049" s="13">
        <v>64.703999999999994</v>
      </c>
      <c r="U1049" s="13">
        <v>-4.8528000000000002</v>
      </c>
      <c r="V1049" s="55">
        <f>IFERROR(Table12[[#This Row],[Profit]]/Table12[[#This Row],[Sales]],0)</f>
        <v>-7.5000000000000011E-2</v>
      </c>
    </row>
    <row r="1050" spans="1:22" x14ac:dyDescent="0.2">
      <c r="A1050">
        <v>1049</v>
      </c>
      <c r="B1050" t="s">
        <v>6064</v>
      </c>
      <c r="C1050" s="1">
        <v>41891</v>
      </c>
      <c r="D1050" s="22">
        <f>MONTH(Table12[[#This Row],[Order Date]])</f>
        <v>9</v>
      </c>
      <c r="E1050" t="s">
        <v>3584</v>
      </c>
      <c r="F1050" t="s">
        <v>3585</v>
      </c>
      <c r="G1050" s="23" t="s">
        <v>28</v>
      </c>
      <c r="H1050" s="23" t="s">
        <v>58</v>
      </c>
      <c r="I1050" t="s">
        <v>717</v>
      </c>
      <c r="J1050" s="23" t="s">
        <v>22</v>
      </c>
      <c r="K1050" s="22">
        <v>3</v>
      </c>
      <c r="L1050" s="1">
        <v>41896</v>
      </c>
      <c r="M1050" s="22">
        <f>Table12[[#This Row],[Ship Date]]-Table12[[#This Row],[Order Date]]</f>
        <v>5</v>
      </c>
      <c r="N1050" s="23" t="s">
        <v>20</v>
      </c>
      <c r="O1050" s="23" t="s">
        <v>23</v>
      </c>
      <c r="P1050" s="23" t="s">
        <v>132</v>
      </c>
      <c r="Q1050" s="23" t="s">
        <v>133</v>
      </c>
      <c r="R1050" s="23" t="s">
        <v>131</v>
      </c>
      <c r="S1050" s="33">
        <v>0.2</v>
      </c>
      <c r="T1050" s="13">
        <v>17.472000000000001</v>
      </c>
      <c r="U1050" s="13">
        <v>5.0232000000000001</v>
      </c>
      <c r="V1050" s="55">
        <f>IFERROR(Table12[[#This Row],[Profit]]/Table12[[#This Row],[Sales]],0)</f>
        <v>0.28749999999999998</v>
      </c>
    </row>
    <row r="1051" spans="1:22" x14ac:dyDescent="0.2">
      <c r="A1051">
        <v>1050</v>
      </c>
      <c r="B1051" t="s">
        <v>6064</v>
      </c>
      <c r="C1051" s="1">
        <v>41891</v>
      </c>
      <c r="D1051" s="22">
        <f>MONTH(Table12[[#This Row],[Order Date]])</f>
        <v>9</v>
      </c>
      <c r="E1051" t="s">
        <v>3262</v>
      </c>
      <c r="F1051" t="s">
        <v>3263</v>
      </c>
      <c r="G1051" s="23" t="s">
        <v>64</v>
      </c>
      <c r="H1051" s="23" t="s">
        <v>65</v>
      </c>
      <c r="I1051" t="s">
        <v>717</v>
      </c>
      <c r="J1051" s="23" t="s">
        <v>22</v>
      </c>
      <c r="K1051" s="22">
        <v>1</v>
      </c>
      <c r="L1051" s="1">
        <v>41896</v>
      </c>
      <c r="M1051" s="22">
        <f>Table12[[#This Row],[Ship Date]]-Table12[[#This Row],[Order Date]]</f>
        <v>5</v>
      </c>
      <c r="N1051" s="23" t="s">
        <v>20</v>
      </c>
      <c r="O1051" s="23" t="s">
        <v>23</v>
      </c>
      <c r="P1051" s="23" t="s">
        <v>132</v>
      </c>
      <c r="Q1051" s="23" t="s">
        <v>133</v>
      </c>
      <c r="R1051" s="23" t="s">
        <v>131</v>
      </c>
      <c r="S1051" s="33">
        <v>0.4</v>
      </c>
      <c r="T1051" s="13">
        <v>135.51599999999999</v>
      </c>
      <c r="U1051" s="13">
        <v>-31.6204</v>
      </c>
      <c r="V1051" s="55">
        <f>IFERROR(Table12[[#This Row],[Profit]]/Table12[[#This Row],[Sales]],0)</f>
        <v>-0.23333333333333334</v>
      </c>
    </row>
    <row r="1052" spans="1:22" x14ac:dyDescent="0.2">
      <c r="A1052">
        <v>1051</v>
      </c>
      <c r="B1052" t="s">
        <v>8800</v>
      </c>
      <c r="C1052" s="1">
        <v>41891</v>
      </c>
      <c r="D1052" s="22">
        <f>MONTH(Table12[[#This Row],[Order Date]])</f>
        <v>9</v>
      </c>
      <c r="E1052" t="s">
        <v>8082</v>
      </c>
      <c r="F1052" t="s">
        <v>8083</v>
      </c>
      <c r="G1052" s="23" t="s">
        <v>64</v>
      </c>
      <c r="H1052" s="23" t="s">
        <v>602</v>
      </c>
      <c r="I1052" t="s">
        <v>2556</v>
      </c>
      <c r="J1052" s="23" t="s">
        <v>22</v>
      </c>
      <c r="K1052" s="22">
        <v>2</v>
      </c>
      <c r="L1052" s="1">
        <v>41895</v>
      </c>
      <c r="M1052" s="22">
        <f>Table12[[#This Row],[Ship Date]]-Table12[[#This Row],[Order Date]]</f>
        <v>4</v>
      </c>
      <c r="N1052" s="23" t="s">
        <v>45</v>
      </c>
      <c r="O1052" s="23" t="s">
        <v>23</v>
      </c>
      <c r="P1052" s="23" t="s">
        <v>80</v>
      </c>
      <c r="Q1052" s="23" t="s">
        <v>26</v>
      </c>
      <c r="R1052" s="23" t="s">
        <v>3109</v>
      </c>
      <c r="S1052" s="33">
        <v>0.5</v>
      </c>
      <c r="T1052" s="13">
        <v>1299.99</v>
      </c>
      <c r="U1052" s="13">
        <v>-571.99559999999997</v>
      </c>
      <c r="V1052" s="55">
        <f>IFERROR(Table12[[#This Row],[Profit]]/Table12[[#This Row],[Sales]],0)</f>
        <v>-0.43999999999999995</v>
      </c>
    </row>
    <row r="1053" spans="1:22" x14ac:dyDescent="0.2">
      <c r="A1053">
        <v>1052</v>
      </c>
      <c r="B1053" t="s">
        <v>9005</v>
      </c>
      <c r="C1053" s="1">
        <v>41891</v>
      </c>
      <c r="D1053" s="22">
        <f>MONTH(Table12[[#This Row],[Order Date]])</f>
        <v>9</v>
      </c>
      <c r="E1053" t="s">
        <v>4759</v>
      </c>
      <c r="F1053" t="s">
        <v>4760</v>
      </c>
      <c r="G1053" s="23" t="s">
        <v>28</v>
      </c>
      <c r="H1053" s="23" t="s">
        <v>58</v>
      </c>
      <c r="I1053" t="s">
        <v>2745</v>
      </c>
      <c r="J1053" s="23" t="s">
        <v>92</v>
      </c>
      <c r="K1053" s="22">
        <v>6</v>
      </c>
      <c r="L1053" s="1">
        <v>41893</v>
      </c>
      <c r="M1053" s="22">
        <f>Table12[[#This Row],[Ship Date]]-Table12[[#This Row],[Order Date]]</f>
        <v>2</v>
      </c>
      <c r="N1053" s="23" t="s">
        <v>169</v>
      </c>
      <c r="O1053" s="23" t="s">
        <v>23</v>
      </c>
      <c r="P1053" s="23" t="s">
        <v>441</v>
      </c>
      <c r="Q1053" s="23" t="s">
        <v>133</v>
      </c>
      <c r="R1053" s="23" t="s">
        <v>2174</v>
      </c>
      <c r="S1053" s="33">
        <v>0.2</v>
      </c>
      <c r="T1053" s="13">
        <v>60.671999999999997</v>
      </c>
      <c r="U1053" s="13">
        <v>12.892799999999999</v>
      </c>
      <c r="V1053" s="55">
        <f>IFERROR(Table12[[#This Row],[Profit]]/Table12[[#This Row],[Sales]],0)</f>
        <v>0.21249999999999999</v>
      </c>
    </row>
    <row r="1054" spans="1:22" x14ac:dyDescent="0.2">
      <c r="A1054">
        <v>1053</v>
      </c>
      <c r="B1054" t="s">
        <v>9005</v>
      </c>
      <c r="C1054" s="1">
        <v>41891</v>
      </c>
      <c r="D1054" s="22">
        <f>MONTH(Table12[[#This Row],[Order Date]])</f>
        <v>9</v>
      </c>
      <c r="E1054" t="s">
        <v>3485</v>
      </c>
      <c r="F1054" t="s">
        <v>3486</v>
      </c>
      <c r="G1054" s="23" t="s">
        <v>41</v>
      </c>
      <c r="H1054" s="23" t="s">
        <v>61</v>
      </c>
      <c r="I1054" t="s">
        <v>2745</v>
      </c>
      <c r="J1054" s="23" t="s">
        <v>92</v>
      </c>
      <c r="K1054" s="22">
        <v>9</v>
      </c>
      <c r="L1054" s="1">
        <v>41893</v>
      </c>
      <c r="M1054" s="22">
        <f>Table12[[#This Row],[Ship Date]]-Table12[[#This Row],[Order Date]]</f>
        <v>2</v>
      </c>
      <c r="N1054" s="23" t="s">
        <v>169</v>
      </c>
      <c r="O1054" s="23" t="s">
        <v>23</v>
      </c>
      <c r="P1054" s="23" t="s">
        <v>441</v>
      </c>
      <c r="Q1054" s="23" t="s">
        <v>133</v>
      </c>
      <c r="R1054" s="23" t="s">
        <v>2174</v>
      </c>
      <c r="S1054" s="33">
        <v>0.2</v>
      </c>
      <c r="T1054" s="13">
        <v>30.815999999999999</v>
      </c>
      <c r="U1054" s="13">
        <v>2.6964000000000001</v>
      </c>
      <c r="V1054" s="55">
        <f>IFERROR(Table12[[#This Row],[Profit]]/Table12[[#This Row],[Sales]],0)</f>
        <v>8.7500000000000008E-2</v>
      </c>
    </row>
    <row r="1055" spans="1:22" x14ac:dyDescent="0.2">
      <c r="A1055">
        <v>1054</v>
      </c>
      <c r="B1055" t="s">
        <v>9211</v>
      </c>
      <c r="C1055" s="1">
        <v>41891</v>
      </c>
      <c r="D1055" s="22">
        <f>MONTH(Table12[[#This Row],[Order Date]])</f>
        <v>9</v>
      </c>
      <c r="E1055" t="s">
        <v>2414</v>
      </c>
      <c r="F1055" t="s">
        <v>2415</v>
      </c>
      <c r="G1055" s="23" t="s">
        <v>41</v>
      </c>
      <c r="H1055" s="23" t="s">
        <v>82</v>
      </c>
      <c r="I1055" t="s">
        <v>3114</v>
      </c>
      <c r="J1055" s="23" t="s">
        <v>22</v>
      </c>
      <c r="K1055" s="22">
        <v>3</v>
      </c>
      <c r="L1055" s="1">
        <v>41896</v>
      </c>
      <c r="M1055" s="22">
        <f>Table12[[#This Row],[Ship Date]]-Table12[[#This Row],[Order Date]]</f>
        <v>5</v>
      </c>
      <c r="N1055" s="23" t="s">
        <v>20</v>
      </c>
      <c r="O1055" s="23" t="s">
        <v>23</v>
      </c>
      <c r="P1055" s="23" t="s">
        <v>189</v>
      </c>
      <c r="Q1055" s="23" t="s">
        <v>95</v>
      </c>
      <c r="R1055" s="23" t="s">
        <v>271</v>
      </c>
      <c r="S1055" s="33">
        <v>0.2</v>
      </c>
      <c r="T1055" s="13">
        <v>10.896000000000001</v>
      </c>
      <c r="U1055" s="13">
        <v>3.4049999999999998</v>
      </c>
      <c r="V1055" s="55">
        <f>IFERROR(Table12[[#This Row],[Profit]]/Table12[[#This Row],[Sales]],0)</f>
        <v>0.31249999999999994</v>
      </c>
    </row>
    <row r="1056" spans="1:22" x14ac:dyDescent="0.2">
      <c r="A1056">
        <v>1055</v>
      </c>
      <c r="B1056" t="s">
        <v>7763</v>
      </c>
      <c r="C1056" s="1">
        <v>41892</v>
      </c>
      <c r="D1056" s="22">
        <f>MONTH(Table12[[#This Row],[Order Date]])</f>
        <v>9</v>
      </c>
      <c r="E1056" t="s">
        <v>1081</v>
      </c>
      <c r="F1056" t="s">
        <v>1082</v>
      </c>
      <c r="G1056" s="23" t="s">
        <v>41</v>
      </c>
      <c r="H1056" s="23" t="s">
        <v>68</v>
      </c>
      <c r="I1056" t="s">
        <v>3932</v>
      </c>
      <c r="J1056" s="23" t="s">
        <v>92</v>
      </c>
      <c r="K1056" s="22">
        <v>2</v>
      </c>
      <c r="L1056" s="1">
        <v>41896</v>
      </c>
      <c r="M1056" s="22">
        <f>Table12[[#This Row],[Ship Date]]-Table12[[#This Row],[Order Date]]</f>
        <v>4</v>
      </c>
      <c r="N1056" s="23" t="s">
        <v>45</v>
      </c>
      <c r="O1056" s="23" t="s">
        <v>23</v>
      </c>
      <c r="P1056" s="23" t="s">
        <v>285</v>
      </c>
      <c r="Q1056" s="23" t="s">
        <v>26</v>
      </c>
      <c r="R1056" s="23" t="s">
        <v>2621</v>
      </c>
      <c r="S1056" s="33">
        <v>0</v>
      </c>
      <c r="T1056" s="13">
        <v>9.64</v>
      </c>
      <c r="U1056" s="13">
        <v>4.7236000000000002</v>
      </c>
      <c r="V1056" s="55">
        <f>IFERROR(Table12[[#This Row],[Profit]]/Table12[[#This Row],[Sales]],0)</f>
        <v>0.49</v>
      </c>
    </row>
    <row r="1057" spans="1:22" x14ac:dyDescent="0.2">
      <c r="A1057">
        <v>1056</v>
      </c>
      <c r="B1057" t="s">
        <v>8741</v>
      </c>
      <c r="C1057" s="1">
        <v>41892</v>
      </c>
      <c r="D1057" s="22">
        <f>MONTH(Table12[[#This Row],[Order Date]])</f>
        <v>9</v>
      </c>
      <c r="E1057" t="s">
        <v>2679</v>
      </c>
      <c r="F1057" t="s">
        <v>2680</v>
      </c>
      <c r="G1057" s="23" t="s">
        <v>41</v>
      </c>
      <c r="H1057" s="23" t="s">
        <v>155</v>
      </c>
      <c r="I1057" t="s">
        <v>431</v>
      </c>
      <c r="J1057" s="23" t="s">
        <v>22</v>
      </c>
      <c r="K1057" s="22">
        <v>7</v>
      </c>
      <c r="L1057" s="1">
        <v>41898</v>
      </c>
      <c r="M1057" s="22">
        <f>Table12[[#This Row],[Ship Date]]-Table12[[#This Row],[Order Date]]</f>
        <v>6</v>
      </c>
      <c r="N1057" s="23" t="s">
        <v>45</v>
      </c>
      <c r="O1057" s="23" t="s">
        <v>23</v>
      </c>
      <c r="P1057" s="23" t="s">
        <v>374</v>
      </c>
      <c r="Q1057" s="23" t="s">
        <v>39</v>
      </c>
      <c r="R1057" s="23" t="s">
        <v>5558</v>
      </c>
      <c r="S1057" s="33">
        <v>0.2</v>
      </c>
      <c r="T1057" s="13">
        <v>21.728000000000002</v>
      </c>
      <c r="U1057" s="13">
        <v>7.6048</v>
      </c>
      <c r="V1057" s="55">
        <f>IFERROR(Table12[[#This Row],[Profit]]/Table12[[#This Row],[Sales]],0)</f>
        <v>0.35</v>
      </c>
    </row>
    <row r="1058" spans="1:22" x14ac:dyDescent="0.2">
      <c r="A1058">
        <v>1057</v>
      </c>
      <c r="B1058" t="s">
        <v>8741</v>
      </c>
      <c r="C1058" s="1">
        <v>41892</v>
      </c>
      <c r="D1058" s="22">
        <f>MONTH(Table12[[#This Row],[Order Date]])</f>
        <v>9</v>
      </c>
      <c r="E1058" t="s">
        <v>3001</v>
      </c>
      <c r="F1058" t="s">
        <v>3002</v>
      </c>
      <c r="G1058" s="23" t="s">
        <v>28</v>
      </c>
      <c r="H1058" s="23" t="s">
        <v>32</v>
      </c>
      <c r="I1058" t="s">
        <v>431</v>
      </c>
      <c r="J1058" s="23" t="s">
        <v>22</v>
      </c>
      <c r="K1058" s="22">
        <v>5</v>
      </c>
      <c r="L1058" s="1">
        <v>41898</v>
      </c>
      <c r="M1058" s="22">
        <f>Table12[[#This Row],[Ship Date]]-Table12[[#This Row],[Order Date]]</f>
        <v>6</v>
      </c>
      <c r="N1058" s="23" t="s">
        <v>45</v>
      </c>
      <c r="O1058" s="23" t="s">
        <v>23</v>
      </c>
      <c r="P1058" s="23" t="s">
        <v>374</v>
      </c>
      <c r="Q1058" s="23" t="s">
        <v>39</v>
      </c>
      <c r="R1058" s="23" t="s">
        <v>5558</v>
      </c>
      <c r="S1058" s="33">
        <v>0.2</v>
      </c>
      <c r="T1058" s="13">
        <v>1487.04</v>
      </c>
      <c r="U1058" s="13">
        <v>148.70400000000001</v>
      </c>
      <c r="V1058" s="55">
        <f>IFERROR(Table12[[#This Row],[Profit]]/Table12[[#This Row],[Sales]],0)</f>
        <v>0.1</v>
      </c>
    </row>
    <row r="1059" spans="1:22" x14ac:dyDescent="0.2">
      <c r="A1059">
        <v>1058</v>
      </c>
      <c r="B1059" t="s">
        <v>8986</v>
      </c>
      <c r="C1059" s="1">
        <v>41892</v>
      </c>
      <c r="D1059" s="22">
        <f>MONTH(Table12[[#This Row],[Order Date]])</f>
        <v>9</v>
      </c>
      <c r="E1059" t="s">
        <v>1934</v>
      </c>
      <c r="F1059" t="s">
        <v>1935</v>
      </c>
      <c r="G1059" s="23" t="s">
        <v>41</v>
      </c>
      <c r="H1059" s="23" t="s">
        <v>71</v>
      </c>
      <c r="I1059" t="s">
        <v>130</v>
      </c>
      <c r="J1059" s="23" t="s">
        <v>22</v>
      </c>
      <c r="K1059" s="22">
        <v>4</v>
      </c>
      <c r="L1059" s="1">
        <v>41895</v>
      </c>
      <c r="M1059" s="22">
        <f>Table12[[#This Row],[Ship Date]]-Table12[[#This Row],[Order Date]]</f>
        <v>3</v>
      </c>
      <c r="N1059" s="23" t="s">
        <v>169</v>
      </c>
      <c r="O1059" s="23" t="s">
        <v>23</v>
      </c>
      <c r="P1059" s="23" t="s">
        <v>695</v>
      </c>
      <c r="Q1059" s="23" t="s">
        <v>133</v>
      </c>
      <c r="R1059" s="23" t="s">
        <v>8987</v>
      </c>
      <c r="S1059" s="33">
        <v>0</v>
      </c>
      <c r="T1059" s="13">
        <v>81.92</v>
      </c>
      <c r="U1059" s="13">
        <v>22.118400000000001</v>
      </c>
      <c r="V1059" s="55">
        <f>IFERROR(Table12[[#This Row],[Profit]]/Table12[[#This Row],[Sales]],0)</f>
        <v>0.27</v>
      </c>
    </row>
    <row r="1060" spans="1:22" x14ac:dyDescent="0.2">
      <c r="A1060">
        <v>1059</v>
      </c>
      <c r="B1060" t="s">
        <v>8986</v>
      </c>
      <c r="C1060" s="1">
        <v>41892</v>
      </c>
      <c r="D1060" s="22">
        <f>MONTH(Table12[[#This Row],[Order Date]])</f>
        <v>9</v>
      </c>
      <c r="E1060" t="s">
        <v>4085</v>
      </c>
      <c r="F1060" t="s">
        <v>4086</v>
      </c>
      <c r="G1060" s="23" t="s">
        <v>28</v>
      </c>
      <c r="H1060" s="23" t="s">
        <v>58</v>
      </c>
      <c r="I1060" t="s">
        <v>130</v>
      </c>
      <c r="J1060" s="23" t="s">
        <v>22</v>
      </c>
      <c r="K1060" s="22">
        <v>5</v>
      </c>
      <c r="L1060" s="1">
        <v>41895</v>
      </c>
      <c r="M1060" s="22">
        <f>Table12[[#This Row],[Ship Date]]-Table12[[#This Row],[Order Date]]</f>
        <v>3</v>
      </c>
      <c r="N1060" s="23" t="s">
        <v>169</v>
      </c>
      <c r="O1060" s="23" t="s">
        <v>23</v>
      </c>
      <c r="P1060" s="23" t="s">
        <v>695</v>
      </c>
      <c r="Q1060" s="23" t="s">
        <v>133</v>
      </c>
      <c r="R1060" s="23" t="s">
        <v>8987</v>
      </c>
      <c r="S1060" s="33">
        <v>0</v>
      </c>
      <c r="T1060" s="13">
        <v>254.9</v>
      </c>
      <c r="U1060" s="13">
        <v>76.47</v>
      </c>
      <c r="V1060" s="55">
        <f>IFERROR(Table12[[#This Row],[Profit]]/Table12[[#This Row],[Sales]],0)</f>
        <v>0.3</v>
      </c>
    </row>
    <row r="1061" spans="1:22" x14ac:dyDescent="0.2">
      <c r="A1061">
        <v>1060</v>
      </c>
      <c r="B1061" t="s">
        <v>8054</v>
      </c>
      <c r="C1061" s="1">
        <v>41893</v>
      </c>
      <c r="D1061" s="22">
        <f>MONTH(Table12[[#This Row],[Order Date]])</f>
        <v>9</v>
      </c>
      <c r="E1061" t="s">
        <v>408</v>
      </c>
      <c r="F1061" t="s">
        <v>409</v>
      </c>
      <c r="G1061" s="23" t="s">
        <v>28</v>
      </c>
      <c r="H1061" s="23" t="s">
        <v>58</v>
      </c>
      <c r="I1061" t="s">
        <v>7050</v>
      </c>
      <c r="J1061" s="23" t="s">
        <v>22</v>
      </c>
      <c r="K1061" s="22">
        <v>3</v>
      </c>
      <c r="L1061" s="1">
        <v>41898</v>
      </c>
      <c r="M1061" s="22">
        <f>Table12[[#This Row],[Ship Date]]-Table12[[#This Row],[Order Date]]</f>
        <v>5</v>
      </c>
      <c r="N1061" s="23" t="s">
        <v>45</v>
      </c>
      <c r="O1061" s="23" t="s">
        <v>23</v>
      </c>
      <c r="P1061" s="23" t="s">
        <v>38</v>
      </c>
      <c r="Q1061" s="23" t="s">
        <v>39</v>
      </c>
      <c r="R1061" s="23" t="s">
        <v>8055</v>
      </c>
      <c r="S1061" s="33">
        <v>0</v>
      </c>
      <c r="T1061" s="13">
        <v>127.95</v>
      </c>
      <c r="U1061" s="13">
        <v>21.7515</v>
      </c>
      <c r="V1061" s="55">
        <f>IFERROR(Table12[[#This Row],[Profit]]/Table12[[#This Row],[Sales]],0)</f>
        <v>0.16999999999999998</v>
      </c>
    </row>
    <row r="1062" spans="1:22" x14ac:dyDescent="0.2">
      <c r="A1062">
        <v>1061</v>
      </c>
      <c r="B1062" t="s">
        <v>1324</v>
      </c>
      <c r="C1062" s="1">
        <v>41894</v>
      </c>
      <c r="D1062" s="22">
        <f>MONTH(Table12[[#This Row],[Order Date]])</f>
        <v>9</v>
      </c>
      <c r="E1062" t="s">
        <v>1327</v>
      </c>
      <c r="F1062" t="s">
        <v>1328</v>
      </c>
      <c r="G1062" s="23" t="s">
        <v>64</v>
      </c>
      <c r="H1062" s="23" t="s">
        <v>602</v>
      </c>
      <c r="I1062" t="s">
        <v>1325</v>
      </c>
      <c r="J1062" s="23" t="s">
        <v>92</v>
      </c>
      <c r="K1062" s="22">
        <v>1</v>
      </c>
      <c r="L1062" s="1">
        <v>41895</v>
      </c>
      <c r="M1062" s="22">
        <f>Table12[[#This Row],[Ship Date]]-Table12[[#This Row],[Order Date]]</f>
        <v>1</v>
      </c>
      <c r="N1062" s="23" t="s">
        <v>169</v>
      </c>
      <c r="O1062" s="23" t="s">
        <v>23</v>
      </c>
      <c r="P1062" s="23" t="s">
        <v>238</v>
      </c>
      <c r="Q1062" s="23" t="s">
        <v>133</v>
      </c>
      <c r="R1062" s="23" t="s">
        <v>1326</v>
      </c>
      <c r="S1062" s="33">
        <v>0</v>
      </c>
      <c r="T1062" s="13">
        <v>69.989999999999995</v>
      </c>
      <c r="U1062" s="13">
        <v>30.095700000000001</v>
      </c>
      <c r="V1062" s="55">
        <f>IFERROR(Table12[[#This Row],[Profit]]/Table12[[#This Row],[Sales]],0)</f>
        <v>0.43000000000000005</v>
      </c>
    </row>
    <row r="1063" spans="1:22" x14ac:dyDescent="0.2">
      <c r="A1063">
        <v>1062</v>
      </c>
      <c r="B1063" t="s">
        <v>2000</v>
      </c>
      <c r="C1063" s="1">
        <v>41894</v>
      </c>
      <c r="D1063" s="22">
        <f>MONTH(Table12[[#This Row],[Order Date]])</f>
        <v>9</v>
      </c>
      <c r="E1063" t="s">
        <v>2003</v>
      </c>
      <c r="F1063" t="s">
        <v>2004</v>
      </c>
      <c r="G1063" s="23" t="s">
        <v>41</v>
      </c>
      <c r="H1063" s="23" t="s">
        <v>82</v>
      </c>
      <c r="I1063" t="s">
        <v>2001</v>
      </c>
      <c r="J1063" s="23" t="s">
        <v>36</v>
      </c>
      <c r="K1063" s="22">
        <v>2</v>
      </c>
      <c r="L1063" s="1">
        <v>41899</v>
      </c>
      <c r="M1063" s="22">
        <f>Table12[[#This Row],[Ship Date]]-Table12[[#This Row],[Order Date]]</f>
        <v>5</v>
      </c>
      <c r="N1063" s="23" t="s">
        <v>45</v>
      </c>
      <c r="O1063" s="23" t="s">
        <v>23</v>
      </c>
      <c r="P1063" s="23" t="s">
        <v>80</v>
      </c>
      <c r="Q1063" s="23" t="s">
        <v>26</v>
      </c>
      <c r="R1063" s="23" t="s">
        <v>2002</v>
      </c>
      <c r="S1063" s="33">
        <v>0.2</v>
      </c>
      <c r="T1063" s="13">
        <v>10.368</v>
      </c>
      <c r="U1063" s="13">
        <v>3.6288</v>
      </c>
      <c r="V1063" s="55">
        <f>IFERROR(Table12[[#This Row],[Profit]]/Table12[[#This Row],[Sales]],0)</f>
        <v>0.35</v>
      </c>
    </row>
    <row r="1064" spans="1:22" x14ac:dyDescent="0.2">
      <c r="A1064">
        <v>1063</v>
      </c>
      <c r="B1064" t="s">
        <v>2000</v>
      </c>
      <c r="C1064" s="1">
        <v>41894</v>
      </c>
      <c r="D1064" s="22">
        <f>MONTH(Table12[[#This Row],[Order Date]])</f>
        <v>9</v>
      </c>
      <c r="E1064" t="s">
        <v>2005</v>
      </c>
      <c r="F1064" t="s">
        <v>2006</v>
      </c>
      <c r="G1064" s="23" t="s">
        <v>41</v>
      </c>
      <c r="H1064" s="23" t="s">
        <v>71</v>
      </c>
      <c r="I1064" t="s">
        <v>2001</v>
      </c>
      <c r="J1064" s="23" t="s">
        <v>36</v>
      </c>
      <c r="K1064" s="22">
        <v>5</v>
      </c>
      <c r="L1064" s="1">
        <v>41899</v>
      </c>
      <c r="M1064" s="22">
        <f>Table12[[#This Row],[Ship Date]]-Table12[[#This Row],[Order Date]]</f>
        <v>5</v>
      </c>
      <c r="N1064" s="23" t="s">
        <v>45</v>
      </c>
      <c r="O1064" s="23" t="s">
        <v>23</v>
      </c>
      <c r="P1064" s="23" t="s">
        <v>80</v>
      </c>
      <c r="Q1064" s="23" t="s">
        <v>26</v>
      </c>
      <c r="R1064" s="23" t="s">
        <v>2002</v>
      </c>
      <c r="S1064" s="33">
        <v>0.2</v>
      </c>
      <c r="T1064" s="13">
        <v>166.84</v>
      </c>
      <c r="U1064" s="13">
        <v>18.769500000000001</v>
      </c>
      <c r="V1064" s="55">
        <f>IFERROR(Table12[[#This Row],[Profit]]/Table12[[#This Row],[Sales]],0)</f>
        <v>0.1125</v>
      </c>
    </row>
    <row r="1065" spans="1:22" x14ac:dyDescent="0.2">
      <c r="A1065">
        <v>1064</v>
      </c>
      <c r="B1065" t="s">
        <v>2000</v>
      </c>
      <c r="C1065" s="1">
        <v>41894</v>
      </c>
      <c r="D1065" s="22">
        <f>MONTH(Table12[[#This Row],[Order Date]])</f>
        <v>9</v>
      </c>
      <c r="E1065" t="s">
        <v>1550</v>
      </c>
      <c r="F1065" t="s">
        <v>1551</v>
      </c>
      <c r="G1065" s="23" t="s">
        <v>64</v>
      </c>
      <c r="H1065" s="23" t="s">
        <v>144</v>
      </c>
      <c r="I1065" t="s">
        <v>2001</v>
      </c>
      <c r="J1065" s="23" t="s">
        <v>36</v>
      </c>
      <c r="K1065" s="22">
        <v>1</v>
      </c>
      <c r="L1065" s="1">
        <v>41899</v>
      </c>
      <c r="M1065" s="22">
        <f>Table12[[#This Row],[Ship Date]]-Table12[[#This Row],[Order Date]]</f>
        <v>5</v>
      </c>
      <c r="N1065" s="23" t="s">
        <v>45</v>
      </c>
      <c r="O1065" s="23" t="s">
        <v>23</v>
      </c>
      <c r="P1065" s="23" t="s">
        <v>80</v>
      </c>
      <c r="Q1065" s="23" t="s">
        <v>26</v>
      </c>
      <c r="R1065" s="23" t="s">
        <v>2002</v>
      </c>
      <c r="S1065" s="33">
        <v>0.2</v>
      </c>
      <c r="T1065" s="13">
        <v>15.215999999999999</v>
      </c>
      <c r="U1065" s="13">
        <v>2.2824</v>
      </c>
      <c r="V1065" s="55">
        <f>IFERROR(Table12[[#This Row],[Profit]]/Table12[[#This Row],[Sales]],0)</f>
        <v>0.15</v>
      </c>
    </row>
    <row r="1066" spans="1:22" x14ac:dyDescent="0.2">
      <c r="A1066">
        <v>1065</v>
      </c>
      <c r="B1066" t="s">
        <v>5689</v>
      </c>
      <c r="C1066" s="1">
        <v>41894</v>
      </c>
      <c r="D1066" s="22">
        <f>MONTH(Table12[[#This Row],[Order Date]])</f>
        <v>9</v>
      </c>
      <c r="E1066" t="s">
        <v>5691</v>
      </c>
      <c r="F1066" t="s">
        <v>5692</v>
      </c>
      <c r="G1066" s="23" t="s">
        <v>41</v>
      </c>
      <c r="H1066" s="23" t="s">
        <v>68</v>
      </c>
      <c r="I1066" t="s">
        <v>5690</v>
      </c>
      <c r="J1066" s="23" t="s">
        <v>22</v>
      </c>
      <c r="K1066" s="22">
        <v>5</v>
      </c>
      <c r="L1066" s="1">
        <v>41898</v>
      </c>
      <c r="M1066" s="22">
        <f>Table12[[#This Row],[Ship Date]]-Table12[[#This Row],[Order Date]]</f>
        <v>4</v>
      </c>
      <c r="N1066" s="23" t="s">
        <v>20</v>
      </c>
      <c r="O1066" s="23" t="s">
        <v>23</v>
      </c>
      <c r="P1066" s="23" t="s">
        <v>94</v>
      </c>
      <c r="Q1066" s="23" t="s">
        <v>95</v>
      </c>
      <c r="R1066" s="23" t="s">
        <v>165</v>
      </c>
      <c r="S1066" s="33">
        <v>0.8</v>
      </c>
      <c r="T1066" s="13">
        <v>5.18</v>
      </c>
      <c r="U1066" s="13">
        <v>-8.0289999999999999</v>
      </c>
      <c r="V1066" s="55">
        <f>IFERROR(Table12[[#This Row],[Profit]]/Table12[[#This Row],[Sales]],0)</f>
        <v>-1.55</v>
      </c>
    </row>
    <row r="1067" spans="1:22" x14ac:dyDescent="0.2">
      <c r="A1067">
        <v>1066</v>
      </c>
      <c r="B1067" t="s">
        <v>5809</v>
      </c>
      <c r="C1067" s="1">
        <v>41894</v>
      </c>
      <c r="D1067" s="22">
        <f>MONTH(Table12[[#This Row],[Order Date]])</f>
        <v>9</v>
      </c>
      <c r="E1067" t="s">
        <v>1618</v>
      </c>
      <c r="F1067" t="s">
        <v>1619</v>
      </c>
      <c r="G1067" s="23" t="s">
        <v>41</v>
      </c>
      <c r="H1067" s="23" t="s">
        <v>68</v>
      </c>
      <c r="I1067" t="s">
        <v>2312</v>
      </c>
      <c r="J1067" s="23" t="s">
        <v>22</v>
      </c>
      <c r="K1067" s="22">
        <v>7</v>
      </c>
      <c r="L1067" s="1">
        <v>41899</v>
      </c>
      <c r="M1067" s="22">
        <f>Table12[[#This Row],[Ship Date]]-Table12[[#This Row],[Order Date]]</f>
        <v>5</v>
      </c>
      <c r="N1067" s="23" t="s">
        <v>45</v>
      </c>
      <c r="O1067" s="23" t="s">
        <v>23</v>
      </c>
      <c r="P1067" s="23" t="s">
        <v>441</v>
      </c>
      <c r="Q1067" s="23" t="s">
        <v>133</v>
      </c>
      <c r="R1067" s="23" t="s">
        <v>659</v>
      </c>
      <c r="S1067" s="33">
        <v>0.7</v>
      </c>
      <c r="T1067" s="13">
        <v>63.923999999999999</v>
      </c>
      <c r="U1067" s="13">
        <v>-46.877600000000001</v>
      </c>
      <c r="V1067" s="55">
        <f>IFERROR(Table12[[#This Row],[Profit]]/Table12[[#This Row],[Sales]],0)</f>
        <v>-0.73333333333333339</v>
      </c>
    </row>
    <row r="1068" spans="1:22" x14ac:dyDescent="0.2">
      <c r="A1068">
        <v>1067</v>
      </c>
      <c r="B1068" t="s">
        <v>7494</v>
      </c>
      <c r="C1068" s="1">
        <v>41894</v>
      </c>
      <c r="D1068" s="22">
        <f>MONTH(Table12[[#This Row],[Order Date]])</f>
        <v>9</v>
      </c>
      <c r="E1068" t="s">
        <v>5247</v>
      </c>
      <c r="F1068" t="s">
        <v>5248</v>
      </c>
      <c r="G1068" s="23" t="s">
        <v>41</v>
      </c>
      <c r="H1068" s="23" t="s">
        <v>513</v>
      </c>
      <c r="I1068" t="s">
        <v>5104</v>
      </c>
      <c r="J1068" s="23" t="s">
        <v>92</v>
      </c>
      <c r="K1068" s="22">
        <v>3</v>
      </c>
      <c r="L1068" s="1">
        <v>41901</v>
      </c>
      <c r="M1068" s="22">
        <f>Table12[[#This Row],[Ship Date]]-Table12[[#This Row],[Order Date]]</f>
        <v>7</v>
      </c>
      <c r="N1068" s="23" t="s">
        <v>45</v>
      </c>
      <c r="O1068" s="23" t="s">
        <v>23</v>
      </c>
      <c r="P1068" s="23" t="s">
        <v>4001</v>
      </c>
      <c r="Q1068" s="23" t="s">
        <v>95</v>
      </c>
      <c r="R1068" s="23" t="s">
        <v>4000</v>
      </c>
      <c r="S1068" s="33">
        <v>0</v>
      </c>
      <c r="T1068" s="13">
        <v>357.93</v>
      </c>
      <c r="U1068" s="13">
        <v>7.1585999999999999</v>
      </c>
      <c r="V1068" s="55">
        <f>IFERROR(Table12[[#This Row],[Profit]]/Table12[[#This Row],[Sales]],0)</f>
        <v>0.02</v>
      </c>
    </row>
    <row r="1069" spans="1:22" x14ac:dyDescent="0.2">
      <c r="A1069">
        <v>1068</v>
      </c>
      <c r="B1069" t="s">
        <v>7494</v>
      </c>
      <c r="C1069" s="1">
        <v>41894</v>
      </c>
      <c r="D1069" s="22">
        <f>MONTH(Table12[[#This Row],[Order Date]])</f>
        <v>9</v>
      </c>
      <c r="E1069" t="s">
        <v>6938</v>
      </c>
      <c r="F1069" t="s">
        <v>6939</v>
      </c>
      <c r="G1069" s="23" t="s">
        <v>64</v>
      </c>
      <c r="H1069" s="23" t="s">
        <v>144</v>
      </c>
      <c r="I1069" t="s">
        <v>5104</v>
      </c>
      <c r="J1069" s="23" t="s">
        <v>92</v>
      </c>
      <c r="K1069" s="22">
        <v>5</v>
      </c>
      <c r="L1069" s="1">
        <v>41901</v>
      </c>
      <c r="M1069" s="22">
        <f>Table12[[#This Row],[Ship Date]]-Table12[[#This Row],[Order Date]]</f>
        <v>7</v>
      </c>
      <c r="N1069" s="23" t="s">
        <v>45</v>
      </c>
      <c r="O1069" s="23" t="s">
        <v>23</v>
      </c>
      <c r="P1069" s="23" t="s">
        <v>4001</v>
      </c>
      <c r="Q1069" s="23" t="s">
        <v>95</v>
      </c>
      <c r="R1069" s="23" t="s">
        <v>4000</v>
      </c>
      <c r="S1069" s="33">
        <v>0</v>
      </c>
      <c r="T1069" s="13">
        <v>57.4</v>
      </c>
      <c r="U1069" s="13">
        <v>10.906000000000001</v>
      </c>
      <c r="V1069" s="55">
        <f>IFERROR(Table12[[#This Row],[Profit]]/Table12[[#This Row],[Sales]],0)</f>
        <v>0.19</v>
      </c>
    </row>
    <row r="1070" spans="1:22" x14ac:dyDescent="0.2">
      <c r="A1070">
        <v>1069</v>
      </c>
      <c r="B1070" t="s">
        <v>7494</v>
      </c>
      <c r="C1070" s="1">
        <v>41894</v>
      </c>
      <c r="D1070" s="22">
        <f>MONTH(Table12[[#This Row],[Order Date]])</f>
        <v>9</v>
      </c>
      <c r="E1070" t="s">
        <v>3071</v>
      </c>
      <c r="F1070" t="s">
        <v>3072</v>
      </c>
      <c r="G1070" s="23" t="s">
        <v>41</v>
      </c>
      <c r="H1070" s="23" t="s">
        <v>68</v>
      </c>
      <c r="I1070" t="s">
        <v>5104</v>
      </c>
      <c r="J1070" s="23" t="s">
        <v>92</v>
      </c>
      <c r="K1070" s="22">
        <v>2</v>
      </c>
      <c r="L1070" s="1">
        <v>41901</v>
      </c>
      <c r="M1070" s="22">
        <f>Table12[[#This Row],[Ship Date]]-Table12[[#This Row],[Order Date]]</f>
        <v>7</v>
      </c>
      <c r="N1070" s="23" t="s">
        <v>45</v>
      </c>
      <c r="O1070" s="23" t="s">
        <v>23</v>
      </c>
      <c r="P1070" s="23" t="s">
        <v>4001</v>
      </c>
      <c r="Q1070" s="23" t="s">
        <v>95</v>
      </c>
      <c r="R1070" s="23" t="s">
        <v>4000</v>
      </c>
      <c r="S1070" s="33">
        <v>0</v>
      </c>
      <c r="T1070" s="13">
        <v>331.96</v>
      </c>
      <c r="U1070" s="13">
        <v>149.38200000000001</v>
      </c>
      <c r="V1070" s="55">
        <f>IFERROR(Table12[[#This Row],[Profit]]/Table12[[#This Row],[Sales]],0)</f>
        <v>0.45000000000000007</v>
      </c>
    </row>
    <row r="1071" spans="1:22" x14ac:dyDescent="0.2">
      <c r="A1071">
        <v>1070</v>
      </c>
      <c r="B1071" t="s">
        <v>7494</v>
      </c>
      <c r="C1071" s="1">
        <v>41894</v>
      </c>
      <c r="D1071" s="22">
        <f>MONTH(Table12[[#This Row],[Order Date]])</f>
        <v>9</v>
      </c>
      <c r="E1071" t="s">
        <v>5651</v>
      </c>
      <c r="F1071" t="s">
        <v>5652</v>
      </c>
      <c r="G1071" s="23" t="s">
        <v>28</v>
      </c>
      <c r="H1071" s="23" t="s">
        <v>58</v>
      </c>
      <c r="I1071" t="s">
        <v>5104</v>
      </c>
      <c r="J1071" s="23" t="s">
        <v>92</v>
      </c>
      <c r="K1071" s="22">
        <v>2</v>
      </c>
      <c r="L1071" s="1">
        <v>41901</v>
      </c>
      <c r="M1071" s="22">
        <f>Table12[[#This Row],[Ship Date]]-Table12[[#This Row],[Order Date]]</f>
        <v>7</v>
      </c>
      <c r="N1071" s="23" t="s">
        <v>45</v>
      </c>
      <c r="O1071" s="23" t="s">
        <v>23</v>
      </c>
      <c r="P1071" s="23" t="s">
        <v>4001</v>
      </c>
      <c r="Q1071" s="23" t="s">
        <v>95</v>
      </c>
      <c r="R1071" s="23" t="s">
        <v>4000</v>
      </c>
      <c r="S1071" s="33">
        <v>0</v>
      </c>
      <c r="T1071" s="13">
        <v>40.56</v>
      </c>
      <c r="U1071" s="13">
        <v>12.979200000000001</v>
      </c>
      <c r="V1071" s="55">
        <f>IFERROR(Table12[[#This Row],[Profit]]/Table12[[#This Row],[Sales]],0)</f>
        <v>0.32</v>
      </c>
    </row>
    <row r="1072" spans="1:22" x14ac:dyDescent="0.2">
      <c r="A1072">
        <v>1071</v>
      </c>
      <c r="B1072" t="s">
        <v>9824</v>
      </c>
      <c r="C1072" s="1">
        <v>41894</v>
      </c>
      <c r="D1072" s="22">
        <f>MONTH(Table12[[#This Row],[Order Date]])</f>
        <v>9</v>
      </c>
      <c r="E1072" t="s">
        <v>1656</v>
      </c>
      <c r="F1072" t="s">
        <v>1657</v>
      </c>
      <c r="G1072" s="23" t="s">
        <v>28</v>
      </c>
      <c r="H1072" s="23" t="s">
        <v>32</v>
      </c>
      <c r="I1072" t="s">
        <v>4322</v>
      </c>
      <c r="J1072" s="23" t="s">
        <v>22</v>
      </c>
      <c r="K1072" s="22">
        <v>6</v>
      </c>
      <c r="L1072" s="1">
        <v>41899</v>
      </c>
      <c r="M1072" s="22">
        <f>Table12[[#This Row],[Ship Date]]-Table12[[#This Row],[Order Date]]</f>
        <v>5</v>
      </c>
      <c r="N1072" s="23" t="s">
        <v>20</v>
      </c>
      <c r="O1072" s="23" t="s">
        <v>23</v>
      </c>
      <c r="P1072" s="23" t="s">
        <v>238</v>
      </c>
      <c r="Q1072" s="23" t="s">
        <v>133</v>
      </c>
      <c r="R1072" s="23" t="s">
        <v>237</v>
      </c>
      <c r="S1072" s="33">
        <v>0.1</v>
      </c>
      <c r="T1072" s="13">
        <v>3785.2919999999999</v>
      </c>
      <c r="U1072" s="13">
        <v>420.58800000000002</v>
      </c>
      <c r="V1072" s="55">
        <f>IFERROR(Table12[[#This Row],[Profit]]/Table12[[#This Row],[Sales]],0)</f>
        <v>0.11111111111111112</v>
      </c>
    </row>
    <row r="1073" spans="1:22" x14ac:dyDescent="0.2">
      <c r="A1073">
        <v>1072</v>
      </c>
      <c r="B1073" t="s">
        <v>788</v>
      </c>
      <c r="C1073" s="1">
        <v>41895</v>
      </c>
      <c r="D1073" s="22">
        <f>MONTH(Table12[[#This Row],[Order Date]])</f>
        <v>9</v>
      </c>
      <c r="E1073" t="s">
        <v>790</v>
      </c>
      <c r="F1073" t="s">
        <v>791</v>
      </c>
      <c r="G1073" s="23" t="s">
        <v>41</v>
      </c>
      <c r="H1073" s="23" t="s">
        <v>68</v>
      </c>
      <c r="I1073" t="s">
        <v>789</v>
      </c>
      <c r="J1073" s="23" t="s">
        <v>36</v>
      </c>
      <c r="K1073" s="22">
        <v>7</v>
      </c>
      <c r="L1073" s="1">
        <v>41899</v>
      </c>
      <c r="M1073" s="22">
        <f>Table12[[#This Row],[Ship Date]]-Table12[[#This Row],[Order Date]]</f>
        <v>4</v>
      </c>
      <c r="N1073" s="23" t="s">
        <v>45</v>
      </c>
      <c r="O1073" s="23" t="s">
        <v>23</v>
      </c>
      <c r="P1073" s="23" t="s">
        <v>80</v>
      </c>
      <c r="Q1073" s="23" t="s">
        <v>26</v>
      </c>
      <c r="R1073" s="23" t="s">
        <v>414</v>
      </c>
      <c r="S1073" s="33">
        <v>0.7</v>
      </c>
      <c r="T1073" s="13">
        <v>18.648</v>
      </c>
      <c r="U1073" s="13">
        <v>-12.432</v>
      </c>
      <c r="V1073" s="55">
        <f>IFERROR(Table12[[#This Row],[Profit]]/Table12[[#This Row],[Sales]],0)</f>
        <v>-0.66666666666666674</v>
      </c>
    </row>
    <row r="1074" spans="1:22" x14ac:dyDescent="0.2">
      <c r="A1074">
        <v>1073</v>
      </c>
      <c r="B1074" t="s">
        <v>2487</v>
      </c>
      <c r="C1074" s="1">
        <v>41895</v>
      </c>
      <c r="D1074" s="22">
        <f>MONTH(Table12[[#This Row],[Order Date]])</f>
        <v>9</v>
      </c>
      <c r="E1074" t="s">
        <v>2489</v>
      </c>
      <c r="F1074" t="s">
        <v>2490</v>
      </c>
      <c r="G1074" s="23" t="s">
        <v>41</v>
      </c>
      <c r="H1074" s="23" t="s">
        <v>82</v>
      </c>
      <c r="I1074" t="s">
        <v>2488</v>
      </c>
      <c r="J1074" s="23" t="s">
        <v>22</v>
      </c>
      <c r="K1074" s="22">
        <v>3</v>
      </c>
      <c r="L1074" s="1">
        <v>41898</v>
      </c>
      <c r="M1074" s="22">
        <f>Table12[[#This Row],[Ship Date]]-Table12[[#This Row],[Order Date]]</f>
        <v>3</v>
      </c>
      <c r="N1074" s="23" t="s">
        <v>169</v>
      </c>
      <c r="O1074" s="23" t="s">
        <v>23</v>
      </c>
      <c r="P1074" s="23" t="s">
        <v>132</v>
      </c>
      <c r="Q1074" s="23" t="s">
        <v>133</v>
      </c>
      <c r="R1074" s="23" t="s">
        <v>131</v>
      </c>
      <c r="S1074" s="33">
        <v>0.2</v>
      </c>
      <c r="T1074" s="13">
        <v>15.552</v>
      </c>
      <c r="U1074" s="13">
        <v>5.4432</v>
      </c>
      <c r="V1074" s="55">
        <f>IFERROR(Table12[[#This Row],[Profit]]/Table12[[#This Row],[Sales]],0)</f>
        <v>0.35000000000000003</v>
      </c>
    </row>
    <row r="1075" spans="1:22" x14ac:dyDescent="0.2">
      <c r="A1075">
        <v>1074</v>
      </c>
      <c r="B1075" t="s">
        <v>2487</v>
      </c>
      <c r="C1075" s="1">
        <v>41895</v>
      </c>
      <c r="D1075" s="22">
        <f>MONTH(Table12[[#This Row],[Order Date]])</f>
        <v>9</v>
      </c>
      <c r="E1075" t="s">
        <v>2491</v>
      </c>
      <c r="F1075" t="s">
        <v>2492</v>
      </c>
      <c r="G1075" s="23" t="s">
        <v>64</v>
      </c>
      <c r="H1075" s="23" t="s">
        <v>144</v>
      </c>
      <c r="I1075" t="s">
        <v>2488</v>
      </c>
      <c r="J1075" s="23" t="s">
        <v>22</v>
      </c>
      <c r="K1075" s="22">
        <v>5</v>
      </c>
      <c r="L1075" s="1">
        <v>41898</v>
      </c>
      <c r="M1075" s="22">
        <f>Table12[[#This Row],[Ship Date]]-Table12[[#This Row],[Order Date]]</f>
        <v>3</v>
      </c>
      <c r="N1075" s="23" t="s">
        <v>169</v>
      </c>
      <c r="O1075" s="23" t="s">
        <v>23</v>
      </c>
      <c r="P1075" s="23" t="s">
        <v>132</v>
      </c>
      <c r="Q1075" s="23" t="s">
        <v>133</v>
      </c>
      <c r="R1075" s="23" t="s">
        <v>131</v>
      </c>
      <c r="S1075" s="33">
        <v>0.2</v>
      </c>
      <c r="T1075" s="13">
        <v>252</v>
      </c>
      <c r="U1075" s="13">
        <v>53.55</v>
      </c>
      <c r="V1075" s="55">
        <f>IFERROR(Table12[[#This Row],[Profit]]/Table12[[#This Row],[Sales]],0)</f>
        <v>0.21249999999999999</v>
      </c>
    </row>
    <row r="1076" spans="1:22" x14ac:dyDescent="0.2">
      <c r="A1076">
        <v>1075</v>
      </c>
      <c r="B1076" t="s">
        <v>4932</v>
      </c>
      <c r="C1076" s="1">
        <v>41895</v>
      </c>
      <c r="D1076" s="22">
        <f>MONTH(Table12[[#This Row],[Order Date]])</f>
        <v>9</v>
      </c>
      <c r="E1076" t="s">
        <v>60</v>
      </c>
      <c r="F1076" t="s">
        <v>62</v>
      </c>
      <c r="G1076" s="23" t="s">
        <v>41</v>
      </c>
      <c r="H1076" s="23" t="s">
        <v>61</v>
      </c>
      <c r="I1076" t="s">
        <v>3122</v>
      </c>
      <c r="J1076" s="23" t="s">
        <v>22</v>
      </c>
      <c r="K1076" s="22">
        <v>3</v>
      </c>
      <c r="L1076" s="1">
        <v>41901</v>
      </c>
      <c r="M1076" s="22">
        <f>Table12[[#This Row],[Ship Date]]-Table12[[#This Row],[Order Date]]</f>
        <v>6</v>
      </c>
      <c r="N1076" s="23" t="s">
        <v>45</v>
      </c>
      <c r="O1076" s="23" t="s">
        <v>23</v>
      </c>
      <c r="P1076" s="23" t="s">
        <v>238</v>
      </c>
      <c r="Q1076" s="23" t="s">
        <v>133</v>
      </c>
      <c r="R1076" s="23" t="s">
        <v>237</v>
      </c>
      <c r="S1076" s="33">
        <v>0</v>
      </c>
      <c r="T1076" s="13">
        <v>5.46</v>
      </c>
      <c r="U1076" s="13">
        <v>1.4742</v>
      </c>
      <c r="V1076" s="55">
        <f>IFERROR(Table12[[#This Row],[Profit]]/Table12[[#This Row],[Sales]],0)</f>
        <v>0.27</v>
      </c>
    </row>
    <row r="1077" spans="1:22" x14ac:dyDescent="0.2">
      <c r="A1077">
        <v>1076</v>
      </c>
      <c r="B1077" t="s">
        <v>6148</v>
      </c>
      <c r="C1077" s="1">
        <v>41895</v>
      </c>
      <c r="D1077" s="22">
        <f>MONTH(Table12[[#This Row],[Order Date]])</f>
        <v>9</v>
      </c>
      <c r="E1077" t="s">
        <v>6149</v>
      </c>
      <c r="F1077" t="s">
        <v>6150</v>
      </c>
      <c r="G1077" s="23" t="s">
        <v>41</v>
      </c>
      <c r="H1077" s="23" t="s">
        <v>53</v>
      </c>
      <c r="I1077" t="s">
        <v>202</v>
      </c>
      <c r="J1077" s="23" t="s">
        <v>36</v>
      </c>
      <c r="K1077" s="22">
        <v>5</v>
      </c>
      <c r="L1077" s="1">
        <v>41899</v>
      </c>
      <c r="M1077" s="22">
        <f>Table12[[#This Row],[Ship Date]]-Table12[[#This Row],[Order Date]]</f>
        <v>4</v>
      </c>
      <c r="N1077" s="23" t="s">
        <v>45</v>
      </c>
      <c r="O1077" s="23" t="s">
        <v>23</v>
      </c>
      <c r="P1077" s="23" t="s">
        <v>277</v>
      </c>
      <c r="Q1077" s="23" t="s">
        <v>39</v>
      </c>
      <c r="R1077" s="23" t="s">
        <v>3595</v>
      </c>
      <c r="S1077" s="33">
        <v>0.2</v>
      </c>
      <c r="T1077" s="13">
        <v>79.400000000000006</v>
      </c>
      <c r="U1077" s="13">
        <v>5.9550000000000001</v>
      </c>
      <c r="V1077" s="55">
        <f>IFERROR(Table12[[#This Row],[Profit]]/Table12[[#This Row],[Sales]],0)</f>
        <v>7.4999999999999997E-2</v>
      </c>
    </row>
    <row r="1078" spans="1:22" x14ac:dyDescent="0.2">
      <c r="A1078">
        <v>1077</v>
      </c>
      <c r="B1078" t="s">
        <v>7359</v>
      </c>
      <c r="C1078" s="1">
        <v>41895</v>
      </c>
      <c r="D1078" s="22">
        <f>MONTH(Table12[[#This Row],[Order Date]])</f>
        <v>9</v>
      </c>
      <c r="E1078" t="s">
        <v>633</v>
      </c>
      <c r="F1078" t="s">
        <v>634</v>
      </c>
      <c r="G1078" s="23" t="s">
        <v>28</v>
      </c>
      <c r="H1078" s="23" t="s">
        <v>32</v>
      </c>
      <c r="I1078" t="s">
        <v>4721</v>
      </c>
      <c r="J1078" s="23" t="s">
        <v>92</v>
      </c>
      <c r="K1078" s="22">
        <v>6</v>
      </c>
      <c r="L1078" s="1">
        <v>41899</v>
      </c>
      <c r="M1078" s="22">
        <f>Table12[[#This Row],[Ship Date]]-Table12[[#This Row],[Order Date]]</f>
        <v>4</v>
      </c>
      <c r="N1078" s="23" t="s">
        <v>45</v>
      </c>
      <c r="O1078" s="23" t="s">
        <v>23</v>
      </c>
      <c r="P1078" s="23" t="s">
        <v>94</v>
      </c>
      <c r="Q1078" s="23" t="s">
        <v>95</v>
      </c>
      <c r="R1078" s="23" t="s">
        <v>6188</v>
      </c>
      <c r="S1078" s="33">
        <v>0.3</v>
      </c>
      <c r="T1078" s="13">
        <v>340.11599999999999</v>
      </c>
      <c r="U1078" s="13">
        <v>-9.7175999999999991</v>
      </c>
      <c r="V1078" s="55">
        <f>IFERROR(Table12[[#This Row],[Profit]]/Table12[[#This Row],[Sales]],0)</f>
        <v>-2.8571428571428571E-2</v>
      </c>
    </row>
    <row r="1079" spans="1:22" x14ac:dyDescent="0.2">
      <c r="A1079">
        <v>1078</v>
      </c>
      <c r="B1079" t="s">
        <v>8390</v>
      </c>
      <c r="C1079" s="1">
        <v>41895</v>
      </c>
      <c r="D1079" s="22">
        <f>MONTH(Table12[[#This Row],[Order Date]])</f>
        <v>9</v>
      </c>
      <c r="E1079" t="s">
        <v>2608</v>
      </c>
      <c r="F1079" t="s">
        <v>2609</v>
      </c>
      <c r="G1079" s="23" t="s">
        <v>41</v>
      </c>
      <c r="H1079" s="23" t="s">
        <v>68</v>
      </c>
      <c r="I1079" t="s">
        <v>216</v>
      </c>
      <c r="J1079" s="23" t="s">
        <v>22</v>
      </c>
      <c r="K1079" s="22">
        <v>3</v>
      </c>
      <c r="L1079" s="1">
        <v>41900</v>
      </c>
      <c r="M1079" s="22">
        <f>Table12[[#This Row],[Ship Date]]-Table12[[#This Row],[Order Date]]</f>
        <v>5</v>
      </c>
      <c r="N1079" s="23" t="s">
        <v>20</v>
      </c>
      <c r="O1079" s="23" t="s">
        <v>23</v>
      </c>
      <c r="P1079" s="23" t="s">
        <v>441</v>
      </c>
      <c r="Q1079" s="23" t="s">
        <v>133</v>
      </c>
      <c r="R1079" s="23" t="s">
        <v>440</v>
      </c>
      <c r="S1079" s="33">
        <v>0.7</v>
      </c>
      <c r="T1079" s="13">
        <v>2.5019999999999998</v>
      </c>
      <c r="U1079" s="13">
        <v>-2.0015999999999998</v>
      </c>
      <c r="V1079" s="55">
        <f>IFERROR(Table12[[#This Row],[Profit]]/Table12[[#This Row],[Sales]],0)</f>
        <v>-0.8</v>
      </c>
    </row>
    <row r="1080" spans="1:22" x14ac:dyDescent="0.2">
      <c r="A1080">
        <v>1079</v>
      </c>
      <c r="B1080" t="s">
        <v>9379</v>
      </c>
      <c r="C1080" s="1">
        <v>41895</v>
      </c>
      <c r="D1080" s="22">
        <f>MONTH(Table12[[#This Row],[Order Date]])</f>
        <v>9</v>
      </c>
      <c r="E1080" t="s">
        <v>7086</v>
      </c>
      <c r="F1080" t="s">
        <v>7087</v>
      </c>
      <c r="G1080" s="23" t="s">
        <v>41</v>
      </c>
      <c r="H1080" s="23" t="s">
        <v>240</v>
      </c>
      <c r="I1080" t="s">
        <v>1919</v>
      </c>
      <c r="J1080" s="23" t="s">
        <v>22</v>
      </c>
      <c r="K1080" s="22">
        <v>5</v>
      </c>
      <c r="L1080" s="1">
        <v>41895</v>
      </c>
      <c r="M1080" s="22">
        <f>Table12[[#This Row],[Ship Date]]-Table12[[#This Row],[Order Date]]</f>
        <v>0</v>
      </c>
      <c r="N1080" s="23" t="s">
        <v>1141</v>
      </c>
      <c r="O1080" s="23" t="s">
        <v>23</v>
      </c>
      <c r="P1080" s="23" t="s">
        <v>87</v>
      </c>
      <c r="Q1080" s="23" t="s">
        <v>39</v>
      </c>
      <c r="R1080" s="23" t="s">
        <v>86</v>
      </c>
      <c r="S1080" s="33">
        <v>0</v>
      </c>
      <c r="T1080" s="13">
        <v>5.7</v>
      </c>
      <c r="U1080" s="13">
        <v>2.6789999999999998</v>
      </c>
      <c r="V1080" s="55">
        <f>IFERROR(Table12[[#This Row],[Profit]]/Table12[[#This Row],[Sales]],0)</f>
        <v>0.47</v>
      </c>
    </row>
    <row r="1081" spans="1:22" x14ac:dyDescent="0.2">
      <c r="A1081">
        <v>1080</v>
      </c>
      <c r="B1081" t="s">
        <v>9379</v>
      </c>
      <c r="C1081" s="1">
        <v>41895</v>
      </c>
      <c r="D1081" s="22">
        <f>MONTH(Table12[[#This Row],[Order Date]])</f>
        <v>9</v>
      </c>
      <c r="E1081" t="s">
        <v>1003</v>
      </c>
      <c r="F1081" t="s">
        <v>1004</v>
      </c>
      <c r="G1081" s="23" t="s">
        <v>28</v>
      </c>
      <c r="H1081" s="23" t="s">
        <v>58</v>
      </c>
      <c r="I1081" t="s">
        <v>1919</v>
      </c>
      <c r="J1081" s="23" t="s">
        <v>22</v>
      </c>
      <c r="K1081" s="22">
        <v>3</v>
      </c>
      <c r="L1081" s="1">
        <v>41895</v>
      </c>
      <c r="M1081" s="22">
        <f>Table12[[#This Row],[Ship Date]]-Table12[[#This Row],[Order Date]]</f>
        <v>0</v>
      </c>
      <c r="N1081" s="23" t="s">
        <v>1141</v>
      </c>
      <c r="O1081" s="23" t="s">
        <v>23</v>
      </c>
      <c r="P1081" s="23" t="s">
        <v>87</v>
      </c>
      <c r="Q1081" s="23" t="s">
        <v>39</v>
      </c>
      <c r="R1081" s="23" t="s">
        <v>86</v>
      </c>
      <c r="S1081" s="33">
        <v>0</v>
      </c>
      <c r="T1081" s="13">
        <v>14.19</v>
      </c>
      <c r="U1081" s="13">
        <v>5.5340999999999996</v>
      </c>
      <c r="V1081" s="55">
        <f>IFERROR(Table12[[#This Row],[Profit]]/Table12[[#This Row],[Sales]],0)</f>
        <v>0.38999999999999996</v>
      </c>
    </row>
    <row r="1082" spans="1:22" x14ac:dyDescent="0.2">
      <c r="A1082">
        <v>1081</v>
      </c>
      <c r="B1082" t="s">
        <v>9379</v>
      </c>
      <c r="C1082" s="1">
        <v>41895</v>
      </c>
      <c r="D1082" s="22">
        <f>MONTH(Table12[[#This Row],[Order Date]])</f>
        <v>9</v>
      </c>
      <c r="E1082" t="s">
        <v>1722</v>
      </c>
      <c r="F1082" t="s">
        <v>1723</v>
      </c>
      <c r="G1082" s="23" t="s">
        <v>41</v>
      </c>
      <c r="H1082" s="23" t="s">
        <v>513</v>
      </c>
      <c r="I1082" t="s">
        <v>1919</v>
      </c>
      <c r="J1082" s="23" t="s">
        <v>22</v>
      </c>
      <c r="K1082" s="22">
        <v>2</v>
      </c>
      <c r="L1082" s="1">
        <v>41895</v>
      </c>
      <c r="M1082" s="22">
        <f>Table12[[#This Row],[Ship Date]]-Table12[[#This Row],[Order Date]]</f>
        <v>0</v>
      </c>
      <c r="N1082" s="23" t="s">
        <v>1141</v>
      </c>
      <c r="O1082" s="23" t="s">
        <v>23</v>
      </c>
      <c r="P1082" s="23" t="s">
        <v>87</v>
      </c>
      <c r="Q1082" s="23" t="s">
        <v>39</v>
      </c>
      <c r="R1082" s="23" t="s">
        <v>86</v>
      </c>
      <c r="S1082" s="33">
        <v>0</v>
      </c>
      <c r="T1082" s="13">
        <v>7.3</v>
      </c>
      <c r="U1082" s="13">
        <v>2.19</v>
      </c>
      <c r="V1082" s="55">
        <f>IFERROR(Table12[[#This Row],[Profit]]/Table12[[#This Row],[Sales]],0)</f>
        <v>0.3</v>
      </c>
    </row>
    <row r="1083" spans="1:22" x14ac:dyDescent="0.2">
      <c r="A1083">
        <v>1082</v>
      </c>
      <c r="B1083" t="s">
        <v>9379</v>
      </c>
      <c r="C1083" s="1">
        <v>41895</v>
      </c>
      <c r="D1083" s="22">
        <f>MONTH(Table12[[#This Row],[Order Date]])</f>
        <v>9</v>
      </c>
      <c r="E1083" t="s">
        <v>2023</v>
      </c>
      <c r="F1083" t="s">
        <v>2024</v>
      </c>
      <c r="G1083" s="23" t="s">
        <v>64</v>
      </c>
      <c r="H1083" s="23" t="s">
        <v>144</v>
      </c>
      <c r="I1083" t="s">
        <v>1919</v>
      </c>
      <c r="J1083" s="23" t="s">
        <v>22</v>
      </c>
      <c r="K1083" s="22">
        <v>2</v>
      </c>
      <c r="L1083" s="1">
        <v>41895</v>
      </c>
      <c r="M1083" s="22">
        <f>Table12[[#This Row],[Ship Date]]-Table12[[#This Row],[Order Date]]</f>
        <v>0</v>
      </c>
      <c r="N1083" s="23" t="s">
        <v>1141</v>
      </c>
      <c r="O1083" s="23" t="s">
        <v>23</v>
      </c>
      <c r="P1083" s="23" t="s">
        <v>87</v>
      </c>
      <c r="Q1083" s="23" t="s">
        <v>39</v>
      </c>
      <c r="R1083" s="23" t="s">
        <v>86</v>
      </c>
      <c r="S1083" s="33">
        <v>0</v>
      </c>
      <c r="T1083" s="13">
        <v>199.98</v>
      </c>
      <c r="U1083" s="13">
        <v>75.992400000000004</v>
      </c>
      <c r="V1083" s="55">
        <f>IFERROR(Table12[[#This Row],[Profit]]/Table12[[#This Row],[Sales]],0)</f>
        <v>0.38000000000000006</v>
      </c>
    </row>
    <row r="1084" spans="1:22" x14ac:dyDescent="0.2">
      <c r="A1084">
        <v>1083</v>
      </c>
      <c r="B1084" t="s">
        <v>9379</v>
      </c>
      <c r="C1084" s="1">
        <v>41895</v>
      </c>
      <c r="D1084" s="22">
        <f>MONTH(Table12[[#This Row],[Order Date]])</f>
        <v>9</v>
      </c>
      <c r="E1084" t="s">
        <v>5815</v>
      </c>
      <c r="F1084" t="s">
        <v>5816</v>
      </c>
      <c r="G1084" s="23" t="s">
        <v>64</v>
      </c>
      <c r="H1084" s="23" t="s">
        <v>144</v>
      </c>
      <c r="I1084" t="s">
        <v>1919</v>
      </c>
      <c r="J1084" s="23" t="s">
        <v>22</v>
      </c>
      <c r="K1084" s="22">
        <v>4</v>
      </c>
      <c r="L1084" s="1">
        <v>41895</v>
      </c>
      <c r="M1084" s="22">
        <f>Table12[[#This Row],[Ship Date]]-Table12[[#This Row],[Order Date]]</f>
        <v>0</v>
      </c>
      <c r="N1084" s="23" t="s">
        <v>1141</v>
      </c>
      <c r="O1084" s="23" t="s">
        <v>23</v>
      </c>
      <c r="P1084" s="23" t="s">
        <v>87</v>
      </c>
      <c r="Q1084" s="23" t="s">
        <v>39</v>
      </c>
      <c r="R1084" s="23" t="s">
        <v>86</v>
      </c>
      <c r="S1084" s="33">
        <v>0</v>
      </c>
      <c r="T1084" s="13">
        <v>144.96</v>
      </c>
      <c r="U1084" s="13">
        <v>60.883200000000002</v>
      </c>
      <c r="V1084" s="55">
        <f>IFERROR(Table12[[#This Row],[Profit]]/Table12[[#This Row],[Sales]],0)</f>
        <v>0.42</v>
      </c>
    </row>
    <row r="1085" spans="1:22" x14ac:dyDescent="0.2">
      <c r="A1085">
        <v>1084</v>
      </c>
      <c r="B1085" t="s">
        <v>9379</v>
      </c>
      <c r="C1085" s="1">
        <v>41895</v>
      </c>
      <c r="D1085" s="22">
        <f>MONTH(Table12[[#This Row],[Order Date]])</f>
        <v>9</v>
      </c>
      <c r="E1085" t="s">
        <v>3516</v>
      </c>
      <c r="F1085" t="s">
        <v>3517</v>
      </c>
      <c r="G1085" s="23" t="s">
        <v>64</v>
      </c>
      <c r="H1085" s="23" t="s">
        <v>144</v>
      </c>
      <c r="I1085" t="s">
        <v>1919</v>
      </c>
      <c r="J1085" s="23" t="s">
        <v>22</v>
      </c>
      <c r="K1085" s="22">
        <v>2</v>
      </c>
      <c r="L1085" s="1">
        <v>41895</v>
      </c>
      <c r="M1085" s="22">
        <f>Table12[[#This Row],[Ship Date]]-Table12[[#This Row],[Order Date]]</f>
        <v>0</v>
      </c>
      <c r="N1085" s="23" t="s">
        <v>1141</v>
      </c>
      <c r="O1085" s="23" t="s">
        <v>23</v>
      </c>
      <c r="P1085" s="23" t="s">
        <v>87</v>
      </c>
      <c r="Q1085" s="23" t="s">
        <v>39</v>
      </c>
      <c r="R1085" s="23" t="s">
        <v>86</v>
      </c>
      <c r="S1085" s="33">
        <v>0</v>
      </c>
      <c r="T1085" s="13">
        <v>118</v>
      </c>
      <c r="U1085" s="13">
        <v>20.059999999999999</v>
      </c>
      <c r="V1085" s="55">
        <f>IFERROR(Table12[[#This Row],[Profit]]/Table12[[#This Row],[Sales]],0)</f>
        <v>0.16999999999999998</v>
      </c>
    </row>
    <row r="1086" spans="1:22" x14ac:dyDescent="0.2">
      <c r="A1086">
        <v>1085</v>
      </c>
      <c r="B1086" t="s">
        <v>9379</v>
      </c>
      <c r="C1086" s="1">
        <v>41895</v>
      </c>
      <c r="D1086" s="22">
        <f>MONTH(Table12[[#This Row],[Order Date]])</f>
        <v>9</v>
      </c>
      <c r="E1086" t="s">
        <v>5349</v>
      </c>
      <c r="F1086" t="s">
        <v>5350</v>
      </c>
      <c r="G1086" s="23" t="s">
        <v>41</v>
      </c>
      <c r="H1086" s="23" t="s">
        <v>82</v>
      </c>
      <c r="I1086" t="s">
        <v>1919</v>
      </c>
      <c r="J1086" s="23" t="s">
        <v>22</v>
      </c>
      <c r="K1086" s="22">
        <v>1</v>
      </c>
      <c r="L1086" s="1">
        <v>41895</v>
      </c>
      <c r="M1086" s="22">
        <f>Table12[[#This Row],[Ship Date]]-Table12[[#This Row],[Order Date]]</f>
        <v>0</v>
      </c>
      <c r="N1086" s="23" t="s">
        <v>1141</v>
      </c>
      <c r="O1086" s="23" t="s">
        <v>23</v>
      </c>
      <c r="P1086" s="23" t="s">
        <v>87</v>
      </c>
      <c r="Q1086" s="23" t="s">
        <v>39</v>
      </c>
      <c r="R1086" s="23" t="s">
        <v>86</v>
      </c>
      <c r="S1086" s="33">
        <v>0</v>
      </c>
      <c r="T1086" s="13">
        <v>48.94</v>
      </c>
      <c r="U1086" s="13">
        <v>24.47</v>
      </c>
      <c r="V1086" s="55">
        <f>IFERROR(Table12[[#This Row],[Profit]]/Table12[[#This Row],[Sales]],0)</f>
        <v>0.5</v>
      </c>
    </row>
    <row r="1087" spans="1:22" x14ac:dyDescent="0.2">
      <c r="A1087">
        <v>1086</v>
      </c>
      <c r="B1087" t="s">
        <v>9379</v>
      </c>
      <c r="C1087" s="1">
        <v>41895</v>
      </c>
      <c r="D1087" s="22">
        <f>MONTH(Table12[[#This Row],[Order Date]])</f>
        <v>9</v>
      </c>
      <c r="E1087" t="s">
        <v>4264</v>
      </c>
      <c r="F1087" t="s">
        <v>4265</v>
      </c>
      <c r="G1087" s="23" t="s">
        <v>41</v>
      </c>
      <c r="H1087" s="23" t="s">
        <v>71</v>
      </c>
      <c r="I1087" t="s">
        <v>1919</v>
      </c>
      <c r="J1087" s="23" t="s">
        <v>22</v>
      </c>
      <c r="K1087" s="22">
        <v>2</v>
      </c>
      <c r="L1087" s="1">
        <v>41895</v>
      </c>
      <c r="M1087" s="22">
        <f>Table12[[#This Row],[Ship Date]]-Table12[[#This Row],[Order Date]]</f>
        <v>0</v>
      </c>
      <c r="N1087" s="23" t="s">
        <v>1141</v>
      </c>
      <c r="O1087" s="23" t="s">
        <v>23</v>
      </c>
      <c r="P1087" s="23" t="s">
        <v>87</v>
      </c>
      <c r="Q1087" s="23" t="s">
        <v>39</v>
      </c>
      <c r="R1087" s="23" t="s">
        <v>86</v>
      </c>
      <c r="S1087" s="33">
        <v>0</v>
      </c>
      <c r="T1087" s="13">
        <v>22.66</v>
      </c>
      <c r="U1087" s="13">
        <v>9.7438000000000002</v>
      </c>
      <c r="V1087" s="55">
        <f>IFERROR(Table12[[#This Row],[Profit]]/Table12[[#This Row],[Sales]],0)</f>
        <v>0.43</v>
      </c>
    </row>
    <row r="1088" spans="1:22" x14ac:dyDescent="0.2">
      <c r="A1088">
        <v>1087</v>
      </c>
      <c r="B1088" t="s">
        <v>622</v>
      </c>
      <c r="C1088" s="1">
        <v>41896</v>
      </c>
      <c r="D1088" s="22">
        <f>MONTH(Table12[[#This Row],[Order Date]])</f>
        <v>9</v>
      </c>
      <c r="E1088" t="s">
        <v>624</v>
      </c>
      <c r="F1088" t="s">
        <v>625</v>
      </c>
      <c r="G1088" s="23" t="s">
        <v>41</v>
      </c>
      <c r="H1088" s="23" t="s">
        <v>71</v>
      </c>
      <c r="I1088" t="s">
        <v>623</v>
      </c>
      <c r="J1088" s="23" t="s">
        <v>36</v>
      </c>
      <c r="K1088" s="22">
        <v>2</v>
      </c>
      <c r="L1088" s="1">
        <v>41901</v>
      </c>
      <c r="M1088" s="22">
        <f>Table12[[#This Row],[Ship Date]]-Table12[[#This Row],[Order Date]]</f>
        <v>5</v>
      </c>
      <c r="N1088" s="23" t="s">
        <v>45</v>
      </c>
      <c r="O1088" s="23" t="s">
        <v>23</v>
      </c>
      <c r="P1088" s="23" t="s">
        <v>189</v>
      </c>
      <c r="Q1088" s="23" t="s">
        <v>95</v>
      </c>
      <c r="R1088" s="23" t="s">
        <v>271</v>
      </c>
      <c r="S1088" s="33">
        <v>0.8</v>
      </c>
      <c r="T1088" s="13">
        <v>52.448</v>
      </c>
      <c r="U1088" s="13">
        <v>-131.12</v>
      </c>
      <c r="V1088" s="55">
        <f>IFERROR(Table12[[#This Row],[Profit]]/Table12[[#This Row],[Sales]],0)</f>
        <v>-2.5</v>
      </c>
    </row>
    <row r="1089" spans="1:22" x14ac:dyDescent="0.2">
      <c r="A1089">
        <v>1088</v>
      </c>
      <c r="B1089" t="s">
        <v>622</v>
      </c>
      <c r="C1089" s="1">
        <v>41896</v>
      </c>
      <c r="D1089" s="22">
        <f>MONTH(Table12[[#This Row],[Order Date]])</f>
        <v>9</v>
      </c>
      <c r="E1089" t="s">
        <v>626</v>
      </c>
      <c r="F1089" t="s">
        <v>627</v>
      </c>
      <c r="G1089" s="23" t="s">
        <v>41</v>
      </c>
      <c r="H1089" s="23" t="s">
        <v>42</v>
      </c>
      <c r="I1089" t="s">
        <v>623</v>
      </c>
      <c r="J1089" s="23" t="s">
        <v>36</v>
      </c>
      <c r="K1089" s="22">
        <v>4</v>
      </c>
      <c r="L1089" s="1">
        <v>41901</v>
      </c>
      <c r="M1089" s="22">
        <f>Table12[[#This Row],[Ship Date]]-Table12[[#This Row],[Order Date]]</f>
        <v>5</v>
      </c>
      <c r="N1089" s="23" t="s">
        <v>45</v>
      </c>
      <c r="O1089" s="23" t="s">
        <v>23</v>
      </c>
      <c r="P1089" s="23" t="s">
        <v>189</v>
      </c>
      <c r="Q1089" s="23" t="s">
        <v>95</v>
      </c>
      <c r="R1089" s="23" t="s">
        <v>271</v>
      </c>
      <c r="S1089" s="33">
        <v>0.2</v>
      </c>
      <c r="T1089" s="13">
        <v>20.16</v>
      </c>
      <c r="U1089" s="13">
        <v>6.5519999999999996</v>
      </c>
      <c r="V1089" s="55">
        <f>IFERROR(Table12[[#This Row],[Profit]]/Table12[[#This Row],[Sales]],0)</f>
        <v>0.32499999999999996</v>
      </c>
    </row>
    <row r="1090" spans="1:22" x14ac:dyDescent="0.2">
      <c r="A1090">
        <v>1089</v>
      </c>
      <c r="B1090" t="s">
        <v>1493</v>
      </c>
      <c r="C1090" s="1">
        <v>41896</v>
      </c>
      <c r="D1090" s="22">
        <f>MONTH(Table12[[#This Row],[Order Date]])</f>
        <v>9</v>
      </c>
      <c r="E1090" t="s">
        <v>1495</v>
      </c>
      <c r="F1090" t="s">
        <v>1496</v>
      </c>
      <c r="G1090" s="23" t="s">
        <v>41</v>
      </c>
      <c r="H1090" s="23" t="s">
        <v>53</v>
      </c>
      <c r="I1090" t="s">
        <v>1494</v>
      </c>
      <c r="J1090" s="23" t="s">
        <v>22</v>
      </c>
      <c r="K1090" s="22">
        <v>5</v>
      </c>
      <c r="L1090" s="1">
        <v>41901</v>
      </c>
      <c r="M1090" s="22">
        <f>Table12[[#This Row],[Ship Date]]-Table12[[#This Row],[Order Date]]</f>
        <v>5</v>
      </c>
      <c r="N1090" s="23" t="s">
        <v>45</v>
      </c>
      <c r="O1090" s="23" t="s">
        <v>23</v>
      </c>
      <c r="P1090" s="23" t="s">
        <v>238</v>
      </c>
      <c r="Q1090" s="23" t="s">
        <v>133</v>
      </c>
      <c r="R1090" s="23" t="s">
        <v>347</v>
      </c>
      <c r="S1090" s="33">
        <v>0</v>
      </c>
      <c r="T1090" s="13">
        <v>449.15</v>
      </c>
      <c r="U1090" s="13">
        <v>8.9830000000000005</v>
      </c>
      <c r="V1090" s="55">
        <f>IFERROR(Table12[[#This Row],[Profit]]/Table12[[#This Row],[Sales]],0)</f>
        <v>2.0000000000000004E-2</v>
      </c>
    </row>
    <row r="1091" spans="1:22" x14ac:dyDescent="0.2">
      <c r="A1091">
        <v>1090</v>
      </c>
      <c r="B1091" t="s">
        <v>1493</v>
      </c>
      <c r="C1091" s="1">
        <v>41896</v>
      </c>
      <c r="D1091" s="22">
        <f>MONTH(Table12[[#This Row],[Order Date]])</f>
        <v>9</v>
      </c>
      <c r="E1091" t="s">
        <v>1497</v>
      </c>
      <c r="F1091" t="s">
        <v>1498</v>
      </c>
      <c r="G1091" s="23" t="s">
        <v>41</v>
      </c>
      <c r="H1091" s="23" t="s">
        <v>155</v>
      </c>
      <c r="I1091" t="s">
        <v>1494</v>
      </c>
      <c r="J1091" s="23" t="s">
        <v>22</v>
      </c>
      <c r="K1091" s="22">
        <v>3</v>
      </c>
      <c r="L1091" s="1">
        <v>41901</v>
      </c>
      <c r="M1091" s="22">
        <f>Table12[[#This Row],[Ship Date]]-Table12[[#This Row],[Order Date]]</f>
        <v>5</v>
      </c>
      <c r="N1091" s="23" t="s">
        <v>45</v>
      </c>
      <c r="O1091" s="23" t="s">
        <v>23</v>
      </c>
      <c r="P1091" s="23" t="s">
        <v>238</v>
      </c>
      <c r="Q1091" s="23" t="s">
        <v>133</v>
      </c>
      <c r="R1091" s="23" t="s">
        <v>347</v>
      </c>
      <c r="S1091" s="33">
        <v>0</v>
      </c>
      <c r="T1091" s="13">
        <v>11.07</v>
      </c>
      <c r="U1091" s="13">
        <v>5.0922000000000001</v>
      </c>
      <c r="V1091" s="55">
        <f>IFERROR(Table12[[#This Row],[Profit]]/Table12[[#This Row],[Sales]],0)</f>
        <v>0.46</v>
      </c>
    </row>
    <row r="1092" spans="1:22" x14ac:dyDescent="0.2">
      <c r="A1092">
        <v>1091</v>
      </c>
      <c r="B1092" t="s">
        <v>1685</v>
      </c>
      <c r="C1092" s="1">
        <v>41896</v>
      </c>
      <c r="D1092" s="22">
        <f>MONTH(Table12[[#This Row],[Order Date]])</f>
        <v>9</v>
      </c>
      <c r="E1092" t="s">
        <v>1687</v>
      </c>
      <c r="F1092" t="s">
        <v>1688</v>
      </c>
      <c r="G1092" s="23" t="s">
        <v>41</v>
      </c>
      <c r="H1092" s="23" t="s">
        <v>71</v>
      </c>
      <c r="I1092" t="s">
        <v>1686</v>
      </c>
      <c r="J1092" s="23" t="s">
        <v>22</v>
      </c>
      <c r="K1092" s="22">
        <v>5</v>
      </c>
      <c r="L1092" s="1">
        <v>41900</v>
      </c>
      <c r="M1092" s="22">
        <f>Table12[[#This Row],[Ship Date]]-Table12[[#This Row],[Order Date]]</f>
        <v>4</v>
      </c>
      <c r="N1092" s="23" t="s">
        <v>20</v>
      </c>
      <c r="O1092" s="23" t="s">
        <v>23</v>
      </c>
      <c r="P1092" s="23" t="s">
        <v>48</v>
      </c>
      <c r="Q1092" s="23" t="s">
        <v>26</v>
      </c>
      <c r="R1092" s="23" t="s">
        <v>793</v>
      </c>
      <c r="S1092" s="33">
        <v>0.2</v>
      </c>
      <c r="T1092" s="13">
        <v>13</v>
      </c>
      <c r="U1092" s="13">
        <v>1.3</v>
      </c>
      <c r="V1092" s="55">
        <f>IFERROR(Table12[[#This Row],[Profit]]/Table12[[#This Row],[Sales]],0)</f>
        <v>0.1</v>
      </c>
    </row>
    <row r="1093" spans="1:22" x14ac:dyDescent="0.2">
      <c r="A1093">
        <v>1092</v>
      </c>
      <c r="B1093" t="s">
        <v>1685</v>
      </c>
      <c r="C1093" s="1">
        <v>41896</v>
      </c>
      <c r="D1093" s="22">
        <f>MONTH(Table12[[#This Row],[Order Date]])</f>
        <v>9</v>
      </c>
      <c r="E1093" t="s">
        <v>1689</v>
      </c>
      <c r="F1093" t="s">
        <v>1690</v>
      </c>
      <c r="G1093" s="23" t="s">
        <v>28</v>
      </c>
      <c r="H1093" s="23" t="s">
        <v>58</v>
      </c>
      <c r="I1093" t="s">
        <v>1686</v>
      </c>
      <c r="J1093" s="23" t="s">
        <v>22</v>
      </c>
      <c r="K1093" s="22">
        <v>3</v>
      </c>
      <c r="L1093" s="1">
        <v>41900</v>
      </c>
      <c r="M1093" s="22">
        <f>Table12[[#This Row],[Ship Date]]-Table12[[#This Row],[Order Date]]</f>
        <v>4</v>
      </c>
      <c r="N1093" s="23" t="s">
        <v>20</v>
      </c>
      <c r="O1093" s="23" t="s">
        <v>23</v>
      </c>
      <c r="P1093" s="23" t="s">
        <v>48</v>
      </c>
      <c r="Q1093" s="23" t="s">
        <v>26</v>
      </c>
      <c r="R1093" s="23" t="s">
        <v>793</v>
      </c>
      <c r="S1093" s="33">
        <v>0.2</v>
      </c>
      <c r="T1093" s="13">
        <v>13.128</v>
      </c>
      <c r="U1093" s="13">
        <v>3.7743000000000002</v>
      </c>
      <c r="V1093" s="55">
        <f>IFERROR(Table12[[#This Row],[Profit]]/Table12[[#This Row],[Sales]],0)</f>
        <v>0.28750000000000003</v>
      </c>
    </row>
    <row r="1094" spans="1:22" x14ac:dyDescent="0.2">
      <c r="A1094">
        <v>1093</v>
      </c>
      <c r="B1094" t="s">
        <v>6083</v>
      </c>
      <c r="C1094" s="1">
        <v>41896</v>
      </c>
      <c r="D1094" s="22">
        <f>MONTH(Table12[[#This Row],[Order Date]])</f>
        <v>9</v>
      </c>
      <c r="E1094" t="s">
        <v>4050</v>
      </c>
      <c r="F1094" t="s">
        <v>4051</v>
      </c>
      <c r="G1094" s="23" t="s">
        <v>28</v>
      </c>
      <c r="H1094" s="23" t="s">
        <v>58</v>
      </c>
      <c r="I1094" t="s">
        <v>4141</v>
      </c>
      <c r="J1094" s="23" t="s">
        <v>22</v>
      </c>
      <c r="K1094" s="22">
        <v>5</v>
      </c>
      <c r="L1094" s="1">
        <v>41901</v>
      </c>
      <c r="M1094" s="22">
        <f>Table12[[#This Row],[Ship Date]]-Table12[[#This Row],[Order Date]]</f>
        <v>5</v>
      </c>
      <c r="N1094" s="23" t="s">
        <v>45</v>
      </c>
      <c r="O1094" s="23" t="s">
        <v>23</v>
      </c>
      <c r="P1094" s="23" t="s">
        <v>1125</v>
      </c>
      <c r="Q1094" s="23" t="s">
        <v>26</v>
      </c>
      <c r="R1094" s="23" t="s">
        <v>3140</v>
      </c>
      <c r="S1094" s="33">
        <v>0</v>
      </c>
      <c r="T1094" s="13">
        <v>142.4</v>
      </c>
      <c r="U1094" s="13">
        <v>52.688000000000002</v>
      </c>
      <c r="V1094" s="55">
        <f>IFERROR(Table12[[#This Row],[Profit]]/Table12[[#This Row],[Sales]],0)</f>
        <v>0.37</v>
      </c>
    </row>
    <row r="1095" spans="1:22" x14ac:dyDescent="0.2">
      <c r="A1095">
        <v>1094</v>
      </c>
      <c r="B1095" t="s">
        <v>6083</v>
      </c>
      <c r="C1095" s="1">
        <v>41896</v>
      </c>
      <c r="D1095" s="22">
        <f>MONTH(Table12[[#This Row],[Order Date]])</f>
        <v>9</v>
      </c>
      <c r="E1095" t="s">
        <v>661</v>
      </c>
      <c r="F1095" t="s">
        <v>662</v>
      </c>
      <c r="G1095" s="23" t="s">
        <v>41</v>
      </c>
      <c r="H1095" s="23" t="s">
        <v>68</v>
      </c>
      <c r="I1095" t="s">
        <v>4141</v>
      </c>
      <c r="J1095" s="23" t="s">
        <v>22</v>
      </c>
      <c r="K1095" s="22">
        <v>2</v>
      </c>
      <c r="L1095" s="1">
        <v>41901</v>
      </c>
      <c r="M1095" s="22">
        <f>Table12[[#This Row],[Ship Date]]-Table12[[#This Row],[Order Date]]</f>
        <v>5</v>
      </c>
      <c r="N1095" s="23" t="s">
        <v>45</v>
      </c>
      <c r="O1095" s="23" t="s">
        <v>23</v>
      </c>
      <c r="P1095" s="23" t="s">
        <v>1125</v>
      </c>
      <c r="Q1095" s="23" t="s">
        <v>26</v>
      </c>
      <c r="R1095" s="23" t="s">
        <v>3140</v>
      </c>
      <c r="S1095" s="33">
        <v>0</v>
      </c>
      <c r="T1095" s="13">
        <v>7.16</v>
      </c>
      <c r="U1095" s="13">
        <v>3.4367999999999999</v>
      </c>
      <c r="V1095" s="55">
        <f>IFERROR(Table12[[#This Row],[Profit]]/Table12[[#This Row],[Sales]],0)</f>
        <v>0.48</v>
      </c>
    </row>
    <row r="1096" spans="1:22" x14ac:dyDescent="0.2">
      <c r="A1096">
        <v>1095</v>
      </c>
      <c r="B1096" t="s">
        <v>7261</v>
      </c>
      <c r="C1096" s="1">
        <v>41896</v>
      </c>
      <c r="D1096" s="22">
        <f>MONTH(Table12[[#This Row],[Order Date]])</f>
        <v>9</v>
      </c>
      <c r="E1096" t="s">
        <v>3373</v>
      </c>
      <c r="F1096" t="s">
        <v>2884</v>
      </c>
      <c r="G1096" s="23" t="s">
        <v>28</v>
      </c>
      <c r="H1096" s="23" t="s">
        <v>50</v>
      </c>
      <c r="I1096" t="s">
        <v>5340</v>
      </c>
      <c r="J1096" s="23" t="s">
        <v>22</v>
      </c>
      <c r="K1096" s="22">
        <v>9</v>
      </c>
      <c r="L1096" s="1">
        <v>41896</v>
      </c>
      <c r="M1096" s="22">
        <f>Table12[[#This Row],[Ship Date]]-Table12[[#This Row],[Order Date]]</f>
        <v>0</v>
      </c>
      <c r="N1096" s="23" t="s">
        <v>1141</v>
      </c>
      <c r="O1096" s="23" t="s">
        <v>23</v>
      </c>
      <c r="P1096" s="23" t="s">
        <v>238</v>
      </c>
      <c r="Q1096" s="23" t="s">
        <v>133</v>
      </c>
      <c r="R1096" s="23" t="s">
        <v>237</v>
      </c>
      <c r="S1096" s="33">
        <v>0.4</v>
      </c>
      <c r="T1096" s="13">
        <v>464.29199999999997</v>
      </c>
      <c r="U1096" s="13">
        <v>-108.3348</v>
      </c>
      <c r="V1096" s="55">
        <f>IFERROR(Table12[[#This Row],[Profit]]/Table12[[#This Row],[Sales]],0)</f>
        <v>-0.23333333333333334</v>
      </c>
    </row>
    <row r="1097" spans="1:22" x14ac:dyDescent="0.2">
      <c r="A1097">
        <v>1096</v>
      </c>
      <c r="B1097" t="s">
        <v>7261</v>
      </c>
      <c r="C1097" s="1">
        <v>41896</v>
      </c>
      <c r="D1097" s="22">
        <f>MONTH(Table12[[#This Row],[Order Date]])</f>
        <v>9</v>
      </c>
      <c r="E1097" t="s">
        <v>2426</v>
      </c>
      <c r="F1097" t="s">
        <v>591</v>
      </c>
      <c r="G1097" s="23" t="s">
        <v>41</v>
      </c>
      <c r="H1097" s="23" t="s">
        <v>155</v>
      </c>
      <c r="I1097" t="s">
        <v>5340</v>
      </c>
      <c r="J1097" s="23" t="s">
        <v>22</v>
      </c>
      <c r="K1097" s="22">
        <v>7</v>
      </c>
      <c r="L1097" s="1">
        <v>41896</v>
      </c>
      <c r="M1097" s="22">
        <f>Table12[[#This Row],[Ship Date]]-Table12[[#This Row],[Order Date]]</f>
        <v>0</v>
      </c>
      <c r="N1097" s="23" t="s">
        <v>1141</v>
      </c>
      <c r="O1097" s="23" t="s">
        <v>23</v>
      </c>
      <c r="P1097" s="23" t="s">
        <v>238</v>
      </c>
      <c r="Q1097" s="23" t="s">
        <v>133</v>
      </c>
      <c r="R1097" s="23" t="s">
        <v>237</v>
      </c>
      <c r="S1097" s="33">
        <v>0</v>
      </c>
      <c r="T1097" s="13">
        <v>68.459999999999994</v>
      </c>
      <c r="U1097" s="13">
        <v>31.491599999999998</v>
      </c>
      <c r="V1097" s="55">
        <f>IFERROR(Table12[[#This Row],[Profit]]/Table12[[#This Row],[Sales]],0)</f>
        <v>0.46</v>
      </c>
    </row>
    <row r="1098" spans="1:22" x14ac:dyDescent="0.2">
      <c r="A1098">
        <v>1097</v>
      </c>
      <c r="B1098" t="s">
        <v>7261</v>
      </c>
      <c r="C1098" s="1">
        <v>41896</v>
      </c>
      <c r="D1098" s="22">
        <f>MONTH(Table12[[#This Row],[Order Date]])</f>
        <v>9</v>
      </c>
      <c r="E1098" t="s">
        <v>2808</v>
      </c>
      <c r="F1098" t="s">
        <v>2809</v>
      </c>
      <c r="G1098" s="23" t="s">
        <v>64</v>
      </c>
      <c r="H1098" s="23" t="s">
        <v>602</v>
      </c>
      <c r="I1098" t="s">
        <v>5340</v>
      </c>
      <c r="J1098" s="23" t="s">
        <v>22</v>
      </c>
      <c r="K1098" s="22">
        <v>4</v>
      </c>
      <c r="L1098" s="1">
        <v>41896</v>
      </c>
      <c r="M1098" s="22">
        <f>Table12[[#This Row],[Ship Date]]-Table12[[#This Row],[Order Date]]</f>
        <v>0</v>
      </c>
      <c r="N1098" s="23" t="s">
        <v>1141</v>
      </c>
      <c r="O1098" s="23" t="s">
        <v>23</v>
      </c>
      <c r="P1098" s="23" t="s">
        <v>238</v>
      </c>
      <c r="Q1098" s="23" t="s">
        <v>133</v>
      </c>
      <c r="R1098" s="23" t="s">
        <v>237</v>
      </c>
      <c r="S1098" s="33">
        <v>0</v>
      </c>
      <c r="T1098" s="13">
        <v>2799.96</v>
      </c>
      <c r="U1098" s="13">
        <v>1371.9803999999999</v>
      </c>
      <c r="V1098" s="55">
        <f>IFERROR(Table12[[#This Row],[Profit]]/Table12[[#This Row],[Sales]],0)</f>
        <v>0.49</v>
      </c>
    </row>
    <row r="1099" spans="1:22" x14ac:dyDescent="0.2">
      <c r="A1099">
        <v>1098</v>
      </c>
      <c r="B1099" t="s">
        <v>7261</v>
      </c>
      <c r="C1099" s="1">
        <v>41896</v>
      </c>
      <c r="D1099" s="22">
        <f>MONTH(Table12[[#This Row],[Order Date]])</f>
        <v>9</v>
      </c>
      <c r="E1099" t="s">
        <v>828</v>
      </c>
      <c r="F1099" t="s">
        <v>829</v>
      </c>
      <c r="G1099" s="23" t="s">
        <v>41</v>
      </c>
      <c r="H1099" s="23" t="s">
        <v>71</v>
      </c>
      <c r="I1099" t="s">
        <v>5340</v>
      </c>
      <c r="J1099" s="23" t="s">
        <v>22</v>
      </c>
      <c r="K1099" s="22">
        <v>2</v>
      </c>
      <c r="L1099" s="1">
        <v>41896</v>
      </c>
      <c r="M1099" s="22">
        <f>Table12[[#This Row],[Ship Date]]-Table12[[#This Row],[Order Date]]</f>
        <v>0</v>
      </c>
      <c r="N1099" s="23" t="s">
        <v>1141</v>
      </c>
      <c r="O1099" s="23" t="s">
        <v>23</v>
      </c>
      <c r="P1099" s="23" t="s">
        <v>238</v>
      </c>
      <c r="Q1099" s="23" t="s">
        <v>133</v>
      </c>
      <c r="R1099" s="23" t="s">
        <v>237</v>
      </c>
      <c r="S1099" s="33">
        <v>0</v>
      </c>
      <c r="T1099" s="13">
        <v>601.29999999999995</v>
      </c>
      <c r="U1099" s="13">
        <v>198.429</v>
      </c>
      <c r="V1099" s="55">
        <f>IFERROR(Table12[[#This Row],[Profit]]/Table12[[#This Row],[Sales]],0)</f>
        <v>0.33</v>
      </c>
    </row>
    <row r="1100" spans="1:22" x14ac:dyDescent="0.2">
      <c r="A1100">
        <v>1099</v>
      </c>
      <c r="B1100" t="s">
        <v>7261</v>
      </c>
      <c r="C1100" s="1">
        <v>41896</v>
      </c>
      <c r="D1100" s="22">
        <f>MONTH(Table12[[#This Row],[Order Date]])</f>
        <v>9</v>
      </c>
      <c r="E1100" t="s">
        <v>4502</v>
      </c>
      <c r="F1100" t="s">
        <v>4503</v>
      </c>
      <c r="G1100" s="23" t="s">
        <v>64</v>
      </c>
      <c r="H1100" s="23" t="s">
        <v>65</v>
      </c>
      <c r="I1100" t="s">
        <v>5340</v>
      </c>
      <c r="J1100" s="23" t="s">
        <v>22</v>
      </c>
      <c r="K1100" s="22">
        <v>1</v>
      </c>
      <c r="L1100" s="1">
        <v>41896</v>
      </c>
      <c r="M1100" s="22">
        <f>Table12[[#This Row],[Ship Date]]-Table12[[#This Row],[Order Date]]</f>
        <v>0</v>
      </c>
      <c r="N1100" s="23" t="s">
        <v>1141</v>
      </c>
      <c r="O1100" s="23" t="s">
        <v>23</v>
      </c>
      <c r="P1100" s="23" t="s">
        <v>238</v>
      </c>
      <c r="Q1100" s="23" t="s">
        <v>133</v>
      </c>
      <c r="R1100" s="23" t="s">
        <v>237</v>
      </c>
      <c r="S1100" s="33">
        <v>0</v>
      </c>
      <c r="T1100" s="13">
        <v>16.989999999999998</v>
      </c>
      <c r="U1100" s="13">
        <v>4.4173999999999998</v>
      </c>
      <c r="V1100" s="55">
        <f>IFERROR(Table12[[#This Row],[Profit]]/Table12[[#This Row],[Sales]],0)</f>
        <v>0.26</v>
      </c>
    </row>
    <row r="1101" spans="1:22" x14ac:dyDescent="0.2">
      <c r="A1101">
        <v>1100</v>
      </c>
      <c r="B1101" t="s">
        <v>7261</v>
      </c>
      <c r="C1101" s="1">
        <v>41896</v>
      </c>
      <c r="D1101" s="22">
        <f>MONTH(Table12[[#This Row],[Order Date]])</f>
        <v>9</v>
      </c>
      <c r="E1101" t="s">
        <v>5622</v>
      </c>
      <c r="F1101" t="s">
        <v>5623</v>
      </c>
      <c r="G1101" s="23" t="s">
        <v>64</v>
      </c>
      <c r="H1101" s="23" t="s">
        <v>65</v>
      </c>
      <c r="I1101" t="s">
        <v>5340</v>
      </c>
      <c r="J1101" s="23" t="s">
        <v>22</v>
      </c>
      <c r="K1101" s="22">
        <v>3</v>
      </c>
      <c r="L1101" s="1">
        <v>41896</v>
      </c>
      <c r="M1101" s="22">
        <f>Table12[[#This Row],[Ship Date]]-Table12[[#This Row],[Order Date]]</f>
        <v>0</v>
      </c>
      <c r="N1101" s="23" t="s">
        <v>1141</v>
      </c>
      <c r="O1101" s="23" t="s">
        <v>23</v>
      </c>
      <c r="P1101" s="23" t="s">
        <v>238</v>
      </c>
      <c r="Q1101" s="23" t="s">
        <v>133</v>
      </c>
      <c r="R1101" s="23" t="s">
        <v>237</v>
      </c>
      <c r="S1101" s="33">
        <v>0</v>
      </c>
      <c r="T1101" s="13">
        <v>287.97000000000003</v>
      </c>
      <c r="U1101" s="13">
        <v>80.631600000000006</v>
      </c>
      <c r="V1101" s="55">
        <f>IFERROR(Table12[[#This Row],[Profit]]/Table12[[#This Row],[Sales]],0)</f>
        <v>0.27999999999999997</v>
      </c>
    </row>
    <row r="1102" spans="1:22" x14ac:dyDescent="0.2">
      <c r="A1102">
        <v>1101</v>
      </c>
      <c r="B1102" t="s">
        <v>7261</v>
      </c>
      <c r="C1102" s="1">
        <v>41896</v>
      </c>
      <c r="D1102" s="22">
        <f>MONTH(Table12[[#This Row],[Order Date]])</f>
        <v>9</v>
      </c>
      <c r="E1102" t="s">
        <v>5496</v>
      </c>
      <c r="F1102" t="s">
        <v>5497</v>
      </c>
      <c r="G1102" s="23" t="s">
        <v>41</v>
      </c>
      <c r="H1102" s="23" t="s">
        <v>82</v>
      </c>
      <c r="I1102" t="s">
        <v>5340</v>
      </c>
      <c r="J1102" s="23" t="s">
        <v>22</v>
      </c>
      <c r="K1102" s="22">
        <v>9</v>
      </c>
      <c r="L1102" s="1">
        <v>41896</v>
      </c>
      <c r="M1102" s="22">
        <f>Table12[[#This Row],[Ship Date]]-Table12[[#This Row],[Order Date]]</f>
        <v>0</v>
      </c>
      <c r="N1102" s="23" t="s">
        <v>1141</v>
      </c>
      <c r="O1102" s="23" t="s">
        <v>23</v>
      </c>
      <c r="P1102" s="23" t="s">
        <v>238</v>
      </c>
      <c r="Q1102" s="23" t="s">
        <v>133</v>
      </c>
      <c r="R1102" s="23" t="s">
        <v>237</v>
      </c>
      <c r="S1102" s="33">
        <v>0</v>
      </c>
      <c r="T1102" s="13">
        <v>44.82</v>
      </c>
      <c r="U1102" s="13">
        <v>21.0654</v>
      </c>
      <c r="V1102" s="55">
        <f>IFERROR(Table12[[#This Row],[Profit]]/Table12[[#This Row],[Sales]],0)</f>
        <v>0.47000000000000003</v>
      </c>
    </row>
    <row r="1103" spans="1:22" x14ac:dyDescent="0.2">
      <c r="A1103">
        <v>1102</v>
      </c>
      <c r="B1103" t="s">
        <v>9246</v>
      </c>
      <c r="C1103" s="1">
        <v>41896</v>
      </c>
      <c r="D1103" s="22">
        <f>MONTH(Table12[[#This Row],[Order Date]])</f>
        <v>9</v>
      </c>
      <c r="E1103" t="s">
        <v>3348</v>
      </c>
      <c r="F1103" t="s">
        <v>3349</v>
      </c>
      <c r="G1103" s="23" t="s">
        <v>41</v>
      </c>
      <c r="H1103" s="23" t="s">
        <v>240</v>
      </c>
      <c r="I1103" t="s">
        <v>4773</v>
      </c>
      <c r="J1103" s="23" t="s">
        <v>36</v>
      </c>
      <c r="K1103" s="22">
        <v>4</v>
      </c>
      <c r="L1103" s="1">
        <v>41900</v>
      </c>
      <c r="M1103" s="22">
        <f>Table12[[#This Row],[Ship Date]]-Table12[[#This Row],[Order Date]]</f>
        <v>4</v>
      </c>
      <c r="N1103" s="23" t="s">
        <v>20</v>
      </c>
      <c r="O1103" s="23" t="s">
        <v>23</v>
      </c>
      <c r="P1103" s="23" t="s">
        <v>94</v>
      </c>
      <c r="Q1103" s="23" t="s">
        <v>95</v>
      </c>
      <c r="R1103" s="23" t="s">
        <v>5317</v>
      </c>
      <c r="S1103" s="33">
        <v>0.2</v>
      </c>
      <c r="T1103" s="13">
        <v>6.048</v>
      </c>
      <c r="U1103" s="13">
        <v>-1.3608</v>
      </c>
      <c r="V1103" s="55">
        <f>IFERROR(Table12[[#This Row],[Profit]]/Table12[[#This Row],[Sales]],0)</f>
        <v>-0.22500000000000001</v>
      </c>
    </row>
    <row r="1104" spans="1:22" x14ac:dyDescent="0.2">
      <c r="A1104">
        <v>1103</v>
      </c>
      <c r="B1104" t="s">
        <v>9246</v>
      </c>
      <c r="C1104" s="1">
        <v>41896</v>
      </c>
      <c r="D1104" s="22">
        <f>MONTH(Table12[[#This Row],[Order Date]])</f>
        <v>9</v>
      </c>
      <c r="E1104" t="s">
        <v>5889</v>
      </c>
      <c r="F1104" t="s">
        <v>5890</v>
      </c>
      <c r="G1104" s="23" t="s">
        <v>41</v>
      </c>
      <c r="H1104" s="23" t="s">
        <v>82</v>
      </c>
      <c r="I1104" t="s">
        <v>4773</v>
      </c>
      <c r="J1104" s="23" t="s">
        <v>36</v>
      </c>
      <c r="K1104" s="22">
        <v>2</v>
      </c>
      <c r="L1104" s="1">
        <v>41900</v>
      </c>
      <c r="M1104" s="22">
        <f>Table12[[#This Row],[Ship Date]]-Table12[[#This Row],[Order Date]]</f>
        <v>4</v>
      </c>
      <c r="N1104" s="23" t="s">
        <v>20</v>
      </c>
      <c r="O1104" s="23" t="s">
        <v>23</v>
      </c>
      <c r="P1104" s="23" t="s">
        <v>94</v>
      </c>
      <c r="Q1104" s="23" t="s">
        <v>95</v>
      </c>
      <c r="R1104" s="23" t="s">
        <v>5317</v>
      </c>
      <c r="S1104" s="33">
        <v>0.2</v>
      </c>
      <c r="T1104" s="13">
        <v>6.8479999999999999</v>
      </c>
      <c r="U1104" s="13">
        <v>2.14</v>
      </c>
      <c r="V1104" s="55">
        <f>IFERROR(Table12[[#This Row],[Profit]]/Table12[[#This Row],[Sales]],0)</f>
        <v>0.3125</v>
      </c>
    </row>
    <row r="1105" spans="1:22" x14ac:dyDescent="0.2">
      <c r="A1105">
        <v>1104</v>
      </c>
      <c r="B1105" t="s">
        <v>9246</v>
      </c>
      <c r="C1105" s="1">
        <v>41896</v>
      </c>
      <c r="D1105" s="22">
        <f>MONTH(Table12[[#This Row],[Order Date]])</f>
        <v>9</v>
      </c>
      <c r="E1105" t="s">
        <v>5521</v>
      </c>
      <c r="F1105" t="s">
        <v>5522</v>
      </c>
      <c r="G1105" s="23" t="s">
        <v>28</v>
      </c>
      <c r="H1105" s="23" t="s">
        <v>58</v>
      </c>
      <c r="I1105" t="s">
        <v>4773</v>
      </c>
      <c r="J1105" s="23" t="s">
        <v>36</v>
      </c>
      <c r="K1105" s="22">
        <v>5</v>
      </c>
      <c r="L1105" s="1">
        <v>41900</v>
      </c>
      <c r="M1105" s="22">
        <f>Table12[[#This Row],[Ship Date]]-Table12[[#This Row],[Order Date]]</f>
        <v>4</v>
      </c>
      <c r="N1105" s="23" t="s">
        <v>20</v>
      </c>
      <c r="O1105" s="23" t="s">
        <v>23</v>
      </c>
      <c r="P1105" s="23" t="s">
        <v>94</v>
      </c>
      <c r="Q1105" s="23" t="s">
        <v>95</v>
      </c>
      <c r="R1105" s="23" t="s">
        <v>5317</v>
      </c>
      <c r="S1105" s="33">
        <v>0.6</v>
      </c>
      <c r="T1105" s="13">
        <v>9.9600000000000009</v>
      </c>
      <c r="U1105" s="13">
        <v>-6.7229999999999999</v>
      </c>
      <c r="V1105" s="55">
        <f>IFERROR(Table12[[#This Row],[Profit]]/Table12[[#This Row],[Sales]],0)</f>
        <v>-0.67499999999999993</v>
      </c>
    </row>
    <row r="1106" spans="1:22" x14ac:dyDescent="0.2">
      <c r="A1106">
        <v>1105</v>
      </c>
      <c r="B1106" t="s">
        <v>9246</v>
      </c>
      <c r="C1106" s="1">
        <v>41896</v>
      </c>
      <c r="D1106" s="22">
        <f>MONTH(Table12[[#This Row],[Order Date]])</f>
        <v>9</v>
      </c>
      <c r="E1106" t="s">
        <v>383</v>
      </c>
      <c r="F1106" t="s">
        <v>384</v>
      </c>
      <c r="G1106" s="23" t="s">
        <v>41</v>
      </c>
      <c r="H1106" s="23" t="s">
        <v>68</v>
      </c>
      <c r="I1106" t="s">
        <v>4773</v>
      </c>
      <c r="J1106" s="23" t="s">
        <v>36</v>
      </c>
      <c r="K1106" s="22">
        <v>2</v>
      </c>
      <c r="L1106" s="1">
        <v>41900</v>
      </c>
      <c r="M1106" s="22">
        <f>Table12[[#This Row],[Ship Date]]-Table12[[#This Row],[Order Date]]</f>
        <v>4</v>
      </c>
      <c r="N1106" s="23" t="s">
        <v>20</v>
      </c>
      <c r="O1106" s="23" t="s">
        <v>23</v>
      </c>
      <c r="P1106" s="23" t="s">
        <v>94</v>
      </c>
      <c r="Q1106" s="23" t="s">
        <v>95</v>
      </c>
      <c r="R1106" s="23" t="s">
        <v>5317</v>
      </c>
      <c r="S1106" s="33">
        <v>0.8</v>
      </c>
      <c r="T1106" s="13">
        <v>8.5519999999999996</v>
      </c>
      <c r="U1106" s="13">
        <v>-13.683199999999999</v>
      </c>
      <c r="V1106" s="55">
        <f>IFERROR(Table12[[#This Row],[Profit]]/Table12[[#This Row],[Sales]],0)</f>
        <v>-1.6</v>
      </c>
    </row>
    <row r="1107" spans="1:22" x14ac:dyDescent="0.2">
      <c r="A1107">
        <v>1106</v>
      </c>
      <c r="B1107" t="s">
        <v>8151</v>
      </c>
      <c r="C1107" s="1">
        <v>41897</v>
      </c>
      <c r="D1107" s="22">
        <f>MONTH(Table12[[#This Row],[Order Date]])</f>
        <v>9</v>
      </c>
      <c r="E1107" t="s">
        <v>2046</v>
      </c>
      <c r="F1107" t="s">
        <v>2047</v>
      </c>
      <c r="G1107" s="23" t="s">
        <v>28</v>
      </c>
      <c r="H1107" s="23" t="s">
        <v>58</v>
      </c>
      <c r="I1107" t="s">
        <v>7034</v>
      </c>
      <c r="J1107" s="23" t="s">
        <v>36</v>
      </c>
      <c r="K1107" s="22">
        <v>4</v>
      </c>
      <c r="L1107" s="1">
        <v>41901</v>
      </c>
      <c r="M1107" s="22">
        <f>Table12[[#This Row],[Ship Date]]-Table12[[#This Row],[Order Date]]</f>
        <v>4</v>
      </c>
      <c r="N1107" s="23" t="s">
        <v>45</v>
      </c>
      <c r="O1107" s="23" t="s">
        <v>23</v>
      </c>
      <c r="P1107" s="23" t="s">
        <v>132</v>
      </c>
      <c r="Q1107" s="23" t="s">
        <v>133</v>
      </c>
      <c r="R1107" s="23" t="s">
        <v>131</v>
      </c>
      <c r="S1107" s="33">
        <v>0.2</v>
      </c>
      <c r="T1107" s="13">
        <v>103.93600000000001</v>
      </c>
      <c r="U1107" s="13">
        <v>16.889600000000002</v>
      </c>
      <c r="V1107" s="55">
        <f>IFERROR(Table12[[#This Row],[Profit]]/Table12[[#This Row],[Sales]],0)</f>
        <v>0.16250000000000001</v>
      </c>
    </row>
    <row r="1108" spans="1:22" x14ac:dyDescent="0.2">
      <c r="A1108">
        <v>1107</v>
      </c>
      <c r="B1108" t="s">
        <v>8717</v>
      </c>
      <c r="C1108" s="1">
        <v>41897</v>
      </c>
      <c r="D1108" s="22">
        <f>MONTH(Table12[[#This Row],[Order Date]])</f>
        <v>9</v>
      </c>
      <c r="E1108" t="s">
        <v>2802</v>
      </c>
      <c r="F1108" t="s">
        <v>167</v>
      </c>
      <c r="G1108" s="23" t="s">
        <v>41</v>
      </c>
      <c r="H1108" s="23" t="s">
        <v>82</v>
      </c>
      <c r="I1108" t="s">
        <v>2940</v>
      </c>
      <c r="J1108" s="23" t="s">
        <v>22</v>
      </c>
      <c r="K1108" s="22">
        <v>3</v>
      </c>
      <c r="L1108" s="1">
        <v>41902</v>
      </c>
      <c r="M1108" s="22">
        <f>Table12[[#This Row],[Ship Date]]-Table12[[#This Row],[Order Date]]</f>
        <v>5</v>
      </c>
      <c r="N1108" s="23" t="s">
        <v>45</v>
      </c>
      <c r="O1108" s="23" t="s">
        <v>23</v>
      </c>
      <c r="P1108" s="23" t="s">
        <v>238</v>
      </c>
      <c r="Q1108" s="23" t="s">
        <v>133</v>
      </c>
      <c r="R1108" s="23" t="s">
        <v>237</v>
      </c>
      <c r="S1108" s="33">
        <v>0</v>
      </c>
      <c r="T1108" s="13">
        <v>14.94</v>
      </c>
      <c r="U1108" s="13">
        <v>7.0217999999999998</v>
      </c>
      <c r="V1108" s="55">
        <f>IFERROR(Table12[[#This Row],[Profit]]/Table12[[#This Row],[Sales]],0)</f>
        <v>0.47000000000000003</v>
      </c>
    </row>
    <row r="1109" spans="1:22" x14ac:dyDescent="0.2">
      <c r="A1109">
        <v>1108</v>
      </c>
      <c r="B1109" t="s">
        <v>8717</v>
      </c>
      <c r="C1109" s="1">
        <v>41897</v>
      </c>
      <c r="D1109" s="22">
        <f>MONTH(Table12[[#This Row],[Order Date]])</f>
        <v>9</v>
      </c>
      <c r="E1109" t="s">
        <v>3584</v>
      </c>
      <c r="F1109" t="s">
        <v>3585</v>
      </c>
      <c r="G1109" s="23" t="s">
        <v>28</v>
      </c>
      <c r="H1109" s="23" t="s">
        <v>58</v>
      </c>
      <c r="I1109" t="s">
        <v>2940</v>
      </c>
      <c r="J1109" s="23" t="s">
        <v>22</v>
      </c>
      <c r="K1109" s="22">
        <v>2</v>
      </c>
      <c r="L1109" s="1">
        <v>41902</v>
      </c>
      <c r="M1109" s="22">
        <f>Table12[[#This Row],[Ship Date]]-Table12[[#This Row],[Order Date]]</f>
        <v>5</v>
      </c>
      <c r="N1109" s="23" t="s">
        <v>45</v>
      </c>
      <c r="O1109" s="23" t="s">
        <v>23</v>
      </c>
      <c r="P1109" s="23" t="s">
        <v>238</v>
      </c>
      <c r="Q1109" s="23" t="s">
        <v>133</v>
      </c>
      <c r="R1109" s="23" t="s">
        <v>237</v>
      </c>
      <c r="S1109" s="33">
        <v>0</v>
      </c>
      <c r="T1109" s="13">
        <v>14.56</v>
      </c>
      <c r="U1109" s="13">
        <v>6.2607999999999997</v>
      </c>
      <c r="V1109" s="55">
        <f>IFERROR(Table12[[#This Row],[Profit]]/Table12[[#This Row],[Sales]],0)</f>
        <v>0.42999999999999994</v>
      </c>
    </row>
    <row r="1110" spans="1:22" x14ac:dyDescent="0.2">
      <c r="A1110">
        <v>1109</v>
      </c>
      <c r="B1110" t="s">
        <v>8041</v>
      </c>
      <c r="C1110" s="1">
        <v>41898</v>
      </c>
      <c r="D1110" s="22">
        <f>MONTH(Table12[[#This Row],[Order Date]])</f>
        <v>9</v>
      </c>
      <c r="E1110" t="s">
        <v>2529</v>
      </c>
      <c r="F1110" t="s">
        <v>2530</v>
      </c>
      <c r="G1110" s="23" t="s">
        <v>41</v>
      </c>
      <c r="H1110" s="23" t="s">
        <v>68</v>
      </c>
      <c r="I1110" t="s">
        <v>4475</v>
      </c>
      <c r="J1110" s="23" t="s">
        <v>36</v>
      </c>
      <c r="K1110" s="22">
        <v>1</v>
      </c>
      <c r="L1110" s="1">
        <v>41901</v>
      </c>
      <c r="M1110" s="22">
        <f>Table12[[#This Row],[Ship Date]]-Table12[[#This Row],[Order Date]]</f>
        <v>3</v>
      </c>
      <c r="N1110" s="23" t="s">
        <v>169</v>
      </c>
      <c r="O1110" s="23" t="s">
        <v>23</v>
      </c>
      <c r="P1110" s="23" t="s">
        <v>238</v>
      </c>
      <c r="Q1110" s="23" t="s">
        <v>133</v>
      </c>
      <c r="R1110" s="23" t="s">
        <v>237</v>
      </c>
      <c r="S1110" s="33">
        <v>0.2</v>
      </c>
      <c r="T1110" s="13">
        <v>33.552</v>
      </c>
      <c r="U1110" s="13">
        <v>12.582000000000001</v>
      </c>
      <c r="V1110" s="55">
        <f>IFERROR(Table12[[#This Row],[Profit]]/Table12[[#This Row],[Sales]],0)</f>
        <v>0.375</v>
      </c>
    </row>
    <row r="1111" spans="1:22" x14ac:dyDescent="0.2">
      <c r="A1111">
        <v>1110</v>
      </c>
      <c r="B1111" t="s">
        <v>2384</v>
      </c>
      <c r="C1111" s="1">
        <v>41899</v>
      </c>
      <c r="D1111" s="22">
        <f>MONTH(Table12[[#This Row],[Order Date]])</f>
        <v>9</v>
      </c>
      <c r="E1111" t="s">
        <v>2386</v>
      </c>
      <c r="F1111" t="s">
        <v>2387</v>
      </c>
      <c r="G1111" s="23" t="s">
        <v>41</v>
      </c>
      <c r="H1111" s="23" t="s">
        <v>68</v>
      </c>
      <c r="I1111" t="s">
        <v>2385</v>
      </c>
      <c r="J1111" s="23" t="s">
        <v>92</v>
      </c>
      <c r="K1111" s="22">
        <v>4</v>
      </c>
      <c r="L1111" s="1">
        <v>41903</v>
      </c>
      <c r="M1111" s="22">
        <f>Table12[[#This Row],[Ship Date]]-Table12[[#This Row],[Order Date]]</f>
        <v>4</v>
      </c>
      <c r="N1111" s="23" t="s">
        <v>45</v>
      </c>
      <c r="O1111" s="23" t="s">
        <v>23</v>
      </c>
      <c r="P1111" s="23" t="s">
        <v>132</v>
      </c>
      <c r="Q1111" s="23" t="s">
        <v>133</v>
      </c>
      <c r="R1111" s="23" t="s">
        <v>131</v>
      </c>
      <c r="S1111" s="33">
        <v>0.7</v>
      </c>
      <c r="T1111" s="13">
        <v>5.8920000000000003</v>
      </c>
      <c r="U1111" s="13">
        <v>-4.1243999999999996</v>
      </c>
      <c r="V1111" s="55">
        <f>IFERROR(Table12[[#This Row],[Profit]]/Table12[[#This Row],[Sales]],0)</f>
        <v>-0.69999999999999984</v>
      </c>
    </row>
    <row r="1112" spans="1:22" x14ac:dyDescent="0.2">
      <c r="A1112">
        <v>1111</v>
      </c>
      <c r="B1112" t="s">
        <v>5807</v>
      </c>
      <c r="C1112" s="1">
        <v>41899</v>
      </c>
      <c r="D1112" s="22">
        <f>MONTH(Table12[[#This Row],[Order Date]])</f>
        <v>9</v>
      </c>
      <c r="E1112" t="s">
        <v>3525</v>
      </c>
      <c r="F1112" t="s">
        <v>3526</v>
      </c>
      <c r="G1112" s="23" t="s">
        <v>64</v>
      </c>
      <c r="H1112" s="23" t="s">
        <v>144</v>
      </c>
      <c r="I1112" t="s">
        <v>3299</v>
      </c>
      <c r="J1112" s="23" t="s">
        <v>22</v>
      </c>
      <c r="K1112" s="22">
        <v>2</v>
      </c>
      <c r="L1112" s="1">
        <v>41906</v>
      </c>
      <c r="M1112" s="22">
        <f>Table12[[#This Row],[Ship Date]]-Table12[[#This Row],[Order Date]]</f>
        <v>7</v>
      </c>
      <c r="N1112" s="23" t="s">
        <v>45</v>
      </c>
      <c r="O1112" s="23" t="s">
        <v>23</v>
      </c>
      <c r="P1112" s="23" t="s">
        <v>80</v>
      </c>
      <c r="Q1112" s="23" t="s">
        <v>26</v>
      </c>
      <c r="R1112" s="23" t="s">
        <v>4054</v>
      </c>
      <c r="S1112" s="33">
        <v>0.2</v>
      </c>
      <c r="T1112" s="13">
        <v>47.984000000000002</v>
      </c>
      <c r="U1112" s="13">
        <v>13.195600000000001</v>
      </c>
      <c r="V1112" s="55">
        <f>IFERROR(Table12[[#This Row],[Profit]]/Table12[[#This Row],[Sales]],0)</f>
        <v>0.27500000000000002</v>
      </c>
    </row>
    <row r="1113" spans="1:22" x14ac:dyDescent="0.2">
      <c r="A1113">
        <v>1112</v>
      </c>
      <c r="B1113" t="s">
        <v>5807</v>
      </c>
      <c r="C1113" s="1">
        <v>41899</v>
      </c>
      <c r="D1113" s="22">
        <f>MONTH(Table12[[#This Row],[Order Date]])</f>
        <v>9</v>
      </c>
      <c r="E1113" t="s">
        <v>3003</v>
      </c>
      <c r="F1113" t="s">
        <v>3004</v>
      </c>
      <c r="G1113" s="23" t="s">
        <v>41</v>
      </c>
      <c r="H1113" s="23" t="s">
        <v>82</v>
      </c>
      <c r="I1113" t="s">
        <v>3299</v>
      </c>
      <c r="J1113" s="23" t="s">
        <v>22</v>
      </c>
      <c r="K1113" s="22">
        <v>1</v>
      </c>
      <c r="L1113" s="1">
        <v>41906</v>
      </c>
      <c r="M1113" s="22">
        <f>Table12[[#This Row],[Ship Date]]-Table12[[#This Row],[Order Date]]</f>
        <v>7</v>
      </c>
      <c r="N1113" s="23" t="s">
        <v>45</v>
      </c>
      <c r="O1113" s="23" t="s">
        <v>23</v>
      </c>
      <c r="P1113" s="23" t="s">
        <v>80</v>
      </c>
      <c r="Q1113" s="23" t="s">
        <v>26</v>
      </c>
      <c r="R1113" s="23" t="s">
        <v>4054</v>
      </c>
      <c r="S1113" s="33">
        <v>0.2</v>
      </c>
      <c r="T1113" s="13">
        <v>4.6239999999999997</v>
      </c>
      <c r="U1113" s="13">
        <v>1.6761999999999999</v>
      </c>
      <c r="V1113" s="55">
        <f>IFERROR(Table12[[#This Row],[Profit]]/Table12[[#This Row],[Sales]],0)</f>
        <v>0.36249999999999999</v>
      </c>
    </row>
    <row r="1114" spans="1:22" x14ac:dyDescent="0.2">
      <c r="A1114">
        <v>1113</v>
      </c>
      <c r="B1114" t="s">
        <v>6345</v>
      </c>
      <c r="C1114" s="1">
        <v>41899</v>
      </c>
      <c r="D1114" s="22">
        <f>MONTH(Table12[[#This Row],[Order Date]])</f>
        <v>9</v>
      </c>
      <c r="E1114" t="s">
        <v>1592</v>
      </c>
      <c r="F1114" t="s">
        <v>1593</v>
      </c>
      <c r="G1114" s="23" t="s">
        <v>41</v>
      </c>
      <c r="H1114" s="23" t="s">
        <v>53</v>
      </c>
      <c r="I1114" t="s">
        <v>1554</v>
      </c>
      <c r="J1114" s="23" t="s">
        <v>22</v>
      </c>
      <c r="K1114" s="22">
        <v>2</v>
      </c>
      <c r="L1114" s="1">
        <v>41903</v>
      </c>
      <c r="M1114" s="22">
        <f>Table12[[#This Row],[Ship Date]]-Table12[[#This Row],[Order Date]]</f>
        <v>4</v>
      </c>
      <c r="N1114" s="23" t="s">
        <v>45</v>
      </c>
      <c r="O1114" s="23" t="s">
        <v>23</v>
      </c>
      <c r="P1114" s="23" t="s">
        <v>87</v>
      </c>
      <c r="Q1114" s="23" t="s">
        <v>39</v>
      </c>
      <c r="R1114" s="23" t="s">
        <v>86</v>
      </c>
      <c r="S1114" s="33">
        <v>0</v>
      </c>
      <c r="T1114" s="13">
        <v>30.28</v>
      </c>
      <c r="U1114" s="13">
        <v>1.2112000000000001</v>
      </c>
      <c r="V1114" s="55">
        <f>IFERROR(Table12[[#This Row],[Profit]]/Table12[[#This Row],[Sales]],0)</f>
        <v>0.04</v>
      </c>
    </row>
    <row r="1115" spans="1:22" x14ac:dyDescent="0.2">
      <c r="A1115">
        <v>1114</v>
      </c>
      <c r="B1115" t="s">
        <v>6345</v>
      </c>
      <c r="C1115" s="1">
        <v>41899</v>
      </c>
      <c r="D1115" s="22">
        <f>MONTH(Table12[[#This Row],[Order Date]])</f>
        <v>9</v>
      </c>
      <c r="E1115" t="s">
        <v>4334</v>
      </c>
      <c r="F1115" t="s">
        <v>4335</v>
      </c>
      <c r="G1115" s="23" t="s">
        <v>41</v>
      </c>
      <c r="H1115" s="23" t="s">
        <v>53</v>
      </c>
      <c r="I1115" t="s">
        <v>1554</v>
      </c>
      <c r="J1115" s="23" t="s">
        <v>22</v>
      </c>
      <c r="K1115" s="22">
        <v>3</v>
      </c>
      <c r="L1115" s="1">
        <v>41903</v>
      </c>
      <c r="M1115" s="22">
        <f>Table12[[#This Row],[Ship Date]]-Table12[[#This Row],[Order Date]]</f>
        <v>4</v>
      </c>
      <c r="N1115" s="23" t="s">
        <v>45</v>
      </c>
      <c r="O1115" s="23" t="s">
        <v>23</v>
      </c>
      <c r="P1115" s="23" t="s">
        <v>87</v>
      </c>
      <c r="Q1115" s="23" t="s">
        <v>39</v>
      </c>
      <c r="R1115" s="23" t="s">
        <v>86</v>
      </c>
      <c r="S1115" s="33">
        <v>0</v>
      </c>
      <c r="T1115" s="13">
        <v>57.93</v>
      </c>
      <c r="U1115" s="13">
        <v>16.220400000000001</v>
      </c>
      <c r="V1115" s="55">
        <f>IFERROR(Table12[[#This Row],[Profit]]/Table12[[#This Row],[Sales]],0)</f>
        <v>0.28000000000000003</v>
      </c>
    </row>
    <row r="1116" spans="1:22" x14ac:dyDescent="0.2">
      <c r="A1116">
        <v>1115</v>
      </c>
      <c r="B1116" t="s">
        <v>6345</v>
      </c>
      <c r="C1116" s="1">
        <v>41899</v>
      </c>
      <c r="D1116" s="22">
        <f>MONTH(Table12[[#This Row],[Order Date]])</f>
        <v>9</v>
      </c>
      <c r="E1116" t="s">
        <v>5070</v>
      </c>
      <c r="F1116" t="s">
        <v>5071</v>
      </c>
      <c r="G1116" s="23" t="s">
        <v>28</v>
      </c>
      <c r="H1116" s="23" t="s">
        <v>58</v>
      </c>
      <c r="I1116" t="s">
        <v>1554</v>
      </c>
      <c r="J1116" s="23" t="s">
        <v>22</v>
      </c>
      <c r="K1116" s="22">
        <v>2</v>
      </c>
      <c r="L1116" s="1">
        <v>41903</v>
      </c>
      <c r="M1116" s="22">
        <f>Table12[[#This Row],[Ship Date]]-Table12[[#This Row],[Order Date]]</f>
        <v>4</v>
      </c>
      <c r="N1116" s="23" t="s">
        <v>45</v>
      </c>
      <c r="O1116" s="23" t="s">
        <v>23</v>
      </c>
      <c r="P1116" s="23" t="s">
        <v>87</v>
      </c>
      <c r="Q1116" s="23" t="s">
        <v>39</v>
      </c>
      <c r="R1116" s="23" t="s">
        <v>86</v>
      </c>
      <c r="S1116" s="33">
        <v>0</v>
      </c>
      <c r="T1116" s="13">
        <v>35.340000000000003</v>
      </c>
      <c r="U1116" s="13">
        <v>13.4292</v>
      </c>
      <c r="V1116" s="55">
        <f>IFERROR(Table12[[#This Row],[Profit]]/Table12[[#This Row],[Sales]],0)</f>
        <v>0.37999999999999995</v>
      </c>
    </row>
    <row r="1117" spans="1:22" x14ac:dyDescent="0.2">
      <c r="A1117">
        <v>1116</v>
      </c>
      <c r="B1117" t="s">
        <v>6345</v>
      </c>
      <c r="C1117" s="1">
        <v>41899</v>
      </c>
      <c r="D1117" s="22">
        <f>MONTH(Table12[[#This Row],[Order Date]])</f>
        <v>9</v>
      </c>
      <c r="E1117" t="s">
        <v>546</v>
      </c>
      <c r="F1117" t="s">
        <v>547</v>
      </c>
      <c r="G1117" s="23" t="s">
        <v>41</v>
      </c>
      <c r="H1117" s="23" t="s">
        <v>68</v>
      </c>
      <c r="I1117" t="s">
        <v>1554</v>
      </c>
      <c r="J1117" s="23" t="s">
        <v>22</v>
      </c>
      <c r="K1117" s="22">
        <v>5</v>
      </c>
      <c r="L1117" s="1">
        <v>41903</v>
      </c>
      <c r="M1117" s="22">
        <f>Table12[[#This Row],[Ship Date]]-Table12[[#This Row],[Order Date]]</f>
        <v>4</v>
      </c>
      <c r="N1117" s="23" t="s">
        <v>45</v>
      </c>
      <c r="O1117" s="23" t="s">
        <v>23</v>
      </c>
      <c r="P1117" s="23" t="s">
        <v>87</v>
      </c>
      <c r="Q1117" s="23" t="s">
        <v>39</v>
      </c>
      <c r="R1117" s="23" t="s">
        <v>86</v>
      </c>
      <c r="S1117" s="33">
        <v>0.2</v>
      </c>
      <c r="T1117" s="13">
        <v>137.24</v>
      </c>
      <c r="U1117" s="13">
        <v>46.3185</v>
      </c>
      <c r="V1117" s="55">
        <f>IFERROR(Table12[[#This Row],[Profit]]/Table12[[#This Row],[Sales]],0)</f>
        <v>0.33749999999999997</v>
      </c>
    </row>
    <row r="1118" spans="1:22" x14ac:dyDescent="0.2">
      <c r="A1118">
        <v>1117</v>
      </c>
      <c r="B1118" t="s">
        <v>7006</v>
      </c>
      <c r="C1118" s="1">
        <v>41899</v>
      </c>
      <c r="D1118" s="22">
        <f>MONTH(Table12[[#This Row],[Order Date]])</f>
        <v>9</v>
      </c>
      <c r="E1118" t="s">
        <v>7007</v>
      </c>
      <c r="F1118" t="s">
        <v>7008</v>
      </c>
      <c r="G1118" s="23" t="s">
        <v>41</v>
      </c>
      <c r="H1118" s="23" t="s">
        <v>155</v>
      </c>
      <c r="I1118" t="s">
        <v>6975</v>
      </c>
      <c r="J1118" s="23" t="s">
        <v>22</v>
      </c>
      <c r="K1118" s="22">
        <v>3</v>
      </c>
      <c r="L1118" s="1">
        <v>41903</v>
      </c>
      <c r="M1118" s="22">
        <f>Table12[[#This Row],[Ship Date]]-Table12[[#This Row],[Order Date]]</f>
        <v>4</v>
      </c>
      <c r="N1118" s="23" t="s">
        <v>45</v>
      </c>
      <c r="O1118" s="23" t="s">
        <v>23</v>
      </c>
      <c r="P1118" s="23" t="s">
        <v>38</v>
      </c>
      <c r="Q1118" s="23" t="s">
        <v>39</v>
      </c>
      <c r="R1118" s="23" t="s">
        <v>6209</v>
      </c>
      <c r="S1118" s="33">
        <v>0</v>
      </c>
      <c r="T1118" s="13">
        <v>182.94</v>
      </c>
      <c r="U1118" s="13">
        <v>85.981800000000007</v>
      </c>
      <c r="V1118" s="55">
        <f>IFERROR(Table12[[#This Row],[Profit]]/Table12[[#This Row],[Sales]],0)</f>
        <v>0.47000000000000003</v>
      </c>
    </row>
    <row r="1119" spans="1:22" x14ac:dyDescent="0.2">
      <c r="A1119">
        <v>1118</v>
      </c>
      <c r="B1119" t="s">
        <v>8776</v>
      </c>
      <c r="C1119" s="1">
        <v>41899</v>
      </c>
      <c r="D1119" s="22">
        <f>MONTH(Table12[[#This Row],[Order Date]])</f>
        <v>9</v>
      </c>
      <c r="E1119" t="s">
        <v>4943</v>
      </c>
      <c r="F1119" t="s">
        <v>4944</v>
      </c>
      <c r="G1119" s="23" t="s">
        <v>41</v>
      </c>
      <c r="H1119" s="23" t="s">
        <v>61</v>
      </c>
      <c r="I1119" t="s">
        <v>2550</v>
      </c>
      <c r="J1119" s="23" t="s">
        <v>22</v>
      </c>
      <c r="K1119" s="22">
        <v>2</v>
      </c>
      <c r="L1119" s="1">
        <v>41904</v>
      </c>
      <c r="M1119" s="22">
        <f>Table12[[#This Row],[Ship Date]]-Table12[[#This Row],[Order Date]]</f>
        <v>5</v>
      </c>
      <c r="N1119" s="23" t="s">
        <v>45</v>
      </c>
      <c r="O1119" s="23" t="s">
        <v>23</v>
      </c>
      <c r="P1119" s="23" t="s">
        <v>374</v>
      </c>
      <c r="Q1119" s="23" t="s">
        <v>39</v>
      </c>
      <c r="R1119" s="23" t="s">
        <v>284</v>
      </c>
      <c r="S1119" s="33">
        <v>0.2</v>
      </c>
      <c r="T1119" s="13">
        <v>5.2480000000000002</v>
      </c>
      <c r="U1119" s="13">
        <v>0.4592</v>
      </c>
      <c r="V1119" s="55">
        <f>IFERROR(Table12[[#This Row],[Profit]]/Table12[[#This Row],[Sales]],0)</f>
        <v>8.7499999999999994E-2</v>
      </c>
    </row>
    <row r="1120" spans="1:22" x14ac:dyDescent="0.2">
      <c r="A1120">
        <v>1119</v>
      </c>
      <c r="B1120" t="s">
        <v>8776</v>
      </c>
      <c r="C1120" s="1">
        <v>41899</v>
      </c>
      <c r="D1120" s="22">
        <f>MONTH(Table12[[#This Row],[Order Date]])</f>
        <v>9</v>
      </c>
      <c r="E1120" t="s">
        <v>3272</v>
      </c>
      <c r="F1120" t="s">
        <v>3273</v>
      </c>
      <c r="G1120" s="23" t="s">
        <v>41</v>
      </c>
      <c r="H1120" s="23" t="s">
        <v>61</v>
      </c>
      <c r="I1120" t="s">
        <v>2550</v>
      </c>
      <c r="J1120" s="23" t="s">
        <v>22</v>
      </c>
      <c r="K1120" s="22">
        <v>3</v>
      </c>
      <c r="L1120" s="1">
        <v>41904</v>
      </c>
      <c r="M1120" s="22">
        <f>Table12[[#This Row],[Ship Date]]-Table12[[#This Row],[Order Date]]</f>
        <v>5</v>
      </c>
      <c r="N1120" s="23" t="s">
        <v>45</v>
      </c>
      <c r="O1120" s="23" t="s">
        <v>23</v>
      </c>
      <c r="P1120" s="23" t="s">
        <v>374</v>
      </c>
      <c r="Q1120" s="23" t="s">
        <v>39</v>
      </c>
      <c r="R1120" s="23" t="s">
        <v>284</v>
      </c>
      <c r="S1120" s="33">
        <v>0.2</v>
      </c>
      <c r="T1120" s="13">
        <v>38.256</v>
      </c>
      <c r="U1120" s="13">
        <v>4.782</v>
      </c>
      <c r="V1120" s="55">
        <f>IFERROR(Table12[[#This Row],[Profit]]/Table12[[#This Row],[Sales]],0)</f>
        <v>0.125</v>
      </c>
    </row>
    <row r="1121" spans="1:22" x14ac:dyDescent="0.2">
      <c r="A1121">
        <v>1120</v>
      </c>
      <c r="B1121" t="s">
        <v>8776</v>
      </c>
      <c r="C1121" s="1">
        <v>41899</v>
      </c>
      <c r="D1121" s="22">
        <f>MONTH(Table12[[#This Row],[Order Date]])</f>
        <v>9</v>
      </c>
      <c r="E1121" t="s">
        <v>6338</v>
      </c>
      <c r="F1121" t="s">
        <v>6339</v>
      </c>
      <c r="G1121" s="23" t="s">
        <v>41</v>
      </c>
      <c r="H1121" s="23" t="s">
        <v>82</v>
      </c>
      <c r="I1121" t="s">
        <v>2550</v>
      </c>
      <c r="J1121" s="23" t="s">
        <v>22</v>
      </c>
      <c r="K1121" s="22">
        <v>5</v>
      </c>
      <c r="L1121" s="1">
        <v>41904</v>
      </c>
      <c r="M1121" s="22">
        <f>Table12[[#This Row],[Ship Date]]-Table12[[#This Row],[Order Date]]</f>
        <v>5</v>
      </c>
      <c r="N1121" s="23" t="s">
        <v>45</v>
      </c>
      <c r="O1121" s="23" t="s">
        <v>23</v>
      </c>
      <c r="P1121" s="23" t="s">
        <v>374</v>
      </c>
      <c r="Q1121" s="23" t="s">
        <v>39</v>
      </c>
      <c r="R1121" s="23" t="s">
        <v>284</v>
      </c>
      <c r="S1121" s="33">
        <v>0.2</v>
      </c>
      <c r="T1121" s="13">
        <v>40.24</v>
      </c>
      <c r="U1121" s="13">
        <v>13.077999999999999</v>
      </c>
      <c r="V1121" s="55">
        <f>IFERROR(Table12[[#This Row],[Profit]]/Table12[[#This Row],[Sales]],0)</f>
        <v>0.32499999999999996</v>
      </c>
    </row>
    <row r="1122" spans="1:22" x14ac:dyDescent="0.2">
      <c r="A1122">
        <v>1121</v>
      </c>
      <c r="B1122" t="s">
        <v>8776</v>
      </c>
      <c r="C1122" s="1">
        <v>41899</v>
      </c>
      <c r="D1122" s="22">
        <f>MONTH(Table12[[#This Row],[Order Date]])</f>
        <v>9</v>
      </c>
      <c r="E1122" t="s">
        <v>8777</v>
      </c>
      <c r="F1122" t="s">
        <v>8778</v>
      </c>
      <c r="G1122" s="23" t="s">
        <v>64</v>
      </c>
      <c r="H1122" s="23" t="s">
        <v>602</v>
      </c>
      <c r="I1122" t="s">
        <v>2550</v>
      </c>
      <c r="J1122" s="23" t="s">
        <v>22</v>
      </c>
      <c r="K1122" s="22">
        <v>5</v>
      </c>
      <c r="L1122" s="1">
        <v>41904</v>
      </c>
      <c r="M1122" s="22">
        <f>Table12[[#This Row],[Ship Date]]-Table12[[#This Row],[Order Date]]</f>
        <v>5</v>
      </c>
      <c r="N1122" s="23" t="s">
        <v>45</v>
      </c>
      <c r="O1122" s="23" t="s">
        <v>23</v>
      </c>
      <c r="P1122" s="23" t="s">
        <v>374</v>
      </c>
      <c r="Q1122" s="23" t="s">
        <v>39</v>
      </c>
      <c r="R1122" s="23" t="s">
        <v>284</v>
      </c>
      <c r="S1122" s="33">
        <v>0.7</v>
      </c>
      <c r="T1122" s="13">
        <v>29.925000000000001</v>
      </c>
      <c r="U1122" s="13">
        <v>-21.945</v>
      </c>
      <c r="V1122" s="55">
        <f>IFERROR(Table12[[#This Row],[Profit]]/Table12[[#This Row],[Sales]],0)</f>
        <v>-0.73333333333333328</v>
      </c>
    </row>
    <row r="1123" spans="1:22" x14ac:dyDescent="0.2">
      <c r="A1123">
        <v>1122</v>
      </c>
      <c r="B1123" t="s">
        <v>8776</v>
      </c>
      <c r="C1123" s="1">
        <v>41899</v>
      </c>
      <c r="D1123" s="22">
        <f>MONTH(Table12[[#This Row],[Order Date]])</f>
        <v>9</v>
      </c>
      <c r="E1123" t="s">
        <v>1169</v>
      </c>
      <c r="F1123" t="s">
        <v>1170</v>
      </c>
      <c r="G1123" s="23" t="s">
        <v>41</v>
      </c>
      <c r="H1123" s="23" t="s">
        <v>82</v>
      </c>
      <c r="I1123" t="s">
        <v>2550</v>
      </c>
      <c r="J1123" s="23" t="s">
        <v>22</v>
      </c>
      <c r="K1123" s="22">
        <v>6</v>
      </c>
      <c r="L1123" s="1">
        <v>41904</v>
      </c>
      <c r="M1123" s="22">
        <f>Table12[[#This Row],[Ship Date]]-Table12[[#This Row],[Order Date]]</f>
        <v>5</v>
      </c>
      <c r="N1123" s="23" t="s">
        <v>45</v>
      </c>
      <c r="O1123" s="23" t="s">
        <v>23</v>
      </c>
      <c r="P1123" s="23" t="s">
        <v>374</v>
      </c>
      <c r="Q1123" s="23" t="s">
        <v>39</v>
      </c>
      <c r="R1123" s="23" t="s">
        <v>284</v>
      </c>
      <c r="S1123" s="33">
        <v>0.2</v>
      </c>
      <c r="T1123" s="13">
        <v>148.70400000000001</v>
      </c>
      <c r="U1123" s="13">
        <v>46.47</v>
      </c>
      <c r="V1123" s="55">
        <f>IFERROR(Table12[[#This Row],[Profit]]/Table12[[#This Row],[Sales]],0)</f>
        <v>0.3125</v>
      </c>
    </row>
    <row r="1124" spans="1:22" x14ac:dyDescent="0.2">
      <c r="A1124">
        <v>1123</v>
      </c>
      <c r="B1124" t="s">
        <v>8776</v>
      </c>
      <c r="C1124" s="1">
        <v>41899</v>
      </c>
      <c r="D1124" s="22">
        <f>MONTH(Table12[[#This Row],[Order Date]])</f>
        <v>9</v>
      </c>
      <c r="E1124" t="s">
        <v>261</v>
      </c>
      <c r="F1124" t="s">
        <v>262</v>
      </c>
      <c r="G1124" s="23" t="s">
        <v>64</v>
      </c>
      <c r="H1124" s="23" t="s">
        <v>144</v>
      </c>
      <c r="I1124" t="s">
        <v>2550</v>
      </c>
      <c r="J1124" s="23" t="s">
        <v>22</v>
      </c>
      <c r="K1124" s="22">
        <v>10</v>
      </c>
      <c r="L1124" s="1">
        <v>41904</v>
      </c>
      <c r="M1124" s="22">
        <f>Table12[[#This Row],[Ship Date]]-Table12[[#This Row],[Order Date]]</f>
        <v>5</v>
      </c>
      <c r="N1124" s="23" t="s">
        <v>45</v>
      </c>
      <c r="O1124" s="23" t="s">
        <v>23</v>
      </c>
      <c r="P1124" s="23" t="s">
        <v>374</v>
      </c>
      <c r="Q1124" s="23" t="s">
        <v>39</v>
      </c>
      <c r="R1124" s="23" t="s">
        <v>284</v>
      </c>
      <c r="S1124" s="33">
        <v>0.2</v>
      </c>
      <c r="T1124" s="13">
        <v>55.92</v>
      </c>
      <c r="U1124" s="13">
        <v>16.776</v>
      </c>
      <c r="V1124" s="55">
        <f>IFERROR(Table12[[#This Row],[Profit]]/Table12[[#This Row],[Sales]],0)</f>
        <v>0.3</v>
      </c>
    </row>
    <row r="1125" spans="1:22" x14ac:dyDescent="0.2">
      <c r="A1125">
        <v>1124</v>
      </c>
      <c r="B1125" t="s">
        <v>863</v>
      </c>
      <c r="C1125" s="1">
        <v>41901</v>
      </c>
      <c r="D1125" s="22">
        <f>MONTH(Table12[[#This Row],[Order Date]])</f>
        <v>9</v>
      </c>
      <c r="E1125" t="s">
        <v>601</v>
      </c>
      <c r="F1125" t="s">
        <v>603</v>
      </c>
      <c r="G1125" s="23" t="s">
        <v>64</v>
      </c>
      <c r="H1125" s="23" t="s">
        <v>602</v>
      </c>
      <c r="I1125" t="s">
        <v>864</v>
      </c>
      <c r="J1125" s="23" t="s">
        <v>36</v>
      </c>
      <c r="K1125" s="22">
        <v>3</v>
      </c>
      <c r="L1125" s="1">
        <v>41903</v>
      </c>
      <c r="M1125" s="22">
        <f>Table12[[#This Row],[Ship Date]]-Table12[[#This Row],[Order Date]]</f>
        <v>2</v>
      </c>
      <c r="N1125" s="23" t="s">
        <v>20</v>
      </c>
      <c r="O1125" s="23" t="s">
        <v>23</v>
      </c>
      <c r="P1125" s="23" t="s">
        <v>94</v>
      </c>
      <c r="Q1125" s="23" t="s">
        <v>95</v>
      </c>
      <c r="R1125" s="23" t="s">
        <v>165</v>
      </c>
      <c r="S1125" s="33">
        <v>0.4</v>
      </c>
      <c r="T1125" s="13">
        <v>3059.982</v>
      </c>
      <c r="U1125" s="13">
        <v>-509.99700000000001</v>
      </c>
      <c r="V1125" s="55">
        <f>IFERROR(Table12[[#This Row],[Profit]]/Table12[[#This Row],[Sales]],0)</f>
        <v>-0.16666666666666669</v>
      </c>
    </row>
    <row r="1126" spans="1:22" x14ac:dyDescent="0.2">
      <c r="A1126">
        <v>1125</v>
      </c>
      <c r="B1126" t="s">
        <v>863</v>
      </c>
      <c r="C1126" s="1">
        <v>41901</v>
      </c>
      <c r="D1126" s="22">
        <f>MONTH(Table12[[#This Row],[Order Date]])</f>
        <v>9</v>
      </c>
      <c r="E1126" t="s">
        <v>865</v>
      </c>
      <c r="F1126" t="s">
        <v>866</v>
      </c>
      <c r="G1126" s="23" t="s">
        <v>64</v>
      </c>
      <c r="H1126" s="23" t="s">
        <v>602</v>
      </c>
      <c r="I1126" t="s">
        <v>864</v>
      </c>
      <c r="J1126" s="23" t="s">
        <v>36</v>
      </c>
      <c r="K1126" s="22">
        <v>7</v>
      </c>
      <c r="L1126" s="1">
        <v>41903</v>
      </c>
      <c r="M1126" s="22">
        <f>Table12[[#This Row],[Ship Date]]-Table12[[#This Row],[Order Date]]</f>
        <v>2</v>
      </c>
      <c r="N1126" s="23" t="s">
        <v>20</v>
      </c>
      <c r="O1126" s="23" t="s">
        <v>23</v>
      </c>
      <c r="P1126" s="23" t="s">
        <v>94</v>
      </c>
      <c r="Q1126" s="23" t="s">
        <v>95</v>
      </c>
      <c r="R1126" s="23" t="s">
        <v>165</v>
      </c>
      <c r="S1126" s="33">
        <v>0.4</v>
      </c>
      <c r="T1126" s="13">
        <v>2519.9580000000001</v>
      </c>
      <c r="U1126" s="13">
        <v>-251.9958</v>
      </c>
      <c r="V1126" s="55">
        <f>IFERROR(Table12[[#This Row],[Profit]]/Table12[[#This Row],[Sales]],0)</f>
        <v>-9.9999999999999992E-2</v>
      </c>
    </row>
    <row r="1127" spans="1:22" x14ac:dyDescent="0.2">
      <c r="A1127">
        <v>1126</v>
      </c>
      <c r="B1127" t="s">
        <v>1035</v>
      </c>
      <c r="C1127" s="1">
        <v>41901</v>
      </c>
      <c r="D1127" s="22">
        <f>MONTH(Table12[[#This Row],[Order Date]])</f>
        <v>9</v>
      </c>
      <c r="E1127" t="s">
        <v>1038</v>
      </c>
      <c r="F1127" t="s">
        <v>1039</v>
      </c>
      <c r="G1127" s="23" t="s">
        <v>41</v>
      </c>
      <c r="H1127" s="23" t="s">
        <v>240</v>
      </c>
      <c r="I1127" t="s">
        <v>1036</v>
      </c>
      <c r="J1127" s="23" t="s">
        <v>36</v>
      </c>
      <c r="K1127" s="22">
        <v>2</v>
      </c>
      <c r="L1127" s="1">
        <v>41906</v>
      </c>
      <c r="M1127" s="22">
        <f>Table12[[#This Row],[Ship Date]]-Table12[[#This Row],[Order Date]]</f>
        <v>5</v>
      </c>
      <c r="N1127" s="23" t="s">
        <v>45</v>
      </c>
      <c r="O1127" s="23" t="s">
        <v>23</v>
      </c>
      <c r="P1127" s="23" t="s">
        <v>38</v>
      </c>
      <c r="Q1127" s="23" t="s">
        <v>39</v>
      </c>
      <c r="R1127" s="23" t="s">
        <v>1037</v>
      </c>
      <c r="S1127" s="33">
        <v>0</v>
      </c>
      <c r="T1127" s="13">
        <v>7.16</v>
      </c>
      <c r="U1127" s="13">
        <v>3.58</v>
      </c>
      <c r="V1127" s="55">
        <f>IFERROR(Table12[[#This Row],[Profit]]/Table12[[#This Row],[Sales]],0)</f>
        <v>0.5</v>
      </c>
    </row>
    <row r="1128" spans="1:22" x14ac:dyDescent="0.2">
      <c r="A1128">
        <v>1127</v>
      </c>
      <c r="B1128" t="s">
        <v>6504</v>
      </c>
      <c r="C1128" s="1">
        <v>41901</v>
      </c>
      <c r="D1128" s="22">
        <f>MONTH(Table12[[#This Row],[Order Date]])</f>
        <v>9</v>
      </c>
      <c r="E1128" t="s">
        <v>2655</v>
      </c>
      <c r="F1128" t="s">
        <v>2656</v>
      </c>
      <c r="G1128" s="23" t="s">
        <v>41</v>
      </c>
      <c r="H1128" s="23" t="s">
        <v>53</v>
      </c>
      <c r="I1128" t="s">
        <v>1864</v>
      </c>
      <c r="J1128" s="23" t="s">
        <v>22</v>
      </c>
      <c r="K1128" s="22">
        <v>6</v>
      </c>
      <c r="L1128" s="1">
        <v>41906</v>
      </c>
      <c r="M1128" s="22">
        <f>Table12[[#This Row],[Ship Date]]-Table12[[#This Row],[Order Date]]</f>
        <v>5</v>
      </c>
      <c r="N1128" s="23" t="s">
        <v>45</v>
      </c>
      <c r="O1128" s="23" t="s">
        <v>23</v>
      </c>
      <c r="P1128" s="23" t="s">
        <v>80</v>
      </c>
      <c r="Q1128" s="23" t="s">
        <v>26</v>
      </c>
      <c r="R1128" s="23" t="s">
        <v>414</v>
      </c>
      <c r="S1128" s="33">
        <v>0.2</v>
      </c>
      <c r="T1128" s="13">
        <v>67.343999999999994</v>
      </c>
      <c r="U1128" s="13">
        <v>7.5762</v>
      </c>
      <c r="V1128" s="55">
        <f>IFERROR(Table12[[#This Row],[Profit]]/Table12[[#This Row],[Sales]],0)</f>
        <v>0.11250000000000002</v>
      </c>
    </row>
    <row r="1129" spans="1:22" x14ac:dyDescent="0.2">
      <c r="A1129">
        <v>1128</v>
      </c>
      <c r="B1129" t="s">
        <v>6504</v>
      </c>
      <c r="C1129" s="1">
        <v>41901</v>
      </c>
      <c r="D1129" s="22">
        <f>MONTH(Table12[[#This Row],[Order Date]])</f>
        <v>9</v>
      </c>
      <c r="E1129" t="s">
        <v>6505</v>
      </c>
      <c r="F1129" t="s">
        <v>6506</v>
      </c>
      <c r="G1129" s="23" t="s">
        <v>64</v>
      </c>
      <c r="H1129" s="23" t="s">
        <v>602</v>
      </c>
      <c r="I1129" t="s">
        <v>1864</v>
      </c>
      <c r="J1129" s="23" t="s">
        <v>22</v>
      </c>
      <c r="K1129" s="22">
        <v>3</v>
      </c>
      <c r="L1129" s="1">
        <v>41906</v>
      </c>
      <c r="M1129" s="22">
        <f>Table12[[#This Row],[Ship Date]]-Table12[[#This Row],[Order Date]]</f>
        <v>5</v>
      </c>
      <c r="N1129" s="23" t="s">
        <v>45</v>
      </c>
      <c r="O1129" s="23" t="s">
        <v>23</v>
      </c>
      <c r="P1129" s="23" t="s">
        <v>80</v>
      </c>
      <c r="Q1129" s="23" t="s">
        <v>26</v>
      </c>
      <c r="R1129" s="23" t="s">
        <v>414</v>
      </c>
      <c r="S1129" s="33">
        <v>0.5</v>
      </c>
      <c r="T1129" s="13">
        <v>2624.9850000000001</v>
      </c>
      <c r="U1129" s="13">
        <v>-944.99459999999999</v>
      </c>
      <c r="V1129" s="55">
        <f>IFERROR(Table12[[#This Row],[Profit]]/Table12[[#This Row],[Sales]],0)</f>
        <v>-0.36</v>
      </c>
    </row>
    <row r="1130" spans="1:22" x14ac:dyDescent="0.2">
      <c r="A1130">
        <v>1129</v>
      </c>
      <c r="B1130" t="s">
        <v>6618</v>
      </c>
      <c r="C1130" s="1">
        <v>41901</v>
      </c>
      <c r="D1130" s="22">
        <f>MONTH(Table12[[#This Row],[Order Date]])</f>
        <v>9</v>
      </c>
      <c r="E1130" t="s">
        <v>4082</v>
      </c>
      <c r="F1130" t="s">
        <v>4083</v>
      </c>
      <c r="G1130" s="23" t="s">
        <v>28</v>
      </c>
      <c r="H1130" s="23" t="s">
        <v>32</v>
      </c>
      <c r="I1130" t="s">
        <v>6619</v>
      </c>
      <c r="J1130" s="23" t="s">
        <v>36</v>
      </c>
      <c r="K1130" s="22">
        <v>7</v>
      </c>
      <c r="L1130" s="1">
        <v>41901</v>
      </c>
      <c r="M1130" s="22">
        <f>Table12[[#This Row],[Ship Date]]-Table12[[#This Row],[Order Date]]</f>
        <v>0</v>
      </c>
      <c r="N1130" s="23" t="s">
        <v>1141</v>
      </c>
      <c r="O1130" s="23" t="s">
        <v>23</v>
      </c>
      <c r="P1130" s="23" t="s">
        <v>238</v>
      </c>
      <c r="Q1130" s="23" t="s">
        <v>133</v>
      </c>
      <c r="R1130" s="23" t="s">
        <v>237</v>
      </c>
      <c r="S1130" s="33">
        <v>0.1</v>
      </c>
      <c r="T1130" s="13">
        <v>887.10299999999995</v>
      </c>
      <c r="U1130" s="13">
        <v>177.42060000000001</v>
      </c>
      <c r="V1130" s="55">
        <f>IFERROR(Table12[[#This Row],[Profit]]/Table12[[#This Row],[Sales]],0)</f>
        <v>0.2</v>
      </c>
    </row>
    <row r="1131" spans="1:22" x14ac:dyDescent="0.2">
      <c r="A1131">
        <v>1130</v>
      </c>
      <c r="B1131" t="s">
        <v>8676</v>
      </c>
      <c r="C1131" s="1">
        <v>41901</v>
      </c>
      <c r="D1131" s="22">
        <f>MONTH(Table12[[#This Row],[Order Date]])</f>
        <v>9</v>
      </c>
      <c r="E1131" t="s">
        <v>1449</v>
      </c>
      <c r="F1131" t="s">
        <v>1450</v>
      </c>
      <c r="G1131" s="23" t="s">
        <v>41</v>
      </c>
      <c r="H1131" s="23" t="s">
        <v>53</v>
      </c>
      <c r="I1131" t="s">
        <v>2213</v>
      </c>
      <c r="J1131" s="23" t="s">
        <v>36</v>
      </c>
      <c r="K1131" s="22">
        <v>6</v>
      </c>
      <c r="L1131" s="1">
        <v>41905</v>
      </c>
      <c r="M1131" s="22">
        <f>Table12[[#This Row],[Ship Date]]-Table12[[#This Row],[Order Date]]</f>
        <v>4</v>
      </c>
      <c r="N1131" s="23" t="s">
        <v>45</v>
      </c>
      <c r="O1131" s="23" t="s">
        <v>23</v>
      </c>
      <c r="P1131" s="23" t="s">
        <v>87</v>
      </c>
      <c r="Q1131" s="23" t="s">
        <v>39</v>
      </c>
      <c r="R1131" s="23" t="s">
        <v>86</v>
      </c>
      <c r="S1131" s="33">
        <v>0</v>
      </c>
      <c r="T1131" s="13">
        <v>92.52</v>
      </c>
      <c r="U1131" s="13">
        <v>24.980399999999999</v>
      </c>
      <c r="V1131" s="55">
        <f>IFERROR(Table12[[#This Row],[Profit]]/Table12[[#This Row],[Sales]],0)</f>
        <v>0.27</v>
      </c>
    </row>
    <row r="1132" spans="1:22" x14ac:dyDescent="0.2">
      <c r="A1132">
        <v>1131</v>
      </c>
      <c r="B1132" t="s">
        <v>9332</v>
      </c>
      <c r="C1132" s="1">
        <v>41901</v>
      </c>
      <c r="D1132" s="22">
        <f>MONTH(Table12[[#This Row],[Order Date]])</f>
        <v>9</v>
      </c>
      <c r="E1132" t="s">
        <v>3348</v>
      </c>
      <c r="F1132" t="s">
        <v>3349</v>
      </c>
      <c r="G1132" s="23" t="s">
        <v>41</v>
      </c>
      <c r="H1132" s="23" t="s">
        <v>240</v>
      </c>
      <c r="I1132" t="s">
        <v>638</v>
      </c>
      <c r="J1132" s="23" t="s">
        <v>92</v>
      </c>
      <c r="K1132" s="22">
        <v>3</v>
      </c>
      <c r="L1132" s="1">
        <v>41901</v>
      </c>
      <c r="M1132" s="22">
        <f>Table12[[#This Row],[Ship Date]]-Table12[[#This Row],[Order Date]]</f>
        <v>0</v>
      </c>
      <c r="N1132" s="23" t="s">
        <v>1141</v>
      </c>
      <c r="O1132" s="23" t="s">
        <v>23</v>
      </c>
      <c r="P1132" s="23" t="s">
        <v>38</v>
      </c>
      <c r="Q1132" s="23" t="s">
        <v>39</v>
      </c>
      <c r="R1132" s="23" t="s">
        <v>114</v>
      </c>
      <c r="S1132" s="33">
        <v>0</v>
      </c>
      <c r="T1132" s="13">
        <v>5.67</v>
      </c>
      <c r="U1132" s="13">
        <v>0.1134</v>
      </c>
      <c r="V1132" s="55">
        <f>IFERROR(Table12[[#This Row],[Profit]]/Table12[[#This Row],[Sales]],0)</f>
        <v>0.02</v>
      </c>
    </row>
    <row r="1133" spans="1:22" x14ac:dyDescent="0.2">
      <c r="A1133">
        <v>1132</v>
      </c>
      <c r="B1133" t="s">
        <v>9606</v>
      </c>
      <c r="C1133" s="1">
        <v>41901</v>
      </c>
      <c r="D1133" s="22">
        <f>MONTH(Table12[[#This Row],[Order Date]])</f>
        <v>9</v>
      </c>
      <c r="E1133" t="s">
        <v>3934</v>
      </c>
      <c r="F1133" t="s">
        <v>3935</v>
      </c>
      <c r="G1133" s="23" t="s">
        <v>28</v>
      </c>
      <c r="H1133" s="23" t="s">
        <v>50</v>
      </c>
      <c r="I1133" t="s">
        <v>4058</v>
      </c>
      <c r="J1133" s="23" t="s">
        <v>36</v>
      </c>
      <c r="K1133" s="22">
        <v>1</v>
      </c>
      <c r="L1133" s="1">
        <v>41906</v>
      </c>
      <c r="M1133" s="22">
        <f>Table12[[#This Row],[Ship Date]]-Table12[[#This Row],[Order Date]]</f>
        <v>5</v>
      </c>
      <c r="N1133" s="23" t="s">
        <v>45</v>
      </c>
      <c r="O1133" s="23" t="s">
        <v>23</v>
      </c>
      <c r="P1133" s="23" t="s">
        <v>277</v>
      </c>
      <c r="Q1133" s="23" t="s">
        <v>39</v>
      </c>
      <c r="R1133" s="23" t="s">
        <v>7273</v>
      </c>
      <c r="S1133" s="33">
        <v>0.5</v>
      </c>
      <c r="T1133" s="13">
        <v>73.915000000000006</v>
      </c>
      <c r="U1133" s="13">
        <v>-45.827300000000001</v>
      </c>
      <c r="V1133" s="55">
        <f>IFERROR(Table12[[#This Row],[Profit]]/Table12[[#This Row],[Sales]],0)</f>
        <v>-0.62</v>
      </c>
    </row>
    <row r="1134" spans="1:22" x14ac:dyDescent="0.2">
      <c r="A1134">
        <v>1133</v>
      </c>
      <c r="B1134" t="s">
        <v>474</v>
      </c>
      <c r="C1134" s="1">
        <v>41902</v>
      </c>
      <c r="D1134" s="22">
        <f>MONTH(Table12[[#This Row],[Order Date]])</f>
        <v>9</v>
      </c>
      <c r="E1134" t="s">
        <v>477</v>
      </c>
      <c r="F1134" t="s">
        <v>478</v>
      </c>
      <c r="G1134" s="23" t="s">
        <v>28</v>
      </c>
      <c r="H1134" s="23" t="s">
        <v>50</v>
      </c>
      <c r="I1134" t="s">
        <v>475</v>
      </c>
      <c r="J1134" s="23" t="s">
        <v>22</v>
      </c>
      <c r="K1134" s="22">
        <v>6</v>
      </c>
      <c r="L1134" s="1">
        <v>41907</v>
      </c>
      <c r="M1134" s="22">
        <f>Table12[[#This Row],[Ship Date]]-Table12[[#This Row],[Order Date]]</f>
        <v>5</v>
      </c>
      <c r="N1134" s="23" t="s">
        <v>45</v>
      </c>
      <c r="O1134" s="23" t="s">
        <v>23</v>
      </c>
      <c r="P1134" s="23" t="s">
        <v>189</v>
      </c>
      <c r="Q1134" s="23" t="s">
        <v>95</v>
      </c>
      <c r="R1134" s="23" t="s">
        <v>476</v>
      </c>
      <c r="S1134" s="33">
        <v>0.5</v>
      </c>
      <c r="T1134" s="13">
        <v>617.70000000000005</v>
      </c>
      <c r="U1134" s="13">
        <v>-407.68200000000002</v>
      </c>
      <c r="V1134" s="55">
        <f>IFERROR(Table12[[#This Row],[Profit]]/Table12[[#This Row],[Sales]],0)</f>
        <v>-0.66</v>
      </c>
    </row>
    <row r="1135" spans="1:22" x14ac:dyDescent="0.2">
      <c r="A1135">
        <v>1134</v>
      </c>
      <c r="B1135" t="s">
        <v>2191</v>
      </c>
      <c r="C1135" s="1">
        <v>41902</v>
      </c>
      <c r="D1135" s="22">
        <f>MONTH(Table12[[#This Row],[Order Date]])</f>
        <v>9</v>
      </c>
      <c r="E1135" t="s">
        <v>2193</v>
      </c>
      <c r="F1135" t="s">
        <v>2194</v>
      </c>
      <c r="G1135" s="23" t="s">
        <v>41</v>
      </c>
      <c r="H1135" s="23" t="s">
        <v>42</v>
      </c>
      <c r="I1135" t="s">
        <v>2192</v>
      </c>
      <c r="J1135" s="23" t="s">
        <v>22</v>
      </c>
      <c r="K1135" s="22">
        <v>2</v>
      </c>
      <c r="L1135" s="1">
        <v>41908</v>
      </c>
      <c r="M1135" s="22">
        <f>Table12[[#This Row],[Ship Date]]-Table12[[#This Row],[Order Date]]</f>
        <v>6</v>
      </c>
      <c r="N1135" s="23" t="s">
        <v>45</v>
      </c>
      <c r="O1135" s="23" t="s">
        <v>23</v>
      </c>
      <c r="P1135" s="23" t="s">
        <v>38</v>
      </c>
      <c r="Q1135" s="23" t="s">
        <v>39</v>
      </c>
      <c r="R1135" s="23" t="s">
        <v>114</v>
      </c>
      <c r="S1135" s="33">
        <v>0</v>
      </c>
      <c r="T1135" s="13">
        <v>9.9600000000000009</v>
      </c>
      <c r="U1135" s="13">
        <v>4.5815999999999999</v>
      </c>
      <c r="V1135" s="55">
        <f>IFERROR(Table12[[#This Row],[Profit]]/Table12[[#This Row],[Sales]],0)</f>
        <v>0.45999999999999996</v>
      </c>
    </row>
    <row r="1136" spans="1:22" x14ac:dyDescent="0.2">
      <c r="A1136">
        <v>1135</v>
      </c>
      <c r="B1136" t="s">
        <v>2191</v>
      </c>
      <c r="C1136" s="1">
        <v>41902</v>
      </c>
      <c r="D1136" s="22">
        <f>MONTH(Table12[[#This Row],[Order Date]])</f>
        <v>9</v>
      </c>
      <c r="E1136" t="s">
        <v>1267</v>
      </c>
      <c r="F1136" t="s">
        <v>1268</v>
      </c>
      <c r="G1136" s="23" t="s">
        <v>41</v>
      </c>
      <c r="H1136" s="23" t="s">
        <v>82</v>
      </c>
      <c r="I1136" t="s">
        <v>2192</v>
      </c>
      <c r="J1136" s="23" t="s">
        <v>22</v>
      </c>
      <c r="K1136" s="22">
        <v>4</v>
      </c>
      <c r="L1136" s="1">
        <v>41908</v>
      </c>
      <c r="M1136" s="22">
        <f>Table12[[#This Row],[Ship Date]]-Table12[[#This Row],[Order Date]]</f>
        <v>6</v>
      </c>
      <c r="N1136" s="23" t="s">
        <v>45</v>
      </c>
      <c r="O1136" s="23" t="s">
        <v>23</v>
      </c>
      <c r="P1136" s="23" t="s">
        <v>38</v>
      </c>
      <c r="Q1136" s="23" t="s">
        <v>39</v>
      </c>
      <c r="R1136" s="23" t="s">
        <v>114</v>
      </c>
      <c r="S1136" s="33">
        <v>0</v>
      </c>
      <c r="T1136" s="13">
        <v>21.72</v>
      </c>
      <c r="U1136" s="13">
        <v>10.642799999999999</v>
      </c>
      <c r="V1136" s="55">
        <f>IFERROR(Table12[[#This Row],[Profit]]/Table12[[#This Row],[Sales]],0)</f>
        <v>0.49</v>
      </c>
    </row>
    <row r="1137" spans="1:22" x14ac:dyDescent="0.2">
      <c r="A1137">
        <v>1136</v>
      </c>
      <c r="B1137" t="s">
        <v>4586</v>
      </c>
      <c r="C1137" s="1">
        <v>41902</v>
      </c>
      <c r="D1137" s="22">
        <f>MONTH(Table12[[#This Row],[Order Date]])</f>
        <v>9</v>
      </c>
      <c r="E1137" t="s">
        <v>4588</v>
      </c>
      <c r="F1137" t="s">
        <v>4589</v>
      </c>
      <c r="G1137" s="23" t="s">
        <v>41</v>
      </c>
      <c r="H1137" s="23" t="s">
        <v>61</v>
      </c>
      <c r="I1137" t="s">
        <v>4587</v>
      </c>
      <c r="J1137" s="23" t="s">
        <v>36</v>
      </c>
      <c r="K1137" s="22">
        <v>2</v>
      </c>
      <c r="L1137" s="1">
        <v>41907</v>
      </c>
      <c r="M1137" s="22">
        <f>Table12[[#This Row],[Ship Date]]-Table12[[#This Row],[Order Date]]</f>
        <v>5</v>
      </c>
      <c r="N1137" s="23" t="s">
        <v>45</v>
      </c>
      <c r="O1137" s="23" t="s">
        <v>23</v>
      </c>
      <c r="P1137" s="23" t="s">
        <v>48</v>
      </c>
      <c r="Q1137" s="23" t="s">
        <v>26</v>
      </c>
      <c r="R1137" s="23" t="s">
        <v>1345</v>
      </c>
      <c r="S1137" s="33">
        <v>0.2</v>
      </c>
      <c r="T1137" s="13">
        <v>2.8159999999999998</v>
      </c>
      <c r="U1137" s="13">
        <v>0.98560000000000003</v>
      </c>
      <c r="V1137" s="55">
        <f>IFERROR(Table12[[#This Row],[Profit]]/Table12[[#This Row],[Sales]],0)</f>
        <v>0.35000000000000003</v>
      </c>
    </row>
    <row r="1138" spans="1:22" x14ac:dyDescent="0.2">
      <c r="A1138">
        <v>1137</v>
      </c>
      <c r="B1138" t="s">
        <v>6612</v>
      </c>
      <c r="C1138" s="1">
        <v>41902</v>
      </c>
      <c r="D1138" s="22">
        <f>MONTH(Table12[[#This Row],[Order Date]])</f>
        <v>9</v>
      </c>
      <c r="E1138" t="s">
        <v>6613</v>
      </c>
      <c r="F1138" t="s">
        <v>1262</v>
      </c>
      <c r="G1138" s="23" t="s">
        <v>41</v>
      </c>
      <c r="H1138" s="23" t="s">
        <v>71</v>
      </c>
      <c r="I1138" t="s">
        <v>5484</v>
      </c>
      <c r="J1138" s="23" t="s">
        <v>92</v>
      </c>
      <c r="K1138" s="22">
        <v>4</v>
      </c>
      <c r="L1138" s="1">
        <v>41908</v>
      </c>
      <c r="M1138" s="22">
        <f>Table12[[#This Row],[Ship Date]]-Table12[[#This Row],[Order Date]]</f>
        <v>6</v>
      </c>
      <c r="N1138" s="23" t="s">
        <v>45</v>
      </c>
      <c r="O1138" s="23" t="s">
        <v>23</v>
      </c>
      <c r="P1138" s="23" t="s">
        <v>38</v>
      </c>
      <c r="Q1138" s="23" t="s">
        <v>39</v>
      </c>
      <c r="R1138" s="23" t="s">
        <v>37</v>
      </c>
      <c r="S1138" s="33">
        <v>0</v>
      </c>
      <c r="T1138" s="13">
        <v>43.92</v>
      </c>
      <c r="U1138" s="13">
        <v>11.8584</v>
      </c>
      <c r="V1138" s="55">
        <f>IFERROR(Table12[[#This Row],[Profit]]/Table12[[#This Row],[Sales]],0)</f>
        <v>0.26999999999999996</v>
      </c>
    </row>
    <row r="1139" spans="1:22" x14ac:dyDescent="0.2">
      <c r="A1139">
        <v>1138</v>
      </c>
      <c r="B1139" t="s">
        <v>6612</v>
      </c>
      <c r="C1139" s="1">
        <v>41902</v>
      </c>
      <c r="D1139" s="22">
        <f>MONTH(Table12[[#This Row],[Order Date]])</f>
        <v>9</v>
      </c>
      <c r="E1139" t="s">
        <v>2305</v>
      </c>
      <c r="F1139" t="s">
        <v>2306</v>
      </c>
      <c r="G1139" s="23" t="s">
        <v>41</v>
      </c>
      <c r="H1139" s="23" t="s">
        <v>68</v>
      </c>
      <c r="I1139" t="s">
        <v>5484</v>
      </c>
      <c r="J1139" s="23" t="s">
        <v>92</v>
      </c>
      <c r="K1139" s="22">
        <v>3</v>
      </c>
      <c r="L1139" s="1">
        <v>41908</v>
      </c>
      <c r="M1139" s="22">
        <f>Table12[[#This Row],[Ship Date]]-Table12[[#This Row],[Order Date]]</f>
        <v>6</v>
      </c>
      <c r="N1139" s="23" t="s">
        <v>45</v>
      </c>
      <c r="O1139" s="23" t="s">
        <v>23</v>
      </c>
      <c r="P1139" s="23" t="s">
        <v>38</v>
      </c>
      <c r="Q1139" s="23" t="s">
        <v>39</v>
      </c>
      <c r="R1139" s="23" t="s">
        <v>37</v>
      </c>
      <c r="S1139" s="33">
        <v>0.2</v>
      </c>
      <c r="T1139" s="13">
        <v>20.231999999999999</v>
      </c>
      <c r="U1139" s="13">
        <v>6.5754000000000001</v>
      </c>
      <c r="V1139" s="55">
        <f>IFERROR(Table12[[#This Row],[Profit]]/Table12[[#This Row],[Sales]],0)</f>
        <v>0.32500000000000001</v>
      </c>
    </row>
    <row r="1140" spans="1:22" x14ac:dyDescent="0.2">
      <c r="A1140">
        <v>1139</v>
      </c>
      <c r="B1140" t="s">
        <v>7326</v>
      </c>
      <c r="C1140" s="1">
        <v>41902</v>
      </c>
      <c r="D1140" s="22">
        <f>MONTH(Table12[[#This Row],[Order Date]])</f>
        <v>9</v>
      </c>
      <c r="E1140" t="s">
        <v>2955</v>
      </c>
      <c r="F1140" t="s">
        <v>2956</v>
      </c>
      <c r="G1140" s="23" t="s">
        <v>28</v>
      </c>
      <c r="H1140" s="23" t="s">
        <v>58</v>
      </c>
      <c r="I1140" t="s">
        <v>326</v>
      </c>
      <c r="J1140" s="23" t="s">
        <v>22</v>
      </c>
      <c r="K1140" s="22">
        <v>3</v>
      </c>
      <c r="L1140" s="1">
        <v>41906</v>
      </c>
      <c r="M1140" s="22">
        <f>Table12[[#This Row],[Ship Date]]-Table12[[#This Row],[Order Date]]</f>
        <v>4</v>
      </c>
      <c r="N1140" s="23" t="s">
        <v>45</v>
      </c>
      <c r="O1140" s="23" t="s">
        <v>23</v>
      </c>
      <c r="P1140" s="23" t="s">
        <v>2408</v>
      </c>
      <c r="Q1140" s="23" t="s">
        <v>133</v>
      </c>
      <c r="R1140" s="23" t="s">
        <v>341</v>
      </c>
      <c r="S1140" s="33">
        <v>0</v>
      </c>
      <c r="T1140" s="13">
        <v>164.22</v>
      </c>
      <c r="U1140" s="13">
        <v>50.908200000000001</v>
      </c>
      <c r="V1140" s="55">
        <f>IFERROR(Table12[[#This Row],[Profit]]/Table12[[#This Row],[Sales]],0)</f>
        <v>0.31</v>
      </c>
    </row>
    <row r="1141" spans="1:22" x14ac:dyDescent="0.2">
      <c r="A1141">
        <v>1140</v>
      </c>
      <c r="B1141" t="s">
        <v>7326</v>
      </c>
      <c r="C1141" s="1">
        <v>41902</v>
      </c>
      <c r="D1141" s="22">
        <f>MONTH(Table12[[#This Row],[Order Date]])</f>
        <v>9</v>
      </c>
      <c r="E1141" t="s">
        <v>1478</v>
      </c>
      <c r="F1141" t="s">
        <v>1479</v>
      </c>
      <c r="G1141" s="23" t="s">
        <v>28</v>
      </c>
      <c r="H1141" s="23" t="s">
        <v>29</v>
      </c>
      <c r="I1141" t="s">
        <v>326</v>
      </c>
      <c r="J1141" s="23" t="s">
        <v>22</v>
      </c>
      <c r="K1141" s="22">
        <v>3</v>
      </c>
      <c r="L1141" s="1">
        <v>41906</v>
      </c>
      <c r="M1141" s="22">
        <f>Table12[[#This Row],[Ship Date]]-Table12[[#This Row],[Order Date]]</f>
        <v>4</v>
      </c>
      <c r="N1141" s="23" t="s">
        <v>45</v>
      </c>
      <c r="O1141" s="23" t="s">
        <v>23</v>
      </c>
      <c r="P1141" s="23" t="s">
        <v>2408</v>
      </c>
      <c r="Q1141" s="23" t="s">
        <v>133</v>
      </c>
      <c r="R1141" s="23" t="s">
        <v>341</v>
      </c>
      <c r="S1141" s="33">
        <v>0</v>
      </c>
      <c r="T1141" s="13">
        <v>362.94</v>
      </c>
      <c r="U1141" s="13">
        <v>36.293999999999997</v>
      </c>
      <c r="V1141" s="55">
        <f>IFERROR(Table12[[#This Row],[Profit]]/Table12[[#This Row],[Sales]],0)</f>
        <v>9.9999999999999992E-2</v>
      </c>
    </row>
    <row r="1142" spans="1:22" x14ac:dyDescent="0.2">
      <c r="A1142">
        <v>1141</v>
      </c>
      <c r="B1142" t="s">
        <v>7326</v>
      </c>
      <c r="C1142" s="1">
        <v>41902</v>
      </c>
      <c r="D1142" s="22">
        <f>MONTH(Table12[[#This Row],[Order Date]])</f>
        <v>9</v>
      </c>
      <c r="E1142" t="s">
        <v>897</v>
      </c>
      <c r="F1142" t="s">
        <v>898</v>
      </c>
      <c r="G1142" s="23" t="s">
        <v>64</v>
      </c>
      <c r="H1142" s="23" t="s">
        <v>144</v>
      </c>
      <c r="I1142" t="s">
        <v>326</v>
      </c>
      <c r="J1142" s="23" t="s">
        <v>22</v>
      </c>
      <c r="K1142" s="22">
        <v>2</v>
      </c>
      <c r="L1142" s="1">
        <v>41906</v>
      </c>
      <c r="M1142" s="22">
        <f>Table12[[#This Row],[Ship Date]]-Table12[[#This Row],[Order Date]]</f>
        <v>4</v>
      </c>
      <c r="N1142" s="23" t="s">
        <v>45</v>
      </c>
      <c r="O1142" s="23" t="s">
        <v>23</v>
      </c>
      <c r="P1142" s="23" t="s">
        <v>2408</v>
      </c>
      <c r="Q1142" s="23" t="s">
        <v>133</v>
      </c>
      <c r="R1142" s="23" t="s">
        <v>341</v>
      </c>
      <c r="S1142" s="33">
        <v>0</v>
      </c>
      <c r="T1142" s="13">
        <v>59.98</v>
      </c>
      <c r="U1142" s="13">
        <v>26.391200000000001</v>
      </c>
      <c r="V1142" s="55">
        <f>IFERROR(Table12[[#This Row],[Profit]]/Table12[[#This Row],[Sales]],0)</f>
        <v>0.44000000000000006</v>
      </c>
    </row>
    <row r="1143" spans="1:22" x14ac:dyDescent="0.2">
      <c r="A1143">
        <v>1142</v>
      </c>
      <c r="B1143" t="s">
        <v>9498</v>
      </c>
      <c r="C1143" s="1">
        <v>41902</v>
      </c>
      <c r="D1143" s="22">
        <f>MONTH(Table12[[#This Row],[Order Date]])</f>
        <v>9</v>
      </c>
      <c r="E1143" t="s">
        <v>6331</v>
      </c>
      <c r="F1143" t="s">
        <v>6332</v>
      </c>
      <c r="G1143" s="23" t="s">
        <v>28</v>
      </c>
      <c r="H1143" s="23" t="s">
        <v>29</v>
      </c>
      <c r="I1143" t="s">
        <v>7593</v>
      </c>
      <c r="J1143" s="23" t="s">
        <v>22</v>
      </c>
      <c r="K1143" s="22">
        <v>5</v>
      </c>
      <c r="L1143" s="1">
        <v>41905</v>
      </c>
      <c r="M1143" s="22">
        <f>Table12[[#This Row],[Ship Date]]-Table12[[#This Row],[Order Date]]</f>
        <v>3</v>
      </c>
      <c r="N1143" s="23" t="s">
        <v>169</v>
      </c>
      <c r="O1143" s="23" t="s">
        <v>23</v>
      </c>
      <c r="P1143" s="23" t="s">
        <v>189</v>
      </c>
      <c r="Q1143" s="23" t="s">
        <v>95</v>
      </c>
      <c r="R1143" s="23" t="s">
        <v>271</v>
      </c>
      <c r="S1143" s="33">
        <v>0.3</v>
      </c>
      <c r="T1143" s="13">
        <v>493.43</v>
      </c>
      <c r="U1143" s="13">
        <v>-70.489999999999995</v>
      </c>
      <c r="V1143" s="55">
        <f>IFERROR(Table12[[#This Row],[Profit]]/Table12[[#This Row],[Sales]],0)</f>
        <v>-0.14285714285714285</v>
      </c>
    </row>
    <row r="1144" spans="1:22" x14ac:dyDescent="0.2">
      <c r="A1144">
        <v>1143</v>
      </c>
      <c r="B1144" t="s">
        <v>9498</v>
      </c>
      <c r="C1144" s="1">
        <v>41902</v>
      </c>
      <c r="D1144" s="22">
        <f>MONTH(Table12[[#This Row],[Order Date]])</f>
        <v>9</v>
      </c>
      <c r="E1144" t="s">
        <v>3830</v>
      </c>
      <c r="F1144" t="s">
        <v>3831</v>
      </c>
      <c r="G1144" s="23" t="s">
        <v>64</v>
      </c>
      <c r="H1144" s="23" t="s">
        <v>65</v>
      </c>
      <c r="I1144" t="s">
        <v>7593</v>
      </c>
      <c r="J1144" s="23" t="s">
        <v>22</v>
      </c>
      <c r="K1144" s="22">
        <v>2</v>
      </c>
      <c r="L1144" s="1">
        <v>41905</v>
      </c>
      <c r="M1144" s="22">
        <f>Table12[[#This Row],[Ship Date]]-Table12[[#This Row],[Order Date]]</f>
        <v>3</v>
      </c>
      <c r="N1144" s="23" t="s">
        <v>169</v>
      </c>
      <c r="O1144" s="23" t="s">
        <v>23</v>
      </c>
      <c r="P1144" s="23" t="s">
        <v>189</v>
      </c>
      <c r="Q1144" s="23" t="s">
        <v>95</v>
      </c>
      <c r="R1144" s="23" t="s">
        <v>271</v>
      </c>
      <c r="S1144" s="33">
        <v>0.2</v>
      </c>
      <c r="T1144" s="13">
        <v>11.12</v>
      </c>
      <c r="U1144" s="13">
        <v>3.4750000000000001</v>
      </c>
      <c r="V1144" s="55">
        <f>IFERROR(Table12[[#This Row],[Profit]]/Table12[[#This Row],[Sales]],0)</f>
        <v>0.31250000000000006</v>
      </c>
    </row>
    <row r="1145" spans="1:22" x14ac:dyDescent="0.2">
      <c r="A1145">
        <v>1144</v>
      </c>
      <c r="B1145" t="s">
        <v>9555</v>
      </c>
      <c r="C1145" s="1">
        <v>41902</v>
      </c>
      <c r="D1145" s="22">
        <f>MONTH(Table12[[#This Row],[Order Date]])</f>
        <v>9</v>
      </c>
      <c r="E1145" t="s">
        <v>5889</v>
      </c>
      <c r="F1145" t="s">
        <v>5890</v>
      </c>
      <c r="G1145" s="23" t="s">
        <v>41</v>
      </c>
      <c r="H1145" s="23" t="s">
        <v>82</v>
      </c>
      <c r="I1145" t="s">
        <v>3208</v>
      </c>
      <c r="J1145" s="23" t="s">
        <v>36</v>
      </c>
      <c r="K1145" s="22">
        <v>2</v>
      </c>
      <c r="L1145" s="1">
        <v>41906</v>
      </c>
      <c r="M1145" s="22">
        <f>Table12[[#This Row],[Ship Date]]-Table12[[#This Row],[Order Date]]</f>
        <v>4</v>
      </c>
      <c r="N1145" s="23" t="s">
        <v>45</v>
      </c>
      <c r="O1145" s="23" t="s">
        <v>23</v>
      </c>
      <c r="P1145" s="23" t="s">
        <v>38</v>
      </c>
      <c r="Q1145" s="23" t="s">
        <v>39</v>
      </c>
      <c r="R1145" s="23" t="s">
        <v>836</v>
      </c>
      <c r="S1145" s="33">
        <v>0</v>
      </c>
      <c r="T1145" s="13">
        <v>8.56</v>
      </c>
      <c r="U1145" s="13">
        <v>3.8519999999999999</v>
      </c>
      <c r="V1145" s="55">
        <f>IFERROR(Table12[[#This Row],[Profit]]/Table12[[#This Row],[Sales]],0)</f>
        <v>0.44999999999999996</v>
      </c>
    </row>
    <row r="1146" spans="1:22" x14ac:dyDescent="0.2">
      <c r="A1146">
        <v>1145</v>
      </c>
      <c r="B1146" t="s">
        <v>9806</v>
      </c>
      <c r="C1146" s="1">
        <v>41902</v>
      </c>
      <c r="D1146" s="22">
        <f>MONTH(Table12[[#This Row],[Order Date]])</f>
        <v>9</v>
      </c>
      <c r="E1146" t="s">
        <v>6029</v>
      </c>
      <c r="F1146" t="s">
        <v>6030</v>
      </c>
      <c r="G1146" s="23" t="s">
        <v>64</v>
      </c>
      <c r="H1146" s="23" t="s">
        <v>65</v>
      </c>
      <c r="I1146" t="s">
        <v>4654</v>
      </c>
      <c r="J1146" s="23" t="s">
        <v>22</v>
      </c>
      <c r="K1146" s="22">
        <v>5</v>
      </c>
      <c r="L1146" s="1">
        <v>41905</v>
      </c>
      <c r="M1146" s="22">
        <f>Table12[[#This Row],[Ship Date]]-Table12[[#This Row],[Order Date]]</f>
        <v>3</v>
      </c>
      <c r="N1146" s="23" t="s">
        <v>169</v>
      </c>
      <c r="O1146" s="23" t="s">
        <v>23</v>
      </c>
      <c r="P1146" s="23" t="s">
        <v>238</v>
      </c>
      <c r="Q1146" s="23" t="s">
        <v>133</v>
      </c>
      <c r="R1146" s="23" t="s">
        <v>237</v>
      </c>
      <c r="S1146" s="33">
        <v>0</v>
      </c>
      <c r="T1146" s="13">
        <v>629.95000000000005</v>
      </c>
      <c r="U1146" s="13">
        <v>157.48750000000001</v>
      </c>
      <c r="V1146" s="55">
        <f>IFERROR(Table12[[#This Row],[Profit]]/Table12[[#This Row],[Sales]],0)</f>
        <v>0.25</v>
      </c>
    </row>
    <row r="1147" spans="1:22" x14ac:dyDescent="0.2">
      <c r="A1147">
        <v>1146</v>
      </c>
      <c r="B1147" t="s">
        <v>9806</v>
      </c>
      <c r="C1147" s="1">
        <v>41902</v>
      </c>
      <c r="D1147" s="22">
        <f>MONTH(Table12[[#This Row],[Order Date]])</f>
        <v>9</v>
      </c>
      <c r="E1147" t="s">
        <v>2249</v>
      </c>
      <c r="F1147" t="s">
        <v>2250</v>
      </c>
      <c r="G1147" s="23" t="s">
        <v>28</v>
      </c>
      <c r="H1147" s="23" t="s">
        <v>32</v>
      </c>
      <c r="I1147" t="s">
        <v>4654</v>
      </c>
      <c r="J1147" s="23" t="s">
        <v>22</v>
      </c>
      <c r="K1147" s="22">
        <v>2</v>
      </c>
      <c r="L1147" s="1">
        <v>41905</v>
      </c>
      <c r="M1147" s="22">
        <f>Table12[[#This Row],[Ship Date]]-Table12[[#This Row],[Order Date]]</f>
        <v>3</v>
      </c>
      <c r="N1147" s="23" t="s">
        <v>169</v>
      </c>
      <c r="O1147" s="23" t="s">
        <v>23</v>
      </c>
      <c r="P1147" s="23" t="s">
        <v>238</v>
      </c>
      <c r="Q1147" s="23" t="s">
        <v>133</v>
      </c>
      <c r="R1147" s="23" t="s">
        <v>237</v>
      </c>
      <c r="S1147" s="33">
        <v>0.1</v>
      </c>
      <c r="T1147" s="13">
        <v>631.78200000000004</v>
      </c>
      <c r="U1147" s="13">
        <v>140.39599999999999</v>
      </c>
      <c r="V1147" s="55">
        <f>IFERROR(Table12[[#This Row],[Profit]]/Table12[[#This Row],[Sales]],0)</f>
        <v>0.22222222222222218</v>
      </c>
    </row>
    <row r="1148" spans="1:22" x14ac:dyDescent="0.2">
      <c r="A1148">
        <v>1147</v>
      </c>
      <c r="B1148" t="s">
        <v>9806</v>
      </c>
      <c r="C1148" s="1">
        <v>41902</v>
      </c>
      <c r="D1148" s="22">
        <f>MONTH(Table12[[#This Row],[Order Date]])</f>
        <v>9</v>
      </c>
      <c r="E1148" t="s">
        <v>4452</v>
      </c>
      <c r="F1148" t="s">
        <v>4453</v>
      </c>
      <c r="G1148" s="23" t="s">
        <v>28</v>
      </c>
      <c r="H1148" s="23" t="s">
        <v>29</v>
      </c>
      <c r="I1148" t="s">
        <v>4654</v>
      </c>
      <c r="J1148" s="23" t="s">
        <v>22</v>
      </c>
      <c r="K1148" s="22">
        <v>2</v>
      </c>
      <c r="L1148" s="1">
        <v>41905</v>
      </c>
      <c r="M1148" s="22">
        <f>Table12[[#This Row],[Ship Date]]-Table12[[#This Row],[Order Date]]</f>
        <v>3</v>
      </c>
      <c r="N1148" s="23" t="s">
        <v>169</v>
      </c>
      <c r="O1148" s="23" t="s">
        <v>23</v>
      </c>
      <c r="P1148" s="23" t="s">
        <v>238</v>
      </c>
      <c r="Q1148" s="23" t="s">
        <v>133</v>
      </c>
      <c r="R1148" s="23" t="s">
        <v>237</v>
      </c>
      <c r="S1148" s="33">
        <v>0.2</v>
      </c>
      <c r="T1148" s="13">
        <v>801.56799999999998</v>
      </c>
      <c r="U1148" s="13">
        <v>-10.019600000000001</v>
      </c>
      <c r="V1148" s="55">
        <f>IFERROR(Table12[[#This Row],[Profit]]/Table12[[#This Row],[Sales]],0)</f>
        <v>-1.2500000000000001E-2</v>
      </c>
    </row>
    <row r="1149" spans="1:22" x14ac:dyDescent="0.2">
      <c r="A1149">
        <v>1148</v>
      </c>
      <c r="B1149" t="s">
        <v>9806</v>
      </c>
      <c r="C1149" s="1">
        <v>41902</v>
      </c>
      <c r="D1149" s="22">
        <f>MONTH(Table12[[#This Row],[Order Date]])</f>
        <v>9</v>
      </c>
      <c r="E1149" t="s">
        <v>229</v>
      </c>
      <c r="F1149" t="s">
        <v>230</v>
      </c>
      <c r="G1149" s="23" t="s">
        <v>41</v>
      </c>
      <c r="H1149" s="23" t="s">
        <v>42</v>
      </c>
      <c r="I1149" t="s">
        <v>4654</v>
      </c>
      <c r="J1149" s="23" t="s">
        <v>22</v>
      </c>
      <c r="K1149" s="22">
        <v>6</v>
      </c>
      <c r="L1149" s="1">
        <v>41905</v>
      </c>
      <c r="M1149" s="22">
        <f>Table12[[#This Row],[Ship Date]]-Table12[[#This Row],[Order Date]]</f>
        <v>3</v>
      </c>
      <c r="N1149" s="23" t="s">
        <v>169</v>
      </c>
      <c r="O1149" s="23" t="s">
        <v>23</v>
      </c>
      <c r="P1149" s="23" t="s">
        <v>238</v>
      </c>
      <c r="Q1149" s="23" t="s">
        <v>133</v>
      </c>
      <c r="R1149" s="23" t="s">
        <v>237</v>
      </c>
      <c r="S1149" s="33">
        <v>0</v>
      </c>
      <c r="T1149" s="13">
        <v>75.180000000000007</v>
      </c>
      <c r="U1149" s="13">
        <v>35.334600000000002</v>
      </c>
      <c r="V1149" s="55">
        <f>IFERROR(Table12[[#This Row],[Profit]]/Table12[[#This Row],[Sales]],0)</f>
        <v>0.47</v>
      </c>
    </row>
    <row r="1150" spans="1:22" x14ac:dyDescent="0.2">
      <c r="A1150">
        <v>1149</v>
      </c>
      <c r="B1150" t="s">
        <v>9806</v>
      </c>
      <c r="C1150" s="1">
        <v>41902</v>
      </c>
      <c r="D1150" s="22">
        <f>MONTH(Table12[[#This Row],[Order Date]])</f>
        <v>9</v>
      </c>
      <c r="E1150" t="s">
        <v>4580</v>
      </c>
      <c r="F1150" t="s">
        <v>4581</v>
      </c>
      <c r="G1150" s="23" t="s">
        <v>41</v>
      </c>
      <c r="H1150" s="23" t="s">
        <v>71</v>
      </c>
      <c r="I1150" t="s">
        <v>4654</v>
      </c>
      <c r="J1150" s="23" t="s">
        <v>22</v>
      </c>
      <c r="K1150" s="22">
        <v>1</v>
      </c>
      <c r="L1150" s="1">
        <v>41905</v>
      </c>
      <c r="M1150" s="22">
        <f>Table12[[#This Row],[Ship Date]]-Table12[[#This Row],[Order Date]]</f>
        <v>3</v>
      </c>
      <c r="N1150" s="23" t="s">
        <v>169</v>
      </c>
      <c r="O1150" s="23" t="s">
        <v>23</v>
      </c>
      <c r="P1150" s="23" t="s">
        <v>238</v>
      </c>
      <c r="Q1150" s="23" t="s">
        <v>133</v>
      </c>
      <c r="R1150" s="23" t="s">
        <v>237</v>
      </c>
      <c r="S1150" s="33">
        <v>0</v>
      </c>
      <c r="T1150" s="13">
        <v>30.98</v>
      </c>
      <c r="U1150" s="13">
        <v>8.0548000000000002</v>
      </c>
      <c r="V1150" s="55">
        <f>IFERROR(Table12[[#This Row],[Profit]]/Table12[[#This Row],[Sales]],0)</f>
        <v>0.26</v>
      </c>
    </row>
    <row r="1151" spans="1:22" x14ac:dyDescent="0.2">
      <c r="A1151">
        <v>1150</v>
      </c>
      <c r="B1151" t="s">
        <v>9806</v>
      </c>
      <c r="C1151" s="1">
        <v>41902</v>
      </c>
      <c r="D1151" s="22">
        <f>MONTH(Table12[[#This Row],[Order Date]])</f>
        <v>9</v>
      </c>
      <c r="E1151" t="s">
        <v>4846</v>
      </c>
      <c r="F1151" t="s">
        <v>4847</v>
      </c>
      <c r="G1151" s="23" t="s">
        <v>64</v>
      </c>
      <c r="H1151" s="23" t="s">
        <v>65</v>
      </c>
      <c r="I1151" t="s">
        <v>4654</v>
      </c>
      <c r="J1151" s="23" t="s">
        <v>22</v>
      </c>
      <c r="K1151" s="22">
        <v>9</v>
      </c>
      <c r="L1151" s="1">
        <v>41905</v>
      </c>
      <c r="M1151" s="22">
        <f>Table12[[#This Row],[Ship Date]]-Table12[[#This Row],[Order Date]]</f>
        <v>3</v>
      </c>
      <c r="N1151" s="23" t="s">
        <v>169</v>
      </c>
      <c r="O1151" s="23" t="s">
        <v>23</v>
      </c>
      <c r="P1151" s="23" t="s">
        <v>238</v>
      </c>
      <c r="Q1151" s="23" t="s">
        <v>133</v>
      </c>
      <c r="R1151" s="23" t="s">
        <v>237</v>
      </c>
      <c r="S1151" s="33">
        <v>0</v>
      </c>
      <c r="T1151" s="13">
        <v>1349.91</v>
      </c>
      <c r="U1151" s="13">
        <v>661.45590000000004</v>
      </c>
      <c r="V1151" s="55">
        <f>IFERROR(Table12[[#This Row],[Profit]]/Table12[[#This Row],[Sales]],0)</f>
        <v>0.49</v>
      </c>
    </row>
    <row r="1152" spans="1:22" x14ac:dyDescent="0.2">
      <c r="A1152">
        <v>1151</v>
      </c>
      <c r="B1152" t="s">
        <v>1214</v>
      </c>
      <c r="C1152" s="1">
        <v>41903</v>
      </c>
      <c r="D1152" s="22">
        <f>MONTH(Table12[[#This Row],[Order Date]])</f>
        <v>9</v>
      </c>
      <c r="E1152" t="s">
        <v>1217</v>
      </c>
      <c r="F1152" t="s">
        <v>1218</v>
      </c>
      <c r="G1152" s="23" t="s">
        <v>64</v>
      </c>
      <c r="H1152" s="23" t="s">
        <v>65</v>
      </c>
      <c r="I1152" t="s">
        <v>1215</v>
      </c>
      <c r="J1152" s="23" t="s">
        <v>22</v>
      </c>
      <c r="K1152" s="22">
        <v>2</v>
      </c>
      <c r="L1152" s="1">
        <v>41905</v>
      </c>
      <c r="M1152" s="22">
        <f>Table12[[#This Row],[Ship Date]]-Table12[[#This Row],[Order Date]]</f>
        <v>2</v>
      </c>
      <c r="N1152" s="23" t="s">
        <v>20</v>
      </c>
      <c r="O1152" s="23" t="s">
        <v>23</v>
      </c>
      <c r="P1152" s="23" t="s">
        <v>87</v>
      </c>
      <c r="Q1152" s="23" t="s">
        <v>39</v>
      </c>
      <c r="R1152" s="23" t="s">
        <v>1216</v>
      </c>
      <c r="S1152" s="33">
        <v>0.2</v>
      </c>
      <c r="T1152" s="13">
        <v>246.38399999999999</v>
      </c>
      <c r="U1152" s="13">
        <v>27.7182</v>
      </c>
      <c r="V1152" s="55">
        <f>IFERROR(Table12[[#This Row],[Profit]]/Table12[[#This Row],[Sales]],0)</f>
        <v>0.1125</v>
      </c>
    </row>
    <row r="1153" spans="1:22" x14ac:dyDescent="0.2">
      <c r="A1153">
        <v>1152</v>
      </c>
      <c r="B1153" t="s">
        <v>1214</v>
      </c>
      <c r="C1153" s="1">
        <v>41903</v>
      </c>
      <c r="D1153" s="22">
        <f>MONTH(Table12[[#This Row],[Order Date]])</f>
        <v>9</v>
      </c>
      <c r="E1153" t="s">
        <v>1219</v>
      </c>
      <c r="F1153" t="s">
        <v>1220</v>
      </c>
      <c r="G1153" s="23" t="s">
        <v>64</v>
      </c>
      <c r="H1153" s="23" t="s">
        <v>1075</v>
      </c>
      <c r="I1153" t="s">
        <v>1215</v>
      </c>
      <c r="J1153" s="23" t="s">
        <v>22</v>
      </c>
      <c r="K1153" s="22">
        <v>3</v>
      </c>
      <c r="L1153" s="1">
        <v>41905</v>
      </c>
      <c r="M1153" s="22">
        <f>Table12[[#This Row],[Ship Date]]-Table12[[#This Row],[Order Date]]</f>
        <v>2</v>
      </c>
      <c r="N1153" s="23" t="s">
        <v>20</v>
      </c>
      <c r="O1153" s="23" t="s">
        <v>23</v>
      </c>
      <c r="P1153" s="23" t="s">
        <v>87</v>
      </c>
      <c r="Q1153" s="23" t="s">
        <v>39</v>
      </c>
      <c r="R1153" s="23" t="s">
        <v>1216</v>
      </c>
      <c r="S1153" s="33">
        <v>0</v>
      </c>
      <c r="T1153" s="13">
        <v>1799.97</v>
      </c>
      <c r="U1153" s="13">
        <v>701.98829999999998</v>
      </c>
      <c r="V1153" s="55">
        <f>IFERROR(Table12[[#This Row],[Profit]]/Table12[[#This Row],[Sales]],0)</f>
        <v>0.38999999999999996</v>
      </c>
    </row>
    <row r="1154" spans="1:22" x14ac:dyDescent="0.2">
      <c r="A1154">
        <v>1153</v>
      </c>
      <c r="B1154" t="s">
        <v>5318</v>
      </c>
      <c r="C1154" s="1">
        <v>41903</v>
      </c>
      <c r="D1154" s="22">
        <f>MONTH(Table12[[#This Row],[Order Date]])</f>
        <v>9</v>
      </c>
      <c r="E1154" t="s">
        <v>388</v>
      </c>
      <c r="F1154" t="s">
        <v>389</v>
      </c>
      <c r="G1154" s="23" t="s">
        <v>41</v>
      </c>
      <c r="H1154" s="23" t="s">
        <v>71</v>
      </c>
      <c r="I1154" t="s">
        <v>2296</v>
      </c>
      <c r="J1154" s="23" t="s">
        <v>36</v>
      </c>
      <c r="K1154" s="22">
        <v>2</v>
      </c>
      <c r="L1154" s="1">
        <v>41904</v>
      </c>
      <c r="M1154" s="22">
        <f>Table12[[#This Row],[Ship Date]]-Table12[[#This Row],[Order Date]]</f>
        <v>1</v>
      </c>
      <c r="N1154" s="23" t="s">
        <v>169</v>
      </c>
      <c r="O1154" s="23" t="s">
        <v>23</v>
      </c>
      <c r="P1154" s="23" t="s">
        <v>124</v>
      </c>
      <c r="Q1154" s="23" t="s">
        <v>95</v>
      </c>
      <c r="R1154" s="23" t="s">
        <v>2226</v>
      </c>
      <c r="S1154" s="33">
        <v>0</v>
      </c>
      <c r="T1154" s="13">
        <v>25.96</v>
      </c>
      <c r="U1154" s="13">
        <v>7.5284000000000004</v>
      </c>
      <c r="V1154" s="55">
        <f>IFERROR(Table12[[#This Row],[Profit]]/Table12[[#This Row],[Sales]],0)</f>
        <v>0.28999999999999998</v>
      </c>
    </row>
    <row r="1155" spans="1:22" x14ac:dyDescent="0.2">
      <c r="A1155">
        <v>1154</v>
      </c>
      <c r="B1155" t="s">
        <v>5318</v>
      </c>
      <c r="C1155" s="1">
        <v>41903</v>
      </c>
      <c r="D1155" s="22">
        <f>MONTH(Table12[[#This Row],[Order Date]])</f>
        <v>9</v>
      </c>
      <c r="E1155" t="s">
        <v>4270</v>
      </c>
      <c r="F1155" t="s">
        <v>4271</v>
      </c>
      <c r="G1155" s="23" t="s">
        <v>41</v>
      </c>
      <c r="H1155" s="23" t="s">
        <v>71</v>
      </c>
      <c r="I1155" t="s">
        <v>2296</v>
      </c>
      <c r="J1155" s="23" t="s">
        <v>36</v>
      </c>
      <c r="K1155" s="22">
        <v>3</v>
      </c>
      <c r="L1155" s="1">
        <v>41904</v>
      </c>
      <c r="M1155" s="22">
        <f>Table12[[#This Row],[Ship Date]]-Table12[[#This Row],[Order Date]]</f>
        <v>1</v>
      </c>
      <c r="N1155" s="23" t="s">
        <v>169</v>
      </c>
      <c r="O1155" s="23" t="s">
        <v>23</v>
      </c>
      <c r="P1155" s="23" t="s">
        <v>124</v>
      </c>
      <c r="Q1155" s="23" t="s">
        <v>95</v>
      </c>
      <c r="R1155" s="23" t="s">
        <v>2226</v>
      </c>
      <c r="S1155" s="33">
        <v>0</v>
      </c>
      <c r="T1155" s="13">
        <v>36.270000000000003</v>
      </c>
      <c r="U1155" s="13">
        <v>10.881</v>
      </c>
      <c r="V1155" s="55">
        <f>IFERROR(Table12[[#This Row],[Profit]]/Table12[[#This Row],[Sales]],0)</f>
        <v>0.3</v>
      </c>
    </row>
    <row r="1156" spans="1:22" x14ac:dyDescent="0.2">
      <c r="A1156">
        <v>1155</v>
      </c>
      <c r="B1156" t="s">
        <v>5318</v>
      </c>
      <c r="C1156" s="1">
        <v>41903</v>
      </c>
      <c r="D1156" s="22">
        <f>MONTH(Table12[[#This Row],[Order Date]])</f>
        <v>9</v>
      </c>
      <c r="E1156" t="s">
        <v>2811</v>
      </c>
      <c r="F1156" t="s">
        <v>2812</v>
      </c>
      <c r="G1156" s="23" t="s">
        <v>41</v>
      </c>
      <c r="H1156" s="23" t="s">
        <v>82</v>
      </c>
      <c r="I1156" t="s">
        <v>2296</v>
      </c>
      <c r="J1156" s="23" t="s">
        <v>36</v>
      </c>
      <c r="K1156" s="22">
        <v>1</v>
      </c>
      <c r="L1156" s="1">
        <v>41904</v>
      </c>
      <c r="M1156" s="22">
        <f>Table12[[#This Row],[Ship Date]]-Table12[[#This Row],[Order Date]]</f>
        <v>1</v>
      </c>
      <c r="N1156" s="23" t="s">
        <v>169</v>
      </c>
      <c r="O1156" s="23" t="s">
        <v>23</v>
      </c>
      <c r="P1156" s="23" t="s">
        <v>124</v>
      </c>
      <c r="Q1156" s="23" t="s">
        <v>95</v>
      </c>
      <c r="R1156" s="23" t="s">
        <v>2226</v>
      </c>
      <c r="S1156" s="33">
        <v>0</v>
      </c>
      <c r="T1156" s="13">
        <v>6.48</v>
      </c>
      <c r="U1156" s="13">
        <v>3.1103999999999998</v>
      </c>
      <c r="V1156" s="55">
        <f>IFERROR(Table12[[#This Row],[Profit]]/Table12[[#This Row],[Sales]],0)</f>
        <v>0.47999999999999993</v>
      </c>
    </row>
    <row r="1157" spans="1:22" x14ac:dyDescent="0.2">
      <c r="A1157">
        <v>1156</v>
      </c>
      <c r="B1157" t="s">
        <v>5693</v>
      </c>
      <c r="C1157" s="1">
        <v>41903</v>
      </c>
      <c r="D1157" s="22">
        <f>MONTH(Table12[[#This Row],[Order Date]])</f>
        <v>9</v>
      </c>
      <c r="E1157" t="s">
        <v>2880</v>
      </c>
      <c r="F1157" t="s">
        <v>591</v>
      </c>
      <c r="G1157" s="23" t="s">
        <v>41</v>
      </c>
      <c r="H1157" s="23" t="s">
        <v>155</v>
      </c>
      <c r="I1157" t="s">
        <v>3858</v>
      </c>
      <c r="J1157" s="23" t="s">
        <v>22</v>
      </c>
      <c r="K1157" s="22">
        <v>2</v>
      </c>
      <c r="L1157" s="1">
        <v>41907</v>
      </c>
      <c r="M1157" s="22">
        <f>Table12[[#This Row],[Ship Date]]-Table12[[#This Row],[Order Date]]</f>
        <v>4</v>
      </c>
      <c r="N1157" s="23" t="s">
        <v>45</v>
      </c>
      <c r="O1157" s="23" t="s">
        <v>23</v>
      </c>
      <c r="P1157" s="23" t="s">
        <v>38</v>
      </c>
      <c r="Q1157" s="23" t="s">
        <v>39</v>
      </c>
      <c r="R1157" s="23" t="s">
        <v>114</v>
      </c>
      <c r="S1157" s="33">
        <v>0</v>
      </c>
      <c r="T1157" s="13">
        <v>15.56</v>
      </c>
      <c r="U1157" s="13">
        <v>7.3132000000000001</v>
      </c>
      <c r="V1157" s="55">
        <f>IFERROR(Table12[[#This Row],[Profit]]/Table12[[#This Row],[Sales]],0)</f>
        <v>0.47</v>
      </c>
    </row>
    <row r="1158" spans="1:22" x14ac:dyDescent="0.2">
      <c r="A1158">
        <v>1157</v>
      </c>
      <c r="B1158" t="s">
        <v>5693</v>
      </c>
      <c r="C1158" s="1">
        <v>41903</v>
      </c>
      <c r="D1158" s="22">
        <f>MONTH(Table12[[#This Row],[Order Date]])</f>
        <v>9</v>
      </c>
      <c r="E1158" t="s">
        <v>4962</v>
      </c>
      <c r="F1158" t="s">
        <v>4963</v>
      </c>
      <c r="G1158" s="23" t="s">
        <v>41</v>
      </c>
      <c r="H1158" s="23" t="s">
        <v>155</v>
      </c>
      <c r="I1158" t="s">
        <v>3858</v>
      </c>
      <c r="J1158" s="23" t="s">
        <v>22</v>
      </c>
      <c r="K1158" s="22">
        <v>5</v>
      </c>
      <c r="L1158" s="1">
        <v>41907</v>
      </c>
      <c r="M1158" s="22">
        <f>Table12[[#This Row],[Ship Date]]-Table12[[#This Row],[Order Date]]</f>
        <v>4</v>
      </c>
      <c r="N1158" s="23" t="s">
        <v>45</v>
      </c>
      <c r="O1158" s="23" t="s">
        <v>23</v>
      </c>
      <c r="P1158" s="23" t="s">
        <v>38</v>
      </c>
      <c r="Q1158" s="23" t="s">
        <v>39</v>
      </c>
      <c r="R1158" s="23" t="s">
        <v>114</v>
      </c>
      <c r="S1158" s="33">
        <v>0</v>
      </c>
      <c r="T1158" s="13">
        <v>78.349999999999994</v>
      </c>
      <c r="U1158" s="13">
        <v>36.8245</v>
      </c>
      <c r="V1158" s="55">
        <f>IFERROR(Table12[[#This Row],[Profit]]/Table12[[#This Row],[Sales]],0)</f>
        <v>0.47000000000000003</v>
      </c>
    </row>
    <row r="1159" spans="1:22" x14ac:dyDescent="0.2">
      <c r="A1159">
        <v>1158</v>
      </c>
      <c r="B1159" t="s">
        <v>5693</v>
      </c>
      <c r="C1159" s="1">
        <v>41903</v>
      </c>
      <c r="D1159" s="22">
        <f>MONTH(Table12[[#This Row],[Order Date]])</f>
        <v>9</v>
      </c>
      <c r="E1159" t="s">
        <v>5694</v>
      </c>
      <c r="F1159" t="s">
        <v>5695</v>
      </c>
      <c r="G1159" s="23" t="s">
        <v>41</v>
      </c>
      <c r="H1159" s="23" t="s">
        <v>61</v>
      </c>
      <c r="I1159" t="s">
        <v>3858</v>
      </c>
      <c r="J1159" s="23" t="s">
        <v>22</v>
      </c>
      <c r="K1159" s="22">
        <v>3</v>
      </c>
      <c r="L1159" s="1">
        <v>41907</v>
      </c>
      <c r="M1159" s="22">
        <f>Table12[[#This Row],[Ship Date]]-Table12[[#This Row],[Order Date]]</f>
        <v>4</v>
      </c>
      <c r="N1159" s="23" t="s">
        <v>45</v>
      </c>
      <c r="O1159" s="23" t="s">
        <v>23</v>
      </c>
      <c r="P1159" s="23" t="s">
        <v>38</v>
      </c>
      <c r="Q1159" s="23" t="s">
        <v>39</v>
      </c>
      <c r="R1159" s="23" t="s">
        <v>114</v>
      </c>
      <c r="S1159" s="33">
        <v>0</v>
      </c>
      <c r="T1159" s="13">
        <v>59.52</v>
      </c>
      <c r="U1159" s="13">
        <v>15.475199999999999</v>
      </c>
      <c r="V1159" s="55">
        <f>IFERROR(Table12[[#This Row],[Profit]]/Table12[[#This Row],[Sales]],0)</f>
        <v>0.25999999999999995</v>
      </c>
    </row>
    <row r="1160" spans="1:22" x14ac:dyDescent="0.2">
      <c r="A1160">
        <v>1159</v>
      </c>
      <c r="B1160" t="s">
        <v>5693</v>
      </c>
      <c r="C1160" s="1">
        <v>41903</v>
      </c>
      <c r="D1160" s="22">
        <f>MONTH(Table12[[#This Row],[Order Date]])</f>
        <v>9</v>
      </c>
      <c r="E1160" t="s">
        <v>5433</v>
      </c>
      <c r="F1160" t="s">
        <v>5434</v>
      </c>
      <c r="G1160" s="23" t="s">
        <v>41</v>
      </c>
      <c r="H1160" s="23" t="s">
        <v>82</v>
      </c>
      <c r="I1160" t="s">
        <v>3858</v>
      </c>
      <c r="J1160" s="23" t="s">
        <v>22</v>
      </c>
      <c r="K1160" s="22">
        <v>9</v>
      </c>
      <c r="L1160" s="1">
        <v>41907</v>
      </c>
      <c r="M1160" s="22">
        <f>Table12[[#This Row],[Ship Date]]-Table12[[#This Row],[Order Date]]</f>
        <v>4</v>
      </c>
      <c r="N1160" s="23" t="s">
        <v>45</v>
      </c>
      <c r="O1160" s="23" t="s">
        <v>23</v>
      </c>
      <c r="P1160" s="23" t="s">
        <v>38</v>
      </c>
      <c r="Q1160" s="23" t="s">
        <v>39</v>
      </c>
      <c r="R1160" s="23" t="s">
        <v>114</v>
      </c>
      <c r="S1160" s="33">
        <v>0</v>
      </c>
      <c r="T1160" s="13">
        <v>38.520000000000003</v>
      </c>
      <c r="U1160" s="13">
        <v>17.334</v>
      </c>
      <c r="V1160" s="55">
        <f>IFERROR(Table12[[#This Row],[Profit]]/Table12[[#This Row],[Sales]],0)</f>
        <v>0.44999999999999996</v>
      </c>
    </row>
    <row r="1161" spans="1:22" x14ac:dyDescent="0.2">
      <c r="A1161">
        <v>1160</v>
      </c>
      <c r="B1161" t="s">
        <v>5693</v>
      </c>
      <c r="C1161" s="1">
        <v>41903</v>
      </c>
      <c r="D1161" s="22">
        <f>MONTH(Table12[[#This Row],[Order Date]])</f>
        <v>9</v>
      </c>
      <c r="E1161" t="s">
        <v>5696</v>
      </c>
      <c r="F1161" t="s">
        <v>5697</v>
      </c>
      <c r="G1161" s="23" t="s">
        <v>64</v>
      </c>
      <c r="H1161" s="23" t="s">
        <v>65</v>
      </c>
      <c r="I1161" t="s">
        <v>3858</v>
      </c>
      <c r="J1161" s="23" t="s">
        <v>22</v>
      </c>
      <c r="K1161" s="22">
        <v>2</v>
      </c>
      <c r="L1161" s="1">
        <v>41907</v>
      </c>
      <c r="M1161" s="22">
        <f>Table12[[#This Row],[Ship Date]]-Table12[[#This Row],[Order Date]]</f>
        <v>4</v>
      </c>
      <c r="N1161" s="23" t="s">
        <v>45</v>
      </c>
      <c r="O1161" s="23" t="s">
        <v>23</v>
      </c>
      <c r="P1161" s="23" t="s">
        <v>38</v>
      </c>
      <c r="Q1161" s="23" t="s">
        <v>39</v>
      </c>
      <c r="R1161" s="23" t="s">
        <v>114</v>
      </c>
      <c r="S1161" s="33">
        <v>0.2</v>
      </c>
      <c r="T1161" s="13">
        <v>239.98400000000001</v>
      </c>
      <c r="U1161" s="13">
        <v>23.9984</v>
      </c>
      <c r="V1161" s="55">
        <f>IFERROR(Table12[[#This Row],[Profit]]/Table12[[#This Row],[Sales]],0)</f>
        <v>9.9999999999999992E-2</v>
      </c>
    </row>
    <row r="1162" spans="1:22" x14ac:dyDescent="0.2">
      <c r="A1162">
        <v>1161</v>
      </c>
      <c r="B1162" t="s">
        <v>5693</v>
      </c>
      <c r="C1162" s="1">
        <v>41903</v>
      </c>
      <c r="D1162" s="22">
        <f>MONTH(Table12[[#This Row],[Order Date]])</f>
        <v>9</v>
      </c>
      <c r="E1162" t="s">
        <v>5188</v>
      </c>
      <c r="F1162" t="s">
        <v>5189</v>
      </c>
      <c r="G1162" s="23" t="s">
        <v>41</v>
      </c>
      <c r="H1162" s="23" t="s">
        <v>82</v>
      </c>
      <c r="I1162" t="s">
        <v>3858</v>
      </c>
      <c r="J1162" s="23" t="s">
        <v>22</v>
      </c>
      <c r="K1162" s="22">
        <v>3</v>
      </c>
      <c r="L1162" s="1">
        <v>41907</v>
      </c>
      <c r="M1162" s="22">
        <f>Table12[[#This Row],[Ship Date]]-Table12[[#This Row],[Order Date]]</f>
        <v>4</v>
      </c>
      <c r="N1162" s="23" t="s">
        <v>45</v>
      </c>
      <c r="O1162" s="23" t="s">
        <v>23</v>
      </c>
      <c r="P1162" s="23" t="s">
        <v>38</v>
      </c>
      <c r="Q1162" s="23" t="s">
        <v>39</v>
      </c>
      <c r="R1162" s="23" t="s">
        <v>114</v>
      </c>
      <c r="S1162" s="33">
        <v>0</v>
      </c>
      <c r="T1162" s="13">
        <v>19.350000000000001</v>
      </c>
      <c r="U1162" s="13">
        <v>9.4815000000000005</v>
      </c>
      <c r="V1162" s="55">
        <f>IFERROR(Table12[[#This Row],[Profit]]/Table12[[#This Row],[Sales]],0)</f>
        <v>0.49</v>
      </c>
    </row>
    <row r="1163" spans="1:22" x14ac:dyDescent="0.2">
      <c r="A1163">
        <v>1162</v>
      </c>
      <c r="B1163" t="s">
        <v>6602</v>
      </c>
      <c r="C1163" s="1">
        <v>41903</v>
      </c>
      <c r="D1163" s="22">
        <f>MONTH(Table12[[#This Row],[Order Date]])</f>
        <v>9</v>
      </c>
      <c r="E1163" t="s">
        <v>765</v>
      </c>
      <c r="F1163" t="s">
        <v>766</v>
      </c>
      <c r="G1163" s="23" t="s">
        <v>41</v>
      </c>
      <c r="H1163" s="23" t="s">
        <v>82</v>
      </c>
      <c r="I1163" t="s">
        <v>164</v>
      </c>
      <c r="J1163" s="23" t="s">
        <v>92</v>
      </c>
      <c r="K1163" s="22">
        <v>3</v>
      </c>
      <c r="L1163" s="1">
        <v>41906</v>
      </c>
      <c r="M1163" s="22">
        <f>Table12[[#This Row],[Ship Date]]-Table12[[#This Row],[Order Date]]</f>
        <v>3</v>
      </c>
      <c r="N1163" s="23" t="s">
        <v>169</v>
      </c>
      <c r="O1163" s="23" t="s">
        <v>23</v>
      </c>
      <c r="P1163" s="23" t="s">
        <v>132</v>
      </c>
      <c r="Q1163" s="23" t="s">
        <v>133</v>
      </c>
      <c r="R1163" s="23" t="s">
        <v>131</v>
      </c>
      <c r="S1163" s="33">
        <v>0.2</v>
      </c>
      <c r="T1163" s="13">
        <v>11.352</v>
      </c>
      <c r="U1163" s="13">
        <v>4.1151</v>
      </c>
      <c r="V1163" s="55">
        <f>IFERROR(Table12[[#This Row],[Profit]]/Table12[[#This Row],[Sales]],0)</f>
        <v>0.36249999999999999</v>
      </c>
    </row>
    <row r="1164" spans="1:22" x14ac:dyDescent="0.2">
      <c r="A1164">
        <v>1163</v>
      </c>
      <c r="B1164" t="s">
        <v>6602</v>
      </c>
      <c r="C1164" s="1">
        <v>41903</v>
      </c>
      <c r="D1164" s="22">
        <f>MONTH(Table12[[#This Row],[Order Date]])</f>
        <v>9</v>
      </c>
      <c r="E1164" t="s">
        <v>2975</v>
      </c>
      <c r="F1164" t="s">
        <v>2976</v>
      </c>
      <c r="G1164" s="23" t="s">
        <v>41</v>
      </c>
      <c r="H1164" s="23" t="s">
        <v>42</v>
      </c>
      <c r="I1164" t="s">
        <v>164</v>
      </c>
      <c r="J1164" s="23" t="s">
        <v>92</v>
      </c>
      <c r="K1164" s="22">
        <v>9</v>
      </c>
      <c r="L1164" s="1">
        <v>41906</v>
      </c>
      <c r="M1164" s="22">
        <f>Table12[[#This Row],[Ship Date]]-Table12[[#This Row],[Order Date]]</f>
        <v>3</v>
      </c>
      <c r="N1164" s="23" t="s">
        <v>169</v>
      </c>
      <c r="O1164" s="23" t="s">
        <v>23</v>
      </c>
      <c r="P1164" s="23" t="s">
        <v>132</v>
      </c>
      <c r="Q1164" s="23" t="s">
        <v>133</v>
      </c>
      <c r="R1164" s="23" t="s">
        <v>131</v>
      </c>
      <c r="S1164" s="33">
        <v>0.2</v>
      </c>
      <c r="T1164" s="13">
        <v>20.808</v>
      </c>
      <c r="U1164" s="13">
        <v>7.0227000000000004</v>
      </c>
      <c r="V1164" s="55">
        <f>IFERROR(Table12[[#This Row],[Profit]]/Table12[[#This Row],[Sales]],0)</f>
        <v>0.33750000000000002</v>
      </c>
    </row>
    <row r="1165" spans="1:22" x14ac:dyDescent="0.2">
      <c r="A1165">
        <v>1164</v>
      </c>
      <c r="B1165" t="s">
        <v>7378</v>
      </c>
      <c r="C1165" s="1">
        <v>41903</v>
      </c>
      <c r="D1165" s="22">
        <f>MONTH(Table12[[#This Row],[Order Date]])</f>
        <v>9</v>
      </c>
      <c r="E1165" t="s">
        <v>5394</v>
      </c>
      <c r="F1165" t="s">
        <v>5395</v>
      </c>
      <c r="G1165" s="23" t="s">
        <v>28</v>
      </c>
      <c r="H1165" s="23" t="s">
        <v>58</v>
      </c>
      <c r="I1165" t="s">
        <v>1427</v>
      </c>
      <c r="J1165" s="23" t="s">
        <v>92</v>
      </c>
      <c r="K1165" s="22">
        <v>2</v>
      </c>
      <c r="L1165" s="1">
        <v>41905</v>
      </c>
      <c r="M1165" s="22">
        <f>Table12[[#This Row],[Ship Date]]-Table12[[#This Row],[Order Date]]</f>
        <v>2</v>
      </c>
      <c r="N1165" s="23" t="s">
        <v>169</v>
      </c>
      <c r="O1165" s="23" t="s">
        <v>23</v>
      </c>
      <c r="P1165" s="23" t="s">
        <v>94</v>
      </c>
      <c r="Q1165" s="23" t="s">
        <v>95</v>
      </c>
      <c r="R1165" s="23" t="s">
        <v>2438</v>
      </c>
      <c r="S1165" s="33">
        <v>0.6</v>
      </c>
      <c r="T1165" s="13">
        <v>8.5440000000000005</v>
      </c>
      <c r="U1165" s="13">
        <v>-7.476</v>
      </c>
      <c r="V1165" s="55">
        <f>IFERROR(Table12[[#This Row],[Profit]]/Table12[[#This Row],[Sales]],0)</f>
        <v>-0.875</v>
      </c>
    </row>
    <row r="1166" spans="1:22" x14ac:dyDescent="0.2">
      <c r="A1166">
        <v>1165</v>
      </c>
      <c r="B1166" t="s">
        <v>8512</v>
      </c>
      <c r="C1166" s="1">
        <v>41903</v>
      </c>
      <c r="D1166" s="22">
        <f>MONTH(Table12[[#This Row],[Order Date]])</f>
        <v>9</v>
      </c>
      <c r="E1166" t="s">
        <v>1212</v>
      </c>
      <c r="F1166" t="s">
        <v>1213</v>
      </c>
      <c r="G1166" s="23" t="s">
        <v>41</v>
      </c>
      <c r="H1166" s="23" t="s">
        <v>68</v>
      </c>
      <c r="I1166" t="s">
        <v>3018</v>
      </c>
      <c r="J1166" s="23" t="s">
        <v>22</v>
      </c>
      <c r="K1166" s="22">
        <v>3</v>
      </c>
      <c r="L1166" s="1">
        <v>41906</v>
      </c>
      <c r="M1166" s="22">
        <f>Table12[[#This Row],[Ship Date]]-Table12[[#This Row],[Order Date]]</f>
        <v>3</v>
      </c>
      <c r="N1166" s="23" t="s">
        <v>169</v>
      </c>
      <c r="O1166" s="23" t="s">
        <v>23</v>
      </c>
      <c r="P1166" s="23" t="s">
        <v>132</v>
      </c>
      <c r="Q1166" s="23" t="s">
        <v>133</v>
      </c>
      <c r="R1166" s="23" t="s">
        <v>131</v>
      </c>
      <c r="S1166" s="33">
        <v>0.7</v>
      </c>
      <c r="T1166" s="13">
        <v>6.57</v>
      </c>
      <c r="U1166" s="13">
        <v>-5.0369999999999999</v>
      </c>
      <c r="V1166" s="55">
        <f>IFERROR(Table12[[#This Row],[Profit]]/Table12[[#This Row],[Sales]],0)</f>
        <v>-0.76666666666666661</v>
      </c>
    </row>
    <row r="1167" spans="1:22" x14ac:dyDescent="0.2">
      <c r="A1167">
        <v>1166</v>
      </c>
      <c r="B1167" t="s">
        <v>9611</v>
      </c>
      <c r="C1167" s="1">
        <v>41903</v>
      </c>
      <c r="D1167" s="22">
        <f>MONTH(Table12[[#This Row],[Order Date]])</f>
        <v>9</v>
      </c>
      <c r="E1167" t="s">
        <v>2281</v>
      </c>
      <c r="F1167" t="s">
        <v>2282</v>
      </c>
      <c r="G1167" s="23" t="s">
        <v>41</v>
      </c>
      <c r="H1167" s="23" t="s">
        <v>61</v>
      </c>
      <c r="I1167" t="s">
        <v>2614</v>
      </c>
      <c r="J1167" s="23" t="s">
        <v>92</v>
      </c>
      <c r="K1167" s="22">
        <v>3</v>
      </c>
      <c r="L1167" s="1">
        <v>41907</v>
      </c>
      <c r="M1167" s="22">
        <f>Table12[[#This Row],[Ship Date]]-Table12[[#This Row],[Order Date]]</f>
        <v>4</v>
      </c>
      <c r="N1167" s="23" t="s">
        <v>45</v>
      </c>
      <c r="O1167" s="23" t="s">
        <v>23</v>
      </c>
      <c r="P1167" s="23" t="s">
        <v>238</v>
      </c>
      <c r="Q1167" s="23" t="s">
        <v>133</v>
      </c>
      <c r="R1167" s="23" t="s">
        <v>237</v>
      </c>
      <c r="S1167" s="33">
        <v>0</v>
      </c>
      <c r="T1167" s="13">
        <v>66.03</v>
      </c>
      <c r="U1167" s="13">
        <v>17.1678</v>
      </c>
      <c r="V1167" s="55">
        <f>IFERROR(Table12[[#This Row],[Profit]]/Table12[[#This Row],[Sales]],0)</f>
        <v>0.26</v>
      </c>
    </row>
    <row r="1168" spans="1:22" x14ac:dyDescent="0.2">
      <c r="A1168">
        <v>1167</v>
      </c>
      <c r="B1168" t="s">
        <v>2566</v>
      </c>
      <c r="C1168" s="1">
        <v>41904</v>
      </c>
      <c r="D1168" s="22">
        <f>MONTH(Table12[[#This Row],[Order Date]])</f>
        <v>9</v>
      </c>
      <c r="E1168" t="s">
        <v>2568</v>
      </c>
      <c r="F1168" t="s">
        <v>2569</v>
      </c>
      <c r="G1168" s="23" t="s">
        <v>41</v>
      </c>
      <c r="H1168" s="23" t="s">
        <v>42</v>
      </c>
      <c r="I1168" t="s">
        <v>2428</v>
      </c>
      <c r="J1168" s="23" t="s">
        <v>22</v>
      </c>
      <c r="K1168" s="22">
        <v>2</v>
      </c>
      <c r="L1168" s="1">
        <v>41906</v>
      </c>
      <c r="M1168" s="22">
        <f>Table12[[#This Row],[Ship Date]]-Table12[[#This Row],[Order Date]]</f>
        <v>2</v>
      </c>
      <c r="N1168" s="23" t="s">
        <v>20</v>
      </c>
      <c r="O1168" s="23" t="s">
        <v>23</v>
      </c>
      <c r="P1168" s="23" t="s">
        <v>48</v>
      </c>
      <c r="Q1168" s="23" t="s">
        <v>26</v>
      </c>
      <c r="R1168" s="23" t="s">
        <v>2567</v>
      </c>
      <c r="S1168" s="33">
        <v>0.2</v>
      </c>
      <c r="T1168" s="13">
        <v>4.6079999999999997</v>
      </c>
      <c r="U1168" s="13">
        <v>1.6704000000000001</v>
      </c>
      <c r="V1168" s="55">
        <f>IFERROR(Table12[[#This Row],[Profit]]/Table12[[#This Row],[Sales]],0)</f>
        <v>0.36250000000000004</v>
      </c>
    </row>
    <row r="1169" spans="1:22" x14ac:dyDescent="0.2">
      <c r="A1169">
        <v>1168</v>
      </c>
      <c r="B1169" t="s">
        <v>7680</v>
      </c>
      <c r="C1169" s="1">
        <v>41904</v>
      </c>
      <c r="D1169" s="22">
        <f>MONTH(Table12[[#This Row],[Order Date]])</f>
        <v>9</v>
      </c>
      <c r="E1169" t="s">
        <v>3254</v>
      </c>
      <c r="F1169" t="s">
        <v>3255</v>
      </c>
      <c r="G1169" s="23" t="s">
        <v>41</v>
      </c>
      <c r="H1169" s="23" t="s">
        <v>53</v>
      </c>
      <c r="I1169" t="s">
        <v>3696</v>
      </c>
      <c r="J1169" s="23" t="s">
        <v>36</v>
      </c>
      <c r="K1169" s="22">
        <v>3</v>
      </c>
      <c r="L1169" s="1">
        <v>41909</v>
      </c>
      <c r="M1169" s="22">
        <f>Table12[[#This Row],[Ship Date]]-Table12[[#This Row],[Order Date]]</f>
        <v>5</v>
      </c>
      <c r="N1169" s="23" t="s">
        <v>45</v>
      </c>
      <c r="O1169" s="23" t="s">
        <v>23</v>
      </c>
      <c r="P1169" s="23" t="s">
        <v>189</v>
      </c>
      <c r="Q1169" s="23" t="s">
        <v>95</v>
      </c>
      <c r="R1169" s="23" t="s">
        <v>271</v>
      </c>
      <c r="S1169" s="33">
        <v>0.2</v>
      </c>
      <c r="T1169" s="13">
        <v>331.536</v>
      </c>
      <c r="U1169" s="13">
        <v>-82.884</v>
      </c>
      <c r="V1169" s="55">
        <f>IFERROR(Table12[[#This Row],[Profit]]/Table12[[#This Row],[Sales]],0)</f>
        <v>-0.25</v>
      </c>
    </row>
    <row r="1170" spans="1:22" x14ac:dyDescent="0.2">
      <c r="A1170">
        <v>1169</v>
      </c>
      <c r="B1170" t="s">
        <v>9126</v>
      </c>
      <c r="C1170" s="1">
        <v>41904</v>
      </c>
      <c r="D1170" s="22">
        <f>MONTH(Table12[[#This Row],[Order Date]])</f>
        <v>9</v>
      </c>
      <c r="E1170" t="s">
        <v>1054</v>
      </c>
      <c r="F1170" t="s">
        <v>1055</v>
      </c>
      <c r="G1170" s="23" t="s">
        <v>41</v>
      </c>
      <c r="H1170" s="23" t="s">
        <v>53</v>
      </c>
      <c r="I1170" t="s">
        <v>2478</v>
      </c>
      <c r="J1170" s="23" t="s">
        <v>22</v>
      </c>
      <c r="K1170" s="22">
        <v>5</v>
      </c>
      <c r="L1170" s="1">
        <v>41910</v>
      </c>
      <c r="M1170" s="22">
        <f>Table12[[#This Row],[Ship Date]]-Table12[[#This Row],[Order Date]]</f>
        <v>6</v>
      </c>
      <c r="N1170" s="23" t="s">
        <v>45</v>
      </c>
      <c r="O1170" s="23" t="s">
        <v>23</v>
      </c>
      <c r="P1170" s="23" t="s">
        <v>38</v>
      </c>
      <c r="Q1170" s="23" t="s">
        <v>39</v>
      </c>
      <c r="R1170" s="23" t="s">
        <v>557</v>
      </c>
      <c r="S1170" s="33">
        <v>0</v>
      </c>
      <c r="T1170" s="13">
        <v>169.45</v>
      </c>
      <c r="U1170" s="13">
        <v>42.362499999999997</v>
      </c>
      <c r="V1170" s="55">
        <f>IFERROR(Table12[[#This Row],[Profit]]/Table12[[#This Row],[Sales]],0)</f>
        <v>0.25</v>
      </c>
    </row>
    <row r="1171" spans="1:22" x14ac:dyDescent="0.2">
      <c r="A1171">
        <v>1170</v>
      </c>
      <c r="B1171" t="s">
        <v>9126</v>
      </c>
      <c r="C1171" s="1">
        <v>41904</v>
      </c>
      <c r="D1171" s="22">
        <f>MONTH(Table12[[#This Row],[Order Date]])</f>
        <v>9</v>
      </c>
      <c r="E1171" t="s">
        <v>5758</v>
      </c>
      <c r="F1171" t="s">
        <v>5759</v>
      </c>
      <c r="G1171" s="23" t="s">
        <v>41</v>
      </c>
      <c r="H1171" s="23" t="s">
        <v>53</v>
      </c>
      <c r="I1171" t="s">
        <v>2478</v>
      </c>
      <c r="J1171" s="23" t="s">
        <v>22</v>
      </c>
      <c r="K1171" s="22">
        <v>2</v>
      </c>
      <c r="L1171" s="1">
        <v>41910</v>
      </c>
      <c r="M1171" s="22">
        <f>Table12[[#This Row],[Ship Date]]-Table12[[#This Row],[Order Date]]</f>
        <v>6</v>
      </c>
      <c r="N1171" s="23" t="s">
        <v>45</v>
      </c>
      <c r="O1171" s="23" t="s">
        <v>23</v>
      </c>
      <c r="P1171" s="23" t="s">
        <v>38</v>
      </c>
      <c r="Q1171" s="23" t="s">
        <v>39</v>
      </c>
      <c r="R1171" s="23" t="s">
        <v>557</v>
      </c>
      <c r="S1171" s="33">
        <v>0</v>
      </c>
      <c r="T1171" s="13">
        <v>40.68</v>
      </c>
      <c r="U1171" s="13">
        <v>0.40679999999999999</v>
      </c>
      <c r="V1171" s="55">
        <f>IFERROR(Table12[[#This Row],[Profit]]/Table12[[#This Row],[Sales]],0)</f>
        <v>0.01</v>
      </c>
    </row>
    <row r="1172" spans="1:22" x14ac:dyDescent="0.2">
      <c r="A1172">
        <v>1171</v>
      </c>
      <c r="B1172" t="s">
        <v>9969</v>
      </c>
      <c r="C1172" s="1">
        <v>41904</v>
      </c>
      <c r="D1172" s="22">
        <f>MONTH(Table12[[#This Row],[Order Date]])</f>
        <v>9</v>
      </c>
      <c r="E1172" t="s">
        <v>5213</v>
      </c>
      <c r="F1172" t="s">
        <v>5214</v>
      </c>
      <c r="G1172" s="23" t="s">
        <v>28</v>
      </c>
      <c r="H1172" s="23" t="s">
        <v>58</v>
      </c>
      <c r="I1172" t="s">
        <v>4166</v>
      </c>
      <c r="J1172" s="23" t="s">
        <v>22</v>
      </c>
      <c r="K1172" s="22">
        <v>3</v>
      </c>
      <c r="L1172" s="1">
        <v>41911</v>
      </c>
      <c r="M1172" s="22">
        <f>Table12[[#This Row],[Ship Date]]-Table12[[#This Row],[Order Date]]</f>
        <v>7</v>
      </c>
      <c r="N1172" s="23" t="s">
        <v>45</v>
      </c>
      <c r="O1172" s="23" t="s">
        <v>23</v>
      </c>
      <c r="P1172" s="23" t="s">
        <v>238</v>
      </c>
      <c r="Q1172" s="23" t="s">
        <v>133</v>
      </c>
      <c r="R1172" s="23" t="s">
        <v>237</v>
      </c>
      <c r="S1172" s="33">
        <v>0</v>
      </c>
      <c r="T1172" s="13">
        <v>97.44</v>
      </c>
      <c r="U1172" s="13">
        <v>35.078400000000002</v>
      </c>
      <c r="V1172" s="55">
        <f>IFERROR(Table12[[#This Row],[Profit]]/Table12[[#This Row],[Sales]],0)</f>
        <v>0.36000000000000004</v>
      </c>
    </row>
    <row r="1173" spans="1:22" x14ac:dyDescent="0.2">
      <c r="A1173">
        <v>1172</v>
      </c>
      <c r="B1173" t="s">
        <v>9969</v>
      </c>
      <c r="C1173" s="1">
        <v>41904</v>
      </c>
      <c r="D1173" s="22">
        <f>MONTH(Table12[[#This Row],[Order Date]])</f>
        <v>9</v>
      </c>
      <c r="E1173" t="s">
        <v>2026</v>
      </c>
      <c r="F1173" t="s">
        <v>2027</v>
      </c>
      <c r="G1173" s="23" t="s">
        <v>41</v>
      </c>
      <c r="H1173" s="23" t="s">
        <v>68</v>
      </c>
      <c r="I1173" t="s">
        <v>4166</v>
      </c>
      <c r="J1173" s="23" t="s">
        <v>22</v>
      </c>
      <c r="K1173" s="22">
        <v>1</v>
      </c>
      <c r="L1173" s="1">
        <v>41911</v>
      </c>
      <c r="M1173" s="22">
        <f>Table12[[#This Row],[Ship Date]]-Table12[[#This Row],[Order Date]]</f>
        <v>7</v>
      </c>
      <c r="N1173" s="23" t="s">
        <v>45</v>
      </c>
      <c r="O1173" s="23" t="s">
        <v>23</v>
      </c>
      <c r="P1173" s="23" t="s">
        <v>238</v>
      </c>
      <c r="Q1173" s="23" t="s">
        <v>133</v>
      </c>
      <c r="R1173" s="23" t="s">
        <v>237</v>
      </c>
      <c r="S1173" s="33">
        <v>0.2</v>
      </c>
      <c r="T1173" s="13">
        <v>3.984</v>
      </c>
      <c r="U1173" s="13">
        <v>1.3944000000000001</v>
      </c>
      <c r="V1173" s="55">
        <f>IFERROR(Table12[[#This Row],[Profit]]/Table12[[#This Row],[Sales]],0)</f>
        <v>0.35000000000000003</v>
      </c>
    </row>
    <row r="1174" spans="1:22" x14ac:dyDescent="0.2">
      <c r="A1174">
        <v>1173</v>
      </c>
      <c r="B1174" t="s">
        <v>9969</v>
      </c>
      <c r="C1174" s="1">
        <v>41904</v>
      </c>
      <c r="D1174" s="22">
        <f>MONTH(Table12[[#This Row],[Order Date]])</f>
        <v>9</v>
      </c>
      <c r="E1174" t="s">
        <v>7383</v>
      </c>
      <c r="F1174" t="s">
        <v>7384</v>
      </c>
      <c r="G1174" s="23" t="s">
        <v>41</v>
      </c>
      <c r="H1174" s="23" t="s">
        <v>61</v>
      </c>
      <c r="I1174" t="s">
        <v>4166</v>
      </c>
      <c r="J1174" s="23" t="s">
        <v>22</v>
      </c>
      <c r="K1174" s="22">
        <v>4</v>
      </c>
      <c r="L1174" s="1">
        <v>41911</v>
      </c>
      <c r="M1174" s="22">
        <f>Table12[[#This Row],[Ship Date]]-Table12[[#This Row],[Order Date]]</f>
        <v>7</v>
      </c>
      <c r="N1174" s="23" t="s">
        <v>45</v>
      </c>
      <c r="O1174" s="23" t="s">
        <v>23</v>
      </c>
      <c r="P1174" s="23" t="s">
        <v>238</v>
      </c>
      <c r="Q1174" s="23" t="s">
        <v>133</v>
      </c>
      <c r="R1174" s="23" t="s">
        <v>237</v>
      </c>
      <c r="S1174" s="33">
        <v>0</v>
      </c>
      <c r="T1174" s="13">
        <v>13.04</v>
      </c>
      <c r="U1174" s="13">
        <v>5.7375999999999996</v>
      </c>
      <c r="V1174" s="55">
        <f>IFERROR(Table12[[#This Row],[Profit]]/Table12[[#This Row],[Sales]],0)</f>
        <v>0.44</v>
      </c>
    </row>
    <row r="1175" spans="1:22" x14ac:dyDescent="0.2">
      <c r="A1175">
        <v>1174</v>
      </c>
      <c r="B1175" t="s">
        <v>9969</v>
      </c>
      <c r="C1175" s="1">
        <v>41904</v>
      </c>
      <c r="D1175" s="22">
        <f>MONTH(Table12[[#This Row],[Order Date]])</f>
        <v>9</v>
      </c>
      <c r="E1175" t="s">
        <v>6189</v>
      </c>
      <c r="F1175" t="s">
        <v>6190</v>
      </c>
      <c r="G1175" s="23" t="s">
        <v>28</v>
      </c>
      <c r="H1175" s="23" t="s">
        <v>32</v>
      </c>
      <c r="I1175" t="s">
        <v>4166</v>
      </c>
      <c r="J1175" s="23" t="s">
        <v>22</v>
      </c>
      <c r="K1175" s="22">
        <v>4</v>
      </c>
      <c r="L1175" s="1">
        <v>41911</v>
      </c>
      <c r="M1175" s="22">
        <f>Table12[[#This Row],[Ship Date]]-Table12[[#This Row],[Order Date]]</f>
        <v>7</v>
      </c>
      <c r="N1175" s="23" t="s">
        <v>45</v>
      </c>
      <c r="O1175" s="23" t="s">
        <v>23</v>
      </c>
      <c r="P1175" s="23" t="s">
        <v>238</v>
      </c>
      <c r="Q1175" s="23" t="s">
        <v>133</v>
      </c>
      <c r="R1175" s="23" t="s">
        <v>237</v>
      </c>
      <c r="S1175" s="33">
        <v>0.1</v>
      </c>
      <c r="T1175" s="13">
        <v>579.52800000000002</v>
      </c>
      <c r="U1175" s="13">
        <v>83.709599999999995</v>
      </c>
      <c r="V1175" s="55">
        <f>IFERROR(Table12[[#This Row],[Profit]]/Table12[[#This Row],[Sales]],0)</f>
        <v>0.14444444444444443</v>
      </c>
    </row>
    <row r="1176" spans="1:22" x14ac:dyDescent="0.2">
      <c r="A1176">
        <v>1175</v>
      </c>
      <c r="B1176" t="s">
        <v>5861</v>
      </c>
      <c r="C1176" s="1">
        <v>41905</v>
      </c>
      <c r="D1176" s="22">
        <f>MONTH(Table12[[#This Row],[Order Date]])</f>
        <v>9</v>
      </c>
      <c r="E1176" t="s">
        <v>5862</v>
      </c>
      <c r="F1176" t="s">
        <v>5863</v>
      </c>
      <c r="G1176" s="23" t="s">
        <v>28</v>
      </c>
      <c r="H1176" s="23" t="s">
        <v>29</v>
      </c>
      <c r="I1176" t="s">
        <v>2296</v>
      </c>
      <c r="J1176" s="23" t="s">
        <v>36</v>
      </c>
      <c r="K1176" s="22">
        <v>3</v>
      </c>
      <c r="L1176" s="1">
        <v>41910</v>
      </c>
      <c r="M1176" s="22">
        <f>Table12[[#This Row],[Ship Date]]-Table12[[#This Row],[Order Date]]</f>
        <v>5</v>
      </c>
      <c r="N1176" s="23" t="s">
        <v>45</v>
      </c>
      <c r="O1176" s="23" t="s">
        <v>23</v>
      </c>
      <c r="P1176" s="23" t="s">
        <v>38</v>
      </c>
      <c r="Q1176" s="23" t="s">
        <v>39</v>
      </c>
      <c r="R1176" s="23" t="s">
        <v>836</v>
      </c>
      <c r="S1176" s="33">
        <v>0.15</v>
      </c>
      <c r="T1176" s="13">
        <v>435.99900000000002</v>
      </c>
      <c r="U1176" s="13">
        <v>20.517600000000002</v>
      </c>
      <c r="V1176" s="55">
        <f>IFERROR(Table12[[#This Row],[Profit]]/Table12[[#This Row],[Sales]],0)</f>
        <v>4.7058823529411764E-2</v>
      </c>
    </row>
    <row r="1177" spans="1:22" x14ac:dyDescent="0.2">
      <c r="A1177">
        <v>1176</v>
      </c>
      <c r="B1177" t="s">
        <v>5861</v>
      </c>
      <c r="C1177" s="1">
        <v>41905</v>
      </c>
      <c r="D1177" s="22">
        <f>MONTH(Table12[[#This Row],[Order Date]])</f>
        <v>9</v>
      </c>
      <c r="E1177" t="s">
        <v>280</v>
      </c>
      <c r="F1177" t="s">
        <v>281</v>
      </c>
      <c r="G1177" s="23" t="s">
        <v>64</v>
      </c>
      <c r="H1177" s="23" t="s">
        <v>65</v>
      </c>
      <c r="I1177" t="s">
        <v>2296</v>
      </c>
      <c r="J1177" s="23" t="s">
        <v>36</v>
      </c>
      <c r="K1177" s="22">
        <v>2</v>
      </c>
      <c r="L1177" s="1">
        <v>41910</v>
      </c>
      <c r="M1177" s="22">
        <f>Table12[[#This Row],[Ship Date]]-Table12[[#This Row],[Order Date]]</f>
        <v>5</v>
      </c>
      <c r="N1177" s="23" t="s">
        <v>45</v>
      </c>
      <c r="O1177" s="23" t="s">
        <v>23</v>
      </c>
      <c r="P1177" s="23" t="s">
        <v>38</v>
      </c>
      <c r="Q1177" s="23" t="s">
        <v>39</v>
      </c>
      <c r="R1177" s="23" t="s">
        <v>836</v>
      </c>
      <c r="S1177" s="33">
        <v>0.2</v>
      </c>
      <c r="T1177" s="13">
        <v>83.983999999999995</v>
      </c>
      <c r="U1177" s="13">
        <v>31.494</v>
      </c>
      <c r="V1177" s="55">
        <f>IFERROR(Table12[[#This Row],[Profit]]/Table12[[#This Row],[Sales]],0)</f>
        <v>0.375</v>
      </c>
    </row>
    <row r="1178" spans="1:22" x14ac:dyDescent="0.2">
      <c r="A1178">
        <v>1177</v>
      </c>
      <c r="B1178" t="s">
        <v>6072</v>
      </c>
      <c r="C1178" s="1">
        <v>41905</v>
      </c>
      <c r="D1178" s="22">
        <f>MONTH(Table12[[#This Row],[Order Date]])</f>
        <v>9</v>
      </c>
      <c r="E1178" t="s">
        <v>3152</v>
      </c>
      <c r="F1178" t="s">
        <v>3153</v>
      </c>
      <c r="G1178" s="23" t="s">
        <v>41</v>
      </c>
      <c r="H1178" s="23" t="s">
        <v>68</v>
      </c>
      <c r="I1178" t="s">
        <v>3413</v>
      </c>
      <c r="J1178" s="23" t="s">
        <v>22</v>
      </c>
      <c r="K1178" s="22">
        <v>3</v>
      </c>
      <c r="L1178" s="1">
        <v>41910</v>
      </c>
      <c r="M1178" s="22">
        <f>Table12[[#This Row],[Ship Date]]-Table12[[#This Row],[Order Date]]</f>
        <v>5</v>
      </c>
      <c r="N1178" s="23" t="s">
        <v>20</v>
      </c>
      <c r="O1178" s="23" t="s">
        <v>23</v>
      </c>
      <c r="P1178" s="23" t="s">
        <v>238</v>
      </c>
      <c r="Q1178" s="23" t="s">
        <v>133</v>
      </c>
      <c r="R1178" s="23" t="s">
        <v>237</v>
      </c>
      <c r="S1178" s="33">
        <v>0.2</v>
      </c>
      <c r="T1178" s="13">
        <v>139.44</v>
      </c>
      <c r="U1178" s="13">
        <v>47.061</v>
      </c>
      <c r="V1178" s="55">
        <f>IFERROR(Table12[[#This Row],[Profit]]/Table12[[#This Row],[Sales]],0)</f>
        <v>0.33750000000000002</v>
      </c>
    </row>
    <row r="1179" spans="1:22" x14ac:dyDescent="0.2">
      <c r="A1179">
        <v>1178</v>
      </c>
      <c r="B1179" t="s">
        <v>6480</v>
      </c>
      <c r="C1179" s="1">
        <v>41905</v>
      </c>
      <c r="D1179" s="22">
        <f>MONTH(Table12[[#This Row],[Order Date]])</f>
        <v>9</v>
      </c>
      <c r="E1179" t="s">
        <v>3363</v>
      </c>
      <c r="F1179" t="s">
        <v>3364</v>
      </c>
      <c r="G1179" s="23" t="s">
        <v>41</v>
      </c>
      <c r="H1179" s="23" t="s">
        <v>82</v>
      </c>
      <c r="I1179" t="s">
        <v>1402</v>
      </c>
      <c r="J1179" s="23" t="s">
        <v>22</v>
      </c>
      <c r="K1179" s="22">
        <v>5</v>
      </c>
      <c r="L1179" s="1">
        <v>41910</v>
      </c>
      <c r="M1179" s="22">
        <f>Table12[[#This Row],[Ship Date]]-Table12[[#This Row],[Order Date]]</f>
        <v>5</v>
      </c>
      <c r="N1179" s="23" t="s">
        <v>45</v>
      </c>
      <c r="O1179" s="23" t="s">
        <v>23</v>
      </c>
      <c r="P1179" s="23" t="s">
        <v>204</v>
      </c>
      <c r="Q1179" s="23" t="s">
        <v>95</v>
      </c>
      <c r="R1179" s="23" t="s">
        <v>364</v>
      </c>
      <c r="S1179" s="33">
        <v>0</v>
      </c>
      <c r="T1179" s="13">
        <v>32.4</v>
      </c>
      <c r="U1179" s="13">
        <v>15.552</v>
      </c>
      <c r="V1179" s="55">
        <f>IFERROR(Table12[[#This Row],[Profit]]/Table12[[#This Row],[Sales]],0)</f>
        <v>0.48</v>
      </c>
    </row>
    <row r="1180" spans="1:22" x14ac:dyDescent="0.2">
      <c r="A1180">
        <v>1179</v>
      </c>
      <c r="B1180" t="s">
        <v>6480</v>
      </c>
      <c r="C1180" s="1">
        <v>41905</v>
      </c>
      <c r="D1180" s="22">
        <f>MONTH(Table12[[#This Row],[Order Date]])</f>
        <v>9</v>
      </c>
      <c r="E1180" t="s">
        <v>1572</v>
      </c>
      <c r="F1180" t="s">
        <v>1573</v>
      </c>
      <c r="G1180" s="23" t="s">
        <v>41</v>
      </c>
      <c r="H1180" s="23" t="s">
        <v>53</v>
      </c>
      <c r="I1180" t="s">
        <v>1402</v>
      </c>
      <c r="J1180" s="23" t="s">
        <v>22</v>
      </c>
      <c r="K1180" s="22">
        <v>5</v>
      </c>
      <c r="L1180" s="1">
        <v>41910</v>
      </c>
      <c r="M1180" s="22">
        <f>Table12[[#This Row],[Ship Date]]-Table12[[#This Row],[Order Date]]</f>
        <v>5</v>
      </c>
      <c r="N1180" s="23" t="s">
        <v>45</v>
      </c>
      <c r="O1180" s="23" t="s">
        <v>23</v>
      </c>
      <c r="P1180" s="23" t="s">
        <v>204</v>
      </c>
      <c r="Q1180" s="23" t="s">
        <v>95</v>
      </c>
      <c r="R1180" s="23" t="s">
        <v>364</v>
      </c>
      <c r="S1180" s="33">
        <v>0</v>
      </c>
      <c r="T1180" s="13">
        <v>404.9</v>
      </c>
      <c r="U1180" s="13">
        <v>16.196000000000002</v>
      </c>
      <c r="V1180" s="55">
        <f>IFERROR(Table12[[#This Row],[Profit]]/Table12[[#This Row],[Sales]],0)</f>
        <v>4.0000000000000008E-2</v>
      </c>
    </row>
    <row r="1181" spans="1:22" x14ac:dyDescent="0.2">
      <c r="A1181">
        <v>1180</v>
      </c>
      <c r="B1181" t="s">
        <v>6480</v>
      </c>
      <c r="C1181" s="1">
        <v>41905</v>
      </c>
      <c r="D1181" s="22">
        <f>MONTH(Table12[[#This Row],[Order Date]])</f>
        <v>9</v>
      </c>
      <c r="E1181" t="s">
        <v>6481</v>
      </c>
      <c r="F1181" t="s">
        <v>6482</v>
      </c>
      <c r="G1181" s="23" t="s">
        <v>41</v>
      </c>
      <c r="H1181" s="23" t="s">
        <v>68</v>
      </c>
      <c r="I1181" t="s">
        <v>1402</v>
      </c>
      <c r="J1181" s="23" t="s">
        <v>22</v>
      </c>
      <c r="K1181" s="22">
        <v>5</v>
      </c>
      <c r="L1181" s="1">
        <v>41910</v>
      </c>
      <c r="M1181" s="22">
        <f>Table12[[#This Row],[Ship Date]]-Table12[[#This Row],[Order Date]]</f>
        <v>5</v>
      </c>
      <c r="N1181" s="23" t="s">
        <v>45</v>
      </c>
      <c r="O1181" s="23" t="s">
        <v>23</v>
      </c>
      <c r="P1181" s="23" t="s">
        <v>204</v>
      </c>
      <c r="Q1181" s="23" t="s">
        <v>95</v>
      </c>
      <c r="R1181" s="23" t="s">
        <v>364</v>
      </c>
      <c r="S1181" s="33">
        <v>0</v>
      </c>
      <c r="T1181" s="13">
        <v>9449.9500000000007</v>
      </c>
      <c r="U1181" s="13">
        <v>4630.4754999999996</v>
      </c>
      <c r="V1181" s="55">
        <f>IFERROR(Table12[[#This Row],[Profit]]/Table12[[#This Row],[Sales]],0)</f>
        <v>0.48999999999999994</v>
      </c>
    </row>
    <row r="1182" spans="1:22" x14ac:dyDescent="0.2">
      <c r="A1182">
        <v>1181</v>
      </c>
      <c r="B1182" t="s">
        <v>6480</v>
      </c>
      <c r="C1182" s="1">
        <v>41905</v>
      </c>
      <c r="D1182" s="22">
        <f>MONTH(Table12[[#This Row],[Order Date]])</f>
        <v>9</v>
      </c>
      <c r="E1182" t="s">
        <v>2149</v>
      </c>
      <c r="F1182" t="s">
        <v>2150</v>
      </c>
      <c r="G1182" s="23" t="s">
        <v>41</v>
      </c>
      <c r="H1182" s="23" t="s">
        <v>68</v>
      </c>
      <c r="I1182" t="s">
        <v>1402</v>
      </c>
      <c r="J1182" s="23" t="s">
        <v>22</v>
      </c>
      <c r="K1182" s="22">
        <v>2</v>
      </c>
      <c r="L1182" s="1">
        <v>41910</v>
      </c>
      <c r="M1182" s="22">
        <f>Table12[[#This Row],[Ship Date]]-Table12[[#This Row],[Order Date]]</f>
        <v>5</v>
      </c>
      <c r="N1182" s="23" t="s">
        <v>45</v>
      </c>
      <c r="O1182" s="23" t="s">
        <v>23</v>
      </c>
      <c r="P1182" s="23" t="s">
        <v>204</v>
      </c>
      <c r="Q1182" s="23" t="s">
        <v>95</v>
      </c>
      <c r="R1182" s="23" t="s">
        <v>364</v>
      </c>
      <c r="S1182" s="33">
        <v>0</v>
      </c>
      <c r="T1182" s="13">
        <v>12.94</v>
      </c>
      <c r="U1182" s="13">
        <v>6.47</v>
      </c>
      <c r="V1182" s="55">
        <f>IFERROR(Table12[[#This Row],[Profit]]/Table12[[#This Row],[Sales]],0)</f>
        <v>0.5</v>
      </c>
    </row>
    <row r="1183" spans="1:22" x14ac:dyDescent="0.2">
      <c r="A1183">
        <v>1182</v>
      </c>
      <c r="B1183" t="s">
        <v>7632</v>
      </c>
      <c r="C1183" s="1">
        <v>41905</v>
      </c>
      <c r="D1183" s="22">
        <f>MONTH(Table12[[#This Row],[Order Date]])</f>
        <v>9</v>
      </c>
      <c r="E1183" t="s">
        <v>7412</v>
      </c>
      <c r="F1183" t="s">
        <v>7413</v>
      </c>
      <c r="G1183" s="23" t="s">
        <v>41</v>
      </c>
      <c r="H1183" s="23" t="s">
        <v>82</v>
      </c>
      <c r="I1183" t="s">
        <v>638</v>
      </c>
      <c r="J1183" s="23" t="s">
        <v>92</v>
      </c>
      <c r="K1183" s="22">
        <v>9</v>
      </c>
      <c r="L1183" s="1">
        <v>41910</v>
      </c>
      <c r="M1183" s="22">
        <f>Table12[[#This Row],[Ship Date]]-Table12[[#This Row],[Order Date]]</f>
        <v>5</v>
      </c>
      <c r="N1183" s="23" t="s">
        <v>45</v>
      </c>
      <c r="O1183" s="23" t="s">
        <v>23</v>
      </c>
      <c r="P1183" s="23" t="s">
        <v>441</v>
      </c>
      <c r="Q1183" s="23" t="s">
        <v>133</v>
      </c>
      <c r="R1183" s="23" t="s">
        <v>990</v>
      </c>
      <c r="S1183" s="33">
        <v>0.2</v>
      </c>
      <c r="T1183" s="13">
        <v>28.8</v>
      </c>
      <c r="U1183" s="13">
        <v>10.08</v>
      </c>
      <c r="V1183" s="55">
        <f>IFERROR(Table12[[#This Row],[Profit]]/Table12[[#This Row],[Sales]],0)</f>
        <v>0.35</v>
      </c>
    </row>
    <row r="1184" spans="1:22" x14ac:dyDescent="0.2">
      <c r="A1184">
        <v>1183</v>
      </c>
      <c r="B1184" t="s">
        <v>8421</v>
      </c>
      <c r="C1184" s="1">
        <v>41905</v>
      </c>
      <c r="D1184" s="22">
        <f>MONTH(Table12[[#This Row],[Order Date]])</f>
        <v>9</v>
      </c>
      <c r="E1184" t="s">
        <v>3437</v>
      </c>
      <c r="F1184" t="s">
        <v>3438</v>
      </c>
      <c r="G1184" s="23" t="s">
        <v>41</v>
      </c>
      <c r="H1184" s="23" t="s">
        <v>68</v>
      </c>
      <c r="I1184" t="s">
        <v>7529</v>
      </c>
      <c r="J1184" s="23" t="s">
        <v>36</v>
      </c>
      <c r="K1184" s="22">
        <v>4</v>
      </c>
      <c r="L1184" s="1">
        <v>41909</v>
      </c>
      <c r="M1184" s="22">
        <f>Table12[[#This Row],[Ship Date]]-Table12[[#This Row],[Order Date]]</f>
        <v>4</v>
      </c>
      <c r="N1184" s="23" t="s">
        <v>45</v>
      </c>
      <c r="O1184" s="23" t="s">
        <v>23</v>
      </c>
      <c r="P1184" s="23" t="s">
        <v>218</v>
      </c>
      <c r="Q1184" s="23" t="s">
        <v>133</v>
      </c>
      <c r="R1184" s="23" t="s">
        <v>536</v>
      </c>
      <c r="S1184" s="33">
        <v>0</v>
      </c>
      <c r="T1184" s="13">
        <v>11.12</v>
      </c>
      <c r="U1184" s="13">
        <v>5.4488000000000003</v>
      </c>
      <c r="V1184" s="55">
        <f>IFERROR(Table12[[#This Row],[Profit]]/Table12[[#This Row],[Sales]],0)</f>
        <v>0.49000000000000005</v>
      </c>
    </row>
    <row r="1185" spans="1:22" x14ac:dyDescent="0.2">
      <c r="A1185">
        <v>1184</v>
      </c>
      <c r="B1185" t="s">
        <v>8723</v>
      </c>
      <c r="C1185" s="1">
        <v>41905</v>
      </c>
      <c r="D1185" s="22">
        <f>MONTH(Table12[[#This Row],[Order Date]])</f>
        <v>9</v>
      </c>
      <c r="E1185" t="s">
        <v>290</v>
      </c>
      <c r="F1185" t="s">
        <v>291</v>
      </c>
      <c r="G1185" s="23" t="s">
        <v>41</v>
      </c>
      <c r="H1185" s="23" t="s">
        <v>68</v>
      </c>
      <c r="I1185" t="s">
        <v>5275</v>
      </c>
      <c r="J1185" s="23" t="s">
        <v>92</v>
      </c>
      <c r="K1185" s="22">
        <v>4</v>
      </c>
      <c r="L1185" s="1">
        <v>41912</v>
      </c>
      <c r="M1185" s="22">
        <f>Table12[[#This Row],[Ship Date]]-Table12[[#This Row],[Order Date]]</f>
        <v>7</v>
      </c>
      <c r="N1185" s="23" t="s">
        <v>45</v>
      </c>
      <c r="O1185" s="23" t="s">
        <v>23</v>
      </c>
      <c r="P1185" s="23" t="s">
        <v>238</v>
      </c>
      <c r="Q1185" s="23" t="s">
        <v>133</v>
      </c>
      <c r="R1185" s="23" t="s">
        <v>237</v>
      </c>
      <c r="S1185" s="33">
        <v>0.2</v>
      </c>
      <c r="T1185" s="13">
        <v>18.463999999999999</v>
      </c>
      <c r="U1185" s="13">
        <v>6.9240000000000004</v>
      </c>
      <c r="V1185" s="55">
        <f>IFERROR(Table12[[#This Row],[Profit]]/Table12[[#This Row],[Sales]],0)</f>
        <v>0.37500000000000006</v>
      </c>
    </row>
    <row r="1186" spans="1:22" x14ac:dyDescent="0.2">
      <c r="A1186">
        <v>1185</v>
      </c>
      <c r="B1186" t="s">
        <v>9751</v>
      </c>
      <c r="C1186" s="1">
        <v>41905</v>
      </c>
      <c r="D1186" s="22">
        <f>MONTH(Table12[[#This Row],[Order Date]])</f>
        <v>9</v>
      </c>
      <c r="E1186" t="s">
        <v>2878</v>
      </c>
      <c r="F1186" t="s">
        <v>2879</v>
      </c>
      <c r="G1186" s="23" t="s">
        <v>41</v>
      </c>
      <c r="H1186" s="23" t="s">
        <v>61</v>
      </c>
      <c r="I1186" t="s">
        <v>4993</v>
      </c>
      <c r="J1186" s="23" t="s">
        <v>22</v>
      </c>
      <c r="K1186" s="22">
        <v>3</v>
      </c>
      <c r="L1186" s="1">
        <v>41907</v>
      </c>
      <c r="M1186" s="22">
        <f>Table12[[#This Row],[Ship Date]]-Table12[[#This Row],[Order Date]]</f>
        <v>2</v>
      </c>
      <c r="N1186" s="23" t="s">
        <v>169</v>
      </c>
      <c r="O1186" s="23" t="s">
        <v>23</v>
      </c>
      <c r="P1186" s="23" t="s">
        <v>218</v>
      </c>
      <c r="Q1186" s="23" t="s">
        <v>133</v>
      </c>
      <c r="R1186" s="23" t="s">
        <v>217</v>
      </c>
      <c r="S1186" s="33">
        <v>0</v>
      </c>
      <c r="T1186" s="13">
        <v>9.84</v>
      </c>
      <c r="U1186" s="13">
        <v>2.8536000000000001</v>
      </c>
      <c r="V1186" s="55">
        <f>IFERROR(Table12[[#This Row],[Profit]]/Table12[[#This Row],[Sales]],0)</f>
        <v>0.29000000000000004</v>
      </c>
    </row>
    <row r="1187" spans="1:22" x14ac:dyDescent="0.2">
      <c r="A1187">
        <v>1186</v>
      </c>
      <c r="B1187" t="s">
        <v>9751</v>
      </c>
      <c r="C1187" s="1">
        <v>41905</v>
      </c>
      <c r="D1187" s="22">
        <f>MONTH(Table12[[#This Row],[Order Date]])</f>
        <v>9</v>
      </c>
      <c r="E1187" t="s">
        <v>3559</v>
      </c>
      <c r="F1187" t="s">
        <v>3560</v>
      </c>
      <c r="G1187" s="23" t="s">
        <v>41</v>
      </c>
      <c r="H1187" s="23" t="s">
        <v>68</v>
      </c>
      <c r="I1187" t="s">
        <v>4993</v>
      </c>
      <c r="J1187" s="23" t="s">
        <v>22</v>
      </c>
      <c r="K1187" s="22">
        <v>3</v>
      </c>
      <c r="L1187" s="1">
        <v>41907</v>
      </c>
      <c r="M1187" s="22">
        <f>Table12[[#This Row],[Ship Date]]-Table12[[#This Row],[Order Date]]</f>
        <v>2</v>
      </c>
      <c r="N1187" s="23" t="s">
        <v>169</v>
      </c>
      <c r="O1187" s="23" t="s">
        <v>23</v>
      </c>
      <c r="P1187" s="23" t="s">
        <v>218</v>
      </c>
      <c r="Q1187" s="23" t="s">
        <v>133</v>
      </c>
      <c r="R1187" s="23" t="s">
        <v>217</v>
      </c>
      <c r="S1187" s="33">
        <v>0</v>
      </c>
      <c r="T1187" s="13">
        <v>34.5</v>
      </c>
      <c r="U1187" s="13">
        <v>15.525</v>
      </c>
      <c r="V1187" s="55">
        <f>IFERROR(Table12[[#This Row],[Profit]]/Table12[[#This Row],[Sales]],0)</f>
        <v>0.45</v>
      </c>
    </row>
    <row r="1188" spans="1:22" x14ac:dyDescent="0.2">
      <c r="A1188">
        <v>1187</v>
      </c>
      <c r="B1188" t="s">
        <v>1138</v>
      </c>
      <c r="C1188" s="1">
        <v>41906</v>
      </c>
      <c r="D1188" s="22">
        <f>MONTH(Table12[[#This Row],[Order Date]])</f>
        <v>9</v>
      </c>
      <c r="E1188" t="s">
        <v>213</v>
      </c>
      <c r="F1188" t="s">
        <v>214</v>
      </c>
      <c r="G1188" s="23" t="s">
        <v>41</v>
      </c>
      <c r="H1188" s="23" t="s">
        <v>53</v>
      </c>
      <c r="I1188" t="s">
        <v>1139</v>
      </c>
      <c r="J1188" s="23" t="s">
        <v>22</v>
      </c>
      <c r="K1188" s="22">
        <v>4</v>
      </c>
      <c r="L1188" s="1">
        <v>41911</v>
      </c>
      <c r="M1188" s="22">
        <f>Table12[[#This Row],[Ship Date]]-Table12[[#This Row],[Order Date]]</f>
        <v>5</v>
      </c>
      <c r="N1188" s="23" t="s">
        <v>45</v>
      </c>
      <c r="O1188" s="23" t="s">
        <v>23</v>
      </c>
      <c r="P1188" s="23" t="s">
        <v>38</v>
      </c>
      <c r="Q1188" s="23" t="s">
        <v>39</v>
      </c>
      <c r="R1188" s="23" t="s">
        <v>114</v>
      </c>
      <c r="S1188" s="33">
        <v>0</v>
      </c>
      <c r="T1188" s="13">
        <v>211.96</v>
      </c>
      <c r="U1188" s="13">
        <v>8.4784000000000006</v>
      </c>
      <c r="V1188" s="55">
        <f>IFERROR(Table12[[#This Row],[Profit]]/Table12[[#This Row],[Sales]],0)</f>
        <v>0.04</v>
      </c>
    </row>
    <row r="1189" spans="1:22" x14ac:dyDescent="0.2">
      <c r="A1189">
        <v>1188</v>
      </c>
      <c r="B1189" t="s">
        <v>5343</v>
      </c>
      <c r="C1189" s="1">
        <v>41907</v>
      </c>
      <c r="D1189" s="22">
        <f>MONTH(Table12[[#This Row],[Order Date]])</f>
        <v>9</v>
      </c>
      <c r="E1189" t="s">
        <v>5344</v>
      </c>
      <c r="F1189" t="s">
        <v>5345</v>
      </c>
      <c r="G1189" s="23" t="s">
        <v>41</v>
      </c>
      <c r="H1189" s="23" t="s">
        <v>82</v>
      </c>
      <c r="I1189" t="s">
        <v>1475</v>
      </c>
      <c r="J1189" s="23" t="s">
        <v>92</v>
      </c>
      <c r="K1189" s="22">
        <v>8</v>
      </c>
      <c r="L1189" s="1">
        <v>41912</v>
      </c>
      <c r="M1189" s="22">
        <f>Table12[[#This Row],[Ship Date]]-Table12[[#This Row],[Order Date]]</f>
        <v>5</v>
      </c>
      <c r="N1189" s="23" t="s">
        <v>45</v>
      </c>
      <c r="O1189" s="23" t="s">
        <v>23</v>
      </c>
      <c r="P1189" s="23" t="s">
        <v>94</v>
      </c>
      <c r="Q1189" s="23" t="s">
        <v>95</v>
      </c>
      <c r="R1189" s="23" t="s">
        <v>165</v>
      </c>
      <c r="S1189" s="33">
        <v>0.2</v>
      </c>
      <c r="T1189" s="13">
        <v>33.792000000000002</v>
      </c>
      <c r="U1189" s="13">
        <v>10.56</v>
      </c>
      <c r="V1189" s="55">
        <f>IFERROR(Table12[[#This Row],[Profit]]/Table12[[#This Row],[Sales]],0)</f>
        <v>0.3125</v>
      </c>
    </row>
    <row r="1190" spans="1:22" x14ac:dyDescent="0.2">
      <c r="A1190">
        <v>1189</v>
      </c>
      <c r="B1190" t="s">
        <v>5343</v>
      </c>
      <c r="C1190" s="1">
        <v>41907</v>
      </c>
      <c r="D1190" s="22">
        <f>MONTH(Table12[[#This Row],[Order Date]])</f>
        <v>9</v>
      </c>
      <c r="E1190" t="s">
        <v>2009</v>
      </c>
      <c r="F1190" t="s">
        <v>2010</v>
      </c>
      <c r="G1190" s="23" t="s">
        <v>28</v>
      </c>
      <c r="H1190" s="23" t="s">
        <v>29</v>
      </c>
      <c r="I1190" t="s">
        <v>1475</v>
      </c>
      <c r="J1190" s="23" t="s">
        <v>92</v>
      </c>
      <c r="K1190" s="22">
        <v>2</v>
      </c>
      <c r="L1190" s="1">
        <v>41912</v>
      </c>
      <c r="M1190" s="22">
        <f>Table12[[#This Row],[Ship Date]]-Table12[[#This Row],[Order Date]]</f>
        <v>5</v>
      </c>
      <c r="N1190" s="23" t="s">
        <v>45</v>
      </c>
      <c r="O1190" s="23" t="s">
        <v>23</v>
      </c>
      <c r="P1190" s="23" t="s">
        <v>94</v>
      </c>
      <c r="Q1190" s="23" t="s">
        <v>95</v>
      </c>
      <c r="R1190" s="23" t="s">
        <v>165</v>
      </c>
      <c r="S1190" s="33">
        <v>0.32</v>
      </c>
      <c r="T1190" s="13">
        <v>300.53280000000001</v>
      </c>
      <c r="U1190" s="13">
        <v>-97.231200000000001</v>
      </c>
      <c r="V1190" s="55">
        <f>IFERROR(Table12[[#This Row],[Profit]]/Table12[[#This Row],[Sales]],0)</f>
        <v>-0.3235294117647059</v>
      </c>
    </row>
    <row r="1191" spans="1:22" x14ac:dyDescent="0.2">
      <c r="A1191">
        <v>1190</v>
      </c>
      <c r="B1191" t="s">
        <v>5343</v>
      </c>
      <c r="C1191" s="1">
        <v>41907</v>
      </c>
      <c r="D1191" s="22">
        <f>MONTH(Table12[[#This Row],[Order Date]])</f>
        <v>9</v>
      </c>
      <c r="E1191" t="s">
        <v>4629</v>
      </c>
      <c r="F1191" t="s">
        <v>4630</v>
      </c>
      <c r="G1191" s="23" t="s">
        <v>41</v>
      </c>
      <c r="H1191" s="23" t="s">
        <v>68</v>
      </c>
      <c r="I1191" t="s">
        <v>1475</v>
      </c>
      <c r="J1191" s="23" t="s">
        <v>92</v>
      </c>
      <c r="K1191" s="22">
        <v>2</v>
      </c>
      <c r="L1191" s="1">
        <v>41912</v>
      </c>
      <c r="M1191" s="22">
        <f>Table12[[#This Row],[Ship Date]]-Table12[[#This Row],[Order Date]]</f>
        <v>5</v>
      </c>
      <c r="N1191" s="23" t="s">
        <v>45</v>
      </c>
      <c r="O1191" s="23" t="s">
        <v>23</v>
      </c>
      <c r="P1191" s="23" t="s">
        <v>94</v>
      </c>
      <c r="Q1191" s="23" t="s">
        <v>95</v>
      </c>
      <c r="R1191" s="23" t="s">
        <v>165</v>
      </c>
      <c r="S1191" s="33">
        <v>0.8</v>
      </c>
      <c r="T1191" s="13">
        <v>2.7240000000000002</v>
      </c>
      <c r="U1191" s="13">
        <v>-4.3583999999999996</v>
      </c>
      <c r="V1191" s="55">
        <f>IFERROR(Table12[[#This Row],[Profit]]/Table12[[#This Row],[Sales]],0)</f>
        <v>-1.5999999999999996</v>
      </c>
    </row>
    <row r="1192" spans="1:22" x14ac:dyDescent="0.2">
      <c r="A1192">
        <v>1191</v>
      </c>
      <c r="B1192" t="s">
        <v>5343</v>
      </c>
      <c r="C1192" s="1">
        <v>41907</v>
      </c>
      <c r="D1192" s="22">
        <f>MONTH(Table12[[#This Row],[Order Date]])</f>
        <v>9</v>
      </c>
      <c r="E1192" t="s">
        <v>154</v>
      </c>
      <c r="F1192" t="s">
        <v>156</v>
      </c>
      <c r="G1192" s="23" t="s">
        <v>41</v>
      </c>
      <c r="H1192" s="23" t="s">
        <v>155</v>
      </c>
      <c r="I1192" t="s">
        <v>1475</v>
      </c>
      <c r="J1192" s="23" t="s">
        <v>92</v>
      </c>
      <c r="K1192" s="22">
        <v>2</v>
      </c>
      <c r="L1192" s="1">
        <v>41912</v>
      </c>
      <c r="M1192" s="22">
        <f>Table12[[#This Row],[Ship Date]]-Table12[[#This Row],[Order Date]]</f>
        <v>5</v>
      </c>
      <c r="N1192" s="23" t="s">
        <v>45</v>
      </c>
      <c r="O1192" s="23" t="s">
        <v>23</v>
      </c>
      <c r="P1192" s="23" t="s">
        <v>94</v>
      </c>
      <c r="Q1192" s="23" t="s">
        <v>95</v>
      </c>
      <c r="R1192" s="23" t="s">
        <v>165</v>
      </c>
      <c r="S1192" s="33">
        <v>0.2</v>
      </c>
      <c r="T1192" s="13">
        <v>3.2639999999999998</v>
      </c>
      <c r="U1192" s="13">
        <v>1.1015999999999999</v>
      </c>
      <c r="V1192" s="55">
        <f>IFERROR(Table12[[#This Row],[Profit]]/Table12[[#This Row],[Sales]],0)</f>
        <v>0.33750000000000002</v>
      </c>
    </row>
    <row r="1193" spans="1:22" x14ac:dyDescent="0.2">
      <c r="A1193">
        <v>1192</v>
      </c>
      <c r="B1193" t="s">
        <v>8484</v>
      </c>
      <c r="C1193" s="1">
        <v>41907</v>
      </c>
      <c r="D1193" s="22">
        <f>MONTH(Table12[[#This Row],[Order Date]])</f>
        <v>9</v>
      </c>
      <c r="E1193" t="s">
        <v>6231</v>
      </c>
      <c r="F1193" t="s">
        <v>6232</v>
      </c>
      <c r="G1193" s="23" t="s">
        <v>41</v>
      </c>
      <c r="H1193" s="23" t="s">
        <v>61</v>
      </c>
      <c r="I1193" t="s">
        <v>4633</v>
      </c>
      <c r="J1193" s="23" t="s">
        <v>92</v>
      </c>
      <c r="K1193" s="22">
        <v>2</v>
      </c>
      <c r="L1193" s="1">
        <v>41912</v>
      </c>
      <c r="M1193" s="22">
        <f>Table12[[#This Row],[Ship Date]]-Table12[[#This Row],[Order Date]]</f>
        <v>5</v>
      </c>
      <c r="N1193" s="23" t="s">
        <v>45</v>
      </c>
      <c r="O1193" s="23" t="s">
        <v>23</v>
      </c>
      <c r="P1193" s="23" t="s">
        <v>405</v>
      </c>
      <c r="Q1193" s="23" t="s">
        <v>39</v>
      </c>
      <c r="R1193" s="23" t="s">
        <v>404</v>
      </c>
      <c r="S1193" s="33">
        <v>0.2</v>
      </c>
      <c r="T1193" s="13">
        <v>14.576000000000001</v>
      </c>
      <c r="U1193" s="13">
        <v>2.3685999999999998</v>
      </c>
      <c r="V1193" s="55">
        <f>IFERROR(Table12[[#This Row],[Profit]]/Table12[[#This Row],[Sales]],0)</f>
        <v>0.16249999999999998</v>
      </c>
    </row>
    <row r="1194" spans="1:22" x14ac:dyDescent="0.2">
      <c r="A1194">
        <v>1193</v>
      </c>
      <c r="B1194" t="s">
        <v>3298</v>
      </c>
      <c r="C1194" s="1">
        <v>41908</v>
      </c>
      <c r="D1194" s="22">
        <f>MONTH(Table12[[#This Row],[Order Date]])</f>
        <v>9</v>
      </c>
      <c r="E1194" t="s">
        <v>3300</v>
      </c>
      <c r="F1194" t="s">
        <v>3301</v>
      </c>
      <c r="G1194" s="23" t="s">
        <v>28</v>
      </c>
      <c r="H1194" s="23" t="s">
        <v>32</v>
      </c>
      <c r="I1194" t="s">
        <v>3299</v>
      </c>
      <c r="J1194" s="23" t="s">
        <v>22</v>
      </c>
      <c r="K1194" s="22">
        <v>2</v>
      </c>
      <c r="L1194" s="1">
        <v>41913</v>
      </c>
      <c r="M1194" s="22">
        <f>Table12[[#This Row],[Ship Date]]-Table12[[#This Row],[Order Date]]</f>
        <v>5</v>
      </c>
      <c r="N1194" s="23" t="s">
        <v>20</v>
      </c>
      <c r="O1194" s="23" t="s">
        <v>23</v>
      </c>
      <c r="P1194" s="23" t="s">
        <v>38</v>
      </c>
      <c r="Q1194" s="23" t="s">
        <v>39</v>
      </c>
      <c r="R1194" s="23" t="s">
        <v>37</v>
      </c>
      <c r="S1194" s="33">
        <v>0.2</v>
      </c>
      <c r="T1194" s="13">
        <v>145.56800000000001</v>
      </c>
      <c r="U1194" s="13">
        <v>0</v>
      </c>
      <c r="V1194" s="55">
        <f>IFERROR(Table12[[#This Row],[Profit]]/Table12[[#This Row],[Sales]],0)</f>
        <v>0</v>
      </c>
    </row>
    <row r="1195" spans="1:22" x14ac:dyDescent="0.2">
      <c r="A1195">
        <v>1194</v>
      </c>
      <c r="B1195" t="s">
        <v>4443</v>
      </c>
      <c r="C1195" s="1">
        <v>41908</v>
      </c>
      <c r="D1195" s="22">
        <f>MONTH(Table12[[#This Row],[Order Date]])</f>
        <v>9</v>
      </c>
      <c r="E1195" t="s">
        <v>857</v>
      </c>
      <c r="F1195" t="s">
        <v>858</v>
      </c>
      <c r="G1195" s="23" t="s">
        <v>41</v>
      </c>
      <c r="H1195" s="23" t="s">
        <v>68</v>
      </c>
      <c r="I1195" t="s">
        <v>3208</v>
      </c>
      <c r="J1195" s="23" t="s">
        <v>36</v>
      </c>
      <c r="K1195" s="22">
        <v>1</v>
      </c>
      <c r="L1195" s="1">
        <v>41908</v>
      </c>
      <c r="M1195" s="22">
        <f>Table12[[#This Row],[Ship Date]]-Table12[[#This Row],[Order Date]]</f>
        <v>0</v>
      </c>
      <c r="N1195" s="23" t="s">
        <v>1141</v>
      </c>
      <c r="O1195" s="23" t="s">
        <v>23</v>
      </c>
      <c r="P1195" s="23" t="s">
        <v>94</v>
      </c>
      <c r="Q1195" s="23" t="s">
        <v>95</v>
      </c>
      <c r="R1195" s="23" t="s">
        <v>4444</v>
      </c>
      <c r="S1195" s="33">
        <v>0.8</v>
      </c>
      <c r="T1195" s="13">
        <v>0.876</v>
      </c>
      <c r="U1195" s="13">
        <v>-1.4016</v>
      </c>
      <c r="V1195" s="55">
        <f>IFERROR(Table12[[#This Row],[Profit]]/Table12[[#This Row],[Sales]],0)</f>
        <v>-1.5999999999999999</v>
      </c>
    </row>
    <row r="1196" spans="1:22" x14ac:dyDescent="0.2">
      <c r="A1196">
        <v>1195</v>
      </c>
      <c r="B1196" t="s">
        <v>5009</v>
      </c>
      <c r="C1196" s="1">
        <v>41908</v>
      </c>
      <c r="D1196" s="22">
        <f>MONTH(Table12[[#This Row],[Order Date]])</f>
        <v>9</v>
      </c>
      <c r="E1196" t="s">
        <v>2798</v>
      </c>
      <c r="F1196" t="s">
        <v>2799</v>
      </c>
      <c r="G1196" s="23" t="s">
        <v>41</v>
      </c>
      <c r="H1196" s="23" t="s">
        <v>71</v>
      </c>
      <c r="I1196" t="s">
        <v>5010</v>
      </c>
      <c r="J1196" s="23" t="s">
        <v>36</v>
      </c>
      <c r="K1196" s="22">
        <v>3</v>
      </c>
      <c r="L1196" s="1">
        <v>41913</v>
      </c>
      <c r="M1196" s="22">
        <f>Table12[[#This Row],[Ship Date]]-Table12[[#This Row],[Order Date]]</f>
        <v>5</v>
      </c>
      <c r="N1196" s="23" t="s">
        <v>20</v>
      </c>
      <c r="O1196" s="23" t="s">
        <v>23</v>
      </c>
      <c r="P1196" s="23" t="s">
        <v>132</v>
      </c>
      <c r="Q1196" s="23" t="s">
        <v>133</v>
      </c>
      <c r="R1196" s="23" t="s">
        <v>131</v>
      </c>
      <c r="S1196" s="33">
        <v>0.2</v>
      </c>
      <c r="T1196" s="13">
        <v>143.952</v>
      </c>
      <c r="U1196" s="13">
        <v>14.395200000000001</v>
      </c>
      <c r="V1196" s="55">
        <f>IFERROR(Table12[[#This Row],[Profit]]/Table12[[#This Row],[Sales]],0)</f>
        <v>0.1</v>
      </c>
    </row>
    <row r="1197" spans="1:22" x14ac:dyDescent="0.2">
      <c r="A1197">
        <v>1196</v>
      </c>
      <c r="B1197" t="s">
        <v>5429</v>
      </c>
      <c r="C1197" s="1">
        <v>41908</v>
      </c>
      <c r="D1197" s="22">
        <f>MONTH(Table12[[#This Row],[Order Date]])</f>
        <v>9</v>
      </c>
      <c r="E1197" t="s">
        <v>5430</v>
      </c>
      <c r="F1197" t="s">
        <v>5431</v>
      </c>
      <c r="G1197" s="23" t="s">
        <v>41</v>
      </c>
      <c r="H1197" s="23" t="s">
        <v>53</v>
      </c>
      <c r="I1197" t="s">
        <v>337</v>
      </c>
      <c r="J1197" s="23" t="s">
        <v>92</v>
      </c>
      <c r="K1197" s="22">
        <v>2</v>
      </c>
      <c r="L1197" s="1">
        <v>41912</v>
      </c>
      <c r="M1197" s="22">
        <f>Table12[[#This Row],[Ship Date]]-Table12[[#This Row],[Order Date]]</f>
        <v>4</v>
      </c>
      <c r="N1197" s="23" t="s">
        <v>45</v>
      </c>
      <c r="O1197" s="23" t="s">
        <v>23</v>
      </c>
      <c r="P1197" s="23" t="s">
        <v>87</v>
      </c>
      <c r="Q1197" s="23" t="s">
        <v>39</v>
      </c>
      <c r="R1197" s="23" t="s">
        <v>86</v>
      </c>
      <c r="S1197" s="33">
        <v>0</v>
      </c>
      <c r="T1197" s="13">
        <v>310.12</v>
      </c>
      <c r="U1197" s="13">
        <v>80.631200000000007</v>
      </c>
      <c r="V1197" s="55">
        <f>IFERROR(Table12[[#This Row],[Profit]]/Table12[[#This Row],[Sales]],0)</f>
        <v>0.26</v>
      </c>
    </row>
    <row r="1198" spans="1:22" x14ac:dyDescent="0.2">
      <c r="A1198">
        <v>1197</v>
      </c>
      <c r="B1198" t="s">
        <v>7509</v>
      </c>
      <c r="C1198" s="1">
        <v>41908</v>
      </c>
      <c r="D1198" s="22">
        <f>MONTH(Table12[[#This Row],[Order Date]])</f>
        <v>9</v>
      </c>
      <c r="E1198" t="s">
        <v>31</v>
      </c>
      <c r="F1198" t="s">
        <v>33</v>
      </c>
      <c r="G1198" s="23" t="s">
        <v>28</v>
      </c>
      <c r="H1198" s="23" t="s">
        <v>32</v>
      </c>
      <c r="I1198" t="s">
        <v>4524</v>
      </c>
      <c r="J1198" s="23" t="s">
        <v>92</v>
      </c>
      <c r="K1198" s="22">
        <v>3</v>
      </c>
      <c r="L1198" s="1">
        <v>41909</v>
      </c>
      <c r="M1198" s="22">
        <f>Table12[[#This Row],[Ship Date]]-Table12[[#This Row],[Order Date]]</f>
        <v>1</v>
      </c>
      <c r="N1198" s="23" t="s">
        <v>169</v>
      </c>
      <c r="O1198" s="23" t="s">
        <v>23</v>
      </c>
      <c r="P1198" s="23" t="s">
        <v>38</v>
      </c>
      <c r="Q1198" s="23" t="s">
        <v>39</v>
      </c>
      <c r="R1198" s="23" t="s">
        <v>836</v>
      </c>
      <c r="S1198" s="33">
        <v>0.2</v>
      </c>
      <c r="T1198" s="13">
        <v>585.55200000000002</v>
      </c>
      <c r="U1198" s="13">
        <v>73.194000000000003</v>
      </c>
      <c r="V1198" s="55">
        <f>IFERROR(Table12[[#This Row],[Profit]]/Table12[[#This Row],[Sales]],0)</f>
        <v>0.125</v>
      </c>
    </row>
    <row r="1199" spans="1:22" x14ac:dyDescent="0.2">
      <c r="A1199">
        <v>1198</v>
      </c>
      <c r="B1199" t="s">
        <v>7509</v>
      </c>
      <c r="C1199" s="1">
        <v>41908</v>
      </c>
      <c r="D1199" s="22">
        <f>MONTH(Table12[[#This Row],[Order Date]])</f>
        <v>9</v>
      </c>
      <c r="E1199" t="s">
        <v>3363</v>
      </c>
      <c r="F1199" t="s">
        <v>3364</v>
      </c>
      <c r="G1199" s="23" t="s">
        <v>41</v>
      </c>
      <c r="H1199" s="23" t="s">
        <v>82</v>
      </c>
      <c r="I1199" t="s">
        <v>4524</v>
      </c>
      <c r="J1199" s="23" t="s">
        <v>92</v>
      </c>
      <c r="K1199" s="22">
        <v>3</v>
      </c>
      <c r="L1199" s="1">
        <v>41909</v>
      </c>
      <c r="M1199" s="22">
        <f>Table12[[#This Row],[Ship Date]]-Table12[[#This Row],[Order Date]]</f>
        <v>1</v>
      </c>
      <c r="N1199" s="23" t="s">
        <v>169</v>
      </c>
      <c r="O1199" s="23" t="s">
        <v>23</v>
      </c>
      <c r="P1199" s="23" t="s">
        <v>38</v>
      </c>
      <c r="Q1199" s="23" t="s">
        <v>39</v>
      </c>
      <c r="R1199" s="23" t="s">
        <v>836</v>
      </c>
      <c r="S1199" s="33">
        <v>0</v>
      </c>
      <c r="T1199" s="13">
        <v>19.440000000000001</v>
      </c>
      <c r="U1199" s="13">
        <v>9.3312000000000008</v>
      </c>
      <c r="V1199" s="55">
        <f>IFERROR(Table12[[#This Row],[Profit]]/Table12[[#This Row],[Sales]],0)</f>
        <v>0.48000000000000004</v>
      </c>
    </row>
    <row r="1200" spans="1:22" x14ac:dyDescent="0.2">
      <c r="A1200">
        <v>1199</v>
      </c>
      <c r="B1200" t="s">
        <v>9025</v>
      </c>
      <c r="C1200" s="1">
        <v>41908</v>
      </c>
      <c r="D1200" s="22">
        <f>MONTH(Table12[[#This Row],[Order Date]])</f>
        <v>9</v>
      </c>
      <c r="E1200" t="s">
        <v>482</v>
      </c>
      <c r="F1200" t="s">
        <v>483</v>
      </c>
      <c r="G1200" s="23" t="s">
        <v>41</v>
      </c>
      <c r="H1200" s="23" t="s">
        <v>68</v>
      </c>
      <c r="I1200" t="s">
        <v>8751</v>
      </c>
      <c r="J1200" s="23" t="s">
        <v>36</v>
      </c>
      <c r="K1200" s="22">
        <v>5</v>
      </c>
      <c r="L1200" s="1">
        <v>41912</v>
      </c>
      <c r="M1200" s="22">
        <f>Table12[[#This Row],[Ship Date]]-Table12[[#This Row],[Order Date]]</f>
        <v>4</v>
      </c>
      <c r="N1200" s="23" t="s">
        <v>45</v>
      </c>
      <c r="O1200" s="23" t="s">
        <v>23</v>
      </c>
      <c r="P1200" s="23" t="s">
        <v>132</v>
      </c>
      <c r="Q1200" s="23" t="s">
        <v>133</v>
      </c>
      <c r="R1200" s="23" t="s">
        <v>131</v>
      </c>
      <c r="S1200" s="33">
        <v>0.7</v>
      </c>
      <c r="T1200" s="13">
        <v>5.97</v>
      </c>
      <c r="U1200" s="13">
        <v>-4.577</v>
      </c>
      <c r="V1200" s="55">
        <f>IFERROR(Table12[[#This Row],[Profit]]/Table12[[#This Row],[Sales]],0)</f>
        <v>-0.76666666666666672</v>
      </c>
    </row>
    <row r="1201" spans="1:22" x14ac:dyDescent="0.2">
      <c r="A1201">
        <v>1200</v>
      </c>
      <c r="B1201" t="s">
        <v>9025</v>
      </c>
      <c r="C1201" s="1">
        <v>41908</v>
      </c>
      <c r="D1201" s="22">
        <f>MONTH(Table12[[#This Row],[Order Date]])</f>
        <v>9</v>
      </c>
      <c r="E1201" t="s">
        <v>2581</v>
      </c>
      <c r="F1201" t="s">
        <v>2582</v>
      </c>
      <c r="G1201" s="23" t="s">
        <v>28</v>
      </c>
      <c r="H1201" s="23" t="s">
        <v>58</v>
      </c>
      <c r="I1201" t="s">
        <v>8751</v>
      </c>
      <c r="J1201" s="23" t="s">
        <v>36</v>
      </c>
      <c r="K1201" s="22">
        <v>1</v>
      </c>
      <c r="L1201" s="1">
        <v>41912</v>
      </c>
      <c r="M1201" s="22">
        <f>Table12[[#This Row],[Ship Date]]-Table12[[#This Row],[Order Date]]</f>
        <v>4</v>
      </c>
      <c r="N1201" s="23" t="s">
        <v>45</v>
      </c>
      <c r="O1201" s="23" t="s">
        <v>23</v>
      </c>
      <c r="P1201" s="23" t="s">
        <v>132</v>
      </c>
      <c r="Q1201" s="23" t="s">
        <v>133</v>
      </c>
      <c r="R1201" s="23" t="s">
        <v>131</v>
      </c>
      <c r="S1201" s="33">
        <v>0.2</v>
      </c>
      <c r="T1201" s="13">
        <v>21.184000000000001</v>
      </c>
      <c r="U1201" s="13">
        <v>4.7664</v>
      </c>
      <c r="V1201" s="55">
        <f>IFERROR(Table12[[#This Row],[Profit]]/Table12[[#This Row],[Sales]],0)</f>
        <v>0.22499999999999998</v>
      </c>
    </row>
    <row r="1202" spans="1:22" x14ac:dyDescent="0.2">
      <c r="A1202">
        <v>1201</v>
      </c>
      <c r="B1202" t="s">
        <v>9025</v>
      </c>
      <c r="C1202" s="1">
        <v>41908</v>
      </c>
      <c r="D1202" s="22">
        <f>MONTH(Table12[[#This Row],[Order Date]])</f>
        <v>9</v>
      </c>
      <c r="E1202" t="s">
        <v>127</v>
      </c>
      <c r="F1202" t="s">
        <v>128</v>
      </c>
      <c r="G1202" s="23" t="s">
        <v>41</v>
      </c>
      <c r="H1202" s="23" t="s">
        <v>71</v>
      </c>
      <c r="I1202" t="s">
        <v>8751</v>
      </c>
      <c r="J1202" s="23" t="s">
        <v>36</v>
      </c>
      <c r="K1202" s="22">
        <v>6</v>
      </c>
      <c r="L1202" s="1">
        <v>41912</v>
      </c>
      <c r="M1202" s="22">
        <f>Table12[[#This Row],[Ship Date]]-Table12[[#This Row],[Order Date]]</f>
        <v>4</v>
      </c>
      <c r="N1202" s="23" t="s">
        <v>45</v>
      </c>
      <c r="O1202" s="23" t="s">
        <v>23</v>
      </c>
      <c r="P1202" s="23" t="s">
        <v>132</v>
      </c>
      <c r="Q1202" s="23" t="s">
        <v>133</v>
      </c>
      <c r="R1202" s="23" t="s">
        <v>131</v>
      </c>
      <c r="S1202" s="33">
        <v>0.2</v>
      </c>
      <c r="T1202" s="13">
        <v>41.375999999999998</v>
      </c>
      <c r="U1202" s="13">
        <v>3.1032000000000002</v>
      </c>
      <c r="V1202" s="55">
        <f>IFERROR(Table12[[#This Row],[Profit]]/Table12[[#This Row],[Sales]],0)</f>
        <v>7.5000000000000011E-2</v>
      </c>
    </row>
    <row r="1203" spans="1:22" x14ac:dyDescent="0.2">
      <c r="A1203">
        <v>1202</v>
      </c>
      <c r="B1203" t="s">
        <v>9952</v>
      </c>
      <c r="C1203" s="1">
        <v>41908</v>
      </c>
      <c r="D1203" s="22">
        <f>MONTH(Table12[[#This Row],[Order Date]])</f>
        <v>9</v>
      </c>
      <c r="E1203" t="s">
        <v>8449</v>
      </c>
      <c r="F1203" t="s">
        <v>8450</v>
      </c>
      <c r="G1203" s="23" t="s">
        <v>41</v>
      </c>
      <c r="H1203" s="23" t="s">
        <v>71</v>
      </c>
      <c r="I1203" t="s">
        <v>3932</v>
      </c>
      <c r="J1203" s="23" t="s">
        <v>92</v>
      </c>
      <c r="K1203" s="22">
        <v>6</v>
      </c>
      <c r="L1203" s="1">
        <v>41912</v>
      </c>
      <c r="M1203" s="22">
        <f>Table12[[#This Row],[Ship Date]]-Table12[[#This Row],[Order Date]]</f>
        <v>4</v>
      </c>
      <c r="N1203" s="23" t="s">
        <v>45</v>
      </c>
      <c r="O1203" s="23" t="s">
        <v>23</v>
      </c>
      <c r="P1203" s="23" t="s">
        <v>441</v>
      </c>
      <c r="Q1203" s="23" t="s">
        <v>133</v>
      </c>
      <c r="R1203" s="23" t="s">
        <v>2174</v>
      </c>
      <c r="S1203" s="33">
        <v>0.2</v>
      </c>
      <c r="T1203" s="13">
        <v>16.704000000000001</v>
      </c>
      <c r="U1203" s="13">
        <v>1.2527999999999999</v>
      </c>
      <c r="V1203" s="55">
        <f>IFERROR(Table12[[#This Row],[Profit]]/Table12[[#This Row],[Sales]],0)</f>
        <v>7.4999999999999997E-2</v>
      </c>
    </row>
    <row r="1204" spans="1:22" x14ac:dyDescent="0.2">
      <c r="A1204">
        <v>1203</v>
      </c>
      <c r="B1204" t="s">
        <v>9952</v>
      </c>
      <c r="C1204" s="1">
        <v>41908</v>
      </c>
      <c r="D1204" s="22">
        <f>MONTH(Table12[[#This Row],[Order Date]])</f>
        <v>9</v>
      </c>
      <c r="E1204" t="s">
        <v>9178</v>
      </c>
      <c r="F1204" t="s">
        <v>9179</v>
      </c>
      <c r="G1204" s="23" t="s">
        <v>64</v>
      </c>
      <c r="H1204" s="23" t="s">
        <v>144</v>
      </c>
      <c r="I1204" t="s">
        <v>3932</v>
      </c>
      <c r="J1204" s="23" t="s">
        <v>92</v>
      </c>
      <c r="K1204" s="22">
        <v>2</v>
      </c>
      <c r="L1204" s="1">
        <v>41912</v>
      </c>
      <c r="M1204" s="22">
        <f>Table12[[#This Row],[Ship Date]]-Table12[[#This Row],[Order Date]]</f>
        <v>4</v>
      </c>
      <c r="N1204" s="23" t="s">
        <v>45</v>
      </c>
      <c r="O1204" s="23" t="s">
        <v>23</v>
      </c>
      <c r="P1204" s="23" t="s">
        <v>441</v>
      </c>
      <c r="Q1204" s="23" t="s">
        <v>133</v>
      </c>
      <c r="R1204" s="23" t="s">
        <v>2174</v>
      </c>
      <c r="S1204" s="33">
        <v>0.2</v>
      </c>
      <c r="T1204" s="13">
        <v>3.1520000000000001</v>
      </c>
      <c r="U1204" s="13">
        <v>0.4728</v>
      </c>
      <c r="V1204" s="55">
        <f>IFERROR(Table12[[#This Row],[Profit]]/Table12[[#This Row],[Sales]],0)</f>
        <v>0.15</v>
      </c>
    </row>
    <row r="1205" spans="1:22" x14ac:dyDescent="0.2">
      <c r="A1205">
        <v>1204</v>
      </c>
      <c r="B1205" t="s">
        <v>9952</v>
      </c>
      <c r="C1205" s="1">
        <v>41908</v>
      </c>
      <c r="D1205" s="22">
        <f>MONTH(Table12[[#This Row],[Order Date]])</f>
        <v>9</v>
      </c>
      <c r="E1205" t="s">
        <v>5922</v>
      </c>
      <c r="F1205" t="s">
        <v>5923</v>
      </c>
      <c r="G1205" s="23" t="s">
        <v>41</v>
      </c>
      <c r="H1205" s="23" t="s">
        <v>82</v>
      </c>
      <c r="I1205" t="s">
        <v>3932</v>
      </c>
      <c r="J1205" s="23" t="s">
        <v>92</v>
      </c>
      <c r="K1205" s="22">
        <v>4</v>
      </c>
      <c r="L1205" s="1">
        <v>41912</v>
      </c>
      <c r="M1205" s="22">
        <f>Table12[[#This Row],[Ship Date]]-Table12[[#This Row],[Order Date]]</f>
        <v>4</v>
      </c>
      <c r="N1205" s="23" t="s">
        <v>45</v>
      </c>
      <c r="O1205" s="23" t="s">
        <v>23</v>
      </c>
      <c r="P1205" s="23" t="s">
        <v>441</v>
      </c>
      <c r="Q1205" s="23" t="s">
        <v>133</v>
      </c>
      <c r="R1205" s="23" t="s">
        <v>2174</v>
      </c>
      <c r="S1205" s="33">
        <v>0.2</v>
      </c>
      <c r="T1205" s="13">
        <v>32.896000000000001</v>
      </c>
      <c r="U1205" s="13">
        <v>11.102399999999999</v>
      </c>
      <c r="V1205" s="55">
        <f>IFERROR(Table12[[#This Row],[Profit]]/Table12[[#This Row],[Sales]],0)</f>
        <v>0.33749999999999997</v>
      </c>
    </row>
    <row r="1206" spans="1:22" x14ac:dyDescent="0.2">
      <c r="A1206">
        <v>1205</v>
      </c>
      <c r="B1206" t="s">
        <v>10095</v>
      </c>
      <c r="C1206" s="1">
        <v>41908</v>
      </c>
      <c r="D1206" s="22">
        <f>MONTH(Table12[[#This Row],[Order Date]])</f>
        <v>9</v>
      </c>
      <c r="E1206" t="s">
        <v>6106</v>
      </c>
      <c r="F1206" t="s">
        <v>6107</v>
      </c>
      <c r="G1206" s="23" t="s">
        <v>64</v>
      </c>
      <c r="H1206" s="23" t="s">
        <v>144</v>
      </c>
      <c r="I1206" t="s">
        <v>3425</v>
      </c>
      <c r="J1206" s="23" t="s">
        <v>22</v>
      </c>
      <c r="K1206" s="22">
        <v>11</v>
      </c>
      <c r="L1206" s="1">
        <v>41913</v>
      </c>
      <c r="M1206" s="22">
        <f>Table12[[#This Row],[Ship Date]]-Table12[[#This Row],[Order Date]]</f>
        <v>5</v>
      </c>
      <c r="N1206" s="23" t="s">
        <v>45</v>
      </c>
      <c r="O1206" s="23" t="s">
        <v>23</v>
      </c>
      <c r="P1206" s="23" t="s">
        <v>189</v>
      </c>
      <c r="Q1206" s="23" t="s">
        <v>95</v>
      </c>
      <c r="R1206" s="23" t="s">
        <v>271</v>
      </c>
      <c r="S1206" s="33">
        <v>0.2</v>
      </c>
      <c r="T1206" s="13">
        <v>153.82400000000001</v>
      </c>
      <c r="U1206" s="13">
        <v>38.456000000000003</v>
      </c>
      <c r="V1206" s="55">
        <f>IFERROR(Table12[[#This Row],[Profit]]/Table12[[#This Row],[Sales]],0)</f>
        <v>0.25</v>
      </c>
    </row>
    <row r="1207" spans="1:22" x14ac:dyDescent="0.2">
      <c r="A1207">
        <v>1206</v>
      </c>
      <c r="B1207" t="s">
        <v>1011</v>
      </c>
      <c r="C1207" s="1">
        <v>41909</v>
      </c>
      <c r="D1207" s="22">
        <f>MONTH(Table12[[#This Row],[Order Date]])</f>
        <v>9</v>
      </c>
      <c r="E1207" t="s">
        <v>1014</v>
      </c>
      <c r="F1207" t="s">
        <v>1015</v>
      </c>
      <c r="G1207" s="23" t="s">
        <v>28</v>
      </c>
      <c r="H1207" s="23" t="s">
        <v>58</v>
      </c>
      <c r="I1207" t="s">
        <v>1012</v>
      </c>
      <c r="J1207" s="23" t="s">
        <v>36</v>
      </c>
      <c r="K1207" s="22">
        <v>3</v>
      </c>
      <c r="L1207" s="1">
        <v>41915</v>
      </c>
      <c r="M1207" s="22">
        <f>Table12[[#This Row],[Ship Date]]-Table12[[#This Row],[Order Date]]</f>
        <v>6</v>
      </c>
      <c r="N1207" s="23" t="s">
        <v>45</v>
      </c>
      <c r="O1207" s="23" t="s">
        <v>23</v>
      </c>
      <c r="P1207" s="23" t="s">
        <v>695</v>
      </c>
      <c r="Q1207" s="23" t="s">
        <v>133</v>
      </c>
      <c r="R1207" s="23" t="s">
        <v>1013</v>
      </c>
      <c r="S1207" s="33">
        <v>0</v>
      </c>
      <c r="T1207" s="13">
        <v>87.54</v>
      </c>
      <c r="U1207" s="13">
        <v>37.642200000000003</v>
      </c>
      <c r="V1207" s="55">
        <f>IFERROR(Table12[[#This Row],[Profit]]/Table12[[#This Row],[Sales]],0)</f>
        <v>0.43</v>
      </c>
    </row>
    <row r="1208" spans="1:22" x14ac:dyDescent="0.2">
      <c r="A1208">
        <v>1207</v>
      </c>
      <c r="B1208" t="s">
        <v>5832</v>
      </c>
      <c r="C1208" s="1">
        <v>41909</v>
      </c>
      <c r="D1208" s="22">
        <f>MONTH(Table12[[#This Row],[Order Date]])</f>
        <v>9</v>
      </c>
      <c r="E1208" t="s">
        <v>1029</v>
      </c>
      <c r="F1208" t="s">
        <v>1030</v>
      </c>
      <c r="G1208" s="23" t="s">
        <v>28</v>
      </c>
      <c r="H1208" s="23" t="s">
        <v>32</v>
      </c>
      <c r="I1208" t="s">
        <v>3812</v>
      </c>
      <c r="J1208" s="23" t="s">
        <v>22</v>
      </c>
      <c r="K1208" s="22">
        <v>5</v>
      </c>
      <c r="L1208" s="1">
        <v>41913</v>
      </c>
      <c r="M1208" s="22">
        <f>Table12[[#This Row],[Ship Date]]-Table12[[#This Row],[Order Date]]</f>
        <v>4</v>
      </c>
      <c r="N1208" s="23" t="s">
        <v>45</v>
      </c>
      <c r="O1208" s="23" t="s">
        <v>23</v>
      </c>
      <c r="P1208" s="23" t="s">
        <v>38</v>
      </c>
      <c r="Q1208" s="23" t="s">
        <v>39</v>
      </c>
      <c r="R1208" s="23" t="s">
        <v>836</v>
      </c>
      <c r="S1208" s="33">
        <v>0.2</v>
      </c>
      <c r="T1208" s="13">
        <v>603.91999999999996</v>
      </c>
      <c r="U1208" s="13">
        <v>45.293999999999997</v>
      </c>
      <c r="V1208" s="55">
        <f>IFERROR(Table12[[#This Row],[Profit]]/Table12[[#This Row],[Sales]],0)</f>
        <v>7.4999999999999997E-2</v>
      </c>
    </row>
    <row r="1209" spans="1:22" x14ac:dyDescent="0.2">
      <c r="A1209">
        <v>1208</v>
      </c>
      <c r="B1209" t="s">
        <v>5832</v>
      </c>
      <c r="C1209" s="1">
        <v>41909</v>
      </c>
      <c r="D1209" s="22">
        <f>MONTH(Table12[[#This Row],[Order Date]])</f>
        <v>9</v>
      </c>
      <c r="E1209" t="s">
        <v>3975</v>
      </c>
      <c r="F1209" t="s">
        <v>3976</v>
      </c>
      <c r="G1209" s="23" t="s">
        <v>41</v>
      </c>
      <c r="H1209" s="23" t="s">
        <v>82</v>
      </c>
      <c r="I1209" t="s">
        <v>3812</v>
      </c>
      <c r="J1209" s="23" t="s">
        <v>22</v>
      </c>
      <c r="K1209" s="22">
        <v>2</v>
      </c>
      <c r="L1209" s="1">
        <v>41913</v>
      </c>
      <c r="M1209" s="22">
        <f>Table12[[#This Row],[Ship Date]]-Table12[[#This Row],[Order Date]]</f>
        <v>4</v>
      </c>
      <c r="N1209" s="23" t="s">
        <v>45</v>
      </c>
      <c r="O1209" s="23" t="s">
        <v>23</v>
      </c>
      <c r="P1209" s="23" t="s">
        <v>38</v>
      </c>
      <c r="Q1209" s="23" t="s">
        <v>39</v>
      </c>
      <c r="R1209" s="23" t="s">
        <v>836</v>
      </c>
      <c r="S1209" s="33">
        <v>0</v>
      </c>
      <c r="T1209" s="13">
        <v>81.98</v>
      </c>
      <c r="U1209" s="13">
        <v>40.170200000000001</v>
      </c>
      <c r="V1209" s="55">
        <f>IFERROR(Table12[[#This Row],[Profit]]/Table12[[#This Row],[Sales]],0)</f>
        <v>0.49</v>
      </c>
    </row>
    <row r="1210" spans="1:22" x14ac:dyDescent="0.2">
      <c r="A1210">
        <v>1209</v>
      </c>
      <c r="B1210" t="s">
        <v>3230</v>
      </c>
      <c r="C1210" s="1">
        <v>41910</v>
      </c>
      <c r="D1210" s="22">
        <f>MONTH(Table12[[#This Row],[Order Date]])</f>
        <v>9</v>
      </c>
      <c r="E1210" t="s">
        <v>1449</v>
      </c>
      <c r="F1210" t="s">
        <v>1450</v>
      </c>
      <c r="G1210" s="23" t="s">
        <v>41</v>
      </c>
      <c r="H1210" s="23" t="s">
        <v>53</v>
      </c>
      <c r="I1210" t="s">
        <v>3231</v>
      </c>
      <c r="J1210" s="23" t="s">
        <v>36</v>
      </c>
      <c r="K1210" s="22">
        <v>3</v>
      </c>
      <c r="L1210" s="1">
        <v>41915</v>
      </c>
      <c r="M1210" s="22">
        <f>Table12[[#This Row],[Ship Date]]-Table12[[#This Row],[Order Date]]</f>
        <v>5</v>
      </c>
      <c r="N1210" s="23" t="s">
        <v>45</v>
      </c>
      <c r="O1210" s="23" t="s">
        <v>23</v>
      </c>
      <c r="P1210" s="23" t="s">
        <v>1101</v>
      </c>
      <c r="Q1210" s="23" t="s">
        <v>133</v>
      </c>
      <c r="R1210" s="23" t="s">
        <v>1308</v>
      </c>
      <c r="S1210" s="33">
        <v>0</v>
      </c>
      <c r="T1210" s="13">
        <v>46.26</v>
      </c>
      <c r="U1210" s="13">
        <v>12.4902</v>
      </c>
      <c r="V1210" s="55">
        <f>IFERROR(Table12[[#This Row],[Profit]]/Table12[[#This Row],[Sales]],0)</f>
        <v>0.27</v>
      </c>
    </row>
    <row r="1211" spans="1:22" x14ac:dyDescent="0.2">
      <c r="A1211">
        <v>1210</v>
      </c>
      <c r="B1211" t="s">
        <v>3913</v>
      </c>
      <c r="C1211" s="1">
        <v>41910</v>
      </c>
      <c r="D1211" s="22">
        <f>MONTH(Table12[[#This Row],[Order Date]])</f>
        <v>9</v>
      </c>
      <c r="E1211" t="s">
        <v>3914</v>
      </c>
      <c r="F1211" t="s">
        <v>3915</v>
      </c>
      <c r="G1211" s="23" t="s">
        <v>41</v>
      </c>
      <c r="H1211" s="23" t="s">
        <v>82</v>
      </c>
      <c r="I1211" t="s">
        <v>3475</v>
      </c>
      <c r="J1211" s="23" t="s">
        <v>36</v>
      </c>
      <c r="K1211" s="22">
        <v>8</v>
      </c>
      <c r="L1211" s="1">
        <v>41915</v>
      </c>
      <c r="M1211" s="22">
        <f>Table12[[#This Row],[Ship Date]]-Table12[[#This Row],[Order Date]]</f>
        <v>5</v>
      </c>
      <c r="N1211" s="23" t="s">
        <v>45</v>
      </c>
      <c r="O1211" s="23" t="s">
        <v>23</v>
      </c>
      <c r="P1211" s="23" t="s">
        <v>80</v>
      </c>
      <c r="Q1211" s="23" t="s">
        <v>26</v>
      </c>
      <c r="R1211" s="23" t="s">
        <v>1509</v>
      </c>
      <c r="S1211" s="33">
        <v>0.2</v>
      </c>
      <c r="T1211" s="13">
        <v>96.256</v>
      </c>
      <c r="U1211" s="13">
        <v>31.283200000000001</v>
      </c>
      <c r="V1211" s="55">
        <f>IFERROR(Table12[[#This Row],[Profit]]/Table12[[#This Row],[Sales]],0)</f>
        <v>0.32500000000000001</v>
      </c>
    </row>
    <row r="1212" spans="1:22" x14ac:dyDescent="0.2">
      <c r="A1212">
        <v>1211</v>
      </c>
      <c r="B1212" t="s">
        <v>3913</v>
      </c>
      <c r="C1212" s="1">
        <v>41910</v>
      </c>
      <c r="D1212" s="22">
        <f>MONTH(Table12[[#This Row],[Order Date]])</f>
        <v>9</v>
      </c>
      <c r="E1212" t="s">
        <v>502</v>
      </c>
      <c r="F1212" t="s">
        <v>503</v>
      </c>
      <c r="G1212" s="23" t="s">
        <v>41</v>
      </c>
      <c r="H1212" s="23" t="s">
        <v>82</v>
      </c>
      <c r="I1212" t="s">
        <v>3475</v>
      </c>
      <c r="J1212" s="23" t="s">
        <v>36</v>
      </c>
      <c r="K1212" s="22">
        <v>2</v>
      </c>
      <c r="L1212" s="1">
        <v>41915</v>
      </c>
      <c r="M1212" s="22">
        <f>Table12[[#This Row],[Ship Date]]-Table12[[#This Row],[Order Date]]</f>
        <v>5</v>
      </c>
      <c r="N1212" s="23" t="s">
        <v>45</v>
      </c>
      <c r="O1212" s="23" t="s">
        <v>23</v>
      </c>
      <c r="P1212" s="23" t="s">
        <v>80</v>
      </c>
      <c r="Q1212" s="23" t="s">
        <v>26</v>
      </c>
      <c r="R1212" s="23" t="s">
        <v>1509</v>
      </c>
      <c r="S1212" s="33">
        <v>0.2</v>
      </c>
      <c r="T1212" s="13">
        <v>10.688000000000001</v>
      </c>
      <c r="U1212" s="13">
        <v>3.7408000000000001</v>
      </c>
      <c r="V1212" s="55">
        <f>IFERROR(Table12[[#This Row],[Profit]]/Table12[[#This Row],[Sales]],0)</f>
        <v>0.35</v>
      </c>
    </row>
    <row r="1213" spans="1:22" x14ac:dyDescent="0.2">
      <c r="A1213">
        <v>1212</v>
      </c>
      <c r="B1213" t="s">
        <v>9607</v>
      </c>
      <c r="C1213" s="1">
        <v>41910</v>
      </c>
      <c r="D1213" s="22">
        <f>MONTH(Table12[[#This Row],[Order Date]])</f>
        <v>9</v>
      </c>
      <c r="E1213" t="s">
        <v>8411</v>
      </c>
      <c r="F1213" t="s">
        <v>8412</v>
      </c>
      <c r="G1213" s="23" t="s">
        <v>28</v>
      </c>
      <c r="H1213" s="23" t="s">
        <v>58</v>
      </c>
      <c r="I1213" t="s">
        <v>1467</v>
      </c>
      <c r="J1213" s="23" t="s">
        <v>22</v>
      </c>
      <c r="K1213" s="22">
        <v>4</v>
      </c>
      <c r="L1213" s="1">
        <v>41915</v>
      </c>
      <c r="M1213" s="22">
        <f>Table12[[#This Row],[Ship Date]]-Table12[[#This Row],[Order Date]]</f>
        <v>5</v>
      </c>
      <c r="N1213" s="23" t="s">
        <v>45</v>
      </c>
      <c r="O1213" s="23" t="s">
        <v>23</v>
      </c>
      <c r="P1213" s="23" t="s">
        <v>48</v>
      </c>
      <c r="Q1213" s="23" t="s">
        <v>26</v>
      </c>
      <c r="R1213" s="23" t="s">
        <v>6510</v>
      </c>
      <c r="S1213" s="33">
        <v>0.2</v>
      </c>
      <c r="T1213" s="13">
        <v>337.08800000000002</v>
      </c>
      <c r="U1213" s="13">
        <v>16.854399999999998</v>
      </c>
      <c r="V1213" s="55">
        <f>IFERROR(Table12[[#This Row],[Profit]]/Table12[[#This Row],[Sales]],0)</f>
        <v>4.9999999999999989E-2</v>
      </c>
    </row>
    <row r="1214" spans="1:22" x14ac:dyDescent="0.2">
      <c r="A1214">
        <v>1213</v>
      </c>
      <c r="B1214" t="s">
        <v>2905</v>
      </c>
      <c r="C1214" s="1">
        <v>41911</v>
      </c>
      <c r="D1214" s="22">
        <f>MONTH(Table12[[#This Row],[Order Date]])</f>
        <v>9</v>
      </c>
      <c r="E1214" t="s">
        <v>2557</v>
      </c>
      <c r="F1214" t="s">
        <v>2558</v>
      </c>
      <c r="G1214" s="23" t="s">
        <v>28</v>
      </c>
      <c r="H1214" s="23" t="s">
        <v>58</v>
      </c>
      <c r="I1214" t="s">
        <v>2014</v>
      </c>
      <c r="J1214" s="23" t="s">
        <v>22</v>
      </c>
      <c r="K1214" s="22">
        <v>2</v>
      </c>
      <c r="L1214" s="1">
        <v>41915</v>
      </c>
      <c r="M1214" s="22">
        <f>Table12[[#This Row],[Ship Date]]-Table12[[#This Row],[Order Date]]</f>
        <v>4</v>
      </c>
      <c r="N1214" s="23" t="s">
        <v>45</v>
      </c>
      <c r="O1214" s="23" t="s">
        <v>23</v>
      </c>
      <c r="P1214" s="23" t="s">
        <v>38</v>
      </c>
      <c r="Q1214" s="23" t="s">
        <v>39</v>
      </c>
      <c r="R1214" s="23" t="s">
        <v>37</v>
      </c>
      <c r="S1214" s="33">
        <v>0</v>
      </c>
      <c r="T1214" s="13">
        <v>204.6</v>
      </c>
      <c r="U1214" s="13">
        <v>53.195999999999998</v>
      </c>
      <c r="V1214" s="55">
        <f>IFERROR(Table12[[#This Row],[Profit]]/Table12[[#This Row],[Sales]],0)</f>
        <v>0.26</v>
      </c>
    </row>
    <row r="1215" spans="1:22" x14ac:dyDescent="0.2">
      <c r="A1215">
        <v>1214</v>
      </c>
      <c r="B1215" t="s">
        <v>2905</v>
      </c>
      <c r="C1215" s="1">
        <v>41911</v>
      </c>
      <c r="D1215" s="22">
        <f>MONTH(Table12[[#This Row],[Order Date]])</f>
        <v>9</v>
      </c>
      <c r="E1215" t="s">
        <v>2906</v>
      </c>
      <c r="F1215" t="s">
        <v>2907</v>
      </c>
      <c r="G1215" s="23" t="s">
        <v>41</v>
      </c>
      <c r="H1215" s="23" t="s">
        <v>240</v>
      </c>
      <c r="I1215" t="s">
        <v>2014</v>
      </c>
      <c r="J1215" s="23" t="s">
        <v>22</v>
      </c>
      <c r="K1215" s="22">
        <v>4</v>
      </c>
      <c r="L1215" s="1">
        <v>41915</v>
      </c>
      <c r="M1215" s="22">
        <f>Table12[[#This Row],[Ship Date]]-Table12[[#This Row],[Order Date]]</f>
        <v>4</v>
      </c>
      <c r="N1215" s="23" t="s">
        <v>45</v>
      </c>
      <c r="O1215" s="23" t="s">
        <v>23</v>
      </c>
      <c r="P1215" s="23" t="s">
        <v>38</v>
      </c>
      <c r="Q1215" s="23" t="s">
        <v>39</v>
      </c>
      <c r="R1215" s="23" t="s">
        <v>37</v>
      </c>
      <c r="S1215" s="33">
        <v>0</v>
      </c>
      <c r="T1215" s="13">
        <v>8.7200000000000006</v>
      </c>
      <c r="U1215" s="13">
        <v>2.8776000000000002</v>
      </c>
      <c r="V1215" s="55">
        <f>IFERROR(Table12[[#This Row],[Profit]]/Table12[[#This Row],[Sales]],0)</f>
        <v>0.33</v>
      </c>
    </row>
    <row r="1216" spans="1:22" x14ac:dyDescent="0.2">
      <c r="A1216">
        <v>1215</v>
      </c>
      <c r="B1216" t="s">
        <v>2905</v>
      </c>
      <c r="C1216" s="1">
        <v>41911</v>
      </c>
      <c r="D1216" s="22">
        <f>MONTH(Table12[[#This Row],[Order Date]])</f>
        <v>9</v>
      </c>
      <c r="E1216" t="s">
        <v>967</v>
      </c>
      <c r="F1216" t="s">
        <v>968</v>
      </c>
      <c r="G1216" s="23" t="s">
        <v>41</v>
      </c>
      <c r="H1216" s="23" t="s">
        <v>82</v>
      </c>
      <c r="I1216" t="s">
        <v>2014</v>
      </c>
      <c r="J1216" s="23" t="s">
        <v>22</v>
      </c>
      <c r="K1216" s="22">
        <v>1</v>
      </c>
      <c r="L1216" s="1">
        <v>41915</v>
      </c>
      <c r="M1216" s="22">
        <f>Table12[[#This Row],[Ship Date]]-Table12[[#This Row],[Order Date]]</f>
        <v>4</v>
      </c>
      <c r="N1216" s="23" t="s">
        <v>45</v>
      </c>
      <c r="O1216" s="23" t="s">
        <v>23</v>
      </c>
      <c r="P1216" s="23" t="s">
        <v>38</v>
      </c>
      <c r="Q1216" s="23" t="s">
        <v>39</v>
      </c>
      <c r="R1216" s="23" t="s">
        <v>37</v>
      </c>
      <c r="S1216" s="33">
        <v>0</v>
      </c>
      <c r="T1216" s="13">
        <v>6.48</v>
      </c>
      <c r="U1216" s="13">
        <v>3.1103999999999998</v>
      </c>
      <c r="V1216" s="55">
        <f>IFERROR(Table12[[#This Row],[Profit]]/Table12[[#This Row],[Sales]],0)</f>
        <v>0.47999999999999993</v>
      </c>
    </row>
    <row r="1217" spans="1:22" x14ac:dyDescent="0.2">
      <c r="A1217">
        <v>1216</v>
      </c>
      <c r="B1217" t="s">
        <v>2905</v>
      </c>
      <c r="C1217" s="1">
        <v>41911</v>
      </c>
      <c r="D1217" s="22">
        <f>MONTH(Table12[[#This Row],[Order Date]])</f>
        <v>9</v>
      </c>
      <c r="E1217" t="s">
        <v>2908</v>
      </c>
      <c r="F1217" t="s">
        <v>2909</v>
      </c>
      <c r="G1217" s="23" t="s">
        <v>64</v>
      </c>
      <c r="H1217" s="23" t="s">
        <v>602</v>
      </c>
      <c r="I1217" t="s">
        <v>2014</v>
      </c>
      <c r="J1217" s="23" t="s">
        <v>22</v>
      </c>
      <c r="K1217" s="22">
        <v>2</v>
      </c>
      <c r="L1217" s="1">
        <v>41915</v>
      </c>
      <c r="M1217" s="22">
        <f>Table12[[#This Row],[Ship Date]]-Table12[[#This Row],[Order Date]]</f>
        <v>4</v>
      </c>
      <c r="N1217" s="23" t="s">
        <v>45</v>
      </c>
      <c r="O1217" s="23" t="s">
        <v>23</v>
      </c>
      <c r="P1217" s="23" t="s">
        <v>38</v>
      </c>
      <c r="Q1217" s="23" t="s">
        <v>39</v>
      </c>
      <c r="R1217" s="23" t="s">
        <v>37</v>
      </c>
      <c r="S1217" s="33">
        <v>0.2</v>
      </c>
      <c r="T1217" s="13">
        <v>686.32</v>
      </c>
      <c r="U1217" s="13">
        <v>223.054</v>
      </c>
      <c r="V1217" s="55">
        <f>IFERROR(Table12[[#This Row],[Profit]]/Table12[[#This Row],[Sales]],0)</f>
        <v>0.32499999999999996</v>
      </c>
    </row>
    <row r="1218" spans="1:22" x14ac:dyDescent="0.2">
      <c r="A1218">
        <v>1217</v>
      </c>
      <c r="B1218" t="s">
        <v>2905</v>
      </c>
      <c r="C1218" s="1">
        <v>41911</v>
      </c>
      <c r="D1218" s="22">
        <f>MONTH(Table12[[#This Row],[Order Date]])</f>
        <v>9</v>
      </c>
      <c r="E1218" t="s">
        <v>2833</v>
      </c>
      <c r="F1218" t="s">
        <v>2834</v>
      </c>
      <c r="G1218" s="23" t="s">
        <v>41</v>
      </c>
      <c r="H1218" s="23" t="s">
        <v>53</v>
      </c>
      <c r="I1218" t="s">
        <v>2014</v>
      </c>
      <c r="J1218" s="23" t="s">
        <v>22</v>
      </c>
      <c r="K1218" s="22">
        <v>1</v>
      </c>
      <c r="L1218" s="1">
        <v>41915</v>
      </c>
      <c r="M1218" s="22">
        <f>Table12[[#This Row],[Ship Date]]-Table12[[#This Row],[Order Date]]</f>
        <v>4</v>
      </c>
      <c r="N1218" s="23" t="s">
        <v>45</v>
      </c>
      <c r="O1218" s="23" t="s">
        <v>23</v>
      </c>
      <c r="P1218" s="23" t="s">
        <v>38</v>
      </c>
      <c r="Q1218" s="23" t="s">
        <v>39</v>
      </c>
      <c r="R1218" s="23" t="s">
        <v>37</v>
      </c>
      <c r="S1218" s="33">
        <v>0</v>
      </c>
      <c r="T1218" s="13">
        <v>62.18</v>
      </c>
      <c r="U1218" s="13">
        <v>16.788599999999999</v>
      </c>
      <c r="V1218" s="55">
        <f>IFERROR(Table12[[#This Row],[Profit]]/Table12[[#This Row],[Sales]],0)</f>
        <v>0.26999999999999996</v>
      </c>
    </row>
    <row r="1219" spans="1:22" x14ac:dyDescent="0.2">
      <c r="A1219">
        <v>1218</v>
      </c>
      <c r="B1219" t="s">
        <v>6449</v>
      </c>
      <c r="C1219" s="1">
        <v>41911</v>
      </c>
      <c r="D1219" s="22">
        <f>MONTH(Table12[[#This Row],[Order Date]])</f>
        <v>9</v>
      </c>
      <c r="E1219" t="s">
        <v>4588</v>
      </c>
      <c r="F1219" t="s">
        <v>4589</v>
      </c>
      <c r="G1219" s="23" t="s">
        <v>41</v>
      </c>
      <c r="H1219" s="23" t="s">
        <v>61</v>
      </c>
      <c r="I1219" t="s">
        <v>3108</v>
      </c>
      <c r="J1219" s="23" t="s">
        <v>36</v>
      </c>
      <c r="K1219" s="22">
        <v>3</v>
      </c>
      <c r="L1219" s="1">
        <v>41915</v>
      </c>
      <c r="M1219" s="22">
        <f>Table12[[#This Row],[Ship Date]]-Table12[[#This Row],[Order Date]]</f>
        <v>4</v>
      </c>
      <c r="N1219" s="23" t="s">
        <v>45</v>
      </c>
      <c r="O1219" s="23" t="s">
        <v>23</v>
      </c>
      <c r="P1219" s="23" t="s">
        <v>132</v>
      </c>
      <c r="Q1219" s="23" t="s">
        <v>133</v>
      </c>
      <c r="R1219" s="23" t="s">
        <v>131</v>
      </c>
      <c r="S1219" s="33">
        <v>0.2</v>
      </c>
      <c r="T1219" s="13">
        <v>4.2240000000000002</v>
      </c>
      <c r="U1219" s="13">
        <v>1.4783999999999999</v>
      </c>
      <c r="V1219" s="55">
        <f>IFERROR(Table12[[#This Row],[Profit]]/Table12[[#This Row],[Sales]],0)</f>
        <v>0.35</v>
      </c>
    </row>
    <row r="1220" spans="1:22" x14ac:dyDescent="0.2">
      <c r="A1220">
        <v>1219</v>
      </c>
      <c r="B1220" t="s">
        <v>6449</v>
      </c>
      <c r="C1220" s="1">
        <v>41911</v>
      </c>
      <c r="D1220" s="22">
        <f>MONTH(Table12[[#This Row],[Order Date]])</f>
        <v>9</v>
      </c>
      <c r="E1220" t="s">
        <v>4131</v>
      </c>
      <c r="F1220" t="s">
        <v>4132</v>
      </c>
      <c r="G1220" s="23" t="s">
        <v>28</v>
      </c>
      <c r="H1220" s="23" t="s">
        <v>50</v>
      </c>
      <c r="I1220" t="s">
        <v>3108</v>
      </c>
      <c r="J1220" s="23" t="s">
        <v>36</v>
      </c>
      <c r="K1220" s="22">
        <v>2</v>
      </c>
      <c r="L1220" s="1">
        <v>41915</v>
      </c>
      <c r="M1220" s="22">
        <f>Table12[[#This Row],[Ship Date]]-Table12[[#This Row],[Order Date]]</f>
        <v>4</v>
      </c>
      <c r="N1220" s="23" t="s">
        <v>45</v>
      </c>
      <c r="O1220" s="23" t="s">
        <v>23</v>
      </c>
      <c r="P1220" s="23" t="s">
        <v>132</v>
      </c>
      <c r="Q1220" s="23" t="s">
        <v>133</v>
      </c>
      <c r="R1220" s="23" t="s">
        <v>131</v>
      </c>
      <c r="S1220" s="33">
        <v>0.4</v>
      </c>
      <c r="T1220" s="13">
        <v>409.27199999999999</v>
      </c>
      <c r="U1220" s="13">
        <v>-81.854399999999998</v>
      </c>
      <c r="V1220" s="55">
        <f>IFERROR(Table12[[#This Row],[Profit]]/Table12[[#This Row],[Sales]],0)</f>
        <v>-0.2</v>
      </c>
    </row>
    <row r="1221" spans="1:22" x14ac:dyDescent="0.2">
      <c r="A1221">
        <v>1220</v>
      </c>
      <c r="B1221" t="s">
        <v>6449</v>
      </c>
      <c r="C1221" s="1">
        <v>41911</v>
      </c>
      <c r="D1221" s="22">
        <f>MONTH(Table12[[#This Row],[Order Date]])</f>
        <v>9</v>
      </c>
      <c r="E1221" t="s">
        <v>6450</v>
      </c>
      <c r="F1221" t="s">
        <v>6451</v>
      </c>
      <c r="G1221" s="23" t="s">
        <v>41</v>
      </c>
      <c r="H1221" s="23" t="s">
        <v>42</v>
      </c>
      <c r="I1221" t="s">
        <v>3108</v>
      </c>
      <c r="J1221" s="23" t="s">
        <v>36</v>
      </c>
      <c r="K1221" s="22">
        <v>11</v>
      </c>
      <c r="L1221" s="1">
        <v>41915</v>
      </c>
      <c r="M1221" s="22">
        <f>Table12[[#This Row],[Ship Date]]-Table12[[#This Row],[Order Date]]</f>
        <v>4</v>
      </c>
      <c r="N1221" s="23" t="s">
        <v>45</v>
      </c>
      <c r="O1221" s="23" t="s">
        <v>23</v>
      </c>
      <c r="P1221" s="23" t="s">
        <v>132</v>
      </c>
      <c r="Q1221" s="23" t="s">
        <v>133</v>
      </c>
      <c r="R1221" s="23" t="s">
        <v>131</v>
      </c>
      <c r="S1221" s="33">
        <v>0.2</v>
      </c>
      <c r="T1221" s="13">
        <v>55.44</v>
      </c>
      <c r="U1221" s="13">
        <v>18.018000000000001</v>
      </c>
      <c r="V1221" s="55">
        <f>IFERROR(Table12[[#This Row],[Profit]]/Table12[[#This Row],[Sales]],0)</f>
        <v>0.32500000000000001</v>
      </c>
    </row>
    <row r="1222" spans="1:22" x14ac:dyDescent="0.2">
      <c r="A1222">
        <v>1221</v>
      </c>
      <c r="B1222" t="s">
        <v>6449</v>
      </c>
      <c r="C1222" s="1">
        <v>41911</v>
      </c>
      <c r="D1222" s="22">
        <f>MONTH(Table12[[#This Row],[Order Date]])</f>
        <v>9</v>
      </c>
      <c r="E1222" t="s">
        <v>4338</v>
      </c>
      <c r="F1222" t="s">
        <v>4339</v>
      </c>
      <c r="G1222" s="23" t="s">
        <v>41</v>
      </c>
      <c r="H1222" s="23" t="s">
        <v>82</v>
      </c>
      <c r="I1222" t="s">
        <v>3108</v>
      </c>
      <c r="J1222" s="23" t="s">
        <v>36</v>
      </c>
      <c r="K1222" s="22">
        <v>4</v>
      </c>
      <c r="L1222" s="1">
        <v>41915</v>
      </c>
      <c r="M1222" s="22">
        <f>Table12[[#This Row],[Ship Date]]-Table12[[#This Row],[Order Date]]</f>
        <v>4</v>
      </c>
      <c r="N1222" s="23" t="s">
        <v>45</v>
      </c>
      <c r="O1222" s="23" t="s">
        <v>23</v>
      </c>
      <c r="P1222" s="23" t="s">
        <v>132</v>
      </c>
      <c r="Q1222" s="23" t="s">
        <v>133</v>
      </c>
      <c r="R1222" s="23" t="s">
        <v>131</v>
      </c>
      <c r="S1222" s="33">
        <v>0.2</v>
      </c>
      <c r="T1222" s="13">
        <v>20.928000000000001</v>
      </c>
      <c r="U1222" s="13">
        <v>6.8015999999999996</v>
      </c>
      <c r="V1222" s="55">
        <f>IFERROR(Table12[[#This Row],[Profit]]/Table12[[#This Row],[Sales]],0)</f>
        <v>0.32499999999999996</v>
      </c>
    </row>
    <row r="1223" spans="1:22" x14ac:dyDescent="0.2">
      <c r="A1223">
        <v>1222</v>
      </c>
      <c r="B1223" t="s">
        <v>6449</v>
      </c>
      <c r="C1223" s="1">
        <v>41911</v>
      </c>
      <c r="D1223" s="22">
        <f>MONTH(Table12[[#This Row],[Order Date]])</f>
        <v>9</v>
      </c>
      <c r="E1223" t="s">
        <v>1568</v>
      </c>
      <c r="F1223" t="s">
        <v>1569</v>
      </c>
      <c r="G1223" s="23" t="s">
        <v>41</v>
      </c>
      <c r="H1223" s="23" t="s">
        <v>53</v>
      </c>
      <c r="I1223" t="s">
        <v>3108</v>
      </c>
      <c r="J1223" s="23" t="s">
        <v>36</v>
      </c>
      <c r="K1223" s="22">
        <v>6</v>
      </c>
      <c r="L1223" s="1">
        <v>41915</v>
      </c>
      <c r="M1223" s="22">
        <f>Table12[[#This Row],[Ship Date]]-Table12[[#This Row],[Order Date]]</f>
        <v>4</v>
      </c>
      <c r="N1223" s="23" t="s">
        <v>45</v>
      </c>
      <c r="O1223" s="23" t="s">
        <v>23</v>
      </c>
      <c r="P1223" s="23" t="s">
        <v>132</v>
      </c>
      <c r="Q1223" s="23" t="s">
        <v>133</v>
      </c>
      <c r="R1223" s="23" t="s">
        <v>131</v>
      </c>
      <c r="S1223" s="33">
        <v>0.2</v>
      </c>
      <c r="T1223" s="13">
        <v>1801.6320000000001</v>
      </c>
      <c r="U1223" s="13">
        <v>-337.80599999999998</v>
      </c>
      <c r="V1223" s="55">
        <f>IFERROR(Table12[[#This Row],[Profit]]/Table12[[#This Row],[Sales]],0)</f>
        <v>-0.18749999999999997</v>
      </c>
    </row>
    <row r="1224" spans="1:22" x14ac:dyDescent="0.2">
      <c r="A1224">
        <v>1223</v>
      </c>
      <c r="B1224" t="s">
        <v>6449</v>
      </c>
      <c r="C1224" s="1">
        <v>41911</v>
      </c>
      <c r="D1224" s="22">
        <f>MONTH(Table12[[#This Row],[Order Date]])</f>
        <v>9</v>
      </c>
      <c r="E1224" t="s">
        <v>2838</v>
      </c>
      <c r="F1224" t="s">
        <v>2839</v>
      </c>
      <c r="G1224" s="23" t="s">
        <v>28</v>
      </c>
      <c r="H1224" s="23" t="s">
        <v>50</v>
      </c>
      <c r="I1224" t="s">
        <v>3108</v>
      </c>
      <c r="J1224" s="23" t="s">
        <v>36</v>
      </c>
      <c r="K1224" s="22">
        <v>1</v>
      </c>
      <c r="L1224" s="1">
        <v>41915</v>
      </c>
      <c r="M1224" s="22">
        <f>Table12[[#This Row],[Ship Date]]-Table12[[#This Row],[Order Date]]</f>
        <v>4</v>
      </c>
      <c r="N1224" s="23" t="s">
        <v>45</v>
      </c>
      <c r="O1224" s="23" t="s">
        <v>23</v>
      </c>
      <c r="P1224" s="23" t="s">
        <v>132</v>
      </c>
      <c r="Q1224" s="23" t="s">
        <v>133</v>
      </c>
      <c r="R1224" s="23" t="s">
        <v>131</v>
      </c>
      <c r="S1224" s="33">
        <v>0.4</v>
      </c>
      <c r="T1224" s="13">
        <v>67.176000000000002</v>
      </c>
      <c r="U1224" s="13">
        <v>-20.152799999999999</v>
      </c>
      <c r="V1224" s="55">
        <f>IFERROR(Table12[[#This Row],[Profit]]/Table12[[#This Row],[Sales]],0)</f>
        <v>-0.3</v>
      </c>
    </row>
    <row r="1225" spans="1:22" x14ac:dyDescent="0.2">
      <c r="A1225">
        <v>1224</v>
      </c>
      <c r="B1225" t="s">
        <v>7617</v>
      </c>
      <c r="C1225" s="1">
        <v>41911</v>
      </c>
      <c r="D1225" s="22">
        <f>MONTH(Table12[[#This Row],[Order Date]])</f>
        <v>9</v>
      </c>
      <c r="E1225" t="s">
        <v>231</v>
      </c>
      <c r="F1225" t="s">
        <v>232</v>
      </c>
      <c r="G1225" s="23" t="s">
        <v>28</v>
      </c>
      <c r="H1225" s="23" t="s">
        <v>58</v>
      </c>
      <c r="I1225" t="s">
        <v>3344</v>
      </c>
      <c r="J1225" s="23" t="s">
        <v>92</v>
      </c>
      <c r="K1225" s="22">
        <v>2</v>
      </c>
      <c r="L1225" s="1">
        <v>41913</v>
      </c>
      <c r="M1225" s="22">
        <f>Table12[[#This Row],[Ship Date]]-Table12[[#This Row],[Order Date]]</f>
        <v>2</v>
      </c>
      <c r="N1225" s="23" t="s">
        <v>20</v>
      </c>
      <c r="O1225" s="23" t="s">
        <v>23</v>
      </c>
      <c r="P1225" s="23" t="s">
        <v>87</v>
      </c>
      <c r="Q1225" s="23" t="s">
        <v>39</v>
      </c>
      <c r="R1225" s="23" t="s">
        <v>86</v>
      </c>
      <c r="S1225" s="33">
        <v>0</v>
      </c>
      <c r="T1225" s="13">
        <v>6.16</v>
      </c>
      <c r="U1225" s="13">
        <v>2.9567999999999999</v>
      </c>
      <c r="V1225" s="55">
        <f>IFERROR(Table12[[#This Row],[Profit]]/Table12[[#This Row],[Sales]],0)</f>
        <v>0.48</v>
      </c>
    </row>
    <row r="1226" spans="1:22" x14ac:dyDescent="0.2">
      <c r="A1226">
        <v>1225</v>
      </c>
      <c r="B1226" t="s">
        <v>7617</v>
      </c>
      <c r="C1226" s="1">
        <v>41911</v>
      </c>
      <c r="D1226" s="22">
        <f>MONTH(Table12[[#This Row],[Order Date]])</f>
        <v>9</v>
      </c>
      <c r="E1226" t="s">
        <v>3356</v>
      </c>
      <c r="F1226" t="s">
        <v>3357</v>
      </c>
      <c r="G1226" s="23" t="s">
        <v>28</v>
      </c>
      <c r="H1226" s="23" t="s">
        <v>50</v>
      </c>
      <c r="I1226" t="s">
        <v>3344</v>
      </c>
      <c r="J1226" s="23" t="s">
        <v>92</v>
      </c>
      <c r="K1226" s="22">
        <v>9</v>
      </c>
      <c r="L1226" s="1">
        <v>41913</v>
      </c>
      <c r="M1226" s="22">
        <f>Table12[[#This Row],[Ship Date]]-Table12[[#This Row],[Order Date]]</f>
        <v>2</v>
      </c>
      <c r="N1226" s="23" t="s">
        <v>20</v>
      </c>
      <c r="O1226" s="23" t="s">
        <v>23</v>
      </c>
      <c r="P1226" s="23" t="s">
        <v>87</v>
      </c>
      <c r="Q1226" s="23" t="s">
        <v>39</v>
      </c>
      <c r="R1226" s="23" t="s">
        <v>86</v>
      </c>
      <c r="S1226" s="33">
        <v>0</v>
      </c>
      <c r="T1226" s="13">
        <v>2348.8200000000002</v>
      </c>
      <c r="U1226" s="13">
        <v>399.29939999999999</v>
      </c>
      <c r="V1226" s="55">
        <f>IFERROR(Table12[[#This Row],[Profit]]/Table12[[#This Row],[Sales]],0)</f>
        <v>0.16999999999999998</v>
      </c>
    </row>
    <row r="1227" spans="1:22" x14ac:dyDescent="0.2">
      <c r="A1227">
        <v>1226</v>
      </c>
      <c r="B1227" t="s">
        <v>7729</v>
      </c>
      <c r="C1227" s="1">
        <v>41911</v>
      </c>
      <c r="D1227" s="22">
        <f>MONTH(Table12[[#This Row],[Order Date]])</f>
        <v>9</v>
      </c>
      <c r="E1227" t="s">
        <v>5430</v>
      </c>
      <c r="F1227" t="s">
        <v>5431</v>
      </c>
      <c r="G1227" s="23" t="s">
        <v>41</v>
      </c>
      <c r="H1227" s="23" t="s">
        <v>53</v>
      </c>
      <c r="I1227" t="s">
        <v>3243</v>
      </c>
      <c r="J1227" s="23" t="s">
        <v>22</v>
      </c>
      <c r="K1227" s="22">
        <v>9</v>
      </c>
      <c r="L1227" s="1">
        <v>41915</v>
      </c>
      <c r="M1227" s="22">
        <f>Table12[[#This Row],[Ship Date]]-Table12[[#This Row],[Order Date]]</f>
        <v>4</v>
      </c>
      <c r="N1227" s="23" t="s">
        <v>20</v>
      </c>
      <c r="O1227" s="23" t="s">
        <v>23</v>
      </c>
      <c r="P1227" s="23" t="s">
        <v>238</v>
      </c>
      <c r="Q1227" s="23" t="s">
        <v>133</v>
      </c>
      <c r="R1227" s="23" t="s">
        <v>237</v>
      </c>
      <c r="S1227" s="33">
        <v>0</v>
      </c>
      <c r="T1227" s="13">
        <v>1395.54</v>
      </c>
      <c r="U1227" s="13">
        <v>362.84039999999999</v>
      </c>
      <c r="V1227" s="55">
        <f>IFERROR(Table12[[#This Row],[Profit]]/Table12[[#This Row],[Sales]],0)</f>
        <v>0.26</v>
      </c>
    </row>
    <row r="1228" spans="1:22" x14ac:dyDescent="0.2">
      <c r="A1228">
        <v>1227</v>
      </c>
      <c r="B1228" t="s">
        <v>7729</v>
      </c>
      <c r="C1228" s="1">
        <v>41911</v>
      </c>
      <c r="D1228" s="22">
        <f>MONTH(Table12[[#This Row],[Order Date]])</f>
        <v>9</v>
      </c>
      <c r="E1228" t="s">
        <v>537</v>
      </c>
      <c r="F1228" t="s">
        <v>538</v>
      </c>
      <c r="G1228" s="23" t="s">
        <v>28</v>
      </c>
      <c r="H1228" s="23" t="s">
        <v>58</v>
      </c>
      <c r="I1228" t="s">
        <v>3243</v>
      </c>
      <c r="J1228" s="23" t="s">
        <v>22</v>
      </c>
      <c r="K1228" s="22">
        <v>4</v>
      </c>
      <c r="L1228" s="1">
        <v>41915</v>
      </c>
      <c r="M1228" s="22">
        <f>Table12[[#This Row],[Ship Date]]-Table12[[#This Row],[Order Date]]</f>
        <v>4</v>
      </c>
      <c r="N1228" s="23" t="s">
        <v>20</v>
      </c>
      <c r="O1228" s="23" t="s">
        <v>23</v>
      </c>
      <c r="P1228" s="23" t="s">
        <v>238</v>
      </c>
      <c r="Q1228" s="23" t="s">
        <v>133</v>
      </c>
      <c r="R1228" s="23" t="s">
        <v>237</v>
      </c>
      <c r="S1228" s="33">
        <v>0</v>
      </c>
      <c r="T1228" s="13">
        <v>117.36</v>
      </c>
      <c r="U1228" s="13">
        <v>36.381599999999999</v>
      </c>
      <c r="V1228" s="55">
        <f>IFERROR(Table12[[#This Row],[Profit]]/Table12[[#This Row],[Sales]],0)</f>
        <v>0.31</v>
      </c>
    </row>
    <row r="1229" spans="1:22" x14ac:dyDescent="0.2">
      <c r="A1229">
        <v>1228</v>
      </c>
      <c r="B1229" t="s">
        <v>7729</v>
      </c>
      <c r="C1229" s="1">
        <v>41911</v>
      </c>
      <c r="D1229" s="22">
        <f>MONTH(Table12[[#This Row],[Order Date]])</f>
        <v>9</v>
      </c>
      <c r="E1229" t="s">
        <v>3150</v>
      </c>
      <c r="F1229" t="s">
        <v>3151</v>
      </c>
      <c r="G1229" s="23" t="s">
        <v>41</v>
      </c>
      <c r="H1229" s="23" t="s">
        <v>42</v>
      </c>
      <c r="I1229" t="s">
        <v>3243</v>
      </c>
      <c r="J1229" s="23" t="s">
        <v>22</v>
      </c>
      <c r="K1229" s="22">
        <v>3</v>
      </c>
      <c r="L1229" s="1">
        <v>41915</v>
      </c>
      <c r="M1229" s="22">
        <f>Table12[[#This Row],[Ship Date]]-Table12[[#This Row],[Order Date]]</f>
        <v>4</v>
      </c>
      <c r="N1229" s="23" t="s">
        <v>20</v>
      </c>
      <c r="O1229" s="23" t="s">
        <v>23</v>
      </c>
      <c r="P1229" s="23" t="s">
        <v>238</v>
      </c>
      <c r="Q1229" s="23" t="s">
        <v>133</v>
      </c>
      <c r="R1229" s="23" t="s">
        <v>237</v>
      </c>
      <c r="S1229" s="33">
        <v>0</v>
      </c>
      <c r="T1229" s="13">
        <v>18.899999999999999</v>
      </c>
      <c r="U1229" s="13">
        <v>8.6940000000000008</v>
      </c>
      <c r="V1229" s="55">
        <f>IFERROR(Table12[[#This Row],[Profit]]/Table12[[#This Row],[Sales]],0)</f>
        <v>0.46000000000000008</v>
      </c>
    </row>
    <row r="1230" spans="1:22" x14ac:dyDescent="0.2">
      <c r="A1230">
        <v>1229</v>
      </c>
      <c r="B1230" t="s">
        <v>7729</v>
      </c>
      <c r="C1230" s="1">
        <v>41911</v>
      </c>
      <c r="D1230" s="22">
        <f>MONTH(Table12[[#This Row],[Order Date]])</f>
        <v>9</v>
      </c>
      <c r="E1230" t="s">
        <v>3346</v>
      </c>
      <c r="F1230" t="s">
        <v>3347</v>
      </c>
      <c r="G1230" s="23" t="s">
        <v>41</v>
      </c>
      <c r="H1230" s="23" t="s">
        <v>82</v>
      </c>
      <c r="I1230" t="s">
        <v>3243</v>
      </c>
      <c r="J1230" s="23" t="s">
        <v>22</v>
      </c>
      <c r="K1230" s="22">
        <v>2</v>
      </c>
      <c r="L1230" s="1">
        <v>41915</v>
      </c>
      <c r="M1230" s="22">
        <f>Table12[[#This Row],[Ship Date]]-Table12[[#This Row],[Order Date]]</f>
        <v>4</v>
      </c>
      <c r="N1230" s="23" t="s">
        <v>20</v>
      </c>
      <c r="O1230" s="23" t="s">
        <v>23</v>
      </c>
      <c r="P1230" s="23" t="s">
        <v>238</v>
      </c>
      <c r="Q1230" s="23" t="s">
        <v>133</v>
      </c>
      <c r="R1230" s="23" t="s">
        <v>237</v>
      </c>
      <c r="S1230" s="33">
        <v>0</v>
      </c>
      <c r="T1230" s="13">
        <v>77.52</v>
      </c>
      <c r="U1230" s="13">
        <v>37.9848</v>
      </c>
      <c r="V1230" s="55">
        <f>IFERROR(Table12[[#This Row],[Profit]]/Table12[[#This Row],[Sales]],0)</f>
        <v>0.49000000000000005</v>
      </c>
    </row>
    <row r="1231" spans="1:22" x14ac:dyDescent="0.2">
      <c r="A1231">
        <v>1230</v>
      </c>
      <c r="B1231" t="s">
        <v>10017</v>
      </c>
      <c r="C1231" s="1">
        <v>41911</v>
      </c>
      <c r="D1231" s="22">
        <f>MONTH(Table12[[#This Row],[Order Date]])</f>
        <v>9</v>
      </c>
      <c r="E1231" t="s">
        <v>5043</v>
      </c>
      <c r="F1231" t="s">
        <v>5044</v>
      </c>
      <c r="G1231" s="23" t="s">
        <v>41</v>
      </c>
      <c r="H1231" s="23" t="s">
        <v>68</v>
      </c>
      <c r="I1231" t="s">
        <v>3227</v>
      </c>
      <c r="J1231" s="23" t="s">
        <v>22</v>
      </c>
      <c r="K1231" s="22">
        <v>2</v>
      </c>
      <c r="L1231" s="1">
        <v>41916</v>
      </c>
      <c r="M1231" s="22">
        <f>Table12[[#This Row],[Ship Date]]-Table12[[#This Row],[Order Date]]</f>
        <v>5</v>
      </c>
      <c r="N1231" s="23" t="s">
        <v>45</v>
      </c>
      <c r="O1231" s="23" t="s">
        <v>23</v>
      </c>
      <c r="P1231" s="23" t="s">
        <v>87</v>
      </c>
      <c r="Q1231" s="23" t="s">
        <v>39</v>
      </c>
      <c r="R1231" s="23" t="s">
        <v>86</v>
      </c>
      <c r="S1231" s="33">
        <v>0.2</v>
      </c>
      <c r="T1231" s="13">
        <v>10.048</v>
      </c>
      <c r="U1231" s="13">
        <v>3.14</v>
      </c>
      <c r="V1231" s="55">
        <f>IFERROR(Table12[[#This Row],[Profit]]/Table12[[#This Row],[Sales]],0)</f>
        <v>0.3125</v>
      </c>
    </row>
    <row r="1232" spans="1:22" x14ac:dyDescent="0.2">
      <c r="A1232">
        <v>1231</v>
      </c>
      <c r="B1232" t="s">
        <v>10017</v>
      </c>
      <c r="C1232" s="1">
        <v>41911</v>
      </c>
      <c r="D1232" s="22">
        <f>MONTH(Table12[[#This Row],[Order Date]])</f>
        <v>9</v>
      </c>
      <c r="E1232" t="s">
        <v>2640</v>
      </c>
      <c r="F1232" t="s">
        <v>2641</v>
      </c>
      <c r="G1232" s="23" t="s">
        <v>41</v>
      </c>
      <c r="H1232" s="23" t="s">
        <v>53</v>
      </c>
      <c r="I1232" t="s">
        <v>3227</v>
      </c>
      <c r="J1232" s="23" t="s">
        <v>22</v>
      </c>
      <c r="K1232" s="22">
        <v>5</v>
      </c>
      <c r="L1232" s="1">
        <v>41916</v>
      </c>
      <c r="M1232" s="22">
        <f>Table12[[#This Row],[Ship Date]]-Table12[[#This Row],[Order Date]]</f>
        <v>5</v>
      </c>
      <c r="N1232" s="23" t="s">
        <v>45</v>
      </c>
      <c r="O1232" s="23" t="s">
        <v>23</v>
      </c>
      <c r="P1232" s="23" t="s">
        <v>87</v>
      </c>
      <c r="Q1232" s="23" t="s">
        <v>39</v>
      </c>
      <c r="R1232" s="23" t="s">
        <v>86</v>
      </c>
      <c r="S1232" s="33">
        <v>0</v>
      </c>
      <c r="T1232" s="13">
        <v>807.75</v>
      </c>
      <c r="U1232" s="13">
        <v>153.4725</v>
      </c>
      <c r="V1232" s="55">
        <f>IFERROR(Table12[[#This Row],[Profit]]/Table12[[#This Row],[Sales]],0)</f>
        <v>0.19</v>
      </c>
    </row>
    <row r="1233" spans="1:22" x14ac:dyDescent="0.2">
      <c r="A1233">
        <v>1232</v>
      </c>
      <c r="B1233" t="s">
        <v>3990</v>
      </c>
      <c r="C1233" s="1">
        <v>41912</v>
      </c>
      <c r="D1233" s="22">
        <f>MONTH(Table12[[#This Row],[Order Date]])</f>
        <v>9</v>
      </c>
      <c r="E1233" t="s">
        <v>2037</v>
      </c>
      <c r="F1233" t="s">
        <v>2038</v>
      </c>
      <c r="G1233" s="23" t="s">
        <v>41</v>
      </c>
      <c r="H1233" s="23" t="s">
        <v>82</v>
      </c>
      <c r="I1233" t="s">
        <v>1176</v>
      </c>
      <c r="J1233" s="23" t="s">
        <v>22</v>
      </c>
      <c r="K1233" s="22">
        <v>1</v>
      </c>
      <c r="L1233" s="1">
        <v>41916</v>
      </c>
      <c r="M1233" s="22">
        <f>Table12[[#This Row],[Ship Date]]-Table12[[#This Row],[Order Date]]</f>
        <v>4</v>
      </c>
      <c r="N1233" s="23" t="s">
        <v>45</v>
      </c>
      <c r="O1233" s="23" t="s">
        <v>23</v>
      </c>
      <c r="P1233" s="23" t="s">
        <v>238</v>
      </c>
      <c r="Q1233" s="23" t="s">
        <v>133</v>
      </c>
      <c r="R1233" s="23" t="s">
        <v>237</v>
      </c>
      <c r="S1233" s="33">
        <v>0</v>
      </c>
      <c r="T1233" s="13">
        <v>48.94</v>
      </c>
      <c r="U1233" s="13">
        <v>24.47</v>
      </c>
      <c r="V1233" s="55">
        <f>IFERROR(Table12[[#This Row],[Profit]]/Table12[[#This Row],[Sales]],0)</f>
        <v>0.5</v>
      </c>
    </row>
    <row r="1234" spans="1:22" x14ac:dyDescent="0.2">
      <c r="A1234">
        <v>1233</v>
      </c>
      <c r="B1234" t="s">
        <v>4441</v>
      </c>
      <c r="C1234" s="1">
        <v>41912</v>
      </c>
      <c r="D1234" s="22">
        <f>MONTH(Table12[[#This Row],[Order Date]])</f>
        <v>9</v>
      </c>
      <c r="E1234" t="s">
        <v>3363</v>
      </c>
      <c r="F1234" t="s">
        <v>3364</v>
      </c>
      <c r="G1234" s="23" t="s">
        <v>41</v>
      </c>
      <c r="H1234" s="23" t="s">
        <v>82</v>
      </c>
      <c r="I1234" t="s">
        <v>4442</v>
      </c>
      <c r="J1234" s="23" t="s">
        <v>22</v>
      </c>
      <c r="K1234" s="22">
        <v>3</v>
      </c>
      <c r="L1234" s="1">
        <v>41917</v>
      </c>
      <c r="M1234" s="22">
        <f>Table12[[#This Row],[Ship Date]]-Table12[[#This Row],[Order Date]]</f>
        <v>5</v>
      </c>
      <c r="N1234" s="23" t="s">
        <v>45</v>
      </c>
      <c r="O1234" s="23" t="s">
        <v>23</v>
      </c>
      <c r="P1234" s="23" t="s">
        <v>48</v>
      </c>
      <c r="Q1234" s="23" t="s">
        <v>26</v>
      </c>
      <c r="R1234" s="23" t="s">
        <v>3056</v>
      </c>
      <c r="S1234" s="33">
        <v>0.2</v>
      </c>
      <c r="T1234" s="13">
        <v>15.552</v>
      </c>
      <c r="U1234" s="13">
        <v>5.4432</v>
      </c>
      <c r="V1234" s="55">
        <f>IFERROR(Table12[[#This Row],[Profit]]/Table12[[#This Row],[Sales]],0)</f>
        <v>0.35000000000000003</v>
      </c>
    </row>
    <row r="1235" spans="1:22" x14ac:dyDescent="0.2">
      <c r="A1235">
        <v>1234</v>
      </c>
      <c r="B1235" t="s">
        <v>4747</v>
      </c>
      <c r="C1235" s="1">
        <v>41912</v>
      </c>
      <c r="D1235" s="22">
        <f>MONTH(Table12[[#This Row],[Order Date]])</f>
        <v>9</v>
      </c>
      <c r="E1235" t="s">
        <v>1177</v>
      </c>
      <c r="F1235" t="s">
        <v>1178</v>
      </c>
      <c r="G1235" s="23" t="s">
        <v>41</v>
      </c>
      <c r="H1235" s="23" t="s">
        <v>71</v>
      </c>
      <c r="I1235" t="s">
        <v>4748</v>
      </c>
      <c r="J1235" s="23" t="s">
        <v>22</v>
      </c>
      <c r="K1235" s="22">
        <v>6</v>
      </c>
      <c r="L1235" s="1">
        <v>41916</v>
      </c>
      <c r="M1235" s="22">
        <f>Table12[[#This Row],[Ship Date]]-Table12[[#This Row],[Order Date]]</f>
        <v>4</v>
      </c>
      <c r="N1235" s="23" t="s">
        <v>45</v>
      </c>
      <c r="O1235" s="23" t="s">
        <v>23</v>
      </c>
      <c r="P1235" s="23" t="s">
        <v>299</v>
      </c>
      <c r="Q1235" s="23" t="s">
        <v>26</v>
      </c>
      <c r="R1235" s="23" t="s">
        <v>4749</v>
      </c>
      <c r="S1235" s="33">
        <v>0.2</v>
      </c>
      <c r="T1235" s="13">
        <v>69.215999999999994</v>
      </c>
      <c r="U1235" s="13">
        <v>11.2476</v>
      </c>
      <c r="V1235" s="55">
        <f>IFERROR(Table12[[#This Row],[Profit]]/Table12[[#This Row],[Sales]],0)</f>
        <v>0.16250000000000001</v>
      </c>
    </row>
    <row r="1236" spans="1:22" x14ac:dyDescent="0.2">
      <c r="A1236">
        <v>1235</v>
      </c>
      <c r="B1236" t="s">
        <v>5580</v>
      </c>
      <c r="C1236" s="1">
        <v>41912</v>
      </c>
      <c r="D1236" s="22">
        <f>MONTH(Table12[[#This Row],[Order Date]])</f>
        <v>9</v>
      </c>
      <c r="E1236" t="s">
        <v>67</v>
      </c>
      <c r="F1236" t="s">
        <v>69</v>
      </c>
      <c r="G1236" s="23" t="s">
        <v>41</v>
      </c>
      <c r="H1236" s="23" t="s">
        <v>68</v>
      </c>
      <c r="I1236" t="s">
        <v>1071</v>
      </c>
      <c r="J1236" s="23" t="s">
        <v>22</v>
      </c>
      <c r="K1236" s="22">
        <v>7</v>
      </c>
      <c r="L1236" s="1">
        <v>41916</v>
      </c>
      <c r="M1236" s="22">
        <f>Table12[[#This Row],[Ship Date]]-Table12[[#This Row],[Order Date]]</f>
        <v>4</v>
      </c>
      <c r="N1236" s="23" t="s">
        <v>45</v>
      </c>
      <c r="O1236" s="23" t="s">
        <v>23</v>
      </c>
      <c r="P1236" s="23" t="s">
        <v>87</v>
      </c>
      <c r="Q1236" s="23" t="s">
        <v>39</v>
      </c>
      <c r="R1236" s="23" t="s">
        <v>86</v>
      </c>
      <c r="S1236" s="33">
        <v>0.2</v>
      </c>
      <c r="T1236" s="13">
        <v>43.176000000000002</v>
      </c>
      <c r="U1236" s="13">
        <v>13.4925</v>
      </c>
      <c r="V1236" s="55">
        <f>IFERROR(Table12[[#This Row],[Profit]]/Table12[[#This Row],[Sales]],0)</f>
        <v>0.3125</v>
      </c>
    </row>
    <row r="1237" spans="1:22" x14ac:dyDescent="0.2">
      <c r="A1237">
        <v>1236</v>
      </c>
      <c r="B1237" t="s">
        <v>5808</v>
      </c>
      <c r="C1237" s="1">
        <v>41912</v>
      </c>
      <c r="D1237" s="22">
        <f>MONTH(Table12[[#This Row],[Order Date]])</f>
        <v>9</v>
      </c>
      <c r="E1237" t="s">
        <v>1824</v>
      </c>
      <c r="F1237" t="s">
        <v>1825</v>
      </c>
      <c r="G1237" s="23" t="s">
        <v>28</v>
      </c>
      <c r="H1237" s="23" t="s">
        <v>58</v>
      </c>
      <c r="I1237" t="s">
        <v>1437</v>
      </c>
      <c r="J1237" s="23" t="s">
        <v>36</v>
      </c>
      <c r="K1237" s="22">
        <v>3</v>
      </c>
      <c r="L1237" s="1">
        <v>41918</v>
      </c>
      <c r="M1237" s="22">
        <f>Table12[[#This Row],[Ship Date]]-Table12[[#This Row],[Order Date]]</f>
        <v>6</v>
      </c>
      <c r="N1237" s="23" t="s">
        <v>45</v>
      </c>
      <c r="O1237" s="23" t="s">
        <v>23</v>
      </c>
      <c r="P1237" s="23" t="s">
        <v>238</v>
      </c>
      <c r="Q1237" s="23" t="s">
        <v>133</v>
      </c>
      <c r="R1237" s="23" t="s">
        <v>237</v>
      </c>
      <c r="S1237" s="33">
        <v>0</v>
      </c>
      <c r="T1237" s="13">
        <v>15.24</v>
      </c>
      <c r="U1237" s="13">
        <v>5.1816000000000004</v>
      </c>
      <c r="V1237" s="55">
        <f>IFERROR(Table12[[#This Row],[Profit]]/Table12[[#This Row],[Sales]],0)</f>
        <v>0.34</v>
      </c>
    </row>
    <row r="1238" spans="1:22" x14ac:dyDescent="0.2">
      <c r="A1238">
        <v>1237</v>
      </c>
      <c r="B1238" t="s">
        <v>8683</v>
      </c>
      <c r="C1238" s="1">
        <v>41912</v>
      </c>
      <c r="D1238" s="22">
        <f>MONTH(Table12[[#This Row],[Order Date]])</f>
        <v>9</v>
      </c>
      <c r="E1238" t="s">
        <v>719</v>
      </c>
      <c r="F1238" t="s">
        <v>720</v>
      </c>
      <c r="G1238" s="23" t="s">
        <v>41</v>
      </c>
      <c r="H1238" s="23" t="s">
        <v>71</v>
      </c>
      <c r="I1238" t="s">
        <v>5560</v>
      </c>
      <c r="J1238" s="23" t="s">
        <v>36</v>
      </c>
      <c r="K1238" s="22">
        <v>6</v>
      </c>
      <c r="L1238" s="1">
        <v>41912</v>
      </c>
      <c r="M1238" s="22">
        <f>Table12[[#This Row],[Ship Date]]-Table12[[#This Row],[Order Date]]</f>
        <v>0</v>
      </c>
      <c r="N1238" s="23" t="s">
        <v>1141</v>
      </c>
      <c r="O1238" s="23" t="s">
        <v>23</v>
      </c>
      <c r="P1238" s="23" t="s">
        <v>441</v>
      </c>
      <c r="Q1238" s="23" t="s">
        <v>133</v>
      </c>
      <c r="R1238" s="23" t="s">
        <v>659</v>
      </c>
      <c r="S1238" s="33">
        <v>0.2</v>
      </c>
      <c r="T1238" s="13">
        <v>795.40800000000002</v>
      </c>
      <c r="U1238" s="13">
        <v>59.6556</v>
      </c>
      <c r="V1238" s="55">
        <f>IFERROR(Table12[[#This Row],[Profit]]/Table12[[#This Row],[Sales]],0)</f>
        <v>7.4999999999999997E-2</v>
      </c>
    </row>
    <row r="1239" spans="1:22" x14ac:dyDescent="0.2">
      <c r="A1239">
        <v>1238</v>
      </c>
      <c r="B1239" t="s">
        <v>9411</v>
      </c>
      <c r="C1239" s="1">
        <v>41913</v>
      </c>
      <c r="D1239" s="22">
        <f>MONTH(Table12[[#This Row],[Order Date]])</f>
        <v>10</v>
      </c>
      <c r="E1239" t="s">
        <v>9119</v>
      </c>
      <c r="F1239" t="s">
        <v>9120</v>
      </c>
      <c r="G1239" s="23" t="s">
        <v>41</v>
      </c>
      <c r="H1239" s="23" t="s">
        <v>240</v>
      </c>
      <c r="I1239" t="s">
        <v>6604</v>
      </c>
      <c r="J1239" s="23" t="s">
        <v>92</v>
      </c>
      <c r="K1239" s="22">
        <v>1</v>
      </c>
      <c r="L1239" s="1">
        <v>41917</v>
      </c>
      <c r="M1239" s="22">
        <f>Table12[[#This Row],[Ship Date]]-Table12[[#This Row],[Order Date]]</f>
        <v>4</v>
      </c>
      <c r="N1239" s="23" t="s">
        <v>45</v>
      </c>
      <c r="O1239" s="23" t="s">
        <v>23</v>
      </c>
      <c r="P1239" s="23" t="s">
        <v>1229</v>
      </c>
      <c r="Q1239" s="23" t="s">
        <v>39</v>
      </c>
      <c r="R1239" s="23" t="s">
        <v>2927</v>
      </c>
      <c r="S1239" s="33">
        <v>0</v>
      </c>
      <c r="T1239" s="13">
        <v>4.71</v>
      </c>
      <c r="U1239" s="13">
        <v>0</v>
      </c>
      <c r="V1239" s="55">
        <f>IFERROR(Table12[[#This Row],[Profit]]/Table12[[#This Row],[Sales]],0)</f>
        <v>0</v>
      </c>
    </row>
    <row r="1240" spans="1:22" x14ac:dyDescent="0.2">
      <c r="A1240">
        <v>1239</v>
      </c>
      <c r="B1240" t="s">
        <v>5750</v>
      </c>
      <c r="C1240" s="1">
        <v>41914</v>
      </c>
      <c r="D1240" s="22">
        <f>MONTH(Table12[[#This Row],[Order Date]])</f>
        <v>10</v>
      </c>
      <c r="E1240" t="s">
        <v>3532</v>
      </c>
      <c r="F1240" t="s">
        <v>3533</v>
      </c>
      <c r="G1240" s="23" t="s">
        <v>41</v>
      </c>
      <c r="H1240" s="23" t="s">
        <v>82</v>
      </c>
      <c r="I1240" t="s">
        <v>197</v>
      </c>
      <c r="J1240" s="23" t="s">
        <v>36</v>
      </c>
      <c r="K1240" s="22">
        <v>2</v>
      </c>
      <c r="L1240" s="1">
        <v>41917</v>
      </c>
      <c r="M1240" s="22">
        <f>Table12[[#This Row],[Ship Date]]-Table12[[#This Row],[Order Date]]</f>
        <v>3</v>
      </c>
      <c r="N1240" s="23" t="s">
        <v>169</v>
      </c>
      <c r="O1240" s="23" t="s">
        <v>23</v>
      </c>
      <c r="P1240" s="23" t="s">
        <v>277</v>
      </c>
      <c r="Q1240" s="23" t="s">
        <v>39</v>
      </c>
      <c r="R1240" s="23" t="s">
        <v>3595</v>
      </c>
      <c r="S1240" s="33">
        <v>0.2</v>
      </c>
      <c r="T1240" s="13">
        <v>9.4079999999999995</v>
      </c>
      <c r="U1240" s="13">
        <v>3.4104000000000001</v>
      </c>
      <c r="V1240" s="55">
        <f>IFERROR(Table12[[#This Row],[Profit]]/Table12[[#This Row],[Sales]],0)</f>
        <v>0.36250000000000004</v>
      </c>
    </row>
    <row r="1241" spans="1:22" x14ac:dyDescent="0.2">
      <c r="A1241">
        <v>1240</v>
      </c>
      <c r="B1241" t="s">
        <v>5750</v>
      </c>
      <c r="C1241" s="1">
        <v>41914</v>
      </c>
      <c r="D1241" s="22">
        <f>MONTH(Table12[[#This Row],[Order Date]])</f>
        <v>10</v>
      </c>
      <c r="E1241" t="s">
        <v>2915</v>
      </c>
      <c r="F1241" t="s">
        <v>498</v>
      </c>
      <c r="G1241" s="23" t="s">
        <v>41</v>
      </c>
      <c r="H1241" s="23" t="s">
        <v>240</v>
      </c>
      <c r="I1241" t="s">
        <v>197</v>
      </c>
      <c r="J1241" s="23" t="s">
        <v>36</v>
      </c>
      <c r="K1241" s="22">
        <v>2</v>
      </c>
      <c r="L1241" s="1">
        <v>41917</v>
      </c>
      <c r="M1241" s="22">
        <f>Table12[[#This Row],[Ship Date]]-Table12[[#This Row],[Order Date]]</f>
        <v>3</v>
      </c>
      <c r="N1241" s="23" t="s">
        <v>169</v>
      </c>
      <c r="O1241" s="23" t="s">
        <v>23</v>
      </c>
      <c r="P1241" s="23" t="s">
        <v>277</v>
      </c>
      <c r="Q1241" s="23" t="s">
        <v>39</v>
      </c>
      <c r="R1241" s="23" t="s">
        <v>3595</v>
      </c>
      <c r="S1241" s="33">
        <v>0.2</v>
      </c>
      <c r="T1241" s="13">
        <v>4.6719999999999997</v>
      </c>
      <c r="U1241" s="13">
        <v>1.46</v>
      </c>
      <c r="V1241" s="55">
        <f>IFERROR(Table12[[#This Row],[Profit]]/Table12[[#This Row],[Sales]],0)</f>
        <v>0.3125</v>
      </c>
    </row>
    <row r="1242" spans="1:22" x14ac:dyDescent="0.2">
      <c r="A1242">
        <v>1241</v>
      </c>
      <c r="B1242" t="s">
        <v>5750</v>
      </c>
      <c r="C1242" s="1">
        <v>41914</v>
      </c>
      <c r="D1242" s="22">
        <f>MONTH(Table12[[#This Row],[Order Date]])</f>
        <v>10</v>
      </c>
      <c r="E1242" t="s">
        <v>923</v>
      </c>
      <c r="F1242" t="s">
        <v>924</v>
      </c>
      <c r="G1242" s="23" t="s">
        <v>64</v>
      </c>
      <c r="H1242" s="23" t="s">
        <v>65</v>
      </c>
      <c r="I1242" t="s">
        <v>197</v>
      </c>
      <c r="J1242" s="23" t="s">
        <v>36</v>
      </c>
      <c r="K1242" s="22">
        <v>2</v>
      </c>
      <c r="L1242" s="1">
        <v>41917</v>
      </c>
      <c r="M1242" s="22">
        <f>Table12[[#This Row],[Ship Date]]-Table12[[#This Row],[Order Date]]</f>
        <v>3</v>
      </c>
      <c r="N1242" s="23" t="s">
        <v>169</v>
      </c>
      <c r="O1242" s="23" t="s">
        <v>23</v>
      </c>
      <c r="P1242" s="23" t="s">
        <v>277</v>
      </c>
      <c r="Q1242" s="23" t="s">
        <v>39</v>
      </c>
      <c r="R1242" s="23" t="s">
        <v>3595</v>
      </c>
      <c r="S1242" s="33">
        <v>0.2</v>
      </c>
      <c r="T1242" s="13">
        <v>318.39999999999998</v>
      </c>
      <c r="U1242" s="13">
        <v>107.46</v>
      </c>
      <c r="V1242" s="55">
        <f>IFERROR(Table12[[#This Row],[Profit]]/Table12[[#This Row],[Sales]],0)</f>
        <v>0.33750000000000002</v>
      </c>
    </row>
    <row r="1243" spans="1:22" x14ac:dyDescent="0.2">
      <c r="A1243">
        <v>1242</v>
      </c>
      <c r="B1243" t="s">
        <v>5750</v>
      </c>
      <c r="C1243" s="1">
        <v>41914</v>
      </c>
      <c r="D1243" s="22">
        <f>MONTH(Table12[[#This Row],[Order Date]])</f>
        <v>10</v>
      </c>
      <c r="E1243" t="s">
        <v>5751</v>
      </c>
      <c r="F1243" t="s">
        <v>5752</v>
      </c>
      <c r="G1243" s="23" t="s">
        <v>41</v>
      </c>
      <c r="H1243" s="23" t="s">
        <v>155</v>
      </c>
      <c r="I1243" t="s">
        <v>197</v>
      </c>
      <c r="J1243" s="23" t="s">
        <v>36</v>
      </c>
      <c r="K1243" s="22">
        <v>6</v>
      </c>
      <c r="L1243" s="1">
        <v>41917</v>
      </c>
      <c r="M1243" s="22">
        <f>Table12[[#This Row],[Ship Date]]-Table12[[#This Row],[Order Date]]</f>
        <v>3</v>
      </c>
      <c r="N1243" s="23" t="s">
        <v>169</v>
      </c>
      <c r="O1243" s="23" t="s">
        <v>23</v>
      </c>
      <c r="P1243" s="23" t="s">
        <v>277</v>
      </c>
      <c r="Q1243" s="23" t="s">
        <v>39</v>
      </c>
      <c r="R1243" s="23" t="s">
        <v>3595</v>
      </c>
      <c r="S1243" s="33">
        <v>0.2</v>
      </c>
      <c r="T1243" s="13">
        <v>12.768000000000001</v>
      </c>
      <c r="U1243" s="13">
        <v>4.6284000000000001</v>
      </c>
      <c r="V1243" s="55">
        <f>IFERROR(Table12[[#This Row],[Profit]]/Table12[[#This Row],[Sales]],0)</f>
        <v>0.36249999999999999</v>
      </c>
    </row>
    <row r="1244" spans="1:22" x14ac:dyDescent="0.2">
      <c r="A1244">
        <v>1243</v>
      </c>
      <c r="B1244" t="s">
        <v>5750</v>
      </c>
      <c r="C1244" s="1">
        <v>41914</v>
      </c>
      <c r="D1244" s="22">
        <f>MONTH(Table12[[#This Row],[Order Date]])</f>
        <v>10</v>
      </c>
      <c r="E1244" t="s">
        <v>5753</v>
      </c>
      <c r="F1244" t="s">
        <v>5754</v>
      </c>
      <c r="G1244" s="23" t="s">
        <v>41</v>
      </c>
      <c r="H1244" s="23" t="s">
        <v>513</v>
      </c>
      <c r="I1244" t="s">
        <v>197</v>
      </c>
      <c r="J1244" s="23" t="s">
        <v>36</v>
      </c>
      <c r="K1244" s="22">
        <v>2</v>
      </c>
      <c r="L1244" s="1">
        <v>41917</v>
      </c>
      <c r="M1244" s="22">
        <f>Table12[[#This Row],[Ship Date]]-Table12[[#This Row],[Order Date]]</f>
        <v>3</v>
      </c>
      <c r="N1244" s="23" t="s">
        <v>169</v>
      </c>
      <c r="O1244" s="23" t="s">
        <v>23</v>
      </c>
      <c r="P1244" s="23" t="s">
        <v>277</v>
      </c>
      <c r="Q1244" s="23" t="s">
        <v>39</v>
      </c>
      <c r="R1244" s="23" t="s">
        <v>3595</v>
      </c>
      <c r="S1244" s="33">
        <v>0.2</v>
      </c>
      <c r="T1244" s="13">
        <v>15.36</v>
      </c>
      <c r="U1244" s="13">
        <v>-3.2639999999999998</v>
      </c>
      <c r="V1244" s="55">
        <f>IFERROR(Table12[[#This Row],[Profit]]/Table12[[#This Row],[Sales]],0)</f>
        <v>-0.21249999999999999</v>
      </c>
    </row>
    <row r="1245" spans="1:22" x14ac:dyDescent="0.2">
      <c r="A1245">
        <v>1244</v>
      </c>
      <c r="B1245" t="s">
        <v>5750</v>
      </c>
      <c r="C1245" s="1">
        <v>41914</v>
      </c>
      <c r="D1245" s="22">
        <f>MONTH(Table12[[#This Row],[Order Date]])</f>
        <v>10</v>
      </c>
      <c r="E1245" t="s">
        <v>2276</v>
      </c>
      <c r="F1245" t="s">
        <v>2277</v>
      </c>
      <c r="G1245" s="23" t="s">
        <v>64</v>
      </c>
      <c r="H1245" s="23" t="s">
        <v>65</v>
      </c>
      <c r="I1245" t="s">
        <v>197</v>
      </c>
      <c r="J1245" s="23" t="s">
        <v>36</v>
      </c>
      <c r="K1245" s="22">
        <v>3</v>
      </c>
      <c r="L1245" s="1">
        <v>41917</v>
      </c>
      <c r="M1245" s="22">
        <f>Table12[[#This Row],[Ship Date]]-Table12[[#This Row],[Order Date]]</f>
        <v>3</v>
      </c>
      <c r="N1245" s="23" t="s">
        <v>169</v>
      </c>
      <c r="O1245" s="23" t="s">
        <v>23</v>
      </c>
      <c r="P1245" s="23" t="s">
        <v>277</v>
      </c>
      <c r="Q1245" s="23" t="s">
        <v>39</v>
      </c>
      <c r="R1245" s="23" t="s">
        <v>3595</v>
      </c>
      <c r="S1245" s="33">
        <v>0.2</v>
      </c>
      <c r="T1245" s="13">
        <v>230.376</v>
      </c>
      <c r="U1245" s="13">
        <v>20.157900000000001</v>
      </c>
      <c r="V1245" s="55">
        <f>IFERROR(Table12[[#This Row],[Profit]]/Table12[[#This Row],[Sales]],0)</f>
        <v>8.7500000000000008E-2</v>
      </c>
    </row>
    <row r="1246" spans="1:22" x14ac:dyDescent="0.2">
      <c r="A1246">
        <v>1245</v>
      </c>
      <c r="B1246" t="s">
        <v>5750</v>
      </c>
      <c r="C1246" s="1">
        <v>41914</v>
      </c>
      <c r="D1246" s="22">
        <f>MONTH(Table12[[#This Row],[Order Date]])</f>
        <v>10</v>
      </c>
      <c r="E1246" t="s">
        <v>3664</v>
      </c>
      <c r="F1246" t="s">
        <v>3665</v>
      </c>
      <c r="G1246" s="23" t="s">
        <v>64</v>
      </c>
      <c r="H1246" s="23" t="s">
        <v>144</v>
      </c>
      <c r="I1246" t="s">
        <v>197</v>
      </c>
      <c r="J1246" s="23" t="s">
        <v>36</v>
      </c>
      <c r="K1246" s="22">
        <v>1</v>
      </c>
      <c r="L1246" s="1">
        <v>41917</v>
      </c>
      <c r="M1246" s="22">
        <f>Table12[[#This Row],[Ship Date]]-Table12[[#This Row],[Order Date]]</f>
        <v>3</v>
      </c>
      <c r="N1246" s="23" t="s">
        <v>169</v>
      </c>
      <c r="O1246" s="23" t="s">
        <v>23</v>
      </c>
      <c r="P1246" s="23" t="s">
        <v>277</v>
      </c>
      <c r="Q1246" s="23" t="s">
        <v>39</v>
      </c>
      <c r="R1246" s="23" t="s">
        <v>3595</v>
      </c>
      <c r="S1246" s="33">
        <v>0.2</v>
      </c>
      <c r="T1246" s="13">
        <v>7.16</v>
      </c>
      <c r="U1246" s="13">
        <v>-8.9499999999999996E-2</v>
      </c>
      <c r="V1246" s="55">
        <f>IFERROR(Table12[[#This Row],[Profit]]/Table12[[#This Row],[Sales]],0)</f>
        <v>-1.2499999999999999E-2</v>
      </c>
    </row>
    <row r="1247" spans="1:22" x14ac:dyDescent="0.2">
      <c r="A1247">
        <v>1246</v>
      </c>
      <c r="B1247" t="s">
        <v>3285</v>
      </c>
      <c r="C1247" s="1">
        <v>41915</v>
      </c>
      <c r="D1247" s="22">
        <f>MONTH(Table12[[#This Row],[Order Date]])</f>
        <v>10</v>
      </c>
      <c r="E1247" t="s">
        <v>2803</v>
      </c>
      <c r="F1247" t="s">
        <v>2804</v>
      </c>
      <c r="G1247" s="23" t="s">
        <v>28</v>
      </c>
      <c r="H1247" s="23" t="s">
        <v>32</v>
      </c>
      <c r="I1247" t="s">
        <v>3286</v>
      </c>
      <c r="J1247" s="23" t="s">
        <v>22</v>
      </c>
      <c r="K1247" s="22">
        <v>3</v>
      </c>
      <c r="L1247" s="1">
        <v>41920</v>
      </c>
      <c r="M1247" s="22">
        <f>Table12[[#This Row],[Ship Date]]-Table12[[#This Row],[Order Date]]</f>
        <v>5</v>
      </c>
      <c r="N1247" s="23" t="s">
        <v>20</v>
      </c>
      <c r="O1247" s="23" t="s">
        <v>23</v>
      </c>
      <c r="P1247" s="23" t="s">
        <v>189</v>
      </c>
      <c r="Q1247" s="23" t="s">
        <v>95</v>
      </c>
      <c r="R1247" s="23" t="s">
        <v>2094</v>
      </c>
      <c r="S1247" s="33">
        <v>0.3</v>
      </c>
      <c r="T1247" s="13">
        <v>258.279</v>
      </c>
      <c r="U1247" s="13">
        <v>-70.104299999999995</v>
      </c>
      <c r="V1247" s="55">
        <f>IFERROR(Table12[[#This Row],[Profit]]/Table12[[#This Row],[Sales]],0)</f>
        <v>-0.27142857142857141</v>
      </c>
    </row>
    <row r="1248" spans="1:22" x14ac:dyDescent="0.2">
      <c r="A1248">
        <v>1247</v>
      </c>
      <c r="B1248" t="s">
        <v>4680</v>
      </c>
      <c r="C1248" s="1">
        <v>41915</v>
      </c>
      <c r="D1248" s="22">
        <f>MONTH(Table12[[#This Row],[Order Date]])</f>
        <v>10</v>
      </c>
      <c r="E1248" t="s">
        <v>4681</v>
      </c>
      <c r="F1248" t="s">
        <v>4682</v>
      </c>
      <c r="G1248" s="23" t="s">
        <v>28</v>
      </c>
      <c r="H1248" s="23" t="s">
        <v>50</v>
      </c>
      <c r="I1248" t="s">
        <v>1172</v>
      </c>
      <c r="J1248" s="23" t="s">
        <v>36</v>
      </c>
      <c r="K1248" s="22">
        <v>1</v>
      </c>
      <c r="L1248" s="1">
        <v>41920</v>
      </c>
      <c r="M1248" s="22">
        <f>Table12[[#This Row],[Ship Date]]-Table12[[#This Row],[Order Date]]</f>
        <v>5</v>
      </c>
      <c r="N1248" s="23" t="s">
        <v>20</v>
      </c>
      <c r="O1248" s="23" t="s">
        <v>23</v>
      </c>
      <c r="P1248" s="23" t="s">
        <v>38</v>
      </c>
      <c r="Q1248" s="23" t="s">
        <v>39</v>
      </c>
      <c r="R1248" s="23" t="s">
        <v>37</v>
      </c>
      <c r="S1248" s="33">
        <v>0.2</v>
      </c>
      <c r="T1248" s="13">
        <v>143.43199999999999</v>
      </c>
      <c r="U1248" s="13">
        <v>3.5857999999999999</v>
      </c>
      <c r="V1248" s="55">
        <f>IFERROR(Table12[[#This Row],[Profit]]/Table12[[#This Row],[Sales]],0)</f>
        <v>2.5000000000000001E-2</v>
      </c>
    </row>
    <row r="1249" spans="1:22" x14ac:dyDescent="0.2">
      <c r="A1249">
        <v>1248</v>
      </c>
      <c r="B1249" t="s">
        <v>4680</v>
      </c>
      <c r="C1249" s="1">
        <v>41915</v>
      </c>
      <c r="D1249" s="22">
        <f>MONTH(Table12[[#This Row],[Order Date]])</f>
        <v>10</v>
      </c>
      <c r="E1249" t="s">
        <v>134</v>
      </c>
      <c r="F1249" t="s">
        <v>135</v>
      </c>
      <c r="G1249" s="23" t="s">
        <v>28</v>
      </c>
      <c r="H1249" s="23" t="s">
        <v>32</v>
      </c>
      <c r="I1249" t="s">
        <v>1172</v>
      </c>
      <c r="J1249" s="23" t="s">
        <v>36</v>
      </c>
      <c r="K1249" s="22">
        <v>3</v>
      </c>
      <c r="L1249" s="1">
        <v>41920</v>
      </c>
      <c r="M1249" s="22">
        <f>Table12[[#This Row],[Ship Date]]-Table12[[#This Row],[Order Date]]</f>
        <v>5</v>
      </c>
      <c r="N1249" s="23" t="s">
        <v>20</v>
      </c>
      <c r="O1249" s="23" t="s">
        <v>23</v>
      </c>
      <c r="P1249" s="23" t="s">
        <v>38</v>
      </c>
      <c r="Q1249" s="23" t="s">
        <v>39</v>
      </c>
      <c r="R1249" s="23" t="s">
        <v>37</v>
      </c>
      <c r="S1249" s="33">
        <v>0.2</v>
      </c>
      <c r="T1249" s="13">
        <v>122.352</v>
      </c>
      <c r="U1249" s="13">
        <v>13.7646</v>
      </c>
      <c r="V1249" s="55">
        <f>IFERROR(Table12[[#This Row],[Profit]]/Table12[[#This Row],[Sales]],0)</f>
        <v>0.11249999999999999</v>
      </c>
    </row>
    <row r="1250" spans="1:22" x14ac:dyDescent="0.2">
      <c r="A1250">
        <v>1249</v>
      </c>
      <c r="B1250" t="s">
        <v>7089</v>
      </c>
      <c r="C1250" s="1">
        <v>41915</v>
      </c>
      <c r="D1250" s="22">
        <f>MONTH(Table12[[#This Row],[Order Date]])</f>
        <v>10</v>
      </c>
      <c r="E1250" t="s">
        <v>5268</v>
      </c>
      <c r="F1250" t="s">
        <v>5269</v>
      </c>
      <c r="G1250" s="23" t="s">
        <v>41</v>
      </c>
      <c r="H1250" s="23" t="s">
        <v>53</v>
      </c>
      <c r="I1250" t="s">
        <v>2614</v>
      </c>
      <c r="J1250" s="23" t="s">
        <v>92</v>
      </c>
      <c r="K1250" s="22">
        <v>2</v>
      </c>
      <c r="L1250" s="1">
        <v>41921</v>
      </c>
      <c r="M1250" s="22">
        <f>Table12[[#This Row],[Ship Date]]-Table12[[#This Row],[Order Date]]</f>
        <v>6</v>
      </c>
      <c r="N1250" s="23" t="s">
        <v>45</v>
      </c>
      <c r="O1250" s="23" t="s">
        <v>23</v>
      </c>
      <c r="P1250" s="23" t="s">
        <v>80</v>
      </c>
      <c r="Q1250" s="23" t="s">
        <v>26</v>
      </c>
      <c r="R1250" s="23" t="s">
        <v>333</v>
      </c>
      <c r="S1250" s="33">
        <v>0.2</v>
      </c>
      <c r="T1250" s="13">
        <v>61.567999999999998</v>
      </c>
      <c r="U1250" s="13">
        <v>4.6176000000000004</v>
      </c>
      <c r="V1250" s="55">
        <f>IFERROR(Table12[[#This Row],[Profit]]/Table12[[#This Row],[Sales]],0)</f>
        <v>7.5000000000000011E-2</v>
      </c>
    </row>
    <row r="1251" spans="1:22" x14ac:dyDescent="0.2">
      <c r="A1251">
        <v>1250</v>
      </c>
      <c r="B1251" t="s">
        <v>7089</v>
      </c>
      <c r="C1251" s="1">
        <v>41915</v>
      </c>
      <c r="D1251" s="22">
        <f>MONTH(Table12[[#This Row],[Order Date]])</f>
        <v>10</v>
      </c>
      <c r="E1251" t="s">
        <v>2326</v>
      </c>
      <c r="F1251" t="s">
        <v>2327</v>
      </c>
      <c r="G1251" s="23" t="s">
        <v>41</v>
      </c>
      <c r="H1251" s="23" t="s">
        <v>61</v>
      </c>
      <c r="I1251" t="s">
        <v>2614</v>
      </c>
      <c r="J1251" s="23" t="s">
        <v>92</v>
      </c>
      <c r="K1251" s="22">
        <v>3</v>
      </c>
      <c r="L1251" s="1">
        <v>41921</v>
      </c>
      <c r="M1251" s="22">
        <f>Table12[[#This Row],[Ship Date]]-Table12[[#This Row],[Order Date]]</f>
        <v>6</v>
      </c>
      <c r="N1251" s="23" t="s">
        <v>45</v>
      </c>
      <c r="O1251" s="23" t="s">
        <v>23</v>
      </c>
      <c r="P1251" s="23" t="s">
        <v>80</v>
      </c>
      <c r="Q1251" s="23" t="s">
        <v>26</v>
      </c>
      <c r="R1251" s="23" t="s">
        <v>333</v>
      </c>
      <c r="S1251" s="33">
        <v>0.2</v>
      </c>
      <c r="T1251" s="13">
        <v>6.1920000000000002</v>
      </c>
      <c r="U1251" s="13">
        <v>0.46439999999999998</v>
      </c>
      <c r="V1251" s="55">
        <f>IFERROR(Table12[[#This Row],[Profit]]/Table12[[#This Row],[Sales]],0)</f>
        <v>7.4999999999999997E-2</v>
      </c>
    </row>
    <row r="1252" spans="1:22" x14ac:dyDescent="0.2">
      <c r="A1252">
        <v>1251</v>
      </c>
      <c r="B1252" t="s">
        <v>7595</v>
      </c>
      <c r="C1252" s="1">
        <v>41915</v>
      </c>
      <c r="D1252" s="22">
        <f>MONTH(Table12[[#This Row],[Order Date]])</f>
        <v>10</v>
      </c>
      <c r="E1252" t="s">
        <v>7596</v>
      </c>
      <c r="F1252" t="s">
        <v>7597</v>
      </c>
      <c r="G1252" s="23" t="s">
        <v>41</v>
      </c>
      <c r="H1252" s="23" t="s">
        <v>61</v>
      </c>
      <c r="I1252" t="s">
        <v>1194</v>
      </c>
      <c r="J1252" s="23" t="s">
        <v>22</v>
      </c>
      <c r="K1252" s="22">
        <v>2</v>
      </c>
      <c r="L1252" s="1">
        <v>41915</v>
      </c>
      <c r="M1252" s="22">
        <f>Table12[[#This Row],[Ship Date]]-Table12[[#This Row],[Order Date]]</f>
        <v>0</v>
      </c>
      <c r="N1252" s="23" t="s">
        <v>1141</v>
      </c>
      <c r="O1252" s="23" t="s">
        <v>23</v>
      </c>
      <c r="P1252" s="23" t="s">
        <v>441</v>
      </c>
      <c r="Q1252" s="23" t="s">
        <v>133</v>
      </c>
      <c r="R1252" s="23" t="s">
        <v>440</v>
      </c>
      <c r="S1252" s="33">
        <v>0.2</v>
      </c>
      <c r="T1252" s="13">
        <v>55.984000000000002</v>
      </c>
      <c r="U1252" s="13">
        <v>4.1988000000000003</v>
      </c>
      <c r="V1252" s="55">
        <f>IFERROR(Table12[[#This Row],[Profit]]/Table12[[#This Row],[Sales]],0)</f>
        <v>7.4999999999999997E-2</v>
      </c>
    </row>
    <row r="1253" spans="1:22" x14ac:dyDescent="0.2">
      <c r="A1253">
        <v>1252</v>
      </c>
      <c r="B1253" t="s">
        <v>7595</v>
      </c>
      <c r="C1253" s="1">
        <v>41915</v>
      </c>
      <c r="D1253" s="22">
        <f>MONTH(Table12[[#This Row],[Order Date]])</f>
        <v>10</v>
      </c>
      <c r="E1253" t="s">
        <v>521</v>
      </c>
      <c r="F1253" t="s">
        <v>522</v>
      </c>
      <c r="G1253" s="23" t="s">
        <v>41</v>
      </c>
      <c r="H1253" s="23" t="s">
        <v>155</v>
      </c>
      <c r="I1253" t="s">
        <v>1194</v>
      </c>
      <c r="J1253" s="23" t="s">
        <v>22</v>
      </c>
      <c r="K1253" s="22">
        <v>5</v>
      </c>
      <c r="L1253" s="1">
        <v>41915</v>
      </c>
      <c r="M1253" s="22">
        <f>Table12[[#This Row],[Ship Date]]-Table12[[#This Row],[Order Date]]</f>
        <v>0</v>
      </c>
      <c r="N1253" s="23" t="s">
        <v>1141</v>
      </c>
      <c r="O1253" s="23" t="s">
        <v>23</v>
      </c>
      <c r="P1253" s="23" t="s">
        <v>441</v>
      </c>
      <c r="Q1253" s="23" t="s">
        <v>133</v>
      </c>
      <c r="R1253" s="23" t="s">
        <v>440</v>
      </c>
      <c r="S1253" s="33">
        <v>0.2</v>
      </c>
      <c r="T1253" s="13">
        <v>14.48</v>
      </c>
      <c r="U1253" s="13">
        <v>4.8869999999999996</v>
      </c>
      <c r="V1253" s="55">
        <f>IFERROR(Table12[[#This Row],[Profit]]/Table12[[#This Row],[Sales]],0)</f>
        <v>0.33749999999999997</v>
      </c>
    </row>
    <row r="1254" spans="1:22" x14ac:dyDescent="0.2">
      <c r="A1254">
        <v>1253</v>
      </c>
      <c r="B1254" t="s">
        <v>7595</v>
      </c>
      <c r="C1254" s="1">
        <v>41915</v>
      </c>
      <c r="D1254" s="22">
        <f>MONTH(Table12[[#This Row],[Order Date]])</f>
        <v>10</v>
      </c>
      <c r="E1254" t="s">
        <v>3824</v>
      </c>
      <c r="F1254" t="s">
        <v>3825</v>
      </c>
      <c r="G1254" s="23" t="s">
        <v>64</v>
      </c>
      <c r="H1254" s="23" t="s">
        <v>144</v>
      </c>
      <c r="I1254" t="s">
        <v>1194</v>
      </c>
      <c r="J1254" s="23" t="s">
        <v>22</v>
      </c>
      <c r="K1254" s="22">
        <v>3</v>
      </c>
      <c r="L1254" s="1">
        <v>41915</v>
      </c>
      <c r="M1254" s="22">
        <f>Table12[[#This Row],[Ship Date]]-Table12[[#This Row],[Order Date]]</f>
        <v>0</v>
      </c>
      <c r="N1254" s="23" t="s">
        <v>1141</v>
      </c>
      <c r="O1254" s="23" t="s">
        <v>23</v>
      </c>
      <c r="P1254" s="23" t="s">
        <v>441</v>
      </c>
      <c r="Q1254" s="23" t="s">
        <v>133</v>
      </c>
      <c r="R1254" s="23" t="s">
        <v>440</v>
      </c>
      <c r="S1254" s="33">
        <v>0.2</v>
      </c>
      <c r="T1254" s="13">
        <v>142.488</v>
      </c>
      <c r="U1254" s="13">
        <v>-3.5621999999999998</v>
      </c>
      <c r="V1254" s="55">
        <f>IFERROR(Table12[[#This Row],[Profit]]/Table12[[#This Row],[Sales]],0)</f>
        <v>-2.4999999999999998E-2</v>
      </c>
    </row>
    <row r="1255" spans="1:22" x14ac:dyDescent="0.2">
      <c r="A1255">
        <v>1254</v>
      </c>
      <c r="B1255" t="s">
        <v>9118</v>
      </c>
      <c r="C1255" s="1">
        <v>41915</v>
      </c>
      <c r="D1255" s="22">
        <f>MONTH(Table12[[#This Row],[Order Date]])</f>
        <v>10</v>
      </c>
      <c r="E1255" t="s">
        <v>3822</v>
      </c>
      <c r="F1255" t="s">
        <v>3823</v>
      </c>
      <c r="G1255" s="23" t="s">
        <v>41</v>
      </c>
      <c r="H1255" s="23" t="s">
        <v>240</v>
      </c>
      <c r="I1255" t="s">
        <v>5988</v>
      </c>
      <c r="J1255" s="23" t="s">
        <v>22</v>
      </c>
      <c r="K1255" s="22">
        <v>3</v>
      </c>
      <c r="L1255" s="1">
        <v>41919</v>
      </c>
      <c r="M1255" s="22">
        <f>Table12[[#This Row],[Ship Date]]-Table12[[#This Row],[Order Date]]</f>
        <v>4</v>
      </c>
      <c r="N1255" s="23" t="s">
        <v>45</v>
      </c>
      <c r="O1255" s="23" t="s">
        <v>23</v>
      </c>
      <c r="P1255" s="23" t="s">
        <v>94</v>
      </c>
      <c r="Q1255" s="23" t="s">
        <v>95</v>
      </c>
      <c r="R1255" s="23" t="s">
        <v>718</v>
      </c>
      <c r="S1255" s="33">
        <v>0.2</v>
      </c>
      <c r="T1255" s="13">
        <v>4.3440000000000003</v>
      </c>
      <c r="U1255" s="13">
        <v>0.86880000000000002</v>
      </c>
      <c r="V1255" s="55">
        <f>IFERROR(Table12[[#This Row],[Profit]]/Table12[[#This Row],[Sales]],0)</f>
        <v>0.19999999999999998</v>
      </c>
    </row>
    <row r="1256" spans="1:22" x14ac:dyDescent="0.2">
      <c r="A1256">
        <v>1255</v>
      </c>
      <c r="B1256" t="s">
        <v>9118</v>
      </c>
      <c r="C1256" s="1">
        <v>41915</v>
      </c>
      <c r="D1256" s="22">
        <f>MONTH(Table12[[#This Row],[Order Date]])</f>
        <v>10</v>
      </c>
      <c r="E1256" t="s">
        <v>3843</v>
      </c>
      <c r="F1256" t="s">
        <v>3844</v>
      </c>
      <c r="G1256" s="23" t="s">
        <v>28</v>
      </c>
      <c r="H1256" s="23" t="s">
        <v>58</v>
      </c>
      <c r="I1256" t="s">
        <v>5988</v>
      </c>
      <c r="J1256" s="23" t="s">
        <v>22</v>
      </c>
      <c r="K1256" s="22">
        <v>3</v>
      </c>
      <c r="L1256" s="1">
        <v>41919</v>
      </c>
      <c r="M1256" s="22">
        <f>Table12[[#This Row],[Ship Date]]-Table12[[#This Row],[Order Date]]</f>
        <v>4</v>
      </c>
      <c r="N1256" s="23" t="s">
        <v>45</v>
      </c>
      <c r="O1256" s="23" t="s">
        <v>23</v>
      </c>
      <c r="P1256" s="23" t="s">
        <v>94</v>
      </c>
      <c r="Q1256" s="23" t="s">
        <v>95</v>
      </c>
      <c r="R1256" s="23" t="s">
        <v>718</v>
      </c>
      <c r="S1256" s="33">
        <v>0.6</v>
      </c>
      <c r="T1256" s="13">
        <v>31.776</v>
      </c>
      <c r="U1256" s="13">
        <v>-19.0656</v>
      </c>
      <c r="V1256" s="55">
        <f>IFERROR(Table12[[#This Row],[Profit]]/Table12[[#This Row],[Sales]],0)</f>
        <v>-0.6</v>
      </c>
    </row>
    <row r="1257" spans="1:22" x14ac:dyDescent="0.2">
      <c r="A1257">
        <v>1256</v>
      </c>
      <c r="B1257" t="s">
        <v>9118</v>
      </c>
      <c r="C1257" s="1">
        <v>41915</v>
      </c>
      <c r="D1257" s="22">
        <f>MONTH(Table12[[#This Row],[Order Date]])</f>
        <v>10</v>
      </c>
      <c r="E1257" t="s">
        <v>2200</v>
      </c>
      <c r="F1257" t="s">
        <v>2201</v>
      </c>
      <c r="G1257" s="23" t="s">
        <v>41</v>
      </c>
      <c r="H1257" s="23" t="s">
        <v>42</v>
      </c>
      <c r="I1257" t="s">
        <v>5988</v>
      </c>
      <c r="J1257" s="23" t="s">
        <v>22</v>
      </c>
      <c r="K1257" s="22">
        <v>2</v>
      </c>
      <c r="L1257" s="1">
        <v>41919</v>
      </c>
      <c r="M1257" s="22">
        <f>Table12[[#This Row],[Ship Date]]-Table12[[#This Row],[Order Date]]</f>
        <v>4</v>
      </c>
      <c r="N1257" s="23" t="s">
        <v>45</v>
      </c>
      <c r="O1257" s="23" t="s">
        <v>23</v>
      </c>
      <c r="P1257" s="23" t="s">
        <v>94</v>
      </c>
      <c r="Q1257" s="23" t="s">
        <v>95</v>
      </c>
      <c r="R1257" s="23" t="s">
        <v>718</v>
      </c>
      <c r="S1257" s="33">
        <v>0.2</v>
      </c>
      <c r="T1257" s="13">
        <v>4.9279999999999999</v>
      </c>
      <c r="U1257" s="13">
        <v>1.7248000000000001</v>
      </c>
      <c r="V1257" s="55">
        <f>IFERROR(Table12[[#This Row],[Profit]]/Table12[[#This Row],[Sales]],0)</f>
        <v>0.35000000000000003</v>
      </c>
    </row>
    <row r="1258" spans="1:22" x14ac:dyDescent="0.2">
      <c r="A1258">
        <v>1257</v>
      </c>
      <c r="B1258" t="s">
        <v>9118</v>
      </c>
      <c r="C1258" s="1">
        <v>41915</v>
      </c>
      <c r="D1258" s="22">
        <f>MONTH(Table12[[#This Row],[Order Date]])</f>
        <v>10</v>
      </c>
      <c r="E1258" t="s">
        <v>396</v>
      </c>
      <c r="F1258" t="s">
        <v>397</v>
      </c>
      <c r="G1258" s="23" t="s">
        <v>41</v>
      </c>
      <c r="H1258" s="23" t="s">
        <v>68</v>
      </c>
      <c r="I1258" t="s">
        <v>5988</v>
      </c>
      <c r="J1258" s="23" t="s">
        <v>22</v>
      </c>
      <c r="K1258" s="22">
        <v>3</v>
      </c>
      <c r="L1258" s="1">
        <v>41919</v>
      </c>
      <c r="M1258" s="22">
        <f>Table12[[#This Row],[Ship Date]]-Table12[[#This Row],[Order Date]]</f>
        <v>4</v>
      </c>
      <c r="N1258" s="23" t="s">
        <v>45</v>
      </c>
      <c r="O1258" s="23" t="s">
        <v>23</v>
      </c>
      <c r="P1258" s="23" t="s">
        <v>94</v>
      </c>
      <c r="Q1258" s="23" t="s">
        <v>95</v>
      </c>
      <c r="R1258" s="23" t="s">
        <v>718</v>
      </c>
      <c r="S1258" s="33">
        <v>0.8</v>
      </c>
      <c r="T1258" s="13">
        <v>1.788</v>
      </c>
      <c r="U1258" s="13">
        <v>-3.0396000000000001</v>
      </c>
      <c r="V1258" s="55">
        <f>IFERROR(Table12[[#This Row],[Profit]]/Table12[[#This Row],[Sales]],0)</f>
        <v>-1.7</v>
      </c>
    </row>
    <row r="1259" spans="1:22" x14ac:dyDescent="0.2">
      <c r="A1259">
        <v>1258</v>
      </c>
      <c r="B1259" t="s">
        <v>9118</v>
      </c>
      <c r="C1259" s="1">
        <v>41915</v>
      </c>
      <c r="D1259" s="22">
        <f>MONTH(Table12[[#This Row],[Order Date]])</f>
        <v>10</v>
      </c>
      <c r="E1259" t="s">
        <v>9119</v>
      </c>
      <c r="F1259" t="s">
        <v>9120</v>
      </c>
      <c r="G1259" s="23" t="s">
        <v>41</v>
      </c>
      <c r="H1259" s="23" t="s">
        <v>240</v>
      </c>
      <c r="I1259" t="s">
        <v>5988</v>
      </c>
      <c r="J1259" s="23" t="s">
        <v>22</v>
      </c>
      <c r="K1259" s="22">
        <v>4</v>
      </c>
      <c r="L1259" s="1">
        <v>41919</v>
      </c>
      <c r="M1259" s="22">
        <f>Table12[[#This Row],[Ship Date]]-Table12[[#This Row],[Order Date]]</f>
        <v>4</v>
      </c>
      <c r="N1259" s="23" t="s">
        <v>45</v>
      </c>
      <c r="O1259" s="23" t="s">
        <v>23</v>
      </c>
      <c r="P1259" s="23" t="s">
        <v>94</v>
      </c>
      <c r="Q1259" s="23" t="s">
        <v>95</v>
      </c>
      <c r="R1259" s="23" t="s">
        <v>718</v>
      </c>
      <c r="S1259" s="33">
        <v>0.2</v>
      </c>
      <c r="T1259" s="13">
        <v>15.071999999999999</v>
      </c>
      <c r="U1259" s="13">
        <v>-3.7679999999999998</v>
      </c>
      <c r="V1259" s="55">
        <f>IFERROR(Table12[[#This Row],[Profit]]/Table12[[#This Row],[Sales]],0)</f>
        <v>-0.25</v>
      </c>
    </row>
    <row r="1260" spans="1:22" x14ac:dyDescent="0.2">
      <c r="A1260">
        <v>1259</v>
      </c>
      <c r="B1260" t="s">
        <v>5233</v>
      </c>
      <c r="C1260" s="1">
        <v>41916</v>
      </c>
      <c r="D1260" s="22">
        <f>MONTH(Table12[[#This Row],[Order Date]])</f>
        <v>10</v>
      </c>
      <c r="E1260" t="s">
        <v>946</v>
      </c>
      <c r="F1260" t="s">
        <v>947</v>
      </c>
      <c r="G1260" s="23" t="s">
        <v>41</v>
      </c>
      <c r="H1260" s="23" t="s">
        <v>42</v>
      </c>
      <c r="I1260" t="s">
        <v>5234</v>
      </c>
      <c r="J1260" s="23" t="s">
        <v>22</v>
      </c>
      <c r="K1260" s="22">
        <v>5</v>
      </c>
      <c r="L1260" s="1">
        <v>41920</v>
      </c>
      <c r="M1260" s="22">
        <f>Table12[[#This Row],[Ship Date]]-Table12[[#This Row],[Order Date]]</f>
        <v>4</v>
      </c>
      <c r="N1260" s="23" t="s">
        <v>45</v>
      </c>
      <c r="O1260" s="23" t="s">
        <v>23</v>
      </c>
      <c r="P1260" s="23" t="s">
        <v>38</v>
      </c>
      <c r="Q1260" s="23" t="s">
        <v>39</v>
      </c>
      <c r="R1260" s="23" t="s">
        <v>1856</v>
      </c>
      <c r="S1260" s="33">
        <v>0</v>
      </c>
      <c r="T1260" s="13">
        <v>14.45</v>
      </c>
      <c r="U1260" s="13">
        <v>6.7915000000000001</v>
      </c>
      <c r="V1260" s="55">
        <f>IFERROR(Table12[[#This Row],[Profit]]/Table12[[#This Row],[Sales]],0)</f>
        <v>0.47000000000000003</v>
      </c>
    </row>
    <row r="1261" spans="1:22" x14ac:dyDescent="0.2">
      <c r="A1261">
        <v>1260</v>
      </c>
      <c r="B1261" t="s">
        <v>5233</v>
      </c>
      <c r="C1261" s="1">
        <v>41916</v>
      </c>
      <c r="D1261" s="22">
        <f>MONTH(Table12[[#This Row],[Order Date]])</f>
        <v>10</v>
      </c>
      <c r="E1261" t="s">
        <v>3383</v>
      </c>
      <c r="F1261" t="s">
        <v>3384</v>
      </c>
      <c r="G1261" s="23" t="s">
        <v>41</v>
      </c>
      <c r="H1261" s="23" t="s">
        <v>68</v>
      </c>
      <c r="I1261" t="s">
        <v>5234</v>
      </c>
      <c r="J1261" s="23" t="s">
        <v>22</v>
      </c>
      <c r="K1261" s="22">
        <v>2</v>
      </c>
      <c r="L1261" s="1">
        <v>41920</v>
      </c>
      <c r="M1261" s="22">
        <f>Table12[[#This Row],[Ship Date]]-Table12[[#This Row],[Order Date]]</f>
        <v>4</v>
      </c>
      <c r="N1261" s="23" t="s">
        <v>45</v>
      </c>
      <c r="O1261" s="23" t="s">
        <v>23</v>
      </c>
      <c r="P1261" s="23" t="s">
        <v>38</v>
      </c>
      <c r="Q1261" s="23" t="s">
        <v>39</v>
      </c>
      <c r="R1261" s="23" t="s">
        <v>1856</v>
      </c>
      <c r="S1261" s="33">
        <v>0.2</v>
      </c>
      <c r="T1261" s="13">
        <v>95.647999999999996</v>
      </c>
      <c r="U1261" s="13">
        <v>31.085599999999999</v>
      </c>
      <c r="V1261" s="55">
        <f>IFERROR(Table12[[#This Row],[Profit]]/Table12[[#This Row],[Sales]],0)</f>
        <v>0.32500000000000001</v>
      </c>
    </row>
    <row r="1262" spans="1:22" x14ac:dyDescent="0.2">
      <c r="A1262">
        <v>1261</v>
      </c>
      <c r="B1262" t="s">
        <v>7136</v>
      </c>
      <c r="C1262" s="1">
        <v>41916</v>
      </c>
      <c r="D1262" s="22">
        <f>MONTH(Table12[[#This Row],[Order Date]])</f>
        <v>10</v>
      </c>
      <c r="E1262" t="s">
        <v>574</v>
      </c>
      <c r="F1262" t="s">
        <v>575</v>
      </c>
      <c r="G1262" s="23" t="s">
        <v>41</v>
      </c>
      <c r="H1262" s="23" t="s">
        <v>42</v>
      </c>
      <c r="I1262" t="s">
        <v>4279</v>
      </c>
      <c r="J1262" s="23" t="s">
        <v>22</v>
      </c>
      <c r="K1262" s="22">
        <v>4</v>
      </c>
      <c r="L1262" s="1">
        <v>41921</v>
      </c>
      <c r="M1262" s="22">
        <f>Table12[[#This Row],[Ship Date]]-Table12[[#This Row],[Order Date]]</f>
        <v>5</v>
      </c>
      <c r="N1262" s="23" t="s">
        <v>45</v>
      </c>
      <c r="O1262" s="23" t="s">
        <v>23</v>
      </c>
      <c r="P1262" s="23" t="s">
        <v>87</v>
      </c>
      <c r="Q1262" s="23" t="s">
        <v>39</v>
      </c>
      <c r="R1262" s="23" t="s">
        <v>86</v>
      </c>
      <c r="S1262" s="33">
        <v>0</v>
      </c>
      <c r="T1262" s="13">
        <v>29.24</v>
      </c>
      <c r="U1262" s="13">
        <v>13.742800000000001</v>
      </c>
      <c r="V1262" s="55">
        <f>IFERROR(Table12[[#This Row],[Profit]]/Table12[[#This Row],[Sales]],0)</f>
        <v>0.47000000000000003</v>
      </c>
    </row>
    <row r="1263" spans="1:22" x14ac:dyDescent="0.2">
      <c r="A1263">
        <v>1262</v>
      </c>
      <c r="B1263" t="s">
        <v>8128</v>
      </c>
      <c r="C1263" s="1">
        <v>41916</v>
      </c>
      <c r="D1263" s="22">
        <f>MONTH(Table12[[#This Row],[Order Date]])</f>
        <v>10</v>
      </c>
      <c r="E1263" t="s">
        <v>6240</v>
      </c>
      <c r="F1263" t="s">
        <v>6241</v>
      </c>
      <c r="G1263" s="23" t="s">
        <v>28</v>
      </c>
      <c r="H1263" s="23" t="s">
        <v>32</v>
      </c>
      <c r="I1263" t="s">
        <v>3114</v>
      </c>
      <c r="J1263" s="23" t="s">
        <v>22</v>
      </c>
      <c r="K1263" s="22">
        <v>5</v>
      </c>
      <c r="L1263" s="1">
        <v>41918</v>
      </c>
      <c r="M1263" s="22">
        <f>Table12[[#This Row],[Ship Date]]-Table12[[#This Row],[Order Date]]</f>
        <v>2</v>
      </c>
      <c r="N1263" s="23" t="s">
        <v>169</v>
      </c>
      <c r="O1263" s="23" t="s">
        <v>23</v>
      </c>
      <c r="P1263" s="23" t="s">
        <v>238</v>
      </c>
      <c r="Q1263" s="23" t="s">
        <v>133</v>
      </c>
      <c r="R1263" s="23" t="s">
        <v>237</v>
      </c>
      <c r="S1263" s="33">
        <v>0.1</v>
      </c>
      <c r="T1263" s="13">
        <v>589.41</v>
      </c>
      <c r="U1263" s="13">
        <v>-6.5490000000000004</v>
      </c>
      <c r="V1263" s="55">
        <f>IFERROR(Table12[[#This Row],[Profit]]/Table12[[#This Row],[Sales]],0)</f>
        <v>-1.1111111111111112E-2</v>
      </c>
    </row>
    <row r="1264" spans="1:22" x14ac:dyDescent="0.2">
      <c r="A1264">
        <v>1263</v>
      </c>
      <c r="B1264" t="s">
        <v>7856</v>
      </c>
      <c r="C1264" s="1">
        <v>41917</v>
      </c>
      <c r="D1264" s="22">
        <f>MONTH(Table12[[#This Row],[Order Date]])</f>
        <v>10</v>
      </c>
      <c r="E1264" t="s">
        <v>70</v>
      </c>
      <c r="F1264" t="s">
        <v>72</v>
      </c>
      <c r="G1264" s="23" t="s">
        <v>41</v>
      </c>
      <c r="H1264" s="23" t="s">
        <v>71</v>
      </c>
      <c r="I1264" t="s">
        <v>5040</v>
      </c>
      <c r="J1264" s="23" t="s">
        <v>22</v>
      </c>
      <c r="K1264" s="22">
        <v>5</v>
      </c>
      <c r="L1264" s="1">
        <v>41922</v>
      </c>
      <c r="M1264" s="22">
        <f>Table12[[#This Row],[Ship Date]]-Table12[[#This Row],[Order Date]]</f>
        <v>5</v>
      </c>
      <c r="N1264" s="23" t="s">
        <v>20</v>
      </c>
      <c r="O1264" s="23" t="s">
        <v>23</v>
      </c>
      <c r="P1264" s="23" t="s">
        <v>441</v>
      </c>
      <c r="Q1264" s="23" t="s">
        <v>133</v>
      </c>
      <c r="R1264" s="23" t="s">
        <v>440</v>
      </c>
      <c r="S1264" s="33">
        <v>0.2</v>
      </c>
      <c r="T1264" s="13">
        <v>91.92</v>
      </c>
      <c r="U1264" s="13">
        <v>11.49</v>
      </c>
      <c r="V1264" s="55">
        <f>IFERROR(Table12[[#This Row],[Profit]]/Table12[[#This Row],[Sales]],0)</f>
        <v>0.125</v>
      </c>
    </row>
    <row r="1265" spans="1:22" x14ac:dyDescent="0.2">
      <c r="A1265">
        <v>1264</v>
      </c>
      <c r="B1265" t="s">
        <v>8332</v>
      </c>
      <c r="C1265" s="1">
        <v>41917</v>
      </c>
      <c r="D1265" s="22">
        <f>MONTH(Table12[[#This Row],[Order Date]])</f>
        <v>10</v>
      </c>
      <c r="E1265" t="s">
        <v>4387</v>
      </c>
      <c r="F1265" t="s">
        <v>4388</v>
      </c>
      <c r="G1265" s="23" t="s">
        <v>64</v>
      </c>
      <c r="H1265" s="23" t="s">
        <v>144</v>
      </c>
      <c r="I1265" t="s">
        <v>1264</v>
      </c>
      <c r="J1265" s="23" t="s">
        <v>22</v>
      </c>
      <c r="K1265" s="22">
        <v>2</v>
      </c>
      <c r="L1265" s="1">
        <v>41918</v>
      </c>
      <c r="M1265" s="22">
        <f>Table12[[#This Row],[Ship Date]]-Table12[[#This Row],[Order Date]]</f>
        <v>1</v>
      </c>
      <c r="N1265" s="23" t="s">
        <v>169</v>
      </c>
      <c r="O1265" s="23" t="s">
        <v>23</v>
      </c>
      <c r="P1265" s="23" t="s">
        <v>38</v>
      </c>
      <c r="Q1265" s="23" t="s">
        <v>39</v>
      </c>
      <c r="R1265" s="23" t="s">
        <v>3563</v>
      </c>
      <c r="S1265" s="33">
        <v>0</v>
      </c>
      <c r="T1265" s="13">
        <v>99.98</v>
      </c>
      <c r="U1265" s="13">
        <v>34.993000000000002</v>
      </c>
      <c r="V1265" s="55">
        <f>IFERROR(Table12[[#This Row],[Profit]]/Table12[[#This Row],[Sales]],0)</f>
        <v>0.35000000000000003</v>
      </c>
    </row>
    <row r="1266" spans="1:22" x14ac:dyDescent="0.2">
      <c r="A1266">
        <v>1265</v>
      </c>
      <c r="B1266" t="s">
        <v>1466</v>
      </c>
      <c r="C1266" s="1">
        <v>41918</v>
      </c>
      <c r="D1266" s="22">
        <f>MONTH(Table12[[#This Row],[Order Date]])</f>
        <v>10</v>
      </c>
      <c r="E1266" t="s">
        <v>1468</v>
      </c>
      <c r="F1266" t="s">
        <v>1469</v>
      </c>
      <c r="G1266" s="23" t="s">
        <v>64</v>
      </c>
      <c r="H1266" s="23" t="s">
        <v>144</v>
      </c>
      <c r="I1266" t="s">
        <v>1467</v>
      </c>
      <c r="J1266" s="23" t="s">
        <v>22</v>
      </c>
      <c r="K1266" s="22">
        <v>3</v>
      </c>
      <c r="L1266" s="1">
        <v>41922</v>
      </c>
      <c r="M1266" s="22">
        <f>Table12[[#This Row],[Ship Date]]-Table12[[#This Row],[Order Date]]</f>
        <v>4</v>
      </c>
      <c r="N1266" s="23" t="s">
        <v>45</v>
      </c>
      <c r="O1266" s="23" t="s">
        <v>23</v>
      </c>
      <c r="P1266" s="23" t="s">
        <v>38</v>
      </c>
      <c r="Q1266" s="23" t="s">
        <v>39</v>
      </c>
      <c r="R1266" s="23" t="s">
        <v>836</v>
      </c>
      <c r="S1266" s="33">
        <v>0</v>
      </c>
      <c r="T1266" s="13">
        <v>9.09</v>
      </c>
      <c r="U1266" s="13">
        <v>1.9089</v>
      </c>
      <c r="V1266" s="55">
        <f>IFERROR(Table12[[#This Row],[Profit]]/Table12[[#This Row],[Sales]],0)</f>
        <v>0.21000000000000002</v>
      </c>
    </row>
    <row r="1267" spans="1:22" x14ac:dyDescent="0.2">
      <c r="A1267">
        <v>1266</v>
      </c>
      <c r="B1267" t="s">
        <v>7457</v>
      </c>
      <c r="C1267" s="1">
        <v>41918</v>
      </c>
      <c r="D1267" s="22">
        <f>MONTH(Table12[[#This Row],[Order Date]])</f>
        <v>10</v>
      </c>
      <c r="E1267" t="s">
        <v>7458</v>
      </c>
      <c r="F1267" t="s">
        <v>7459</v>
      </c>
      <c r="G1267" s="23" t="s">
        <v>41</v>
      </c>
      <c r="H1267" s="23" t="s">
        <v>68</v>
      </c>
      <c r="I1267" t="s">
        <v>668</v>
      </c>
      <c r="J1267" s="23" t="s">
        <v>36</v>
      </c>
      <c r="K1267" s="22">
        <v>2</v>
      </c>
      <c r="L1267" s="1">
        <v>41920</v>
      </c>
      <c r="M1267" s="22">
        <f>Table12[[#This Row],[Ship Date]]-Table12[[#This Row],[Order Date]]</f>
        <v>2</v>
      </c>
      <c r="N1267" s="23" t="s">
        <v>20</v>
      </c>
      <c r="O1267" s="23" t="s">
        <v>23</v>
      </c>
      <c r="P1267" s="23" t="s">
        <v>124</v>
      </c>
      <c r="Q1267" s="23" t="s">
        <v>95</v>
      </c>
      <c r="R1267" s="23" t="s">
        <v>2226</v>
      </c>
      <c r="S1267" s="33">
        <v>0</v>
      </c>
      <c r="T1267" s="13">
        <v>15.36</v>
      </c>
      <c r="U1267" s="13">
        <v>7.68</v>
      </c>
      <c r="V1267" s="55">
        <f>IFERROR(Table12[[#This Row],[Profit]]/Table12[[#This Row],[Sales]],0)</f>
        <v>0.5</v>
      </c>
    </row>
    <row r="1268" spans="1:22" x14ac:dyDescent="0.2">
      <c r="A1268">
        <v>1267</v>
      </c>
      <c r="B1268" t="s">
        <v>8076</v>
      </c>
      <c r="C1268" s="1">
        <v>41918</v>
      </c>
      <c r="D1268" s="22">
        <f>MONTH(Table12[[#This Row],[Order Date]])</f>
        <v>10</v>
      </c>
      <c r="E1268" t="s">
        <v>733</v>
      </c>
      <c r="F1268" t="s">
        <v>734</v>
      </c>
      <c r="G1268" s="23" t="s">
        <v>41</v>
      </c>
      <c r="H1268" s="23" t="s">
        <v>53</v>
      </c>
      <c r="I1268" t="s">
        <v>4279</v>
      </c>
      <c r="J1268" s="23" t="s">
        <v>22</v>
      </c>
      <c r="K1268" s="22">
        <v>5</v>
      </c>
      <c r="L1268" s="1">
        <v>41925</v>
      </c>
      <c r="M1268" s="22">
        <f>Table12[[#This Row],[Ship Date]]-Table12[[#This Row],[Order Date]]</f>
        <v>7</v>
      </c>
      <c r="N1268" s="23" t="s">
        <v>45</v>
      </c>
      <c r="O1268" s="23" t="s">
        <v>23</v>
      </c>
      <c r="P1268" s="23" t="s">
        <v>132</v>
      </c>
      <c r="Q1268" s="23" t="s">
        <v>133</v>
      </c>
      <c r="R1268" s="23" t="s">
        <v>131</v>
      </c>
      <c r="S1268" s="33">
        <v>0.2</v>
      </c>
      <c r="T1268" s="13">
        <v>83.92</v>
      </c>
      <c r="U1268" s="13">
        <v>-13.637</v>
      </c>
      <c r="V1268" s="55">
        <f>IFERROR(Table12[[#This Row],[Profit]]/Table12[[#This Row],[Sales]],0)</f>
        <v>-0.16250000000000001</v>
      </c>
    </row>
    <row r="1269" spans="1:22" x14ac:dyDescent="0.2">
      <c r="A1269">
        <v>1268</v>
      </c>
      <c r="B1269" t="s">
        <v>9481</v>
      </c>
      <c r="C1269" s="1">
        <v>41918</v>
      </c>
      <c r="D1269" s="22">
        <f>MONTH(Table12[[#This Row],[Order Date]])</f>
        <v>10</v>
      </c>
      <c r="E1269" t="s">
        <v>6765</v>
      </c>
      <c r="F1269" t="s">
        <v>6766</v>
      </c>
      <c r="G1269" s="23" t="s">
        <v>41</v>
      </c>
      <c r="H1269" s="23" t="s">
        <v>53</v>
      </c>
      <c r="I1269" t="s">
        <v>8221</v>
      </c>
      <c r="J1269" s="23" t="s">
        <v>36</v>
      </c>
      <c r="K1269" s="22">
        <v>2</v>
      </c>
      <c r="L1269" s="1">
        <v>41921</v>
      </c>
      <c r="M1269" s="22">
        <f>Table12[[#This Row],[Ship Date]]-Table12[[#This Row],[Order Date]]</f>
        <v>3</v>
      </c>
      <c r="N1269" s="23" t="s">
        <v>169</v>
      </c>
      <c r="O1269" s="23" t="s">
        <v>23</v>
      </c>
      <c r="P1269" s="23" t="s">
        <v>226</v>
      </c>
      <c r="Q1269" s="23" t="s">
        <v>95</v>
      </c>
      <c r="R1269" s="23" t="s">
        <v>3859</v>
      </c>
      <c r="S1269" s="33">
        <v>0</v>
      </c>
      <c r="T1269" s="13">
        <v>386.34</v>
      </c>
      <c r="U1269" s="13">
        <v>54.087600000000002</v>
      </c>
      <c r="V1269" s="55">
        <f>IFERROR(Table12[[#This Row],[Profit]]/Table12[[#This Row],[Sales]],0)</f>
        <v>0.14000000000000001</v>
      </c>
    </row>
    <row r="1270" spans="1:22" x14ac:dyDescent="0.2">
      <c r="A1270">
        <v>1269</v>
      </c>
      <c r="B1270" t="s">
        <v>2044</v>
      </c>
      <c r="C1270" s="1">
        <v>41919</v>
      </c>
      <c r="D1270" s="22">
        <f>MONTH(Table12[[#This Row],[Order Date]])</f>
        <v>10</v>
      </c>
      <c r="E1270" t="s">
        <v>2046</v>
      </c>
      <c r="F1270" t="s">
        <v>2047</v>
      </c>
      <c r="G1270" s="23" t="s">
        <v>28</v>
      </c>
      <c r="H1270" s="23" t="s">
        <v>58</v>
      </c>
      <c r="I1270" t="s">
        <v>2045</v>
      </c>
      <c r="J1270" s="23" t="s">
        <v>92</v>
      </c>
      <c r="K1270" s="22">
        <v>5</v>
      </c>
      <c r="L1270" s="1">
        <v>41925</v>
      </c>
      <c r="M1270" s="22">
        <f>Table12[[#This Row],[Ship Date]]-Table12[[#This Row],[Order Date]]</f>
        <v>6</v>
      </c>
      <c r="N1270" s="23" t="s">
        <v>45</v>
      </c>
      <c r="O1270" s="23" t="s">
        <v>23</v>
      </c>
      <c r="P1270" s="23" t="s">
        <v>132</v>
      </c>
      <c r="Q1270" s="23" t="s">
        <v>133</v>
      </c>
      <c r="R1270" s="23" t="s">
        <v>131</v>
      </c>
      <c r="S1270" s="33">
        <v>0.2</v>
      </c>
      <c r="T1270" s="13">
        <v>129.91999999999999</v>
      </c>
      <c r="U1270" s="13">
        <v>21.111999999999998</v>
      </c>
      <c r="V1270" s="55">
        <f>IFERROR(Table12[[#This Row],[Profit]]/Table12[[#This Row],[Sales]],0)</f>
        <v>0.16250000000000001</v>
      </c>
    </row>
    <row r="1271" spans="1:22" x14ac:dyDescent="0.2">
      <c r="A1271">
        <v>1270</v>
      </c>
      <c r="B1271" t="s">
        <v>6252</v>
      </c>
      <c r="C1271" s="1">
        <v>41919</v>
      </c>
      <c r="D1271" s="22">
        <f>MONTH(Table12[[#This Row],[Order Date]])</f>
        <v>10</v>
      </c>
      <c r="E1271" t="s">
        <v>841</v>
      </c>
      <c r="F1271" t="s">
        <v>842</v>
      </c>
      <c r="G1271" s="23" t="s">
        <v>41</v>
      </c>
      <c r="H1271" s="23" t="s">
        <v>53</v>
      </c>
      <c r="I1271" t="s">
        <v>1461</v>
      </c>
      <c r="J1271" s="23" t="s">
        <v>36</v>
      </c>
      <c r="K1271" s="22">
        <v>10</v>
      </c>
      <c r="L1271" s="1">
        <v>41924</v>
      </c>
      <c r="M1271" s="22">
        <f>Table12[[#This Row],[Ship Date]]-Table12[[#This Row],[Order Date]]</f>
        <v>5</v>
      </c>
      <c r="N1271" s="23" t="s">
        <v>45</v>
      </c>
      <c r="O1271" s="23" t="s">
        <v>23</v>
      </c>
      <c r="P1271" s="23" t="s">
        <v>94</v>
      </c>
      <c r="Q1271" s="23" t="s">
        <v>95</v>
      </c>
      <c r="R1271" s="23" t="s">
        <v>718</v>
      </c>
      <c r="S1271" s="33">
        <v>0.2</v>
      </c>
      <c r="T1271" s="13">
        <v>107.44</v>
      </c>
      <c r="U1271" s="13">
        <v>10.744</v>
      </c>
      <c r="V1271" s="55">
        <f>IFERROR(Table12[[#This Row],[Profit]]/Table12[[#This Row],[Sales]],0)</f>
        <v>0.1</v>
      </c>
    </row>
    <row r="1272" spans="1:22" x14ac:dyDescent="0.2">
      <c r="A1272">
        <v>1271</v>
      </c>
      <c r="B1272" t="s">
        <v>8819</v>
      </c>
      <c r="C1272" s="1">
        <v>41920</v>
      </c>
      <c r="D1272" s="22">
        <f>MONTH(Table12[[#This Row],[Order Date]])</f>
        <v>10</v>
      </c>
      <c r="E1272" t="s">
        <v>6317</v>
      </c>
      <c r="F1272" t="s">
        <v>6318</v>
      </c>
      <c r="G1272" s="23" t="s">
        <v>64</v>
      </c>
      <c r="H1272" s="23" t="s">
        <v>144</v>
      </c>
      <c r="I1272" t="s">
        <v>1215</v>
      </c>
      <c r="J1272" s="23" t="s">
        <v>22</v>
      </c>
      <c r="K1272" s="22">
        <v>3</v>
      </c>
      <c r="L1272" s="1">
        <v>41920</v>
      </c>
      <c r="M1272" s="22">
        <f>Table12[[#This Row],[Ship Date]]-Table12[[#This Row],[Order Date]]</f>
        <v>0</v>
      </c>
      <c r="N1272" s="23" t="s">
        <v>1141</v>
      </c>
      <c r="O1272" s="23" t="s">
        <v>23</v>
      </c>
      <c r="P1272" s="23" t="s">
        <v>80</v>
      </c>
      <c r="Q1272" s="23" t="s">
        <v>26</v>
      </c>
      <c r="R1272" s="23" t="s">
        <v>414</v>
      </c>
      <c r="S1272" s="33">
        <v>0.2</v>
      </c>
      <c r="T1272" s="13">
        <v>23.472000000000001</v>
      </c>
      <c r="U1272" s="13">
        <v>4.9878</v>
      </c>
      <c r="V1272" s="55">
        <f>IFERROR(Table12[[#This Row],[Profit]]/Table12[[#This Row],[Sales]],0)</f>
        <v>0.21249999999999999</v>
      </c>
    </row>
    <row r="1273" spans="1:22" x14ac:dyDescent="0.2">
      <c r="A1273">
        <v>1272</v>
      </c>
      <c r="B1273" t="s">
        <v>9491</v>
      </c>
      <c r="C1273" s="1">
        <v>41920</v>
      </c>
      <c r="D1273" s="22">
        <f>MONTH(Table12[[#This Row],[Order Date]])</f>
        <v>10</v>
      </c>
      <c r="E1273" t="s">
        <v>3544</v>
      </c>
      <c r="F1273" t="s">
        <v>3545</v>
      </c>
      <c r="G1273" s="23" t="s">
        <v>41</v>
      </c>
      <c r="H1273" s="23" t="s">
        <v>82</v>
      </c>
      <c r="I1273" t="s">
        <v>326</v>
      </c>
      <c r="J1273" s="23" t="s">
        <v>22</v>
      </c>
      <c r="K1273" s="22">
        <v>4</v>
      </c>
      <c r="L1273" s="1">
        <v>41925</v>
      </c>
      <c r="M1273" s="22">
        <f>Table12[[#This Row],[Ship Date]]-Table12[[#This Row],[Order Date]]</f>
        <v>5</v>
      </c>
      <c r="N1273" s="23" t="s">
        <v>20</v>
      </c>
      <c r="O1273" s="23" t="s">
        <v>23</v>
      </c>
      <c r="P1273" s="23" t="s">
        <v>238</v>
      </c>
      <c r="Q1273" s="23" t="s">
        <v>133</v>
      </c>
      <c r="R1273" s="23" t="s">
        <v>237</v>
      </c>
      <c r="S1273" s="33">
        <v>0</v>
      </c>
      <c r="T1273" s="13">
        <v>123.92</v>
      </c>
      <c r="U1273" s="13">
        <v>55.764000000000003</v>
      </c>
      <c r="V1273" s="55">
        <f>IFERROR(Table12[[#This Row],[Profit]]/Table12[[#This Row],[Sales]],0)</f>
        <v>0.45</v>
      </c>
    </row>
    <row r="1274" spans="1:22" x14ac:dyDescent="0.2">
      <c r="A1274">
        <v>1273</v>
      </c>
      <c r="B1274" t="s">
        <v>8536</v>
      </c>
      <c r="C1274" s="1">
        <v>41921</v>
      </c>
      <c r="D1274" s="22">
        <f>MONTH(Table12[[#This Row],[Order Date]])</f>
        <v>10</v>
      </c>
      <c r="E1274" t="s">
        <v>1439</v>
      </c>
      <c r="F1274" t="s">
        <v>1440</v>
      </c>
      <c r="G1274" s="23" t="s">
        <v>41</v>
      </c>
      <c r="H1274" s="23" t="s">
        <v>82</v>
      </c>
      <c r="I1274" t="s">
        <v>1222</v>
      </c>
      <c r="J1274" s="23" t="s">
        <v>36</v>
      </c>
      <c r="K1274" s="22">
        <v>2</v>
      </c>
      <c r="L1274" s="1">
        <v>41927</v>
      </c>
      <c r="M1274" s="22">
        <f>Table12[[#This Row],[Ship Date]]-Table12[[#This Row],[Order Date]]</f>
        <v>6</v>
      </c>
      <c r="N1274" s="23" t="s">
        <v>45</v>
      </c>
      <c r="O1274" s="23" t="s">
        <v>23</v>
      </c>
      <c r="P1274" s="23" t="s">
        <v>80</v>
      </c>
      <c r="Q1274" s="23" t="s">
        <v>26</v>
      </c>
      <c r="R1274" s="23" t="s">
        <v>1345</v>
      </c>
      <c r="S1274" s="33">
        <v>0.2</v>
      </c>
      <c r="T1274" s="13">
        <v>88.768000000000001</v>
      </c>
      <c r="U1274" s="13">
        <v>31.0688</v>
      </c>
      <c r="V1274" s="55">
        <f>IFERROR(Table12[[#This Row],[Profit]]/Table12[[#This Row],[Sales]],0)</f>
        <v>0.35</v>
      </c>
    </row>
    <row r="1275" spans="1:22" x14ac:dyDescent="0.2">
      <c r="A1275">
        <v>1274</v>
      </c>
      <c r="B1275" t="s">
        <v>9853</v>
      </c>
      <c r="C1275" s="1">
        <v>41921</v>
      </c>
      <c r="D1275" s="22">
        <f>MONTH(Table12[[#This Row],[Order Date]])</f>
        <v>10</v>
      </c>
      <c r="E1275" t="s">
        <v>993</v>
      </c>
      <c r="F1275" t="s">
        <v>994</v>
      </c>
      <c r="G1275" s="23" t="s">
        <v>41</v>
      </c>
      <c r="H1275" s="23" t="s">
        <v>61</v>
      </c>
      <c r="I1275" t="s">
        <v>629</v>
      </c>
      <c r="J1275" s="23" t="s">
        <v>22</v>
      </c>
      <c r="K1275" s="22">
        <v>3</v>
      </c>
      <c r="L1275" s="1">
        <v>41926</v>
      </c>
      <c r="M1275" s="22">
        <f>Table12[[#This Row],[Ship Date]]-Table12[[#This Row],[Order Date]]</f>
        <v>5</v>
      </c>
      <c r="N1275" s="23" t="s">
        <v>45</v>
      </c>
      <c r="O1275" s="23" t="s">
        <v>23</v>
      </c>
      <c r="P1275" s="23" t="s">
        <v>38</v>
      </c>
      <c r="Q1275" s="23" t="s">
        <v>39</v>
      </c>
      <c r="R1275" s="23" t="s">
        <v>114</v>
      </c>
      <c r="S1275" s="33">
        <v>0</v>
      </c>
      <c r="T1275" s="13">
        <v>144.6</v>
      </c>
      <c r="U1275" s="13">
        <v>41.933999999999997</v>
      </c>
      <c r="V1275" s="55">
        <f>IFERROR(Table12[[#This Row],[Profit]]/Table12[[#This Row],[Sales]],0)</f>
        <v>0.28999999999999998</v>
      </c>
    </row>
    <row r="1276" spans="1:22" x14ac:dyDescent="0.2">
      <c r="A1276">
        <v>1275</v>
      </c>
      <c r="B1276" t="s">
        <v>9853</v>
      </c>
      <c r="C1276" s="1">
        <v>41921</v>
      </c>
      <c r="D1276" s="22">
        <f>MONTH(Table12[[#This Row],[Order Date]])</f>
        <v>10</v>
      </c>
      <c r="E1276" t="s">
        <v>7380</v>
      </c>
      <c r="F1276" t="s">
        <v>7381</v>
      </c>
      <c r="G1276" s="23" t="s">
        <v>64</v>
      </c>
      <c r="H1276" s="23" t="s">
        <v>65</v>
      </c>
      <c r="I1276" t="s">
        <v>629</v>
      </c>
      <c r="J1276" s="23" t="s">
        <v>22</v>
      </c>
      <c r="K1276" s="22">
        <v>1</v>
      </c>
      <c r="L1276" s="1">
        <v>41926</v>
      </c>
      <c r="M1276" s="22">
        <f>Table12[[#This Row],[Ship Date]]-Table12[[#This Row],[Order Date]]</f>
        <v>5</v>
      </c>
      <c r="N1276" s="23" t="s">
        <v>45</v>
      </c>
      <c r="O1276" s="23" t="s">
        <v>23</v>
      </c>
      <c r="P1276" s="23" t="s">
        <v>38</v>
      </c>
      <c r="Q1276" s="23" t="s">
        <v>39</v>
      </c>
      <c r="R1276" s="23" t="s">
        <v>114</v>
      </c>
      <c r="S1276" s="33">
        <v>0.2</v>
      </c>
      <c r="T1276" s="13">
        <v>15.992000000000001</v>
      </c>
      <c r="U1276" s="13">
        <v>-2.9984999999999999</v>
      </c>
      <c r="V1276" s="55">
        <f>IFERROR(Table12[[#This Row],[Profit]]/Table12[[#This Row],[Sales]],0)</f>
        <v>-0.18749999999999997</v>
      </c>
    </row>
    <row r="1277" spans="1:22" x14ac:dyDescent="0.2">
      <c r="A1277">
        <v>1276</v>
      </c>
      <c r="B1277" t="s">
        <v>6834</v>
      </c>
      <c r="C1277" s="1">
        <v>41922</v>
      </c>
      <c r="D1277" s="22">
        <f>MONTH(Table12[[#This Row],[Order Date]])</f>
        <v>10</v>
      </c>
      <c r="E1277" t="s">
        <v>134</v>
      </c>
      <c r="F1277" t="s">
        <v>135</v>
      </c>
      <c r="G1277" s="23" t="s">
        <v>28</v>
      </c>
      <c r="H1277" s="23" t="s">
        <v>32</v>
      </c>
      <c r="I1277" t="s">
        <v>1417</v>
      </c>
      <c r="J1277" s="23" t="s">
        <v>92</v>
      </c>
      <c r="K1277" s="22">
        <v>3</v>
      </c>
      <c r="L1277" s="1">
        <v>41922</v>
      </c>
      <c r="M1277" s="22">
        <f>Table12[[#This Row],[Ship Date]]-Table12[[#This Row],[Order Date]]</f>
        <v>0</v>
      </c>
      <c r="N1277" s="23" t="s">
        <v>1141</v>
      </c>
      <c r="O1277" s="23" t="s">
        <v>23</v>
      </c>
      <c r="P1277" s="23" t="s">
        <v>38</v>
      </c>
      <c r="Q1277" s="23" t="s">
        <v>39</v>
      </c>
      <c r="R1277" s="23" t="s">
        <v>4525</v>
      </c>
      <c r="S1277" s="33">
        <v>0.2</v>
      </c>
      <c r="T1277" s="13">
        <v>122.352</v>
      </c>
      <c r="U1277" s="13">
        <v>13.7646</v>
      </c>
      <c r="V1277" s="55">
        <f>IFERROR(Table12[[#This Row],[Profit]]/Table12[[#This Row],[Sales]],0)</f>
        <v>0.11249999999999999</v>
      </c>
    </row>
    <row r="1278" spans="1:22" x14ac:dyDescent="0.2">
      <c r="A1278">
        <v>1277</v>
      </c>
      <c r="B1278" t="s">
        <v>6834</v>
      </c>
      <c r="C1278" s="1">
        <v>41922</v>
      </c>
      <c r="D1278" s="22">
        <f>MONTH(Table12[[#This Row],[Order Date]])</f>
        <v>10</v>
      </c>
      <c r="E1278" t="s">
        <v>2016</v>
      </c>
      <c r="F1278" t="s">
        <v>2017</v>
      </c>
      <c r="G1278" s="23" t="s">
        <v>41</v>
      </c>
      <c r="H1278" s="23" t="s">
        <v>155</v>
      </c>
      <c r="I1278" t="s">
        <v>1417</v>
      </c>
      <c r="J1278" s="23" t="s">
        <v>92</v>
      </c>
      <c r="K1278" s="22">
        <v>2</v>
      </c>
      <c r="L1278" s="1">
        <v>41922</v>
      </c>
      <c r="M1278" s="22">
        <f>Table12[[#This Row],[Ship Date]]-Table12[[#This Row],[Order Date]]</f>
        <v>0</v>
      </c>
      <c r="N1278" s="23" t="s">
        <v>1141</v>
      </c>
      <c r="O1278" s="23" t="s">
        <v>23</v>
      </c>
      <c r="P1278" s="23" t="s">
        <v>38</v>
      </c>
      <c r="Q1278" s="23" t="s">
        <v>39</v>
      </c>
      <c r="R1278" s="23" t="s">
        <v>4525</v>
      </c>
      <c r="S1278" s="33">
        <v>0</v>
      </c>
      <c r="T1278" s="13">
        <v>15.28</v>
      </c>
      <c r="U1278" s="13">
        <v>7.4871999999999996</v>
      </c>
      <c r="V1278" s="55">
        <f>IFERROR(Table12[[#This Row],[Profit]]/Table12[[#This Row],[Sales]],0)</f>
        <v>0.49</v>
      </c>
    </row>
    <row r="1279" spans="1:22" x14ac:dyDescent="0.2">
      <c r="A1279">
        <v>1278</v>
      </c>
      <c r="B1279" t="s">
        <v>8253</v>
      </c>
      <c r="C1279" s="1">
        <v>41922</v>
      </c>
      <c r="D1279" s="22">
        <f>MONTH(Table12[[#This Row],[Order Date]])</f>
        <v>10</v>
      </c>
      <c r="E1279" t="s">
        <v>3096</v>
      </c>
      <c r="F1279" t="s">
        <v>3097</v>
      </c>
      <c r="G1279" s="23" t="s">
        <v>28</v>
      </c>
      <c r="H1279" s="23" t="s">
        <v>58</v>
      </c>
      <c r="I1279" t="s">
        <v>1325</v>
      </c>
      <c r="J1279" s="23" t="s">
        <v>92</v>
      </c>
      <c r="K1279" s="22">
        <v>7</v>
      </c>
      <c r="L1279" s="1">
        <v>41926</v>
      </c>
      <c r="M1279" s="22">
        <f>Table12[[#This Row],[Ship Date]]-Table12[[#This Row],[Order Date]]</f>
        <v>4</v>
      </c>
      <c r="N1279" s="23" t="s">
        <v>45</v>
      </c>
      <c r="O1279" s="23" t="s">
        <v>23</v>
      </c>
      <c r="P1279" s="23" t="s">
        <v>277</v>
      </c>
      <c r="Q1279" s="23" t="s">
        <v>39</v>
      </c>
      <c r="R1279" s="23" t="s">
        <v>481</v>
      </c>
      <c r="S1279" s="33">
        <v>0.2</v>
      </c>
      <c r="T1279" s="13">
        <v>46.872</v>
      </c>
      <c r="U1279" s="13">
        <v>3.5154000000000001</v>
      </c>
      <c r="V1279" s="55">
        <f>IFERROR(Table12[[#This Row],[Profit]]/Table12[[#This Row],[Sales]],0)</f>
        <v>7.4999999999999997E-2</v>
      </c>
    </row>
    <row r="1280" spans="1:22" x14ac:dyDescent="0.2">
      <c r="A1280">
        <v>1279</v>
      </c>
      <c r="B1280" t="s">
        <v>8750</v>
      </c>
      <c r="C1280" s="1">
        <v>41922</v>
      </c>
      <c r="D1280" s="22">
        <f>MONTH(Table12[[#This Row],[Order Date]])</f>
        <v>10</v>
      </c>
      <c r="E1280" t="s">
        <v>5826</v>
      </c>
      <c r="F1280" t="s">
        <v>5827</v>
      </c>
      <c r="G1280" s="23" t="s">
        <v>64</v>
      </c>
      <c r="H1280" s="23" t="s">
        <v>65</v>
      </c>
      <c r="I1280" t="s">
        <v>8751</v>
      </c>
      <c r="J1280" s="23" t="s">
        <v>36</v>
      </c>
      <c r="K1280" s="22">
        <v>6</v>
      </c>
      <c r="L1280" s="1">
        <v>41927</v>
      </c>
      <c r="M1280" s="22">
        <f>Table12[[#This Row],[Ship Date]]-Table12[[#This Row],[Order Date]]</f>
        <v>5</v>
      </c>
      <c r="N1280" s="23" t="s">
        <v>45</v>
      </c>
      <c r="O1280" s="23" t="s">
        <v>23</v>
      </c>
      <c r="P1280" s="23" t="s">
        <v>94</v>
      </c>
      <c r="Q1280" s="23" t="s">
        <v>95</v>
      </c>
      <c r="R1280" s="23" t="s">
        <v>1488</v>
      </c>
      <c r="S1280" s="33">
        <v>0.2</v>
      </c>
      <c r="T1280" s="13">
        <v>719.952</v>
      </c>
      <c r="U1280" s="13">
        <v>71.995199999999997</v>
      </c>
      <c r="V1280" s="55">
        <f>IFERROR(Table12[[#This Row],[Profit]]/Table12[[#This Row],[Sales]],0)</f>
        <v>9.9999999999999992E-2</v>
      </c>
    </row>
    <row r="1281" spans="1:22" x14ac:dyDescent="0.2">
      <c r="A1281">
        <v>1280</v>
      </c>
      <c r="B1281" t="s">
        <v>8750</v>
      </c>
      <c r="C1281" s="1">
        <v>41922</v>
      </c>
      <c r="D1281" s="22">
        <f>MONTH(Table12[[#This Row],[Order Date]])</f>
        <v>10</v>
      </c>
      <c r="E1281" t="s">
        <v>1792</v>
      </c>
      <c r="F1281" t="s">
        <v>1793</v>
      </c>
      <c r="G1281" s="23" t="s">
        <v>64</v>
      </c>
      <c r="H1281" s="23" t="s">
        <v>65</v>
      </c>
      <c r="I1281" t="s">
        <v>8751</v>
      </c>
      <c r="J1281" s="23" t="s">
        <v>36</v>
      </c>
      <c r="K1281" s="22">
        <v>7</v>
      </c>
      <c r="L1281" s="1">
        <v>41927</v>
      </c>
      <c r="M1281" s="22">
        <f>Table12[[#This Row],[Ship Date]]-Table12[[#This Row],[Order Date]]</f>
        <v>5</v>
      </c>
      <c r="N1281" s="23" t="s">
        <v>45</v>
      </c>
      <c r="O1281" s="23" t="s">
        <v>23</v>
      </c>
      <c r="P1281" s="23" t="s">
        <v>94</v>
      </c>
      <c r="Q1281" s="23" t="s">
        <v>95</v>
      </c>
      <c r="R1281" s="23" t="s">
        <v>1488</v>
      </c>
      <c r="S1281" s="33">
        <v>0.2</v>
      </c>
      <c r="T1281" s="13">
        <v>755.94399999999996</v>
      </c>
      <c r="U1281" s="13">
        <v>66.145099999999999</v>
      </c>
      <c r="V1281" s="55">
        <f>IFERROR(Table12[[#This Row],[Profit]]/Table12[[#This Row],[Sales]],0)</f>
        <v>8.7500000000000008E-2</v>
      </c>
    </row>
    <row r="1282" spans="1:22" x14ac:dyDescent="0.2">
      <c r="A1282">
        <v>1281</v>
      </c>
      <c r="B1282" t="s">
        <v>8750</v>
      </c>
      <c r="C1282" s="1">
        <v>41922</v>
      </c>
      <c r="D1282" s="22">
        <f>MONTH(Table12[[#This Row],[Order Date]])</f>
        <v>10</v>
      </c>
      <c r="E1282" t="s">
        <v>4360</v>
      </c>
      <c r="F1282" t="s">
        <v>4361</v>
      </c>
      <c r="G1282" s="23" t="s">
        <v>41</v>
      </c>
      <c r="H1282" s="23" t="s">
        <v>68</v>
      </c>
      <c r="I1282" t="s">
        <v>8751</v>
      </c>
      <c r="J1282" s="23" t="s">
        <v>36</v>
      </c>
      <c r="K1282" s="22">
        <v>5</v>
      </c>
      <c r="L1282" s="1">
        <v>41927</v>
      </c>
      <c r="M1282" s="22">
        <f>Table12[[#This Row],[Ship Date]]-Table12[[#This Row],[Order Date]]</f>
        <v>5</v>
      </c>
      <c r="N1282" s="23" t="s">
        <v>45</v>
      </c>
      <c r="O1282" s="23" t="s">
        <v>23</v>
      </c>
      <c r="P1282" s="23" t="s">
        <v>94</v>
      </c>
      <c r="Q1282" s="23" t="s">
        <v>95</v>
      </c>
      <c r="R1282" s="23" t="s">
        <v>1488</v>
      </c>
      <c r="S1282" s="33">
        <v>0.8</v>
      </c>
      <c r="T1282" s="13">
        <v>11.98</v>
      </c>
      <c r="U1282" s="13">
        <v>-19.167999999999999</v>
      </c>
      <c r="V1282" s="55">
        <f>IFERROR(Table12[[#This Row],[Profit]]/Table12[[#This Row],[Sales]],0)</f>
        <v>-1.5999999999999999</v>
      </c>
    </row>
    <row r="1283" spans="1:22" x14ac:dyDescent="0.2">
      <c r="A1283">
        <v>1282</v>
      </c>
      <c r="B1283" t="s">
        <v>8750</v>
      </c>
      <c r="C1283" s="1">
        <v>41922</v>
      </c>
      <c r="D1283" s="22">
        <f>MONTH(Table12[[#This Row],[Order Date]])</f>
        <v>10</v>
      </c>
      <c r="E1283" t="s">
        <v>1077</v>
      </c>
      <c r="F1283" t="s">
        <v>1078</v>
      </c>
      <c r="G1283" s="23" t="s">
        <v>41</v>
      </c>
      <c r="H1283" s="23" t="s">
        <v>68</v>
      </c>
      <c r="I1283" t="s">
        <v>8751</v>
      </c>
      <c r="J1283" s="23" t="s">
        <v>36</v>
      </c>
      <c r="K1283" s="22">
        <v>1</v>
      </c>
      <c r="L1283" s="1">
        <v>41927</v>
      </c>
      <c r="M1283" s="22">
        <f>Table12[[#This Row],[Ship Date]]-Table12[[#This Row],[Order Date]]</f>
        <v>5</v>
      </c>
      <c r="N1283" s="23" t="s">
        <v>45</v>
      </c>
      <c r="O1283" s="23" t="s">
        <v>23</v>
      </c>
      <c r="P1283" s="23" t="s">
        <v>94</v>
      </c>
      <c r="Q1283" s="23" t="s">
        <v>95</v>
      </c>
      <c r="R1283" s="23" t="s">
        <v>1488</v>
      </c>
      <c r="S1283" s="33">
        <v>0.8</v>
      </c>
      <c r="T1283" s="13">
        <v>0.89800000000000002</v>
      </c>
      <c r="U1283" s="13">
        <v>-1.5714999999999999</v>
      </c>
      <c r="V1283" s="55">
        <f>IFERROR(Table12[[#This Row],[Profit]]/Table12[[#This Row],[Sales]],0)</f>
        <v>-1.7499999999999998</v>
      </c>
    </row>
    <row r="1284" spans="1:22" x14ac:dyDescent="0.2">
      <c r="A1284">
        <v>1283</v>
      </c>
      <c r="B1284" t="s">
        <v>9501</v>
      </c>
      <c r="C1284" s="1">
        <v>41922</v>
      </c>
      <c r="D1284" s="22">
        <f>MONTH(Table12[[#This Row],[Order Date]])</f>
        <v>10</v>
      </c>
      <c r="E1284" t="s">
        <v>9502</v>
      </c>
      <c r="F1284" t="s">
        <v>9503</v>
      </c>
      <c r="G1284" s="23" t="s">
        <v>64</v>
      </c>
      <c r="H1284" s="23" t="s">
        <v>602</v>
      </c>
      <c r="I1284" t="s">
        <v>4508</v>
      </c>
      <c r="J1284" s="23" t="s">
        <v>22</v>
      </c>
      <c r="K1284" s="22">
        <v>2</v>
      </c>
      <c r="L1284" s="1">
        <v>41922</v>
      </c>
      <c r="M1284" s="22">
        <f>Table12[[#This Row],[Ship Date]]-Table12[[#This Row],[Order Date]]</f>
        <v>0</v>
      </c>
      <c r="N1284" s="23" t="s">
        <v>1141</v>
      </c>
      <c r="O1284" s="23" t="s">
        <v>23</v>
      </c>
      <c r="P1284" s="23" t="s">
        <v>441</v>
      </c>
      <c r="Q1284" s="23" t="s">
        <v>133</v>
      </c>
      <c r="R1284" s="23" t="s">
        <v>440</v>
      </c>
      <c r="S1284" s="33">
        <v>0.7</v>
      </c>
      <c r="T1284" s="13">
        <v>101.994</v>
      </c>
      <c r="U1284" s="13">
        <v>-71.395799999999994</v>
      </c>
      <c r="V1284" s="55">
        <f>IFERROR(Table12[[#This Row],[Profit]]/Table12[[#This Row],[Sales]],0)</f>
        <v>-0.7</v>
      </c>
    </row>
    <row r="1285" spans="1:22" x14ac:dyDescent="0.2">
      <c r="A1285">
        <v>1284</v>
      </c>
      <c r="B1285" t="s">
        <v>9501</v>
      </c>
      <c r="C1285" s="1">
        <v>41922</v>
      </c>
      <c r="D1285" s="22">
        <f>MONTH(Table12[[#This Row],[Order Date]])</f>
        <v>10</v>
      </c>
      <c r="E1285" t="s">
        <v>1618</v>
      </c>
      <c r="F1285" t="s">
        <v>1619</v>
      </c>
      <c r="G1285" s="23" t="s">
        <v>41</v>
      </c>
      <c r="H1285" s="23" t="s">
        <v>68</v>
      </c>
      <c r="I1285" t="s">
        <v>4508</v>
      </c>
      <c r="J1285" s="23" t="s">
        <v>22</v>
      </c>
      <c r="K1285" s="22">
        <v>2</v>
      </c>
      <c r="L1285" s="1">
        <v>41922</v>
      </c>
      <c r="M1285" s="22">
        <f>Table12[[#This Row],[Ship Date]]-Table12[[#This Row],[Order Date]]</f>
        <v>0</v>
      </c>
      <c r="N1285" s="23" t="s">
        <v>1141</v>
      </c>
      <c r="O1285" s="23" t="s">
        <v>23</v>
      </c>
      <c r="P1285" s="23" t="s">
        <v>441</v>
      </c>
      <c r="Q1285" s="23" t="s">
        <v>133</v>
      </c>
      <c r="R1285" s="23" t="s">
        <v>440</v>
      </c>
      <c r="S1285" s="33">
        <v>0.7</v>
      </c>
      <c r="T1285" s="13">
        <v>18.263999999999999</v>
      </c>
      <c r="U1285" s="13">
        <v>-13.393599999999999</v>
      </c>
      <c r="V1285" s="55">
        <f>IFERROR(Table12[[#This Row],[Profit]]/Table12[[#This Row],[Sales]],0)</f>
        <v>-0.73333333333333328</v>
      </c>
    </row>
    <row r="1286" spans="1:22" x14ac:dyDescent="0.2">
      <c r="A1286">
        <v>1285</v>
      </c>
      <c r="B1286" t="s">
        <v>9739</v>
      </c>
      <c r="C1286" s="1">
        <v>41922</v>
      </c>
      <c r="D1286" s="22">
        <f>MONTH(Table12[[#This Row],[Order Date]])</f>
        <v>10</v>
      </c>
      <c r="E1286" t="s">
        <v>9053</v>
      </c>
      <c r="F1286" t="s">
        <v>9054</v>
      </c>
      <c r="G1286" s="23" t="s">
        <v>41</v>
      </c>
      <c r="H1286" s="23" t="s">
        <v>61</v>
      </c>
      <c r="I1286" t="s">
        <v>6044</v>
      </c>
      <c r="J1286" s="23" t="s">
        <v>36</v>
      </c>
      <c r="K1286" s="22">
        <v>7</v>
      </c>
      <c r="L1286" s="1">
        <v>41922</v>
      </c>
      <c r="M1286" s="22">
        <f>Table12[[#This Row],[Ship Date]]-Table12[[#This Row],[Order Date]]</f>
        <v>0</v>
      </c>
      <c r="N1286" s="23" t="s">
        <v>1141</v>
      </c>
      <c r="O1286" s="23" t="s">
        <v>23</v>
      </c>
      <c r="P1286" s="23" t="s">
        <v>589</v>
      </c>
      <c r="Q1286" s="23" t="s">
        <v>39</v>
      </c>
      <c r="R1286" s="23" t="s">
        <v>4858</v>
      </c>
      <c r="S1286" s="33">
        <v>0</v>
      </c>
      <c r="T1286" s="13">
        <v>255.85</v>
      </c>
      <c r="U1286" s="13">
        <v>112.574</v>
      </c>
      <c r="V1286" s="55">
        <f>IFERROR(Table12[[#This Row],[Profit]]/Table12[[#This Row],[Sales]],0)</f>
        <v>0.44</v>
      </c>
    </row>
    <row r="1287" spans="1:22" x14ac:dyDescent="0.2">
      <c r="A1287">
        <v>1286</v>
      </c>
      <c r="B1287" t="s">
        <v>5794</v>
      </c>
      <c r="C1287" s="1">
        <v>41923</v>
      </c>
      <c r="D1287" s="22">
        <f>MONTH(Table12[[#This Row],[Order Date]])</f>
        <v>10</v>
      </c>
      <c r="E1287" t="s">
        <v>2462</v>
      </c>
      <c r="F1287" t="s">
        <v>2463</v>
      </c>
      <c r="G1287" s="23" t="s">
        <v>41</v>
      </c>
      <c r="H1287" s="23" t="s">
        <v>53</v>
      </c>
      <c r="I1287" t="s">
        <v>4007</v>
      </c>
      <c r="J1287" s="23" t="s">
        <v>22</v>
      </c>
      <c r="K1287" s="22">
        <v>2</v>
      </c>
      <c r="L1287" s="1">
        <v>41927</v>
      </c>
      <c r="M1287" s="22">
        <f>Table12[[#This Row],[Ship Date]]-Table12[[#This Row],[Order Date]]</f>
        <v>4</v>
      </c>
      <c r="N1287" s="23" t="s">
        <v>45</v>
      </c>
      <c r="O1287" s="23" t="s">
        <v>23</v>
      </c>
      <c r="P1287" s="23" t="s">
        <v>132</v>
      </c>
      <c r="Q1287" s="23" t="s">
        <v>133</v>
      </c>
      <c r="R1287" s="23" t="s">
        <v>131</v>
      </c>
      <c r="S1287" s="33">
        <v>0.2</v>
      </c>
      <c r="T1287" s="13">
        <v>281.904</v>
      </c>
      <c r="U1287" s="13">
        <v>10.571400000000001</v>
      </c>
      <c r="V1287" s="55">
        <f>IFERROR(Table12[[#This Row],[Profit]]/Table12[[#This Row],[Sales]],0)</f>
        <v>3.7500000000000006E-2</v>
      </c>
    </row>
    <row r="1288" spans="1:22" x14ac:dyDescent="0.2">
      <c r="A1288">
        <v>1287</v>
      </c>
      <c r="B1288" t="s">
        <v>5794</v>
      </c>
      <c r="C1288" s="1">
        <v>41923</v>
      </c>
      <c r="D1288" s="22">
        <f>MONTH(Table12[[#This Row],[Order Date]])</f>
        <v>10</v>
      </c>
      <c r="E1288" t="s">
        <v>1902</v>
      </c>
      <c r="F1288" t="s">
        <v>1903</v>
      </c>
      <c r="G1288" s="23" t="s">
        <v>41</v>
      </c>
      <c r="H1288" s="23" t="s">
        <v>155</v>
      </c>
      <c r="I1288" t="s">
        <v>4007</v>
      </c>
      <c r="J1288" s="23" t="s">
        <v>22</v>
      </c>
      <c r="K1288" s="22">
        <v>3</v>
      </c>
      <c r="L1288" s="1">
        <v>41927</v>
      </c>
      <c r="M1288" s="22">
        <f>Table12[[#This Row],[Ship Date]]-Table12[[#This Row],[Order Date]]</f>
        <v>4</v>
      </c>
      <c r="N1288" s="23" t="s">
        <v>45</v>
      </c>
      <c r="O1288" s="23" t="s">
        <v>23</v>
      </c>
      <c r="P1288" s="23" t="s">
        <v>132</v>
      </c>
      <c r="Q1288" s="23" t="s">
        <v>133</v>
      </c>
      <c r="R1288" s="23" t="s">
        <v>131</v>
      </c>
      <c r="S1288" s="33">
        <v>0.2</v>
      </c>
      <c r="T1288" s="13">
        <v>201.43199999999999</v>
      </c>
      <c r="U1288" s="13">
        <v>67.9833</v>
      </c>
      <c r="V1288" s="55">
        <f>IFERROR(Table12[[#This Row],[Profit]]/Table12[[#This Row],[Sales]],0)</f>
        <v>0.33750000000000002</v>
      </c>
    </row>
    <row r="1289" spans="1:22" x14ac:dyDescent="0.2">
      <c r="A1289">
        <v>1288</v>
      </c>
      <c r="B1289" t="s">
        <v>6411</v>
      </c>
      <c r="C1289" s="1">
        <v>41923</v>
      </c>
      <c r="D1289" s="22">
        <f>MONTH(Table12[[#This Row],[Order Date]])</f>
        <v>10</v>
      </c>
      <c r="E1289" t="s">
        <v>4021</v>
      </c>
      <c r="F1289" t="s">
        <v>4022</v>
      </c>
      <c r="G1289" s="23" t="s">
        <v>28</v>
      </c>
      <c r="H1289" s="23" t="s">
        <v>58</v>
      </c>
      <c r="I1289" t="s">
        <v>5277</v>
      </c>
      <c r="J1289" s="23" t="s">
        <v>92</v>
      </c>
      <c r="K1289" s="22">
        <v>11</v>
      </c>
      <c r="L1289" s="1">
        <v>41928</v>
      </c>
      <c r="M1289" s="22">
        <f>Table12[[#This Row],[Ship Date]]-Table12[[#This Row],[Order Date]]</f>
        <v>5</v>
      </c>
      <c r="N1289" s="23" t="s">
        <v>45</v>
      </c>
      <c r="O1289" s="23" t="s">
        <v>23</v>
      </c>
      <c r="P1289" s="23" t="s">
        <v>87</v>
      </c>
      <c r="Q1289" s="23" t="s">
        <v>39</v>
      </c>
      <c r="R1289" s="23" t="s">
        <v>86</v>
      </c>
      <c r="S1289" s="33">
        <v>0</v>
      </c>
      <c r="T1289" s="13">
        <v>63.47</v>
      </c>
      <c r="U1289" s="13">
        <v>19.041</v>
      </c>
      <c r="V1289" s="55">
        <f>IFERROR(Table12[[#This Row],[Profit]]/Table12[[#This Row],[Sales]],0)</f>
        <v>0.3</v>
      </c>
    </row>
    <row r="1290" spans="1:22" x14ac:dyDescent="0.2">
      <c r="A1290">
        <v>1289</v>
      </c>
      <c r="B1290" t="s">
        <v>6411</v>
      </c>
      <c r="C1290" s="1">
        <v>41923</v>
      </c>
      <c r="D1290" s="22">
        <f>MONTH(Table12[[#This Row],[Order Date]])</f>
        <v>10</v>
      </c>
      <c r="E1290" t="s">
        <v>6412</v>
      </c>
      <c r="F1290" t="s">
        <v>6413</v>
      </c>
      <c r="G1290" s="23" t="s">
        <v>64</v>
      </c>
      <c r="H1290" s="23" t="s">
        <v>144</v>
      </c>
      <c r="I1290" t="s">
        <v>5277</v>
      </c>
      <c r="J1290" s="23" t="s">
        <v>92</v>
      </c>
      <c r="K1290" s="22">
        <v>5</v>
      </c>
      <c r="L1290" s="1">
        <v>41928</v>
      </c>
      <c r="M1290" s="22">
        <f>Table12[[#This Row],[Ship Date]]-Table12[[#This Row],[Order Date]]</f>
        <v>5</v>
      </c>
      <c r="N1290" s="23" t="s">
        <v>45</v>
      </c>
      <c r="O1290" s="23" t="s">
        <v>23</v>
      </c>
      <c r="P1290" s="23" t="s">
        <v>87</v>
      </c>
      <c r="Q1290" s="23" t="s">
        <v>39</v>
      </c>
      <c r="R1290" s="23" t="s">
        <v>86</v>
      </c>
      <c r="S1290" s="33">
        <v>0</v>
      </c>
      <c r="T1290" s="13">
        <v>345</v>
      </c>
      <c r="U1290" s="13">
        <v>58.65</v>
      </c>
      <c r="V1290" s="55">
        <f>IFERROR(Table12[[#This Row],[Profit]]/Table12[[#This Row],[Sales]],0)</f>
        <v>0.16999999999999998</v>
      </c>
    </row>
    <row r="1291" spans="1:22" x14ac:dyDescent="0.2">
      <c r="A1291">
        <v>1290</v>
      </c>
      <c r="B1291" t="s">
        <v>6536</v>
      </c>
      <c r="C1291" s="1">
        <v>41923</v>
      </c>
      <c r="D1291" s="22">
        <f>MONTH(Table12[[#This Row],[Order Date]])</f>
        <v>10</v>
      </c>
      <c r="E1291" t="s">
        <v>2959</v>
      </c>
      <c r="F1291" t="s">
        <v>2960</v>
      </c>
      <c r="G1291" s="23" t="s">
        <v>41</v>
      </c>
      <c r="H1291" s="23" t="s">
        <v>53</v>
      </c>
      <c r="I1291" t="s">
        <v>532</v>
      </c>
      <c r="J1291" s="23" t="s">
        <v>22</v>
      </c>
      <c r="K1291" s="22">
        <v>4</v>
      </c>
      <c r="L1291" s="1">
        <v>41925</v>
      </c>
      <c r="M1291" s="22">
        <f>Table12[[#This Row],[Ship Date]]-Table12[[#This Row],[Order Date]]</f>
        <v>2</v>
      </c>
      <c r="N1291" s="23" t="s">
        <v>169</v>
      </c>
      <c r="O1291" s="23" t="s">
        <v>23</v>
      </c>
      <c r="P1291" s="23" t="s">
        <v>38</v>
      </c>
      <c r="Q1291" s="23" t="s">
        <v>39</v>
      </c>
      <c r="R1291" s="23" t="s">
        <v>533</v>
      </c>
      <c r="S1291" s="33">
        <v>0</v>
      </c>
      <c r="T1291" s="13">
        <v>31.92</v>
      </c>
      <c r="U1291" s="13">
        <v>8.2992000000000008</v>
      </c>
      <c r="V1291" s="55">
        <f>IFERROR(Table12[[#This Row],[Profit]]/Table12[[#This Row],[Sales]],0)</f>
        <v>0.26</v>
      </c>
    </row>
    <row r="1292" spans="1:22" x14ac:dyDescent="0.2">
      <c r="A1292">
        <v>1291</v>
      </c>
      <c r="B1292" t="s">
        <v>6536</v>
      </c>
      <c r="C1292" s="1">
        <v>41923</v>
      </c>
      <c r="D1292" s="22">
        <f>MONTH(Table12[[#This Row],[Order Date]])</f>
        <v>10</v>
      </c>
      <c r="E1292" t="s">
        <v>6537</v>
      </c>
      <c r="F1292" t="s">
        <v>6538</v>
      </c>
      <c r="G1292" s="23" t="s">
        <v>28</v>
      </c>
      <c r="H1292" s="23" t="s">
        <v>32</v>
      </c>
      <c r="I1292" t="s">
        <v>532</v>
      </c>
      <c r="J1292" s="23" t="s">
        <v>22</v>
      </c>
      <c r="K1292" s="22">
        <v>2</v>
      </c>
      <c r="L1292" s="1">
        <v>41925</v>
      </c>
      <c r="M1292" s="22">
        <f>Table12[[#This Row],[Ship Date]]-Table12[[#This Row],[Order Date]]</f>
        <v>2</v>
      </c>
      <c r="N1292" s="23" t="s">
        <v>169</v>
      </c>
      <c r="O1292" s="23" t="s">
        <v>23</v>
      </c>
      <c r="P1292" s="23" t="s">
        <v>38</v>
      </c>
      <c r="Q1292" s="23" t="s">
        <v>39</v>
      </c>
      <c r="R1292" s="23" t="s">
        <v>533</v>
      </c>
      <c r="S1292" s="33">
        <v>0.2</v>
      </c>
      <c r="T1292" s="13">
        <v>433.56799999999998</v>
      </c>
      <c r="U1292" s="13">
        <v>-65.035200000000003</v>
      </c>
      <c r="V1292" s="55">
        <f>IFERROR(Table12[[#This Row],[Profit]]/Table12[[#This Row],[Sales]],0)</f>
        <v>-0.15000000000000002</v>
      </c>
    </row>
    <row r="1293" spans="1:22" x14ac:dyDescent="0.2">
      <c r="A1293">
        <v>1292</v>
      </c>
      <c r="B1293" t="s">
        <v>7813</v>
      </c>
      <c r="C1293" s="1">
        <v>41923</v>
      </c>
      <c r="D1293" s="22">
        <f>MONTH(Table12[[#This Row],[Order Date]])</f>
        <v>10</v>
      </c>
      <c r="E1293" t="s">
        <v>40</v>
      </c>
      <c r="F1293" t="s">
        <v>43</v>
      </c>
      <c r="G1293" s="23" t="s">
        <v>41</v>
      </c>
      <c r="H1293" s="23" t="s">
        <v>42</v>
      </c>
      <c r="I1293" t="s">
        <v>4587</v>
      </c>
      <c r="J1293" s="23" t="s">
        <v>36</v>
      </c>
      <c r="K1293" s="22">
        <v>1</v>
      </c>
      <c r="L1293" s="1">
        <v>41927</v>
      </c>
      <c r="M1293" s="22">
        <f>Table12[[#This Row],[Ship Date]]-Table12[[#This Row],[Order Date]]</f>
        <v>4</v>
      </c>
      <c r="N1293" s="23" t="s">
        <v>45</v>
      </c>
      <c r="O1293" s="23" t="s">
        <v>23</v>
      </c>
      <c r="P1293" s="23" t="s">
        <v>1510</v>
      </c>
      <c r="Q1293" s="23" t="s">
        <v>26</v>
      </c>
      <c r="R1293" s="23" t="s">
        <v>1509</v>
      </c>
      <c r="S1293" s="33">
        <v>0</v>
      </c>
      <c r="T1293" s="13">
        <v>7.31</v>
      </c>
      <c r="U1293" s="13">
        <v>3.4357000000000002</v>
      </c>
      <c r="V1293" s="55">
        <f>IFERROR(Table12[[#This Row],[Profit]]/Table12[[#This Row],[Sales]],0)</f>
        <v>0.47000000000000003</v>
      </c>
    </row>
    <row r="1294" spans="1:22" x14ac:dyDescent="0.2">
      <c r="A1294">
        <v>1293</v>
      </c>
      <c r="B1294" t="s">
        <v>7813</v>
      </c>
      <c r="C1294" s="1">
        <v>41923</v>
      </c>
      <c r="D1294" s="22">
        <f>MONTH(Table12[[#This Row],[Order Date]])</f>
        <v>10</v>
      </c>
      <c r="E1294" t="s">
        <v>4920</v>
      </c>
      <c r="F1294" t="s">
        <v>4921</v>
      </c>
      <c r="G1294" s="23" t="s">
        <v>28</v>
      </c>
      <c r="H1294" s="23" t="s">
        <v>58</v>
      </c>
      <c r="I1294" t="s">
        <v>4587</v>
      </c>
      <c r="J1294" s="23" t="s">
        <v>36</v>
      </c>
      <c r="K1294" s="22">
        <v>4</v>
      </c>
      <c r="L1294" s="1">
        <v>41927</v>
      </c>
      <c r="M1294" s="22">
        <f>Table12[[#This Row],[Ship Date]]-Table12[[#This Row],[Order Date]]</f>
        <v>4</v>
      </c>
      <c r="N1294" s="23" t="s">
        <v>45</v>
      </c>
      <c r="O1294" s="23" t="s">
        <v>23</v>
      </c>
      <c r="P1294" s="23" t="s">
        <v>1510</v>
      </c>
      <c r="Q1294" s="23" t="s">
        <v>26</v>
      </c>
      <c r="R1294" s="23" t="s">
        <v>1509</v>
      </c>
      <c r="S1294" s="33">
        <v>0</v>
      </c>
      <c r="T1294" s="13">
        <v>8.92</v>
      </c>
      <c r="U1294" s="13">
        <v>3.9247999999999998</v>
      </c>
      <c r="V1294" s="55">
        <f>IFERROR(Table12[[#This Row],[Profit]]/Table12[[#This Row],[Sales]],0)</f>
        <v>0.44</v>
      </c>
    </row>
    <row r="1295" spans="1:22" x14ac:dyDescent="0.2">
      <c r="A1295">
        <v>1294</v>
      </c>
      <c r="B1295" t="s">
        <v>7982</v>
      </c>
      <c r="C1295" s="1">
        <v>41923</v>
      </c>
      <c r="D1295" s="22">
        <f>MONTH(Table12[[#This Row],[Order Date]])</f>
        <v>10</v>
      </c>
      <c r="E1295" t="s">
        <v>2016</v>
      </c>
      <c r="F1295" t="s">
        <v>2017</v>
      </c>
      <c r="G1295" s="23" t="s">
        <v>41</v>
      </c>
      <c r="H1295" s="23" t="s">
        <v>155</v>
      </c>
      <c r="I1295" t="s">
        <v>1773</v>
      </c>
      <c r="J1295" s="23" t="s">
        <v>22</v>
      </c>
      <c r="K1295" s="22">
        <v>1</v>
      </c>
      <c r="L1295" s="1">
        <v>41927</v>
      </c>
      <c r="M1295" s="22">
        <f>Table12[[#This Row],[Ship Date]]-Table12[[#This Row],[Order Date]]</f>
        <v>4</v>
      </c>
      <c r="N1295" s="23" t="s">
        <v>45</v>
      </c>
      <c r="O1295" s="23" t="s">
        <v>23</v>
      </c>
      <c r="P1295" s="23" t="s">
        <v>38</v>
      </c>
      <c r="Q1295" s="23" t="s">
        <v>39</v>
      </c>
      <c r="R1295" s="23" t="s">
        <v>5320</v>
      </c>
      <c r="S1295" s="33">
        <v>0</v>
      </c>
      <c r="T1295" s="13">
        <v>7.64</v>
      </c>
      <c r="U1295" s="13">
        <v>3.7435999999999998</v>
      </c>
      <c r="V1295" s="55">
        <f>IFERROR(Table12[[#This Row],[Profit]]/Table12[[#This Row],[Sales]],0)</f>
        <v>0.49</v>
      </c>
    </row>
    <row r="1296" spans="1:22" x14ac:dyDescent="0.2">
      <c r="A1296">
        <v>1295</v>
      </c>
      <c r="B1296" t="s">
        <v>325</v>
      </c>
      <c r="C1296" s="1">
        <v>41924</v>
      </c>
      <c r="D1296" s="22">
        <f>MONTH(Table12[[#This Row],[Order Date]])</f>
        <v>10</v>
      </c>
      <c r="E1296" t="s">
        <v>327</v>
      </c>
      <c r="F1296" t="s">
        <v>328</v>
      </c>
      <c r="G1296" s="23" t="s">
        <v>41</v>
      </c>
      <c r="H1296" s="23" t="s">
        <v>61</v>
      </c>
      <c r="I1296" t="s">
        <v>326</v>
      </c>
      <c r="J1296" s="23" t="s">
        <v>22</v>
      </c>
      <c r="K1296" s="22">
        <v>5</v>
      </c>
      <c r="L1296" s="1">
        <v>41928</v>
      </c>
      <c r="M1296" s="22">
        <f>Table12[[#This Row],[Ship Date]]-Table12[[#This Row],[Order Date]]</f>
        <v>4</v>
      </c>
      <c r="N1296" s="23" t="s">
        <v>45</v>
      </c>
      <c r="O1296" s="23" t="s">
        <v>23</v>
      </c>
      <c r="P1296" s="23" t="s">
        <v>38</v>
      </c>
      <c r="Q1296" s="23" t="s">
        <v>39</v>
      </c>
      <c r="R1296" s="23" t="s">
        <v>114</v>
      </c>
      <c r="S1296" s="33">
        <v>0</v>
      </c>
      <c r="T1296" s="13">
        <v>14.9</v>
      </c>
      <c r="U1296" s="13">
        <v>4.1719999999999997</v>
      </c>
      <c r="V1296" s="55">
        <f>IFERROR(Table12[[#This Row],[Profit]]/Table12[[#This Row],[Sales]],0)</f>
        <v>0.27999999999999997</v>
      </c>
    </row>
    <row r="1297" spans="1:22" x14ac:dyDescent="0.2">
      <c r="A1297">
        <v>1296</v>
      </c>
      <c r="B1297" t="s">
        <v>325</v>
      </c>
      <c r="C1297" s="1">
        <v>41924</v>
      </c>
      <c r="D1297" s="22">
        <f>MONTH(Table12[[#This Row],[Order Date]])</f>
        <v>10</v>
      </c>
      <c r="E1297" t="s">
        <v>329</v>
      </c>
      <c r="F1297" t="s">
        <v>330</v>
      </c>
      <c r="G1297" s="23" t="s">
        <v>41</v>
      </c>
      <c r="H1297" s="23" t="s">
        <v>53</v>
      </c>
      <c r="I1297" t="s">
        <v>326</v>
      </c>
      <c r="J1297" s="23" t="s">
        <v>22</v>
      </c>
      <c r="K1297" s="22">
        <v>1</v>
      </c>
      <c r="L1297" s="1">
        <v>41928</v>
      </c>
      <c r="M1297" s="22">
        <f>Table12[[#This Row],[Ship Date]]-Table12[[#This Row],[Order Date]]</f>
        <v>4</v>
      </c>
      <c r="N1297" s="23" t="s">
        <v>45</v>
      </c>
      <c r="O1297" s="23" t="s">
        <v>23</v>
      </c>
      <c r="P1297" s="23" t="s">
        <v>38</v>
      </c>
      <c r="Q1297" s="23" t="s">
        <v>39</v>
      </c>
      <c r="R1297" s="23" t="s">
        <v>114</v>
      </c>
      <c r="S1297" s="33">
        <v>0</v>
      </c>
      <c r="T1297" s="13">
        <v>21.39</v>
      </c>
      <c r="U1297" s="13">
        <v>6.2031000000000001</v>
      </c>
      <c r="V1297" s="55">
        <f>IFERROR(Table12[[#This Row],[Profit]]/Table12[[#This Row],[Sales]],0)</f>
        <v>0.28999999999999998</v>
      </c>
    </row>
    <row r="1298" spans="1:22" x14ac:dyDescent="0.2">
      <c r="A1298">
        <v>1297</v>
      </c>
      <c r="B1298" t="s">
        <v>9834</v>
      </c>
      <c r="C1298" s="1">
        <v>41924</v>
      </c>
      <c r="D1298" s="22">
        <f>MONTH(Table12[[#This Row],[Order Date]])</f>
        <v>10</v>
      </c>
      <c r="E1298" t="s">
        <v>4274</v>
      </c>
      <c r="F1298" t="s">
        <v>4275</v>
      </c>
      <c r="G1298" s="23" t="s">
        <v>41</v>
      </c>
      <c r="H1298" s="23" t="s">
        <v>513</v>
      </c>
      <c r="I1298" t="s">
        <v>7788</v>
      </c>
      <c r="J1298" s="23" t="s">
        <v>36</v>
      </c>
      <c r="K1298" s="22">
        <v>2</v>
      </c>
      <c r="L1298" s="1">
        <v>41929</v>
      </c>
      <c r="M1298" s="22">
        <f>Table12[[#This Row],[Ship Date]]-Table12[[#This Row],[Order Date]]</f>
        <v>5</v>
      </c>
      <c r="N1298" s="23" t="s">
        <v>45</v>
      </c>
      <c r="O1298" s="23" t="s">
        <v>23</v>
      </c>
      <c r="P1298" s="23" t="s">
        <v>189</v>
      </c>
      <c r="Q1298" s="23" t="s">
        <v>95</v>
      </c>
      <c r="R1298" s="23" t="s">
        <v>271</v>
      </c>
      <c r="S1298" s="33">
        <v>0.2</v>
      </c>
      <c r="T1298" s="13">
        <v>22.24</v>
      </c>
      <c r="U1298" s="13">
        <v>2.5019999999999998</v>
      </c>
      <c r="V1298" s="55">
        <f>IFERROR(Table12[[#This Row],[Profit]]/Table12[[#This Row],[Sales]],0)</f>
        <v>0.1125</v>
      </c>
    </row>
    <row r="1299" spans="1:22" x14ac:dyDescent="0.2">
      <c r="A1299">
        <v>1298</v>
      </c>
      <c r="B1299" t="s">
        <v>2229</v>
      </c>
      <c r="C1299" s="1">
        <v>41925</v>
      </c>
      <c r="D1299" s="22">
        <f>MONTH(Table12[[#This Row],[Order Date]])</f>
        <v>10</v>
      </c>
      <c r="E1299" t="s">
        <v>2231</v>
      </c>
      <c r="F1299" t="s">
        <v>2232</v>
      </c>
      <c r="G1299" s="23" t="s">
        <v>41</v>
      </c>
      <c r="H1299" s="23" t="s">
        <v>61</v>
      </c>
      <c r="I1299" t="s">
        <v>1743</v>
      </c>
      <c r="J1299" s="23" t="s">
        <v>22</v>
      </c>
      <c r="K1299" s="22">
        <v>4</v>
      </c>
      <c r="L1299" s="1">
        <v>41927</v>
      </c>
      <c r="M1299" s="22">
        <f>Table12[[#This Row],[Ship Date]]-Table12[[#This Row],[Order Date]]</f>
        <v>2</v>
      </c>
      <c r="N1299" s="23" t="s">
        <v>169</v>
      </c>
      <c r="O1299" s="23" t="s">
        <v>23</v>
      </c>
      <c r="P1299" s="23" t="s">
        <v>87</v>
      </c>
      <c r="Q1299" s="23" t="s">
        <v>39</v>
      </c>
      <c r="R1299" s="23" t="s">
        <v>2230</v>
      </c>
      <c r="S1299" s="33">
        <v>0</v>
      </c>
      <c r="T1299" s="13">
        <v>11.52</v>
      </c>
      <c r="U1299" s="13">
        <v>3.2256</v>
      </c>
      <c r="V1299" s="55">
        <f>IFERROR(Table12[[#This Row],[Profit]]/Table12[[#This Row],[Sales]],0)</f>
        <v>0.28000000000000003</v>
      </c>
    </row>
    <row r="1300" spans="1:22" x14ac:dyDescent="0.2">
      <c r="A1300">
        <v>1299</v>
      </c>
      <c r="B1300" t="s">
        <v>2229</v>
      </c>
      <c r="C1300" s="1">
        <v>41925</v>
      </c>
      <c r="D1300" s="22">
        <f>MONTH(Table12[[#This Row],[Order Date]])</f>
        <v>10</v>
      </c>
      <c r="E1300" t="s">
        <v>927</v>
      </c>
      <c r="F1300" t="s">
        <v>928</v>
      </c>
      <c r="G1300" s="23" t="s">
        <v>28</v>
      </c>
      <c r="H1300" s="23" t="s">
        <v>50</v>
      </c>
      <c r="I1300" t="s">
        <v>1743</v>
      </c>
      <c r="J1300" s="23" t="s">
        <v>22</v>
      </c>
      <c r="K1300" s="22">
        <v>5</v>
      </c>
      <c r="L1300" s="1">
        <v>41927</v>
      </c>
      <c r="M1300" s="22">
        <f>Table12[[#This Row],[Ship Date]]-Table12[[#This Row],[Order Date]]</f>
        <v>2</v>
      </c>
      <c r="N1300" s="23" t="s">
        <v>169</v>
      </c>
      <c r="O1300" s="23" t="s">
        <v>23</v>
      </c>
      <c r="P1300" s="23" t="s">
        <v>87</v>
      </c>
      <c r="Q1300" s="23" t="s">
        <v>39</v>
      </c>
      <c r="R1300" s="23" t="s">
        <v>2230</v>
      </c>
      <c r="S1300" s="33">
        <v>0</v>
      </c>
      <c r="T1300" s="13">
        <v>1298.55</v>
      </c>
      <c r="U1300" s="13">
        <v>311.65199999999999</v>
      </c>
      <c r="V1300" s="55">
        <f>IFERROR(Table12[[#This Row],[Profit]]/Table12[[#This Row],[Sales]],0)</f>
        <v>0.24</v>
      </c>
    </row>
    <row r="1301" spans="1:22" x14ac:dyDescent="0.2">
      <c r="A1301">
        <v>1300</v>
      </c>
      <c r="B1301" t="s">
        <v>2229</v>
      </c>
      <c r="C1301" s="1">
        <v>41925</v>
      </c>
      <c r="D1301" s="22">
        <f>MONTH(Table12[[#This Row],[Order Date]])</f>
        <v>10</v>
      </c>
      <c r="E1301" t="s">
        <v>2233</v>
      </c>
      <c r="F1301" t="s">
        <v>2234</v>
      </c>
      <c r="G1301" s="23" t="s">
        <v>41</v>
      </c>
      <c r="H1301" s="23" t="s">
        <v>71</v>
      </c>
      <c r="I1301" t="s">
        <v>1743</v>
      </c>
      <c r="J1301" s="23" t="s">
        <v>22</v>
      </c>
      <c r="K1301" s="22">
        <v>4</v>
      </c>
      <c r="L1301" s="1">
        <v>41927</v>
      </c>
      <c r="M1301" s="22">
        <f>Table12[[#This Row],[Ship Date]]-Table12[[#This Row],[Order Date]]</f>
        <v>2</v>
      </c>
      <c r="N1301" s="23" t="s">
        <v>169</v>
      </c>
      <c r="O1301" s="23" t="s">
        <v>23</v>
      </c>
      <c r="P1301" s="23" t="s">
        <v>87</v>
      </c>
      <c r="Q1301" s="23" t="s">
        <v>39</v>
      </c>
      <c r="R1301" s="23" t="s">
        <v>2230</v>
      </c>
      <c r="S1301" s="33">
        <v>0</v>
      </c>
      <c r="T1301" s="13">
        <v>213.92</v>
      </c>
      <c r="U1301" s="13">
        <v>62.036799999999999</v>
      </c>
      <c r="V1301" s="55">
        <f>IFERROR(Table12[[#This Row],[Profit]]/Table12[[#This Row],[Sales]],0)</f>
        <v>0.29000000000000004</v>
      </c>
    </row>
    <row r="1302" spans="1:22" x14ac:dyDescent="0.2">
      <c r="A1302">
        <v>1301</v>
      </c>
      <c r="B1302" t="s">
        <v>2229</v>
      </c>
      <c r="C1302" s="1">
        <v>41925</v>
      </c>
      <c r="D1302" s="22">
        <f>MONTH(Table12[[#This Row],[Order Date]])</f>
        <v>10</v>
      </c>
      <c r="E1302" t="s">
        <v>1894</v>
      </c>
      <c r="F1302" t="s">
        <v>1895</v>
      </c>
      <c r="G1302" s="23" t="s">
        <v>64</v>
      </c>
      <c r="H1302" s="23" t="s">
        <v>144</v>
      </c>
      <c r="I1302" t="s">
        <v>1743</v>
      </c>
      <c r="J1302" s="23" t="s">
        <v>22</v>
      </c>
      <c r="K1302" s="22">
        <v>2</v>
      </c>
      <c r="L1302" s="1">
        <v>41927</v>
      </c>
      <c r="M1302" s="22">
        <f>Table12[[#This Row],[Ship Date]]-Table12[[#This Row],[Order Date]]</f>
        <v>2</v>
      </c>
      <c r="N1302" s="23" t="s">
        <v>169</v>
      </c>
      <c r="O1302" s="23" t="s">
        <v>23</v>
      </c>
      <c r="P1302" s="23" t="s">
        <v>87</v>
      </c>
      <c r="Q1302" s="23" t="s">
        <v>39</v>
      </c>
      <c r="R1302" s="23" t="s">
        <v>2230</v>
      </c>
      <c r="S1302" s="33">
        <v>0</v>
      </c>
      <c r="T1302" s="13">
        <v>25.78</v>
      </c>
      <c r="U1302" s="13">
        <v>2.5779999999999998</v>
      </c>
      <c r="V1302" s="55">
        <f>IFERROR(Table12[[#This Row],[Profit]]/Table12[[#This Row],[Sales]],0)</f>
        <v>9.9999999999999992E-2</v>
      </c>
    </row>
    <row r="1303" spans="1:22" x14ac:dyDescent="0.2">
      <c r="A1303">
        <v>1302</v>
      </c>
      <c r="B1303" t="s">
        <v>7589</v>
      </c>
      <c r="C1303" s="1">
        <v>41925</v>
      </c>
      <c r="D1303" s="22">
        <f>MONTH(Table12[[#This Row],[Order Date]])</f>
        <v>10</v>
      </c>
      <c r="E1303" t="s">
        <v>2803</v>
      </c>
      <c r="F1303" t="s">
        <v>2804</v>
      </c>
      <c r="G1303" s="23" t="s">
        <v>28</v>
      </c>
      <c r="H1303" s="23" t="s">
        <v>32</v>
      </c>
      <c r="I1303" t="s">
        <v>3738</v>
      </c>
      <c r="J1303" s="23" t="s">
        <v>36</v>
      </c>
      <c r="K1303" s="22">
        <v>2</v>
      </c>
      <c r="L1303" s="1">
        <v>41930</v>
      </c>
      <c r="M1303" s="22">
        <f>Table12[[#This Row],[Ship Date]]-Table12[[#This Row],[Order Date]]</f>
        <v>5</v>
      </c>
      <c r="N1303" s="23" t="s">
        <v>20</v>
      </c>
      <c r="O1303" s="23" t="s">
        <v>23</v>
      </c>
      <c r="P1303" s="23" t="s">
        <v>695</v>
      </c>
      <c r="Q1303" s="23" t="s">
        <v>133</v>
      </c>
      <c r="R1303" s="23" t="s">
        <v>990</v>
      </c>
      <c r="S1303" s="33">
        <v>0</v>
      </c>
      <c r="T1303" s="13">
        <v>245.98</v>
      </c>
      <c r="U1303" s="13">
        <v>27.0578</v>
      </c>
      <c r="V1303" s="55">
        <f>IFERROR(Table12[[#This Row],[Profit]]/Table12[[#This Row],[Sales]],0)</f>
        <v>0.11</v>
      </c>
    </row>
    <row r="1304" spans="1:22" x14ac:dyDescent="0.2">
      <c r="A1304">
        <v>1303</v>
      </c>
      <c r="B1304" t="s">
        <v>7589</v>
      </c>
      <c r="C1304" s="1">
        <v>41925</v>
      </c>
      <c r="D1304" s="22">
        <f>MONTH(Table12[[#This Row],[Order Date]])</f>
        <v>10</v>
      </c>
      <c r="E1304" t="s">
        <v>375</v>
      </c>
      <c r="F1304" t="s">
        <v>376</v>
      </c>
      <c r="G1304" s="23" t="s">
        <v>41</v>
      </c>
      <c r="H1304" s="23" t="s">
        <v>68</v>
      </c>
      <c r="I1304" t="s">
        <v>3738</v>
      </c>
      <c r="J1304" s="23" t="s">
        <v>36</v>
      </c>
      <c r="K1304" s="22">
        <v>1</v>
      </c>
      <c r="L1304" s="1">
        <v>41930</v>
      </c>
      <c r="M1304" s="22">
        <f>Table12[[#This Row],[Ship Date]]-Table12[[#This Row],[Order Date]]</f>
        <v>5</v>
      </c>
      <c r="N1304" s="23" t="s">
        <v>20</v>
      </c>
      <c r="O1304" s="23" t="s">
        <v>23</v>
      </c>
      <c r="P1304" s="23" t="s">
        <v>695</v>
      </c>
      <c r="Q1304" s="23" t="s">
        <v>133</v>
      </c>
      <c r="R1304" s="23" t="s">
        <v>990</v>
      </c>
      <c r="S1304" s="33">
        <v>0</v>
      </c>
      <c r="T1304" s="13">
        <v>18.940000000000001</v>
      </c>
      <c r="U1304" s="13">
        <v>9.4700000000000006</v>
      </c>
      <c r="V1304" s="55">
        <f>IFERROR(Table12[[#This Row],[Profit]]/Table12[[#This Row],[Sales]],0)</f>
        <v>0.5</v>
      </c>
    </row>
    <row r="1305" spans="1:22" x14ac:dyDescent="0.2">
      <c r="A1305">
        <v>1304</v>
      </c>
      <c r="B1305" t="s">
        <v>8060</v>
      </c>
      <c r="C1305" s="1">
        <v>41925</v>
      </c>
      <c r="D1305" s="22">
        <f>MONTH(Table12[[#This Row],[Order Date]])</f>
        <v>10</v>
      </c>
      <c r="E1305" t="s">
        <v>1736</v>
      </c>
      <c r="F1305" t="s">
        <v>1737</v>
      </c>
      <c r="G1305" s="23" t="s">
        <v>41</v>
      </c>
      <c r="H1305" s="23" t="s">
        <v>68</v>
      </c>
      <c r="I1305" t="s">
        <v>1910</v>
      </c>
      <c r="J1305" s="23" t="s">
        <v>36</v>
      </c>
      <c r="K1305" s="22">
        <v>3</v>
      </c>
      <c r="L1305" s="1">
        <v>41929</v>
      </c>
      <c r="M1305" s="22">
        <f>Table12[[#This Row],[Ship Date]]-Table12[[#This Row],[Order Date]]</f>
        <v>4</v>
      </c>
      <c r="N1305" s="23" t="s">
        <v>45</v>
      </c>
      <c r="O1305" s="23" t="s">
        <v>23</v>
      </c>
      <c r="P1305" s="23" t="s">
        <v>238</v>
      </c>
      <c r="Q1305" s="23" t="s">
        <v>133</v>
      </c>
      <c r="R1305" s="23" t="s">
        <v>2020</v>
      </c>
      <c r="S1305" s="33">
        <v>0.2</v>
      </c>
      <c r="T1305" s="13">
        <v>7.7519999999999998</v>
      </c>
      <c r="U1305" s="13">
        <v>2.8100999999999998</v>
      </c>
      <c r="V1305" s="55">
        <f>IFERROR(Table12[[#This Row],[Profit]]/Table12[[#This Row],[Sales]],0)</f>
        <v>0.36249999999999999</v>
      </c>
    </row>
    <row r="1306" spans="1:22" x14ac:dyDescent="0.2">
      <c r="A1306">
        <v>1305</v>
      </c>
      <c r="B1306" t="s">
        <v>9646</v>
      </c>
      <c r="C1306" s="1">
        <v>41925</v>
      </c>
      <c r="D1306" s="22">
        <f>MONTH(Table12[[#This Row],[Order Date]])</f>
        <v>10</v>
      </c>
      <c r="E1306" t="s">
        <v>3673</v>
      </c>
      <c r="F1306" t="s">
        <v>3674</v>
      </c>
      <c r="G1306" s="23" t="s">
        <v>41</v>
      </c>
      <c r="H1306" s="23" t="s">
        <v>155</v>
      </c>
      <c r="I1306" t="s">
        <v>5484</v>
      </c>
      <c r="J1306" s="23" t="s">
        <v>92</v>
      </c>
      <c r="K1306" s="22">
        <v>5</v>
      </c>
      <c r="L1306" s="1">
        <v>41927</v>
      </c>
      <c r="M1306" s="22">
        <f>Table12[[#This Row],[Ship Date]]-Table12[[#This Row],[Order Date]]</f>
        <v>2</v>
      </c>
      <c r="N1306" s="23" t="s">
        <v>169</v>
      </c>
      <c r="O1306" s="23" t="s">
        <v>23</v>
      </c>
      <c r="P1306" s="23" t="s">
        <v>285</v>
      </c>
      <c r="Q1306" s="23" t="s">
        <v>26</v>
      </c>
      <c r="R1306" s="23" t="s">
        <v>1294</v>
      </c>
      <c r="S1306" s="33">
        <v>0</v>
      </c>
      <c r="T1306" s="13">
        <v>36.4</v>
      </c>
      <c r="U1306" s="13">
        <v>17.472000000000001</v>
      </c>
      <c r="V1306" s="55">
        <f>IFERROR(Table12[[#This Row],[Profit]]/Table12[[#This Row],[Sales]],0)</f>
        <v>0.48000000000000004</v>
      </c>
    </row>
    <row r="1307" spans="1:22" x14ac:dyDescent="0.2">
      <c r="A1307">
        <v>1306</v>
      </c>
      <c r="B1307" t="s">
        <v>9646</v>
      </c>
      <c r="C1307" s="1">
        <v>41925</v>
      </c>
      <c r="D1307" s="22">
        <f>MONTH(Table12[[#This Row],[Order Date]])</f>
        <v>10</v>
      </c>
      <c r="E1307" t="s">
        <v>6938</v>
      </c>
      <c r="F1307" t="s">
        <v>6939</v>
      </c>
      <c r="G1307" s="23" t="s">
        <v>64</v>
      </c>
      <c r="H1307" s="23" t="s">
        <v>144</v>
      </c>
      <c r="I1307" t="s">
        <v>5484</v>
      </c>
      <c r="J1307" s="23" t="s">
        <v>92</v>
      </c>
      <c r="K1307" s="22">
        <v>2</v>
      </c>
      <c r="L1307" s="1">
        <v>41927</v>
      </c>
      <c r="M1307" s="22">
        <f>Table12[[#This Row],[Ship Date]]-Table12[[#This Row],[Order Date]]</f>
        <v>2</v>
      </c>
      <c r="N1307" s="23" t="s">
        <v>169</v>
      </c>
      <c r="O1307" s="23" t="s">
        <v>23</v>
      </c>
      <c r="P1307" s="23" t="s">
        <v>285</v>
      </c>
      <c r="Q1307" s="23" t="s">
        <v>26</v>
      </c>
      <c r="R1307" s="23" t="s">
        <v>1294</v>
      </c>
      <c r="S1307" s="33">
        <v>0</v>
      </c>
      <c r="T1307" s="13">
        <v>22.96</v>
      </c>
      <c r="U1307" s="13">
        <v>4.3624000000000001</v>
      </c>
      <c r="V1307" s="55">
        <f>IFERROR(Table12[[#This Row],[Profit]]/Table12[[#This Row],[Sales]],0)</f>
        <v>0.19</v>
      </c>
    </row>
    <row r="1308" spans="1:22" x14ac:dyDescent="0.2">
      <c r="A1308">
        <v>1307</v>
      </c>
      <c r="B1308" t="s">
        <v>9646</v>
      </c>
      <c r="C1308" s="1">
        <v>41925</v>
      </c>
      <c r="D1308" s="22">
        <f>MONTH(Table12[[#This Row],[Order Date]])</f>
        <v>10</v>
      </c>
      <c r="E1308" t="s">
        <v>8694</v>
      </c>
      <c r="F1308" t="s">
        <v>8695</v>
      </c>
      <c r="G1308" s="23" t="s">
        <v>41</v>
      </c>
      <c r="H1308" s="23" t="s">
        <v>53</v>
      </c>
      <c r="I1308" t="s">
        <v>5484</v>
      </c>
      <c r="J1308" s="23" t="s">
        <v>92</v>
      </c>
      <c r="K1308" s="22">
        <v>4</v>
      </c>
      <c r="L1308" s="1">
        <v>41927</v>
      </c>
      <c r="M1308" s="22">
        <f>Table12[[#This Row],[Ship Date]]-Table12[[#This Row],[Order Date]]</f>
        <v>2</v>
      </c>
      <c r="N1308" s="23" t="s">
        <v>169</v>
      </c>
      <c r="O1308" s="23" t="s">
        <v>23</v>
      </c>
      <c r="P1308" s="23" t="s">
        <v>285</v>
      </c>
      <c r="Q1308" s="23" t="s">
        <v>26</v>
      </c>
      <c r="R1308" s="23" t="s">
        <v>1294</v>
      </c>
      <c r="S1308" s="33">
        <v>0</v>
      </c>
      <c r="T1308" s="13">
        <v>315.2</v>
      </c>
      <c r="U1308" s="13">
        <v>6.3040000000000003</v>
      </c>
      <c r="V1308" s="55">
        <f>IFERROR(Table12[[#This Row],[Profit]]/Table12[[#This Row],[Sales]],0)</f>
        <v>0.02</v>
      </c>
    </row>
    <row r="1309" spans="1:22" x14ac:dyDescent="0.2">
      <c r="A1309">
        <v>1308</v>
      </c>
      <c r="B1309" t="s">
        <v>9646</v>
      </c>
      <c r="C1309" s="1">
        <v>41925</v>
      </c>
      <c r="D1309" s="22">
        <f>MONTH(Table12[[#This Row],[Order Date]])</f>
        <v>10</v>
      </c>
      <c r="E1309" t="s">
        <v>3027</v>
      </c>
      <c r="F1309" t="s">
        <v>3028</v>
      </c>
      <c r="G1309" s="23" t="s">
        <v>41</v>
      </c>
      <c r="H1309" s="23" t="s">
        <v>68</v>
      </c>
      <c r="I1309" t="s">
        <v>5484</v>
      </c>
      <c r="J1309" s="23" t="s">
        <v>92</v>
      </c>
      <c r="K1309" s="22">
        <v>3</v>
      </c>
      <c r="L1309" s="1">
        <v>41927</v>
      </c>
      <c r="M1309" s="22">
        <f>Table12[[#This Row],[Ship Date]]-Table12[[#This Row],[Order Date]]</f>
        <v>2</v>
      </c>
      <c r="N1309" s="23" t="s">
        <v>169</v>
      </c>
      <c r="O1309" s="23" t="s">
        <v>23</v>
      </c>
      <c r="P1309" s="23" t="s">
        <v>285</v>
      </c>
      <c r="Q1309" s="23" t="s">
        <v>26</v>
      </c>
      <c r="R1309" s="23" t="s">
        <v>1294</v>
      </c>
      <c r="S1309" s="33">
        <v>0</v>
      </c>
      <c r="T1309" s="13">
        <v>15.18</v>
      </c>
      <c r="U1309" s="13">
        <v>7.1345999999999998</v>
      </c>
      <c r="V1309" s="55">
        <f>IFERROR(Table12[[#This Row],[Profit]]/Table12[[#This Row],[Sales]],0)</f>
        <v>0.47</v>
      </c>
    </row>
    <row r="1310" spans="1:22" x14ac:dyDescent="0.2">
      <c r="A1310">
        <v>1309</v>
      </c>
      <c r="B1310" t="s">
        <v>7104</v>
      </c>
      <c r="C1310" s="1">
        <v>41926</v>
      </c>
      <c r="D1310" s="22">
        <f>MONTH(Table12[[#This Row],[Order Date]])</f>
        <v>10</v>
      </c>
      <c r="E1310" t="s">
        <v>6008</v>
      </c>
      <c r="F1310" t="s">
        <v>6009</v>
      </c>
      <c r="G1310" s="23" t="s">
        <v>41</v>
      </c>
      <c r="H1310" s="23" t="s">
        <v>68</v>
      </c>
      <c r="I1310" t="s">
        <v>3982</v>
      </c>
      <c r="J1310" s="23" t="s">
        <v>36</v>
      </c>
      <c r="K1310" s="22">
        <v>4</v>
      </c>
      <c r="L1310" s="1">
        <v>41928</v>
      </c>
      <c r="M1310" s="22">
        <f>Table12[[#This Row],[Ship Date]]-Table12[[#This Row],[Order Date]]</f>
        <v>2</v>
      </c>
      <c r="N1310" s="23" t="s">
        <v>20</v>
      </c>
      <c r="O1310" s="23" t="s">
        <v>23</v>
      </c>
      <c r="P1310" s="23" t="s">
        <v>2373</v>
      </c>
      <c r="Q1310" s="23" t="s">
        <v>133</v>
      </c>
      <c r="R1310" s="23" t="s">
        <v>79</v>
      </c>
      <c r="S1310" s="33">
        <v>0</v>
      </c>
      <c r="T1310" s="13">
        <v>22.92</v>
      </c>
      <c r="U1310" s="13">
        <v>11.0016</v>
      </c>
      <c r="V1310" s="55">
        <f>IFERROR(Table12[[#This Row],[Profit]]/Table12[[#This Row],[Sales]],0)</f>
        <v>0.48</v>
      </c>
    </row>
    <row r="1311" spans="1:22" x14ac:dyDescent="0.2">
      <c r="A1311">
        <v>1310</v>
      </c>
      <c r="B1311" t="s">
        <v>7104</v>
      </c>
      <c r="C1311" s="1">
        <v>41926</v>
      </c>
      <c r="D1311" s="22">
        <f>MONTH(Table12[[#This Row],[Order Date]])</f>
        <v>10</v>
      </c>
      <c r="E1311" t="s">
        <v>1383</v>
      </c>
      <c r="F1311" t="s">
        <v>1384</v>
      </c>
      <c r="G1311" s="23" t="s">
        <v>41</v>
      </c>
      <c r="H1311" s="23" t="s">
        <v>53</v>
      </c>
      <c r="I1311" t="s">
        <v>3982</v>
      </c>
      <c r="J1311" s="23" t="s">
        <v>36</v>
      </c>
      <c r="K1311" s="22">
        <v>5</v>
      </c>
      <c r="L1311" s="1">
        <v>41928</v>
      </c>
      <c r="M1311" s="22">
        <f>Table12[[#This Row],[Ship Date]]-Table12[[#This Row],[Order Date]]</f>
        <v>2</v>
      </c>
      <c r="N1311" s="23" t="s">
        <v>20</v>
      </c>
      <c r="O1311" s="23" t="s">
        <v>23</v>
      </c>
      <c r="P1311" s="23" t="s">
        <v>2373</v>
      </c>
      <c r="Q1311" s="23" t="s">
        <v>133</v>
      </c>
      <c r="R1311" s="23" t="s">
        <v>79</v>
      </c>
      <c r="S1311" s="33">
        <v>0</v>
      </c>
      <c r="T1311" s="13">
        <v>269.89999999999998</v>
      </c>
      <c r="U1311" s="13">
        <v>16.193999999999999</v>
      </c>
      <c r="V1311" s="55">
        <f>IFERROR(Table12[[#This Row],[Profit]]/Table12[[#This Row],[Sales]],0)</f>
        <v>6.0000000000000005E-2</v>
      </c>
    </row>
    <row r="1312" spans="1:22" x14ac:dyDescent="0.2">
      <c r="A1312">
        <v>1311</v>
      </c>
      <c r="B1312" t="s">
        <v>7699</v>
      </c>
      <c r="C1312" s="1">
        <v>41926</v>
      </c>
      <c r="D1312" s="22">
        <f>MONTH(Table12[[#This Row],[Order Date]])</f>
        <v>10</v>
      </c>
      <c r="E1312" t="s">
        <v>6891</v>
      </c>
      <c r="F1312" t="s">
        <v>6892</v>
      </c>
      <c r="G1312" s="23" t="s">
        <v>41</v>
      </c>
      <c r="H1312" s="23" t="s">
        <v>71</v>
      </c>
      <c r="I1312" t="s">
        <v>5155</v>
      </c>
      <c r="J1312" s="23" t="s">
        <v>22</v>
      </c>
      <c r="K1312" s="22">
        <v>4</v>
      </c>
      <c r="L1312" s="1">
        <v>41930</v>
      </c>
      <c r="M1312" s="22">
        <f>Table12[[#This Row],[Ship Date]]-Table12[[#This Row],[Order Date]]</f>
        <v>4</v>
      </c>
      <c r="N1312" s="23" t="s">
        <v>45</v>
      </c>
      <c r="O1312" s="23" t="s">
        <v>23</v>
      </c>
      <c r="P1312" s="23" t="s">
        <v>94</v>
      </c>
      <c r="Q1312" s="23" t="s">
        <v>95</v>
      </c>
      <c r="R1312" s="23" t="s">
        <v>93</v>
      </c>
      <c r="S1312" s="33">
        <v>0.8</v>
      </c>
      <c r="T1312" s="13">
        <v>3.16</v>
      </c>
      <c r="U1312" s="13">
        <v>-8.532</v>
      </c>
      <c r="V1312" s="55">
        <f>IFERROR(Table12[[#This Row],[Profit]]/Table12[[#This Row],[Sales]],0)</f>
        <v>-2.6999999999999997</v>
      </c>
    </row>
    <row r="1313" spans="1:22" x14ac:dyDescent="0.2">
      <c r="A1313">
        <v>1312</v>
      </c>
      <c r="B1313" t="s">
        <v>7699</v>
      </c>
      <c r="C1313" s="1">
        <v>41926</v>
      </c>
      <c r="D1313" s="22">
        <f>MONTH(Table12[[#This Row],[Order Date]])</f>
        <v>10</v>
      </c>
      <c r="E1313" t="s">
        <v>2108</v>
      </c>
      <c r="F1313" t="s">
        <v>2109</v>
      </c>
      <c r="G1313" s="23" t="s">
        <v>64</v>
      </c>
      <c r="H1313" s="23" t="s">
        <v>1075</v>
      </c>
      <c r="I1313" t="s">
        <v>5155</v>
      </c>
      <c r="J1313" s="23" t="s">
        <v>22</v>
      </c>
      <c r="K1313" s="22">
        <v>5</v>
      </c>
      <c r="L1313" s="1">
        <v>41930</v>
      </c>
      <c r="M1313" s="22">
        <f>Table12[[#This Row],[Ship Date]]-Table12[[#This Row],[Order Date]]</f>
        <v>4</v>
      </c>
      <c r="N1313" s="23" t="s">
        <v>45</v>
      </c>
      <c r="O1313" s="23" t="s">
        <v>23</v>
      </c>
      <c r="P1313" s="23" t="s">
        <v>94</v>
      </c>
      <c r="Q1313" s="23" t="s">
        <v>95</v>
      </c>
      <c r="R1313" s="23" t="s">
        <v>93</v>
      </c>
      <c r="S1313" s="33">
        <v>0.2</v>
      </c>
      <c r="T1313" s="13">
        <v>1999.96</v>
      </c>
      <c r="U1313" s="13">
        <v>624.98749999999995</v>
      </c>
      <c r="V1313" s="55">
        <f>IFERROR(Table12[[#This Row],[Profit]]/Table12[[#This Row],[Sales]],0)</f>
        <v>0.31249999999999994</v>
      </c>
    </row>
    <row r="1314" spans="1:22" x14ac:dyDescent="0.2">
      <c r="A1314">
        <v>1313</v>
      </c>
      <c r="B1314" t="s">
        <v>9621</v>
      </c>
      <c r="C1314" s="1">
        <v>41926</v>
      </c>
      <c r="D1314" s="22">
        <f>MONTH(Table12[[#This Row],[Order Date]])</f>
        <v>10</v>
      </c>
      <c r="E1314" t="s">
        <v>4810</v>
      </c>
      <c r="F1314" t="s">
        <v>4811</v>
      </c>
      <c r="G1314" s="23" t="s">
        <v>41</v>
      </c>
      <c r="H1314" s="23" t="s">
        <v>82</v>
      </c>
      <c r="I1314" t="s">
        <v>1630</v>
      </c>
      <c r="J1314" s="23" t="s">
        <v>22</v>
      </c>
      <c r="K1314" s="22">
        <v>13</v>
      </c>
      <c r="L1314" s="1">
        <v>41932</v>
      </c>
      <c r="M1314" s="22">
        <f>Table12[[#This Row],[Ship Date]]-Table12[[#This Row],[Order Date]]</f>
        <v>6</v>
      </c>
      <c r="N1314" s="23" t="s">
        <v>45</v>
      </c>
      <c r="O1314" s="23" t="s">
        <v>23</v>
      </c>
      <c r="P1314" s="23" t="s">
        <v>189</v>
      </c>
      <c r="Q1314" s="23" t="s">
        <v>95</v>
      </c>
      <c r="R1314" s="23" t="s">
        <v>271</v>
      </c>
      <c r="S1314" s="33">
        <v>0.2</v>
      </c>
      <c r="T1314" s="13">
        <v>322.19200000000001</v>
      </c>
      <c r="U1314" s="13">
        <v>100.685</v>
      </c>
      <c r="V1314" s="55">
        <f>IFERROR(Table12[[#This Row],[Profit]]/Table12[[#This Row],[Sales]],0)</f>
        <v>0.3125</v>
      </c>
    </row>
    <row r="1315" spans="1:22" x14ac:dyDescent="0.2">
      <c r="A1315">
        <v>1314</v>
      </c>
      <c r="B1315" t="s">
        <v>9621</v>
      </c>
      <c r="C1315" s="1">
        <v>41926</v>
      </c>
      <c r="D1315" s="22">
        <f>MONTH(Table12[[#This Row],[Order Date]])</f>
        <v>10</v>
      </c>
      <c r="E1315" t="s">
        <v>700</v>
      </c>
      <c r="F1315" t="s">
        <v>701</v>
      </c>
      <c r="G1315" s="23" t="s">
        <v>41</v>
      </c>
      <c r="H1315" s="23" t="s">
        <v>68</v>
      </c>
      <c r="I1315" t="s">
        <v>1630</v>
      </c>
      <c r="J1315" s="23" t="s">
        <v>22</v>
      </c>
      <c r="K1315" s="22">
        <v>3</v>
      </c>
      <c r="L1315" s="1">
        <v>41932</v>
      </c>
      <c r="M1315" s="22">
        <f>Table12[[#This Row],[Ship Date]]-Table12[[#This Row],[Order Date]]</f>
        <v>6</v>
      </c>
      <c r="N1315" s="23" t="s">
        <v>45</v>
      </c>
      <c r="O1315" s="23" t="s">
        <v>23</v>
      </c>
      <c r="P1315" s="23" t="s">
        <v>189</v>
      </c>
      <c r="Q1315" s="23" t="s">
        <v>95</v>
      </c>
      <c r="R1315" s="23" t="s">
        <v>271</v>
      </c>
      <c r="S1315" s="33">
        <v>0.8</v>
      </c>
      <c r="T1315" s="13">
        <v>2.9460000000000002</v>
      </c>
      <c r="U1315" s="13">
        <v>-4.8609</v>
      </c>
      <c r="V1315" s="55">
        <f>IFERROR(Table12[[#This Row],[Profit]]/Table12[[#This Row],[Sales]],0)</f>
        <v>-1.65</v>
      </c>
    </row>
    <row r="1316" spans="1:22" x14ac:dyDescent="0.2">
      <c r="A1316">
        <v>1315</v>
      </c>
      <c r="B1316" t="s">
        <v>9621</v>
      </c>
      <c r="C1316" s="1">
        <v>41926</v>
      </c>
      <c r="D1316" s="22">
        <f>MONTH(Table12[[#This Row],[Order Date]])</f>
        <v>10</v>
      </c>
      <c r="E1316" t="s">
        <v>4830</v>
      </c>
      <c r="F1316" t="s">
        <v>4831</v>
      </c>
      <c r="G1316" s="23" t="s">
        <v>41</v>
      </c>
      <c r="H1316" s="23" t="s">
        <v>82</v>
      </c>
      <c r="I1316" t="s">
        <v>1630</v>
      </c>
      <c r="J1316" s="23" t="s">
        <v>22</v>
      </c>
      <c r="K1316" s="22">
        <v>4</v>
      </c>
      <c r="L1316" s="1">
        <v>41932</v>
      </c>
      <c r="M1316" s="22">
        <f>Table12[[#This Row],[Ship Date]]-Table12[[#This Row],[Order Date]]</f>
        <v>6</v>
      </c>
      <c r="N1316" s="23" t="s">
        <v>45</v>
      </c>
      <c r="O1316" s="23" t="s">
        <v>23</v>
      </c>
      <c r="P1316" s="23" t="s">
        <v>189</v>
      </c>
      <c r="Q1316" s="23" t="s">
        <v>95</v>
      </c>
      <c r="R1316" s="23" t="s">
        <v>271</v>
      </c>
      <c r="S1316" s="33">
        <v>0.2</v>
      </c>
      <c r="T1316" s="13">
        <v>19.135999999999999</v>
      </c>
      <c r="U1316" s="13">
        <v>6.9367999999999999</v>
      </c>
      <c r="V1316" s="55">
        <f>IFERROR(Table12[[#This Row],[Profit]]/Table12[[#This Row],[Sales]],0)</f>
        <v>0.36249999999999999</v>
      </c>
    </row>
    <row r="1317" spans="1:22" x14ac:dyDescent="0.2">
      <c r="A1317">
        <v>1316</v>
      </c>
      <c r="B1317" t="s">
        <v>9959</v>
      </c>
      <c r="C1317" s="1">
        <v>41926</v>
      </c>
      <c r="D1317" s="22">
        <f>MONTH(Table12[[#This Row],[Order Date]])</f>
        <v>10</v>
      </c>
      <c r="E1317" t="s">
        <v>3516</v>
      </c>
      <c r="F1317" t="s">
        <v>3517</v>
      </c>
      <c r="G1317" s="23" t="s">
        <v>64</v>
      </c>
      <c r="H1317" s="23" t="s">
        <v>144</v>
      </c>
      <c r="I1317" t="s">
        <v>5165</v>
      </c>
      <c r="J1317" s="23" t="s">
        <v>22</v>
      </c>
      <c r="K1317" s="22">
        <v>3</v>
      </c>
      <c r="L1317" s="1">
        <v>41929</v>
      </c>
      <c r="M1317" s="22">
        <f>Table12[[#This Row],[Ship Date]]-Table12[[#This Row],[Order Date]]</f>
        <v>3</v>
      </c>
      <c r="N1317" s="23" t="s">
        <v>169</v>
      </c>
      <c r="O1317" s="23" t="s">
        <v>23</v>
      </c>
      <c r="P1317" s="23" t="s">
        <v>1101</v>
      </c>
      <c r="Q1317" s="23" t="s">
        <v>133</v>
      </c>
      <c r="R1317" s="23" t="s">
        <v>3613</v>
      </c>
      <c r="S1317" s="33">
        <v>0</v>
      </c>
      <c r="T1317" s="13">
        <v>177</v>
      </c>
      <c r="U1317" s="13">
        <v>30.09</v>
      </c>
      <c r="V1317" s="55">
        <f>IFERROR(Table12[[#This Row],[Profit]]/Table12[[#This Row],[Sales]],0)</f>
        <v>0.17</v>
      </c>
    </row>
    <row r="1318" spans="1:22" x14ac:dyDescent="0.2">
      <c r="A1318">
        <v>1317</v>
      </c>
      <c r="B1318" t="s">
        <v>9959</v>
      </c>
      <c r="C1318" s="1">
        <v>41926</v>
      </c>
      <c r="D1318" s="22">
        <f>MONTH(Table12[[#This Row],[Order Date]])</f>
        <v>10</v>
      </c>
      <c r="E1318" t="s">
        <v>312</v>
      </c>
      <c r="F1318" t="s">
        <v>313</v>
      </c>
      <c r="G1318" s="23" t="s">
        <v>41</v>
      </c>
      <c r="H1318" s="23" t="s">
        <v>53</v>
      </c>
      <c r="I1318" t="s">
        <v>5165</v>
      </c>
      <c r="J1318" s="23" t="s">
        <v>22</v>
      </c>
      <c r="K1318" s="22">
        <v>7</v>
      </c>
      <c r="L1318" s="1">
        <v>41929</v>
      </c>
      <c r="M1318" s="22">
        <f>Table12[[#This Row],[Ship Date]]-Table12[[#This Row],[Order Date]]</f>
        <v>3</v>
      </c>
      <c r="N1318" s="23" t="s">
        <v>169</v>
      </c>
      <c r="O1318" s="23" t="s">
        <v>23</v>
      </c>
      <c r="P1318" s="23" t="s">
        <v>1101</v>
      </c>
      <c r="Q1318" s="23" t="s">
        <v>133</v>
      </c>
      <c r="R1318" s="23" t="s">
        <v>3613</v>
      </c>
      <c r="S1318" s="33">
        <v>0</v>
      </c>
      <c r="T1318" s="13">
        <v>79.45</v>
      </c>
      <c r="U1318" s="13">
        <v>22.245999999999999</v>
      </c>
      <c r="V1318" s="55">
        <f>IFERROR(Table12[[#This Row],[Profit]]/Table12[[#This Row],[Sales]],0)</f>
        <v>0.27999999999999997</v>
      </c>
    </row>
    <row r="1319" spans="1:22" x14ac:dyDescent="0.2">
      <c r="A1319">
        <v>1318</v>
      </c>
      <c r="B1319" t="s">
        <v>9959</v>
      </c>
      <c r="C1319" s="1">
        <v>41926</v>
      </c>
      <c r="D1319" s="22">
        <f>MONTH(Table12[[#This Row],[Order Date]])</f>
        <v>10</v>
      </c>
      <c r="E1319" t="s">
        <v>6923</v>
      </c>
      <c r="F1319" t="s">
        <v>6924</v>
      </c>
      <c r="G1319" s="23" t="s">
        <v>28</v>
      </c>
      <c r="H1319" s="23" t="s">
        <v>32</v>
      </c>
      <c r="I1319" t="s">
        <v>5165</v>
      </c>
      <c r="J1319" s="23" t="s">
        <v>22</v>
      </c>
      <c r="K1319" s="22">
        <v>9</v>
      </c>
      <c r="L1319" s="1">
        <v>41929</v>
      </c>
      <c r="M1319" s="22">
        <f>Table12[[#This Row],[Ship Date]]-Table12[[#This Row],[Order Date]]</f>
        <v>3</v>
      </c>
      <c r="N1319" s="23" t="s">
        <v>169</v>
      </c>
      <c r="O1319" s="23" t="s">
        <v>23</v>
      </c>
      <c r="P1319" s="23" t="s">
        <v>1101</v>
      </c>
      <c r="Q1319" s="23" t="s">
        <v>133</v>
      </c>
      <c r="R1319" s="23" t="s">
        <v>3613</v>
      </c>
      <c r="S1319" s="33">
        <v>0</v>
      </c>
      <c r="T1319" s="13">
        <v>1628.82</v>
      </c>
      <c r="U1319" s="13">
        <v>260.6112</v>
      </c>
      <c r="V1319" s="55">
        <f>IFERROR(Table12[[#This Row],[Profit]]/Table12[[#This Row],[Sales]],0)</f>
        <v>0.16</v>
      </c>
    </row>
    <row r="1320" spans="1:22" x14ac:dyDescent="0.2">
      <c r="A1320">
        <v>1319</v>
      </c>
      <c r="B1320" t="s">
        <v>5193</v>
      </c>
      <c r="C1320" s="1">
        <v>41927</v>
      </c>
      <c r="D1320" s="22">
        <f>MONTH(Table12[[#This Row],[Order Date]])</f>
        <v>10</v>
      </c>
      <c r="E1320" t="s">
        <v>3490</v>
      </c>
      <c r="F1320" t="s">
        <v>5133</v>
      </c>
      <c r="G1320" s="23" t="s">
        <v>28</v>
      </c>
      <c r="H1320" s="23" t="s">
        <v>58</v>
      </c>
      <c r="I1320" t="s">
        <v>2156</v>
      </c>
      <c r="J1320" s="23" t="s">
        <v>22</v>
      </c>
      <c r="K1320" s="22">
        <v>1</v>
      </c>
      <c r="L1320" s="1">
        <v>41932</v>
      </c>
      <c r="M1320" s="22">
        <f>Table12[[#This Row],[Ship Date]]-Table12[[#This Row],[Order Date]]</f>
        <v>5</v>
      </c>
      <c r="N1320" s="23" t="s">
        <v>45</v>
      </c>
      <c r="O1320" s="23" t="s">
        <v>23</v>
      </c>
      <c r="P1320" s="23" t="s">
        <v>48</v>
      </c>
      <c r="Q1320" s="23" t="s">
        <v>26</v>
      </c>
      <c r="R1320" s="23" t="s">
        <v>2050</v>
      </c>
      <c r="S1320" s="33">
        <v>0.2</v>
      </c>
      <c r="T1320" s="13">
        <v>15.384</v>
      </c>
      <c r="U1320" s="13">
        <v>4.0382999999999996</v>
      </c>
      <c r="V1320" s="55">
        <f>IFERROR(Table12[[#This Row],[Profit]]/Table12[[#This Row],[Sales]],0)</f>
        <v>0.26249999999999996</v>
      </c>
    </row>
    <row r="1321" spans="1:22" x14ac:dyDescent="0.2">
      <c r="A1321">
        <v>1320</v>
      </c>
      <c r="B1321" t="s">
        <v>7099</v>
      </c>
      <c r="C1321" s="1">
        <v>41927</v>
      </c>
      <c r="D1321" s="22">
        <f>MONTH(Table12[[#This Row],[Order Date]])</f>
        <v>10</v>
      </c>
      <c r="E1321" t="s">
        <v>5160</v>
      </c>
      <c r="F1321" t="s">
        <v>5161</v>
      </c>
      <c r="G1321" s="23" t="s">
        <v>28</v>
      </c>
      <c r="H1321" s="23" t="s">
        <v>32</v>
      </c>
      <c r="I1321" t="s">
        <v>5364</v>
      </c>
      <c r="J1321" s="23" t="s">
        <v>22</v>
      </c>
      <c r="K1321" s="22">
        <v>2</v>
      </c>
      <c r="L1321" s="1">
        <v>41929</v>
      </c>
      <c r="M1321" s="22">
        <f>Table12[[#This Row],[Ship Date]]-Table12[[#This Row],[Order Date]]</f>
        <v>2</v>
      </c>
      <c r="N1321" s="23" t="s">
        <v>169</v>
      </c>
      <c r="O1321" s="23" t="s">
        <v>23</v>
      </c>
      <c r="P1321" s="23" t="s">
        <v>441</v>
      </c>
      <c r="Q1321" s="23" t="s">
        <v>133</v>
      </c>
      <c r="R1321" s="23" t="s">
        <v>3414</v>
      </c>
      <c r="S1321" s="33">
        <v>0.3</v>
      </c>
      <c r="T1321" s="13">
        <v>183.37200000000001</v>
      </c>
      <c r="U1321" s="13">
        <v>-7.8587999999999996</v>
      </c>
      <c r="V1321" s="55">
        <f>IFERROR(Table12[[#This Row],[Profit]]/Table12[[#This Row],[Sales]],0)</f>
        <v>-4.2857142857142851E-2</v>
      </c>
    </row>
    <row r="1322" spans="1:22" x14ac:dyDescent="0.2">
      <c r="A1322">
        <v>1321</v>
      </c>
      <c r="B1322" t="s">
        <v>7099</v>
      </c>
      <c r="C1322" s="1">
        <v>41927</v>
      </c>
      <c r="D1322" s="22">
        <f>MONTH(Table12[[#This Row],[Order Date]])</f>
        <v>10</v>
      </c>
      <c r="E1322" t="s">
        <v>1356</v>
      </c>
      <c r="F1322" t="s">
        <v>1357</v>
      </c>
      <c r="G1322" s="23" t="s">
        <v>41</v>
      </c>
      <c r="H1322" s="23" t="s">
        <v>82</v>
      </c>
      <c r="I1322" t="s">
        <v>5364</v>
      </c>
      <c r="J1322" s="23" t="s">
        <v>22</v>
      </c>
      <c r="K1322" s="22">
        <v>2</v>
      </c>
      <c r="L1322" s="1">
        <v>41929</v>
      </c>
      <c r="M1322" s="22">
        <f>Table12[[#This Row],[Ship Date]]-Table12[[#This Row],[Order Date]]</f>
        <v>2</v>
      </c>
      <c r="N1322" s="23" t="s">
        <v>169</v>
      </c>
      <c r="O1322" s="23" t="s">
        <v>23</v>
      </c>
      <c r="P1322" s="23" t="s">
        <v>441</v>
      </c>
      <c r="Q1322" s="23" t="s">
        <v>133</v>
      </c>
      <c r="R1322" s="23" t="s">
        <v>3414</v>
      </c>
      <c r="S1322" s="33">
        <v>0.2</v>
      </c>
      <c r="T1322" s="13">
        <v>7.968</v>
      </c>
      <c r="U1322" s="13">
        <v>2.8883999999999999</v>
      </c>
      <c r="V1322" s="55">
        <f>IFERROR(Table12[[#This Row],[Profit]]/Table12[[#This Row],[Sales]],0)</f>
        <v>0.36249999999999999</v>
      </c>
    </row>
    <row r="1323" spans="1:22" x14ac:dyDescent="0.2">
      <c r="A1323">
        <v>1322</v>
      </c>
      <c r="B1323" t="s">
        <v>7786</v>
      </c>
      <c r="C1323" s="1">
        <v>41928</v>
      </c>
      <c r="D1323" s="22">
        <f>MONTH(Table12[[#This Row],[Order Date]])</f>
        <v>10</v>
      </c>
      <c r="E1323" t="s">
        <v>3283</v>
      </c>
      <c r="F1323" t="s">
        <v>3284</v>
      </c>
      <c r="G1323" s="23" t="s">
        <v>41</v>
      </c>
      <c r="H1323" s="23" t="s">
        <v>68</v>
      </c>
      <c r="I1323" t="s">
        <v>1546</v>
      </c>
      <c r="J1323" s="23" t="s">
        <v>22</v>
      </c>
      <c r="K1323" s="22">
        <v>3</v>
      </c>
      <c r="L1323" s="1">
        <v>41929</v>
      </c>
      <c r="M1323" s="22">
        <f>Table12[[#This Row],[Ship Date]]-Table12[[#This Row],[Order Date]]</f>
        <v>1</v>
      </c>
      <c r="N1323" s="23" t="s">
        <v>1141</v>
      </c>
      <c r="O1323" s="23" t="s">
        <v>23</v>
      </c>
      <c r="P1323" s="23" t="s">
        <v>38</v>
      </c>
      <c r="Q1323" s="23" t="s">
        <v>39</v>
      </c>
      <c r="R1323" s="23" t="s">
        <v>114</v>
      </c>
      <c r="S1323" s="33">
        <v>0.2</v>
      </c>
      <c r="T1323" s="13">
        <v>14.352</v>
      </c>
      <c r="U1323" s="13">
        <v>5.0232000000000001</v>
      </c>
      <c r="V1323" s="55">
        <f>IFERROR(Table12[[#This Row],[Profit]]/Table12[[#This Row],[Sales]],0)</f>
        <v>0.35</v>
      </c>
    </row>
    <row r="1324" spans="1:22" x14ac:dyDescent="0.2">
      <c r="A1324">
        <v>1323</v>
      </c>
      <c r="B1324" t="s">
        <v>7786</v>
      </c>
      <c r="C1324" s="1">
        <v>41928</v>
      </c>
      <c r="D1324" s="22">
        <f>MONTH(Table12[[#This Row],[Order Date]])</f>
        <v>10</v>
      </c>
      <c r="E1324" t="s">
        <v>2070</v>
      </c>
      <c r="F1324" t="s">
        <v>2071</v>
      </c>
      <c r="G1324" s="23" t="s">
        <v>64</v>
      </c>
      <c r="H1324" s="23" t="s">
        <v>144</v>
      </c>
      <c r="I1324" t="s">
        <v>1546</v>
      </c>
      <c r="J1324" s="23" t="s">
        <v>22</v>
      </c>
      <c r="K1324" s="22">
        <v>3</v>
      </c>
      <c r="L1324" s="1">
        <v>41929</v>
      </c>
      <c r="M1324" s="22">
        <f>Table12[[#This Row],[Ship Date]]-Table12[[#This Row],[Order Date]]</f>
        <v>1</v>
      </c>
      <c r="N1324" s="23" t="s">
        <v>1141</v>
      </c>
      <c r="O1324" s="23" t="s">
        <v>23</v>
      </c>
      <c r="P1324" s="23" t="s">
        <v>38</v>
      </c>
      <c r="Q1324" s="23" t="s">
        <v>39</v>
      </c>
      <c r="R1324" s="23" t="s">
        <v>114</v>
      </c>
      <c r="S1324" s="33">
        <v>0</v>
      </c>
      <c r="T1324" s="13">
        <v>179.97</v>
      </c>
      <c r="U1324" s="13">
        <v>86.385599999999997</v>
      </c>
      <c r="V1324" s="55">
        <f>IFERROR(Table12[[#This Row],[Profit]]/Table12[[#This Row],[Sales]],0)</f>
        <v>0.48</v>
      </c>
    </row>
    <row r="1325" spans="1:22" x14ac:dyDescent="0.2">
      <c r="A1325">
        <v>1324</v>
      </c>
      <c r="B1325" t="s">
        <v>8370</v>
      </c>
      <c r="C1325" s="1">
        <v>41929</v>
      </c>
      <c r="D1325" s="22">
        <f>MONTH(Table12[[#This Row],[Order Date]])</f>
        <v>10</v>
      </c>
      <c r="E1325" t="s">
        <v>2854</v>
      </c>
      <c r="F1325" t="s">
        <v>2855</v>
      </c>
      <c r="G1325" s="23" t="s">
        <v>41</v>
      </c>
      <c r="H1325" s="23" t="s">
        <v>68</v>
      </c>
      <c r="I1325" t="s">
        <v>147</v>
      </c>
      <c r="J1325" s="23" t="s">
        <v>22</v>
      </c>
      <c r="K1325" s="22">
        <v>5</v>
      </c>
      <c r="L1325" s="1">
        <v>41934</v>
      </c>
      <c r="M1325" s="22">
        <f>Table12[[#This Row],[Ship Date]]-Table12[[#This Row],[Order Date]]</f>
        <v>5</v>
      </c>
      <c r="N1325" s="23" t="s">
        <v>20</v>
      </c>
      <c r="O1325" s="23" t="s">
        <v>23</v>
      </c>
      <c r="P1325" s="23" t="s">
        <v>94</v>
      </c>
      <c r="Q1325" s="23" t="s">
        <v>95</v>
      </c>
      <c r="R1325" s="23" t="s">
        <v>8371</v>
      </c>
      <c r="S1325" s="33">
        <v>0.8</v>
      </c>
      <c r="T1325" s="13">
        <v>10.78</v>
      </c>
      <c r="U1325" s="13">
        <v>-17.248000000000001</v>
      </c>
      <c r="V1325" s="55">
        <f>IFERROR(Table12[[#This Row],[Profit]]/Table12[[#This Row],[Sales]],0)</f>
        <v>-1.6</v>
      </c>
    </row>
    <row r="1326" spans="1:22" x14ac:dyDescent="0.2">
      <c r="A1326">
        <v>1325</v>
      </c>
      <c r="B1326" t="s">
        <v>8370</v>
      </c>
      <c r="C1326" s="1">
        <v>41929</v>
      </c>
      <c r="D1326" s="22">
        <f>MONTH(Table12[[#This Row],[Order Date]])</f>
        <v>10</v>
      </c>
      <c r="E1326" t="s">
        <v>3312</v>
      </c>
      <c r="F1326" t="s">
        <v>3313</v>
      </c>
      <c r="G1326" s="23" t="s">
        <v>64</v>
      </c>
      <c r="H1326" s="23" t="s">
        <v>144</v>
      </c>
      <c r="I1326" t="s">
        <v>147</v>
      </c>
      <c r="J1326" s="23" t="s">
        <v>22</v>
      </c>
      <c r="K1326" s="22">
        <v>3</v>
      </c>
      <c r="L1326" s="1">
        <v>41934</v>
      </c>
      <c r="M1326" s="22">
        <f>Table12[[#This Row],[Ship Date]]-Table12[[#This Row],[Order Date]]</f>
        <v>5</v>
      </c>
      <c r="N1326" s="23" t="s">
        <v>20</v>
      </c>
      <c r="O1326" s="23" t="s">
        <v>23</v>
      </c>
      <c r="P1326" s="23" t="s">
        <v>94</v>
      </c>
      <c r="Q1326" s="23" t="s">
        <v>95</v>
      </c>
      <c r="R1326" s="23" t="s">
        <v>8371</v>
      </c>
      <c r="S1326" s="33">
        <v>0.2</v>
      </c>
      <c r="T1326" s="13">
        <v>119.976</v>
      </c>
      <c r="U1326" s="13">
        <v>-17.996400000000001</v>
      </c>
      <c r="V1326" s="55">
        <f>IFERROR(Table12[[#This Row],[Profit]]/Table12[[#This Row],[Sales]],0)</f>
        <v>-0.15000000000000002</v>
      </c>
    </row>
    <row r="1327" spans="1:22" x14ac:dyDescent="0.2">
      <c r="A1327">
        <v>1326</v>
      </c>
      <c r="B1327" t="s">
        <v>9912</v>
      </c>
      <c r="C1327" s="1">
        <v>41929</v>
      </c>
      <c r="D1327" s="22">
        <f>MONTH(Table12[[#This Row],[Order Date]])</f>
        <v>10</v>
      </c>
      <c r="E1327" t="s">
        <v>5662</v>
      </c>
      <c r="F1327" t="s">
        <v>5663</v>
      </c>
      <c r="G1327" s="23" t="s">
        <v>28</v>
      </c>
      <c r="H1327" s="23" t="s">
        <v>58</v>
      </c>
      <c r="I1327" t="s">
        <v>3227</v>
      </c>
      <c r="J1327" s="23" t="s">
        <v>22</v>
      </c>
      <c r="K1327" s="22">
        <v>2</v>
      </c>
      <c r="L1327" s="1">
        <v>41931</v>
      </c>
      <c r="M1327" s="22">
        <f>Table12[[#This Row],[Ship Date]]-Table12[[#This Row],[Order Date]]</f>
        <v>2</v>
      </c>
      <c r="N1327" s="23" t="s">
        <v>20</v>
      </c>
      <c r="O1327" s="23" t="s">
        <v>23</v>
      </c>
      <c r="P1327" s="23" t="s">
        <v>94</v>
      </c>
      <c r="Q1327" s="23" t="s">
        <v>95</v>
      </c>
      <c r="R1327" s="23" t="s">
        <v>165</v>
      </c>
      <c r="S1327" s="33">
        <v>0.6</v>
      </c>
      <c r="T1327" s="13">
        <v>5.3120000000000003</v>
      </c>
      <c r="U1327" s="13">
        <v>-1.5935999999999999</v>
      </c>
      <c r="V1327" s="55">
        <f>IFERROR(Table12[[#This Row],[Profit]]/Table12[[#This Row],[Sales]],0)</f>
        <v>-0.3</v>
      </c>
    </row>
    <row r="1328" spans="1:22" x14ac:dyDescent="0.2">
      <c r="A1328">
        <v>1327</v>
      </c>
      <c r="B1328" t="s">
        <v>4284</v>
      </c>
      <c r="C1328" s="1">
        <v>41930</v>
      </c>
      <c r="D1328" s="22">
        <f>MONTH(Table12[[#This Row],[Order Date]])</f>
        <v>10</v>
      </c>
      <c r="E1328" t="s">
        <v>739</v>
      </c>
      <c r="F1328" t="s">
        <v>740</v>
      </c>
      <c r="G1328" s="23" t="s">
        <v>41</v>
      </c>
      <c r="H1328" s="23" t="s">
        <v>53</v>
      </c>
      <c r="I1328" t="s">
        <v>981</v>
      </c>
      <c r="J1328" s="23" t="s">
        <v>36</v>
      </c>
      <c r="K1328" s="22">
        <v>3</v>
      </c>
      <c r="L1328" s="1">
        <v>41932</v>
      </c>
      <c r="M1328" s="22">
        <f>Table12[[#This Row],[Ship Date]]-Table12[[#This Row],[Order Date]]</f>
        <v>2</v>
      </c>
      <c r="N1328" s="23" t="s">
        <v>20</v>
      </c>
      <c r="O1328" s="23" t="s">
        <v>23</v>
      </c>
      <c r="P1328" s="23" t="s">
        <v>320</v>
      </c>
      <c r="Q1328" s="23" t="s">
        <v>26</v>
      </c>
      <c r="R1328" s="23" t="s">
        <v>1608</v>
      </c>
      <c r="S1328" s="33">
        <v>0</v>
      </c>
      <c r="T1328" s="13">
        <v>275.97000000000003</v>
      </c>
      <c r="U1328" s="13">
        <v>11.0388</v>
      </c>
      <c r="V1328" s="55">
        <f>IFERROR(Table12[[#This Row],[Profit]]/Table12[[#This Row],[Sales]],0)</f>
        <v>3.9999999999999994E-2</v>
      </c>
    </row>
    <row r="1329" spans="1:22" x14ac:dyDescent="0.2">
      <c r="A1329">
        <v>1328</v>
      </c>
      <c r="B1329" t="s">
        <v>4284</v>
      </c>
      <c r="C1329" s="1">
        <v>41930</v>
      </c>
      <c r="D1329" s="22">
        <f>MONTH(Table12[[#This Row],[Order Date]])</f>
        <v>10</v>
      </c>
      <c r="E1329" t="s">
        <v>4285</v>
      </c>
      <c r="F1329" t="s">
        <v>4286</v>
      </c>
      <c r="G1329" s="23" t="s">
        <v>64</v>
      </c>
      <c r="H1329" s="23" t="s">
        <v>65</v>
      </c>
      <c r="I1329" t="s">
        <v>981</v>
      </c>
      <c r="J1329" s="23" t="s">
        <v>36</v>
      </c>
      <c r="K1329" s="22">
        <v>5</v>
      </c>
      <c r="L1329" s="1">
        <v>41932</v>
      </c>
      <c r="M1329" s="22">
        <f>Table12[[#This Row],[Ship Date]]-Table12[[#This Row],[Order Date]]</f>
        <v>2</v>
      </c>
      <c r="N1329" s="23" t="s">
        <v>20</v>
      </c>
      <c r="O1329" s="23" t="s">
        <v>23</v>
      </c>
      <c r="P1329" s="23" t="s">
        <v>320</v>
      </c>
      <c r="Q1329" s="23" t="s">
        <v>26</v>
      </c>
      <c r="R1329" s="23" t="s">
        <v>1608</v>
      </c>
      <c r="S1329" s="33">
        <v>0</v>
      </c>
      <c r="T1329" s="13">
        <v>1394.95</v>
      </c>
      <c r="U1329" s="13">
        <v>362.68700000000001</v>
      </c>
      <c r="V1329" s="55">
        <f>IFERROR(Table12[[#This Row],[Profit]]/Table12[[#This Row],[Sales]],0)</f>
        <v>0.26</v>
      </c>
    </row>
    <row r="1330" spans="1:22" x14ac:dyDescent="0.2">
      <c r="A1330">
        <v>1329</v>
      </c>
      <c r="B1330" t="s">
        <v>4284</v>
      </c>
      <c r="C1330" s="1">
        <v>41930</v>
      </c>
      <c r="D1330" s="22">
        <f>MONTH(Table12[[#This Row],[Order Date]])</f>
        <v>10</v>
      </c>
      <c r="E1330" t="s">
        <v>4287</v>
      </c>
      <c r="F1330" t="s">
        <v>4288</v>
      </c>
      <c r="G1330" s="23" t="s">
        <v>28</v>
      </c>
      <c r="H1330" s="23" t="s">
        <v>32</v>
      </c>
      <c r="I1330" t="s">
        <v>981</v>
      </c>
      <c r="J1330" s="23" t="s">
        <v>36</v>
      </c>
      <c r="K1330" s="22">
        <v>6</v>
      </c>
      <c r="L1330" s="1">
        <v>41932</v>
      </c>
      <c r="M1330" s="22">
        <f>Table12[[#This Row],[Ship Date]]-Table12[[#This Row],[Order Date]]</f>
        <v>2</v>
      </c>
      <c r="N1330" s="23" t="s">
        <v>20</v>
      </c>
      <c r="O1330" s="23" t="s">
        <v>23</v>
      </c>
      <c r="P1330" s="23" t="s">
        <v>320</v>
      </c>
      <c r="Q1330" s="23" t="s">
        <v>26</v>
      </c>
      <c r="R1330" s="23" t="s">
        <v>1608</v>
      </c>
      <c r="S1330" s="33">
        <v>0</v>
      </c>
      <c r="T1330" s="13">
        <v>545.88</v>
      </c>
      <c r="U1330" s="13">
        <v>70.964399999999998</v>
      </c>
      <c r="V1330" s="55">
        <f>IFERROR(Table12[[#This Row],[Profit]]/Table12[[#This Row],[Sales]],0)</f>
        <v>0.13</v>
      </c>
    </row>
    <row r="1331" spans="1:22" x14ac:dyDescent="0.2">
      <c r="A1331">
        <v>1330</v>
      </c>
      <c r="B1331" t="s">
        <v>7247</v>
      </c>
      <c r="C1331" s="1">
        <v>41930</v>
      </c>
      <c r="D1331" s="22">
        <f>MONTH(Table12[[#This Row],[Order Date]])</f>
        <v>10</v>
      </c>
      <c r="E1331" t="s">
        <v>1596</v>
      </c>
      <c r="F1331" t="s">
        <v>1597</v>
      </c>
      <c r="G1331" s="23" t="s">
        <v>41</v>
      </c>
      <c r="H1331" s="23" t="s">
        <v>155</v>
      </c>
      <c r="I1331" t="s">
        <v>4217</v>
      </c>
      <c r="J1331" s="23" t="s">
        <v>36</v>
      </c>
      <c r="K1331" s="22">
        <v>6</v>
      </c>
      <c r="L1331" s="1">
        <v>41934</v>
      </c>
      <c r="M1331" s="22">
        <f>Table12[[#This Row],[Ship Date]]-Table12[[#This Row],[Order Date]]</f>
        <v>4</v>
      </c>
      <c r="N1331" s="23" t="s">
        <v>45</v>
      </c>
      <c r="O1331" s="23" t="s">
        <v>23</v>
      </c>
      <c r="P1331" s="23" t="s">
        <v>132</v>
      </c>
      <c r="Q1331" s="23" t="s">
        <v>133</v>
      </c>
      <c r="R1331" s="23" t="s">
        <v>131</v>
      </c>
      <c r="S1331" s="33">
        <v>0.2</v>
      </c>
      <c r="T1331" s="13">
        <v>52.512</v>
      </c>
      <c r="U1331" s="13">
        <v>19.692</v>
      </c>
      <c r="V1331" s="55">
        <f>IFERROR(Table12[[#This Row],[Profit]]/Table12[[#This Row],[Sales]],0)</f>
        <v>0.375</v>
      </c>
    </row>
    <row r="1332" spans="1:22" x14ac:dyDescent="0.2">
      <c r="A1332">
        <v>1331</v>
      </c>
      <c r="B1332" t="s">
        <v>7247</v>
      </c>
      <c r="C1332" s="1">
        <v>41930</v>
      </c>
      <c r="D1332" s="22">
        <f>MONTH(Table12[[#This Row],[Order Date]])</f>
        <v>10</v>
      </c>
      <c r="E1332" t="s">
        <v>194</v>
      </c>
      <c r="F1332" t="s">
        <v>195</v>
      </c>
      <c r="G1332" s="23" t="s">
        <v>41</v>
      </c>
      <c r="H1332" s="23" t="s">
        <v>53</v>
      </c>
      <c r="I1332" t="s">
        <v>4217</v>
      </c>
      <c r="J1332" s="23" t="s">
        <v>36</v>
      </c>
      <c r="K1332" s="22">
        <v>6</v>
      </c>
      <c r="L1332" s="1">
        <v>41934</v>
      </c>
      <c r="M1332" s="22">
        <f>Table12[[#This Row],[Ship Date]]-Table12[[#This Row],[Order Date]]</f>
        <v>4</v>
      </c>
      <c r="N1332" s="23" t="s">
        <v>45</v>
      </c>
      <c r="O1332" s="23" t="s">
        <v>23</v>
      </c>
      <c r="P1332" s="23" t="s">
        <v>132</v>
      </c>
      <c r="Q1332" s="23" t="s">
        <v>133</v>
      </c>
      <c r="R1332" s="23" t="s">
        <v>131</v>
      </c>
      <c r="S1332" s="33">
        <v>0.2</v>
      </c>
      <c r="T1332" s="13">
        <v>186.91200000000001</v>
      </c>
      <c r="U1332" s="13">
        <v>-35.045999999999999</v>
      </c>
      <c r="V1332" s="55">
        <f>IFERROR(Table12[[#This Row],[Profit]]/Table12[[#This Row],[Sales]],0)</f>
        <v>-0.1875</v>
      </c>
    </row>
    <row r="1333" spans="1:22" x14ac:dyDescent="0.2">
      <c r="A1333">
        <v>1332</v>
      </c>
      <c r="B1333" t="s">
        <v>7247</v>
      </c>
      <c r="C1333" s="1">
        <v>41930</v>
      </c>
      <c r="D1333" s="22">
        <f>MONTH(Table12[[#This Row],[Order Date]])</f>
        <v>10</v>
      </c>
      <c r="E1333" t="s">
        <v>5182</v>
      </c>
      <c r="F1333" t="s">
        <v>5183</v>
      </c>
      <c r="G1333" s="23" t="s">
        <v>41</v>
      </c>
      <c r="H1333" s="23" t="s">
        <v>82</v>
      </c>
      <c r="I1333" t="s">
        <v>4217</v>
      </c>
      <c r="J1333" s="23" t="s">
        <v>36</v>
      </c>
      <c r="K1333" s="22">
        <v>4</v>
      </c>
      <c r="L1333" s="1">
        <v>41934</v>
      </c>
      <c r="M1333" s="22">
        <f>Table12[[#This Row],[Ship Date]]-Table12[[#This Row],[Order Date]]</f>
        <v>4</v>
      </c>
      <c r="N1333" s="23" t="s">
        <v>45</v>
      </c>
      <c r="O1333" s="23" t="s">
        <v>23</v>
      </c>
      <c r="P1333" s="23" t="s">
        <v>132</v>
      </c>
      <c r="Q1333" s="23" t="s">
        <v>133</v>
      </c>
      <c r="R1333" s="23" t="s">
        <v>131</v>
      </c>
      <c r="S1333" s="33">
        <v>0.2</v>
      </c>
      <c r="T1333" s="13">
        <v>10.048</v>
      </c>
      <c r="U1333" s="13">
        <v>3.14</v>
      </c>
      <c r="V1333" s="55">
        <f>IFERROR(Table12[[#This Row],[Profit]]/Table12[[#This Row],[Sales]],0)</f>
        <v>0.3125</v>
      </c>
    </row>
    <row r="1334" spans="1:22" x14ac:dyDescent="0.2">
      <c r="A1334">
        <v>1333</v>
      </c>
      <c r="B1334" t="s">
        <v>7323</v>
      </c>
      <c r="C1334" s="1">
        <v>41930</v>
      </c>
      <c r="D1334" s="22">
        <f>MONTH(Table12[[#This Row],[Order Date]])</f>
        <v>10</v>
      </c>
      <c r="E1334" t="s">
        <v>7198</v>
      </c>
      <c r="F1334" t="s">
        <v>7199</v>
      </c>
      <c r="G1334" s="23" t="s">
        <v>28</v>
      </c>
      <c r="H1334" s="23" t="s">
        <v>32</v>
      </c>
      <c r="I1334" t="s">
        <v>4965</v>
      </c>
      <c r="J1334" s="23" t="s">
        <v>36</v>
      </c>
      <c r="K1334" s="22">
        <v>6</v>
      </c>
      <c r="L1334" s="1">
        <v>41934</v>
      </c>
      <c r="M1334" s="22">
        <f>Table12[[#This Row],[Ship Date]]-Table12[[#This Row],[Order Date]]</f>
        <v>4</v>
      </c>
      <c r="N1334" s="23" t="s">
        <v>45</v>
      </c>
      <c r="O1334" s="23" t="s">
        <v>23</v>
      </c>
      <c r="P1334" s="23" t="s">
        <v>1510</v>
      </c>
      <c r="Q1334" s="23" t="s">
        <v>26</v>
      </c>
      <c r="R1334" s="23" t="s">
        <v>6316</v>
      </c>
      <c r="S1334" s="33">
        <v>0</v>
      </c>
      <c r="T1334" s="13">
        <v>605.34</v>
      </c>
      <c r="U1334" s="13">
        <v>145.2816</v>
      </c>
      <c r="V1334" s="55">
        <f>IFERROR(Table12[[#This Row],[Profit]]/Table12[[#This Row],[Sales]],0)</f>
        <v>0.24</v>
      </c>
    </row>
    <row r="1335" spans="1:22" x14ac:dyDescent="0.2">
      <c r="A1335">
        <v>1334</v>
      </c>
      <c r="B1335" t="s">
        <v>8517</v>
      </c>
      <c r="C1335" s="1">
        <v>41930</v>
      </c>
      <c r="D1335" s="22">
        <f>MONTH(Table12[[#This Row],[Order Date]])</f>
        <v>10</v>
      </c>
      <c r="E1335" t="s">
        <v>3826</v>
      </c>
      <c r="F1335" t="s">
        <v>3827</v>
      </c>
      <c r="G1335" s="23" t="s">
        <v>41</v>
      </c>
      <c r="H1335" s="23" t="s">
        <v>82</v>
      </c>
      <c r="I1335" t="s">
        <v>3628</v>
      </c>
      <c r="J1335" s="23" t="s">
        <v>22</v>
      </c>
      <c r="K1335" s="22">
        <v>2</v>
      </c>
      <c r="L1335" s="1">
        <v>41935</v>
      </c>
      <c r="M1335" s="22">
        <f>Table12[[#This Row],[Ship Date]]-Table12[[#This Row],[Order Date]]</f>
        <v>5</v>
      </c>
      <c r="N1335" s="23" t="s">
        <v>20</v>
      </c>
      <c r="O1335" s="23" t="s">
        <v>23</v>
      </c>
      <c r="P1335" s="23" t="s">
        <v>87</v>
      </c>
      <c r="Q1335" s="23" t="s">
        <v>39</v>
      </c>
      <c r="R1335" s="23" t="s">
        <v>86</v>
      </c>
      <c r="S1335" s="33">
        <v>0</v>
      </c>
      <c r="T1335" s="13">
        <v>61.96</v>
      </c>
      <c r="U1335" s="13">
        <v>27.882000000000001</v>
      </c>
      <c r="V1335" s="55">
        <f>IFERROR(Table12[[#This Row],[Profit]]/Table12[[#This Row],[Sales]],0)</f>
        <v>0.45</v>
      </c>
    </row>
    <row r="1336" spans="1:22" x14ac:dyDescent="0.2">
      <c r="A1336">
        <v>1335</v>
      </c>
      <c r="B1336" t="s">
        <v>8517</v>
      </c>
      <c r="C1336" s="1">
        <v>41930</v>
      </c>
      <c r="D1336" s="22">
        <f>MONTH(Table12[[#This Row],[Order Date]])</f>
        <v>10</v>
      </c>
      <c r="E1336" t="s">
        <v>4874</v>
      </c>
      <c r="F1336" t="s">
        <v>4875</v>
      </c>
      <c r="G1336" s="23" t="s">
        <v>41</v>
      </c>
      <c r="H1336" s="23" t="s">
        <v>68</v>
      </c>
      <c r="I1336" t="s">
        <v>3628</v>
      </c>
      <c r="J1336" s="23" t="s">
        <v>22</v>
      </c>
      <c r="K1336" s="22">
        <v>1</v>
      </c>
      <c r="L1336" s="1">
        <v>41935</v>
      </c>
      <c r="M1336" s="22">
        <f>Table12[[#This Row],[Ship Date]]-Table12[[#This Row],[Order Date]]</f>
        <v>5</v>
      </c>
      <c r="N1336" s="23" t="s">
        <v>20</v>
      </c>
      <c r="O1336" s="23" t="s">
        <v>23</v>
      </c>
      <c r="P1336" s="23" t="s">
        <v>87</v>
      </c>
      <c r="Q1336" s="23" t="s">
        <v>39</v>
      </c>
      <c r="R1336" s="23" t="s">
        <v>86</v>
      </c>
      <c r="S1336" s="33">
        <v>0.2</v>
      </c>
      <c r="T1336" s="13">
        <v>1.3440000000000001</v>
      </c>
      <c r="U1336" s="13">
        <v>0.47039999999999998</v>
      </c>
      <c r="V1336" s="55">
        <f>IFERROR(Table12[[#This Row],[Profit]]/Table12[[#This Row],[Sales]],0)</f>
        <v>0.35</v>
      </c>
    </row>
    <row r="1337" spans="1:22" x14ac:dyDescent="0.2">
      <c r="A1337">
        <v>1336</v>
      </c>
      <c r="B1337" t="s">
        <v>3706</v>
      </c>
      <c r="C1337" s="1">
        <v>41931</v>
      </c>
      <c r="D1337" s="22">
        <f>MONTH(Table12[[#This Row],[Order Date]])</f>
        <v>10</v>
      </c>
      <c r="E1337" t="s">
        <v>3707</v>
      </c>
      <c r="F1337" t="s">
        <v>3708</v>
      </c>
      <c r="G1337" s="23" t="s">
        <v>41</v>
      </c>
      <c r="H1337" s="23" t="s">
        <v>82</v>
      </c>
      <c r="I1337" t="s">
        <v>1692</v>
      </c>
      <c r="J1337" s="23" t="s">
        <v>22</v>
      </c>
      <c r="K1337" s="22">
        <v>3</v>
      </c>
      <c r="L1337" s="1">
        <v>41931</v>
      </c>
      <c r="M1337" s="22">
        <f>Table12[[#This Row],[Ship Date]]-Table12[[#This Row],[Order Date]]</f>
        <v>0</v>
      </c>
      <c r="N1337" s="23" t="s">
        <v>1141</v>
      </c>
      <c r="O1337" s="23" t="s">
        <v>23</v>
      </c>
      <c r="P1337" s="23" t="s">
        <v>38</v>
      </c>
      <c r="Q1337" s="23" t="s">
        <v>39</v>
      </c>
      <c r="R1337" s="23" t="s">
        <v>37</v>
      </c>
      <c r="S1337" s="33">
        <v>0</v>
      </c>
      <c r="T1337" s="13">
        <v>13.44</v>
      </c>
      <c r="U1337" s="13">
        <v>6.5856000000000003</v>
      </c>
      <c r="V1337" s="55">
        <f>IFERROR(Table12[[#This Row],[Profit]]/Table12[[#This Row],[Sales]],0)</f>
        <v>0.49000000000000005</v>
      </c>
    </row>
    <row r="1338" spans="1:22" x14ac:dyDescent="0.2">
      <c r="A1338">
        <v>1337</v>
      </c>
      <c r="B1338" t="s">
        <v>9776</v>
      </c>
      <c r="C1338" s="1">
        <v>41931</v>
      </c>
      <c r="D1338" s="22">
        <f>MONTH(Table12[[#This Row],[Order Date]])</f>
        <v>10</v>
      </c>
      <c r="E1338" t="s">
        <v>5110</v>
      </c>
      <c r="F1338" t="s">
        <v>5111</v>
      </c>
      <c r="G1338" s="23" t="s">
        <v>41</v>
      </c>
      <c r="H1338" s="23" t="s">
        <v>68</v>
      </c>
      <c r="I1338" t="s">
        <v>2512</v>
      </c>
      <c r="J1338" s="23" t="s">
        <v>36</v>
      </c>
      <c r="K1338" s="22">
        <v>1</v>
      </c>
      <c r="L1338" s="1">
        <v>41934</v>
      </c>
      <c r="M1338" s="22">
        <f>Table12[[#This Row],[Ship Date]]-Table12[[#This Row],[Order Date]]</f>
        <v>3</v>
      </c>
      <c r="N1338" s="23" t="s">
        <v>20</v>
      </c>
      <c r="O1338" s="23" t="s">
        <v>23</v>
      </c>
      <c r="P1338" s="23" t="s">
        <v>38</v>
      </c>
      <c r="Q1338" s="23" t="s">
        <v>39</v>
      </c>
      <c r="R1338" s="23" t="s">
        <v>114</v>
      </c>
      <c r="S1338" s="33">
        <v>0.2</v>
      </c>
      <c r="T1338" s="13">
        <v>2.992</v>
      </c>
      <c r="U1338" s="13">
        <v>1.1220000000000001</v>
      </c>
      <c r="V1338" s="55">
        <f>IFERROR(Table12[[#This Row],[Profit]]/Table12[[#This Row],[Sales]],0)</f>
        <v>0.37500000000000006</v>
      </c>
    </row>
    <row r="1339" spans="1:22" x14ac:dyDescent="0.2">
      <c r="A1339">
        <v>1338</v>
      </c>
      <c r="B1339" t="s">
        <v>9776</v>
      </c>
      <c r="C1339" s="1">
        <v>41931</v>
      </c>
      <c r="D1339" s="22">
        <f>MONTH(Table12[[#This Row],[Order Date]])</f>
        <v>10</v>
      </c>
      <c r="E1339" t="s">
        <v>2788</v>
      </c>
      <c r="F1339" t="s">
        <v>2789</v>
      </c>
      <c r="G1339" s="23" t="s">
        <v>41</v>
      </c>
      <c r="H1339" s="23" t="s">
        <v>68</v>
      </c>
      <c r="I1339" t="s">
        <v>2512</v>
      </c>
      <c r="J1339" s="23" t="s">
        <v>36</v>
      </c>
      <c r="K1339" s="22">
        <v>6</v>
      </c>
      <c r="L1339" s="1">
        <v>41934</v>
      </c>
      <c r="M1339" s="22">
        <f>Table12[[#This Row],[Ship Date]]-Table12[[#This Row],[Order Date]]</f>
        <v>3</v>
      </c>
      <c r="N1339" s="23" t="s">
        <v>20</v>
      </c>
      <c r="O1339" s="23" t="s">
        <v>23</v>
      </c>
      <c r="P1339" s="23" t="s">
        <v>38</v>
      </c>
      <c r="Q1339" s="23" t="s">
        <v>39</v>
      </c>
      <c r="R1339" s="23" t="s">
        <v>114</v>
      </c>
      <c r="S1339" s="33">
        <v>0.2</v>
      </c>
      <c r="T1339" s="13">
        <v>20.064</v>
      </c>
      <c r="U1339" s="13">
        <v>7.0224000000000002</v>
      </c>
      <c r="V1339" s="55">
        <f>IFERROR(Table12[[#This Row],[Profit]]/Table12[[#This Row],[Sales]],0)</f>
        <v>0.35000000000000003</v>
      </c>
    </row>
    <row r="1340" spans="1:22" x14ac:dyDescent="0.2">
      <c r="A1340">
        <v>1339</v>
      </c>
      <c r="B1340" t="s">
        <v>9776</v>
      </c>
      <c r="C1340" s="1">
        <v>41931</v>
      </c>
      <c r="D1340" s="22">
        <f>MONTH(Table12[[#This Row],[Order Date]])</f>
        <v>10</v>
      </c>
      <c r="E1340" t="s">
        <v>6931</v>
      </c>
      <c r="F1340" t="s">
        <v>6932</v>
      </c>
      <c r="G1340" s="23" t="s">
        <v>41</v>
      </c>
      <c r="H1340" s="23" t="s">
        <v>82</v>
      </c>
      <c r="I1340" t="s">
        <v>2512</v>
      </c>
      <c r="J1340" s="23" t="s">
        <v>36</v>
      </c>
      <c r="K1340" s="22">
        <v>3</v>
      </c>
      <c r="L1340" s="1">
        <v>41934</v>
      </c>
      <c r="M1340" s="22">
        <f>Table12[[#This Row],[Ship Date]]-Table12[[#This Row],[Order Date]]</f>
        <v>3</v>
      </c>
      <c r="N1340" s="23" t="s">
        <v>20</v>
      </c>
      <c r="O1340" s="23" t="s">
        <v>23</v>
      </c>
      <c r="P1340" s="23" t="s">
        <v>38</v>
      </c>
      <c r="Q1340" s="23" t="s">
        <v>39</v>
      </c>
      <c r="R1340" s="23" t="s">
        <v>114</v>
      </c>
      <c r="S1340" s="33">
        <v>0</v>
      </c>
      <c r="T1340" s="13">
        <v>146.72999999999999</v>
      </c>
      <c r="U1340" s="13">
        <v>68.963099999999997</v>
      </c>
      <c r="V1340" s="55">
        <f>IFERROR(Table12[[#This Row],[Profit]]/Table12[[#This Row],[Sales]],0)</f>
        <v>0.47000000000000003</v>
      </c>
    </row>
    <row r="1341" spans="1:22" x14ac:dyDescent="0.2">
      <c r="A1341">
        <v>1340</v>
      </c>
      <c r="B1341" t="s">
        <v>9776</v>
      </c>
      <c r="C1341" s="1">
        <v>41931</v>
      </c>
      <c r="D1341" s="22">
        <f>MONTH(Table12[[#This Row],[Order Date]])</f>
        <v>10</v>
      </c>
      <c r="E1341" t="s">
        <v>1868</v>
      </c>
      <c r="F1341" t="s">
        <v>1869</v>
      </c>
      <c r="G1341" s="23" t="s">
        <v>41</v>
      </c>
      <c r="H1341" s="23" t="s">
        <v>42</v>
      </c>
      <c r="I1341" t="s">
        <v>2512</v>
      </c>
      <c r="J1341" s="23" t="s">
        <v>36</v>
      </c>
      <c r="K1341" s="22">
        <v>5</v>
      </c>
      <c r="L1341" s="1">
        <v>41934</v>
      </c>
      <c r="M1341" s="22">
        <f>Table12[[#This Row],[Ship Date]]-Table12[[#This Row],[Order Date]]</f>
        <v>3</v>
      </c>
      <c r="N1341" s="23" t="s">
        <v>20</v>
      </c>
      <c r="O1341" s="23" t="s">
        <v>23</v>
      </c>
      <c r="P1341" s="23" t="s">
        <v>38</v>
      </c>
      <c r="Q1341" s="23" t="s">
        <v>39</v>
      </c>
      <c r="R1341" s="23" t="s">
        <v>114</v>
      </c>
      <c r="S1341" s="33">
        <v>0</v>
      </c>
      <c r="T1341" s="13">
        <v>18.75</v>
      </c>
      <c r="U1341" s="13">
        <v>9</v>
      </c>
      <c r="V1341" s="55">
        <f>IFERROR(Table12[[#This Row],[Profit]]/Table12[[#This Row],[Sales]],0)</f>
        <v>0.48</v>
      </c>
    </row>
    <row r="1342" spans="1:22" x14ac:dyDescent="0.2">
      <c r="A1342">
        <v>1341</v>
      </c>
      <c r="B1342" t="s">
        <v>9776</v>
      </c>
      <c r="C1342" s="1">
        <v>41931</v>
      </c>
      <c r="D1342" s="22">
        <f>MONTH(Table12[[#This Row],[Order Date]])</f>
        <v>10</v>
      </c>
      <c r="E1342" t="s">
        <v>6954</v>
      </c>
      <c r="F1342" t="s">
        <v>6955</v>
      </c>
      <c r="G1342" s="23" t="s">
        <v>64</v>
      </c>
      <c r="H1342" s="23" t="s">
        <v>65</v>
      </c>
      <c r="I1342" t="s">
        <v>2512</v>
      </c>
      <c r="J1342" s="23" t="s">
        <v>36</v>
      </c>
      <c r="K1342" s="22">
        <v>3</v>
      </c>
      <c r="L1342" s="1">
        <v>41934</v>
      </c>
      <c r="M1342" s="22">
        <f>Table12[[#This Row],[Ship Date]]-Table12[[#This Row],[Order Date]]</f>
        <v>3</v>
      </c>
      <c r="N1342" s="23" t="s">
        <v>20</v>
      </c>
      <c r="O1342" s="23" t="s">
        <v>23</v>
      </c>
      <c r="P1342" s="23" t="s">
        <v>38</v>
      </c>
      <c r="Q1342" s="23" t="s">
        <v>39</v>
      </c>
      <c r="R1342" s="23" t="s">
        <v>114</v>
      </c>
      <c r="S1342" s="33">
        <v>0.2</v>
      </c>
      <c r="T1342" s="13">
        <v>117.57599999999999</v>
      </c>
      <c r="U1342" s="13">
        <v>11.7576</v>
      </c>
      <c r="V1342" s="55">
        <f>IFERROR(Table12[[#This Row],[Profit]]/Table12[[#This Row],[Sales]],0)</f>
        <v>0.1</v>
      </c>
    </row>
    <row r="1343" spans="1:22" x14ac:dyDescent="0.2">
      <c r="A1343">
        <v>1342</v>
      </c>
      <c r="B1343" t="s">
        <v>9855</v>
      </c>
      <c r="C1343" s="1">
        <v>41931</v>
      </c>
      <c r="D1343" s="22">
        <f>MONTH(Table12[[#This Row],[Order Date]])</f>
        <v>10</v>
      </c>
      <c r="E1343" t="s">
        <v>3813</v>
      </c>
      <c r="F1343" t="s">
        <v>3814</v>
      </c>
      <c r="G1343" s="23" t="s">
        <v>64</v>
      </c>
      <c r="H1343" s="23" t="s">
        <v>65</v>
      </c>
      <c r="I1343" t="s">
        <v>1905</v>
      </c>
      <c r="J1343" s="23" t="s">
        <v>92</v>
      </c>
      <c r="K1343" s="22">
        <v>6</v>
      </c>
      <c r="L1343" s="1">
        <v>41936</v>
      </c>
      <c r="M1343" s="22">
        <f>Table12[[#This Row],[Ship Date]]-Table12[[#This Row],[Order Date]]</f>
        <v>5</v>
      </c>
      <c r="N1343" s="23" t="s">
        <v>45</v>
      </c>
      <c r="O1343" s="23" t="s">
        <v>23</v>
      </c>
      <c r="P1343" s="23" t="s">
        <v>38</v>
      </c>
      <c r="Q1343" s="23" t="s">
        <v>39</v>
      </c>
      <c r="R1343" s="23" t="s">
        <v>990</v>
      </c>
      <c r="S1343" s="33">
        <v>0.2</v>
      </c>
      <c r="T1343" s="13">
        <v>321.55200000000002</v>
      </c>
      <c r="U1343" s="13">
        <v>20.097000000000001</v>
      </c>
      <c r="V1343" s="55">
        <f>IFERROR(Table12[[#This Row],[Profit]]/Table12[[#This Row],[Sales]],0)</f>
        <v>6.25E-2</v>
      </c>
    </row>
    <row r="1344" spans="1:22" x14ac:dyDescent="0.2">
      <c r="A1344">
        <v>1343</v>
      </c>
      <c r="B1344" t="s">
        <v>209</v>
      </c>
      <c r="C1344" s="1">
        <v>41932</v>
      </c>
      <c r="D1344" s="22">
        <f>MONTH(Table12[[#This Row],[Order Date]])</f>
        <v>10</v>
      </c>
      <c r="E1344" t="s">
        <v>213</v>
      </c>
      <c r="F1344" t="s">
        <v>214</v>
      </c>
      <c r="G1344" s="23" t="s">
        <v>41</v>
      </c>
      <c r="H1344" s="23" t="s">
        <v>53</v>
      </c>
      <c r="I1344" t="s">
        <v>210</v>
      </c>
      <c r="J1344" s="23" t="s">
        <v>22</v>
      </c>
      <c r="K1344" s="22">
        <v>4</v>
      </c>
      <c r="L1344" s="1">
        <v>41937</v>
      </c>
      <c r="M1344" s="22">
        <f>Table12[[#This Row],[Ship Date]]-Table12[[#This Row],[Order Date]]</f>
        <v>5</v>
      </c>
      <c r="N1344" s="23" t="s">
        <v>20</v>
      </c>
      <c r="O1344" s="23" t="s">
        <v>23</v>
      </c>
      <c r="P1344" s="23" t="s">
        <v>212</v>
      </c>
      <c r="Q1344" s="23" t="s">
        <v>95</v>
      </c>
      <c r="R1344" s="23" t="s">
        <v>211</v>
      </c>
      <c r="S1344" s="33">
        <v>0</v>
      </c>
      <c r="T1344" s="13">
        <v>211.96</v>
      </c>
      <c r="U1344" s="13">
        <v>8.4784000000000006</v>
      </c>
      <c r="V1344" s="55">
        <f>IFERROR(Table12[[#This Row],[Profit]]/Table12[[#This Row],[Sales]],0)</f>
        <v>0.04</v>
      </c>
    </row>
    <row r="1345" spans="1:22" x14ac:dyDescent="0.2">
      <c r="A1345">
        <v>1344</v>
      </c>
      <c r="B1345" t="s">
        <v>8175</v>
      </c>
      <c r="C1345" s="1">
        <v>41932</v>
      </c>
      <c r="D1345" s="22">
        <f>MONTH(Table12[[#This Row],[Order Date]])</f>
        <v>10</v>
      </c>
      <c r="E1345" t="s">
        <v>3327</v>
      </c>
      <c r="F1345" t="s">
        <v>3328</v>
      </c>
      <c r="G1345" s="23" t="s">
        <v>28</v>
      </c>
      <c r="H1345" s="23" t="s">
        <v>50</v>
      </c>
      <c r="I1345" t="s">
        <v>699</v>
      </c>
      <c r="J1345" s="23" t="s">
        <v>36</v>
      </c>
      <c r="K1345" s="22">
        <v>3</v>
      </c>
      <c r="L1345" s="1">
        <v>41935</v>
      </c>
      <c r="M1345" s="22">
        <f>Table12[[#This Row],[Ship Date]]-Table12[[#This Row],[Order Date]]</f>
        <v>3</v>
      </c>
      <c r="N1345" s="23" t="s">
        <v>169</v>
      </c>
      <c r="O1345" s="23" t="s">
        <v>23</v>
      </c>
      <c r="P1345" s="23" t="s">
        <v>299</v>
      </c>
      <c r="Q1345" s="23" t="s">
        <v>26</v>
      </c>
      <c r="R1345" s="23" t="s">
        <v>4558</v>
      </c>
      <c r="S1345" s="33">
        <v>0.4</v>
      </c>
      <c r="T1345" s="13">
        <v>328.59</v>
      </c>
      <c r="U1345" s="13">
        <v>-147.8655</v>
      </c>
      <c r="V1345" s="55">
        <f>IFERROR(Table12[[#This Row],[Profit]]/Table12[[#This Row],[Sales]],0)</f>
        <v>-0.45</v>
      </c>
    </row>
    <row r="1346" spans="1:22" x14ac:dyDescent="0.2">
      <c r="A1346">
        <v>1345</v>
      </c>
      <c r="B1346" t="s">
        <v>8175</v>
      </c>
      <c r="C1346" s="1">
        <v>41932</v>
      </c>
      <c r="D1346" s="22">
        <f>MONTH(Table12[[#This Row],[Order Date]])</f>
        <v>10</v>
      </c>
      <c r="E1346" t="s">
        <v>1247</v>
      </c>
      <c r="F1346" t="s">
        <v>1248</v>
      </c>
      <c r="G1346" s="23" t="s">
        <v>41</v>
      </c>
      <c r="H1346" s="23" t="s">
        <v>53</v>
      </c>
      <c r="I1346" t="s">
        <v>699</v>
      </c>
      <c r="J1346" s="23" t="s">
        <v>36</v>
      </c>
      <c r="K1346" s="22">
        <v>3</v>
      </c>
      <c r="L1346" s="1">
        <v>41935</v>
      </c>
      <c r="M1346" s="22">
        <f>Table12[[#This Row],[Ship Date]]-Table12[[#This Row],[Order Date]]</f>
        <v>3</v>
      </c>
      <c r="N1346" s="23" t="s">
        <v>169</v>
      </c>
      <c r="O1346" s="23" t="s">
        <v>23</v>
      </c>
      <c r="P1346" s="23" t="s">
        <v>299</v>
      </c>
      <c r="Q1346" s="23" t="s">
        <v>26</v>
      </c>
      <c r="R1346" s="23" t="s">
        <v>4558</v>
      </c>
      <c r="S1346" s="33">
        <v>0.2</v>
      </c>
      <c r="T1346" s="13">
        <v>98.352000000000004</v>
      </c>
      <c r="U1346" s="13">
        <v>-24.588000000000001</v>
      </c>
      <c r="V1346" s="55">
        <f>IFERROR(Table12[[#This Row],[Profit]]/Table12[[#This Row],[Sales]],0)</f>
        <v>-0.25</v>
      </c>
    </row>
    <row r="1347" spans="1:22" x14ac:dyDescent="0.2">
      <c r="A1347">
        <v>1346</v>
      </c>
      <c r="B1347" t="s">
        <v>8183</v>
      </c>
      <c r="C1347" s="1">
        <v>41932</v>
      </c>
      <c r="D1347" s="22">
        <f>MONTH(Table12[[#This Row],[Order Date]])</f>
        <v>10</v>
      </c>
      <c r="E1347" t="s">
        <v>2023</v>
      </c>
      <c r="F1347" t="s">
        <v>2024</v>
      </c>
      <c r="G1347" s="23" t="s">
        <v>64</v>
      </c>
      <c r="H1347" s="23" t="s">
        <v>144</v>
      </c>
      <c r="I1347" t="s">
        <v>487</v>
      </c>
      <c r="J1347" s="23" t="s">
        <v>92</v>
      </c>
      <c r="K1347" s="22">
        <v>4</v>
      </c>
      <c r="L1347" s="1">
        <v>41934</v>
      </c>
      <c r="M1347" s="22">
        <f>Table12[[#This Row],[Ship Date]]-Table12[[#This Row],[Order Date]]</f>
        <v>2</v>
      </c>
      <c r="N1347" s="23" t="s">
        <v>20</v>
      </c>
      <c r="O1347" s="23" t="s">
        <v>23</v>
      </c>
      <c r="P1347" s="23" t="s">
        <v>189</v>
      </c>
      <c r="Q1347" s="23" t="s">
        <v>95</v>
      </c>
      <c r="R1347" s="23" t="s">
        <v>271</v>
      </c>
      <c r="S1347" s="33">
        <v>0.2</v>
      </c>
      <c r="T1347" s="13">
        <v>319.96800000000002</v>
      </c>
      <c r="U1347" s="13">
        <v>71.992800000000003</v>
      </c>
      <c r="V1347" s="55">
        <f>IFERROR(Table12[[#This Row],[Profit]]/Table12[[#This Row],[Sales]],0)</f>
        <v>0.22500000000000001</v>
      </c>
    </row>
    <row r="1348" spans="1:22" x14ac:dyDescent="0.2">
      <c r="A1348">
        <v>1347</v>
      </c>
      <c r="B1348" t="s">
        <v>8183</v>
      </c>
      <c r="C1348" s="1">
        <v>41932</v>
      </c>
      <c r="D1348" s="22">
        <f>MONTH(Table12[[#This Row],[Order Date]])</f>
        <v>10</v>
      </c>
      <c r="E1348" t="s">
        <v>6822</v>
      </c>
      <c r="F1348" t="s">
        <v>6823</v>
      </c>
      <c r="G1348" s="23" t="s">
        <v>41</v>
      </c>
      <c r="H1348" s="23" t="s">
        <v>53</v>
      </c>
      <c r="I1348" t="s">
        <v>487</v>
      </c>
      <c r="J1348" s="23" t="s">
        <v>92</v>
      </c>
      <c r="K1348" s="22">
        <v>3</v>
      </c>
      <c r="L1348" s="1">
        <v>41934</v>
      </c>
      <c r="M1348" s="22">
        <f>Table12[[#This Row],[Ship Date]]-Table12[[#This Row],[Order Date]]</f>
        <v>2</v>
      </c>
      <c r="N1348" s="23" t="s">
        <v>20</v>
      </c>
      <c r="O1348" s="23" t="s">
        <v>23</v>
      </c>
      <c r="P1348" s="23" t="s">
        <v>189</v>
      </c>
      <c r="Q1348" s="23" t="s">
        <v>95</v>
      </c>
      <c r="R1348" s="23" t="s">
        <v>271</v>
      </c>
      <c r="S1348" s="33">
        <v>0.2</v>
      </c>
      <c r="T1348" s="13">
        <v>505.32</v>
      </c>
      <c r="U1348" s="13">
        <v>31.5825</v>
      </c>
      <c r="V1348" s="55">
        <f>IFERROR(Table12[[#This Row],[Profit]]/Table12[[#This Row],[Sales]],0)</f>
        <v>6.25E-2</v>
      </c>
    </row>
    <row r="1349" spans="1:22" x14ac:dyDescent="0.2">
      <c r="A1349">
        <v>1348</v>
      </c>
      <c r="B1349" t="s">
        <v>8183</v>
      </c>
      <c r="C1349" s="1">
        <v>41932</v>
      </c>
      <c r="D1349" s="22">
        <f>MONTH(Table12[[#This Row],[Order Date]])</f>
        <v>10</v>
      </c>
      <c r="E1349" t="s">
        <v>8184</v>
      </c>
      <c r="F1349" t="s">
        <v>8185</v>
      </c>
      <c r="G1349" s="23" t="s">
        <v>41</v>
      </c>
      <c r="H1349" s="23" t="s">
        <v>82</v>
      </c>
      <c r="I1349" t="s">
        <v>487</v>
      </c>
      <c r="J1349" s="23" t="s">
        <v>92</v>
      </c>
      <c r="K1349" s="22">
        <v>1</v>
      </c>
      <c r="L1349" s="1">
        <v>41934</v>
      </c>
      <c r="M1349" s="22">
        <f>Table12[[#This Row],[Ship Date]]-Table12[[#This Row],[Order Date]]</f>
        <v>2</v>
      </c>
      <c r="N1349" s="23" t="s">
        <v>20</v>
      </c>
      <c r="O1349" s="23" t="s">
        <v>23</v>
      </c>
      <c r="P1349" s="23" t="s">
        <v>189</v>
      </c>
      <c r="Q1349" s="23" t="s">
        <v>95</v>
      </c>
      <c r="R1349" s="23" t="s">
        <v>271</v>
      </c>
      <c r="S1349" s="33">
        <v>0.2</v>
      </c>
      <c r="T1349" s="13">
        <v>3.8079999999999998</v>
      </c>
      <c r="U1349" s="13">
        <v>1.2376</v>
      </c>
      <c r="V1349" s="55">
        <f>IFERROR(Table12[[#This Row],[Profit]]/Table12[[#This Row],[Sales]],0)</f>
        <v>0.32500000000000001</v>
      </c>
    </row>
    <row r="1350" spans="1:22" x14ac:dyDescent="0.2">
      <c r="A1350">
        <v>1349</v>
      </c>
      <c r="B1350" t="s">
        <v>8183</v>
      </c>
      <c r="C1350" s="1">
        <v>41932</v>
      </c>
      <c r="D1350" s="22">
        <f>MONTH(Table12[[#This Row],[Order Date]])</f>
        <v>10</v>
      </c>
      <c r="E1350" t="s">
        <v>4770</v>
      </c>
      <c r="F1350" t="s">
        <v>4771</v>
      </c>
      <c r="G1350" s="23" t="s">
        <v>41</v>
      </c>
      <c r="H1350" s="23" t="s">
        <v>68</v>
      </c>
      <c r="I1350" t="s">
        <v>487</v>
      </c>
      <c r="J1350" s="23" t="s">
        <v>92</v>
      </c>
      <c r="K1350" s="22">
        <v>1</v>
      </c>
      <c r="L1350" s="1">
        <v>41934</v>
      </c>
      <c r="M1350" s="22">
        <f>Table12[[#This Row],[Ship Date]]-Table12[[#This Row],[Order Date]]</f>
        <v>2</v>
      </c>
      <c r="N1350" s="23" t="s">
        <v>20</v>
      </c>
      <c r="O1350" s="23" t="s">
        <v>23</v>
      </c>
      <c r="P1350" s="23" t="s">
        <v>189</v>
      </c>
      <c r="Q1350" s="23" t="s">
        <v>95</v>
      </c>
      <c r="R1350" s="23" t="s">
        <v>271</v>
      </c>
      <c r="S1350" s="33">
        <v>0.8</v>
      </c>
      <c r="T1350" s="13">
        <v>8.6820000000000004</v>
      </c>
      <c r="U1350" s="13">
        <v>-14.759399999999999</v>
      </c>
      <c r="V1350" s="55">
        <f>IFERROR(Table12[[#This Row],[Profit]]/Table12[[#This Row],[Sales]],0)</f>
        <v>-1.7</v>
      </c>
    </row>
    <row r="1351" spans="1:22" x14ac:dyDescent="0.2">
      <c r="A1351">
        <v>1350</v>
      </c>
      <c r="B1351" t="s">
        <v>8183</v>
      </c>
      <c r="C1351" s="1">
        <v>41932</v>
      </c>
      <c r="D1351" s="22">
        <f>MONTH(Table12[[#This Row],[Order Date]])</f>
        <v>10</v>
      </c>
      <c r="E1351" t="s">
        <v>1986</v>
      </c>
      <c r="F1351" t="s">
        <v>1987</v>
      </c>
      <c r="G1351" s="23" t="s">
        <v>41</v>
      </c>
      <c r="H1351" s="23" t="s">
        <v>42</v>
      </c>
      <c r="I1351" t="s">
        <v>487</v>
      </c>
      <c r="J1351" s="23" t="s">
        <v>92</v>
      </c>
      <c r="K1351" s="22">
        <v>1</v>
      </c>
      <c r="L1351" s="1">
        <v>41934</v>
      </c>
      <c r="M1351" s="22">
        <f>Table12[[#This Row],[Ship Date]]-Table12[[#This Row],[Order Date]]</f>
        <v>2</v>
      </c>
      <c r="N1351" s="23" t="s">
        <v>20</v>
      </c>
      <c r="O1351" s="23" t="s">
        <v>23</v>
      </c>
      <c r="P1351" s="23" t="s">
        <v>189</v>
      </c>
      <c r="Q1351" s="23" t="s">
        <v>95</v>
      </c>
      <c r="R1351" s="23" t="s">
        <v>271</v>
      </c>
      <c r="S1351" s="33">
        <v>0.2</v>
      </c>
      <c r="T1351" s="13">
        <v>24.423999999999999</v>
      </c>
      <c r="U1351" s="13">
        <v>7.9378000000000002</v>
      </c>
      <c r="V1351" s="55">
        <f>IFERROR(Table12[[#This Row],[Profit]]/Table12[[#This Row],[Sales]],0)</f>
        <v>0.32500000000000001</v>
      </c>
    </row>
    <row r="1352" spans="1:22" x14ac:dyDescent="0.2">
      <c r="A1352">
        <v>1351</v>
      </c>
      <c r="B1352" t="s">
        <v>4155</v>
      </c>
      <c r="C1352" s="1">
        <v>41933</v>
      </c>
      <c r="D1352" s="22">
        <f>MONTH(Table12[[#This Row],[Order Date]])</f>
        <v>10</v>
      </c>
      <c r="E1352" t="s">
        <v>1758</v>
      </c>
      <c r="F1352" t="s">
        <v>1759</v>
      </c>
      <c r="G1352" s="23" t="s">
        <v>41</v>
      </c>
      <c r="H1352" s="23" t="s">
        <v>71</v>
      </c>
      <c r="I1352" t="s">
        <v>147</v>
      </c>
      <c r="J1352" s="23" t="s">
        <v>22</v>
      </c>
      <c r="K1352" s="22">
        <v>4</v>
      </c>
      <c r="L1352" s="1">
        <v>41934</v>
      </c>
      <c r="M1352" s="22">
        <f>Table12[[#This Row],[Ship Date]]-Table12[[#This Row],[Order Date]]</f>
        <v>1</v>
      </c>
      <c r="N1352" s="23" t="s">
        <v>169</v>
      </c>
      <c r="O1352" s="23" t="s">
        <v>23</v>
      </c>
      <c r="P1352" s="23" t="s">
        <v>441</v>
      </c>
      <c r="Q1352" s="23" t="s">
        <v>133</v>
      </c>
      <c r="R1352" s="23" t="s">
        <v>659</v>
      </c>
      <c r="S1352" s="33">
        <v>0.2</v>
      </c>
      <c r="T1352" s="13">
        <v>121.792</v>
      </c>
      <c r="U1352" s="13">
        <v>13.701599999999999</v>
      </c>
      <c r="V1352" s="55">
        <f>IFERROR(Table12[[#This Row],[Profit]]/Table12[[#This Row],[Sales]],0)</f>
        <v>0.11249999999999999</v>
      </c>
    </row>
    <row r="1353" spans="1:22" x14ac:dyDescent="0.2">
      <c r="A1353">
        <v>1352</v>
      </c>
      <c r="B1353" t="s">
        <v>4155</v>
      </c>
      <c r="C1353" s="1">
        <v>41933</v>
      </c>
      <c r="D1353" s="22">
        <f>MONTH(Table12[[#This Row],[Order Date]])</f>
        <v>10</v>
      </c>
      <c r="E1353" t="s">
        <v>1196</v>
      </c>
      <c r="F1353" t="s">
        <v>1197</v>
      </c>
      <c r="G1353" s="23" t="s">
        <v>28</v>
      </c>
      <c r="H1353" s="23" t="s">
        <v>50</v>
      </c>
      <c r="I1353" t="s">
        <v>147</v>
      </c>
      <c r="J1353" s="23" t="s">
        <v>22</v>
      </c>
      <c r="K1353" s="22">
        <v>3</v>
      </c>
      <c r="L1353" s="1">
        <v>41934</v>
      </c>
      <c r="M1353" s="22">
        <f>Table12[[#This Row],[Ship Date]]-Table12[[#This Row],[Order Date]]</f>
        <v>1</v>
      </c>
      <c r="N1353" s="23" t="s">
        <v>169</v>
      </c>
      <c r="O1353" s="23" t="s">
        <v>23</v>
      </c>
      <c r="P1353" s="23" t="s">
        <v>441</v>
      </c>
      <c r="Q1353" s="23" t="s">
        <v>133</v>
      </c>
      <c r="R1353" s="23" t="s">
        <v>659</v>
      </c>
      <c r="S1353" s="33">
        <v>0.4</v>
      </c>
      <c r="T1353" s="13">
        <v>409.59</v>
      </c>
      <c r="U1353" s="13">
        <v>-122.877</v>
      </c>
      <c r="V1353" s="55">
        <f>IFERROR(Table12[[#This Row],[Profit]]/Table12[[#This Row],[Sales]],0)</f>
        <v>-0.3</v>
      </c>
    </row>
    <row r="1354" spans="1:22" x14ac:dyDescent="0.2">
      <c r="A1354">
        <v>1353</v>
      </c>
      <c r="B1354" t="s">
        <v>8044</v>
      </c>
      <c r="C1354" s="1">
        <v>41933</v>
      </c>
      <c r="D1354" s="22">
        <f>MONTH(Table12[[#This Row],[Order Date]])</f>
        <v>10</v>
      </c>
      <c r="E1354" t="s">
        <v>255</v>
      </c>
      <c r="F1354" t="s">
        <v>256</v>
      </c>
      <c r="G1354" s="23" t="s">
        <v>41</v>
      </c>
      <c r="H1354" s="23" t="s">
        <v>68</v>
      </c>
      <c r="I1354" t="s">
        <v>1814</v>
      </c>
      <c r="J1354" s="23" t="s">
        <v>36</v>
      </c>
      <c r="K1354" s="22">
        <v>3</v>
      </c>
      <c r="L1354" s="1">
        <v>41938</v>
      </c>
      <c r="M1354" s="22">
        <f>Table12[[#This Row],[Ship Date]]-Table12[[#This Row],[Order Date]]</f>
        <v>5</v>
      </c>
      <c r="N1354" s="23" t="s">
        <v>45</v>
      </c>
      <c r="O1354" s="23" t="s">
        <v>23</v>
      </c>
      <c r="P1354" s="23" t="s">
        <v>38</v>
      </c>
      <c r="Q1354" s="23" t="s">
        <v>39</v>
      </c>
      <c r="R1354" s="23" t="s">
        <v>836</v>
      </c>
      <c r="S1354" s="33">
        <v>0.2</v>
      </c>
      <c r="T1354" s="13">
        <v>36.36</v>
      </c>
      <c r="U1354" s="13">
        <v>12.2715</v>
      </c>
      <c r="V1354" s="55">
        <f>IFERROR(Table12[[#This Row],[Profit]]/Table12[[#This Row],[Sales]],0)</f>
        <v>0.33750000000000002</v>
      </c>
    </row>
    <row r="1355" spans="1:22" x14ac:dyDescent="0.2">
      <c r="A1355">
        <v>1354</v>
      </c>
      <c r="B1355" t="s">
        <v>8763</v>
      </c>
      <c r="C1355" s="1">
        <v>41933</v>
      </c>
      <c r="D1355" s="22">
        <f>MONTH(Table12[[#This Row],[Order Date]])</f>
        <v>10</v>
      </c>
      <c r="E1355" t="s">
        <v>194</v>
      </c>
      <c r="F1355" t="s">
        <v>195</v>
      </c>
      <c r="G1355" s="23" t="s">
        <v>41</v>
      </c>
      <c r="H1355" s="23" t="s">
        <v>53</v>
      </c>
      <c r="I1355" t="s">
        <v>2897</v>
      </c>
      <c r="J1355" s="23" t="s">
        <v>36</v>
      </c>
      <c r="K1355" s="22">
        <v>5</v>
      </c>
      <c r="L1355" s="1">
        <v>41938</v>
      </c>
      <c r="M1355" s="22">
        <f>Table12[[#This Row],[Ship Date]]-Table12[[#This Row],[Order Date]]</f>
        <v>5</v>
      </c>
      <c r="N1355" s="23" t="s">
        <v>45</v>
      </c>
      <c r="O1355" s="23" t="s">
        <v>23</v>
      </c>
      <c r="P1355" s="23" t="s">
        <v>285</v>
      </c>
      <c r="Q1355" s="23" t="s">
        <v>26</v>
      </c>
      <c r="R1355" s="23" t="s">
        <v>4913</v>
      </c>
      <c r="S1355" s="33">
        <v>0</v>
      </c>
      <c r="T1355" s="13">
        <v>194.7</v>
      </c>
      <c r="U1355" s="13">
        <v>9.7349999999999994</v>
      </c>
      <c r="V1355" s="55">
        <f>IFERROR(Table12[[#This Row],[Profit]]/Table12[[#This Row],[Sales]],0)</f>
        <v>0.05</v>
      </c>
    </row>
    <row r="1356" spans="1:22" x14ac:dyDescent="0.2">
      <c r="A1356">
        <v>1355</v>
      </c>
      <c r="B1356" t="s">
        <v>8763</v>
      </c>
      <c r="C1356" s="1">
        <v>41933</v>
      </c>
      <c r="D1356" s="22">
        <f>MONTH(Table12[[#This Row],[Order Date]])</f>
        <v>10</v>
      </c>
      <c r="E1356" t="s">
        <v>3934</v>
      </c>
      <c r="F1356" t="s">
        <v>3935</v>
      </c>
      <c r="G1356" s="23" t="s">
        <v>28</v>
      </c>
      <c r="H1356" s="23" t="s">
        <v>50</v>
      </c>
      <c r="I1356" t="s">
        <v>2897</v>
      </c>
      <c r="J1356" s="23" t="s">
        <v>36</v>
      </c>
      <c r="K1356" s="22">
        <v>4</v>
      </c>
      <c r="L1356" s="1">
        <v>41938</v>
      </c>
      <c r="M1356" s="22">
        <f>Table12[[#This Row],[Ship Date]]-Table12[[#This Row],[Order Date]]</f>
        <v>5</v>
      </c>
      <c r="N1356" s="23" t="s">
        <v>45</v>
      </c>
      <c r="O1356" s="23" t="s">
        <v>23</v>
      </c>
      <c r="P1356" s="23" t="s">
        <v>285</v>
      </c>
      <c r="Q1356" s="23" t="s">
        <v>26</v>
      </c>
      <c r="R1356" s="23" t="s">
        <v>4913</v>
      </c>
      <c r="S1356" s="33">
        <v>0</v>
      </c>
      <c r="T1356" s="13">
        <v>591.32000000000005</v>
      </c>
      <c r="U1356" s="13">
        <v>112.35080000000001</v>
      </c>
      <c r="V1356" s="55">
        <f>IFERROR(Table12[[#This Row],[Profit]]/Table12[[#This Row],[Sales]],0)</f>
        <v>0.19</v>
      </c>
    </row>
    <row r="1357" spans="1:22" x14ac:dyDescent="0.2">
      <c r="A1357">
        <v>1356</v>
      </c>
      <c r="B1357" t="s">
        <v>8763</v>
      </c>
      <c r="C1357" s="1">
        <v>41933</v>
      </c>
      <c r="D1357" s="22">
        <f>MONTH(Table12[[#This Row],[Order Date]])</f>
        <v>10</v>
      </c>
      <c r="E1357" t="s">
        <v>3044</v>
      </c>
      <c r="F1357" t="s">
        <v>3045</v>
      </c>
      <c r="G1357" s="23" t="s">
        <v>41</v>
      </c>
      <c r="H1357" s="23" t="s">
        <v>61</v>
      </c>
      <c r="I1357" t="s">
        <v>2897</v>
      </c>
      <c r="J1357" s="23" t="s">
        <v>36</v>
      </c>
      <c r="K1357" s="22">
        <v>1</v>
      </c>
      <c r="L1357" s="1">
        <v>41938</v>
      </c>
      <c r="M1357" s="22">
        <f>Table12[[#This Row],[Ship Date]]-Table12[[#This Row],[Order Date]]</f>
        <v>5</v>
      </c>
      <c r="N1357" s="23" t="s">
        <v>45</v>
      </c>
      <c r="O1357" s="23" t="s">
        <v>23</v>
      </c>
      <c r="P1357" s="23" t="s">
        <v>285</v>
      </c>
      <c r="Q1357" s="23" t="s">
        <v>26</v>
      </c>
      <c r="R1357" s="23" t="s">
        <v>4913</v>
      </c>
      <c r="S1357" s="33">
        <v>0</v>
      </c>
      <c r="T1357" s="13">
        <v>2.84</v>
      </c>
      <c r="U1357" s="13">
        <v>0.88039999999999996</v>
      </c>
      <c r="V1357" s="55">
        <f>IFERROR(Table12[[#This Row],[Profit]]/Table12[[#This Row],[Sales]],0)</f>
        <v>0.31</v>
      </c>
    </row>
    <row r="1358" spans="1:22" x14ac:dyDescent="0.2">
      <c r="A1358">
        <v>1357</v>
      </c>
      <c r="B1358" t="s">
        <v>534</v>
      </c>
      <c r="C1358" s="1">
        <v>41934</v>
      </c>
      <c r="D1358" s="22">
        <f>MONTH(Table12[[#This Row],[Order Date]])</f>
        <v>10</v>
      </c>
      <c r="E1358" t="s">
        <v>537</v>
      </c>
      <c r="F1358" t="s">
        <v>538</v>
      </c>
      <c r="G1358" s="23" t="s">
        <v>28</v>
      </c>
      <c r="H1358" s="23" t="s">
        <v>58</v>
      </c>
      <c r="I1358" t="s">
        <v>535</v>
      </c>
      <c r="J1358" s="23" t="s">
        <v>92</v>
      </c>
      <c r="K1358" s="22">
        <v>4</v>
      </c>
      <c r="L1358" s="1">
        <v>41940</v>
      </c>
      <c r="M1358" s="22">
        <f>Table12[[#This Row],[Ship Date]]-Table12[[#This Row],[Order Date]]</f>
        <v>6</v>
      </c>
      <c r="N1358" s="23" t="s">
        <v>45</v>
      </c>
      <c r="O1358" s="23" t="s">
        <v>23</v>
      </c>
      <c r="P1358" s="23" t="s">
        <v>441</v>
      </c>
      <c r="Q1358" s="23" t="s">
        <v>133</v>
      </c>
      <c r="R1358" s="23" t="s">
        <v>536</v>
      </c>
      <c r="S1358" s="33">
        <v>0.2</v>
      </c>
      <c r="T1358" s="13">
        <v>93.888000000000005</v>
      </c>
      <c r="U1358" s="13">
        <v>12.909599999999999</v>
      </c>
      <c r="V1358" s="55">
        <f>IFERROR(Table12[[#This Row],[Profit]]/Table12[[#This Row],[Sales]],0)</f>
        <v>0.13749999999999998</v>
      </c>
    </row>
    <row r="1359" spans="1:22" x14ac:dyDescent="0.2">
      <c r="A1359">
        <v>1358</v>
      </c>
      <c r="B1359" t="s">
        <v>8813</v>
      </c>
      <c r="C1359" s="1">
        <v>41934</v>
      </c>
      <c r="D1359" s="22">
        <f>MONTH(Table12[[#This Row],[Order Date]])</f>
        <v>10</v>
      </c>
      <c r="E1359" t="s">
        <v>5849</v>
      </c>
      <c r="F1359" t="s">
        <v>5850</v>
      </c>
      <c r="G1359" s="23" t="s">
        <v>28</v>
      </c>
      <c r="H1359" s="23" t="s">
        <v>58</v>
      </c>
      <c r="I1359" t="s">
        <v>5010</v>
      </c>
      <c r="J1359" s="23" t="s">
        <v>36</v>
      </c>
      <c r="K1359" s="22">
        <v>4</v>
      </c>
      <c r="L1359" s="1">
        <v>41938</v>
      </c>
      <c r="M1359" s="22">
        <f>Table12[[#This Row],[Ship Date]]-Table12[[#This Row],[Order Date]]</f>
        <v>4</v>
      </c>
      <c r="N1359" s="23" t="s">
        <v>45</v>
      </c>
      <c r="O1359" s="23" t="s">
        <v>23</v>
      </c>
      <c r="P1359" s="23" t="s">
        <v>650</v>
      </c>
      <c r="Q1359" s="23" t="s">
        <v>26</v>
      </c>
      <c r="R1359" s="23" t="s">
        <v>2129</v>
      </c>
      <c r="S1359" s="33">
        <v>0</v>
      </c>
      <c r="T1359" s="13">
        <v>129.91999999999999</v>
      </c>
      <c r="U1359" s="13">
        <v>10.393599999999999</v>
      </c>
      <c r="V1359" s="55">
        <f>IFERROR(Table12[[#This Row],[Profit]]/Table12[[#This Row],[Sales]],0)</f>
        <v>0.08</v>
      </c>
    </row>
    <row r="1360" spans="1:22" x14ac:dyDescent="0.2">
      <c r="A1360">
        <v>1359</v>
      </c>
      <c r="B1360" t="s">
        <v>4996</v>
      </c>
      <c r="C1360" s="1">
        <v>41936</v>
      </c>
      <c r="D1360" s="22">
        <f>MONTH(Table12[[#This Row],[Order Date]])</f>
        <v>10</v>
      </c>
      <c r="E1360" t="s">
        <v>2539</v>
      </c>
      <c r="F1360" t="s">
        <v>2540</v>
      </c>
      <c r="G1360" s="23" t="s">
        <v>41</v>
      </c>
      <c r="H1360" s="23" t="s">
        <v>82</v>
      </c>
      <c r="I1360" t="s">
        <v>4982</v>
      </c>
      <c r="J1360" s="23" t="s">
        <v>92</v>
      </c>
      <c r="K1360" s="22">
        <v>2</v>
      </c>
      <c r="L1360" s="1">
        <v>41941</v>
      </c>
      <c r="M1360" s="22">
        <f>Table12[[#This Row],[Ship Date]]-Table12[[#This Row],[Order Date]]</f>
        <v>5</v>
      </c>
      <c r="N1360" s="23" t="s">
        <v>45</v>
      </c>
      <c r="O1360" s="23" t="s">
        <v>23</v>
      </c>
      <c r="P1360" s="23" t="s">
        <v>48</v>
      </c>
      <c r="Q1360" s="23" t="s">
        <v>26</v>
      </c>
      <c r="R1360" s="23" t="s">
        <v>47</v>
      </c>
      <c r="S1360" s="33">
        <v>0.2</v>
      </c>
      <c r="T1360" s="13">
        <v>10.368</v>
      </c>
      <c r="U1360" s="13">
        <v>3.6288</v>
      </c>
      <c r="V1360" s="55">
        <f>IFERROR(Table12[[#This Row],[Profit]]/Table12[[#This Row],[Sales]],0)</f>
        <v>0.35</v>
      </c>
    </row>
    <row r="1361" spans="1:22" x14ac:dyDescent="0.2">
      <c r="A1361">
        <v>1360</v>
      </c>
      <c r="B1361" t="s">
        <v>5537</v>
      </c>
      <c r="C1361" s="1">
        <v>41936</v>
      </c>
      <c r="D1361" s="22">
        <f>MONTH(Table12[[#This Row],[Order Date]])</f>
        <v>10</v>
      </c>
      <c r="E1361" t="s">
        <v>975</v>
      </c>
      <c r="F1361" t="s">
        <v>976</v>
      </c>
      <c r="G1361" s="23" t="s">
        <v>41</v>
      </c>
      <c r="H1361" s="23" t="s">
        <v>68</v>
      </c>
      <c r="I1361" t="s">
        <v>1612</v>
      </c>
      <c r="J1361" s="23" t="s">
        <v>22</v>
      </c>
      <c r="K1361" s="22">
        <v>3</v>
      </c>
      <c r="L1361" s="1">
        <v>41941</v>
      </c>
      <c r="M1361" s="22">
        <f>Table12[[#This Row],[Ship Date]]-Table12[[#This Row],[Order Date]]</f>
        <v>5</v>
      </c>
      <c r="N1361" s="23" t="s">
        <v>45</v>
      </c>
      <c r="O1361" s="23" t="s">
        <v>23</v>
      </c>
      <c r="P1361" s="23" t="s">
        <v>38</v>
      </c>
      <c r="Q1361" s="23" t="s">
        <v>39</v>
      </c>
      <c r="R1361" s="23" t="s">
        <v>4417</v>
      </c>
      <c r="S1361" s="33">
        <v>0.2</v>
      </c>
      <c r="T1361" s="13">
        <v>34.271999999999998</v>
      </c>
      <c r="U1361" s="13">
        <v>11.138400000000001</v>
      </c>
      <c r="V1361" s="55">
        <f>IFERROR(Table12[[#This Row],[Profit]]/Table12[[#This Row],[Sales]],0)</f>
        <v>0.32500000000000001</v>
      </c>
    </row>
    <row r="1362" spans="1:22" x14ac:dyDescent="0.2">
      <c r="A1362">
        <v>1361</v>
      </c>
      <c r="B1362" t="s">
        <v>6183</v>
      </c>
      <c r="C1362" s="1">
        <v>41936</v>
      </c>
      <c r="D1362" s="22">
        <f>MONTH(Table12[[#This Row],[Order Date]])</f>
        <v>10</v>
      </c>
      <c r="E1362" t="s">
        <v>5314</v>
      </c>
      <c r="F1362" t="s">
        <v>5315</v>
      </c>
      <c r="G1362" s="23" t="s">
        <v>41</v>
      </c>
      <c r="H1362" s="23" t="s">
        <v>240</v>
      </c>
      <c r="I1362" t="s">
        <v>2014</v>
      </c>
      <c r="J1362" s="23" t="s">
        <v>22</v>
      </c>
      <c r="K1362" s="22">
        <v>3</v>
      </c>
      <c r="L1362" s="1">
        <v>41936</v>
      </c>
      <c r="M1362" s="22">
        <f>Table12[[#This Row],[Ship Date]]-Table12[[#This Row],[Order Date]]</f>
        <v>0</v>
      </c>
      <c r="N1362" s="23" t="s">
        <v>1141</v>
      </c>
      <c r="O1362" s="23" t="s">
        <v>23</v>
      </c>
      <c r="P1362" s="23" t="s">
        <v>342</v>
      </c>
      <c r="Q1362" s="23" t="s">
        <v>26</v>
      </c>
      <c r="R1362" s="23" t="s">
        <v>6184</v>
      </c>
      <c r="S1362" s="33">
        <v>0</v>
      </c>
      <c r="T1362" s="13">
        <v>11.85</v>
      </c>
      <c r="U1362" s="13">
        <v>3.7919999999999998</v>
      </c>
      <c r="V1362" s="55">
        <f>IFERROR(Table12[[#This Row],[Profit]]/Table12[[#This Row],[Sales]],0)</f>
        <v>0.32</v>
      </c>
    </row>
    <row r="1363" spans="1:22" x14ac:dyDescent="0.2">
      <c r="A1363">
        <v>1362</v>
      </c>
      <c r="B1363" t="s">
        <v>7925</v>
      </c>
      <c r="C1363" s="1">
        <v>41937</v>
      </c>
      <c r="D1363" s="22">
        <f>MONTH(Table12[[#This Row],[Order Date]])</f>
        <v>10</v>
      </c>
      <c r="E1363" t="s">
        <v>3818</v>
      </c>
      <c r="F1363" t="s">
        <v>3819</v>
      </c>
      <c r="G1363" s="23" t="s">
        <v>41</v>
      </c>
      <c r="H1363" s="23" t="s">
        <v>68</v>
      </c>
      <c r="I1363" t="s">
        <v>5733</v>
      </c>
      <c r="J1363" s="23" t="s">
        <v>36</v>
      </c>
      <c r="K1363" s="22">
        <v>4</v>
      </c>
      <c r="L1363" s="1">
        <v>41940</v>
      </c>
      <c r="M1363" s="22">
        <f>Table12[[#This Row],[Ship Date]]-Table12[[#This Row],[Order Date]]</f>
        <v>3</v>
      </c>
      <c r="N1363" s="23" t="s">
        <v>169</v>
      </c>
      <c r="O1363" s="23" t="s">
        <v>23</v>
      </c>
      <c r="P1363" s="23" t="s">
        <v>38</v>
      </c>
      <c r="Q1363" s="23" t="s">
        <v>39</v>
      </c>
      <c r="R1363" s="23" t="s">
        <v>114</v>
      </c>
      <c r="S1363" s="33">
        <v>0.2</v>
      </c>
      <c r="T1363" s="13">
        <v>49.408000000000001</v>
      </c>
      <c r="U1363" s="13">
        <v>18.527999999999999</v>
      </c>
      <c r="V1363" s="55">
        <f>IFERROR(Table12[[#This Row],[Profit]]/Table12[[#This Row],[Sales]],0)</f>
        <v>0.37499999999999994</v>
      </c>
    </row>
    <row r="1364" spans="1:22" x14ac:dyDescent="0.2">
      <c r="A1364">
        <v>1363</v>
      </c>
      <c r="B1364" t="s">
        <v>8833</v>
      </c>
      <c r="C1364" s="1">
        <v>41937</v>
      </c>
      <c r="D1364" s="22">
        <f>MONTH(Table12[[#This Row],[Order Date]])</f>
        <v>10</v>
      </c>
      <c r="E1364" t="s">
        <v>6419</v>
      </c>
      <c r="F1364" t="s">
        <v>6420</v>
      </c>
      <c r="G1364" s="23" t="s">
        <v>64</v>
      </c>
      <c r="H1364" s="23" t="s">
        <v>144</v>
      </c>
      <c r="I1364" t="s">
        <v>5796</v>
      </c>
      <c r="J1364" s="23" t="s">
        <v>22</v>
      </c>
      <c r="K1364" s="22">
        <v>3</v>
      </c>
      <c r="L1364" s="1">
        <v>41941</v>
      </c>
      <c r="M1364" s="22">
        <f>Table12[[#This Row],[Ship Date]]-Table12[[#This Row],[Order Date]]</f>
        <v>4</v>
      </c>
      <c r="N1364" s="23" t="s">
        <v>45</v>
      </c>
      <c r="O1364" s="23" t="s">
        <v>23</v>
      </c>
      <c r="P1364" s="23" t="s">
        <v>132</v>
      </c>
      <c r="Q1364" s="23" t="s">
        <v>133</v>
      </c>
      <c r="R1364" s="23" t="s">
        <v>131</v>
      </c>
      <c r="S1364" s="33">
        <v>0.2</v>
      </c>
      <c r="T1364" s="13">
        <v>40.776000000000003</v>
      </c>
      <c r="U1364" s="13">
        <v>0.50970000000000004</v>
      </c>
      <c r="V1364" s="55">
        <f>IFERROR(Table12[[#This Row],[Profit]]/Table12[[#This Row],[Sales]],0)</f>
        <v>1.2500000000000001E-2</v>
      </c>
    </row>
    <row r="1365" spans="1:22" x14ac:dyDescent="0.2">
      <c r="A1365">
        <v>1364</v>
      </c>
      <c r="B1365" t="s">
        <v>8833</v>
      </c>
      <c r="C1365" s="1">
        <v>41937</v>
      </c>
      <c r="D1365" s="22">
        <f>MONTH(Table12[[#This Row],[Order Date]])</f>
        <v>10</v>
      </c>
      <c r="E1365" t="s">
        <v>1181</v>
      </c>
      <c r="F1365" t="s">
        <v>1182</v>
      </c>
      <c r="G1365" s="23" t="s">
        <v>41</v>
      </c>
      <c r="H1365" s="23" t="s">
        <v>68</v>
      </c>
      <c r="I1365" t="s">
        <v>5796</v>
      </c>
      <c r="J1365" s="23" t="s">
        <v>22</v>
      </c>
      <c r="K1365" s="22">
        <v>3</v>
      </c>
      <c r="L1365" s="1">
        <v>41941</v>
      </c>
      <c r="M1365" s="22">
        <f>Table12[[#This Row],[Ship Date]]-Table12[[#This Row],[Order Date]]</f>
        <v>4</v>
      </c>
      <c r="N1365" s="23" t="s">
        <v>45</v>
      </c>
      <c r="O1365" s="23" t="s">
        <v>23</v>
      </c>
      <c r="P1365" s="23" t="s">
        <v>132</v>
      </c>
      <c r="Q1365" s="23" t="s">
        <v>133</v>
      </c>
      <c r="R1365" s="23" t="s">
        <v>131</v>
      </c>
      <c r="S1365" s="33">
        <v>0.7</v>
      </c>
      <c r="T1365" s="13">
        <v>13.698</v>
      </c>
      <c r="U1365" s="13">
        <v>-9.5885999999999996</v>
      </c>
      <c r="V1365" s="55">
        <f>IFERROR(Table12[[#This Row],[Profit]]/Table12[[#This Row],[Sales]],0)</f>
        <v>-0.7</v>
      </c>
    </row>
    <row r="1366" spans="1:22" x14ac:dyDescent="0.2">
      <c r="A1366">
        <v>1365</v>
      </c>
      <c r="B1366" t="s">
        <v>6661</v>
      </c>
      <c r="C1366" s="1">
        <v>41938</v>
      </c>
      <c r="D1366" s="22">
        <f>MONTH(Table12[[#This Row],[Order Date]])</f>
        <v>10</v>
      </c>
      <c r="E1366" t="s">
        <v>1604</v>
      </c>
      <c r="F1366" t="s">
        <v>1605</v>
      </c>
      <c r="G1366" s="23" t="s">
        <v>28</v>
      </c>
      <c r="H1366" s="23" t="s">
        <v>58</v>
      </c>
      <c r="I1366" t="s">
        <v>6575</v>
      </c>
      <c r="J1366" s="23" t="s">
        <v>22</v>
      </c>
      <c r="K1366" s="22">
        <v>4</v>
      </c>
      <c r="L1366" s="1">
        <v>41942</v>
      </c>
      <c r="M1366" s="22">
        <f>Table12[[#This Row],[Ship Date]]-Table12[[#This Row],[Order Date]]</f>
        <v>4</v>
      </c>
      <c r="N1366" s="23" t="s">
        <v>20</v>
      </c>
      <c r="O1366" s="23" t="s">
        <v>23</v>
      </c>
      <c r="P1366" s="23" t="s">
        <v>87</v>
      </c>
      <c r="Q1366" s="23" t="s">
        <v>39</v>
      </c>
      <c r="R1366" s="23" t="s">
        <v>86</v>
      </c>
      <c r="S1366" s="33">
        <v>0</v>
      </c>
      <c r="T1366" s="13">
        <v>63.92</v>
      </c>
      <c r="U1366" s="13">
        <v>3.1960000000000002</v>
      </c>
      <c r="V1366" s="55">
        <f>IFERROR(Table12[[#This Row],[Profit]]/Table12[[#This Row],[Sales]],0)</f>
        <v>0.05</v>
      </c>
    </row>
    <row r="1367" spans="1:22" x14ac:dyDescent="0.2">
      <c r="A1367">
        <v>1366</v>
      </c>
      <c r="B1367" t="s">
        <v>6661</v>
      </c>
      <c r="C1367" s="1">
        <v>41938</v>
      </c>
      <c r="D1367" s="22">
        <f>MONTH(Table12[[#This Row],[Order Date]])</f>
        <v>10</v>
      </c>
      <c r="E1367" t="s">
        <v>5622</v>
      </c>
      <c r="F1367" t="s">
        <v>5623</v>
      </c>
      <c r="G1367" s="23" t="s">
        <v>64</v>
      </c>
      <c r="H1367" s="23" t="s">
        <v>65</v>
      </c>
      <c r="I1367" t="s">
        <v>6575</v>
      </c>
      <c r="J1367" s="23" t="s">
        <v>22</v>
      </c>
      <c r="K1367" s="22">
        <v>5</v>
      </c>
      <c r="L1367" s="1">
        <v>41942</v>
      </c>
      <c r="M1367" s="22">
        <f>Table12[[#This Row],[Ship Date]]-Table12[[#This Row],[Order Date]]</f>
        <v>4</v>
      </c>
      <c r="N1367" s="23" t="s">
        <v>20</v>
      </c>
      <c r="O1367" s="23" t="s">
        <v>23</v>
      </c>
      <c r="P1367" s="23" t="s">
        <v>87</v>
      </c>
      <c r="Q1367" s="23" t="s">
        <v>39</v>
      </c>
      <c r="R1367" s="23" t="s">
        <v>86</v>
      </c>
      <c r="S1367" s="33">
        <v>0.2</v>
      </c>
      <c r="T1367" s="13">
        <v>383.96</v>
      </c>
      <c r="U1367" s="13">
        <v>38.396000000000001</v>
      </c>
      <c r="V1367" s="55">
        <f>IFERROR(Table12[[#This Row],[Profit]]/Table12[[#This Row],[Sales]],0)</f>
        <v>0.1</v>
      </c>
    </row>
    <row r="1368" spans="1:22" x14ac:dyDescent="0.2">
      <c r="A1368">
        <v>1367</v>
      </c>
      <c r="B1368" t="s">
        <v>9821</v>
      </c>
      <c r="C1368" s="1">
        <v>41939</v>
      </c>
      <c r="D1368" s="22">
        <f>MONTH(Table12[[#This Row],[Order Date]])</f>
        <v>10</v>
      </c>
      <c r="E1368" t="s">
        <v>2687</v>
      </c>
      <c r="F1368" t="s">
        <v>2688</v>
      </c>
      <c r="G1368" s="23" t="s">
        <v>41</v>
      </c>
      <c r="H1368" s="23" t="s">
        <v>82</v>
      </c>
      <c r="I1368" t="s">
        <v>2036</v>
      </c>
      <c r="J1368" s="23" t="s">
        <v>92</v>
      </c>
      <c r="K1368" s="22">
        <v>2</v>
      </c>
      <c r="L1368" s="1">
        <v>41944</v>
      </c>
      <c r="M1368" s="22">
        <f>Table12[[#This Row],[Ship Date]]-Table12[[#This Row],[Order Date]]</f>
        <v>5</v>
      </c>
      <c r="N1368" s="23" t="s">
        <v>45</v>
      </c>
      <c r="O1368" s="23" t="s">
        <v>23</v>
      </c>
      <c r="P1368" s="23" t="s">
        <v>80</v>
      </c>
      <c r="Q1368" s="23" t="s">
        <v>26</v>
      </c>
      <c r="R1368" s="23" t="s">
        <v>1509</v>
      </c>
      <c r="S1368" s="33">
        <v>0.2</v>
      </c>
      <c r="T1368" s="13">
        <v>10.368</v>
      </c>
      <c r="U1368" s="13">
        <v>3.6288</v>
      </c>
      <c r="V1368" s="55">
        <f>IFERROR(Table12[[#This Row],[Profit]]/Table12[[#This Row],[Sales]],0)</f>
        <v>0.35</v>
      </c>
    </row>
    <row r="1369" spans="1:22" x14ac:dyDescent="0.2">
      <c r="A1369">
        <v>1368</v>
      </c>
      <c r="B1369" t="s">
        <v>9821</v>
      </c>
      <c r="C1369" s="1">
        <v>41939</v>
      </c>
      <c r="D1369" s="22">
        <f>MONTH(Table12[[#This Row],[Order Date]])</f>
        <v>10</v>
      </c>
      <c r="E1369" t="s">
        <v>2802</v>
      </c>
      <c r="F1369" t="s">
        <v>167</v>
      </c>
      <c r="G1369" s="23" t="s">
        <v>41</v>
      </c>
      <c r="H1369" s="23" t="s">
        <v>82</v>
      </c>
      <c r="I1369" t="s">
        <v>2036</v>
      </c>
      <c r="J1369" s="23" t="s">
        <v>92</v>
      </c>
      <c r="K1369" s="22">
        <v>3</v>
      </c>
      <c r="L1369" s="1">
        <v>41944</v>
      </c>
      <c r="M1369" s="22">
        <f>Table12[[#This Row],[Ship Date]]-Table12[[#This Row],[Order Date]]</f>
        <v>5</v>
      </c>
      <c r="N1369" s="23" t="s">
        <v>45</v>
      </c>
      <c r="O1369" s="23" t="s">
        <v>23</v>
      </c>
      <c r="P1369" s="23" t="s">
        <v>80</v>
      </c>
      <c r="Q1369" s="23" t="s">
        <v>26</v>
      </c>
      <c r="R1369" s="23" t="s">
        <v>1509</v>
      </c>
      <c r="S1369" s="33">
        <v>0.2</v>
      </c>
      <c r="T1369" s="13">
        <v>11.952</v>
      </c>
      <c r="U1369" s="13">
        <v>4.0338000000000003</v>
      </c>
      <c r="V1369" s="55">
        <f>IFERROR(Table12[[#This Row],[Profit]]/Table12[[#This Row],[Sales]],0)</f>
        <v>0.33750000000000002</v>
      </c>
    </row>
    <row r="1370" spans="1:22" x14ac:dyDescent="0.2">
      <c r="A1370">
        <v>1369</v>
      </c>
      <c r="B1370" t="s">
        <v>6266</v>
      </c>
      <c r="C1370" s="1">
        <v>41940</v>
      </c>
      <c r="D1370" s="22">
        <f>MONTH(Table12[[#This Row],[Order Date]])</f>
        <v>10</v>
      </c>
      <c r="E1370" t="s">
        <v>1077</v>
      </c>
      <c r="F1370" t="s">
        <v>1078</v>
      </c>
      <c r="G1370" s="23" t="s">
        <v>41</v>
      </c>
      <c r="H1370" s="23" t="s">
        <v>68</v>
      </c>
      <c r="I1370" t="s">
        <v>3531</v>
      </c>
      <c r="J1370" s="23" t="s">
        <v>36</v>
      </c>
      <c r="K1370" s="22">
        <v>2</v>
      </c>
      <c r="L1370" s="1">
        <v>41943</v>
      </c>
      <c r="M1370" s="22">
        <f>Table12[[#This Row],[Ship Date]]-Table12[[#This Row],[Order Date]]</f>
        <v>3</v>
      </c>
      <c r="N1370" s="23" t="s">
        <v>169</v>
      </c>
      <c r="O1370" s="23" t="s">
        <v>23</v>
      </c>
      <c r="P1370" s="23" t="s">
        <v>38</v>
      </c>
      <c r="Q1370" s="23" t="s">
        <v>39</v>
      </c>
      <c r="R1370" s="23" t="s">
        <v>37</v>
      </c>
      <c r="S1370" s="33">
        <v>0.2</v>
      </c>
      <c r="T1370" s="13">
        <v>7.1840000000000002</v>
      </c>
      <c r="U1370" s="13">
        <v>2.2450000000000001</v>
      </c>
      <c r="V1370" s="55">
        <f>IFERROR(Table12[[#This Row],[Profit]]/Table12[[#This Row],[Sales]],0)</f>
        <v>0.3125</v>
      </c>
    </row>
    <row r="1371" spans="1:22" x14ac:dyDescent="0.2">
      <c r="A1371">
        <v>1370</v>
      </c>
      <c r="B1371" t="s">
        <v>6266</v>
      </c>
      <c r="C1371" s="1">
        <v>41940</v>
      </c>
      <c r="D1371" s="22">
        <f>MONTH(Table12[[#This Row],[Order Date]])</f>
        <v>10</v>
      </c>
      <c r="E1371" t="s">
        <v>6267</v>
      </c>
      <c r="F1371" t="s">
        <v>6268</v>
      </c>
      <c r="G1371" s="23" t="s">
        <v>41</v>
      </c>
      <c r="H1371" s="23" t="s">
        <v>513</v>
      </c>
      <c r="I1371" t="s">
        <v>3531</v>
      </c>
      <c r="J1371" s="23" t="s">
        <v>36</v>
      </c>
      <c r="K1371" s="22">
        <v>2</v>
      </c>
      <c r="L1371" s="1">
        <v>41943</v>
      </c>
      <c r="M1371" s="22">
        <f>Table12[[#This Row],[Ship Date]]-Table12[[#This Row],[Order Date]]</f>
        <v>3</v>
      </c>
      <c r="N1371" s="23" t="s">
        <v>169</v>
      </c>
      <c r="O1371" s="23" t="s">
        <v>23</v>
      </c>
      <c r="P1371" s="23" t="s">
        <v>38</v>
      </c>
      <c r="Q1371" s="23" t="s">
        <v>39</v>
      </c>
      <c r="R1371" s="23" t="s">
        <v>37</v>
      </c>
      <c r="S1371" s="33">
        <v>0</v>
      </c>
      <c r="T1371" s="13">
        <v>6.28</v>
      </c>
      <c r="U1371" s="13">
        <v>6.2799999999999995E-2</v>
      </c>
      <c r="V1371" s="55">
        <f>IFERROR(Table12[[#This Row],[Profit]]/Table12[[#This Row],[Sales]],0)</f>
        <v>9.9999999999999985E-3</v>
      </c>
    </row>
    <row r="1372" spans="1:22" x14ac:dyDescent="0.2">
      <c r="A1372">
        <v>1371</v>
      </c>
      <c r="B1372" t="s">
        <v>6266</v>
      </c>
      <c r="C1372" s="1">
        <v>41940</v>
      </c>
      <c r="D1372" s="22">
        <f>MONTH(Table12[[#This Row],[Order Date]])</f>
        <v>10</v>
      </c>
      <c r="E1372" t="s">
        <v>940</v>
      </c>
      <c r="F1372" t="s">
        <v>941</v>
      </c>
      <c r="G1372" s="23" t="s">
        <v>41</v>
      </c>
      <c r="H1372" s="23" t="s">
        <v>513</v>
      </c>
      <c r="I1372" t="s">
        <v>3531</v>
      </c>
      <c r="J1372" s="23" t="s">
        <v>36</v>
      </c>
      <c r="K1372" s="22">
        <v>2</v>
      </c>
      <c r="L1372" s="1">
        <v>41943</v>
      </c>
      <c r="M1372" s="22">
        <f>Table12[[#This Row],[Ship Date]]-Table12[[#This Row],[Order Date]]</f>
        <v>3</v>
      </c>
      <c r="N1372" s="23" t="s">
        <v>169</v>
      </c>
      <c r="O1372" s="23" t="s">
        <v>23</v>
      </c>
      <c r="P1372" s="23" t="s">
        <v>38</v>
      </c>
      <c r="Q1372" s="23" t="s">
        <v>39</v>
      </c>
      <c r="R1372" s="23" t="s">
        <v>37</v>
      </c>
      <c r="S1372" s="33">
        <v>0</v>
      </c>
      <c r="T1372" s="13">
        <v>480.74</v>
      </c>
      <c r="U1372" s="13">
        <v>14.4222</v>
      </c>
      <c r="V1372" s="55">
        <f>IFERROR(Table12[[#This Row],[Profit]]/Table12[[#This Row],[Sales]],0)</f>
        <v>0.03</v>
      </c>
    </row>
    <row r="1373" spans="1:22" x14ac:dyDescent="0.2">
      <c r="A1373">
        <v>1372</v>
      </c>
      <c r="B1373" t="s">
        <v>6266</v>
      </c>
      <c r="C1373" s="1">
        <v>41940</v>
      </c>
      <c r="D1373" s="22">
        <f>MONTH(Table12[[#This Row],[Order Date]])</f>
        <v>10</v>
      </c>
      <c r="E1373" t="s">
        <v>1478</v>
      </c>
      <c r="F1373" t="s">
        <v>1479</v>
      </c>
      <c r="G1373" s="23" t="s">
        <v>28</v>
      </c>
      <c r="H1373" s="23" t="s">
        <v>29</v>
      </c>
      <c r="I1373" t="s">
        <v>3531</v>
      </c>
      <c r="J1373" s="23" t="s">
        <v>36</v>
      </c>
      <c r="K1373" s="22">
        <v>6</v>
      </c>
      <c r="L1373" s="1">
        <v>41943</v>
      </c>
      <c r="M1373" s="22">
        <f>Table12[[#This Row],[Ship Date]]-Table12[[#This Row],[Order Date]]</f>
        <v>3</v>
      </c>
      <c r="N1373" s="23" t="s">
        <v>169</v>
      </c>
      <c r="O1373" s="23" t="s">
        <v>23</v>
      </c>
      <c r="P1373" s="23" t="s">
        <v>38</v>
      </c>
      <c r="Q1373" s="23" t="s">
        <v>39</v>
      </c>
      <c r="R1373" s="23" t="s">
        <v>37</v>
      </c>
      <c r="S1373" s="33">
        <v>0.15</v>
      </c>
      <c r="T1373" s="13">
        <v>616.99800000000005</v>
      </c>
      <c r="U1373" s="13">
        <v>-36.293999999999997</v>
      </c>
      <c r="V1373" s="55">
        <f>IFERROR(Table12[[#This Row],[Profit]]/Table12[[#This Row],[Sales]],0)</f>
        <v>-5.8823529411764698E-2</v>
      </c>
    </row>
    <row r="1374" spans="1:22" x14ac:dyDescent="0.2">
      <c r="A1374">
        <v>1373</v>
      </c>
      <c r="B1374" t="s">
        <v>6266</v>
      </c>
      <c r="C1374" s="1">
        <v>41940</v>
      </c>
      <c r="D1374" s="22">
        <f>MONTH(Table12[[#This Row],[Order Date]])</f>
        <v>10</v>
      </c>
      <c r="E1374" t="s">
        <v>354</v>
      </c>
      <c r="F1374" t="s">
        <v>355</v>
      </c>
      <c r="G1374" s="23" t="s">
        <v>41</v>
      </c>
      <c r="H1374" s="23" t="s">
        <v>53</v>
      </c>
      <c r="I1374" t="s">
        <v>3531</v>
      </c>
      <c r="J1374" s="23" t="s">
        <v>36</v>
      </c>
      <c r="K1374" s="22">
        <v>5</v>
      </c>
      <c r="L1374" s="1">
        <v>41943</v>
      </c>
      <c r="M1374" s="22">
        <f>Table12[[#This Row],[Ship Date]]-Table12[[#This Row],[Order Date]]</f>
        <v>3</v>
      </c>
      <c r="N1374" s="23" t="s">
        <v>169</v>
      </c>
      <c r="O1374" s="23" t="s">
        <v>23</v>
      </c>
      <c r="P1374" s="23" t="s">
        <v>38</v>
      </c>
      <c r="Q1374" s="23" t="s">
        <v>39</v>
      </c>
      <c r="R1374" s="23" t="s">
        <v>37</v>
      </c>
      <c r="S1374" s="33">
        <v>0</v>
      </c>
      <c r="T1374" s="13">
        <v>141.4</v>
      </c>
      <c r="U1374" s="13">
        <v>38.177999999999997</v>
      </c>
      <c r="V1374" s="55">
        <f>IFERROR(Table12[[#This Row],[Profit]]/Table12[[#This Row],[Sales]],0)</f>
        <v>0.26999999999999996</v>
      </c>
    </row>
    <row r="1375" spans="1:22" x14ac:dyDescent="0.2">
      <c r="A1375">
        <v>1374</v>
      </c>
      <c r="B1375" t="s">
        <v>8671</v>
      </c>
      <c r="C1375" s="1">
        <v>41940</v>
      </c>
      <c r="D1375" s="22">
        <f>MONTH(Table12[[#This Row],[Order Date]])</f>
        <v>10</v>
      </c>
      <c r="E1375" t="s">
        <v>3306</v>
      </c>
      <c r="F1375" t="s">
        <v>3307</v>
      </c>
      <c r="G1375" s="23" t="s">
        <v>64</v>
      </c>
      <c r="H1375" s="23" t="s">
        <v>65</v>
      </c>
      <c r="I1375" t="s">
        <v>2801</v>
      </c>
      <c r="J1375" s="23" t="s">
        <v>36</v>
      </c>
      <c r="K1375" s="22">
        <v>2</v>
      </c>
      <c r="L1375" s="1">
        <v>41944</v>
      </c>
      <c r="M1375" s="22">
        <f>Table12[[#This Row],[Ship Date]]-Table12[[#This Row],[Order Date]]</f>
        <v>4</v>
      </c>
      <c r="N1375" s="23" t="s">
        <v>45</v>
      </c>
      <c r="O1375" s="23" t="s">
        <v>23</v>
      </c>
      <c r="P1375" s="23" t="s">
        <v>4001</v>
      </c>
      <c r="Q1375" s="23" t="s">
        <v>95</v>
      </c>
      <c r="R1375" s="23" t="s">
        <v>8672</v>
      </c>
      <c r="S1375" s="33">
        <v>0</v>
      </c>
      <c r="T1375" s="13">
        <v>257.98</v>
      </c>
      <c r="U1375" s="13">
        <v>74.8142</v>
      </c>
      <c r="V1375" s="55">
        <f>IFERROR(Table12[[#This Row],[Profit]]/Table12[[#This Row],[Sales]],0)</f>
        <v>0.28999999999999998</v>
      </c>
    </row>
    <row r="1376" spans="1:22" x14ac:dyDescent="0.2">
      <c r="A1376">
        <v>1375</v>
      </c>
      <c r="B1376" t="s">
        <v>1482</v>
      </c>
      <c r="C1376" s="1">
        <v>41941</v>
      </c>
      <c r="D1376" s="22">
        <f>MONTH(Table12[[#This Row],[Order Date]])</f>
        <v>10</v>
      </c>
      <c r="E1376" t="s">
        <v>1484</v>
      </c>
      <c r="F1376" t="s">
        <v>1485</v>
      </c>
      <c r="G1376" s="23" t="s">
        <v>64</v>
      </c>
      <c r="H1376" s="23" t="s">
        <v>65</v>
      </c>
      <c r="I1376" t="s">
        <v>1483</v>
      </c>
      <c r="J1376" s="23" t="s">
        <v>22</v>
      </c>
      <c r="K1376" s="22">
        <v>6</v>
      </c>
      <c r="L1376" s="1">
        <v>41943</v>
      </c>
      <c r="M1376" s="22">
        <f>Table12[[#This Row],[Ship Date]]-Table12[[#This Row],[Order Date]]</f>
        <v>2</v>
      </c>
      <c r="N1376" s="23" t="s">
        <v>169</v>
      </c>
      <c r="O1376" s="23" t="s">
        <v>23</v>
      </c>
      <c r="P1376" s="23" t="s">
        <v>189</v>
      </c>
      <c r="Q1376" s="23" t="s">
        <v>95</v>
      </c>
      <c r="R1376" s="23" t="s">
        <v>271</v>
      </c>
      <c r="S1376" s="33">
        <v>0.2</v>
      </c>
      <c r="T1376" s="13">
        <v>2735.9520000000002</v>
      </c>
      <c r="U1376" s="13">
        <v>341.99400000000003</v>
      </c>
      <c r="V1376" s="55">
        <f>IFERROR(Table12[[#This Row],[Profit]]/Table12[[#This Row],[Sales]],0)</f>
        <v>0.125</v>
      </c>
    </row>
    <row r="1377" spans="1:22" x14ac:dyDescent="0.2">
      <c r="A1377">
        <v>1376</v>
      </c>
      <c r="B1377" t="s">
        <v>9904</v>
      </c>
      <c r="C1377" s="1">
        <v>41941</v>
      </c>
      <c r="D1377" s="22">
        <f>MONTH(Table12[[#This Row],[Order Date]])</f>
        <v>10</v>
      </c>
      <c r="E1377" t="s">
        <v>5304</v>
      </c>
      <c r="F1377" t="s">
        <v>5305</v>
      </c>
      <c r="G1377" s="23" t="s">
        <v>64</v>
      </c>
      <c r="H1377" s="23" t="s">
        <v>144</v>
      </c>
      <c r="I1377" t="s">
        <v>4114</v>
      </c>
      <c r="J1377" s="23" t="s">
        <v>36</v>
      </c>
      <c r="K1377" s="22">
        <v>2</v>
      </c>
      <c r="L1377" s="1">
        <v>41945</v>
      </c>
      <c r="M1377" s="22">
        <f>Table12[[#This Row],[Ship Date]]-Table12[[#This Row],[Order Date]]</f>
        <v>4</v>
      </c>
      <c r="N1377" s="23" t="s">
        <v>45</v>
      </c>
      <c r="O1377" s="23" t="s">
        <v>23</v>
      </c>
      <c r="P1377" s="23" t="s">
        <v>226</v>
      </c>
      <c r="Q1377" s="23" t="s">
        <v>95</v>
      </c>
      <c r="R1377" s="23" t="s">
        <v>440</v>
      </c>
      <c r="S1377" s="33">
        <v>0</v>
      </c>
      <c r="T1377" s="13">
        <v>1.98</v>
      </c>
      <c r="U1377" s="13">
        <v>0.89100000000000001</v>
      </c>
      <c r="V1377" s="55">
        <f>IFERROR(Table12[[#This Row],[Profit]]/Table12[[#This Row],[Sales]],0)</f>
        <v>0.45</v>
      </c>
    </row>
    <row r="1378" spans="1:22" x14ac:dyDescent="0.2">
      <c r="A1378">
        <v>1377</v>
      </c>
      <c r="B1378" t="s">
        <v>9904</v>
      </c>
      <c r="C1378" s="1">
        <v>41941</v>
      </c>
      <c r="D1378" s="22">
        <f>MONTH(Table12[[#This Row],[Order Date]])</f>
        <v>10</v>
      </c>
      <c r="E1378" t="s">
        <v>286</v>
      </c>
      <c r="F1378" t="s">
        <v>287</v>
      </c>
      <c r="G1378" s="23" t="s">
        <v>41</v>
      </c>
      <c r="H1378" s="23" t="s">
        <v>82</v>
      </c>
      <c r="I1378" t="s">
        <v>4114</v>
      </c>
      <c r="J1378" s="23" t="s">
        <v>36</v>
      </c>
      <c r="K1378" s="22">
        <v>2</v>
      </c>
      <c r="L1378" s="1">
        <v>41945</v>
      </c>
      <c r="M1378" s="22">
        <f>Table12[[#This Row],[Ship Date]]-Table12[[#This Row],[Order Date]]</f>
        <v>4</v>
      </c>
      <c r="N1378" s="23" t="s">
        <v>45</v>
      </c>
      <c r="O1378" s="23" t="s">
        <v>23</v>
      </c>
      <c r="P1378" s="23" t="s">
        <v>226</v>
      </c>
      <c r="Q1378" s="23" t="s">
        <v>95</v>
      </c>
      <c r="R1378" s="23" t="s">
        <v>440</v>
      </c>
      <c r="S1378" s="33">
        <v>0</v>
      </c>
      <c r="T1378" s="13">
        <v>75.88</v>
      </c>
      <c r="U1378" s="13">
        <v>35.663600000000002</v>
      </c>
      <c r="V1378" s="55">
        <f>IFERROR(Table12[[#This Row],[Profit]]/Table12[[#This Row],[Sales]],0)</f>
        <v>0.47000000000000008</v>
      </c>
    </row>
    <row r="1379" spans="1:22" x14ac:dyDescent="0.2">
      <c r="A1379">
        <v>1378</v>
      </c>
      <c r="B1379" t="s">
        <v>4376</v>
      </c>
      <c r="C1379" s="1">
        <v>41943</v>
      </c>
      <c r="D1379" s="22">
        <f>MONTH(Table12[[#This Row],[Order Date]])</f>
        <v>10</v>
      </c>
      <c r="E1379" t="s">
        <v>4377</v>
      </c>
      <c r="F1379" t="s">
        <v>498</v>
      </c>
      <c r="G1379" s="23" t="s">
        <v>41</v>
      </c>
      <c r="H1379" s="23" t="s">
        <v>240</v>
      </c>
      <c r="I1379" t="s">
        <v>455</v>
      </c>
      <c r="J1379" s="23" t="s">
        <v>36</v>
      </c>
      <c r="K1379" s="22">
        <v>3</v>
      </c>
      <c r="L1379" s="1">
        <v>41947</v>
      </c>
      <c r="M1379" s="22">
        <f>Table12[[#This Row],[Ship Date]]-Table12[[#This Row],[Order Date]]</f>
        <v>4</v>
      </c>
      <c r="N1379" s="23" t="s">
        <v>45</v>
      </c>
      <c r="O1379" s="23" t="s">
        <v>23</v>
      </c>
      <c r="P1379" s="23" t="s">
        <v>38</v>
      </c>
      <c r="Q1379" s="23" t="s">
        <v>39</v>
      </c>
      <c r="R1379" s="23" t="s">
        <v>37</v>
      </c>
      <c r="S1379" s="33">
        <v>0</v>
      </c>
      <c r="T1379" s="13">
        <v>11.34</v>
      </c>
      <c r="U1379" s="13">
        <v>5.2164000000000001</v>
      </c>
      <c r="V1379" s="55">
        <f>IFERROR(Table12[[#This Row],[Profit]]/Table12[[#This Row],[Sales]],0)</f>
        <v>0.46</v>
      </c>
    </row>
    <row r="1380" spans="1:22" x14ac:dyDescent="0.2">
      <c r="A1380">
        <v>1379</v>
      </c>
      <c r="B1380" t="s">
        <v>4376</v>
      </c>
      <c r="C1380" s="1">
        <v>41943</v>
      </c>
      <c r="D1380" s="22">
        <f>MONTH(Table12[[#This Row],[Order Date]])</f>
        <v>10</v>
      </c>
      <c r="E1380" t="s">
        <v>4378</v>
      </c>
      <c r="F1380" t="s">
        <v>4379</v>
      </c>
      <c r="G1380" s="23" t="s">
        <v>41</v>
      </c>
      <c r="H1380" s="23" t="s">
        <v>53</v>
      </c>
      <c r="I1380" t="s">
        <v>455</v>
      </c>
      <c r="J1380" s="23" t="s">
        <v>36</v>
      </c>
      <c r="K1380" s="22">
        <v>5</v>
      </c>
      <c r="L1380" s="1">
        <v>41947</v>
      </c>
      <c r="M1380" s="22">
        <f>Table12[[#This Row],[Ship Date]]-Table12[[#This Row],[Order Date]]</f>
        <v>4</v>
      </c>
      <c r="N1380" s="23" t="s">
        <v>45</v>
      </c>
      <c r="O1380" s="23" t="s">
        <v>23</v>
      </c>
      <c r="P1380" s="23" t="s">
        <v>38</v>
      </c>
      <c r="Q1380" s="23" t="s">
        <v>39</v>
      </c>
      <c r="R1380" s="23" t="s">
        <v>37</v>
      </c>
      <c r="S1380" s="33">
        <v>0</v>
      </c>
      <c r="T1380" s="13">
        <v>80.3</v>
      </c>
      <c r="U1380" s="13">
        <v>20.878</v>
      </c>
      <c r="V1380" s="55">
        <f>IFERROR(Table12[[#This Row],[Profit]]/Table12[[#This Row],[Sales]],0)</f>
        <v>0.26</v>
      </c>
    </row>
    <row r="1381" spans="1:22" x14ac:dyDescent="0.2">
      <c r="A1381">
        <v>1380</v>
      </c>
      <c r="B1381" t="s">
        <v>4376</v>
      </c>
      <c r="C1381" s="1">
        <v>41943</v>
      </c>
      <c r="D1381" s="22">
        <f>MONTH(Table12[[#This Row],[Order Date]])</f>
        <v>10</v>
      </c>
      <c r="E1381" t="s">
        <v>4380</v>
      </c>
      <c r="F1381" t="s">
        <v>4381</v>
      </c>
      <c r="G1381" s="23" t="s">
        <v>41</v>
      </c>
      <c r="H1381" s="23" t="s">
        <v>68</v>
      </c>
      <c r="I1381" t="s">
        <v>455</v>
      </c>
      <c r="J1381" s="23" t="s">
        <v>36</v>
      </c>
      <c r="K1381" s="22">
        <v>2</v>
      </c>
      <c r="L1381" s="1">
        <v>41947</v>
      </c>
      <c r="M1381" s="22">
        <f>Table12[[#This Row],[Ship Date]]-Table12[[#This Row],[Order Date]]</f>
        <v>4</v>
      </c>
      <c r="N1381" s="23" t="s">
        <v>45</v>
      </c>
      <c r="O1381" s="23" t="s">
        <v>23</v>
      </c>
      <c r="P1381" s="23" t="s">
        <v>38</v>
      </c>
      <c r="Q1381" s="23" t="s">
        <v>39</v>
      </c>
      <c r="R1381" s="23" t="s">
        <v>37</v>
      </c>
      <c r="S1381" s="33">
        <v>0.2</v>
      </c>
      <c r="T1381" s="13">
        <v>15.968</v>
      </c>
      <c r="U1381" s="13">
        <v>5.3891999999999998</v>
      </c>
      <c r="V1381" s="55">
        <f>IFERROR(Table12[[#This Row],[Profit]]/Table12[[#This Row],[Sales]],0)</f>
        <v>0.33749999999999997</v>
      </c>
    </row>
    <row r="1382" spans="1:22" x14ac:dyDescent="0.2">
      <c r="A1382">
        <v>1381</v>
      </c>
      <c r="B1382" t="s">
        <v>4376</v>
      </c>
      <c r="C1382" s="1">
        <v>41943</v>
      </c>
      <c r="D1382" s="22">
        <f>MONTH(Table12[[#This Row],[Order Date]])</f>
        <v>10</v>
      </c>
      <c r="E1382" t="s">
        <v>4382</v>
      </c>
      <c r="F1382" t="s">
        <v>4383</v>
      </c>
      <c r="G1382" s="23" t="s">
        <v>41</v>
      </c>
      <c r="H1382" s="23" t="s">
        <v>82</v>
      </c>
      <c r="I1382" t="s">
        <v>455</v>
      </c>
      <c r="J1382" s="23" t="s">
        <v>36</v>
      </c>
      <c r="K1382" s="22">
        <v>13</v>
      </c>
      <c r="L1382" s="1">
        <v>41947</v>
      </c>
      <c r="M1382" s="22">
        <f>Table12[[#This Row],[Ship Date]]-Table12[[#This Row],[Order Date]]</f>
        <v>4</v>
      </c>
      <c r="N1382" s="23" t="s">
        <v>45</v>
      </c>
      <c r="O1382" s="23" t="s">
        <v>23</v>
      </c>
      <c r="P1382" s="23" t="s">
        <v>38</v>
      </c>
      <c r="Q1382" s="23" t="s">
        <v>39</v>
      </c>
      <c r="R1382" s="23" t="s">
        <v>37</v>
      </c>
      <c r="S1382" s="33">
        <v>0</v>
      </c>
      <c r="T1382" s="13">
        <v>64.739999999999995</v>
      </c>
      <c r="U1382" s="13">
        <v>30.427800000000001</v>
      </c>
      <c r="V1382" s="55">
        <f>IFERROR(Table12[[#This Row],[Profit]]/Table12[[#This Row],[Sales]],0)</f>
        <v>0.47000000000000008</v>
      </c>
    </row>
    <row r="1383" spans="1:22" x14ac:dyDescent="0.2">
      <c r="A1383">
        <v>1382</v>
      </c>
      <c r="B1383" t="s">
        <v>4376</v>
      </c>
      <c r="C1383" s="1">
        <v>41943</v>
      </c>
      <c r="D1383" s="22">
        <f>MONTH(Table12[[#This Row],[Order Date]])</f>
        <v>10</v>
      </c>
      <c r="E1383" t="s">
        <v>4384</v>
      </c>
      <c r="F1383" t="s">
        <v>4385</v>
      </c>
      <c r="G1383" s="23" t="s">
        <v>41</v>
      </c>
      <c r="H1383" s="23" t="s">
        <v>68</v>
      </c>
      <c r="I1383" t="s">
        <v>455</v>
      </c>
      <c r="J1383" s="23" t="s">
        <v>36</v>
      </c>
      <c r="K1383" s="22">
        <v>3</v>
      </c>
      <c r="L1383" s="1">
        <v>41947</v>
      </c>
      <c r="M1383" s="22">
        <f>Table12[[#This Row],[Ship Date]]-Table12[[#This Row],[Order Date]]</f>
        <v>4</v>
      </c>
      <c r="N1383" s="23" t="s">
        <v>45</v>
      </c>
      <c r="O1383" s="23" t="s">
        <v>23</v>
      </c>
      <c r="P1383" s="23" t="s">
        <v>38</v>
      </c>
      <c r="Q1383" s="23" t="s">
        <v>39</v>
      </c>
      <c r="R1383" s="23" t="s">
        <v>37</v>
      </c>
      <c r="S1383" s="33">
        <v>0.2</v>
      </c>
      <c r="T1383" s="13">
        <v>19.295999999999999</v>
      </c>
      <c r="U1383" s="13">
        <v>6.03</v>
      </c>
      <c r="V1383" s="55">
        <f>IFERROR(Table12[[#This Row],[Profit]]/Table12[[#This Row],[Sales]],0)</f>
        <v>0.3125</v>
      </c>
    </row>
    <row r="1384" spans="1:22" x14ac:dyDescent="0.2">
      <c r="A1384">
        <v>1383</v>
      </c>
      <c r="B1384" t="s">
        <v>4376</v>
      </c>
      <c r="C1384" s="1">
        <v>41943</v>
      </c>
      <c r="D1384" s="22">
        <f>MONTH(Table12[[#This Row],[Order Date]])</f>
        <v>10</v>
      </c>
      <c r="E1384" t="s">
        <v>1835</v>
      </c>
      <c r="F1384" t="s">
        <v>1836</v>
      </c>
      <c r="G1384" s="23" t="s">
        <v>41</v>
      </c>
      <c r="H1384" s="23" t="s">
        <v>53</v>
      </c>
      <c r="I1384" t="s">
        <v>455</v>
      </c>
      <c r="J1384" s="23" t="s">
        <v>36</v>
      </c>
      <c r="K1384" s="22">
        <v>4</v>
      </c>
      <c r="L1384" s="1">
        <v>41947</v>
      </c>
      <c r="M1384" s="22">
        <f>Table12[[#This Row],[Ship Date]]-Table12[[#This Row],[Order Date]]</f>
        <v>4</v>
      </c>
      <c r="N1384" s="23" t="s">
        <v>45</v>
      </c>
      <c r="O1384" s="23" t="s">
        <v>23</v>
      </c>
      <c r="P1384" s="23" t="s">
        <v>38</v>
      </c>
      <c r="Q1384" s="23" t="s">
        <v>39</v>
      </c>
      <c r="R1384" s="23" t="s">
        <v>37</v>
      </c>
      <c r="S1384" s="33">
        <v>0</v>
      </c>
      <c r="T1384" s="13">
        <v>405.64</v>
      </c>
      <c r="U1384" s="13">
        <v>12.1692</v>
      </c>
      <c r="V1384" s="55">
        <f>IFERROR(Table12[[#This Row],[Profit]]/Table12[[#This Row],[Sales]],0)</f>
        <v>3.0000000000000002E-2</v>
      </c>
    </row>
    <row r="1385" spans="1:22" x14ac:dyDescent="0.2">
      <c r="A1385">
        <v>1384</v>
      </c>
      <c r="B1385" t="s">
        <v>4376</v>
      </c>
      <c r="C1385" s="1">
        <v>41943</v>
      </c>
      <c r="D1385" s="22">
        <f>MONTH(Table12[[#This Row],[Order Date]])</f>
        <v>10</v>
      </c>
      <c r="E1385" t="s">
        <v>4368</v>
      </c>
      <c r="F1385" t="s">
        <v>4369</v>
      </c>
      <c r="G1385" s="23" t="s">
        <v>28</v>
      </c>
      <c r="H1385" s="23" t="s">
        <v>32</v>
      </c>
      <c r="I1385" t="s">
        <v>455</v>
      </c>
      <c r="J1385" s="23" t="s">
        <v>36</v>
      </c>
      <c r="K1385" s="22">
        <v>3</v>
      </c>
      <c r="L1385" s="1">
        <v>41947</v>
      </c>
      <c r="M1385" s="22">
        <f>Table12[[#This Row],[Ship Date]]-Table12[[#This Row],[Order Date]]</f>
        <v>4</v>
      </c>
      <c r="N1385" s="23" t="s">
        <v>45</v>
      </c>
      <c r="O1385" s="23" t="s">
        <v>23</v>
      </c>
      <c r="P1385" s="23" t="s">
        <v>38</v>
      </c>
      <c r="Q1385" s="23" t="s">
        <v>39</v>
      </c>
      <c r="R1385" s="23" t="s">
        <v>37</v>
      </c>
      <c r="S1385" s="33">
        <v>0.2</v>
      </c>
      <c r="T1385" s="13">
        <v>146.352</v>
      </c>
      <c r="U1385" s="13">
        <v>-9.1470000000000002</v>
      </c>
      <c r="V1385" s="55">
        <f>IFERROR(Table12[[#This Row],[Profit]]/Table12[[#This Row],[Sales]],0)</f>
        <v>-6.25E-2</v>
      </c>
    </row>
    <row r="1386" spans="1:22" x14ac:dyDescent="0.2">
      <c r="A1386">
        <v>1385</v>
      </c>
      <c r="B1386" t="s">
        <v>4376</v>
      </c>
      <c r="C1386" s="1">
        <v>41943</v>
      </c>
      <c r="D1386" s="22">
        <f>MONTH(Table12[[#This Row],[Order Date]])</f>
        <v>10</v>
      </c>
      <c r="E1386" t="s">
        <v>3988</v>
      </c>
      <c r="F1386" t="s">
        <v>3989</v>
      </c>
      <c r="G1386" s="23" t="s">
        <v>64</v>
      </c>
      <c r="H1386" s="23" t="s">
        <v>144</v>
      </c>
      <c r="I1386" t="s">
        <v>455</v>
      </c>
      <c r="J1386" s="23" t="s">
        <v>36</v>
      </c>
      <c r="K1386" s="22">
        <v>9</v>
      </c>
      <c r="L1386" s="1">
        <v>41947</v>
      </c>
      <c r="M1386" s="22">
        <f>Table12[[#This Row],[Ship Date]]-Table12[[#This Row],[Order Date]]</f>
        <v>4</v>
      </c>
      <c r="N1386" s="23" t="s">
        <v>45</v>
      </c>
      <c r="O1386" s="23" t="s">
        <v>23</v>
      </c>
      <c r="P1386" s="23" t="s">
        <v>38</v>
      </c>
      <c r="Q1386" s="23" t="s">
        <v>39</v>
      </c>
      <c r="R1386" s="23" t="s">
        <v>37</v>
      </c>
      <c r="S1386" s="33">
        <v>0</v>
      </c>
      <c r="T1386" s="13">
        <v>251.91</v>
      </c>
      <c r="U1386" s="13">
        <v>47.862900000000003</v>
      </c>
      <c r="V1386" s="55">
        <f>IFERROR(Table12[[#This Row],[Profit]]/Table12[[#This Row],[Sales]],0)</f>
        <v>0.19</v>
      </c>
    </row>
    <row r="1387" spans="1:22" x14ac:dyDescent="0.2">
      <c r="A1387">
        <v>1386</v>
      </c>
      <c r="B1387" t="s">
        <v>4376</v>
      </c>
      <c r="C1387" s="1">
        <v>41943</v>
      </c>
      <c r="D1387" s="22">
        <f>MONTH(Table12[[#This Row],[Order Date]])</f>
        <v>10</v>
      </c>
      <c r="E1387" t="s">
        <v>3574</v>
      </c>
      <c r="F1387" t="s">
        <v>3575</v>
      </c>
      <c r="G1387" s="23" t="s">
        <v>41</v>
      </c>
      <c r="H1387" s="23" t="s">
        <v>61</v>
      </c>
      <c r="I1387" t="s">
        <v>455</v>
      </c>
      <c r="J1387" s="23" t="s">
        <v>36</v>
      </c>
      <c r="K1387" s="22">
        <v>3</v>
      </c>
      <c r="L1387" s="1">
        <v>41947</v>
      </c>
      <c r="M1387" s="22">
        <f>Table12[[#This Row],[Ship Date]]-Table12[[#This Row],[Order Date]]</f>
        <v>4</v>
      </c>
      <c r="N1387" s="23" t="s">
        <v>45</v>
      </c>
      <c r="O1387" s="23" t="s">
        <v>23</v>
      </c>
      <c r="P1387" s="23" t="s">
        <v>38</v>
      </c>
      <c r="Q1387" s="23" t="s">
        <v>39</v>
      </c>
      <c r="R1387" s="23" t="s">
        <v>37</v>
      </c>
      <c r="S1387" s="33">
        <v>0</v>
      </c>
      <c r="T1387" s="13">
        <v>12.39</v>
      </c>
      <c r="U1387" s="13">
        <v>3.7170000000000001</v>
      </c>
      <c r="V1387" s="55">
        <f>IFERROR(Table12[[#This Row],[Profit]]/Table12[[#This Row],[Sales]],0)</f>
        <v>0.3</v>
      </c>
    </row>
    <row r="1388" spans="1:22" x14ac:dyDescent="0.2">
      <c r="A1388">
        <v>1387</v>
      </c>
      <c r="B1388" t="s">
        <v>6572</v>
      </c>
      <c r="C1388" s="1">
        <v>41943</v>
      </c>
      <c r="D1388" s="22">
        <f>MONTH(Table12[[#This Row],[Order Date]])</f>
        <v>10</v>
      </c>
      <c r="E1388" t="s">
        <v>161</v>
      </c>
      <c r="F1388" t="s">
        <v>162</v>
      </c>
      <c r="G1388" s="23" t="s">
        <v>41</v>
      </c>
      <c r="H1388" s="23" t="s">
        <v>61</v>
      </c>
      <c r="I1388" t="s">
        <v>4337</v>
      </c>
      <c r="J1388" s="23" t="s">
        <v>22</v>
      </c>
      <c r="K1388" s="22">
        <v>5</v>
      </c>
      <c r="L1388" s="1">
        <v>41945</v>
      </c>
      <c r="M1388" s="22">
        <f>Table12[[#This Row],[Ship Date]]-Table12[[#This Row],[Order Date]]</f>
        <v>2</v>
      </c>
      <c r="N1388" s="23" t="s">
        <v>20</v>
      </c>
      <c r="O1388" s="23" t="s">
        <v>23</v>
      </c>
      <c r="P1388" s="23" t="s">
        <v>1235</v>
      </c>
      <c r="Q1388" s="23" t="s">
        <v>133</v>
      </c>
      <c r="R1388" s="23" t="s">
        <v>6573</v>
      </c>
      <c r="S1388" s="33">
        <v>0</v>
      </c>
      <c r="T1388" s="13">
        <v>49.25</v>
      </c>
      <c r="U1388" s="13">
        <v>18.715</v>
      </c>
      <c r="V1388" s="55">
        <f>IFERROR(Table12[[#This Row],[Profit]]/Table12[[#This Row],[Sales]],0)</f>
        <v>0.38</v>
      </c>
    </row>
    <row r="1389" spans="1:22" x14ac:dyDescent="0.2">
      <c r="A1389">
        <v>1388</v>
      </c>
      <c r="B1389" t="s">
        <v>6572</v>
      </c>
      <c r="C1389" s="1">
        <v>41943</v>
      </c>
      <c r="D1389" s="22">
        <f>MONTH(Table12[[#This Row],[Order Date]])</f>
        <v>10</v>
      </c>
      <c r="E1389" t="s">
        <v>2501</v>
      </c>
      <c r="F1389" t="s">
        <v>2502</v>
      </c>
      <c r="G1389" s="23" t="s">
        <v>41</v>
      </c>
      <c r="H1389" s="23" t="s">
        <v>82</v>
      </c>
      <c r="I1389" t="s">
        <v>4337</v>
      </c>
      <c r="J1389" s="23" t="s">
        <v>22</v>
      </c>
      <c r="K1389" s="22">
        <v>2</v>
      </c>
      <c r="L1389" s="1">
        <v>41945</v>
      </c>
      <c r="M1389" s="22">
        <f>Table12[[#This Row],[Ship Date]]-Table12[[#This Row],[Order Date]]</f>
        <v>2</v>
      </c>
      <c r="N1389" s="23" t="s">
        <v>20</v>
      </c>
      <c r="O1389" s="23" t="s">
        <v>23</v>
      </c>
      <c r="P1389" s="23" t="s">
        <v>1235</v>
      </c>
      <c r="Q1389" s="23" t="s">
        <v>133</v>
      </c>
      <c r="R1389" s="23" t="s">
        <v>6573</v>
      </c>
      <c r="S1389" s="33">
        <v>0</v>
      </c>
      <c r="T1389" s="13">
        <v>10.16</v>
      </c>
      <c r="U1389" s="13">
        <v>4.7751999999999999</v>
      </c>
      <c r="V1389" s="55">
        <f>IFERROR(Table12[[#This Row],[Profit]]/Table12[[#This Row],[Sales]],0)</f>
        <v>0.47</v>
      </c>
    </row>
    <row r="1390" spans="1:22" x14ac:dyDescent="0.2">
      <c r="A1390">
        <v>1389</v>
      </c>
      <c r="B1390" t="s">
        <v>6572</v>
      </c>
      <c r="C1390" s="1">
        <v>41943</v>
      </c>
      <c r="D1390" s="22">
        <f>MONTH(Table12[[#This Row],[Order Date]])</f>
        <v>10</v>
      </c>
      <c r="E1390" t="s">
        <v>4489</v>
      </c>
      <c r="F1390" t="s">
        <v>4490</v>
      </c>
      <c r="G1390" s="23" t="s">
        <v>28</v>
      </c>
      <c r="H1390" s="23" t="s">
        <v>58</v>
      </c>
      <c r="I1390" t="s">
        <v>4337</v>
      </c>
      <c r="J1390" s="23" t="s">
        <v>22</v>
      </c>
      <c r="K1390" s="22">
        <v>2</v>
      </c>
      <c r="L1390" s="1">
        <v>41945</v>
      </c>
      <c r="M1390" s="22">
        <f>Table12[[#This Row],[Ship Date]]-Table12[[#This Row],[Order Date]]</f>
        <v>2</v>
      </c>
      <c r="N1390" s="23" t="s">
        <v>20</v>
      </c>
      <c r="O1390" s="23" t="s">
        <v>23</v>
      </c>
      <c r="P1390" s="23" t="s">
        <v>1235</v>
      </c>
      <c r="Q1390" s="23" t="s">
        <v>133</v>
      </c>
      <c r="R1390" s="23" t="s">
        <v>6573</v>
      </c>
      <c r="S1390" s="33">
        <v>0</v>
      </c>
      <c r="T1390" s="13">
        <v>14.76</v>
      </c>
      <c r="U1390" s="13">
        <v>4.2804000000000002</v>
      </c>
      <c r="V1390" s="55">
        <f>IFERROR(Table12[[#This Row],[Profit]]/Table12[[#This Row],[Sales]],0)</f>
        <v>0.29000000000000004</v>
      </c>
    </row>
    <row r="1391" spans="1:22" x14ac:dyDescent="0.2">
      <c r="A1391">
        <v>1390</v>
      </c>
      <c r="B1391" t="s">
        <v>6572</v>
      </c>
      <c r="C1391" s="1">
        <v>41943</v>
      </c>
      <c r="D1391" s="22">
        <f>MONTH(Table12[[#This Row],[Order Date]])</f>
        <v>10</v>
      </c>
      <c r="E1391" t="s">
        <v>2835</v>
      </c>
      <c r="F1391" t="s">
        <v>2836</v>
      </c>
      <c r="G1391" s="23" t="s">
        <v>41</v>
      </c>
      <c r="H1391" s="23" t="s">
        <v>68</v>
      </c>
      <c r="I1391" t="s">
        <v>4337</v>
      </c>
      <c r="J1391" s="23" t="s">
        <v>22</v>
      </c>
      <c r="K1391" s="22">
        <v>2</v>
      </c>
      <c r="L1391" s="1">
        <v>41945</v>
      </c>
      <c r="M1391" s="22">
        <f>Table12[[#This Row],[Ship Date]]-Table12[[#This Row],[Order Date]]</f>
        <v>2</v>
      </c>
      <c r="N1391" s="23" t="s">
        <v>20</v>
      </c>
      <c r="O1391" s="23" t="s">
        <v>23</v>
      </c>
      <c r="P1391" s="23" t="s">
        <v>1235</v>
      </c>
      <c r="Q1391" s="23" t="s">
        <v>133</v>
      </c>
      <c r="R1391" s="23" t="s">
        <v>6573</v>
      </c>
      <c r="S1391" s="33">
        <v>0</v>
      </c>
      <c r="T1391" s="13">
        <v>34.08</v>
      </c>
      <c r="U1391" s="13">
        <v>15.6768</v>
      </c>
      <c r="V1391" s="55">
        <f>IFERROR(Table12[[#This Row],[Profit]]/Table12[[#This Row],[Sales]],0)</f>
        <v>0.46</v>
      </c>
    </row>
    <row r="1392" spans="1:22" x14ac:dyDescent="0.2">
      <c r="A1392">
        <v>1391</v>
      </c>
      <c r="B1392" t="s">
        <v>6572</v>
      </c>
      <c r="C1392" s="1">
        <v>41943</v>
      </c>
      <c r="D1392" s="22">
        <f>MONTH(Table12[[#This Row],[Order Date]])</f>
        <v>10</v>
      </c>
      <c r="E1392" t="s">
        <v>1136</v>
      </c>
      <c r="F1392" t="s">
        <v>1137</v>
      </c>
      <c r="G1392" s="23" t="s">
        <v>28</v>
      </c>
      <c r="H1392" s="23" t="s">
        <v>58</v>
      </c>
      <c r="I1392" t="s">
        <v>4337</v>
      </c>
      <c r="J1392" s="23" t="s">
        <v>22</v>
      </c>
      <c r="K1392" s="22">
        <v>3</v>
      </c>
      <c r="L1392" s="1">
        <v>41945</v>
      </c>
      <c r="M1392" s="22">
        <f>Table12[[#This Row],[Ship Date]]-Table12[[#This Row],[Order Date]]</f>
        <v>2</v>
      </c>
      <c r="N1392" s="23" t="s">
        <v>20</v>
      </c>
      <c r="O1392" s="23" t="s">
        <v>23</v>
      </c>
      <c r="P1392" s="23" t="s">
        <v>1235</v>
      </c>
      <c r="Q1392" s="23" t="s">
        <v>133</v>
      </c>
      <c r="R1392" s="23" t="s">
        <v>6573</v>
      </c>
      <c r="S1392" s="33">
        <v>0</v>
      </c>
      <c r="T1392" s="13">
        <v>17.670000000000002</v>
      </c>
      <c r="U1392" s="13">
        <v>7.7747999999999999</v>
      </c>
      <c r="V1392" s="55">
        <f>IFERROR(Table12[[#This Row],[Profit]]/Table12[[#This Row],[Sales]],0)</f>
        <v>0.43999999999999995</v>
      </c>
    </row>
    <row r="1393" spans="1:22" x14ac:dyDescent="0.2">
      <c r="A1393">
        <v>1392</v>
      </c>
      <c r="B1393" t="s">
        <v>6572</v>
      </c>
      <c r="C1393" s="1">
        <v>41943</v>
      </c>
      <c r="D1393" s="22">
        <f>MONTH(Table12[[#This Row],[Order Date]])</f>
        <v>10</v>
      </c>
      <c r="E1393" t="s">
        <v>5574</v>
      </c>
      <c r="F1393" t="s">
        <v>5575</v>
      </c>
      <c r="G1393" s="23" t="s">
        <v>28</v>
      </c>
      <c r="H1393" s="23" t="s">
        <v>32</v>
      </c>
      <c r="I1393" t="s">
        <v>4337</v>
      </c>
      <c r="J1393" s="23" t="s">
        <v>22</v>
      </c>
      <c r="K1393" s="22">
        <v>5</v>
      </c>
      <c r="L1393" s="1">
        <v>41945</v>
      </c>
      <c r="M1393" s="22">
        <f>Table12[[#This Row],[Ship Date]]-Table12[[#This Row],[Order Date]]</f>
        <v>2</v>
      </c>
      <c r="N1393" s="23" t="s">
        <v>20</v>
      </c>
      <c r="O1393" s="23" t="s">
        <v>23</v>
      </c>
      <c r="P1393" s="23" t="s">
        <v>1235</v>
      </c>
      <c r="Q1393" s="23" t="s">
        <v>133</v>
      </c>
      <c r="R1393" s="23" t="s">
        <v>6573</v>
      </c>
      <c r="S1393" s="33">
        <v>0</v>
      </c>
      <c r="T1393" s="13">
        <v>1604.9</v>
      </c>
      <c r="U1393" s="13">
        <v>481.47</v>
      </c>
      <c r="V1393" s="55">
        <f>IFERROR(Table12[[#This Row],[Profit]]/Table12[[#This Row],[Sales]],0)</f>
        <v>0.3</v>
      </c>
    </row>
    <row r="1394" spans="1:22" x14ac:dyDescent="0.2">
      <c r="A1394">
        <v>1393</v>
      </c>
      <c r="B1394" t="s">
        <v>6572</v>
      </c>
      <c r="C1394" s="1">
        <v>41943</v>
      </c>
      <c r="D1394" s="22">
        <f>MONTH(Table12[[#This Row],[Order Date]])</f>
        <v>10</v>
      </c>
      <c r="E1394" t="s">
        <v>4495</v>
      </c>
      <c r="F1394" t="s">
        <v>4496</v>
      </c>
      <c r="G1394" s="23" t="s">
        <v>28</v>
      </c>
      <c r="H1394" s="23" t="s">
        <v>50</v>
      </c>
      <c r="I1394" t="s">
        <v>4337</v>
      </c>
      <c r="J1394" s="23" t="s">
        <v>22</v>
      </c>
      <c r="K1394" s="22">
        <v>1</v>
      </c>
      <c r="L1394" s="1">
        <v>41945</v>
      </c>
      <c r="M1394" s="22">
        <f>Table12[[#This Row],[Ship Date]]-Table12[[#This Row],[Order Date]]</f>
        <v>2</v>
      </c>
      <c r="N1394" s="23" t="s">
        <v>20</v>
      </c>
      <c r="O1394" s="23" t="s">
        <v>23</v>
      </c>
      <c r="P1394" s="23" t="s">
        <v>1235</v>
      </c>
      <c r="Q1394" s="23" t="s">
        <v>133</v>
      </c>
      <c r="R1394" s="23" t="s">
        <v>6573</v>
      </c>
      <c r="S1394" s="33">
        <v>0.3</v>
      </c>
      <c r="T1394" s="13">
        <v>385.68599999999998</v>
      </c>
      <c r="U1394" s="13">
        <v>-60.607799999999997</v>
      </c>
      <c r="V1394" s="55">
        <f>IFERROR(Table12[[#This Row],[Profit]]/Table12[[#This Row],[Sales]],0)</f>
        <v>-0.15714285714285714</v>
      </c>
    </row>
    <row r="1395" spans="1:22" x14ac:dyDescent="0.2">
      <c r="A1395">
        <v>1394</v>
      </c>
      <c r="B1395" t="s">
        <v>7017</v>
      </c>
      <c r="C1395" s="1">
        <v>41943</v>
      </c>
      <c r="D1395" s="22">
        <f>MONTH(Table12[[#This Row],[Order Date]])</f>
        <v>10</v>
      </c>
      <c r="E1395" t="s">
        <v>184</v>
      </c>
      <c r="F1395" t="s">
        <v>185</v>
      </c>
      <c r="G1395" s="23" t="s">
        <v>64</v>
      </c>
      <c r="H1395" s="23" t="s">
        <v>65</v>
      </c>
      <c r="I1395" t="s">
        <v>4173</v>
      </c>
      <c r="J1395" s="23" t="s">
        <v>22</v>
      </c>
      <c r="K1395" s="22">
        <v>8</v>
      </c>
      <c r="L1395" s="1">
        <v>41946</v>
      </c>
      <c r="M1395" s="22">
        <f>Table12[[#This Row],[Ship Date]]-Table12[[#This Row],[Order Date]]</f>
        <v>3</v>
      </c>
      <c r="N1395" s="23" t="s">
        <v>20</v>
      </c>
      <c r="O1395" s="23" t="s">
        <v>23</v>
      </c>
      <c r="P1395" s="23" t="s">
        <v>277</v>
      </c>
      <c r="Q1395" s="23" t="s">
        <v>39</v>
      </c>
      <c r="R1395" s="23" t="s">
        <v>7018</v>
      </c>
      <c r="S1395" s="33">
        <v>0.2</v>
      </c>
      <c r="T1395" s="13">
        <v>742.33600000000001</v>
      </c>
      <c r="U1395" s="13">
        <v>83.512799999999999</v>
      </c>
      <c r="V1395" s="55">
        <f>IFERROR(Table12[[#This Row],[Profit]]/Table12[[#This Row],[Sales]],0)</f>
        <v>0.1125</v>
      </c>
    </row>
    <row r="1396" spans="1:22" x14ac:dyDescent="0.2">
      <c r="A1396">
        <v>1395</v>
      </c>
      <c r="B1396" t="s">
        <v>8234</v>
      </c>
      <c r="C1396" s="1">
        <v>41943</v>
      </c>
      <c r="D1396" s="22">
        <f>MONTH(Table12[[#This Row],[Order Date]])</f>
        <v>10</v>
      </c>
      <c r="E1396" t="s">
        <v>4389</v>
      </c>
      <c r="F1396" t="s">
        <v>4390</v>
      </c>
      <c r="G1396" s="23" t="s">
        <v>28</v>
      </c>
      <c r="H1396" s="23" t="s">
        <v>50</v>
      </c>
      <c r="I1396" t="s">
        <v>2355</v>
      </c>
      <c r="J1396" s="23" t="s">
        <v>36</v>
      </c>
      <c r="K1396" s="22">
        <v>8</v>
      </c>
      <c r="L1396" s="1">
        <v>41945</v>
      </c>
      <c r="M1396" s="22">
        <f>Table12[[#This Row],[Ship Date]]-Table12[[#This Row],[Order Date]]</f>
        <v>2</v>
      </c>
      <c r="N1396" s="23" t="s">
        <v>20</v>
      </c>
      <c r="O1396" s="23" t="s">
        <v>23</v>
      </c>
      <c r="P1396" s="23" t="s">
        <v>441</v>
      </c>
      <c r="Q1396" s="23" t="s">
        <v>133</v>
      </c>
      <c r="R1396" s="23" t="s">
        <v>2315</v>
      </c>
      <c r="S1396" s="33">
        <v>0.4</v>
      </c>
      <c r="T1396" s="13">
        <v>1421.664</v>
      </c>
      <c r="U1396" s="13">
        <v>-734.52639999999997</v>
      </c>
      <c r="V1396" s="55">
        <f>IFERROR(Table12[[#This Row],[Profit]]/Table12[[#This Row],[Sales]],0)</f>
        <v>-0.51666666666666661</v>
      </c>
    </row>
    <row r="1397" spans="1:22" x14ac:dyDescent="0.2">
      <c r="A1397">
        <v>1396</v>
      </c>
      <c r="B1397" t="s">
        <v>9162</v>
      </c>
      <c r="C1397" s="1">
        <v>41943</v>
      </c>
      <c r="D1397" s="22">
        <f>MONTH(Table12[[#This Row],[Order Date]])</f>
        <v>10</v>
      </c>
      <c r="E1397" t="s">
        <v>1782</v>
      </c>
      <c r="F1397" t="s">
        <v>1783</v>
      </c>
      <c r="G1397" s="23" t="s">
        <v>64</v>
      </c>
      <c r="H1397" s="23" t="s">
        <v>65</v>
      </c>
      <c r="I1397" t="s">
        <v>5157</v>
      </c>
      <c r="J1397" s="23" t="s">
        <v>92</v>
      </c>
      <c r="K1397" s="22">
        <v>2</v>
      </c>
      <c r="L1397" s="1">
        <v>41945</v>
      </c>
      <c r="M1397" s="22">
        <f>Table12[[#This Row],[Ship Date]]-Table12[[#This Row],[Order Date]]</f>
        <v>2</v>
      </c>
      <c r="N1397" s="23" t="s">
        <v>20</v>
      </c>
      <c r="O1397" s="23" t="s">
        <v>23</v>
      </c>
      <c r="P1397" s="23" t="s">
        <v>38</v>
      </c>
      <c r="Q1397" s="23" t="s">
        <v>39</v>
      </c>
      <c r="R1397" s="23" t="s">
        <v>114</v>
      </c>
      <c r="S1397" s="33">
        <v>0.2</v>
      </c>
      <c r="T1397" s="13">
        <v>73.584000000000003</v>
      </c>
      <c r="U1397" s="13">
        <v>8.2782</v>
      </c>
      <c r="V1397" s="55">
        <f>IFERROR(Table12[[#This Row],[Profit]]/Table12[[#This Row],[Sales]],0)</f>
        <v>0.11249999999999999</v>
      </c>
    </row>
    <row r="1398" spans="1:22" x14ac:dyDescent="0.2">
      <c r="A1398">
        <v>1397</v>
      </c>
      <c r="B1398" t="s">
        <v>2220</v>
      </c>
      <c r="C1398" s="1">
        <v>41944</v>
      </c>
      <c r="D1398" s="22">
        <f>MONTH(Table12[[#This Row],[Order Date]])</f>
        <v>11</v>
      </c>
      <c r="E1398" t="s">
        <v>2221</v>
      </c>
      <c r="F1398" t="s">
        <v>2222</v>
      </c>
      <c r="G1398" s="23" t="s">
        <v>41</v>
      </c>
      <c r="H1398" s="23" t="s">
        <v>61</v>
      </c>
      <c r="I1398" t="s">
        <v>1176</v>
      </c>
      <c r="J1398" s="23" t="s">
        <v>22</v>
      </c>
      <c r="K1398" s="22">
        <v>3</v>
      </c>
      <c r="L1398" s="1">
        <v>41950</v>
      </c>
      <c r="M1398" s="22">
        <f>Table12[[#This Row],[Ship Date]]-Table12[[#This Row],[Order Date]]</f>
        <v>6</v>
      </c>
      <c r="N1398" s="23" t="s">
        <v>45</v>
      </c>
      <c r="O1398" s="23" t="s">
        <v>23</v>
      </c>
      <c r="P1398" s="23" t="s">
        <v>405</v>
      </c>
      <c r="Q1398" s="23" t="s">
        <v>39</v>
      </c>
      <c r="R1398" s="23" t="s">
        <v>711</v>
      </c>
      <c r="S1398" s="33">
        <v>0.2</v>
      </c>
      <c r="T1398" s="13">
        <v>43.176000000000002</v>
      </c>
      <c r="U1398" s="13">
        <v>4.3175999999999997</v>
      </c>
      <c r="V1398" s="55">
        <f>IFERROR(Table12[[#This Row],[Profit]]/Table12[[#This Row],[Sales]],0)</f>
        <v>9.9999999999999992E-2</v>
      </c>
    </row>
    <row r="1399" spans="1:22" x14ac:dyDescent="0.2">
      <c r="A1399">
        <v>1398</v>
      </c>
      <c r="B1399" t="s">
        <v>2220</v>
      </c>
      <c r="C1399" s="1">
        <v>41944</v>
      </c>
      <c r="D1399" s="22">
        <f>MONTH(Table12[[#This Row],[Order Date]])</f>
        <v>11</v>
      </c>
      <c r="E1399" t="s">
        <v>2223</v>
      </c>
      <c r="F1399" t="s">
        <v>2224</v>
      </c>
      <c r="G1399" s="23" t="s">
        <v>64</v>
      </c>
      <c r="H1399" s="23" t="s">
        <v>65</v>
      </c>
      <c r="I1399" t="s">
        <v>1176</v>
      </c>
      <c r="J1399" s="23" t="s">
        <v>22</v>
      </c>
      <c r="K1399" s="22">
        <v>4</v>
      </c>
      <c r="L1399" s="1">
        <v>41950</v>
      </c>
      <c r="M1399" s="22">
        <f>Table12[[#This Row],[Ship Date]]-Table12[[#This Row],[Order Date]]</f>
        <v>6</v>
      </c>
      <c r="N1399" s="23" t="s">
        <v>45</v>
      </c>
      <c r="O1399" s="23" t="s">
        <v>23</v>
      </c>
      <c r="P1399" s="23" t="s">
        <v>405</v>
      </c>
      <c r="Q1399" s="23" t="s">
        <v>39</v>
      </c>
      <c r="R1399" s="23" t="s">
        <v>711</v>
      </c>
      <c r="S1399" s="33">
        <v>0.2</v>
      </c>
      <c r="T1399" s="13">
        <v>1983.9680000000001</v>
      </c>
      <c r="U1399" s="13">
        <v>247.99600000000001</v>
      </c>
      <c r="V1399" s="55">
        <f>IFERROR(Table12[[#This Row],[Profit]]/Table12[[#This Row],[Sales]],0)</f>
        <v>0.125</v>
      </c>
    </row>
    <row r="1400" spans="1:22" x14ac:dyDescent="0.2">
      <c r="A1400">
        <v>1399</v>
      </c>
      <c r="B1400" t="s">
        <v>5351</v>
      </c>
      <c r="C1400" s="1">
        <v>41944</v>
      </c>
      <c r="D1400" s="22">
        <f>MONTH(Table12[[#This Row],[Order Date]])</f>
        <v>11</v>
      </c>
      <c r="E1400" t="s">
        <v>5352</v>
      </c>
      <c r="F1400" t="s">
        <v>5353</v>
      </c>
      <c r="G1400" s="23" t="s">
        <v>41</v>
      </c>
      <c r="H1400" s="23" t="s">
        <v>53</v>
      </c>
      <c r="I1400" t="s">
        <v>3293</v>
      </c>
      <c r="J1400" s="23" t="s">
        <v>22</v>
      </c>
      <c r="K1400" s="22">
        <v>5</v>
      </c>
      <c r="L1400" s="1">
        <v>41948</v>
      </c>
      <c r="M1400" s="22">
        <f>Table12[[#This Row],[Ship Date]]-Table12[[#This Row],[Order Date]]</f>
        <v>4</v>
      </c>
      <c r="N1400" s="23" t="s">
        <v>45</v>
      </c>
      <c r="O1400" s="23" t="s">
        <v>23</v>
      </c>
      <c r="P1400" s="23" t="s">
        <v>374</v>
      </c>
      <c r="Q1400" s="23" t="s">
        <v>39</v>
      </c>
      <c r="R1400" s="23" t="s">
        <v>373</v>
      </c>
      <c r="S1400" s="33">
        <v>0.2</v>
      </c>
      <c r="T1400" s="13">
        <v>443.92</v>
      </c>
      <c r="U1400" s="13">
        <v>-94.332999999999998</v>
      </c>
      <c r="V1400" s="55">
        <f>IFERROR(Table12[[#This Row],[Profit]]/Table12[[#This Row],[Sales]],0)</f>
        <v>-0.21249999999999999</v>
      </c>
    </row>
    <row r="1401" spans="1:22" x14ac:dyDescent="0.2">
      <c r="A1401">
        <v>1400</v>
      </c>
      <c r="B1401" t="s">
        <v>5351</v>
      </c>
      <c r="C1401" s="1">
        <v>41944</v>
      </c>
      <c r="D1401" s="22">
        <f>MONTH(Table12[[#This Row],[Order Date]])</f>
        <v>11</v>
      </c>
      <c r="E1401" t="s">
        <v>5222</v>
      </c>
      <c r="F1401" t="s">
        <v>5223</v>
      </c>
      <c r="G1401" s="23" t="s">
        <v>64</v>
      </c>
      <c r="H1401" s="23" t="s">
        <v>65</v>
      </c>
      <c r="I1401" t="s">
        <v>3293</v>
      </c>
      <c r="J1401" s="23" t="s">
        <v>22</v>
      </c>
      <c r="K1401" s="22">
        <v>3</v>
      </c>
      <c r="L1401" s="1">
        <v>41948</v>
      </c>
      <c r="M1401" s="22">
        <f>Table12[[#This Row],[Ship Date]]-Table12[[#This Row],[Order Date]]</f>
        <v>4</v>
      </c>
      <c r="N1401" s="23" t="s">
        <v>45</v>
      </c>
      <c r="O1401" s="23" t="s">
        <v>23</v>
      </c>
      <c r="P1401" s="23" t="s">
        <v>374</v>
      </c>
      <c r="Q1401" s="23" t="s">
        <v>39</v>
      </c>
      <c r="R1401" s="23" t="s">
        <v>373</v>
      </c>
      <c r="S1401" s="33">
        <v>0.2</v>
      </c>
      <c r="T1401" s="13">
        <v>155.976</v>
      </c>
      <c r="U1401" s="13">
        <v>54.5916</v>
      </c>
      <c r="V1401" s="55">
        <f>IFERROR(Table12[[#This Row],[Profit]]/Table12[[#This Row],[Sales]],0)</f>
        <v>0.35</v>
      </c>
    </row>
    <row r="1402" spans="1:22" x14ac:dyDescent="0.2">
      <c r="A1402">
        <v>1401</v>
      </c>
      <c r="B1402" t="s">
        <v>6459</v>
      </c>
      <c r="C1402" s="1">
        <v>41944</v>
      </c>
      <c r="D1402" s="22">
        <f>MONTH(Table12[[#This Row],[Order Date]])</f>
        <v>11</v>
      </c>
      <c r="E1402" t="s">
        <v>3520</v>
      </c>
      <c r="F1402" t="s">
        <v>498</v>
      </c>
      <c r="G1402" s="23" t="s">
        <v>41</v>
      </c>
      <c r="H1402" s="23" t="s">
        <v>240</v>
      </c>
      <c r="I1402" t="s">
        <v>1330</v>
      </c>
      <c r="J1402" s="23" t="s">
        <v>36</v>
      </c>
      <c r="K1402" s="22">
        <v>5</v>
      </c>
      <c r="L1402" s="1">
        <v>41948</v>
      </c>
      <c r="M1402" s="22">
        <f>Table12[[#This Row],[Ship Date]]-Table12[[#This Row],[Order Date]]</f>
        <v>4</v>
      </c>
      <c r="N1402" s="23" t="s">
        <v>45</v>
      </c>
      <c r="O1402" s="23" t="s">
        <v>23</v>
      </c>
      <c r="P1402" s="23" t="s">
        <v>80</v>
      </c>
      <c r="Q1402" s="23" t="s">
        <v>26</v>
      </c>
      <c r="R1402" s="23" t="s">
        <v>414</v>
      </c>
      <c r="S1402" s="33">
        <v>0.2</v>
      </c>
      <c r="T1402" s="13">
        <v>7.52</v>
      </c>
      <c r="U1402" s="13">
        <v>1.41</v>
      </c>
      <c r="V1402" s="55">
        <f>IFERROR(Table12[[#This Row],[Profit]]/Table12[[#This Row],[Sales]],0)</f>
        <v>0.1875</v>
      </c>
    </row>
    <row r="1403" spans="1:22" x14ac:dyDescent="0.2">
      <c r="A1403">
        <v>1402</v>
      </c>
      <c r="B1403" t="s">
        <v>6459</v>
      </c>
      <c r="C1403" s="1">
        <v>41944</v>
      </c>
      <c r="D1403" s="22">
        <f>MONTH(Table12[[#This Row],[Order Date]])</f>
        <v>11</v>
      </c>
      <c r="E1403" t="s">
        <v>3485</v>
      </c>
      <c r="F1403" t="s">
        <v>3486</v>
      </c>
      <c r="G1403" s="23" t="s">
        <v>41</v>
      </c>
      <c r="H1403" s="23" t="s">
        <v>61</v>
      </c>
      <c r="I1403" t="s">
        <v>1330</v>
      </c>
      <c r="J1403" s="23" t="s">
        <v>36</v>
      </c>
      <c r="K1403" s="22">
        <v>3</v>
      </c>
      <c r="L1403" s="1">
        <v>41948</v>
      </c>
      <c r="M1403" s="22">
        <f>Table12[[#This Row],[Ship Date]]-Table12[[#This Row],[Order Date]]</f>
        <v>4</v>
      </c>
      <c r="N1403" s="23" t="s">
        <v>45</v>
      </c>
      <c r="O1403" s="23" t="s">
        <v>23</v>
      </c>
      <c r="P1403" s="23" t="s">
        <v>80</v>
      </c>
      <c r="Q1403" s="23" t="s">
        <v>26</v>
      </c>
      <c r="R1403" s="23" t="s">
        <v>414</v>
      </c>
      <c r="S1403" s="33">
        <v>0.2</v>
      </c>
      <c r="T1403" s="13">
        <v>10.272</v>
      </c>
      <c r="U1403" s="13">
        <v>0.89880000000000004</v>
      </c>
      <c r="V1403" s="55">
        <f>IFERROR(Table12[[#This Row],[Profit]]/Table12[[#This Row],[Sales]],0)</f>
        <v>8.7500000000000008E-2</v>
      </c>
    </row>
    <row r="1404" spans="1:22" x14ac:dyDescent="0.2">
      <c r="A1404">
        <v>1403</v>
      </c>
      <c r="B1404" t="s">
        <v>6459</v>
      </c>
      <c r="C1404" s="1">
        <v>41944</v>
      </c>
      <c r="D1404" s="22">
        <f>MONTH(Table12[[#This Row],[Order Date]])</f>
        <v>11</v>
      </c>
      <c r="E1404" t="s">
        <v>4033</v>
      </c>
      <c r="F1404" t="s">
        <v>4034</v>
      </c>
      <c r="G1404" s="23" t="s">
        <v>41</v>
      </c>
      <c r="H1404" s="23" t="s">
        <v>42</v>
      </c>
      <c r="I1404" t="s">
        <v>1330</v>
      </c>
      <c r="J1404" s="23" t="s">
        <v>36</v>
      </c>
      <c r="K1404" s="22">
        <v>12</v>
      </c>
      <c r="L1404" s="1">
        <v>41948</v>
      </c>
      <c r="M1404" s="22">
        <f>Table12[[#This Row],[Ship Date]]-Table12[[#This Row],[Order Date]]</f>
        <v>4</v>
      </c>
      <c r="N1404" s="23" t="s">
        <v>45</v>
      </c>
      <c r="O1404" s="23" t="s">
        <v>23</v>
      </c>
      <c r="P1404" s="23" t="s">
        <v>80</v>
      </c>
      <c r="Q1404" s="23" t="s">
        <v>26</v>
      </c>
      <c r="R1404" s="23" t="s">
        <v>414</v>
      </c>
      <c r="S1404" s="33">
        <v>0.2</v>
      </c>
      <c r="T1404" s="13">
        <v>47.808</v>
      </c>
      <c r="U1404" s="13">
        <v>15.537599999999999</v>
      </c>
      <c r="V1404" s="55">
        <f>IFERROR(Table12[[#This Row],[Profit]]/Table12[[#This Row],[Sales]],0)</f>
        <v>0.32500000000000001</v>
      </c>
    </row>
    <row r="1405" spans="1:22" x14ac:dyDescent="0.2">
      <c r="A1405">
        <v>1404</v>
      </c>
      <c r="B1405" t="s">
        <v>6459</v>
      </c>
      <c r="C1405" s="1">
        <v>41944</v>
      </c>
      <c r="D1405" s="22">
        <f>MONTH(Table12[[#This Row],[Order Date]])</f>
        <v>11</v>
      </c>
      <c r="E1405" t="s">
        <v>6460</v>
      </c>
      <c r="F1405" t="s">
        <v>6461</v>
      </c>
      <c r="G1405" s="23" t="s">
        <v>64</v>
      </c>
      <c r="H1405" s="23" t="s">
        <v>65</v>
      </c>
      <c r="I1405" t="s">
        <v>1330</v>
      </c>
      <c r="J1405" s="23" t="s">
        <v>36</v>
      </c>
      <c r="K1405" s="22">
        <v>9</v>
      </c>
      <c r="L1405" s="1">
        <v>41948</v>
      </c>
      <c r="M1405" s="22">
        <f>Table12[[#This Row],[Ship Date]]-Table12[[#This Row],[Order Date]]</f>
        <v>4</v>
      </c>
      <c r="N1405" s="23" t="s">
        <v>45</v>
      </c>
      <c r="O1405" s="23" t="s">
        <v>23</v>
      </c>
      <c r="P1405" s="23" t="s">
        <v>80</v>
      </c>
      <c r="Q1405" s="23" t="s">
        <v>26</v>
      </c>
      <c r="R1405" s="23" t="s">
        <v>414</v>
      </c>
      <c r="S1405" s="33">
        <v>0.2</v>
      </c>
      <c r="T1405" s="13">
        <v>978.84</v>
      </c>
      <c r="U1405" s="13">
        <v>110.1195</v>
      </c>
      <c r="V1405" s="55">
        <f>IFERROR(Table12[[#This Row],[Profit]]/Table12[[#This Row],[Sales]],0)</f>
        <v>0.1125</v>
      </c>
    </row>
    <row r="1406" spans="1:22" x14ac:dyDescent="0.2">
      <c r="A1406">
        <v>1405</v>
      </c>
      <c r="B1406" t="s">
        <v>6528</v>
      </c>
      <c r="C1406" s="1">
        <v>41944</v>
      </c>
      <c r="D1406" s="22">
        <f>MONTH(Table12[[#This Row],[Order Date]])</f>
        <v>11</v>
      </c>
      <c r="E1406" t="s">
        <v>4338</v>
      </c>
      <c r="F1406" t="s">
        <v>4339</v>
      </c>
      <c r="G1406" s="23" t="s">
        <v>41</v>
      </c>
      <c r="H1406" s="23" t="s">
        <v>82</v>
      </c>
      <c r="I1406" t="s">
        <v>3108</v>
      </c>
      <c r="J1406" s="23" t="s">
        <v>36</v>
      </c>
      <c r="K1406" s="22">
        <v>3</v>
      </c>
      <c r="L1406" s="1">
        <v>41951</v>
      </c>
      <c r="M1406" s="22">
        <f>Table12[[#This Row],[Ship Date]]-Table12[[#This Row],[Order Date]]</f>
        <v>7</v>
      </c>
      <c r="N1406" s="23" t="s">
        <v>45</v>
      </c>
      <c r="O1406" s="23" t="s">
        <v>23</v>
      </c>
      <c r="P1406" s="23" t="s">
        <v>189</v>
      </c>
      <c r="Q1406" s="23" t="s">
        <v>95</v>
      </c>
      <c r="R1406" s="23" t="s">
        <v>271</v>
      </c>
      <c r="S1406" s="33">
        <v>0.2</v>
      </c>
      <c r="T1406" s="13">
        <v>15.696</v>
      </c>
      <c r="U1406" s="13">
        <v>5.1012000000000004</v>
      </c>
      <c r="V1406" s="55">
        <f>IFERROR(Table12[[#This Row],[Profit]]/Table12[[#This Row],[Sales]],0)</f>
        <v>0.32500000000000001</v>
      </c>
    </row>
    <row r="1407" spans="1:22" x14ac:dyDescent="0.2">
      <c r="A1407">
        <v>1406</v>
      </c>
      <c r="B1407" t="s">
        <v>7058</v>
      </c>
      <c r="C1407" s="1">
        <v>41944</v>
      </c>
      <c r="D1407" s="22">
        <f>MONTH(Table12[[#This Row],[Order Date]])</f>
        <v>11</v>
      </c>
      <c r="E1407" t="s">
        <v>4095</v>
      </c>
      <c r="F1407" t="s">
        <v>4096</v>
      </c>
      <c r="G1407" s="23" t="s">
        <v>41</v>
      </c>
      <c r="H1407" s="23" t="s">
        <v>53</v>
      </c>
      <c r="I1407" t="s">
        <v>5934</v>
      </c>
      <c r="J1407" s="23" t="s">
        <v>36</v>
      </c>
      <c r="K1407" s="22">
        <v>2</v>
      </c>
      <c r="L1407" s="1">
        <v>41951</v>
      </c>
      <c r="M1407" s="22">
        <f>Table12[[#This Row],[Ship Date]]-Table12[[#This Row],[Order Date]]</f>
        <v>7</v>
      </c>
      <c r="N1407" s="23" t="s">
        <v>45</v>
      </c>
      <c r="O1407" s="23" t="s">
        <v>23</v>
      </c>
      <c r="P1407" s="23" t="s">
        <v>25</v>
      </c>
      <c r="Q1407" s="23" t="s">
        <v>26</v>
      </c>
      <c r="R1407" s="23" t="s">
        <v>1294</v>
      </c>
      <c r="S1407" s="33">
        <v>0</v>
      </c>
      <c r="T1407" s="13">
        <v>69.52</v>
      </c>
      <c r="U1407" s="13">
        <v>19.465599999999998</v>
      </c>
      <c r="V1407" s="55">
        <f>IFERROR(Table12[[#This Row],[Profit]]/Table12[[#This Row],[Sales]],0)</f>
        <v>0.27999999999999997</v>
      </c>
    </row>
    <row r="1408" spans="1:22" x14ac:dyDescent="0.2">
      <c r="A1408">
        <v>1407</v>
      </c>
      <c r="B1408" t="s">
        <v>7058</v>
      </c>
      <c r="C1408" s="1">
        <v>41944</v>
      </c>
      <c r="D1408" s="22">
        <f>MONTH(Table12[[#This Row],[Order Date]])</f>
        <v>11</v>
      </c>
      <c r="E1408" t="s">
        <v>2986</v>
      </c>
      <c r="F1408" t="s">
        <v>2987</v>
      </c>
      <c r="G1408" s="23" t="s">
        <v>41</v>
      </c>
      <c r="H1408" s="23" t="s">
        <v>61</v>
      </c>
      <c r="I1408" t="s">
        <v>5934</v>
      </c>
      <c r="J1408" s="23" t="s">
        <v>36</v>
      </c>
      <c r="K1408" s="22">
        <v>3</v>
      </c>
      <c r="L1408" s="1">
        <v>41951</v>
      </c>
      <c r="M1408" s="22">
        <f>Table12[[#This Row],[Ship Date]]-Table12[[#This Row],[Order Date]]</f>
        <v>7</v>
      </c>
      <c r="N1408" s="23" t="s">
        <v>45</v>
      </c>
      <c r="O1408" s="23" t="s">
        <v>23</v>
      </c>
      <c r="P1408" s="23" t="s">
        <v>25</v>
      </c>
      <c r="Q1408" s="23" t="s">
        <v>26</v>
      </c>
      <c r="R1408" s="23" t="s">
        <v>1294</v>
      </c>
      <c r="S1408" s="33">
        <v>0</v>
      </c>
      <c r="T1408" s="13">
        <v>5.64</v>
      </c>
      <c r="U1408" s="13">
        <v>1.6355999999999999</v>
      </c>
      <c r="V1408" s="55">
        <f>IFERROR(Table12[[#This Row],[Profit]]/Table12[[#This Row],[Sales]],0)</f>
        <v>0.28999999999999998</v>
      </c>
    </row>
    <row r="1409" spans="1:22" x14ac:dyDescent="0.2">
      <c r="A1409">
        <v>1408</v>
      </c>
      <c r="B1409" t="s">
        <v>7797</v>
      </c>
      <c r="C1409" s="1">
        <v>41944</v>
      </c>
      <c r="D1409" s="22">
        <f>MONTH(Table12[[#This Row],[Order Date]])</f>
        <v>11</v>
      </c>
      <c r="E1409" t="s">
        <v>7695</v>
      </c>
      <c r="F1409" t="s">
        <v>7696</v>
      </c>
      <c r="G1409" s="23" t="s">
        <v>41</v>
      </c>
      <c r="H1409" s="23" t="s">
        <v>42</v>
      </c>
      <c r="I1409" t="s">
        <v>3573</v>
      </c>
      <c r="J1409" s="23" t="s">
        <v>92</v>
      </c>
      <c r="K1409" s="22">
        <v>3</v>
      </c>
      <c r="L1409" s="1">
        <v>41951</v>
      </c>
      <c r="M1409" s="22">
        <f>Table12[[#This Row],[Ship Date]]-Table12[[#This Row],[Order Date]]</f>
        <v>7</v>
      </c>
      <c r="N1409" s="23" t="s">
        <v>45</v>
      </c>
      <c r="O1409" s="23" t="s">
        <v>23</v>
      </c>
      <c r="P1409" s="23" t="s">
        <v>38</v>
      </c>
      <c r="Q1409" s="23" t="s">
        <v>39</v>
      </c>
      <c r="R1409" s="23" t="s">
        <v>37</v>
      </c>
      <c r="S1409" s="33">
        <v>0</v>
      </c>
      <c r="T1409" s="13">
        <v>44.4</v>
      </c>
      <c r="U1409" s="13">
        <v>22.2</v>
      </c>
      <c r="V1409" s="55">
        <f>IFERROR(Table12[[#This Row],[Profit]]/Table12[[#This Row],[Sales]],0)</f>
        <v>0.5</v>
      </c>
    </row>
    <row r="1410" spans="1:22" x14ac:dyDescent="0.2">
      <c r="A1410">
        <v>1409</v>
      </c>
      <c r="B1410" t="s">
        <v>7797</v>
      </c>
      <c r="C1410" s="1">
        <v>41944</v>
      </c>
      <c r="D1410" s="22">
        <f>MONTH(Table12[[#This Row],[Order Date]])</f>
        <v>11</v>
      </c>
      <c r="E1410" t="s">
        <v>3930</v>
      </c>
      <c r="F1410" t="s">
        <v>167</v>
      </c>
      <c r="G1410" s="23" t="s">
        <v>41</v>
      </c>
      <c r="H1410" s="23" t="s">
        <v>82</v>
      </c>
      <c r="I1410" t="s">
        <v>3573</v>
      </c>
      <c r="J1410" s="23" t="s">
        <v>92</v>
      </c>
      <c r="K1410" s="22">
        <v>5</v>
      </c>
      <c r="L1410" s="1">
        <v>41951</v>
      </c>
      <c r="M1410" s="22">
        <f>Table12[[#This Row],[Ship Date]]-Table12[[#This Row],[Order Date]]</f>
        <v>7</v>
      </c>
      <c r="N1410" s="23" t="s">
        <v>45</v>
      </c>
      <c r="O1410" s="23" t="s">
        <v>23</v>
      </c>
      <c r="P1410" s="23" t="s">
        <v>38</v>
      </c>
      <c r="Q1410" s="23" t="s">
        <v>39</v>
      </c>
      <c r="R1410" s="23" t="s">
        <v>37</v>
      </c>
      <c r="S1410" s="33">
        <v>0</v>
      </c>
      <c r="T1410" s="13">
        <v>21.4</v>
      </c>
      <c r="U1410" s="13">
        <v>9.6300000000000008</v>
      </c>
      <c r="V1410" s="55">
        <f>IFERROR(Table12[[#This Row],[Profit]]/Table12[[#This Row],[Sales]],0)</f>
        <v>0.45000000000000007</v>
      </c>
    </row>
    <row r="1411" spans="1:22" x14ac:dyDescent="0.2">
      <c r="A1411">
        <v>1410</v>
      </c>
      <c r="B1411" t="s">
        <v>8756</v>
      </c>
      <c r="C1411" s="1">
        <v>41944</v>
      </c>
      <c r="D1411" s="22">
        <f>MONTH(Table12[[#This Row],[Order Date]])</f>
        <v>11</v>
      </c>
      <c r="E1411" t="s">
        <v>610</v>
      </c>
      <c r="F1411" t="s">
        <v>611</v>
      </c>
      <c r="G1411" s="23" t="s">
        <v>41</v>
      </c>
      <c r="H1411" s="23" t="s">
        <v>71</v>
      </c>
      <c r="I1411" t="s">
        <v>2556</v>
      </c>
      <c r="J1411" s="23" t="s">
        <v>22</v>
      </c>
      <c r="K1411" s="22">
        <v>3</v>
      </c>
      <c r="L1411" s="1">
        <v>41948</v>
      </c>
      <c r="M1411" s="22">
        <f>Table12[[#This Row],[Ship Date]]-Table12[[#This Row],[Order Date]]</f>
        <v>4</v>
      </c>
      <c r="N1411" s="23" t="s">
        <v>45</v>
      </c>
      <c r="O1411" s="23" t="s">
        <v>23</v>
      </c>
      <c r="P1411" s="23" t="s">
        <v>238</v>
      </c>
      <c r="Q1411" s="23" t="s">
        <v>133</v>
      </c>
      <c r="R1411" s="23" t="s">
        <v>1037</v>
      </c>
      <c r="S1411" s="33">
        <v>0</v>
      </c>
      <c r="T1411" s="13">
        <v>533.94000000000005</v>
      </c>
      <c r="U1411" s="13">
        <v>154.8426</v>
      </c>
      <c r="V1411" s="55">
        <f>IFERROR(Table12[[#This Row],[Profit]]/Table12[[#This Row],[Sales]],0)</f>
        <v>0.28999999999999998</v>
      </c>
    </row>
    <row r="1412" spans="1:22" x14ac:dyDescent="0.2">
      <c r="A1412">
        <v>1411</v>
      </c>
      <c r="B1412" t="s">
        <v>8756</v>
      </c>
      <c r="C1412" s="1">
        <v>41944</v>
      </c>
      <c r="D1412" s="22">
        <f>MONTH(Table12[[#This Row],[Order Date]])</f>
        <v>11</v>
      </c>
      <c r="E1412" t="s">
        <v>3333</v>
      </c>
      <c r="F1412" t="s">
        <v>3334</v>
      </c>
      <c r="G1412" s="23" t="s">
        <v>41</v>
      </c>
      <c r="H1412" s="23" t="s">
        <v>82</v>
      </c>
      <c r="I1412" t="s">
        <v>2556</v>
      </c>
      <c r="J1412" s="23" t="s">
        <v>22</v>
      </c>
      <c r="K1412" s="22">
        <v>3</v>
      </c>
      <c r="L1412" s="1">
        <v>41948</v>
      </c>
      <c r="M1412" s="22">
        <f>Table12[[#This Row],[Ship Date]]-Table12[[#This Row],[Order Date]]</f>
        <v>4</v>
      </c>
      <c r="N1412" s="23" t="s">
        <v>45</v>
      </c>
      <c r="O1412" s="23" t="s">
        <v>23</v>
      </c>
      <c r="P1412" s="23" t="s">
        <v>238</v>
      </c>
      <c r="Q1412" s="23" t="s">
        <v>133</v>
      </c>
      <c r="R1412" s="23" t="s">
        <v>1037</v>
      </c>
      <c r="S1412" s="33">
        <v>0</v>
      </c>
      <c r="T1412" s="13">
        <v>167.94</v>
      </c>
      <c r="U1412" s="13">
        <v>82.290599999999998</v>
      </c>
      <c r="V1412" s="55">
        <f>IFERROR(Table12[[#This Row],[Profit]]/Table12[[#This Row],[Sales]],0)</f>
        <v>0.49</v>
      </c>
    </row>
    <row r="1413" spans="1:22" x14ac:dyDescent="0.2">
      <c r="A1413">
        <v>1412</v>
      </c>
      <c r="B1413" t="s">
        <v>8756</v>
      </c>
      <c r="C1413" s="1">
        <v>41944</v>
      </c>
      <c r="D1413" s="22">
        <f>MONTH(Table12[[#This Row],[Order Date]])</f>
        <v>11</v>
      </c>
      <c r="E1413" t="s">
        <v>4370</v>
      </c>
      <c r="F1413" t="s">
        <v>4371</v>
      </c>
      <c r="G1413" s="23" t="s">
        <v>28</v>
      </c>
      <c r="H1413" s="23" t="s">
        <v>58</v>
      </c>
      <c r="I1413" t="s">
        <v>2556</v>
      </c>
      <c r="J1413" s="23" t="s">
        <v>22</v>
      </c>
      <c r="K1413" s="22">
        <v>6</v>
      </c>
      <c r="L1413" s="1">
        <v>41948</v>
      </c>
      <c r="M1413" s="22">
        <f>Table12[[#This Row],[Ship Date]]-Table12[[#This Row],[Order Date]]</f>
        <v>4</v>
      </c>
      <c r="N1413" s="23" t="s">
        <v>45</v>
      </c>
      <c r="O1413" s="23" t="s">
        <v>23</v>
      </c>
      <c r="P1413" s="23" t="s">
        <v>238</v>
      </c>
      <c r="Q1413" s="23" t="s">
        <v>133</v>
      </c>
      <c r="R1413" s="23" t="s">
        <v>1037</v>
      </c>
      <c r="S1413" s="33">
        <v>0</v>
      </c>
      <c r="T1413" s="13">
        <v>31.68</v>
      </c>
      <c r="U1413" s="13">
        <v>9.8208000000000002</v>
      </c>
      <c r="V1413" s="55">
        <f>IFERROR(Table12[[#This Row],[Profit]]/Table12[[#This Row],[Sales]],0)</f>
        <v>0.31</v>
      </c>
    </row>
    <row r="1414" spans="1:22" x14ac:dyDescent="0.2">
      <c r="A1414">
        <v>1413</v>
      </c>
      <c r="B1414" t="s">
        <v>9218</v>
      </c>
      <c r="C1414" s="1">
        <v>41944</v>
      </c>
      <c r="D1414" s="22">
        <f>MONTH(Table12[[#This Row],[Order Date]])</f>
        <v>11</v>
      </c>
      <c r="E1414" t="s">
        <v>1758</v>
      </c>
      <c r="F1414" t="s">
        <v>1759</v>
      </c>
      <c r="G1414" s="23" t="s">
        <v>41</v>
      </c>
      <c r="H1414" s="23" t="s">
        <v>71</v>
      </c>
      <c r="I1414" t="s">
        <v>2737</v>
      </c>
      <c r="J1414" s="23" t="s">
        <v>36</v>
      </c>
      <c r="K1414" s="22">
        <v>2</v>
      </c>
      <c r="L1414" s="1">
        <v>41948</v>
      </c>
      <c r="M1414" s="22">
        <f>Table12[[#This Row],[Ship Date]]-Table12[[#This Row],[Order Date]]</f>
        <v>4</v>
      </c>
      <c r="N1414" s="23" t="s">
        <v>45</v>
      </c>
      <c r="O1414" s="23" t="s">
        <v>23</v>
      </c>
      <c r="P1414" s="23" t="s">
        <v>695</v>
      </c>
      <c r="Q1414" s="23" t="s">
        <v>133</v>
      </c>
      <c r="R1414" s="23" t="s">
        <v>5404</v>
      </c>
      <c r="S1414" s="33">
        <v>0</v>
      </c>
      <c r="T1414" s="13">
        <v>76.12</v>
      </c>
      <c r="U1414" s="13">
        <v>22.0748</v>
      </c>
      <c r="V1414" s="55">
        <f>IFERROR(Table12[[#This Row],[Profit]]/Table12[[#This Row],[Sales]],0)</f>
        <v>0.28999999999999998</v>
      </c>
    </row>
    <row r="1415" spans="1:22" x14ac:dyDescent="0.2">
      <c r="A1415">
        <v>1414</v>
      </c>
      <c r="B1415" t="s">
        <v>10079</v>
      </c>
      <c r="C1415" s="1">
        <v>41944</v>
      </c>
      <c r="D1415" s="22">
        <f>MONTH(Table12[[#This Row],[Order Date]])</f>
        <v>11</v>
      </c>
      <c r="E1415" t="s">
        <v>2031</v>
      </c>
      <c r="F1415" t="s">
        <v>2032</v>
      </c>
      <c r="G1415" s="23" t="s">
        <v>28</v>
      </c>
      <c r="H1415" s="23" t="s">
        <v>58</v>
      </c>
      <c r="I1415" t="s">
        <v>789</v>
      </c>
      <c r="J1415" s="23" t="s">
        <v>36</v>
      </c>
      <c r="K1415" s="22">
        <v>2</v>
      </c>
      <c r="L1415" s="1">
        <v>41946</v>
      </c>
      <c r="M1415" s="22">
        <f>Table12[[#This Row],[Ship Date]]-Table12[[#This Row],[Order Date]]</f>
        <v>2</v>
      </c>
      <c r="N1415" s="23" t="s">
        <v>169</v>
      </c>
      <c r="O1415" s="23" t="s">
        <v>23</v>
      </c>
      <c r="P1415" s="23" t="s">
        <v>441</v>
      </c>
      <c r="Q1415" s="23" t="s">
        <v>133</v>
      </c>
      <c r="R1415" s="23" t="s">
        <v>10080</v>
      </c>
      <c r="S1415" s="33">
        <v>0.2</v>
      </c>
      <c r="T1415" s="13">
        <v>68.703999999999994</v>
      </c>
      <c r="U1415" s="13">
        <v>16.3172</v>
      </c>
      <c r="V1415" s="55">
        <f>IFERROR(Table12[[#This Row],[Profit]]/Table12[[#This Row],[Sales]],0)</f>
        <v>0.23750000000000002</v>
      </c>
    </row>
    <row r="1416" spans="1:22" x14ac:dyDescent="0.2">
      <c r="A1416">
        <v>1415</v>
      </c>
      <c r="B1416" t="s">
        <v>10079</v>
      </c>
      <c r="C1416" s="1">
        <v>41944</v>
      </c>
      <c r="D1416" s="22">
        <f>MONTH(Table12[[#This Row],[Order Date]])</f>
        <v>11</v>
      </c>
      <c r="E1416" t="s">
        <v>6218</v>
      </c>
      <c r="F1416" t="s">
        <v>6219</v>
      </c>
      <c r="G1416" s="23" t="s">
        <v>41</v>
      </c>
      <c r="H1416" s="23" t="s">
        <v>68</v>
      </c>
      <c r="I1416" t="s">
        <v>789</v>
      </c>
      <c r="J1416" s="23" t="s">
        <v>36</v>
      </c>
      <c r="K1416" s="22">
        <v>2</v>
      </c>
      <c r="L1416" s="1">
        <v>41946</v>
      </c>
      <c r="M1416" s="22">
        <f>Table12[[#This Row],[Ship Date]]-Table12[[#This Row],[Order Date]]</f>
        <v>2</v>
      </c>
      <c r="N1416" s="23" t="s">
        <v>169</v>
      </c>
      <c r="O1416" s="23" t="s">
        <v>23</v>
      </c>
      <c r="P1416" s="23" t="s">
        <v>441</v>
      </c>
      <c r="Q1416" s="23" t="s">
        <v>133</v>
      </c>
      <c r="R1416" s="23" t="s">
        <v>10080</v>
      </c>
      <c r="S1416" s="33">
        <v>0.7</v>
      </c>
      <c r="T1416" s="13">
        <v>3.1320000000000001</v>
      </c>
      <c r="U1416" s="13">
        <v>-2.61</v>
      </c>
      <c r="V1416" s="55">
        <f>IFERROR(Table12[[#This Row],[Profit]]/Table12[[#This Row],[Sales]],0)</f>
        <v>-0.83333333333333326</v>
      </c>
    </row>
    <row r="1417" spans="1:22" x14ac:dyDescent="0.2">
      <c r="A1417">
        <v>1416</v>
      </c>
      <c r="B1417" t="s">
        <v>10079</v>
      </c>
      <c r="C1417" s="1">
        <v>41944</v>
      </c>
      <c r="D1417" s="22">
        <f>MONTH(Table12[[#This Row],[Order Date]])</f>
        <v>11</v>
      </c>
      <c r="E1417" t="s">
        <v>1526</v>
      </c>
      <c r="F1417" t="s">
        <v>1527</v>
      </c>
      <c r="G1417" s="23" t="s">
        <v>41</v>
      </c>
      <c r="H1417" s="23" t="s">
        <v>68</v>
      </c>
      <c r="I1417" t="s">
        <v>789</v>
      </c>
      <c r="J1417" s="23" t="s">
        <v>36</v>
      </c>
      <c r="K1417" s="22">
        <v>3</v>
      </c>
      <c r="L1417" s="1">
        <v>41946</v>
      </c>
      <c r="M1417" s="22">
        <f>Table12[[#This Row],[Ship Date]]-Table12[[#This Row],[Order Date]]</f>
        <v>2</v>
      </c>
      <c r="N1417" s="23" t="s">
        <v>169</v>
      </c>
      <c r="O1417" s="23" t="s">
        <v>23</v>
      </c>
      <c r="P1417" s="23" t="s">
        <v>441</v>
      </c>
      <c r="Q1417" s="23" t="s">
        <v>133</v>
      </c>
      <c r="R1417" s="23" t="s">
        <v>10080</v>
      </c>
      <c r="S1417" s="33">
        <v>0.7</v>
      </c>
      <c r="T1417" s="13">
        <v>22.428000000000001</v>
      </c>
      <c r="U1417" s="13">
        <v>-17.942399999999999</v>
      </c>
      <c r="V1417" s="55">
        <f>IFERROR(Table12[[#This Row],[Profit]]/Table12[[#This Row],[Sales]],0)</f>
        <v>-0.79999999999999993</v>
      </c>
    </row>
    <row r="1418" spans="1:22" x14ac:dyDescent="0.2">
      <c r="A1418">
        <v>1417</v>
      </c>
      <c r="B1418" t="s">
        <v>6826</v>
      </c>
      <c r="C1418" s="1">
        <v>41945</v>
      </c>
      <c r="D1418" s="22">
        <f>MONTH(Table12[[#This Row],[Order Date]])</f>
        <v>11</v>
      </c>
      <c r="E1418" t="s">
        <v>2193</v>
      </c>
      <c r="F1418" t="s">
        <v>2194</v>
      </c>
      <c r="G1418" s="23" t="s">
        <v>41</v>
      </c>
      <c r="H1418" s="23" t="s">
        <v>42</v>
      </c>
      <c r="I1418" t="s">
        <v>6681</v>
      </c>
      <c r="J1418" s="23" t="s">
        <v>22</v>
      </c>
      <c r="K1418" s="22">
        <v>7</v>
      </c>
      <c r="L1418" s="1">
        <v>41949</v>
      </c>
      <c r="M1418" s="22">
        <f>Table12[[#This Row],[Ship Date]]-Table12[[#This Row],[Order Date]]</f>
        <v>4</v>
      </c>
      <c r="N1418" s="23" t="s">
        <v>45</v>
      </c>
      <c r="O1418" s="23" t="s">
        <v>23</v>
      </c>
      <c r="P1418" s="23" t="s">
        <v>238</v>
      </c>
      <c r="Q1418" s="23" t="s">
        <v>133</v>
      </c>
      <c r="R1418" s="23" t="s">
        <v>237</v>
      </c>
      <c r="S1418" s="33">
        <v>0</v>
      </c>
      <c r="T1418" s="13">
        <v>34.86</v>
      </c>
      <c r="U1418" s="13">
        <v>16.035599999999999</v>
      </c>
      <c r="V1418" s="55">
        <f>IFERROR(Table12[[#This Row],[Profit]]/Table12[[#This Row],[Sales]],0)</f>
        <v>0.45999999999999996</v>
      </c>
    </row>
    <row r="1419" spans="1:22" x14ac:dyDescent="0.2">
      <c r="A1419">
        <v>1418</v>
      </c>
      <c r="B1419" t="s">
        <v>6826</v>
      </c>
      <c r="C1419" s="1">
        <v>41945</v>
      </c>
      <c r="D1419" s="22">
        <f>MONTH(Table12[[#This Row],[Order Date]])</f>
        <v>11</v>
      </c>
      <c r="E1419" t="s">
        <v>3260</v>
      </c>
      <c r="F1419" t="s">
        <v>3261</v>
      </c>
      <c r="G1419" s="23" t="s">
        <v>28</v>
      </c>
      <c r="H1419" s="23" t="s">
        <v>58</v>
      </c>
      <c r="I1419" t="s">
        <v>6681</v>
      </c>
      <c r="J1419" s="23" t="s">
        <v>22</v>
      </c>
      <c r="K1419" s="22">
        <v>6</v>
      </c>
      <c r="L1419" s="1">
        <v>41949</v>
      </c>
      <c r="M1419" s="22">
        <f>Table12[[#This Row],[Ship Date]]-Table12[[#This Row],[Order Date]]</f>
        <v>4</v>
      </c>
      <c r="N1419" s="23" t="s">
        <v>45</v>
      </c>
      <c r="O1419" s="23" t="s">
        <v>23</v>
      </c>
      <c r="P1419" s="23" t="s">
        <v>238</v>
      </c>
      <c r="Q1419" s="23" t="s">
        <v>133</v>
      </c>
      <c r="R1419" s="23" t="s">
        <v>237</v>
      </c>
      <c r="S1419" s="33">
        <v>0</v>
      </c>
      <c r="T1419" s="13">
        <v>89.34</v>
      </c>
      <c r="U1419" s="13">
        <v>24.1218</v>
      </c>
      <c r="V1419" s="55">
        <f>IFERROR(Table12[[#This Row],[Profit]]/Table12[[#This Row],[Sales]],0)</f>
        <v>0.27</v>
      </c>
    </row>
    <row r="1420" spans="1:22" x14ac:dyDescent="0.2">
      <c r="A1420">
        <v>1419</v>
      </c>
      <c r="B1420" t="s">
        <v>7990</v>
      </c>
      <c r="C1420" s="1">
        <v>41945</v>
      </c>
      <c r="D1420" s="22">
        <f>MONTH(Table12[[#This Row],[Order Date]])</f>
        <v>11</v>
      </c>
      <c r="E1420" t="s">
        <v>2352</v>
      </c>
      <c r="F1420" t="s">
        <v>2353</v>
      </c>
      <c r="G1420" s="23" t="s">
        <v>64</v>
      </c>
      <c r="H1420" s="23" t="s">
        <v>65</v>
      </c>
      <c r="I1420" t="s">
        <v>1051</v>
      </c>
      <c r="J1420" s="23" t="s">
        <v>22</v>
      </c>
      <c r="K1420" s="22">
        <v>3</v>
      </c>
      <c r="L1420" s="1">
        <v>41950</v>
      </c>
      <c r="M1420" s="22">
        <f>Table12[[#This Row],[Ship Date]]-Table12[[#This Row],[Order Date]]</f>
        <v>5</v>
      </c>
      <c r="N1420" s="23" t="s">
        <v>45</v>
      </c>
      <c r="O1420" s="23" t="s">
        <v>23</v>
      </c>
      <c r="P1420" s="23" t="s">
        <v>94</v>
      </c>
      <c r="Q1420" s="23" t="s">
        <v>95</v>
      </c>
      <c r="R1420" s="23" t="s">
        <v>3463</v>
      </c>
      <c r="S1420" s="33">
        <v>0.2</v>
      </c>
      <c r="T1420" s="13">
        <v>88.775999999999996</v>
      </c>
      <c r="U1420" s="13">
        <v>7.7679</v>
      </c>
      <c r="V1420" s="55">
        <f>IFERROR(Table12[[#This Row],[Profit]]/Table12[[#This Row],[Sales]],0)</f>
        <v>8.7500000000000008E-2</v>
      </c>
    </row>
    <row r="1421" spans="1:22" x14ac:dyDescent="0.2">
      <c r="A1421">
        <v>1420</v>
      </c>
      <c r="B1421" t="s">
        <v>8156</v>
      </c>
      <c r="C1421" s="1">
        <v>41945</v>
      </c>
      <c r="D1421" s="22">
        <f>MONTH(Table12[[#This Row],[Order Date]])</f>
        <v>11</v>
      </c>
      <c r="E1421" t="s">
        <v>5696</v>
      </c>
      <c r="F1421" t="s">
        <v>5697</v>
      </c>
      <c r="G1421" s="23" t="s">
        <v>64</v>
      </c>
      <c r="H1421" s="23" t="s">
        <v>65</v>
      </c>
      <c r="I1421" t="s">
        <v>5876</v>
      </c>
      <c r="J1421" s="23" t="s">
        <v>22</v>
      </c>
      <c r="K1421" s="22">
        <v>6</v>
      </c>
      <c r="L1421" s="1">
        <v>41949</v>
      </c>
      <c r="M1421" s="22">
        <f>Table12[[#This Row],[Ship Date]]-Table12[[#This Row],[Order Date]]</f>
        <v>4</v>
      </c>
      <c r="N1421" s="23" t="s">
        <v>45</v>
      </c>
      <c r="O1421" s="23" t="s">
        <v>23</v>
      </c>
      <c r="P1421" s="23" t="s">
        <v>441</v>
      </c>
      <c r="Q1421" s="23" t="s">
        <v>133</v>
      </c>
      <c r="R1421" s="23" t="s">
        <v>747</v>
      </c>
      <c r="S1421" s="33">
        <v>0.4</v>
      </c>
      <c r="T1421" s="13">
        <v>539.96400000000006</v>
      </c>
      <c r="U1421" s="13">
        <v>-107.9928</v>
      </c>
      <c r="V1421" s="55">
        <f>IFERROR(Table12[[#This Row],[Profit]]/Table12[[#This Row],[Sales]],0)</f>
        <v>-0.19999999999999998</v>
      </c>
    </row>
    <row r="1422" spans="1:22" x14ac:dyDescent="0.2">
      <c r="A1422">
        <v>1421</v>
      </c>
      <c r="B1422" t="s">
        <v>8156</v>
      </c>
      <c r="C1422" s="1">
        <v>41945</v>
      </c>
      <c r="D1422" s="22">
        <f>MONTH(Table12[[#This Row],[Order Date]])</f>
        <v>11</v>
      </c>
      <c r="E1422" t="s">
        <v>676</v>
      </c>
      <c r="F1422" t="s">
        <v>677</v>
      </c>
      <c r="G1422" s="23" t="s">
        <v>64</v>
      </c>
      <c r="H1422" s="23" t="s">
        <v>65</v>
      </c>
      <c r="I1422" t="s">
        <v>5876</v>
      </c>
      <c r="J1422" s="23" t="s">
        <v>22</v>
      </c>
      <c r="K1422" s="22">
        <v>7</v>
      </c>
      <c r="L1422" s="1">
        <v>41949</v>
      </c>
      <c r="M1422" s="22">
        <f>Table12[[#This Row],[Ship Date]]-Table12[[#This Row],[Order Date]]</f>
        <v>4</v>
      </c>
      <c r="N1422" s="23" t="s">
        <v>45</v>
      </c>
      <c r="O1422" s="23" t="s">
        <v>23</v>
      </c>
      <c r="P1422" s="23" t="s">
        <v>441</v>
      </c>
      <c r="Q1422" s="23" t="s">
        <v>133</v>
      </c>
      <c r="R1422" s="23" t="s">
        <v>747</v>
      </c>
      <c r="S1422" s="33">
        <v>0.4</v>
      </c>
      <c r="T1422" s="13">
        <v>50.231999999999999</v>
      </c>
      <c r="U1422" s="13">
        <v>-10.0464</v>
      </c>
      <c r="V1422" s="55">
        <f>IFERROR(Table12[[#This Row],[Profit]]/Table12[[#This Row],[Sales]],0)</f>
        <v>-0.2</v>
      </c>
    </row>
    <row r="1423" spans="1:22" x14ac:dyDescent="0.2">
      <c r="A1423">
        <v>1422</v>
      </c>
      <c r="B1423" t="s">
        <v>8156</v>
      </c>
      <c r="C1423" s="1">
        <v>41945</v>
      </c>
      <c r="D1423" s="22">
        <f>MONTH(Table12[[#This Row],[Order Date]])</f>
        <v>11</v>
      </c>
      <c r="E1423" t="s">
        <v>1414</v>
      </c>
      <c r="F1423" t="s">
        <v>1415</v>
      </c>
      <c r="G1423" s="23" t="s">
        <v>41</v>
      </c>
      <c r="H1423" s="23" t="s">
        <v>68</v>
      </c>
      <c r="I1423" t="s">
        <v>5876</v>
      </c>
      <c r="J1423" s="23" t="s">
        <v>22</v>
      </c>
      <c r="K1423" s="22">
        <v>3</v>
      </c>
      <c r="L1423" s="1">
        <v>41949</v>
      </c>
      <c r="M1423" s="22">
        <f>Table12[[#This Row],[Ship Date]]-Table12[[#This Row],[Order Date]]</f>
        <v>4</v>
      </c>
      <c r="N1423" s="23" t="s">
        <v>45</v>
      </c>
      <c r="O1423" s="23" t="s">
        <v>23</v>
      </c>
      <c r="P1423" s="23" t="s">
        <v>441</v>
      </c>
      <c r="Q1423" s="23" t="s">
        <v>133</v>
      </c>
      <c r="R1423" s="23" t="s">
        <v>747</v>
      </c>
      <c r="S1423" s="33">
        <v>0.7</v>
      </c>
      <c r="T1423" s="13">
        <v>19.242000000000001</v>
      </c>
      <c r="U1423" s="13">
        <v>-13.4694</v>
      </c>
      <c r="V1423" s="55">
        <f>IFERROR(Table12[[#This Row],[Profit]]/Table12[[#This Row],[Sales]],0)</f>
        <v>-0.7</v>
      </c>
    </row>
    <row r="1424" spans="1:22" x14ac:dyDescent="0.2">
      <c r="A1424">
        <v>1423</v>
      </c>
      <c r="B1424" t="s">
        <v>8612</v>
      </c>
      <c r="C1424" s="1">
        <v>41945</v>
      </c>
      <c r="D1424" s="22">
        <f>MONTH(Table12[[#This Row],[Order Date]])</f>
        <v>11</v>
      </c>
      <c r="E1424" t="s">
        <v>4865</v>
      </c>
      <c r="F1424" t="s">
        <v>4866</v>
      </c>
      <c r="G1424" s="23" t="s">
        <v>64</v>
      </c>
      <c r="H1424" s="23" t="s">
        <v>144</v>
      </c>
      <c r="I1424" t="s">
        <v>3342</v>
      </c>
      <c r="J1424" s="23" t="s">
        <v>92</v>
      </c>
      <c r="K1424" s="22">
        <v>10</v>
      </c>
      <c r="L1424" s="1">
        <v>41949</v>
      </c>
      <c r="M1424" s="22">
        <f>Table12[[#This Row],[Ship Date]]-Table12[[#This Row],[Order Date]]</f>
        <v>4</v>
      </c>
      <c r="N1424" s="23" t="s">
        <v>45</v>
      </c>
      <c r="O1424" s="23" t="s">
        <v>23</v>
      </c>
      <c r="P1424" s="23" t="s">
        <v>48</v>
      </c>
      <c r="Q1424" s="23" t="s">
        <v>26</v>
      </c>
      <c r="R1424" s="23" t="s">
        <v>47</v>
      </c>
      <c r="S1424" s="33">
        <v>0.2</v>
      </c>
      <c r="T1424" s="13">
        <v>799.92</v>
      </c>
      <c r="U1424" s="13">
        <v>239.976</v>
      </c>
      <c r="V1424" s="55">
        <f>IFERROR(Table12[[#This Row],[Profit]]/Table12[[#This Row],[Sales]],0)</f>
        <v>0.3</v>
      </c>
    </row>
    <row r="1425" spans="1:22" x14ac:dyDescent="0.2">
      <c r="A1425">
        <v>1424</v>
      </c>
      <c r="B1425" t="s">
        <v>8737</v>
      </c>
      <c r="C1425" s="1">
        <v>41945</v>
      </c>
      <c r="D1425" s="22">
        <f>MONTH(Table12[[#This Row],[Order Date]])</f>
        <v>11</v>
      </c>
      <c r="E1425" t="s">
        <v>3983</v>
      </c>
      <c r="F1425" t="s">
        <v>3984</v>
      </c>
      <c r="G1425" s="23" t="s">
        <v>64</v>
      </c>
      <c r="H1425" s="23" t="s">
        <v>65</v>
      </c>
      <c r="I1425" t="s">
        <v>996</v>
      </c>
      <c r="J1425" s="23" t="s">
        <v>22</v>
      </c>
      <c r="K1425" s="22">
        <v>2</v>
      </c>
      <c r="L1425" s="1">
        <v>41949</v>
      </c>
      <c r="M1425" s="22">
        <f>Table12[[#This Row],[Ship Date]]-Table12[[#This Row],[Order Date]]</f>
        <v>4</v>
      </c>
      <c r="N1425" s="23" t="s">
        <v>45</v>
      </c>
      <c r="O1425" s="23" t="s">
        <v>23</v>
      </c>
      <c r="P1425" s="23" t="s">
        <v>38</v>
      </c>
      <c r="Q1425" s="23" t="s">
        <v>39</v>
      </c>
      <c r="R1425" s="23" t="s">
        <v>114</v>
      </c>
      <c r="S1425" s="33">
        <v>0.2</v>
      </c>
      <c r="T1425" s="13">
        <v>46.384</v>
      </c>
      <c r="U1425" s="13">
        <v>5.2182000000000004</v>
      </c>
      <c r="V1425" s="55">
        <f>IFERROR(Table12[[#This Row],[Profit]]/Table12[[#This Row],[Sales]],0)</f>
        <v>0.1125</v>
      </c>
    </row>
    <row r="1426" spans="1:22" x14ac:dyDescent="0.2">
      <c r="A1426">
        <v>1425</v>
      </c>
      <c r="B1426" t="s">
        <v>8737</v>
      </c>
      <c r="C1426" s="1">
        <v>41945</v>
      </c>
      <c r="D1426" s="22">
        <f>MONTH(Table12[[#This Row],[Order Date]])</f>
        <v>11</v>
      </c>
      <c r="E1426" t="s">
        <v>894</v>
      </c>
      <c r="F1426" t="s">
        <v>895</v>
      </c>
      <c r="G1426" s="23" t="s">
        <v>41</v>
      </c>
      <c r="H1426" s="23" t="s">
        <v>53</v>
      </c>
      <c r="I1426" t="s">
        <v>996</v>
      </c>
      <c r="J1426" s="23" t="s">
        <v>22</v>
      </c>
      <c r="K1426" s="22">
        <v>2</v>
      </c>
      <c r="L1426" s="1">
        <v>41949</v>
      </c>
      <c r="M1426" s="22">
        <f>Table12[[#This Row],[Ship Date]]-Table12[[#This Row],[Order Date]]</f>
        <v>4</v>
      </c>
      <c r="N1426" s="23" t="s">
        <v>45</v>
      </c>
      <c r="O1426" s="23" t="s">
        <v>23</v>
      </c>
      <c r="P1426" s="23" t="s">
        <v>38</v>
      </c>
      <c r="Q1426" s="23" t="s">
        <v>39</v>
      </c>
      <c r="R1426" s="23" t="s">
        <v>114</v>
      </c>
      <c r="S1426" s="33">
        <v>0</v>
      </c>
      <c r="T1426" s="13">
        <v>362.92</v>
      </c>
      <c r="U1426" s="13">
        <v>105.24679999999999</v>
      </c>
      <c r="V1426" s="55">
        <f>IFERROR(Table12[[#This Row],[Profit]]/Table12[[#This Row],[Sales]],0)</f>
        <v>0.28999999999999998</v>
      </c>
    </row>
    <row r="1427" spans="1:22" x14ac:dyDescent="0.2">
      <c r="A1427">
        <v>1426</v>
      </c>
      <c r="B1427" t="s">
        <v>8765</v>
      </c>
      <c r="C1427" s="1">
        <v>41945</v>
      </c>
      <c r="D1427" s="22">
        <f>MONTH(Table12[[#This Row],[Order Date]])</f>
        <v>11</v>
      </c>
      <c r="E1427" t="s">
        <v>3143</v>
      </c>
      <c r="F1427" t="s">
        <v>3144</v>
      </c>
      <c r="G1427" s="23" t="s">
        <v>64</v>
      </c>
      <c r="H1427" s="23" t="s">
        <v>144</v>
      </c>
      <c r="I1427" t="s">
        <v>3020</v>
      </c>
      <c r="J1427" s="23" t="s">
        <v>36</v>
      </c>
      <c r="K1427" s="22">
        <v>2</v>
      </c>
      <c r="L1427" s="1">
        <v>41950</v>
      </c>
      <c r="M1427" s="22">
        <f>Table12[[#This Row],[Ship Date]]-Table12[[#This Row],[Order Date]]</f>
        <v>5</v>
      </c>
      <c r="N1427" s="23" t="s">
        <v>20</v>
      </c>
      <c r="O1427" s="23" t="s">
        <v>23</v>
      </c>
      <c r="P1427" s="23" t="s">
        <v>87</v>
      </c>
      <c r="Q1427" s="23" t="s">
        <v>39</v>
      </c>
      <c r="R1427" s="23" t="s">
        <v>86</v>
      </c>
      <c r="S1427" s="33">
        <v>0</v>
      </c>
      <c r="T1427" s="13">
        <v>41.94</v>
      </c>
      <c r="U1427" s="13">
        <v>15.0984</v>
      </c>
      <c r="V1427" s="55">
        <f>IFERROR(Table12[[#This Row],[Profit]]/Table12[[#This Row],[Sales]],0)</f>
        <v>0.36000000000000004</v>
      </c>
    </row>
    <row r="1428" spans="1:22" x14ac:dyDescent="0.2">
      <c r="A1428">
        <v>1427</v>
      </c>
      <c r="B1428" t="s">
        <v>8765</v>
      </c>
      <c r="C1428" s="1">
        <v>41945</v>
      </c>
      <c r="D1428" s="22">
        <f>MONTH(Table12[[#This Row],[Order Date]])</f>
        <v>11</v>
      </c>
      <c r="E1428" t="s">
        <v>3399</v>
      </c>
      <c r="F1428" t="s">
        <v>3400</v>
      </c>
      <c r="G1428" s="23" t="s">
        <v>64</v>
      </c>
      <c r="H1428" s="23" t="s">
        <v>65</v>
      </c>
      <c r="I1428" t="s">
        <v>3020</v>
      </c>
      <c r="J1428" s="23" t="s">
        <v>36</v>
      </c>
      <c r="K1428" s="22">
        <v>1</v>
      </c>
      <c r="L1428" s="1">
        <v>41950</v>
      </c>
      <c r="M1428" s="22">
        <f>Table12[[#This Row],[Ship Date]]-Table12[[#This Row],[Order Date]]</f>
        <v>5</v>
      </c>
      <c r="N1428" s="23" t="s">
        <v>20</v>
      </c>
      <c r="O1428" s="23" t="s">
        <v>23</v>
      </c>
      <c r="P1428" s="23" t="s">
        <v>87</v>
      </c>
      <c r="Q1428" s="23" t="s">
        <v>39</v>
      </c>
      <c r="R1428" s="23" t="s">
        <v>86</v>
      </c>
      <c r="S1428" s="33">
        <v>0.2</v>
      </c>
      <c r="T1428" s="13">
        <v>52.792000000000002</v>
      </c>
      <c r="U1428" s="13">
        <v>4.6193</v>
      </c>
      <c r="V1428" s="55">
        <f>IFERROR(Table12[[#This Row],[Profit]]/Table12[[#This Row],[Sales]],0)</f>
        <v>8.7499999999999994E-2</v>
      </c>
    </row>
    <row r="1429" spans="1:22" x14ac:dyDescent="0.2">
      <c r="A1429">
        <v>1428</v>
      </c>
      <c r="B1429" t="s">
        <v>6404</v>
      </c>
      <c r="C1429" s="1">
        <v>41946</v>
      </c>
      <c r="D1429" s="22">
        <f>MONTH(Table12[[#This Row],[Order Date]])</f>
        <v>11</v>
      </c>
      <c r="E1429" t="s">
        <v>5247</v>
      </c>
      <c r="F1429" t="s">
        <v>5248</v>
      </c>
      <c r="G1429" s="23" t="s">
        <v>41</v>
      </c>
      <c r="H1429" s="23" t="s">
        <v>513</v>
      </c>
      <c r="I1429" t="s">
        <v>3519</v>
      </c>
      <c r="J1429" s="23" t="s">
        <v>22</v>
      </c>
      <c r="K1429" s="22">
        <v>3</v>
      </c>
      <c r="L1429" s="1">
        <v>41951</v>
      </c>
      <c r="M1429" s="22">
        <f>Table12[[#This Row],[Ship Date]]-Table12[[#This Row],[Order Date]]</f>
        <v>5</v>
      </c>
      <c r="N1429" s="23" t="s">
        <v>45</v>
      </c>
      <c r="O1429" s="23" t="s">
        <v>23</v>
      </c>
      <c r="P1429" s="23" t="s">
        <v>132</v>
      </c>
      <c r="Q1429" s="23" t="s">
        <v>133</v>
      </c>
      <c r="R1429" s="23" t="s">
        <v>2174</v>
      </c>
      <c r="S1429" s="33">
        <v>0.2</v>
      </c>
      <c r="T1429" s="13">
        <v>286.34399999999999</v>
      </c>
      <c r="U1429" s="13">
        <v>-64.427400000000006</v>
      </c>
      <c r="V1429" s="55">
        <f>IFERROR(Table12[[#This Row],[Profit]]/Table12[[#This Row],[Sales]],0)</f>
        <v>-0.22500000000000003</v>
      </c>
    </row>
    <row r="1430" spans="1:22" x14ac:dyDescent="0.2">
      <c r="A1430">
        <v>1429</v>
      </c>
      <c r="B1430" t="s">
        <v>7004</v>
      </c>
      <c r="C1430" s="1">
        <v>41946</v>
      </c>
      <c r="D1430" s="22">
        <f>MONTH(Table12[[#This Row],[Order Date]])</f>
        <v>11</v>
      </c>
      <c r="E1430" t="s">
        <v>1609</v>
      </c>
      <c r="F1430" t="s">
        <v>1610</v>
      </c>
      <c r="G1430" s="23" t="s">
        <v>64</v>
      </c>
      <c r="H1430" s="23" t="s">
        <v>65</v>
      </c>
      <c r="I1430" t="s">
        <v>4827</v>
      </c>
      <c r="J1430" s="23" t="s">
        <v>22</v>
      </c>
      <c r="K1430" s="22">
        <v>4</v>
      </c>
      <c r="L1430" s="1">
        <v>41950</v>
      </c>
      <c r="M1430" s="22">
        <f>Table12[[#This Row],[Ship Date]]-Table12[[#This Row],[Order Date]]</f>
        <v>4</v>
      </c>
      <c r="N1430" s="23" t="s">
        <v>45</v>
      </c>
      <c r="O1430" s="23" t="s">
        <v>23</v>
      </c>
      <c r="P1430" s="23" t="s">
        <v>238</v>
      </c>
      <c r="Q1430" s="23" t="s">
        <v>133</v>
      </c>
      <c r="R1430" s="23" t="s">
        <v>237</v>
      </c>
      <c r="S1430" s="33">
        <v>0</v>
      </c>
      <c r="T1430" s="13">
        <v>783.96</v>
      </c>
      <c r="U1430" s="13">
        <v>219.50880000000001</v>
      </c>
      <c r="V1430" s="55">
        <f>IFERROR(Table12[[#This Row],[Profit]]/Table12[[#This Row],[Sales]],0)</f>
        <v>0.27999999999999997</v>
      </c>
    </row>
    <row r="1431" spans="1:22" x14ac:dyDescent="0.2">
      <c r="A1431">
        <v>1430</v>
      </c>
      <c r="B1431" t="s">
        <v>7004</v>
      </c>
      <c r="C1431" s="1">
        <v>41946</v>
      </c>
      <c r="D1431" s="22">
        <f>MONTH(Table12[[#This Row],[Order Date]])</f>
        <v>11</v>
      </c>
      <c r="E1431" t="s">
        <v>3449</v>
      </c>
      <c r="F1431" t="s">
        <v>3450</v>
      </c>
      <c r="G1431" s="23" t="s">
        <v>41</v>
      </c>
      <c r="H1431" s="23" t="s">
        <v>68</v>
      </c>
      <c r="I1431" t="s">
        <v>4827</v>
      </c>
      <c r="J1431" s="23" t="s">
        <v>22</v>
      </c>
      <c r="K1431" s="22">
        <v>2</v>
      </c>
      <c r="L1431" s="1">
        <v>41950</v>
      </c>
      <c r="M1431" s="22">
        <f>Table12[[#This Row],[Ship Date]]-Table12[[#This Row],[Order Date]]</f>
        <v>4</v>
      </c>
      <c r="N1431" s="23" t="s">
        <v>45</v>
      </c>
      <c r="O1431" s="23" t="s">
        <v>23</v>
      </c>
      <c r="P1431" s="23" t="s">
        <v>238</v>
      </c>
      <c r="Q1431" s="23" t="s">
        <v>133</v>
      </c>
      <c r="R1431" s="23" t="s">
        <v>237</v>
      </c>
      <c r="S1431" s="33">
        <v>0.2</v>
      </c>
      <c r="T1431" s="13">
        <v>48.896000000000001</v>
      </c>
      <c r="U1431" s="13">
        <v>18.335999999999999</v>
      </c>
      <c r="V1431" s="55">
        <f>IFERROR(Table12[[#This Row],[Profit]]/Table12[[#This Row],[Sales]],0)</f>
        <v>0.37499999999999994</v>
      </c>
    </row>
    <row r="1432" spans="1:22" x14ac:dyDescent="0.2">
      <c r="A1432">
        <v>1431</v>
      </c>
      <c r="B1432" t="s">
        <v>7004</v>
      </c>
      <c r="C1432" s="1">
        <v>41946</v>
      </c>
      <c r="D1432" s="22">
        <f>MONTH(Table12[[#This Row],[Order Date]])</f>
        <v>11</v>
      </c>
      <c r="E1432" t="s">
        <v>2386</v>
      </c>
      <c r="F1432" t="s">
        <v>2387</v>
      </c>
      <c r="G1432" s="23" t="s">
        <v>41</v>
      </c>
      <c r="H1432" s="23" t="s">
        <v>68</v>
      </c>
      <c r="I1432" t="s">
        <v>4827</v>
      </c>
      <c r="J1432" s="23" t="s">
        <v>22</v>
      </c>
      <c r="K1432" s="22">
        <v>2</v>
      </c>
      <c r="L1432" s="1">
        <v>41950</v>
      </c>
      <c r="M1432" s="22">
        <f>Table12[[#This Row],[Ship Date]]-Table12[[#This Row],[Order Date]]</f>
        <v>4</v>
      </c>
      <c r="N1432" s="23" t="s">
        <v>45</v>
      </c>
      <c r="O1432" s="23" t="s">
        <v>23</v>
      </c>
      <c r="P1432" s="23" t="s">
        <v>238</v>
      </c>
      <c r="Q1432" s="23" t="s">
        <v>133</v>
      </c>
      <c r="R1432" s="23" t="s">
        <v>237</v>
      </c>
      <c r="S1432" s="33">
        <v>0.2</v>
      </c>
      <c r="T1432" s="13">
        <v>7.8559999999999999</v>
      </c>
      <c r="U1432" s="13">
        <v>2.8477999999999999</v>
      </c>
      <c r="V1432" s="55">
        <f>IFERROR(Table12[[#This Row],[Profit]]/Table12[[#This Row],[Sales]],0)</f>
        <v>0.36249999999999999</v>
      </c>
    </row>
    <row r="1433" spans="1:22" x14ac:dyDescent="0.2">
      <c r="A1433">
        <v>1432</v>
      </c>
      <c r="B1433" t="s">
        <v>7670</v>
      </c>
      <c r="C1433" s="1">
        <v>41946</v>
      </c>
      <c r="D1433" s="22">
        <f>MONTH(Table12[[#This Row],[Order Date]])</f>
        <v>11</v>
      </c>
      <c r="E1433" t="s">
        <v>6102</v>
      </c>
      <c r="F1433" t="s">
        <v>6103</v>
      </c>
      <c r="G1433" s="23" t="s">
        <v>41</v>
      </c>
      <c r="H1433" s="23" t="s">
        <v>513</v>
      </c>
      <c r="I1433" t="s">
        <v>1919</v>
      </c>
      <c r="J1433" s="23" t="s">
        <v>22</v>
      </c>
      <c r="K1433" s="22">
        <v>3</v>
      </c>
      <c r="L1433" s="1">
        <v>41951</v>
      </c>
      <c r="M1433" s="22">
        <f>Table12[[#This Row],[Ship Date]]-Table12[[#This Row],[Order Date]]</f>
        <v>5</v>
      </c>
      <c r="N1433" s="23" t="s">
        <v>45</v>
      </c>
      <c r="O1433" s="23" t="s">
        <v>23</v>
      </c>
      <c r="P1433" s="23" t="s">
        <v>660</v>
      </c>
      <c r="Q1433" s="23" t="s">
        <v>133</v>
      </c>
      <c r="R1433" s="23" t="s">
        <v>659</v>
      </c>
      <c r="S1433" s="33">
        <v>0</v>
      </c>
      <c r="T1433" s="13">
        <v>11.64</v>
      </c>
      <c r="U1433" s="13">
        <v>3.3755999999999999</v>
      </c>
      <c r="V1433" s="55">
        <f>IFERROR(Table12[[#This Row],[Profit]]/Table12[[#This Row],[Sales]],0)</f>
        <v>0.28999999999999998</v>
      </c>
    </row>
    <row r="1434" spans="1:22" x14ac:dyDescent="0.2">
      <c r="A1434">
        <v>1433</v>
      </c>
      <c r="B1434" t="s">
        <v>8021</v>
      </c>
      <c r="C1434" s="1">
        <v>41946</v>
      </c>
      <c r="D1434" s="22">
        <f>MONTH(Table12[[#This Row],[Order Date]])</f>
        <v>11</v>
      </c>
      <c r="E1434" t="s">
        <v>2872</v>
      </c>
      <c r="F1434" t="s">
        <v>2873</v>
      </c>
      <c r="G1434" s="23" t="s">
        <v>41</v>
      </c>
      <c r="H1434" s="23" t="s">
        <v>82</v>
      </c>
      <c r="I1434" t="s">
        <v>1827</v>
      </c>
      <c r="J1434" s="23" t="s">
        <v>22</v>
      </c>
      <c r="K1434" s="22">
        <v>2</v>
      </c>
      <c r="L1434" s="1">
        <v>41951</v>
      </c>
      <c r="M1434" s="22">
        <f>Table12[[#This Row],[Ship Date]]-Table12[[#This Row],[Order Date]]</f>
        <v>5</v>
      </c>
      <c r="N1434" s="23" t="s">
        <v>45</v>
      </c>
      <c r="O1434" s="23" t="s">
        <v>23</v>
      </c>
      <c r="P1434" s="23" t="s">
        <v>299</v>
      </c>
      <c r="Q1434" s="23" t="s">
        <v>26</v>
      </c>
      <c r="R1434" s="23" t="s">
        <v>5035</v>
      </c>
      <c r="S1434" s="33">
        <v>0.2</v>
      </c>
      <c r="T1434" s="13">
        <v>3.488</v>
      </c>
      <c r="U1434" s="13">
        <v>1.1772</v>
      </c>
      <c r="V1434" s="55">
        <f>IFERROR(Table12[[#This Row],[Profit]]/Table12[[#This Row],[Sales]],0)</f>
        <v>0.33750000000000002</v>
      </c>
    </row>
    <row r="1435" spans="1:22" x14ac:dyDescent="0.2">
      <c r="A1435">
        <v>1434</v>
      </c>
      <c r="B1435" t="s">
        <v>8021</v>
      </c>
      <c r="C1435" s="1">
        <v>41946</v>
      </c>
      <c r="D1435" s="22">
        <f>MONTH(Table12[[#This Row],[Order Date]])</f>
        <v>11</v>
      </c>
      <c r="E1435" t="s">
        <v>2334</v>
      </c>
      <c r="F1435" t="s">
        <v>2335</v>
      </c>
      <c r="G1435" s="23" t="s">
        <v>41</v>
      </c>
      <c r="H1435" s="23" t="s">
        <v>82</v>
      </c>
      <c r="I1435" t="s">
        <v>1827</v>
      </c>
      <c r="J1435" s="23" t="s">
        <v>22</v>
      </c>
      <c r="K1435" s="22">
        <v>9</v>
      </c>
      <c r="L1435" s="1">
        <v>41951</v>
      </c>
      <c r="M1435" s="22">
        <f>Table12[[#This Row],[Ship Date]]-Table12[[#This Row],[Order Date]]</f>
        <v>5</v>
      </c>
      <c r="N1435" s="23" t="s">
        <v>45</v>
      </c>
      <c r="O1435" s="23" t="s">
        <v>23</v>
      </c>
      <c r="P1435" s="23" t="s">
        <v>299</v>
      </c>
      <c r="Q1435" s="23" t="s">
        <v>26</v>
      </c>
      <c r="R1435" s="23" t="s">
        <v>5035</v>
      </c>
      <c r="S1435" s="33">
        <v>0.2</v>
      </c>
      <c r="T1435" s="13">
        <v>143.85599999999999</v>
      </c>
      <c r="U1435" s="13">
        <v>48.551400000000001</v>
      </c>
      <c r="V1435" s="55">
        <f>IFERROR(Table12[[#This Row],[Profit]]/Table12[[#This Row],[Sales]],0)</f>
        <v>0.33750000000000002</v>
      </c>
    </row>
    <row r="1436" spans="1:22" x14ac:dyDescent="0.2">
      <c r="A1436">
        <v>1435</v>
      </c>
      <c r="B1436" t="s">
        <v>8124</v>
      </c>
      <c r="C1436" s="1">
        <v>41946</v>
      </c>
      <c r="D1436" s="22">
        <f>MONTH(Table12[[#This Row],[Order Date]])</f>
        <v>11</v>
      </c>
      <c r="E1436" t="s">
        <v>2473</v>
      </c>
      <c r="F1436" t="s">
        <v>2474</v>
      </c>
      <c r="G1436" s="23" t="s">
        <v>41</v>
      </c>
      <c r="H1436" s="23" t="s">
        <v>53</v>
      </c>
      <c r="I1436" t="s">
        <v>996</v>
      </c>
      <c r="J1436" s="23" t="s">
        <v>22</v>
      </c>
      <c r="K1436" s="22">
        <v>2</v>
      </c>
      <c r="L1436" s="1">
        <v>41950</v>
      </c>
      <c r="M1436" s="22">
        <f>Table12[[#This Row],[Ship Date]]-Table12[[#This Row],[Order Date]]</f>
        <v>4</v>
      </c>
      <c r="N1436" s="23" t="s">
        <v>45</v>
      </c>
      <c r="O1436" s="23" t="s">
        <v>23</v>
      </c>
      <c r="P1436" s="23" t="s">
        <v>80</v>
      </c>
      <c r="Q1436" s="23" t="s">
        <v>26</v>
      </c>
      <c r="R1436" s="23" t="s">
        <v>1345</v>
      </c>
      <c r="S1436" s="33">
        <v>0.2</v>
      </c>
      <c r="T1436" s="13">
        <v>25.984000000000002</v>
      </c>
      <c r="U1436" s="13">
        <v>-1.6240000000000001</v>
      </c>
      <c r="V1436" s="55">
        <f>IFERROR(Table12[[#This Row],[Profit]]/Table12[[#This Row],[Sales]],0)</f>
        <v>-6.25E-2</v>
      </c>
    </row>
    <row r="1437" spans="1:22" x14ac:dyDescent="0.2">
      <c r="A1437">
        <v>1436</v>
      </c>
      <c r="B1437" t="s">
        <v>8124</v>
      </c>
      <c r="C1437" s="1">
        <v>41946</v>
      </c>
      <c r="D1437" s="22">
        <f>MONTH(Table12[[#This Row],[Order Date]])</f>
        <v>11</v>
      </c>
      <c r="E1437" t="s">
        <v>452</v>
      </c>
      <c r="F1437" t="s">
        <v>453</v>
      </c>
      <c r="G1437" s="23" t="s">
        <v>28</v>
      </c>
      <c r="H1437" s="23" t="s">
        <v>50</v>
      </c>
      <c r="I1437" t="s">
        <v>996</v>
      </c>
      <c r="J1437" s="23" t="s">
        <v>22</v>
      </c>
      <c r="K1437" s="22">
        <v>6</v>
      </c>
      <c r="L1437" s="1">
        <v>41950</v>
      </c>
      <c r="M1437" s="22">
        <f>Table12[[#This Row],[Ship Date]]-Table12[[#This Row],[Order Date]]</f>
        <v>4</v>
      </c>
      <c r="N1437" s="23" t="s">
        <v>45</v>
      </c>
      <c r="O1437" s="23" t="s">
        <v>23</v>
      </c>
      <c r="P1437" s="23" t="s">
        <v>80</v>
      </c>
      <c r="Q1437" s="23" t="s">
        <v>26</v>
      </c>
      <c r="R1437" s="23" t="s">
        <v>1345</v>
      </c>
      <c r="S1437" s="33">
        <v>0.4</v>
      </c>
      <c r="T1437" s="13">
        <v>945.03599999999994</v>
      </c>
      <c r="U1437" s="13">
        <v>-299.26139999999998</v>
      </c>
      <c r="V1437" s="55">
        <f>IFERROR(Table12[[#This Row],[Profit]]/Table12[[#This Row],[Sales]],0)</f>
        <v>-0.31666666666666665</v>
      </c>
    </row>
    <row r="1438" spans="1:22" x14ac:dyDescent="0.2">
      <c r="A1438">
        <v>1437</v>
      </c>
      <c r="B1438" t="s">
        <v>8124</v>
      </c>
      <c r="C1438" s="1">
        <v>41946</v>
      </c>
      <c r="D1438" s="22">
        <f>MONTH(Table12[[#This Row],[Order Date]])</f>
        <v>11</v>
      </c>
      <c r="E1438" t="s">
        <v>4629</v>
      </c>
      <c r="F1438" t="s">
        <v>4630</v>
      </c>
      <c r="G1438" s="23" t="s">
        <v>41</v>
      </c>
      <c r="H1438" s="23" t="s">
        <v>68</v>
      </c>
      <c r="I1438" t="s">
        <v>996</v>
      </c>
      <c r="J1438" s="23" t="s">
        <v>22</v>
      </c>
      <c r="K1438" s="22">
        <v>7</v>
      </c>
      <c r="L1438" s="1">
        <v>41950</v>
      </c>
      <c r="M1438" s="22">
        <f>Table12[[#This Row],[Ship Date]]-Table12[[#This Row],[Order Date]]</f>
        <v>4</v>
      </c>
      <c r="N1438" s="23" t="s">
        <v>45</v>
      </c>
      <c r="O1438" s="23" t="s">
        <v>23</v>
      </c>
      <c r="P1438" s="23" t="s">
        <v>80</v>
      </c>
      <c r="Q1438" s="23" t="s">
        <v>26</v>
      </c>
      <c r="R1438" s="23" t="s">
        <v>1345</v>
      </c>
      <c r="S1438" s="33">
        <v>0.7</v>
      </c>
      <c r="T1438" s="13">
        <v>14.301</v>
      </c>
      <c r="U1438" s="13">
        <v>-10.487399999999999</v>
      </c>
      <c r="V1438" s="55">
        <f>IFERROR(Table12[[#This Row],[Profit]]/Table12[[#This Row],[Sales]],0)</f>
        <v>-0.73333333333333328</v>
      </c>
    </row>
    <row r="1439" spans="1:22" x14ac:dyDescent="0.2">
      <c r="A1439">
        <v>1438</v>
      </c>
      <c r="B1439" t="s">
        <v>8124</v>
      </c>
      <c r="C1439" s="1">
        <v>41946</v>
      </c>
      <c r="D1439" s="22">
        <f>MONTH(Table12[[#This Row],[Order Date]])</f>
        <v>11</v>
      </c>
      <c r="E1439" t="s">
        <v>4741</v>
      </c>
      <c r="F1439" t="s">
        <v>4742</v>
      </c>
      <c r="G1439" s="23" t="s">
        <v>28</v>
      </c>
      <c r="H1439" s="23" t="s">
        <v>58</v>
      </c>
      <c r="I1439" t="s">
        <v>996</v>
      </c>
      <c r="J1439" s="23" t="s">
        <v>22</v>
      </c>
      <c r="K1439" s="22">
        <v>3</v>
      </c>
      <c r="L1439" s="1">
        <v>41950</v>
      </c>
      <c r="M1439" s="22">
        <f>Table12[[#This Row],[Ship Date]]-Table12[[#This Row],[Order Date]]</f>
        <v>4</v>
      </c>
      <c r="N1439" s="23" t="s">
        <v>45</v>
      </c>
      <c r="O1439" s="23" t="s">
        <v>23</v>
      </c>
      <c r="P1439" s="23" t="s">
        <v>80</v>
      </c>
      <c r="Q1439" s="23" t="s">
        <v>26</v>
      </c>
      <c r="R1439" s="23" t="s">
        <v>1345</v>
      </c>
      <c r="S1439" s="33">
        <v>0.2</v>
      </c>
      <c r="T1439" s="13">
        <v>410.35199999999998</v>
      </c>
      <c r="U1439" s="13">
        <v>-51.293999999999997</v>
      </c>
      <c r="V1439" s="55">
        <f>IFERROR(Table12[[#This Row],[Profit]]/Table12[[#This Row],[Sales]],0)</f>
        <v>-0.125</v>
      </c>
    </row>
    <row r="1440" spans="1:22" x14ac:dyDescent="0.2">
      <c r="A1440">
        <v>1439</v>
      </c>
      <c r="B1440" t="s">
        <v>9567</v>
      </c>
      <c r="C1440" s="1">
        <v>41946</v>
      </c>
      <c r="D1440" s="22">
        <f>MONTH(Table12[[#This Row],[Order Date]])</f>
        <v>11</v>
      </c>
      <c r="E1440" t="s">
        <v>2104</v>
      </c>
      <c r="F1440" t="s">
        <v>2105</v>
      </c>
      <c r="G1440" s="23" t="s">
        <v>41</v>
      </c>
      <c r="H1440" s="23" t="s">
        <v>68</v>
      </c>
      <c r="I1440" t="s">
        <v>5370</v>
      </c>
      <c r="J1440" s="23" t="s">
        <v>36</v>
      </c>
      <c r="K1440" s="22">
        <v>2</v>
      </c>
      <c r="L1440" s="1">
        <v>41948</v>
      </c>
      <c r="M1440" s="22">
        <f>Table12[[#This Row],[Ship Date]]-Table12[[#This Row],[Order Date]]</f>
        <v>2</v>
      </c>
      <c r="N1440" s="23" t="s">
        <v>20</v>
      </c>
      <c r="O1440" s="23" t="s">
        <v>23</v>
      </c>
      <c r="P1440" s="23" t="s">
        <v>695</v>
      </c>
      <c r="Q1440" s="23" t="s">
        <v>133</v>
      </c>
      <c r="R1440" s="23" t="s">
        <v>5404</v>
      </c>
      <c r="S1440" s="33">
        <v>0</v>
      </c>
      <c r="T1440" s="13">
        <v>5.76</v>
      </c>
      <c r="U1440" s="13">
        <v>2.8224</v>
      </c>
      <c r="V1440" s="55">
        <f>IFERROR(Table12[[#This Row],[Profit]]/Table12[[#This Row],[Sales]],0)</f>
        <v>0.49000000000000005</v>
      </c>
    </row>
    <row r="1441" spans="1:22" x14ac:dyDescent="0.2">
      <c r="A1441">
        <v>1440</v>
      </c>
      <c r="B1441" t="s">
        <v>9630</v>
      </c>
      <c r="C1441" s="1">
        <v>41946</v>
      </c>
      <c r="D1441" s="22">
        <f>MONTH(Table12[[#This Row],[Order Date]])</f>
        <v>11</v>
      </c>
      <c r="E1441" t="s">
        <v>3675</v>
      </c>
      <c r="F1441" t="s">
        <v>3676</v>
      </c>
      <c r="G1441" s="23" t="s">
        <v>64</v>
      </c>
      <c r="H1441" s="23" t="s">
        <v>144</v>
      </c>
      <c r="I1441" t="s">
        <v>556</v>
      </c>
      <c r="J1441" s="23" t="s">
        <v>36</v>
      </c>
      <c r="K1441" s="22">
        <v>3</v>
      </c>
      <c r="L1441" s="1">
        <v>41950</v>
      </c>
      <c r="M1441" s="22">
        <f>Table12[[#This Row],[Ship Date]]-Table12[[#This Row],[Order Date]]</f>
        <v>4</v>
      </c>
      <c r="N1441" s="23" t="s">
        <v>45</v>
      </c>
      <c r="O1441" s="23" t="s">
        <v>23</v>
      </c>
      <c r="P1441" s="23" t="s">
        <v>124</v>
      </c>
      <c r="Q1441" s="23" t="s">
        <v>95</v>
      </c>
      <c r="R1441" s="23" t="s">
        <v>2226</v>
      </c>
      <c r="S1441" s="33">
        <v>0</v>
      </c>
      <c r="T1441" s="13">
        <v>89.97</v>
      </c>
      <c r="U1441" s="13">
        <v>18.893699999999999</v>
      </c>
      <c r="V1441" s="55">
        <f>IFERROR(Table12[[#This Row],[Profit]]/Table12[[#This Row],[Sales]],0)</f>
        <v>0.21</v>
      </c>
    </row>
    <row r="1442" spans="1:22" x14ac:dyDescent="0.2">
      <c r="A1442">
        <v>1441</v>
      </c>
      <c r="B1442" t="s">
        <v>9715</v>
      </c>
      <c r="C1442" s="1">
        <v>41946</v>
      </c>
      <c r="D1442" s="22">
        <f>MONTH(Table12[[#This Row],[Order Date]])</f>
        <v>11</v>
      </c>
      <c r="E1442" t="s">
        <v>257</v>
      </c>
      <c r="F1442" t="s">
        <v>258</v>
      </c>
      <c r="G1442" s="23" t="s">
        <v>41</v>
      </c>
      <c r="H1442" s="23" t="s">
        <v>61</v>
      </c>
      <c r="I1442" t="s">
        <v>3186</v>
      </c>
      <c r="J1442" s="23" t="s">
        <v>92</v>
      </c>
      <c r="K1442" s="22">
        <v>4</v>
      </c>
      <c r="L1442" s="1">
        <v>41946</v>
      </c>
      <c r="M1442" s="22">
        <f>Table12[[#This Row],[Ship Date]]-Table12[[#This Row],[Order Date]]</f>
        <v>0</v>
      </c>
      <c r="N1442" s="23" t="s">
        <v>1141</v>
      </c>
      <c r="O1442" s="23" t="s">
        <v>23</v>
      </c>
      <c r="P1442" s="23" t="s">
        <v>38</v>
      </c>
      <c r="Q1442" s="23" t="s">
        <v>39</v>
      </c>
      <c r="R1442" s="23" t="s">
        <v>37</v>
      </c>
      <c r="S1442" s="33">
        <v>0</v>
      </c>
      <c r="T1442" s="13">
        <v>6.72</v>
      </c>
      <c r="U1442" s="13">
        <v>3.36</v>
      </c>
      <c r="V1442" s="55">
        <f>IFERROR(Table12[[#This Row],[Profit]]/Table12[[#This Row],[Sales]],0)</f>
        <v>0.5</v>
      </c>
    </row>
    <row r="1443" spans="1:22" x14ac:dyDescent="0.2">
      <c r="A1443">
        <v>1442</v>
      </c>
      <c r="B1443" t="s">
        <v>1027</v>
      </c>
      <c r="C1443" s="1">
        <v>41947</v>
      </c>
      <c r="D1443" s="22">
        <f>MONTH(Table12[[#This Row],[Order Date]])</f>
        <v>11</v>
      </c>
      <c r="E1443" t="s">
        <v>1029</v>
      </c>
      <c r="F1443" t="s">
        <v>1030</v>
      </c>
      <c r="G1443" s="23" t="s">
        <v>28</v>
      </c>
      <c r="H1443" s="23" t="s">
        <v>32</v>
      </c>
      <c r="I1443" t="s">
        <v>1028</v>
      </c>
      <c r="J1443" s="23" t="s">
        <v>92</v>
      </c>
      <c r="K1443" s="22">
        <v>1</v>
      </c>
      <c r="L1443" s="1">
        <v>41952</v>
      </c>
      <c r="M1443" s="22">
        <f>Table12[[#This Row],[Ship Date]]-Table12[[#This Row],[Order Date]]</f>
        <v>5</v>
      </c>
      <c r="N1443" s="23" t="s">
        <v>45</v>
      </c>
      <c r="O1443" s="23" t="s">
        <v>23</v>
      </c>
      <c r="P1443" s="23" t="s">
        <v>238</v>
      </c>
      <c r="Q1443" s="23" t="s">
        <v>133</v>
      </c>
      <c r="R1443" s="23" t="s">
        <v>237</v>
      </c>
      <c r="S1443" s="33">
        <v>0.1</v>
      </c>
      <c r="T1443" s="13">
        <v>135.88200000000001</v>
      </c>
      <c r="U1443" s="13">
        <v>24.1568</v>
      </c>
      <c r="V1443" s="55">
        <f>IFERROR(Table12[[#This Row],[Profit]]/Table12[[#This Row],[Sales]],0)</f>
        <v>0.17777777777777778</v>
      </c>
    </row>
    <row r="1444" spans="1:22" x14ac:dyDescent="0.2">
      <c r="A1444">
        <v>1443</v>
      </c>
      <c r="B1444" t="s">
        <v>1027</v>
      </c>
      <c r="C1444" s="1">
        <v>41947</v>
      </c>
      <c r="D1444" s="22">
        <f>MONTH(Table12[[#This Row],[Order Date]])</f>
        <v>11</v>
      </c>
      <c r="E1444" t="s">
        <v>1031</v>
      </c>
      <c r="F1444" t="s">
        <v>1032</v>
      </c>
      <c r="G1444" s="23" t="s">
        <v>64</v>
      </c>
      <c r="H1444" s="23" t="s">
        <v>602</v>
      </c>
      <c r="I1444" t="s">
        <v>1028</v>
      </c>
      <c r="J1444" s="23" t="s">
        <v>92</v>
      </c>
      <c r="K1444" s="22">
        <v>2</v>
      </c>
      <c r="L1444" s="1">
        <v>41952</v>
      </c>
      <c r="M1444" s="22">
        <f>Table12[[#This Row],[Ship Date]]-Table12[[#This Row],[Order Date]]</f>
        <v>5</v>
      </c>
      <c r="N1444" s="23" t="s">
        <v>45</v>
      </c>
      <c r="O1444" s="23" t="s">
        <v>23</v>
      </c>
      <c r="P1444" s="23" t="s">
        <v>238</v>
      </c>
      <c r="Q1444" s="23" t="s">
        <v>133</v>
      </c>
      <c r="R1444" s="23" t="s">
        <v>237</v>
      </c>
      <c r="S1444" s="33">
        <v>0</v>
      </c>
      <c r="T1444" s="13">
        <v>3991.98</v>
      </c>
      <c r="U1444" s="13">
        <v>1995.99</v>
      </c>
      <c r="V1444" s="55">
        <f>IFERROR(Table12[[#This Row],[Profit]]/Table12[[#This Row],[Sales]],0)</f>
        <v>0.5</v>
      </c>
    </row>
    <row r="1445" spans="1:22" x14ac:dyDescent="0.2">
      <c r="A1445">
        <v>1444</v>
      </c>
      <c r="B1445" t="s">
        <v>1027</v>
      </c>
      <c r="C1445" s="1">
        <v>41947</v>
      </c>
      <c r="D1445" s="22">
        <f>MONTH(Table12[[#This Row],[Order Date]])</f>
        <v>11</v>
      </c>
      <c r="E1445" t="s">
        <v>190</v>
      </c>
      <c r="F1445" t="s">
        <v>191</v>
      </c>
      <c r="G1445" s="23" t="s">
        <v>64</v>
      </c>
      <c r="H1445" s="23" t="s">
        <v>65</v>
      </c>
      <c r="I1445" t="s">
        <v>1028</v>
      </c>
      <c r="J1445" s="23" t="s">
        <v>92</v>
      </c>
      <c r="K1445" s="22">
        <v>6</v>
      </c>
      <c r="L1445" s="1">
        <v>41952</v>
      </c>
      <c r="M1445" s="22">
        <f>Table12[[#This Row],[Ship Date]]-Table12[[#This Row],[Order Date]]</f>
        <v>5</v>
      </c>
      <c r="N1445" s="23" t="s">
        <v>45</v>
      </c>
      <c r="O1445" s="23" t="s">
        <v>23</v>
      </c>
      <c r="P1445" s="23" t="s">
        <v>238</v>
      </c>
      <c r="Q1445" s="23" t="s">
        <v>133</v>
      </c>
      <c r="R1445" s="23" t="s">
        <v>237</v>
      </c>
      <c r="S1445" s="33">
        <v>0</v>
      </c>
      <c r="T1445" s="13">
        <v>275.94</v>
      </c>
      <c r="U1445" s="13">
        <v>80.022599999999997</v>
      </c>
      <c r="V1445" s="55">
        <f>IFERROR(Table12[[#This Row],[Profit]]/Table12[[#This Row],[Sales]],0)</f>
        <v>0.28999999999999998</v>
      </c>
    </row>
    <row r="1446" spans="1:22" x14ac:dyDescent="0.2">
      <c r="A1446">
        <v>1445</v>
      </c>
      <c r="B1446" t="s">
        <v>1027</v>
      </c>
      <c r="C1446" s="1">
        <v>41947</v>
      </c>
      <c r="D1446" s="22">
        <f>MONTH(Table12[[#This Row],[Order Date]])</f>
        <v>11</v>
      </c>
      <c r="E1446" t="s">
        <v>1033</v>
      </c>
      <c r="F1446" t="s">
        <v>1034</v>
      </c>
      <c r="G1446" s="23" t="s">
        <v>64</v>
      </c>
      <c r="H1446" s="23" t="s">
        <v>144</v>
      </c>
      <c r="I1446" t="s">
        <v>1028</v>
      </c>
      <c r="J1446" s="23" t="s">
        <v>92</v>
      </c>
      <c r="K1446" s="22">
        <v>4</v>
      </c>
      <c r="L1446" s="1">
        <v>41952</v>
      </c>
      <c r="M1446" s="22">
        <f>Table12[[#This Row],[Ship Date]]-Table12[[#This Row],[Order Date]]</f>
        <v>5</v>
      </c>
      <c r="N1446" s="23" t="s">
        <v>45</v>
      </c>
      <c r="O1446" s="23" t="s">
        <v>23</v>
      </c>
      <c r="P1446" s="23" t="s">
        <v>238</v>
      </c>
      <c r="Q1446" s="23" t="s">
        <v>133</v>
      </c>
      <c r="R1446" s="23" t="s">
        <v>237</v>
      </c>
      <c r="S1446" s="33">
        <v>0</v>
      </c>
      <c r="T1446" s="13">
        <v>360</v>
      </c>
      <c r="U1446" s="13">
        <v>129.6</v>
      </c>
      <c r="V1446" s="55">
        <f>IFERROR(Table12[[#This Row],[Profit]]/Table12[[#This Row],[Sales]],0)</f>
        <v>0.36</v>
      </c>
    </row>
    <row r="1447" spans="1:22" x14ac:dyDescent="0.2">
      <c r="A1447">
        <v>1446</v>
      </c>
      <c r="B1447" t="s">
        <v>1027</v>
      </c>
      <c r="C1447" s="1">
        <v>41947</v>
      </c>
      <c r="D1447" s="22">
        <f>MONTH(Table12[[#This Row],[Order Date]])</f>
        <v>11</v>
      </c>
      <c r="E1447" t="s">
        <v>484</v>
      </c>
      <c r="F1447" t="s">
        <v>485</v>
      </c>
      <c r="G1447" s="23" t="s">
        <v>41</v>
      </c>
      <c r="H1447" s="23" t="s">
        <v>53</v>
      </c>
      <c r="I1447" t="s">
        <v>1028</v>
      </c>
      <c r="J1447" s="23" t="s">
        <v>92</v>
      </c>
      <c r="K1447" s="22">
        <v>1</v>
      </c>
      <c r="L1447" s="1">
        <v>41952</v>
      </c>
      <c r="M1447" s="22">
        <f>Table12[[#This Row],[Ship Date]]-Table12[[#This Row],[Order Date]]</f>
        <v>5</v>
      </c>
      <c r="N1447" s="23" t="s">
        <v>45</v>
      </c>
      <c r="O1447" s="23" t="s">
        <v>23</v>
      </c>
      <c r="P1447" s="23" t="s">
        <v>238</v>
      </c>
      <c r="Q1447" s="23" t="s">
        <v>133</v>
      </c>
      <c r="R1447" s="23" t="s">
        <v>237</v>
      </c>
      <c r="S1447" s="33">
        <v>0</v>
      </c>
      <c r="T1447" s="13">
        <v>43.57</v>
      </c>
      <c r="U1447" s="13">
        <v>13.071</v>
      </c>
      <c r="V1447" s="55">
        <f>IFERROR(Table12[[#This Row],[Profit]]/Table12[[#This Row],[Sales]],0)</f>
        <v>0.3</v>
      </c>
    </row>
    <row r="1448" spans="1:22" x14ac:dyDescent="0.2">
      <c r="A1448">
        <v>1447</v>
      </c>
      <c r="B1448" t="s">
        <v>5231</v>
      </c>
      <c r="C1448" s="1">
        <v>41947</v>
      </c>
      <c r="D1448" s="22">
        <f>MONTH(Table12[[#This Row],[Order Date]])</f>
        <v>11</v>
      </c>
      <c r="E1448" t="s">
        <v>763</v>
      </c>
      <c r="F1448" t="s">
        <v>764</v>
      </c>
      <c r="G1448" s="23" t="s">
        <v>41</v>
      </c>
      <c r="H1448" s="23" t="s">
        <v>240</v>
      </c>
      <c r="I1448" t="s">
        <v>202</v>
      </c>
      <c r="J1448" s="23" t="s">
        <v>36</v>
      </c>
      <c r="K1448" s="22">
        <v>3</v>
      </c>
      <c r="L1448" s="1">
        <v>41951</v>
      </c>
      <c r="M1448" s="22">
        <f>Table12[[#This Row],[Ship Date]]-Table12[[#This Row],[Order Date]]</f>
        <v>4</v>
      </c>
      <c r="N1448" s="23" t="s">
        <v>20</v>
      </c>
      <c r="O1448" s="23" t="s">
        <v>23</v>
      </c>
      <c r="P1448" s="23" t="s">
        <v>80</v>
      </c>
      <c r="Q1448" s="23" t="s">
        <v>26</v>
      </c>
      <c r="R1448" s="23" t="s">
        <v>2002</v>
      </c>
      <c r="S1448" s="33">
        <v>0.2</v>
      </c>
      <c r="T1448" s="13">
        <v>8.3759999999999994</v>
      </c>
      <c r="U1448" s="13">
        <v>2.7222</v>
      </c>
      <c r="V1448" s="55">
        <f>IFERROR(Table12[[#This Row],[Profit]]/Table12[[#This Row],[Sales]],0)</f>
        <v>0.32500000000000001</v>
      </c>
    </row>
    <row r="1449" spans="1:22" x14ac:dyDescent="0.2">
      <c r="A1449">
        <v>1448</v>
      </c>
      <c r="B1449" t="s">
        <v>5231</v>
      </c>
      <c r="C1449" s="1">
        <v>41947</v>
      </c>
      <c r="D1449" s="22">
        <f>MONTH(Table12[[#This Row],[Order Date]])</f>
        <v>11</v>
      </c>
      <c r="E1449" t="s">
        <v>3224</v>
      </c>
      <c r="F1449" t="s">
        <v>3225</v>
      </c>
      <c r="G1449" s="23" t="s">
        <v>41</v>
      </c>
      <c r="H1449" s="23" t="s">
        <v>71</v>
      </c>
      <c r="I1449" t="s">
        <v>202</v>
      </c>
      <c r="J1449" s="23" t="s">
        <v>36</v>
      </c>
      <c r="K1449" s="22">
        <v>5</v>
      </c>
      <c r="L1449" s="1">
        <v>41951</v>
      </c>
      <c r="M1449" s="22">
        <f>Table12[[#This Row],[Ship Date]]-Table12[[#This Row],[Order Date]]</f>
        <v>4</v>
      </c>
      <c r="N1449" s="23" t="s">
        <v>20</v>
      </c>
      <c r="O1449" s="23" t="s">
        <v>23</v>
      </c>
      <c r="P1449" s="23" t="s">
        <v>80</v>
      </c>
      <c r="Q1449" s="23" t="s">
        <v>26</v>
      </c>
      <c r="R1449" s="23" t="s">
        <v>2002</v>
      </c>
      <c r="S1449" s="33">
        <v>0.2</v>
      </c>
      <c r="T1449" s="13">
        <v>58.24</v>
      </c>
      <c r="U1449" s="13">
        <v>5.0960000000000001</v>
      </c>
      <c r="V1449" s="55">
        <f>IFERROR(Table12[[#This Row],[Profit]]/Table12[[#This Row],[Sales]],0)</f>
        <v>8.7499999999999994E-2</v>
      </c>
    </row>
    <row r="1450" spans="1:22" x14ac:dyDescent="0.2">
      <c r="A1450">
        <v>1449</v>
      </c>
      <c r="B1450" t="s">
        <v>5252</v>
      </c>
      <c r="C1450" s="1">
        <v>41947</v>
      </c>
      <c r="D1450" s="22">
        <f>MONTH(Table12[[#This Row],[Order Date]])</f>
        <v>11</v>
      </c>
      <c r="E1450" t="s">
        <v>5070</v>
      </c>
      <c r="F1450" t="s">
        <v>5071</v>
      </c>
      <c r="G1450" s="23" t="s">
        <v>28</v>
      </c>
      <c r="H1450" s="23" t="s">
        <v>58</v>
      </c>
      <c r="I1450" t="s">
        <v>5253</v>
      </c>
      <c r="J1450" s="23" t="s">
        <v>22</v>
      </c>
      <c r="K1450" s="22">
        <v>2</v>
      </c>
      <c r="L1450" s="1">
        <v>41951</v>
      </c>
      <c r="M1450" s="22">
        <f>Table12[[#This Row],[Ship Date]]-Table12[[#This Row],[Order Date]]</f>
        <v>4</v>
      </c>
      <c r="N1450" s="23" t="s">
        <v>45</v>
      </c>
      <c r="O1450" s="23" t="s">
        <v>23</v>
      </c>
      <c r="P1450" s="23" t="s">
        <v>38</v>
      </c>
      <c r="Q1450" s="23" t="s">
        <v>39</v>
      </c>
      <c r="R1450" s="23" t="s">
        <v>836</v>
      </c>
      <c r="S1450" s="33">
        <v>0</v>
      </c>
      <c r="T1450" s="13">
        <v>35.340000000000003</v>
      </c>
      <c r="U1450" s="13">
        <v>13.4292</v>
      </c>
      <c r="V1450" s="55">
        <f>IFERROR(Table12[[#This Row],[Profit]]/Table12[[#This Row],[Sales]],0)</f>
        <v>0.37999999999999995</v>
      </c>
    </row>
    <row r="1451" spans="1:22" x14ac:dyDescent="0.2">
      <c r="A1451">
        <v>1450</v>
      </c>
      <c r="B1451" t="s">
        <v>6663</v>
      </c>
      <c r="C1451" s="1">
        <v>41947</v>
      </c>
      <c r="D1451" s="22">
        <f>MONTH(Table12[[#This Row],[Order Date]])</f>
        <v>11</v>
      </c>
      <c r="E1451" t="s">
        <v>4576</v>
      </c>
      <c r="F1451" t="s">
        <v>4577</v>
      </c>
      <c r="G1451" s="23" t="s">
        <v>64</v>
      </c>
      <c r="H1451" s="23" t="s">
        <v>65</v>
      </c>
      <c r="I1451" t="s">
        <v>4484</v>
      </c>
      <c r="J1451" s="23" t="s">
        <v>22</v>
      </c>
      <c r="K1451" s="22">
        <v>7</v>
      </c>
      <c r="L1451" s="1">
        <v>41954</v>
      </c>
      <c r="M1451" s="22">
        <f>Table12[[#This Row],[Ship Date]]-Table12[[#This Row],[Order Date]]</f>
        <v>7</v>
      </c>
      <c r="N1451" s="23" t="s">
        <v>45</v>
      </c>
      <c r="O1451" s="23" t="s">
        <v>23</v>
      </c>
      <c r="P1451" s="23" t="s">
        <v>38</v>
      </c>
      <c r="Q1451" s="23" t="s">
        <v>39</v>
      </c>
      <c r="R1451" s="23" t="s">
        <v>37</v>
      </c>
      <c r="S1451" s="33">
        <v>0.2</v>
      </c>
      <c r="T1451" s="13">
        <v>666.34400000000005</v>
      </c>
      <c r="U1451" s="13">
        <v>66.634399999999999</v>
      </c>
      <c r="V1451" s="55">
        <f>IFERROR(Table12[[#This Row],[Profit]]/Table12[[#This Row],[Sales]],0)</f>
        <v>9.9999999999999992E-2</v>
      </c>
    </row>
    <row r="1452" spans="1:22" x14ac:dyDescent="0.2">
      <c r="A1452">
        <v>1451</v>
      </c>
      <c r="B1452" t="s">
        <v>6663</v>
      </c>
      <c r="C1452" s="1">
        <v>41947</v>
      </c>
      <c r="D1452" s="22">
        <f>MONTH(Table12[[#This Row],[Order Date]])</f>
        <v>11</v>
      </c>
      <c r="E1452" t="s">
        <v>1269</v>
      </c>
      <c r="F1452" t="s">
        <v>1270</v>
      </c>
      <c r="G1452" s="23" t="s">
        <v>28</v>
      </c>
      <c r="H1452" s="23" t="s">
        <v>50</v>
      </c>
      <c r="I1452" t="s">
        <v>4484</v>
      </c>
      <c r="J1452" s="23" t="s">
        <v>22</v>
      </c>
      <c r="K1452" s="22">
        <v>4</v>
      </c>
      <c r="L1452" s="1">
        <v>41954</v>
      </c>
      <c r="M1452" s="22">
        <f>Table12[[#This Row],[Ship Date]]-Table12[[#This Row],[Order Date]]</f>
        <v>7</v>
      </c>
      <c r="N1452" s="23" t="s">
        <v>45</v>
      </c>
      <c r="O1452" s="23" t="s">
        <v>23</v>
      </c>
      <c r="P1452" s="23" t="s">
        <v>38</v>
      </c>
      <c r="Q1452" s="23" t="s">
        <v>39</v>
      </c>
      <c r="R1452" s="23" t="s">
        <v>37</v>
      </c>
      <c r="S1452" s="33">
        <v>0.2</v>
      </c>
      <c r="T1452" s="13">
        <v>573.72799999999995</v>
      </c>
      <c r="U1452" s="13">
        <v>-64.544399999999996</v>
      </c>
      <c r="V1452" s="55">
        <f>IFERROR(Table12[[#This Row],[Profit]]/Table12[[#This Row],[Sales]],0)</f>
        <v>-0.1125</v>
      </c>
    </row>
    <row r="1453" spans="1:22" x14ac:dyDescent="0.2">
      <c r="A1453">
        <v>1452</v>
      </c>
      <c r="B1453" t="s">
        <v>6663</v>
      </c>
      <c r="C1453" s="1">
        <v>41947</v>
      </c>
      <c r="D1453" s="22">
        <f>MONTH(Table12[[#This Row],[Order Date]])</f>
        <v>11</v>
      </c>
      <c r="E1453" t="s">
        <v>2147</v>
      </c>
      <c r="F1453" t="s">
        <v>2148</v>
      </c>
      <c r="G1453" s="23" t="s">
        <v>41</v>
      </c>
      <c r="H1453" s="23" t="s">
        <v>68</v>
      </c>
      <c r="I1453" t="s">
        <v>4484</v>
      </c>
      <c r="J1453" s="23" t="s">
        <v>22</v>
      </c>
      <c r="K1453" s="22">
        <v>3</v>
      </c>
      <c r="L1453" s="1">
        <v>41954</v>
      </c>
      <c r="M1453" s="22">
        <f>Table12[[#This Row],[Ship Date]]-Table12[[#This Row],[Order Date]]</f>
        <v>7</v>
      </c>
      <c r="N1453" s="23" t="s">
        <v>45</v>
      </c>
      <c r="O1453" s="23" t="s">
        <v>23</v>
      </c>
      <c r="P1453" s="23" t="s">
        <v>38</v>
      </c>
      <c r="Q1453" s="23" t="s">
        <v>39</v>
      </c>
      <c r="R1453" s="23" t="s">
        <v>37</v>
      </c>
      <c r="S1453" s="33">
        <v>0.2</v>
      </c>
      <c r="T1453" s="13">
        <v>21.936</v>
      </c>
      <c r="U1453" s="13">
        <v>8.2260000000000009</v>
      </c>
      <c r="V1453" s="55">
        <f>IFERROR(Table12[[#This Row],[Profit]]/Table12[[#This Row],[Sales]],0)</f>
        <v>0.37500000000000006</v>
      </c>
    </row>
    <row r="1454" spans="1:22" x14ac:dyDescent="0.2">
      <c r="A1454">
        <v>1453</v>
      </c>
      <c r="B1454" t="s">
        <v>6663</v>
      </c>
      <c r="C1454" s="1">
        <v>41947</v>
      </c>
      <c r="D1454" s="22">
        <f>MONTH(Table12[[#This Row],[Order Date]])</f>
        <v>11</v>
      </c>
      <c r="E1454" t="s">
        <v>5136</v>
      </c>
      <c r="F1454" t="s">
        <v>5137</v>
      </c>
      <c r="G1454" s="23" t="s">
        <v>41</v>
      </c>
      <c r="H1454" s="23" t="s">
        <v>82</v>
      </c>
      <c r="I1454" t="s">
        <v>4484</v>
      </c>
      <c r="J1454" s="23" t="s">
        <v>22</v>
      </c>
      <c r="K1454" s="22">
        <v>3</v>
      </c>
      <c r="L1454" s="1">
        <v>41954</v>
      </c>
      <c r="M1454" s="22">
        <f>Table12[[#This Row],[Ship Date]]-Table12[[#This Row],[Order Date]]</f>
        <v>7</v>
      </c>
      <c r="N1454" s="23" t="s">
        <v>45</v>
      </c>
      <c r="O1454" s="23" t="s">
        <v>23</v>
      </c>
      <c r="P1454" s="23" t="s">
        <v>38</v>
      </c>
      <c r="Q1454" s="23" t="s">
        <v>39</v>
      </c>
      <c r="R1454" s="23" t="s">
        <v>37</v>
      </c>
      <c r="S1454" s="33">
        <v>0</v>
      </c>
      <c r="T1454" s="13">
        <v>19.440000000000001</v>
      </c>
      <c r="U1454" s="13">
        <v>9.3312000000000008</v>
      </c>
      <c r="V1454" s="55">
        <f>IFERROR(Table12[[#This Row],[Profit]]/Table12[[#This Row],[Sales]],0)</f>
        <v>0.48000000000000004</v>
      </c>
    </row>
    <row r="1455" spans="1:22" x14ac:dyDescent="0.2">
      <c r="A1455">
        <v>1454</v>
      </c>
      <c r="B1455" t="s">
        <v>6663</v>
      </c>
      <c r="C1455" s="1">
        <v>41947</v>
      </c>
      <c r="D1455" s="22">
        <f>MONTH(Table12[[#This Row],[Order Date]])</f>
        <v>11</v>
      </c>
      <c r="E1455" t="s">
        <v>6664</v>
      </c>
      <c r="F1455" t="s">
        <v>6665</v>
      </c>
      <c r="G1455" s="23" t="s">
        <v>64</v>
      </c>
      <c r="H1455" s="23" t="s">
        <v>602</v>
      </c>
      <c r="I1455" t="s">
        <v>4484</v>
      </c>
      <c r="J1455" s="23" t="s">
        <v>22</v>
      </c>
      <c r="K1455" s="22">
        <v>4</v>
      </c>
      <c r="L1455" s="1">
        <v>41954</v>
      </c>
      <c r="M1455" s="22">
        <f>Table12[[#This Row],[Ship Date]]-Table12[[#This Row],[Order Date]]</f>
        <v>7</v>
      </c>
      <c r="N1455" s="23" t="s">
        <v>45</v>
      </c>
      <c r="O1455" s="23" t="s">
        <v>23</v>
      </c>
      <c r="P1455" s="23" t="s">
        <v>38</v>
      </c>
      <c r="Q1455" s="23" t="s">
        <v>39</v>
      </c>
      <c r="R1455" s="23" t="s">
        <v>37</v>
      </c>
      <c r="S1455" s="33">
        <v>0.2</v>
      </c>
      <c r="T1455" s="13">
        <v>447.96800000000002</v>
      </c>
      <c r="U1455" s="13">
        <v>139.99</v>
      </c>
      <c r="V1455" s="55">
        <f>IFERROR(Table12[[#This Row],[Profit]]/Table12[[#This Row],[Sales]],0)</f>
        <v>0.3125</v>
      </c>
    </row>
    <row r="1456" spans="1:22" x14ac:dyDescent="0.2">
      <c r="A1456">
        <v>1455</v>
      </c>
      <c r="B1456" t="s">
        <v>7166</v>
      </c>
      <c r="C1456" s="1">
        <v>41947</v>
      </c>
      <c r="D1456" s="22">
        <f>MONTH(Table12[[#This Row],[Order Date]])</f>
        <v>11</v>
      </c>
      <c r="E1456" t="s">
        <v>5851</v>
      </c>
      <c r="F1456" t="s">
        <v>5852</v>
      </c>
      <c r="G1456" s="23" t="s">
        <v>41</v>
      </c>
      <c r="H1456" s="23" t="s">
        <v>68</v>
      </c>
      <c r="I1456" t="s">
        <v>3315</v>
      </c>
      <c r="J1456" s="23" t="s">
        <v>92</v>
      </c>
      <c r="K1456" s="22">
        <v>4</v>
      </c>
      <c r="L1456" s="1">
        <v>41953</v>
      </c>
      <c r="M1456" s="22">
        <f>Table12[[#This Row],[Ship Date]]-Table12[[#This Row],[Order Date]]</f>
        <v>6</v>
      </c>
      <c r="N1456" s="23" t="s">
        <v>45</v>
      </c>
      <c r="O1456" s="23" t="s">
        <v>23</v>
      </c>
      <c r="P1456" s="23" t="s">
        <v>238</v>
      </c>
      <c r="Q1456" s="23" t="s">
        <v>133</v>
      </c>
      <c r="R1456" s="23" t="s">
        <v>237</v>
      </c>
      <c r="S1456" s="33">
        <v>0.2</v>
      </c>
      <c r="T1456" s="13">
        <v>52.064</v>
      </c>
      <c r="U1456" s="13">
        <v>18.873200000000001</v>
      </c>
      <c r="V1456" s="55">
        <f>IFERROR(Table12[[#This Row],[Profit]]/Table12[[#This Row],[Sales]],0)</f>
        <v>0.36249999999999999</v>
      </c>
    </row>
    <row r="1457" spans="1:22" x14ac:dyDescent="0.2">
      <c r="A1457">
        <v>1456</v>
      </c>
      <c r="B1457" t="s">
        <v>7643</v>
      </c>
      <c r="C1457" s="1">
        <v>41947</v>
      </c>
      <c r="D1457" s="22">
        <f>MONTH(Table12[[#This Row],[Order Date]])</f>
        <v>11</v>
      </c>
      <c r="E1457" t="s">
        <v>519</v>
      </c>
      <c r="F1457" t="s">
        <v>520</v>
      </c>
      <c r="G1457" s="23" t="s">
        <v>41</v>
      </c>
      <c r="H1457" s="23" t="s">
        <v>61</v>
      </c>
      <c r="I1457" t="s">
        <v>1913</v>
      </c>
      <c r="J1457" s="23" t="s">
        <v>36</v>
      </c>
      <c r="K1457" s="22">
        <v>1</v>
      </c>
      <c r="L1457" s="1">
        <v>41954</v>
      </c>
      <c r="M1457" s="22">
        <f>Table12[[#This Row],[Ship Date]]-Table12[[#This Row],[Order Date]]</f>
        <v>7</v>
      </c>
      <c r="N1457" s="23" t="s">
        <v>45</v>
      </c>
      <c r="O1457" s="23" t="s">
        <v>23</v>
      </c>
      <c r="P1457" s="23" t="s">
        <v>38</v>
      </c>
      <c r="Q1457" s="23" t="s">
        <v>39</v>
      </c>
      <c r="R1457" s="23" t="s">
        <v>1037</v>
      </c>
      <c r="S1457" s="33">
        <v>0</v>
      </c>
      <c r="T1457" s="13">
        <v>2.94</v>
      </c>
      <c r="U1457" s="13">
        <v>0.79379999999999995</v>
      </c>
      <c r="V1457" s="55">
        <f>IFERROR(Table12[[#This Row],[Profit]]/Table12[[#This Row],[Sales]],0)</f>
        <v>0.26999999999999996</v>
      </c>
    </row>
    <row r="1458" spans="1:22" x14ac:dyDescent="0.2">
      <c r="A1458">
        <v>1457</v>
      </c>
      <c r="B1458" t="s">
        <v>8256</v>
      </c>
      <c r="C1458" s="1">
        <v>41948</v>
      </c>
      <c r="D1458" s="22">
        <f>MONTH(Table12[[#This Row],[Order Date]])</f>
        <v>11</v>
      </c>
      <c r="E1458" t="s">
        <v>5892</v>
      </c>
      <c r="F1458" t="s">
        <v>5893</v>
      </c>
      <c r="G1458" s="23" t="s">
        <v>28</v>
      </c>
      <c r="H1458" s="23" t="s">
        <v>58</v>
      </c>
      <c r="I1458" t="s">
        <v>2686</v>
      </c>
      <c r="J1458" s="23" t="s">
        <v>92</v>
      </c>
      <c r="K1458" s="22">
        <v>6</v>
      </c>
      <c r="L1458" s="1">
        <v>41953</v>
      </c>
      <c r="M1458" s="22">
        <f>Table12[[#This Row],[Ship Date]]-Table12[[#This Row],[Order Date]]</f>
        <v>5</v>
      </c>
      <c r="N1458" s="23" t="s">
        <v>45</v>
      </c>
      <c r="O1458" s="23" t="s">
        <v>23</v>
      </c>
      <c r="P1458" s="23" t="s">
        <v>38</v>
      </c>
      <c r="Q1458" s="23" t="s">
        <v>39</v>
      </c>
      <c r="R1458" s="23" t="s">
        <v>37</v>
      </c>
      <c r="S1458" s="33">
        <v>0</v>
      </c>
      <c r="T1458" s="13">
        <v>20.04</v>
      </c>
      <c r="U1458" s="13">
        <v>8.8176000000000005</v>
      </c>
      <c r="V1458" s="55">
        <f>IFERROR(Table12[[#This Row],[Profit]]/Table12[[#This Row],[Sales]],0)</f>
        <v>0.44000000000000006</v>
      </c>
    </row>
    <row r="1459" spans="1:22" x14ac:dyDescent="0.2">
      <c r="A1459">
        <v>1458</v>
      </c>
      <c r="B1459" t="s">
        <v>9396</v>
      </c>
      <c r="C1459" s="1">
        <v>41948</v>
      </c>
      <c r="D1459" s="22">
        <f>MONTH(Table12[[#This Row],[Order Date]])</f>
        <v>11</v>
      </c>
      <c r="E1459" t="s">
        <v>4994</v>
      </c>
      <c r="F1459" t="s">
        <v>4995</v>
      </c>
      <c r="G1459" s="23" t="s">
        <v>64</v>
      </c>
      <c r="H1459" s="23" t="s">
        <v>144</v>
      </c>
      <c r="I1459" t="s">
        <v>1892</v>
      </c>
      <c r="J1459" s="23" t="s">
        <v>92</v>
      </c>
      <c r="K1459" s="22">
        <v>3</v>
      </c>
      <c r="L1459" s="1">
        <v>41953</v>
      </c>
      <c r="M1459" s="22">
        <f>Table12[[#This Row],[Ship Date]]-Table12[[#This Row],[Order Date]]</f>
        <v>5</v>
      </c>
      <c r="N1459" s="23" t="s">
        <v>45</v>
      </c>
      <c r="O1459" s="23" t="s">
        <v>23</v>
      </c>
      <c r="P1459" s="23" t="s">
        <v>285</v>
      </c>
      <c r="Q1459" s="23" t="s">
        <v>26</v>
      </c>
      <c r="R1459" s="23" t="s">
        <v>997</v>
      </c>
      <c r="S1459" s="33">
        <v>0</v>
      </c>
      <c r="T1459" s="13">
        <v>47.79</v>
      </c>
      <c r="U1459" s="13">
        <v>16.2486</v>
      </c>
      <c r="V1459" s="55">
        <f>IFERROR(Table12[[#This Row],[Profit]]/Table12[[#This Row],[Sales]],0)</f>
        <v>0.34</v>
      </c>
    </row>
    <row r="1460" spans="1:22" x14ac:dyDescent="0.2">
      <c r="A1460">
        <v>1459</v>
      </c>
      <c r="B1460" t="s">
        <v>10006</v>
      </c>
      <c r="C1460" s="1">
        <v>41948</v>
      </c>
      <c r="D1460" s="22">
        <f>MONTH(Table12[[#This Row],[Order Date]])</f>
        <v>11</v>
      </c>
      <c r="E1460" t="s">
        <v>4741</v>
      </c>
      <c r="F1460" t="s">
        <v>4742</v>
      </c>
      <c r="G1460" s="23" t="s">
        <v>28</v>
      </c>
      <c r="H1460" s="23" t="s">
        <v>58</v>
      </c>
      <c r="I1460" t="s">
        <v>1508</v>
      </c>
      <c r="J1460" s="23" t="s">
        <v>22</v>
      </c>
      <c r="K1460" s="22">
        <v>2</v>
      </c>
      <c r="L1460" s="1">
        <v>41953</v>
      </c>
      <c r="M1460" s="22">
        <f>Table12[[#This Row],[Ship Date]]-Table12[[#This Row],[Order Date]]</f>
        <v>5</v>
      </c>
      <c r="N1460" s="23" t="s">
        <v>45</v>
      </c>
      <c r="O1460" s="23" t="s">
        <v>23</v>
      </c>
      <c r="P1460" s="23" t="s">
        <v>132</v>
      </c>
      <c r="Q1460" s="23" t="s">
        <v>133</v>
      </c>
      <c r="R1460" s="23" t="s">
        <v>131</v>
      </c>
      <c r="S1460" s="33">
        <v>0.2</v>
      </c>
      <c r="T1460" s="13">
        <v>273.56799999999998</v>
      </c>
      <c r="U1460" s="13">
        <v>-34.195999999999998</v>
      </c>
      <c r="V1460" s="55">
        <f>IFERROR(Table12[[#This Row],[Profit]]/Table12[[#This Row],[Sales]],0)</f>
        <v>-0.125</v>
      </c>
    </row>
    <row r="1461" spans="1:22" x14ac:dyDescent="0.2">
      <c r="A1461">
        <v>1460</v>
      </c>
      <c r="B1461" t="s">
        <v>10006</v>
      </c>
      <c r="C1461" s="1">
        <v>41948</v>
      </c>
      <c r="D1461" s="22">
        <f>MONTH(Table12[[#This Row],[Order Date]])</f>
        <v>11</v>
      </c>
      <c r="E1461" t="s">
        <v>2454</v>
      </c>
      <c r="F1461" t="s">
        <v>2455</v>
      </c>
      <c r="G1461" s="23" t="s">
        <v>41</v>
      </c>
      <c r="H1461" s="23" t="s">
        <v>68</v>
      </c>
      <c r="I1461" t="s">
        <v>1508</v>
      </c>
      <c r="J1461" s="23" t="s">
        <v>22</v>
      </c>
      <c r="K1461" s="22">
        <v>2</v>
      </c>
      <c r="L1461" s="1">
        <v>41953</v>
      </c>
      <c r="M1461" s="22">
        <f>Table12[[#This Row],[Ship Date]]-Table12[[#This Row],[Order Date]]</f>
        <v>5</v>
      </c>
      <c r="N1461" s="23" t="s">
        <v>45</v>
      </c>
      <c r="O1461" s="23" t="s">
        <v>23</v>
      </c>
      <c r="P1461" s="23" t="s">
        <v>132</v>
      </c>
      <c r="Q1461" s="23" t="s">
        <v>133</v>
      </c>
      <c r="R1461" s="23" t="s">
        <v>131</v>
      </c>
      <c r="S1461" s="33">
        <v>0.7</v>
      </c>
      <c r="T1461" s="13">
        <v>13.194000000000001</v>
      </c>
      <c r="U1461" s="13">
        <v>-8.7959999999999994</v>
      </c>
      <c r="V1461" s="55">
        <f>IFERROR(Table12[[#This Row],[Profit]]/Table12[[#This Row],[Sales]],0)</f>
        <v>-0.66666666666666663</v>
      </c>
    </row>
    <row r="1462" spans="1:22" x14ac:dyDescent="0.2">
      <c r="A1462">
        <v>1461</v>
      </c>
      <c r="B1462" t="s">
        <v>10006</v>
      </c>
      <c r="C1462" s="1">
        <v>41948</v>
      </c>
      <c r="D1462" s="22">
        <f>MONTH(Table12[[#This Row],[Order Date]])</f>
        <v>11</v>
      </c>
      <c r="E1462" t="s">
        <v>3101</v>
      </c>
      <c r="F1462" t="s">
        <v>3102</v>
      </c>
      <c r="G1462" s="23" t="s">
        <v>41</v>
      </c>
      <c r="H1462" s="23" t="s">
        <v>53</v>
      </c>
      <c r="I1462" t="s">
        <v>1508</v>
      </c>
      <c r="J1462" s="23" t="s">
        <v>22</v>
      </c>
      <c r="K1462" s="22">
        <v>6</v>
      </c>
      <c r="L1462" s="1">
        <v>41953</v>
      </c>
      <c r="M1462" s="22">
        <f>Table12[[#This Row],[Ship Date]]-Table12[[#This Row],[Order Date]]</f>
        <v>5</v>
      </c>
      <c r="N1462" s="23" t="s">
        <v>45</v>
      </c>
      <c r="O1462" s="23" t="s">
        <v>23</v>
      </c>
      <c r="P1462" s="23" t="s">
        <v>132</v>
      </c>
      <c r="Q1462" s="23" t="s">
        <v>133</v>
      </c>
      <c r="R1462" s="23" t="s">
        <v>131</v>
      </c>
      <c r="S1462" s="33">
        <v>0.2</v>
      </c>
      <c r="T1462" s="13">
        <v>1080.096</v>
      </c>
      <c r="U1462" s="13">
        <v>-94.508399999999995</v>
      </c>
      <c r="V1462" s="55">
        <f>IFERROR(Table12[[#This Row],[Profit]]/Table12[[#This Row],[Sales]],0)</f>
        <v>-8.7499999999999994E-2</v>
      </c>
    </row>
    <row r="1463" spans="1:22" x14ac:dyDescent="0.2">
      <c r="A1463">
        <v>1462</v>
      </c>
      <c r="B1463" t="s">
        <v>10006</v>
      </c>
      <c r="C1463" s="1">
        <v>41948</v>
      </c>
      <c r="D1463" s="22">
        <f>MONTH(Table12[[#This Row],[Order Date]])</f>
        <v>11</v>
      </c>
      <c r="E1463" t="s">
        <v>1894</v>
      </c>
      <c r="F1463" t="s">
        <v>1895</v>
      </c>
      <c r="G1463" s="23" t="s">
        <v>64</v>
      </c>
      <c r="H1463" s="23" t="s">
        <v>144</v>
      </c>
      <c r="I1463" t="s">
        <v>1508</v>
      </c>
      <c r="J1463" s="23" t="s">
        <v>22</v>
      </c>
      <c r="K1463" s="22">
        <v>5</v>
      </c>
      <c r="L1463" s="1">
        <v>41953</v>
      </c>
      <c r="M1463" s="22">
        <f>Table12[[#This Row],[Ship Date]]-Table12[[#This Row],[Order Date]]</f>
        <v>5</v>
      </c>
      <c r="N1463" s="23" t="s">
        <v>45</v>
      </c>
      <c r="O1463" s="23" t="s">
        <v>23</v>
      </c>
      <c r="P1463" s="23" t="s">
        <v>132</v>
      </c>
      <c r="Q1463" s="23" t="s">
        <v>133</v>
      </c>
      <c r="R1463" s="23" t="s">
        <v>131</v>
      </c>
      <c r="S1463" s="33">
        <v>0.2</v>
      </c>
      <c r="T1463" s="13">
        <v>51.56</v>
      </c>
      <c r="U1463" s="13">
        <v>-6.4450000000000003</v>
      </c>
      <c r="V1463" s="55">
        <f>IFERROR(Table12[[#This Row],[Profit]]/Table12[[#This Row],[Sales]],0)</f>
        <v>-0.125</v>
      </c>
    </row>
    <row r="1464" spans="1:22" x14ac:dyDescent="0.2">
      <c r="A1464">
        <v>1463</v>
      </c>
      <c r="B1464" t="s">
        <v>10006</v>
      </c>
      <c r="C1464" s="1">
        <v>41948</v>
      </c>
      <c r="D1464" s="22">
        <f>MONTH(Table12[[#This Row],[Order Date]])</f>
        <v>11</v>
      </c>
      <c r="E1464" t="s">
        <v>4774</v>
      </c>
      <c r="F1464" t="s">
        <v>4775</v>
      </c>
      <c r="G1464" s="23" t="s">
        <v>64</v>
      </c>
      <c r="H1464" s="23" t="s">
        <v>144</v>
      </c>
      <c r="I1464" t="s">
        <v>1508</v>
      </c>
      <c r="J1464" s="23" t="s">
        <v>22</v>
      </c>
      <c r="K1464" s="22">
        <v>2</v>
      </c>
      <c r="L1464" s="1">
        <v>41953</v>
      </c>
      <c r="M1464" s="22">
        <f>Table12[[#This Row],[Ship Date]]-Table12[[#This Row],[Order Date]]</f>
        <v>5</v>
      </c>
      <c r="N1464" s="23" t="s">
        <v>45</v>
      </c>
      <c r="O1464" s="23" t="s">
        <v>23</v>
      </c>
      <c r="P1464" s="23" t="s">
        <v>132</v>
      </c>
      <c r="Q1464" s="23" t="s">
        <v>133</v>
      </c>
      <c r="R1464" s="23" t="s">
        <v>131</v>
      </c>
      <c r="S1464" s="33">
        <v>0.2</v>
      </c>
      <c r="T1464" s="13">
        <v>58.415999999999997</v>
      </c>
      <c r="U1464" s="13">
        <v>16.794599999999999</v>
      </c>
      <c r="V1464" s="55">
        <f>IFERROR(Table12[[#This Row],[Profit]]/Table12[[#This Row],[Sales]],0)</f>
        <v>0.28749999999999998</v>
      </c>
    </row>
    <row r="1465" spans="1:22" x14ac:dyDescent="0.2">
      <c r="A1465">
        <v>1464</v>
      </c>
      <c r="B1465" t="s">
        <v>10048</v>
      </c>
      <c r="C1465" s="1">
        <v>41948</v>
      </c>
      <c r="D1465" s="22">
        <f>MONTH(Table12[[#This Row],[Order Date]])</f>
        <v>11</v>
      </c>
      <c r="E1465" t="s">
        <v>4044</v>
      </c>
      <c r="F1465" t="s">
        <v>4045</v>
      </c>
      <c r="G1465" s="23" t="s">
        <v>28</v>
      </c>
      <c r="H1465" s="23" t="s">
        <v>32</v>
      </c>
      <c r="I1465" t="s">
        <v>7606</v>
      </c>
      <c r="J1465" s="23" t="s">
        <v>22</v>
      </c>
      <c r="K1465" s="22">
        <v>5</v>
      </c>
      <c r="L1465" s="1">
        <v>41948</v>
      </c>
      <c r="M1465" s="22">
        <f>Table12[[#This Row],[Ship Date]]-Table12[[#This Row],[Order Date]]</f>
        <v>0</v>
      </c>
      <c r="N1465" s="23" t="s">
        <v>1141</v>
      </c>
      <c r="O1465" s="23" t="s">
        <v>23</v>
      </c>
      <c r="P1465" s="23" t="s">
        <v>285</v>
      </c>
      <c r="Q1465" s="23" t="s">
        <v>26</v>
      </c>
      <c r="R1465" s="23" t="s">
        <v>6815</v>
      </c>
      <c r="S1465" s="33">
        <v>0</v>
      </c>
      <c r="T1465" s="13">
        <v>149.9</v>
      </c>
      <c r="U1465" s="13">
        <v>40.472999999999999</v>
      </c>
      <c r="V1465" s="55">
        <f>IFERROR(Table12[[#This Row],[Profit]]/Table12[[#This Row],[Sales]],0)</f>
        <v>0.26999999999999996</v>
      </c>
    </row>
    <row r="1466" spans="1:22" x14ac:dyDescent="0.2">
      <c r="A1466">
        <v>1465</v>
      </c>
      <c r="B1466" t="s">
        <v>10075</v>
      </c>
      <c r="C1466" s="1">
        <v>41949</v>
      </c>
      <c r="D1466" s="22">
        <f>MONTH(Table12[[#This Row],[Order Date]])</f>
        <v>11</v>
      </c>
      <c r="E1466" t="s">
        <v>253</v>
      </c>
      <c r="F1466" t="s">
        <v>254</v>
      </c>
      <c r="G1466" s="23" t="s">
        <v>41</v>
      </c>
      <c r="H1466" s="23" t="s">
        <v>82</v>
      </c>
      <c r="I1466" t="s">
        <v>5272</v>
      </c>
      <c r="J1466" s="23" t="s">
        <v>22</v>
      </c>
      <c r="K1466" s="22">
        <v>6</v>
      </c>
      <c r="L1466" s="1">
        <v>41954</v>
      </c>
      <c r="M1466" s="22">
        <f>Table12[[#This Row],[Ship Date]]-Table12[[#This Row],[Order Date]]</f>
        <v>5</v>
      </c>
      <c r="N1466" s="23" t="s">
        <v>45</v>
      </c>
      <c r="O1466" s="23" t="s">
        <v>23</v>
      </c>
      <c r="P1466" s="23" t="s">
        <v>1125</v>
      </c>
      <c r="Q1466" s="23" t="s">
        <v>26</v>
      </c>
      <c r="R1466" s="23" t="s">
        <v>440</v>
      </c>
      <c r="S1466" s="33">
        <v>0</v>
      </c>
      <c r="T1466" s="13">
        <v>43.68</v>
      </c>
      <c r="U1466" s="13">
        <v>20.9664</v>
      </c>
      <c r="V1466" s="55">
        <f>IFERROR(Table12[[#This Row],[Profit]]/Table12[[#This Row],[Sales]],0)</f>
        <v>0.48</v>
      </c>
    </row>
    <row r="1467" spans="1:22" x14ac:dyDescent="0.2">
      <c r="A1467">
        <v>1466</v>
      </c>
      <c r="B1467" t="s">
        <v>5709</v>
      </c>
      <c r="C1467" s="1">
        <v>41950</v>
      </c>
      <c r="D1467" s="22">
        <f>MONTH(Table12[[#This Row],[Order Date]])</f>
        <v>11</v>
      </c>
      <c r="E1467" t="s">
        <v>4770</v>
      </c>
      <c r="F1467" t="s">
        <v>4771</v>
      </c>
      <c r="G1467" s="23" t="s">
        <v>41</v>
      </c>
      <c r="H1467" s="23" t="s">
        <v>68</v>
      </c>
      <c r="I1467" t="s">
        <v>4397</v>
      </c>
      <c r="J1467" s="23" t="s">
        <v>36</v>
      </c>
      <c r="K1467" s="22">
        <v>3</v>
      </c>
      <c r="L1467" s="1">
        <v>41952</v>
      </c>
      <c r="M1467" s="22">
        <f>Table12[[#This Row],[Ship Date]]-Table12[[#This Row],[Order Date]]</f>
        <v>2</v>
      </c>
      <c r="N1467" s="23" t="s">
        <v>169</v>
      </c>
      <c r="O1467" s="23" t="s">
        <v>23</v>
      </c>
      <c r="P1467" s="23" t="s">
        <v>94</v>
      </c>
      <c r="Q1467" s="23" t="s">
        <v>95</v>
      </c>
      <c r="R1467" s="23" t="s">
        <v>165</v>
      </c>
      <c r="S1467" s="33">
        <v>0.8</v>
      </c>
      <c r="T1467" s="13">
        <v>26.045999999999999</v>
      </c>
      <c r="U1467" s="13">
        <v>-44.278199999999998</v>
      </c>
      <c r="V1467" s="55">
        <f>IFERROR(Table12[[#This Row],[Profit]]/Table12[[#This Row],[Sales]],0)</f>
        <v>-1.7</v>
      </c>
    </row>
    <row r="1468" spans="1:22" x14ac:dyDescent="0.2">
      <c r="A1468">
        <v>1467</v>
      </c>
      <c r="B1468" t="s">
        <v>5709</v>
      </c>
      <c r="C1468" s="1">
        <v>41950</v>
      </c>
      <c r="D1468" s="22">
        <f>MONTH(Table12[[#This Row],[Order Date]])</f>
        <v>11</v>
      </c>
      <c r="E1468" t="s">
        <v>5710</v>
      </c>
      <c r="F1468" t="s">
        <v>591</v>
      </c>
      <c r="G1468" s="23" t="s">
        <v>41</v>
      </c>
      <c r="H1468" s="23" t="s">
        <v>155</v>
      </c>
      <c r="I1468" t="s">
        <v>4397</v>
      </c>
      <c r="J1468" s="23" t="s">
        <v>36</v>
      </c>
      <c r="K1468" s="22">
        <v>3</v>
      </c>
      <c r="L1468" s="1">
        <v>41952</v>
      </c>
      <c r="M1468" s="22">
        <f>Table12[[#This Row],[Ship Date]]-Table12[[#This Row],[Order Date]]</f>
        <v>2</v>
      </c>
      <c r="N1468" s="23" t="s">
        <v>169</v>
      </c>
      <c r="O1468" s="23" t="s">
        <v>23</v>
      </c>
      <c r="P1468" s="23" t="s">
        <v>94</v>
      </c>
      <c r="Q1468" s="23" t="s">
        <v>95</v>
      </c>
      <c r="R1468" s="23" t="s">
        <v>165</v>
      </c>
      <c r="S1468" s="33">
        <v>0.2</v>
      </c>
      <c r="T1468" s="13">
        <v>74.352000000000004</v>
      </c>
      <c r="U1468" s="13">
        <v>26.9526</v>
      </c>
      <c r="V1468" s="55">
        <f>IFERROR(Table12[[#This Row],[Profit]]/Table12[[#This Row],[Sales]],0)</f>
        <v>0.36249999999999999</v>
      </c>
    </row>
    <row r="1469" spans="1:22" x14ac:dyDescent="0.2">
      <c r="A1469">
        <v>1468</v>
      </c>
      <c r="B1469" t="s">
        <v>6981</v>
      </c>
      <c r="C1469" s="1">
        <v>41950</v>
      </c>
      <c r="D1469" s="22">
        <f>MONTH(Table12[[#This Row],[Order Date]])</f>
        <v>11</v>
      </c>
      <c r="E1469" t="s">
        <v>2454</v>
      </c>
      <c r="F1469" t="s">
        <v>2455</v>
      </c>
      <c r="G1469" s="23" t="s">
        <v>41</v>
      </c>
      <c r="H1469" s="23" t="s">
        <v>68</v>
      </c>
      <c r="I1469" t="s">
        <v>216</v>
      </c>
      <c r="J1469" s="23" t="s">
        <v>22</v>
      </c>
      <c r="K1469" s="22">
        <v>7</v>
      </c>
      <c r="L1469" s="1">
        <v>41955</v>
      </c>
      <c r="M1469" s="22">
        <f>Table12[[#This Row],[Ship Date]]-Table12[[#This Row],[Order Date]]</f>
        <v>5</v>
      </c>
      <c r="N1469" s="23" t="s">
        <v>45</v>
      </c>
      <c r="O1469" s="23" t="s">
        <v>23</v>
      </c>
      <c r="P1469" s="23" t="s">
        <v>38</v>
      </c>
      <c r="Q1469" s="23" t="s">
        <v>39</v>
      </c>
      <c r="R1469" s="23" t="s">
        <v>114</v>
      </c>
      <c r="S1469" s="33">
        <v>0.2</v>
      </c>
      <c r="T1469" s="13">
        <v>123.14400000000001</v>
      </c>
      <c r="U1469" s="13">
        <v>46.179000000000002</v>
      </c>
      <c r="V1469" s="55">
        <f>IFERROR(Table12[[#This Row],[Profit]]/Table12[[#This Row],[Sales]],0)</f>
        <v>0.375</v>
      </c>
    </row>
    <row r="1470" spans="1:22" x14ac:dyDescent="0.2">
      <c r="A1470">
        <v>1469</v>
      </c>
      <c r="B1470" t="s">
        <v>7024</v>
      </c>
      <c r="C1470" s="1">
        <v>41950</v>
      </c>
      <c r="D1470" s="22">
        <f>MONTH(Table12[[#This Row],[Order Date]])</f>
        <v>11</v>
      </c>
      <c r="E1470" t="s">
        <v>5264</v>
      </c>
      <c r="F1470" t="s">
        <v>5265</v>
      </c>
      <c r="G1470" s="23" t="s">
        <v>28</v>
      </c>
      <c r="H1470" s="23" t="s">
        <v>32</v>
      </c>
      <c r="I1470" t="s">
        <v>460</v>
      </c>
      <c r="J1470" s="23" t="s">
        <v>22</v>
      </c>
      <c r="K1470" s="22">
        <v>4</v>
      </c>
      <c r="L1470" s="1">
        <v>41955</v>
      </c>
      <c r="M1470" s="22">
        <f>Table12[[#This Row],[Ship Date]]-Table12[[#This Row],[Order Date]]</f>
        <v>5</v>
      </c>
      <c r="N1470" s="23" t="s">
        <v>45</v>
      </c>
      <c r="O1470" s="23" t="s">
        <v>23</v>
      </c>
      <c r="P1470" s="23" t="s">
        <v>94</v>
      </c>
      <c r="Q1470" s="23" t="s">
        <v>95</v>
      </c>
      <c r="R1470" s="23" t="s">
        <v>165</v>
      </c>
      <c r="S1470" s="33">
        <v>0.3</v>
      </c>
      <c r="T1470" s="13">
        <v>683.14400000000001</v>
      </c>
      <c r="U1470" s="13">
        <v>0</v>
      </c>
      <c r="V1470" s="55">
        <f>IFERROR(Table12[[#This Row],[Profit]]/Table12[[#This Row],[Sales]],0)</f>
        <v>0</v>
      </c>
    </row>
    <row r="1471" spans="1:22" x14ac:dyDescent="0.2">
      <c r="A1471">
        <v>1470</v>
      </c>
      <c r="B1471" t="s">
        <v>7024</v>
      </c>
      <c r="C1471" s="1">
        <v>41950</v>
      </c>
      <c r="D1471" s="22">
        <f>MONTH(Table12[[#This Row],[Order Date]])</f>
        <v>11</v>
      </c>
      <c r="E1471" t="s">
        <v>7025</v>
      </c>
      <c r="F1471" t="s">
        <v>7026</v>
      </c>
      <c r="G1471" s="23" t="s">
        <v>41</v>
      </c>
      <c r="H1471" s="23" t="s">
        <v>68</v>
      </c>
      <c r="I1471" t="s">
        <v>460</v>
      </c>
      <c r="J1471" s="23" t="s">
        <v>22</v>
      </c>
      <c r="K1471" s="22">
        <v>3</v>
      </c>
      <c r="L1471" s="1">
        <v>41955</v>
      </c>
      <c r="M1471" s="22">
        <f>Table12[[#This Row],[Ship Date]]-Table12[[#This Row],[Order Date]]</f>
        <v>5</v>
      </c>
      <c r="N1471" s="23" t="s">
        <v>45</v>
      </c>
      <c r="O1471" s="23" t="s">
        <v>23</v>
      </c>
      <c r="P1471" s="23" t="s">
        <v>94</v>
      </c>
      <c r="Q1471" s="23" t="s">
        <v>95</v>
      </c>
      <c r="R1471" s="23" t="s">
        <v>165</v>
      </c>
      <c r="S1471" s="33">
        <v>0.8</v>
      </c>
      <c r="T1471" s="13">
        <v>1.476</v>
      </c>
      <c r="U1471" s="13">
        <v>-2.214</v>
      </c>
      <c r="V1471" s="55">
        <f>IFERROR(Table12[[#This Row],[Profit]]/Table12[[#This Row],[Sales]],0)</f>
        <v>-1.5</v>
      </c>
    </row>
    <row r="1472" spans="1:22" x14ac:dyDescent="0.2">
      <c r="A1472">
        <v>1471</v>
      </c>
      <c r="B1472" t="s">
        <v>7024</v>
      </c>
      <c r="C1472" s="1">
        <v>41950</v>
      </c>
      <c r="D1472" s="22">
        <f>MONTH(Table12[[#This Row],[Order Date]])</f>
        <v>11</v>
      </c>
      <c r="E1472" t="s">
        <v>1764</v>
      </c>
      <c r="F1472" t="s">
        <v>1765</v>
      </c>
      <c r="G1472" s="23" t="s">
        <v>41</v>
      </c>
      <c r="H1472" s="23" t="s">
        <v>513</v>
      </c>
      <c r="I1472" t="s">
        <v>460</v>
      </c>
      <c r="J1472" s="23" t="s">
        <v>22</v>
      </c>
      <c r="K1472" s="22">
        <v>7</v>
      </c>
      <c r="L1472" s="1">
        <v>41955</v>
      </c>
      <c r="M1472" s="22">
        <f>Table12[[#This Row],[Ship Date]]-Table12[[#This Row],[Order Date]]</f>
        <v>5</v>
      </c>
      <c r="N1472" s="23" t="s">
        <v>45</v>
      </c>
      <c r="O1472" s="23" t="s">
        <v>23</v>
      </c>
      <c r="P1472" s="23" t="s">
        <v>94</v>
      </c>
      <c r="Q1472" s="23" t="s">
        <v>95</v>
      </c>
      <c r="R1472" s="23" t="s">
        <v>165</v>
      </c>
      <c r="S1472" s="33">
        <v>0.2</v>
      </c>
      <c r="T1472" s="13">
        <v>40.712000000000003</v>
      </c>
      <c r="U1472" s="13">
        <v>3.5623</v>
      </c>
      <c r="V1472" s="55">
        <f>IFERROR(Table12[[#This Row],[Profit]]/Table12[[#This Row],[Sales]],0)</f>
        <v>8.7499999999999994E-2</v>
      </c>
    </row>
    <row r="1473" spans="1:22" x14ac:dyDescent="0.2">
      <c r="A1473">
        <v>1472</v>
      </c>
      <c r="B1473" t="s">
        <v>7060</v>
      </c>
      <c r="C1473" s="1">
        <v>41950</v>
      </c>
      <c r="D1473" s="22">
        <f>MONTH(Table12[[#This Row],[Order Date]])</f>
        <v>11</v>
      </c>
      <c r="E1473" t="s">
        <v>4972</v>
      </c>
      <c r="F1473" t="s">
        <v>4973</v>
      </c>
      <c r="G1473" s="23" t="s">
        <v>41</v>
      </c>
      <c r="H1473" s="23" t="s">
        <v>71</v>
      </c>
      <c r="I1473" t="s">
        <v>2428</v>
      </c>
      <c r="J1473" s="23" t="s">
        <v>22</v>
      </c>
      <c r="K1473" s="22">
        <v>6</v>
      </c>
      <c r="L1473" s="1">
        <v>41955</v>
      </c>
      <c r="M1473" s="22">
        <f>Table12[[#This Row],[Ship Date]]-Table12[[#This Row],[Order Date]]</f>
        <v>5</v>
      </c>
      <c r="N1473" s="23" t="s">
        <v>45</v>
      </c>
      <c r="O1473" s="23" t="s">
        <v>23</v>
      </c>
      <c r="P1473" s="23" t="s">
        <v>103</v>
      </c>
      <c r="Q1473" s="23" t="s">
        <v>95</v>
      </c>
      <c r="R1473" s="23" t="s">
        <v>7061</v>
      </c>
      <c r="S1473" s="33">
        <v>0</v>
      </c>
      <c r="T1473" s="13">
        <v>245.88</v>
      </c>
      <c r="U1473" s="13">
        <v>68.846400000000003</v>
      </c>
      <c r="V1473" s="55">
        <f>IFERROR(Table12[[#This Row],[Profit]]/Table12[[#This Row],[Sales]],0)</f>
        <v>0.28000000000000003</v>
      </c>
    </row>
    <row r="1474" spans="1:22" x14ac:dyDescent="0.2">
      <c r="A1474">
        <v>1473</v>
      </c>
      <c r="B1474" t="s">
        <v>7060</v>
      </c>
      <c r="C1474" s="1">
        <v>41950</v>
      </c>
      <c r="D1474" s="22">
        <f>MONTH(Table12[[#This Row],[Order Date]])</f>
        <v>11</v>
      </c>
      <c r="E1474" t="s">
        <v>2629</v>
      </c>
      <c r="F1474" t="s">
        <v>2630</v>
      </c>
      <c r="G1474" s="23" t="s">
        <v>41</v>
      </c>
      <c r="H1474" s="23" t="s">
        <v>53</v>
      </c>
      <c r="I1474" t="s">
        <v>2428</v>
      </c>
      <c r="J1474" s="23" t="s">
        <v>22</v>
      </c>
      <c r="K1474" s="22">
        <v>3</v>
      </c>
      <c r="L1474" s="1">
        <v>41955</v>
      </c>
      <c r="M1474" s="22">
        <f>Table12[[#This Row],[Ship Date]]-Table12[[#This Row],[Order Date]]</f>
        <v>5</v>
      </c>
      <c r="N1474" s="23" t="s">
        <v>45</v>
      </c>
      <c r="O1474" s="23" t="s">
        <v>23</v>
      </c>
      <c r="P1474" s="23" t="s">
        <v>103</v>
      </c>
      <c r="Q1474" s="23" t="s">
        <v>95</v>
      </c>
      <c r="R1474" s="23" t="s">
        <v>7061</v>
      </c>
      <c r="S1474" s="33">
        <v>0</v>
      </c>
      <c r="T1474" s="13">
        <v>36.630000000000003</v>
      </c>
      <c r="U1474" s="13">
        <v>9.8901000000000003</v>
      </c>
      <c r="V1474" s="55">
        <f>IFERROR(Table12[[#This Row],[Profit]]/Table12[[#This Row],[Sales]],0)</f>
        <v>0.27</v>
      </c>
    </row>
    <row r="1475" spans="1:22" x14ac:dyDescent="0.2">
      <c r="A1475">
        <v>1474</v>
      </c>
      <c r="B1475" t="s">
        <v>7060</v>
      </c>
      <c r="C1475" s="1">
        <v>41950</v>
      </c>
      <c r="D1475" s="22">
        <f>MONTH(Table12[[#This Row],[Order Date]])</f>
        <v>11</v>
      </c>
      <c r="E1475" t="s">
        <v>3510</v>
      </c>
      <c r="F1475" t="s">
        <v>3511</v>
      </c>
      <c r="G1475" s="23" t="s">
        <v>41</v>
      </c>
      <c r="H1475" s="23" t="s">
        <v>53</v>
      </c>
      <c r="I1475" t="s">
        <v>2428</v>
      </c>
      <c r="J1475" s="23" t="s">
        <v>22</v>
      </c>
      <c r="K1475" s="22">
        <v>2</v>
      </c>
      <c r="L1475" s="1">
        <v>41955</v>
      </c>
      <c r="M1475" s="22">
        <f>Table12[[#This Row],[Ship Date]]-Table12[[#This Row],[Order Date]]</f>
        <v>5</v>
      </c>
      <c r="N1475" s="23" t="s">
        <v>45</v>
      </c>
      <c r="O1475" s="23" t="s">
        <v>23</v>
      </c>
      <c r="P1475" s="23" t="s">
        <v>103</v>
      </c>
      <c r="Q1475" s="23" t="s">
        <v>95</v>
      </c>
      <c r="R1475" s="23" t="s">
        <v>7061</v>
      </c>
      <c r="S1475" s="33">
        <v>0</v>
      </c>
      <c r="T1475" s="13">
        <v>22.58</v>
      </c>
      <c r="U1475" s="13">
        <v>5.8708</v>
      </c>
      <c r="V1475" s="55">
        <f>IFERROR(Table12[[#This Row],[Profit]]/Table12[[#This Row],[Sales]],0)</f>
        <v>0.26</v>
      </c>
    </row>
    <row r="1476" spans="1:22" x14ac:dyDescent="0.2">
      <c r="A1476">
        <v>1475</v>
      </c>
      <c r="B1476" t="s">
        <v>7060</v>
      </c>
      <c r="C1476" s="1">
        <v>41950</v>
      </c>
      <c r="D1476" s="22">
        <f>MONTH(Table12[[#This Row],[Order Date]])</f>
        <v>11</v>
      </c>
      <c r="E1476" t="s">
        <v>3170</v>
      </c>
      <c r="F1476" t="s">
        <v>3171</v>
      </c>
      <c r="G1476" s="23" t="s">
        <v>41</v>
      </c>
      <c r="H1476" s="23" t="s">
        <v>68</v>
      </c>
      <c r="I1476" t="s">
        <v>2428</v>
      </c>
      <c r="J1476" s="23" t="s">
        <v>22</v>
      </c>
      <c r="K1476" s="22">
        <v>3</v>
      </c>
      <c r="L1476" s="1">
        <v>41955</v>
      </c>
      <c r="M1476" s="22">
        <f>Table12[[#This Row],[Ship Date]]-Table12[[#This Row],[Order Date]]</f>
        <v>5</v>
      </c>
      <c r="N1476" s="23" t="s">
        <v>45</v>
      </c>
      <c r="O1476" s="23" t="s">
        <v>23</v>
      </c>
      <c r="P1476" s="23" t="s">
        <v>103</v>
      </c>
      <c r="Q1476" s="23" t="s">
        <v>95</v>
      </c>
      <c r="R1476" s="23" t="s">
        <v>7061</v>
      </c>
      <c r="S1476" s="33">
        <v>0</v>
      </c>
      <c r="T1476" s="13">
        <v>12.39</v>
      </c>
      <c r="U1476" s="13">
        <v>5.8232999999999997</v>
      </c>
      <c r="V1476" s="55">
        <f>IFERROR(Table12[[#This Row],[Profit]]/Table12[[#This Row],[Sales]],0)</f>
        <v>0.47</v>
      </c>
    </row>
    <row r="1477" spans="1:22" x14ac:dyDescent="0.2">
      <c r="A1477">
        <v>1476</v>
      </c>
      <c r="B1477" t="s">
        <v>8444</v>
      </c>
      <c r="C1477" s="1">
        <v>41950</v>
      </c>
      <c r="D1477" s="22">
        <f>MONTH(Table12[[#This Row],[Order Date]])</f>
        <v>11</v>
      </c>
      <c r="E1477" t="s">
        <v>3806</v>
      </c>
      <c r="F1477" t="s">
        <v>3807</v>
      </c>
      <c r="G1477" s="23" t="s">
        <v>41</v>
      </c>
      <c r="H1477" s="23" t="s">
        <v>240</v>
      </c>
      <c r="I1477" t="s">
        <v>1222</v>
      </c>
      <c r="J1477" s="23" t="s">
        <v>36</v>
      </c>
      <c r="K1477" s="22">
        <v>4</v>
      </c>
      <c r="L1477" s="1">
        <v>41951</v>
      </c>
      <c r="M1477" s="22">
        <f>Table12[[#This Row],[Ship Date]]-Table12[[#This Row],[Order Date]]</f>
        <v>1</v>
      </c>
      <c r="N1477" s="23" t="s">
        <v>169</v>
      </c>
      <c r="O1477" s="23" t="s">
        <v>23</v>
      </c>
      <c r="P1477" s="23" t="s">
        <v>238</v>
      </c>
      <c r="Q1477" s="23" t="s">
        <v>133</v>
      </c>
      <c r="R1477" s="23" t="s">
        <v>237</v>
      </c>
      <c r="S1477" s="33">
        <v>0</v>
      </c>
      <c r="T1477" s="13">
        <v>5.92</v>
      </c>
      <c r="U1477" s="13">
        <v>2.8416000000000001</v>
      </c>
      <c r="V1477" s="55">
        <f>IFERROR(Table12[[#This Row],[Profit]]/Table12[[#This Row],[Sales]],0)</f>
        <v>0.48000000000000004</v>
      </c>
    </row>
    <row r="1478" spans="1:22" x14ac:dyDescent="0.2">
      <c r="A1478">
        <v>1477</v>
      </c>
      <c r="B1478" t="s">
        <v>8444</v>
      </c>
      <c r="C1478" s="1">
        <v>41950</v>
      </c>
      <c r="D1478" s="22">
        <f>MONTH(Table12[[#This Row],[Order Date]])</f>
        <v>11</v>
      </c>
      <c r="E1478" t="s">
        <v>6338</v>
      </c>
      <c r="F1478" t="s">
        <v>6339</v>
      </c>
      <c r="G1478" s="23" t="s">
        <v>41</v>
      </c>
      <c r="H1478" s="23" t="s">
        <v>82</v>
      </c>
      <c r="I1478" t="s">
        <v>1222</v>
      </c>
      <c r="J1478" s="23" t="s">
        <v>36</v>
      </c>
      <c r="K1478" s="22">
        <v>3</v>
      </c>
      <c r="L1478" s="1">
        <v>41951</v>
      </c>
      <c r="M1478" s="22">
        <f>Table12[[#This Row],[Ship Date]]-Table12[[#This Row],[Order Date]]</f>
        <v>1</v>
      </c>
      <c r="N1478" s="23" t="s">
        <v>169</v>
      </c>
      <c r="O1478" s="23" t="s">
        <v>23</v>
      </c>
      <c r="P1478" s="23" t="s">
        <v>238</v>
      </c>
      <c r="Q1478" s="23" t="s">
        <v>133</v>
      </c>
      <c r="R1478" s="23" t="s">
        <v>237</v>
      </c>
      <c r="S1478" s="33">
        <v>0</v>
      </c>
      <c r="T1478" s="13">
        <v>30.18</v>
      </c>
      <c r="U1478" s="13">
        <v>13.8828</v>
      </c>
      <c r="V1478" s="55">
        <f>IFERROR(Table12[[#This Row],[Profit]]/Table12[[#This Row],[Sales]],0)</f>
        <v>0.45999999999999996</v>
      </c>
    </row>
    <row r="1479" spans="1:22" x14ac:dyDescent="0.2">
      <c r="A1479">
        <v>1478</v>
      </c>
      <c r="B1479" t="s">
        <v>10059</v>
      </c>
      <c r="C1479" s="1">
        <v>41950</v>
      </c>
      <c r="D1479" s="22">
        <f>MONTH(Table12[[#This Row],[Order Date]])</f>
        <v>11</v>
      </c>
      <c r="E1479" t="s">
        <v>360</v>
      </c>
      <c r="F1479" t="s">
        <v>361</v>
      </c>
      <c r="G1479" s="23" t="s">
        <v>41</v>
      </c>
      <c r="H1479" s="23" t="s">
        <v>82</v>
      </c>
      <c r="I1479" t="s">
        <v>1375</v>
      </c>
      <c r="J1479" s="23" t="s">
        <v>22</v>
      </c>
      <c r="K1479" s="22">
        <v>5</v>
      </c>
      <c r="L1479" s="1">
        <v>41954</v>
      </c>
      <c r="M1479" s="22">
        <f>Table12[[#This Row],[Ship Date]]-Table12[[#This Row],[Order Date]]</f>
        <v>4</v>
      </c>
      <c r="N1479" s="23" t="s">
        <v>20</v>
      </c>
      <c r="O1479" s="23" t="s">
        <v>23</v>
      </c>
      <c r="P1479" s="23" t="s">
        <v>374</v>
      </c>
      <c r="Q1479" s="23" t="s">
        <v>39</v>
      </c>
      <c r="R1479" s="23" t="s">
        <v>373</v>
      </c>
      <c r="S1479" s="33">
        <v>0.2</v>
      </c>
      <c r="T1479" s="13">
        <v>25.92</v>
      </c>
      <c r="U1479" s="13">
        <v>9.0719999999999992</v>
      </c>
      <c r="V1479" s="55">
        <f>IFERROR(Table12[[#This Row],[Profit]]/Table12[[#This Row],[Sales]],0)</f>
        <v>0.34999999999999992</v>
      </c>
    </row>
    <row r="1480" spans="1:22" x14ac:dyDescent="0.2">
      <c r="A1480">
        <v>1479</v>
      </c>
      <c r="B1480" t="s">
        <v>10059</v>
      </c>
      <c r="C1480" s="1">
        <v>41950</v>
      </c>
      <c r="D1480" s="22">
        <f>MONTH(Table12[[#This Row],[Order Date]])</f>
        <v>11</v>
      </c>
      <c r="E1480" t="s">
        <v>3375</v>
      </c>
      <c r="F1480" t="s">
        <v>3376</v>
      </c>
      <c r="G1480" s="23" t="s">
        <v>41</v>
      </c>
      <c r="H1480" s="23" t="s">
        <v>61</v>
      </c>
      <c r="I1480" t="s">
        <v>1375</v>
      </c>
      <c r="J1480" s="23" t="s">
        <v>22</v>
      </c>
      <c r="K1480" s="22">
        <v>4</v>
      </c>
      <c r="L1480" s="1">
        <v>41954</v>
      </c>
      <c r="M1480" s="22">
        <f>Table12[[#This Row],[Ship Date]]-Table12[[#This Row],[Order Date]]</f>
        <v>4</v>
      </c>
      <c r="N1480" s="23" t="s">
        <v>20</v>
      </c>
      <c r="O1480" s="23" t="s">
        <v>23</v>
      </c>
      <c r="P1480" s="23" t="s">
        <v>374</v>
      </c>
      <c r="Q1480" s="23" t="s">
        <v>39</v>
      </c>
      <c r="R1480" s="23" t="s">
        <v>373</v>
      </c>
      <c r="S1480" s="33">
        <v>0.2</v>
      </c>
      <c r="T1480" s="13">
        <v>120.768</v>
      </c>
      <c r="U1480" s="13">
        <v>9.0576000000000008</v>
      </c>
      <c r="V1480" s="55">
        <f>IFERROR(Table12[[#This Row],[Profit]]/Table12[[#This Row],[Sales]],0)</f>
        <v>7.5000000000000011E-2</v>
      </c>
    </row>
    <row r="1481" spans="1:22" x14ac:dyDescent="0.2">
      <c r="A1481">
        <v>1480</v>
      </c>
      <c r="B1481" t="s">
        <v>7708</v>
      </c>
      <c r="C1481" s="1">
        <v>41951</v>
      </c>
      <c r="D1481" s="22">
        <f>MONTH(Table12[[#This Row],[Order Date]])</f>
        <v>11</v>
      </c>
      <c r="E1481" t="s">
        <v>2999</v>
      </c>
      <c r="F1481" t="s">
        <v>3000</v>
      </c>
      <c r="G1481" s="23" t="s">
        <v>64</v>
      </c>
      <c r="H1481" s="23" t="s">
        <v>65</v>
      </c>
      <c r="I1481" t="s">
        <v>137</v>
      </c>
      <c r="J1481" s="23" t="s">
        <v>22</v>
      </c>
      <c r="K1481" s="22">
        <v>3</v>
      </c>
      <c r="L1481" s="1">
        <v>41957</v>
      </c>
      <c r="M1481" s="22">
        <f>Table12[[#This Row],[Ship Date]]-Table12[[#This Row],[Order Date]]</f>
        <v>6</v>
      </c>
      <c r="N1481" s="23" t="s">
        <v>45</v>
      </c>
      <c r="O1481" s="23" t="s">
        <v>23</v>
      </c>
      <c r="P1481" s="23" t="s">
        <v>38</v>
      </c>
      <c r="Q1481" s="23" t="s">
        <v>39</v>
      </c>
      <c r="R1481" s="23" t="s">
        <v>7709</v>
      </c>
      <c r="S1481" s="33">
        <v>0.2</v>
      </c>
      <c r="T1481" s="13">
        <v>333.57600000000002</v>
      </c>
      <c r="U1481" s="13">
        <v>25.0182</v>
      </c>
      <c r="V1481" s="55">
        <f>IFERROR(Table12[[#This Row],[Profit]]/Table12[[#This Row],[Sales]],0)</f>
        <v>7.4999999999999997E-2</v>
      </c>
    </row>
    <row r="1482" spans="1:22" x14ac:dyDescent="0.2">
      <c r="A1482">
        <v>1481</v>
      </c>
      <c r="B1482" t="s">
        <v>1441</v>
      </c>
      <c r="C1482" s="1">
        <v>41952</v>
      </c>
      <c r="D1482" s="22">
        <f>MONTH(Table12[[#This Row],[Order Date]])</f>
        <v>11</v>
      </c>
      <c r="E1482" t="s">
        <v>1443</v>
      </c>
      <c r="F1482" t="s">
        <v>1444</v>
      </c>
      <c r="G1482" s="23" t="s">
        <v>41</v>
      </c>
      <c r="H1482" s="23" t="s">
        <v>53</v>
      </c>
      <c r="I1482" t="s">
        <v>1442</v>
      </c>
      <c r="J1482" s="23" t="s">
        <v>22</v>
      </c>
      <c r="K1482" s="22">
        <v>3</v>
      </c>
      <c r="L1482" s="1">
        <v>41954</v>
      </c>
      <c r="M1482" s="22">
        <f>Table12[[#This Row],[Ship Date]]-Table12[[#This Row],[Order Date]]</f>
        <v>2</v>
      </c>
      <c r="N1482" s="23" t="s">
        <v>20</v>
      </c>
      <c r="O1482" s="23" t="s">
        <v>23</v>
      </c>
      <c r="P1482" s="23" t="s">
        <v>38</v>
      </c>
      <c r="Q1482" s="23" t="s">
        <v>39</v>
      </c>
      <c r="R1482" s="23" t="s">
        <v>114</v>
      </c>
      <c r="S1482" s="33">
        <v>0</v>
      </c>
      <c r="T1482" s="13">
        <v>340.92</v>
      </c>
      <c r="U1482" s="13">
        <v>3.4091999999999998</v>
      </c>
      <c r="V1482" s="55">
        <f>IFERROR(Table12[[#This Row],[Profit]]/Table12[[#This Row],[Sales]],0)</f>
        <v>9.9999999999999985E-3</v>
      </c>
    </row>
    <row r="1483" spans="1:22" x14ac:dyDescent="0.2">
      <c r="A1483">
        <v>1482</v>
      </c>
      <c r="B1483" t="s">
        <v>1441</v>
      </c>
      <c r="C1483" s="1">
        <v>41952</v>
      </c>
      <c r="D1483" s="22">
        <f>MONTH(Table12[[#This Row],[Order Date]])</f>
        <v>11</v>
      </c>
      <c r="E1483" t="s">
        <v>1445</v>
      </c>
      <c r="F1483" t="s">
        <v>1446</v>
      </c>
      <c r="G1483" s="23" t="s">
        <v>28</v>
      </c>
      <c r="H1483" s="23" t="s">
        <v>29</v>
      </c>
      <c r="I1483" t="s">
        <v>1442</v>
      </c>
      <c r="J1483" s="23" t="s">
        <v>22</v>
      </c>
      <c r="K1483" s="22">
        <v>2</v>
      </c>
      <c r="L1483" s="1">
        <v>41954</v>
      </c>
      <c r="M1483" s="22">
        <f>Table12[[#This Row],[Ship Date]]-Table12[[#This Row],[Order Date]]</f>
        <v>2</v>
      </c>
      <c r="N1483" s="23" t="s">
        <v>20</v>
      </c>
      <c r="O1483" s="23" t="s">
        <v>23</v>
      </c>
      <c r="P1483" s="23" t="s">
        <v>38</v>
      </c>
      <c r="Q1483" s="23" t="s">
        <v>39</v>
      </c>
      <c r="R1483" s="23" t="s">
        <v>114</v>
      </c>
      <c r="S1483" s="33">
        <v>0.15</v>
      </c>
      <c r="T1483" s="13">
        <v>222.666</v>
      </c>
      <c r="U1483" s="13">
        <v>10.478400000000001</v>
      </c>
      <c r="V1483" s="55">
        <f>IFERROR(Table12[[#This Row],[Profit]]/Table12[[#This Row],[Sales]],0)</f>
        <v>4.7058823529411771E-2</v>
      </c>
    </row>
    <row r="1484" spans="1:22" x14ac:dyDescent="0.2">
      <c r="A1484">
        <v>1483</v>
      </c>
      <c r="B1484" t="s">
        <v>1441</v>
      </c>
      <c r="C1484" s="1">
        <v>41952</v>
      </c>
      <c r="D1484" s="22">
        <f>MONTH(Table12[[#This Row],[Order Date]])</f>
        <v>11</v>
      </c>
      <c r="E1484" t="s">
        <v>1447</v>
      </c>
      <c r="F1484" t="s">
        <v>1448</v>
      </c>
      <c r="G1484" s="23" t="s">
        <v>64</v>
      </c>
      <c r="H1484" s="23" t="s">
        <v>65</v>
      </c>
      <c r="I1484" t="s">
        <v>1442</v>
      </c>
      <c r="J1484" s="23" t="s">
        <v>22</v>
      </c>
      <c r="K1484" s="22">
        <v>4</v>
      </c>
      <c r="L1484" s="1">
        <v>41954</v>
      </c>
      <c r="M1484" s="22">
        <f>Table12[[#This Row],[Ship Date]]-Table12[[#This Row],[Order Date]]</f>
        <v>2</v>
      </c>
      <c r="N1484" s="23" t="s">
        <v>20</v>
      </c>
      <c r="O1484" s="23" t="s">
        <v>23</v>
      </c>
      <c r="P1484" s="23" t="s">
        <v>38</v>
      </c>
      <c r="Q1484" s="23" t="s">
        <v>39</v>
      </c>
      <c r="R1484" s="23" t="s">
        <v>114</v>
      </c>
      <c r="S1484" s="33">
        <v>0.2</v>
      </c>
      <c r="T1484" s="13">
        <v>703.96799999999996</v>
      </c>
      <c r="U1484" s="13">
        <v>87.995999999999995</v>
      </c>
      <c r="V1484" s="55">
        <f>IFERROR(Table12[[#This Row],[Profit]]/Table12[[#This Row],[Sales]],0)</f>
        <v>0.125</v>
      </c>
    </row>
    <row r="1485" spans="1:22" x14ac:dyDescent="0.2">
      <c r="A1485">
        <v>1484</v>
      </c>
      <c r="B1485" t="s">
        <v>1441</v>
      </c>
      <c r="C1485" s="1">
        <v>41952</v>
      </c>
      <c r="D1485" s="22">
        <f>MONTH(Table12[[#This Row],[Order Date]])</f>
        <v>11</v>
      </c>
      <c r="E1485" t="s">
        <v>1449</v>
      </c>
      <c r="F1485" t="s">
        <v>1450</v>
      </c>
      <c r="G1485" s="23" t="s">
        <v>41</v>
      </c>
      <c r="H1485" s="23" t="s">
        <v>53</v>
      </c>
      <c r="I1485" t="s">
        <v>1442</v>
      </c>
      <c r="J1485" s="23" t="s">
        <v>22</v>
      </c>
      <c r="K1485" s="22">
        <v>6</v>
      </c>
      <c r="L1485" s="1">
        <v>41954</v>
      </c>
      <c r="M1485" s="22">
        <f>Table12[[#This Row],[Ship Date]]-Table12[[#This Row],[Order Date]]</f>
        <v>2</v>
      </c>
      <c r="N1485" s="23" t="s">
        <v>20</v>
      </c>
      <c r="O1485" s="23" t="s">
        <v>23</v>
      </c>
      <c r="P1485" s="23" t="s">
        <v>38</v>
      </c>
      <c r="Q1485" s="23" t="s">
        <v>39</v>
      </c>
      <c r="R1485" s="23" t="s">
        <v>114</v>
      </c>
      <c r="S1485" s="33">
        <v>0</v>
      </c>
      <c r="T1485" s="13">
        <v>92.52</v>
      </c>
      <c r="U1485" s="13">
        <v>24.980399999999999</v>
      </c>
      <c r="V1485" s="55">
        <f>IFERROR(Table12[[#This Row],[Profit]]/Table12[[#This Row],[Sales]],0)</f>
        <v>0.27</v>
      </c>
    </row>
    <row r="1486" spans="1:22" x14ac:dyDescent="0.2">
      <c r="A1486">
        <v>1485</v>
      </c>
      <c r="B1486" t="s">
        <v>1441</v>
      </c>
      <c r="C1486" s="1">
        <v>41952</v>
      </c>
      <c r="D1486" s="22">
        <f>MONTH(Table12[[#This Row],[Order Date]])</f>
        <v>11</v>
      </c>
      <c r="E1486" t="s">
        <v>1451</v>
      </c>
      <c r="F1486" t="s">
        <v>1452</v>
      </c>
      <c r="G1486" s="23" t="s">
        <v>41</v>
      </c>
      <c r="H1486" s="23" t="s">
        <v>82</v>
      </c>
      <c r="I1486" t="s">
        <v>1442</v>
      </c>
      <c r="J1486" s="23" t="s">
        <v>22</v>
      </c>
      <c r="K1486" s="22">
        <v>7</v>
      </c>
      <c r="L1486" s="1">
        <v>41954</v>
      </c>
      <c r="M1486" s="22">
        <f>Table12[[#This Row],[Ship Date]]-Table12[[#This Row],[Order Date]]</f>
        <v>2</v>
      </c>
      <c r="N1486" s="23" t="s">
        <v>20</v>
      </c>
      <c r="O1486" s="23" t="s">
        <v>23</v>
      </c>
      <c r="P1486" s="23" t="s">
        <v>38</v>
      </c>
      <c r="Q1486" s="23" t="s">
        <v>39</v>
      </c>
      <c r="R1486" s="23" t="s">
        <v>114</v>
      </c>
      <c r="S1486" s="33">
        <v>0</v>
      </c>
      <c r="T1486" s="13">
        <v>62.65</v>
      </c>
      <c r="U1486" s="13">
        <v>28.818999999999999</v>
      </c>
      <c r="V1486" s="55">
        <f>IFERROR(Table12[[#This Row],[Profit]]/Table12[[#This Row],[Sales]],0)</f>
        <v>0.46</v>
      </c>
    </row>
    <row r="1487" spans="1:22" x14ac:dyDescent="0.2">
      <c r="A1487">
        <v>1486</v>
      </c>
      <c r="B1487" t="s">
        <v>1441</v>
      </c>
      <c r="C1487" s="1">
        <v>41952</v>
      </c>
      <c r="D1487" s="22">
        <f>MONTH(Table12[[#This Row],[Order Date]])</f>
        <v>11</v>
      </c>
      <c r="E1487" t="s">
        <v>1453</v>
      </c>
      <c r="F1487" t="s">
        <v>1454</v>
      </c>
      <c r="G1487" s="23" t="s">
        <v>41</v>
      </c>
      <c r="H1487" s="23" t="s">
        <v>82</v>
      </c>
      <c r="I1487" t="s">
        <v>1442</v>
      </c>
      <c r="J1487" s="23" t="s">
        <v>22</v>
      </c>
      <c r="K1487" s="22">
        <v>5</v>
      </c>
      <c r="L1487" s="1">
        <v>41954</v>
      </c>
      <c r="M1487" s="22">
        <f>Table12[[#This Row],[Ship Date]]-Table12[[#This Row],[Order Date]]</f>
        <v>2</v>
      </c>
      <c r="N1487" s="23" t="s">
        <v>20</v>
      </c>
      <c r="O1487" s="23" t="s">
        <v>23</v>
      </c>
      <c r="P1487" s="23" t="s">
        <v>38</v>
      </c>
      <c r="Q1487" s="23" t="s">
        <v>39</v>
      </c>
      <c r="R1487" s="23" t="s">
        <v>114</v>
      </c>
      <c r="S1487" s="33">
        <v>0</v>
      </c>
      <c r="T1487" s="13">
        <v>94.85</v>
      </c>
      <c r="U1487" s="13">
        <v>45.527999999999999</v>
      </c>
      <c r="V1487" s="55">
        <f>IFERROR(Table12[[#This Row],[Profit]]/Table12[[#This Row],[Sales]],0)</f>
        <v>0.48000000000000004</v>
      </c>
    </row>
    <row r="1488" spans="1:22" x14ac:dyDescent="0.2">
      <c r="A1488">
        <v>1487</v>
      </c>
      <c r="B1488" t="s">
        <v>9072</v>
      </c>
      <c r="C1488" s="1">
        <v>41952</v>
      </c>
      <c r="D1488" s="22">
        <f>MONTH(Table12[[#This Row],[Order Date]])</f>
        <v>11</v>
      </c>
      <c r="E1488" t="s">
        <v>955</v>
      </c>
      <c r="F1488" t="s">
        <v>3350</v>
      </c>
      <c r="G1488" s="23" t="s">
        <v>28</v>
      </c>
      <c r="H1488" s="23" t="s">
        <v>58</v>
      </c>
      <c r="I1488" t="s">
        <v>5603</v>
      </c>
      <c r="J1488" s="23" t="s">
        <v>92</v>
      </c>
      <c r="K1488" s="22">
        <v>9</v>
      </c>
      <c r="L1488" s="1">
        <v>41956</v>
      </c>
      <c r="M1488" s="22">
        <f>Table12[[#This Row],[Ship Date]]-Table12[[#This Row],[Order Date]]</f>
        <v>4</v>
      </c>
      <c r="N1488" s="23" t="s">
        <v>45</v>
      </c>
      <c r="O1488" s="23" t="s">
        <v>23</v>
      </c>
      <c r="P1488" s="23" t="s">
        <v>238</v>
      </c>
      <c r="Q1488" s="23" t="s">
        <v>133</v>
      </c>
      <c r="R1488" s="23" t="s">
        <v>237</v>
      </c>
      <c r="S1488" s="33">
        <v>0</v>
      </c>
      <c r="T1488" s="13">
        <v>56.52</v>
      </c>
      <c r="U1488" s="13">
        <v>21.477599999999999</v>
      </c>
      <c r="V1488" s="55">
        <f>IFERROR(Table12[[#This Row],[Profit]]/Table12[[#This Row],[Sales]],0)</f>
        <v>0.37999999999999995</v>
      </c>
    </row>
    <row r="1489" spans="1:22" x14ac:dyDescent="0.2">
      <c r="A1489">
        <v>1488</v>
      </c>
      <c r="B1489" t="s">
        <v>5735</v>
      </c>
      <c r="C1489" s="1">
        <v>41953</v>
      </c>
      <c r="D1489" s="22">
        <f>MONTH(Table12[[#This Row],[Order Date]])</f>
        <v>11</v>
      </c>
      <c r="E1489" t="s">
        <v>1839</v>
      </c>
      <c r="F1489" t="s">
        <v>1840</v>
      </c>
      <c r="G1489" s="23" t="s">
        <v>64</v>
      </c>
      <c r="H1489" s="23" t="s">
        <v>65</v>
      </c>
      <c r="I1489" t="s">
        <v>587</v>
      </c>
      <c r="J1489" s="23" t="s">
        <v>22</v>
      </c>
      <c r="K1489" s="22">
        <v>8</v>
      </c>
      <c r="L1489" s="1">
        <v>41959</v>
      </c>
      <c r="M1489" s="22">
        <f>Table12[[#This Row],[Ship Date]]-Table12[[#This Row],[Order Date]]</f>
        <v>6</v>
      </c>
      <c r="N1489" s="23" t="s">
        <v>45</v>
      </c>
      <c r="O1489" s="23" t="s">
        <v>23</v>
      </c>
      <c r="P1489" s="23" t="s">
        <v>38</v>
      </c>
      <c r="Q1489" s="23" t="s">
        <v>39</v>
      </c>
      <c r="R1489" s="23" t="s">
        <v>836</v>
      </c>
      <c r="S1489" s="33">
        <v>0.2</v>
      </c>
      <c r="T1489" s="13">
        <v>601.53599999999994</v>
      </c>
      <c r="U1489" s="13">
        <v>60.153599999999997</v>
      </c>
      <c r="V1489" s="55">
        <f>IFERROR(Table12[[#This Row],[Profit]]/Table12[[#This Row],[Sales]],0)</f>
        <v>0.1</v>
      </c>
    </row>
    <row r="1490" spans="1:22" x14ac:dyDescent="0.2">
      <c r="A1490">
        <v>1489</v>
      </c>
      <c r="B1490" t="s">
        <v>5735</v>
      </c>
      <c r="C1490" s="1">
        <v>41953</v>
      </c>
      <c r="D1490" s="22">
        <f>MONTH(Table12[[#This Row],[Order Date]])</f>
        <v>11</v>
      </c>
      <c r="E1490" t="s">
        <v>3141</v>
      </c>
      <c r="F1490" t="s">
        <v>3142</v>
      </c>
      <c r="G1490" s="23" t="s">
        <v>64</v>
      </c>
      <c r="H1490" s="23" t="s">
        <v>144</v>
      </c>
      <c r="I1490" t="s">
        <v>587</v>
      </c>
      <c r="J1490" s="23" t="s">
        <v>22</v>
      </c>
      <c r="K1490" s="22">
        <v>1</v>
      </c>
      <c r="L1490" s="1">
        <v>41959</v>
      </c>
      <c r="M1490" s="22">
        <f>Table12[[#This Row],[Ship Date]]-Table12[[#This Row],[Order Date]]</f>
        <v>6</v>
      </c>
      <c r="N1490" s="23" t="s">
        <v>45</v>
      </c>
      <c r="O1490" s="23" t="s">
        <v>23</v>
      </c>
      <c r="P1490" s="23" t="s">
        <v>38</v>
      </c>
      <c r="Q1490" s="23" t="s">
        <v>39</v>
      </c>
      <c r="R1490" s="23" t="s">
        <v>836</v>
      </c>
      <c r="S1490" s="33">
        <v>0</v>
      </c>
      <c r="T1490" s="13">
        <v>10.99</v>
      </c>
      <c r="U1490" s="13">
        <v>4.2861000000000002</v>
      </c>
      <c r="V1490" s="55">
        <f>IFERROR(Table12[[#This Row],[Profit]]/Table12[[#This Row],[Sales]],0)</f>
        <v>0.39</v>
      </c>
    </row>
    <row r="1491" spans="1:22" x14ac:dyDescent="0.2">
      <c r="A1491">
        <v>1490</v>
      </c>
      <c r="B1491" t="s">
        <v>5735</v>
      </c>
      <c r="C1491" s="1">
        <v>41953</v>
      </c>
      <c r="D1491" s="22">
        <f>MONTH(Table12[[#This Row],[Order Date]])</f>
        <v>11</v>
      </c>
      <c r="E1491" t="s">
        <v>267</v>
      </c>
      <c r="F1491" t="s">
        <v>268</v>
      </c>
      <c r="G1491" s="23" t="s">
        <v>28</v>
      </c>
      <c r="H1491" s="23" t="s">
        <v>58</v>
      </c>
      <c r="I1491" t="s">
        <v>587</v>
      </c>
      <c r="J1491" s="23" t="s">
        <v>22</v>
      </c>
      <c r="K1491" s="22">
        <v>2</v>
      </c>
      <c r="L1491" s="1">
        <v>41959</v>
      </c>
      <c r="M1491" s="22">
        <f>Table12[[#This Row],[Ship Date]]-Table12[[#This Row],[Order Date]]</f>
        <v>6</v>
      </c>
      <c r="N1491" s="23" t="s">
        <v>45</v>
      </c>
      <c r="O1491" s="23" t="s">
        <v>23</v>
      </c>
      <c r="P1491" s="23" t="s">
        <v>38</v>
      </c>
      <c r="Q1491" s="23" t="s">
        <v>39</v>
      </c>
      <c r="R1491" s="23" t="s">
        <v>836</v>
      </c>
      <c r="S1491" s="33">
        <v>0</v>
      </c>
      <c r="T1491" s="13">
        <v>39.880000000000003</v>
      </c>
      <c r="U1491" s="13">
        <v>11.166399999999999</v>
      </c>
      <c r="V1491" s="55">
        <f>IFERROR(Table12[[#This Row],[Profit]]/Table12[[#This Row],[Sales]],0)</f>
        <v>0.27999999999999997</v>
      </c>
    </row>
    <row r="1492" spans="1:22" x14ac:dyDescent="0.2">
      <c r="A1492">
        <v>1491</v>
      </c>
      <c r="B1492" t="s">
        <v>5735</v>
      </c>
      <c r="C1492" s="1">
        <v>41953</v>
      </c>
      <c r="D1492" s="22">
        <f>MONTH(Table12[[#This Row],[Order Date]])</f>
        <v>11</v>
      </c>
      <c r="E1492" t="s">
        <v>1936</v>
      </c>
      <c r="F1492" t="s">
        <v>1937</v>
      </c>
      <c r="G1492" s="23" t="s">
        <v>41</v>
      </c>
      <c r="H1492" s="23" t="s">
        <v>82</v>
      </c>
      <c r="I1492" t="s">
        <v>587</v>
      </c>
      <c r="J1492" s="23" t="s">
        <v>22</v>
      </c>
      <c r="K1492" s="22">
        <v>8</v>
      </c>
      <c r="L1492" s="1">
        <v>41959</v>
      </c>
      <c r="M1492" s="22">
        <f>Table12[[#This Row],[Ship Date]]-Table12[[#This Row],[Order Date]]</f>
        <v>6</v>
      </c>
      <c r="N1492" s="23" t="s">
        <v>45</v>
      </c>
      <c r="O1492" s="23" t="s">
        <v>23</v>
      </c>
      <c r="P1492" s="23" t="s">
        <v>38</v>
      </c>
      <c r="Q1492" s="23" t="s">
        <v>39</v>
      </c>
      <c r="R1492" s="23" t="s">
        <v>836</v>
      </c>
      <c r="S1492" s="33">
        <v>0</v>
      </c>
      <c r="T1492" s="13">
        <v>62.24</v>
      </c>
      <c r="U1492" s="13">
        <v>28.007999999999999</v>
      </c>
      <c r="V1492" s="55">
        <f>IFERROR(Table12[[#This Row],[Profit]]/Table12[[#This Row],[Sales]],0)</f>
        <v>0.44999999999999996</v>
      </c>
    </row>
    <row r="1493" spans="1:22" x14ac:dyDescent="0.2">
      <c r="A1493">
        <v>1492</v>
      </c>
      <c r="B1493" t="s">
        <v>5735</v>
      </c>
      <c r="C1493" s="1">
        <v>41953</v>
      </c>
      <c r="D1493" s="22">
        <f>MONTH(Table12[[#This Row],[Order Date]])</f>
        <v>11</v>
      </c>
      <c r="E1493" t="s">
        <v>3029</v>
      </c>
      <c r="F1493" t="s">
        <v>3030</v>
      </c>
      <c r="G1493" s="23" t="s">
        <v>28</v>
      </c>
      <c r="H1493" s="23" t="s">
        <v>58</v>
      </c>
      <c r="I1493" t="s">
        <v>587</v>
      </c>
      <c r="J1493" s="23" t="s">
        <v>22</v>
      </c>
      <c r="K1493" s="22">
        <v>5</v>
      </c>
      <c r="L1493" s="1">
        <v>41959</v>
      </c>
      <c r="M1493" s="22">
        <f>Table12[[#This Row],[Ship Date]]-Table12[[#This Row],[Order Date]]</f>
        <v>6</v>
      </c>
      <c r="N1493" s="23" t="s">
        <v>45</v>
      </c>
      <c r="O1493" s="23" t="s">
        <v>23</v>
      </c>
      <c r="P1493" s="23" t="s">
        <v>38</v>
      </c>
      <c r="Q1493" s="23" t="s">
        <v>39</v>
      </c>
      <c r="R1493" s="23" t="s">
        <v>836</v>
      </c>
      <c r="S1493" s="33">
        <v>0</v>
      </c>
      <c r="T1493" s="13">
        <v>53.2</v>
      </c>
      <c r="U1493" s="13">
        <v>14.896000000000001</v>
      </c>
      <c r="V1493" s="55">
        <f>IFERROR(Table12[[#This Row],[Profit]]/Table12[[#This Row],[Sales]],0)</f>
        <v>0.28000000000000003</v>
      </c>
    </row>
    <row r="1494" spans="1:22" x14ac:dyDescent="0.2">
      <c r="A1494">
        <v>1493</v>
      </c>
      <c r="B1494" t="s">
        <v>5735</v>
      </c>
      <c r="C1494" s="1">
        <v>41953</v>
      </c>
      <c r="D1494" s="22">
        <f>MONTH(Table12[[#This Row],[Order Date]])</f>
        <v>11</v>
      </c>
      <c r="E1494" t="s">
        <v>5736</v>
      </c>
      <c r="F1494" t="s">
        <v>5737</v>
      </c>
      <c r="G1494" s="23" t="s">
        <v>41</v>
      </c>
      <c r="H1494" s="23" t="s">
        <v>42</v>
      </c>
      <c r="I1494" t="s">
        <v>587</v>
      </c>
      <c r="J1494" s="23" t="s">
        <v>22</v>
      </c>
      <c r="K1494" s="22">
        <v>8</v>
      </c>
      <c r="L1494" s="1">
        <v>41959</v>
      </c>
      <c r="M1494" s="22">
        <f>Table12[[#This Row],[Ship Date]]-Table12[[#This Row],[Order Date]]</f>
        <v>6</v>
      </c>
      <c r="N1494" s="23" t="s">
        <v>45</v>
      </c>
      <c r="O1494" s="23" t="s">
        <v>23</v>
      </c>
      <c r="P1494" s="23" t="s">
        <v>38</v>
      </c>
      <c r="Q1494" s="23" t="s">
        <v>39</v>
      </c>
      <c r="R1494" s="23" t="s">
        <v>836</v>
      </c>
      <c r="S1494" s="33">
        <v>0</v>
      </c>
      <c r="T1494" s="13">
        <v>39.840000000000003</v>
      </c>
      <c r="U1494" s="13">
        <v>18.3264</v>
      </c>
      <c r="V1494" s="55">
        <f>IFERROR(Table12[[#This Row],[Profit]]/Table12[[#This Row],[Sales]],0)</f>
        <v>0.45999999999999996</v>
      </c>
    </row>
    <row r="1495" spans="1:22" x14ac:dyDescent="0.2">
      <c r="A1495">
        <v>1494</v>
      </c>
      <c r="B1495" t="s">
        <v>7286</v>
      </c>
      <c r="C1495" s="1">
        <v>41953</v>
      </c>
      <c r="D1495" s="22">
        <f>MONTH(Table12[[#This Row],[Order Date]])</f>
        <v>11</v>
      </c>
      <c r="E1495" t="s">
        <v>506</v>
      </c>
      <c r="F1495" t="s">
        <v>6055</v>
      </c>
      <c r="G1495" s="23" t="s">
        <v>41</v>
      </c>
      <c r="H1495" s="23" t="s">
        <v>61</v>
      </c>
      <c r="I1495" t="s">
        <v>5991</v>
      </c>
      <c r="J1495" s="23" t="s">
        <v>22</v>
      </c>
      <c r="K1495" s="22">
        <v>2</v>
      </c>
      <c r="L1495" s="1">
        <v>41959</v>
      </c>
      <c r="M1495" s="22">
        <f>Table12[[#This Row],[Ship Date]]-Table12[[#This Row],[Order Date]]</f>
        <v>6</v>
      </c>
      <c r="N1495" s="23" t="s">
        <v>45</v>
      </c>
      <c r="O1495" s="23" t="s">
        <v>23</v>
      </c>
      <c r="P1495" s="23" t="s">
        <v>212</v>
      </c>
      <c r="Q1495" s="23" t="s">
        <v>95</v>
      </c>
      <c r="R1495" s="23" t="s">
        <v>4713</v>
      </c>
      <c r="S1495" s="33">
        <v>0</v>
      </c>
      <c r="T1495" s="13">
        <v>3.9</v>
      </c>
      <c r="U1495" s="13">
        <v>1.5209999999999999</v>
      </c>
      <c r="V1495" s="55">
        <f>IFERROR(Table12[[#This Row],[Profit]]/Table12[[#This Row],[Sales]],0)</f>
        <v>0.38999999999999996</v>
      </c>
    </row>
    <row r="1496" spans="1:22" x14ac:dyDescent="0.2">
      <c r="A1496">
        <v>1495</v>
      </c>
      <c r="B1496" t="s">
        <v>7286</v>
      </c>
      <c r="C1496" s="1">
        <v>41953</v>
      </c>
      <c r="D1496" s="22">
        <f>MONTH(Table12[[#This Row],[Order Date]])</f>
        <v>11</v>
      </c>
      <c r="E1496" t="s">
        <v>3513</v>
      </c>
      <c r="F1496" t="s">
        <v>3514</v>
      </c>
      <c r="G1496" s="23" t="s">
        <v>41</v>
      </c>
      <c r="H1496" s="23" t="s">
        <v>82</v>
      </c>
      <c r="I1496" t="s">
        <v>5991</v>
      </c>
      <c r="J1496" s="23" t="s">
        <v>22</v>
      </c>
      <c r="K1496" s="22">
        <v>3</v>
      </c>
      <c r="L1496" s="1">
        <v>41959</v>
      </c>
      <c r="M1496" s="22">
        <f>Table12[[#This Row],[Ship Date]]-Table12[[#This Row],[Order Date]]</f>
        <v>6</v>
      </c>
      <c r="N1496" s="23" t="s">
        <v>45</v>
      </c>
      <c r="O1496" s="23" t="s">
        <v>23</v>
      </c>
      <c r="P1496" s="23" t="s">
        <v>212</v>
      </c>
      <c r="Q1496" s="23" t="s">
        <v>95</v>
      </c>
      <c r="R1496" s="23" t="s">
        <v>4713</v>
      </c>
      <c r="S1496" s="33">
        <v>0</v>
      </c>
      <c r="T1496" s="13">
        <v>12.84</v>
      </c>
      <c r="U1496" s="13">
        <v>5.7779999999999996</v>
      </c>
      <c r="V1496" s="55">
        <f>IFERROR(Table12[[#This Row],[Profit]]/Table12[[#This Row],[Sales]],0)</f>
        <v>0.44999999999999996</v>
      </c>
    </row>
    <row r="1497" spans="1:22" x14ac:dyDescent="0.2">
      <c r="A1497">
        <v>1496</v>
      </c>
      <c r="B1497" t="s">
        <v>7286</v>
      </c>
      <c r="C1497" s="1">
        <v>41953</v>
      </c>
      <c r="D1497" s="22">
        <f>MONTH(Table12[[#This Row],[Order Date]])</f>
        <v>11</v>
      </c>
      <c r="E1497" t="s">
        <v>805</v>
      </c>
      <c r="F1497" t="s">
        <v>806</v>
      </c>
      <c r="G1497" s="23" t="s">
        <v>41</v>
      </c>
      <c r="H1497" s="23" t="s">
        <v>82</v>
      </c>
      <c r="I1497" t="s">
        <v>5991</v>
      </c>
      <c r="J1497" s="23" t="s">
        <v>22</v>
      </c>
      <c r="K1497" s="22">
        <v>3</v>
      </c>
      <c r="L1497" s="1">
        <v>41959</v>
      </c>
      <c r="M1497" s="22">
        <f>Table12[[#This Row],[Ship Date]]-Table12[[#This Row],[Order Date]]</f>
        <v>6</v>
      </c>
      <c r="N1497" s="23" t="s">
        <v>45</v>
      </c>
      <c r="O1497" s="23" t="s">
        <v>23</v>
      </c>
      <c r="P1497" s="23" t="s">
        <v>212</v>
      </c>
      <c r="Q1497" s="23" t="s">
        <v>95</v>
      </c>
      <c r="R1497" s="23" t="s">
        <v>4713</v>
      </c>
      <c r="S1497" s="33">
        <v>0</v>
      </c>
      <c r="T1497" s="13">
        <v>15.84</v>
      </c>
      <c r="U1497" s="13">
        <v>7.1280000000000001</v>
      </c>
      <c r="V1497" s="55">
        <f>IFERROR(Table12[[#This Row],[Profit]]/Table12[[#This Row],[Sales]],0)</f>
        <v>0.45</v>
      </c>
    </row>
    <row r="1498" spans="1:22" x14ac:dyDescent="0.2">
      <c r="A1498">
        <v>1497</v>
      </c>
      <c r="B1498" t="s">
        <v>7286</v>
      </c>
      <c r="C1498" s="1">
        <v>41953</v>
      </c>
      <c r="D1498" s="22">
        <f>MONTH(Table12[[#This Row],[Order Date]])</f>
        <v>11</v>
      </c>
      <c r="E1498" t="s">
        <v>1707</v>
      </c>
      <c r="F1498" t="s">
        <v>1708</v>
      </c>
      <c r="G1498" s="23" t="s">
        <v>28</v>
      </c>
      <c r="H1498" s="23" t="s">
        <v>32</v>
      </c>
      <c r="I1498" t="s">
        <v>5991</v>
      </c>
      <c r="J1498" s="23" t="s">
        <v>22</v>
      </c>
      <c r="K1498" s="22">
        <v>3</v>
      </c>
      <c r="L1498" s="1">
        <v>41959</v>
      </c>
      <c r="M1498" s="22">
        <f>Table12[[#This Row],[Ship Date]]-Table12[[#This Row],[Order Date]]</f>
        <v>6</v>
      </c>
      <c r="N1498" s="23" t="s">
        <v>45</v>
      </c>
      <c r="O1498" s="23" t="s">
        <v>23</v>
      </c>
      <c r="P1498" s="23" t="s">
        <v>212</v>
      </c>
      <c r="Q1498" s="23" t="s">
        <v>95</v>
      </c>
      <c r="R1498" s="23" t="s">
        <v>4713</v>
      </c>
      <c r="S1498" s="33">
        <v>0</v>
      </c>
      <c r="T1498" s="13">
        <v>563.94000000000005</v>
      </c>
      <c r="U1498" s="13">
        <v>112.788</v>
      </c>
      <c r="V1498" s="55">
        <f>IFERROR(Table12[[#This Row],[Profit]]/Table12[[#This Row],[Sales]],0)</f>
        <v>0.19999999999999998</v>
      </c>
    </row>
    <row r="1499" spans="1:22" x14ac:dyDescent="0.2">
      <c r="A1499">
        <v>1498</v>
      </c>
      <c r="B1499" t="s">
        <v>7286</v>
      </c>
      <c r="C1499" s="1">
        <v>41953</v>
      </c>
      <c r="D1499" s="22">
        <f>MONTH(Table12[[#This Row],[Order Date]])</f>
        <v>11</v>
      </c>
      <c r="E1499" t="s">
        <v>3540</v>
      </c>
      <c r="F1499" t="s">
        <v>3541</v>
      </c>
      <c r="G1499" s="23" t="s">
        <v>41</v>
      </c>
      <c r="H1499" s="23" t="s">
        <v>53</v>
      </c>
      <c r="I1499" t="s">
        <v>5991</v>
      </c>
      <c r="J1499" s="23" t="s">
        <v>22</v>
      </c>
      <c r="K1499" s="22">
        <v>3</v>
      </c>
      <c r="L1499" s="1">
        <v>41959</v>
      </c>
      <c r="M1499" s="22">
        <f>Table12[[#This Row],[Ship Date]]-Table12[[#This Row],[Order Date]]</f>
        <v>6</v>
      </c>
      <c r="N1499" s="23" t="s">
        <v>45</v>
      </c>
      <c r="O1499" s="23" t="s">
        <v>23</v>
      </c>
      <c r="P1499" s="23" t="s">
        <v>212</v>
      </c>
      <c r="Q1499" s="23" t="s">
        <v>95</v>
      </c>
      <c r="R1499" s="23" t="s">
        <v>4713</v>
      </c>
      <c r="S1499" s="33">
        <v>0</v>
      </c>
      <c r="T1499" s="13">
        <v>62.94</v>
      </c>
      <c r="U1499" s="13">
        <v>11.958600000000001</v>
      </c>
      <c r="V1499" s="55">
        <f>IFERROR(Table12[[#This Row],[Profit]]/Table12[[#This Row],[Sales]],0)</f>
        <v>0.19</v>
      </c>
    </row>
    <row r="1500" spans="1:22" x14ac:dyDescent="0.2">
      <c r="A1500">
        <v>1499</v>
      </c>
      <c r="B1500" t="s">
        <v>7286</v>
      </c>
      <c r="C1500" s="1">
        <v>41953</v>
      </c>
      <c r="D1500" s="22">
        <f>MONTH(Table12[[#This Row],[Order Date]])</f>
        <v>11</v>
      </c>
      <c r="E1500" t="s">
        <v>1774</v>
      </c>
      <c r="F1500" t="s">
        <v>1775</v>
      </c>
      <c r="G1500" s="23" t="s">
        <v>41</v>
      </c>
      <c r="H1500" s="23" t="s">
        <v>53</v>
      </c>
      <c r="I1500" t="s">
        <v>5991</v>
      </c>
      <c r="J1500" s="23" t="s">
        <v>22</v>
      </c>
      <c r="K1500" s="22">
        <v>3</v>
      </c>
      <c r="L1500" s="1">
        <v>41959</v>
      </c>
      <c r="M1500" s="22">
        <f>Table12[[#This Row],[Ship Date]]-Table12[[#This Row],[Order Date]]</f>
        <v>6</v>
      </c>
      <c r="N1500" s="23" t="s">
        <v>45</v>
      </c>
      <c r="O1500" s="23" t="s">
        <v>23</v>
      </c>
      <c r="P1500" s="23" t="s">
        <v>212</v>
      </c>
      <c r="Q1500" s="23" t="s">
        <v>95</v>
      </c>
      <c r="R1500" s="23" t="s">
        <v>4713</v>
      </c>
      <c r="S1500" s="33">
        <v>0</v>
      </c>
      <c r="T1500" s="13">
        <v>535.41</v>
      </c>
      <c r="U1500" s="13">
        <v>160.62299999999999</v>
      </c>
      <c r="V1500" s="55">
        <f>IFERROR(Table12[[#This Row],[Profit]]/Table12[[#This Row],[Sales]],0)</f>
        <v>0.3</v>
      </c>
    </row>
    <row r="1501" spans="1:22" x14ac:dyDescent="0.2">
      <c r="A1501">
        <v>1500</v>
      </c>
      <c r="B1501" t="s">
        <v>100</v>
      </c>
      <c r="C1501" s="1">
        <v>41954</v>
      </c>
      <c r="D1501" s="22">
        <f>MONTH(Table12[[#This Row],[Order Date]])</f>
        <v>11</v>
      </c>
      <c r="E1501" t="s">
        <v>104</v>
      </c>
      <c r="F1501" t="s">
        <v>105</v>
      </c>
      <c r="G1501" s="23" t="s">
        <v>41</v>
      </c>
      <c r="H1501" s="23" t="s">
        <v>53</v>
      </c>
      <c r="I1501" t="s">
        <v>101</v>
      </c>
      <c r="J1501" s="23" t="s">
        <v>22</v>
      </c>
      <c r="K1501" s="22">
        <v>6</v>
      </c>
      <c r="L1501" s="1">
        <v>41961</v>
      </c>
      <c r="M1501" s="22">
        <f>Table12[[#This Row],[Ship Date]]-Table12[[#This Row],[Order Date]]</f>
        <v>7</v>
      </c>
      <c r="N1501" s="23" t="s">
        <v>45</v>
      </c>
      <c r="O1501" s="23" t="s">
        <v>23</v>
      </c>
      <c r="P1501" s="23" t="s">
        <v>103</v>
      </c>
      <c r="Q1501" s="23" t="s">
        <v>95</v>
      </c>
      <c r="R1501" s="23" t="s">
        <v>102</v>
      </c>
      <c r="S1501" s="33">
        <v>0</v>
      </c>
      <c r="T1501" s="13">
        <v>665.88</v>
      </c>
      <c r="U1501" s="13">
        <v>13.317600000000001</v>
      </c>
      <c r="V1501" s="55">
        <f>IFERROR(Table12[[#This Row],[Profit]]/Table12[[#This Row],[Sales]],0)</f>
        <v>0.02</v>
      </c>
    </row>
    <row r="1502" spans="1:22" x14ac:dyDescent="0.2">
      <c r="A1502">
        <v>1501</v>
      </c>
      <c r="B1502" t="s">
        <v>2594</v>
      </c>
      <c r="C1502" s="1">
        <v>41954</v>
      </c>
      <c r="D1502" s="22">
        <f>MONTH(Table12[[#This Row],[Order Date]])</f>
        <v>11</v>
      </c>
      <c r="E1502" t="s">
        <v>2596</v>
      </c>
      <c r="F1502" t="s">
        <v>2597</v>
      </c>
      <c r="G1502" s="23" t="s">
        <v>41</v>
      </c>
      <c r="H1502" s="23" t="s">
        <v>61</v>
      </c>
      <c r="I1502" t="s">
        <v>2595</v>
      </c>
      <c r="J1502" s="23" t="s">
        <v>22</v>
      </c>
      <c r="K1502" s="22">
        <v>1</v>
      </c>
      <c r="L1502" s="1">
        <v>41957</v>
      </c>
      <c r="M1502" s="22">
        <f>Table12[[#This Row],[Ship Date]]-Table12[[#This Row],[Order Date]]</f>
        <v>3</v>
      </c>
      <c r="N1502" s="23" t="s">
        <v>20</v>
      </c>
      <c r="O1502" s="23" t="s">
        <v>23</v>
      </c>
      <c r="P1502" s="23" t="s">
        <v>405</v>
      </c>
      <c r="Q1502" s="23" t="s">
        <v>39</v>
      </c>
      <c r="R1502" s="23" t="s">
        <v>1303</v>
      </c>
      <c r="S1502" s="33">
        <v>0.2</v>
      </c>
      <c r="T1502" s="13">
        <v>3.3919999999999999</v>
      </c>
      <c r="U1502" s="13">
        <v>0.80559999999999998</v>
      </c>
      <c r="V1502" s="55">
        <f>IFERROR(Table12[[#This Row],[Profit]]/Table12[[#This Row],[Sales]],0)</f>
        <v>0.23749999999999999</v>
      </c>
    </row>
    <row r="1503" spans="1:22" x14ac:dyDescent="0.2">
      <c r="A1503">
        <v>1502</v>
      </c>
      <c r="B1503" t="s">
        <v>2594</v>
      </c>
      <c r="C1503" s="1">
        <v>41954</v>
      </c>
      <c r="D1503" s="22">
        <f>MONTH(Table12[[#This Row],[Order Date]])</f>
        <v>11</v>
      </c>
      <c r="E1503" t="s">
        <v>2598</v>
      </c>
      <c r="F1503" t="s">
        <v>2599</v>
      </c>
      <c r="G1503" s="23" t="s">
        <v>64</v>
      </c>
      <c r="H1503" s="23" t="s">
        <v>65</v>
      </c>
      <c r="I1503" t="s">
        <v>2595</v>
      </c>
      <c r="J1503" s="23" t="s">
        <v>22</v>
      </c>
      <c r="K1503" s="22">
        <v>2</v>
      </c>
      <c r="L1503" s="1">
        <v>41957</v>
      </c>
      <c r="M1503" s="22">
        <f>Table12[[#This Row],[Ship Date]]-Table12[[#This Row],[Order Date]]</f>
        <v>3</v>
      </c>
      <c r="N1503" s="23" t="s">
        <v>20</v>
      </c>
      <c r="O1503" s="23" t="s">
        <v>23</v>
      </c>
      <c r="P1503" s="23" t="s">
        <v>405</v>
      </c>
      <c r="Q1503" s="23" t="s">
        <v>39</v>
      </c>
      <c r="R1503" s="23" t="s">
        <v>1303</v>
      </c>
      <c r="S1503" s="33">
        <v>0.2</v>
      </c>
      <c r="T1503" s="13">
        <v>559.98400000000004</v>
      </c>
      <c r="U1503" s="13">
        <v>55.998399999999997</v>
      </c>
      <c r="V1503" s="55">
        <f>IFERROR(Table12[[#This Row],[Profit]]/Table12[[#This Row],[Sales]],0)</f>
        <v>9.9999999999999992E-2</v>
      </c>
    </row>
    <row r="1504" spans="1:22" x14ac:dyDescent="0.2">
      <c r="A1504">
        <v>1503</v>
      </c>
      <c r="B1504" t="s">
        <v>2594</v>
      </c>
      <c r="C1504" s="1">
        <v>41954</v>
      </c>
      <c r="D1504" s="22">
        <f>MONTH(Table12[[#This Row],[Order Date]])</f>
        <v>11</v>
      </c>
      <c r="E1504" t="s">
        <v>2272</v>
      </c>
      <c r="F1504" t="s">
        <v>2273</v>
      </c>
      <c r="G1504" s="23" t="s">
        <v>28</v>
      </c>
      <c r="H1504" s="23" t="s">
        <v>32</v>
      </c>
      <c r="I1504" t="s">
        <v>2595</v>
      </c>
      <c r="J1504" s="23" t="s">
        <v>22</v>
      </c>
      <c r="K1504" s="22">
        <v>5</v>
      </c>
      <c r="L1504" s="1">
        <v>41957</v>
      </c>
      <c r="M1504" s="22">
        <f>Table12[[#This Row],[Ship Date]]-Table12[[#This Row],[Order Date]]</f>
        <v>3</v>
      </c>
      <c r="N1504" s="23" t="s">
        <v>20</v>
      </c>
      <c r="O1504" s="23" t="s">
        <v>23</v>
      </c>
      <c r="P1504" s="23" t="s">
        <v>405</v>
      </c>
      <c r="Q1504" s="23" t="s">
        <v>39</v>
      </c>
      <c r="R1504" s="23" t="s">
        <v>1303</v>
      </c>
      <c r="S1504" s="33">
        <v>0.2</v>
      </c>
      <c r="T1504" s="13">
        <v>603.91999999999996</v>
      </c>
      <c r="U1504" s="13">
        <v>75.489999999999995</v>
      </c>
      <c r="V1504" s="55">
        <f>IFERROR(Table12[[#This Row],[Profit]]/Table12[[#This Row],[Sales]],0)</f>
        <v>0.125</v>
      </c>
    </row>
    <row r="1505" spans="1:22" x14ac:dyDescent="0.2">
      <c r="A1505">
        <v>1504</v>
      </c>
      <c r="B1505" t="s">
        <v>5839</v>
      </c>
      <c r="C1505" s="1">
        <v>41954</v>
      </c>
      <c r="D1505" s="22">
        <f>MONTH(Table12[[#This Row],[Order Date]])</f>
        <v>11</v>
      </c>
      <c r="E1505" t="s">
        <v>4174</v>
      </c>
      <c r="F1505" t="s">
        <v>4175</v>
      </c>
      <c r="G1505" s="23" t="s">
        <v>41</v>
      </c>
      <c r="H1505" s="23" t="s">
        <v>68</v>
      </c>
      <c r="I1505" t="s">
        <v>283</v>
      </c>
      <c r="J1505" s="23" t="s">
        <v>22</v>
      </c>
      <c r="K1505" s="22">
        <v>5</v>
      </c>
      <c r="L1505" s="1">
        <v>41958</v>
      </c>
      <c r="M1505" s="22">
        <f>Table12[[#This Row],[Ship Date]]-Table12[[#This Row],[Order Date]]</f>
        <v>4</v>
      </c>
      <c r="N1505" s="23" t="s">
        <v>45</v>
      </c>
      <c r="O1505" s="23" t="s">
        <v>23</v>
      </c>
      <c r="P1505" s="23" t="s">
        <v>94</v>
      </c>
      <c r="Q1505" s="23" t="s">
        <v>95</v>
      </c>
      <c r="R1505" s="23" t="s">
        <v>165</v>
      </c>
      <c r="S1505" s="33">
        <v>0.8</v>
      </c>
      <c r="T1505" s="13">
        <v>896.99</v>
      </c>
      <c r="U1505" s="13">
        <v>-1480.0335</v>
      </c>
      <c r="V1505" s="55">
        <f>IFERROR(Table12[[#This Row],[Profit]]/Table12[[#This Row],[Sales]],0)</f>
        <v>-1.65</v>
      </c>
    </row>
    <row r="1506" spans="1:22" x14ac:dyDescent="0.2">
      <c r="A1506">
        <v>1505</v>
      </c>
      <c r="B1506" t="s">
        <v>5839</v>
      </c>
      <c r="C1506" s="1">
        <v>41954</v>
      </c>
      <c r="D1506" s="22">
        <f>MONTH(Table12[[#This Row],[Order Date]])</f>
        <v>11</v>
      </c>
      <c r="E1506" t="s">
        <v>5636</v>
      </c>
      <c r="F1506" t="s">
        <v>5637</v>
      </c>
      <c r="G1506" s="23" t="s">
        <v>41</v>
      </c>
      <c r="H1506" s="23" t="s">
        <v>68</v>
      </c>
      <c r="I1506" t="s">
        <v>283</v>
      </c>
      <c r="J1506" s="23" t="s">
        <v>22</v>
      </c>
      <c r="K1506" s="22">
        <v>1</v>
      </c>
      <c r="L1506" s="1">
        <v>41958</v>
      </c>
      <c r="M1506" s="22">
        <f>Table12[[#This Row],[Ship Date]]-Table12[[#This Row],[Order Date]]</f>
        <v>4</v>
      </c>
      <c r="N1506" s="23" t="s">
        <v>45</v>
      </c>
      <c r="O1506" s="23" t="s">
        <v>23</v>
      </c>
      <c r="P1506" s="23" t="s">
        <v>94</v>
      </c>
      <c r="Q1506" s="23" t="s">
        <v>95</v>
      </c>
      <c r="R1506" s="23" t="s">
        <v>165</v>
      </c>
      <c r="S1506" s="33">
        <v>0.8</v>
      </c>
      <c r="T1506" s="13">
        <v>1.234</v>
      </c>
      <c r="U1506" s="13">
        <v>-1.9743999999999999</v>
      </c>
      <c r="V1506" s="55">
        <f>IFERROR(Table12[[#This Row],[Profit]]/Table12[[#This Row],[Sales]],0)</f>
        <v>-1.5999999999999999</v>
      </c>
    </row>
    <row r="1507" spans="1:22" x14ac:dyDescent="0.2">
      <c r="A1507">
        <v>1506</v>
      </c>
      <c r="B1507" t="s">
        <v>5839</v>
      </c>
      <c r="C1507" s="1">
        <v>41954</v>
      </c>
      <c r="D1507" s="22">
        <f>MONTH(Table12[[#This Row],[Order Date]])</f>
        <v>11</v>
      </c>
      <c r="E1507" t="s">
        <v>5564</v>
      </c>
      <c r="F1507" t="s">
        <v>5565</v>
      </c>
      <c r="G1507" s="23" t="s">
        <v>41</v>
      </c>
      <c r="H1507" s="23" t="s">
        <v>61</v>
      </c>
      <c r="I1507" t="s">
        <v>283</v>
      </c>
      <c r="J1507" s="23" t="s">
        <v>22</v>
      </c>
      <c r="K1507" s="22">
        <v>3</v>
      </c>
      <c r="L1507" s="1">
        <v>41958</v>
      </c>
      <c r="M1507" s="22">
        <f>Table12[[#This Row],[Ship Date]]-Table12[[#This Row],[Order Date]]</f>
        <v>4</v>
      </c>
      <c r="N1507" s="23" t="s">
        <v>45</v>
      </c>
      <c r="O1507" s="23" t="s">
        <v>23</v>
      </c>
      <c r="P1507" s="23" t="s">
        <v>94</v>
      </c>
      <c r="Q1507" s="23" t="s">
        <v>95</v>
      </c>
      <c r="R1507" s="23" t="s">
        <v>165</v>
      </c>
      <c r="S1507" s="33">
        <v>0.2</v>
      </c>
      <c r="T1507" s="13">
        <v>67.56</v>
      </c>
      <c r="U1507" s="13">
        <v>6.7560000000000002</v>
      </c>
      <c r="V1507" s="55">
        <f>IFERROR(Table12[[#This Row],[Profit]]/Table12[[#This Row],[Sales]],0)</f>
        <v>0.1</v>
      </c>
    </row>
    <row r="1508" spans="1:22" x14ac:dyDescent="0.2">
      <c r="A1508">
        <v>1507</v>
      </c>
      <c r="B1508" t="s">
        <v>5839</v>
      </c>
      <c r="C1508" s="1">
        <v>41954</v>
      </c>
      <c r="D1508" s="22">
        <f>MONTH(Table12[[#This Row],[Order Date]])</f>
        <v>11</v>
      </c>
      <c r="E1508" t="s">
        <v>1267</v>
      </c>
      <c r="F1508" t="s">
        <v>1268</v>
      </c>
      <c r="G1508" s="23" t="s">
        <v>41</v>
      </c>
      <c r="H1508" s="23" t="s">
        <v>82</v>
      </c>
      <c r="I1508" t="s">
        <v>283</v>
      </c>
      <c r="J1508" s="23" t="s">
        <v>22</v>
      </c>
      <c r="K1508" s="22">
        <v>5</v>
      </c>
      <c r="L1508" s="1">
        <v>41958</v>
      </c>
      <c r="M1508" s="22">
        <f>Table12[[#This Row],[Ship Date]]-Table12[[#This Row],[Order Date]]</f>
        <v>4</v>
      </c>
      <c r="N1508" s="23" t="s">
        <v>45</v>
      </c>
      <c r="O1508" s="23" t="s">
        <v>23</v>
      </c>
      <c r="P1508" s="23" t="s">
        <v>94</v>
      </c>
      <c r="Q1508" s="23" t="s">
        <v>95</v>
      </c>
      <c r="R1508" s="23" t="s">
        <v>165</v>
      </c>
      <c r="S1508" s="33">
        <v>0.2</v>
      </c>
      <c r="T1508" s="13">
        <v>21.72</v>
      </c>
      <c r="U1508" s="13">
        <v>7.8734999999999999</v>
      </c>
      <c r="V1508" s="55">
        <f>IFERROR(Table12[[#This Row],[Profit]]/Table12[[#This Row],[Sales]],0)</f>
        <v>0.36249999999999999</v>
      </c>
    </row>
    <row r="1509" spans="1:22" x14ac:dyDescent="0.2">
      <c r="A1509">
        <v>1508</v>
      </c>
      <c r="B1509" t="s">
        <v>5839</v>
      </c>
      <c r="C1509" s="1">
        <v>41954</v>
      </c>
      <c r="D1509" s="22">
        <f>MONTH(Table12[[#This Row],[Order Date]])</f>
        <v>11</v>
      </c>
      <c r="E1509" t="s">
        <v>5840</v>
      </c>
      <c r="F1509" t="s">
        <v>5841</v>
      </c>
      <c r="G1509" s="23" t="s">
        <v>41</v>
      </c>
      <c r="H1509" s="23" t="s">
        <v>82</v>
      </c>
      <c r="I1509" t="s">
        <v>283</v>
      </c>
      <c r="J1509" s="23" t="s">
        <v>22</v>
      </c>
      <c r="K1509" s="22">
        <v>8</v>
      </c>
      <c r="L1509" s="1">
        <v>41958</v>
      </c>
      <c r="M1509" s="22">
        <f>Table12[[#This Row],[Ship Date]]-Table12[[#This Row],[Order Date]]</f>
        <v>4</v>
      </c>
      <c r="N1509" s="23" t="s">
        <v>45</v>
      </c>
      <c r="O1509" s="23" t="s">
        <v>23</v>
      </c>
      <c r="P1509" s="23" t="s">
        <v>94</v>
      </c>
      <c r="Q1509" s="23" t="s">
        <v>95</v>
      </c>
      <c r="R1509" s="23" t="s">
        <v>165</v>
      </c>
      <c r="S1509" s="33">
        <v>0.2</v>
      </c>
      <c r="T1509" s="13">
        <v>262.33600000000001</v>
      </c>
      <c r="U1509" s="13">
        <v>95.096800000000002</v>
      </c>
      <c r="V1509" s="55">
        <f>IFERROR(Table12[[#This Row],[Profit]]/Table12[[#This Row],[Sales]],0)</f>
        <v>0.36249999999999999</v>
      </c>
    </row>
    <row r="1510" spans="1:22" x14ac:dyDescent="0.2">
      <c r="A1510">
        <v>1509</v>
      </c>
      <c r="B1510" t="s">
        <v>5839</v>
      </c>
      <c r="C1510" s="1">
        <v>41954</v>
      </c>
      <c r="D1510" s="22">
        <f>MONTH(Table12[[#This Row],[Order Date]])</f>
        <v>11</v>
      </c>
      <c r="E1510" t="s">
        <v>3147</v>
      </c>
      <c r="F1510" t="s">
        <v>3148</v>
      </c>
      <c r="G1510" s="23" t="s">
        <v>64</v>
      </c>
      <c r="H1510" s="23" t="s">
        <v>65</v>
      </c>
      <c r="I1510" t="s">
        <v>283</v>
      </c>
      <c r="J1510" s="23" t="s">
        <v>22</v>
      </c>
      <c r="K1510" s="22">
        <v>2</v>
      </c>
      <c r="L1510" s="1">
        <v>41958</v>
      </c>
      <c r="M1510" s="22">
        <f>Table12[[#This Row],[Ship Date]]-Table12[[#This Row],[Order Date]]</f>
        <v>4</v>
      </c>
      <c r="N1510" s="23" t="s">
        <v>45</v>
      </c>
      <c r="O1510" s="23" t="s">
        <v>23</v>
      </c>
      <c r="P1510" s="23" t="s">
        <v>94</v>
      </c>
      <c r="Q1510" s="23" t="s">
        <v>95</v>
      </c>
      <c r="R1510" s="23" t="s">
        <v>165</v>
      </c>
      <c r="S1510" s="33">
        <v>0.2</v>
      </c>
      <c r="T1510" s="13">
        <v>148.47999999999999</v>
      </c>
      <c r="U1510" s="13">
        <v>16.704000000000001</v>
      </c>
      <c r="V1510" s="55">
        <f>IFERROR(Table12[[#This Row],[Profit]]/Table12[[#This Row],[Sales]],0)</f>
        <v>0.11250000000000002</v>
      </c>
    </row>
    <row r="1511" spans="1:22" x14ac:dyDescent="0.2">
      <c r="A1511">
        <v>1510</v>
      </c>
      <c r="B1511" t="s">
        <v>5839</v>
      </c>
      <c r="C1511" s="1">
        <v>41954</v>
      </c>
      <c r="D1511" s="22">
        <f>MONTH(Table12[[#This Row],[Order Date]])</f>
        <v>11</v>
      </c>
      <c r="E1511" t="s">
        <v>4107</v>
      </c>
      <c r="F1511" t="s">
        <v>4108</v>
      </c>
      <c r="G1511" s="23" t="s">
        <v>64</v>
      </c>
      <c r="H1511" s="23" t="s">
        <v>65</v>
      </c>
      <c r="I1511" t="s">
        <v>283</v>
      </c>
      <c r="J1511" s="23" t="s">
        <v>22</v>
      </c>
      <c r="K1511" s="22">
        <v>3</v>
      </c>
      <c r="L1511" s="1">
        <v>41958</v>
      </c>
      <c r="M1511" s="22">
        <f>Table12[[#This Row],[Ship Date]]-Table12[[#This Row],[Order Date]]</f>
        <v>4</v>
      </c>
      <c r="N1511" s="23" t="s">
        <v>45</v>
      </c>
      <c r="O1511" s="23" t="s">
        <v>23</v>
      </c>
      <c r="P1511" s="23" t="s">
        <v>94</v>
      </c>
      <c r="Q1511" s="23" t="s">
        <v>95</v>
      </c>
      <c r="R1511" s="23" t="s">
        <v>165</v>
      </c>
      <c r="S1511" s="33">
        <v>0.2</v>
      </c>
      <c r="T1511" s="13">
        <v>241.17599999999999</v>
      </c>
      <c r="U1511" s="13">
        <v>15.073499999999999</v>
      </c>
      <c r="V1511" s="55">
        <f>IFERROR(Table12[[#This Row],[Profit]]/Table12[[#This Row],[Sales]],0)</f>
        <v>6.25E-2</v>
      </c>
    </row>
    <row r="1512" spans="1:22" x14ac:dyDescent="0.2">
      <c r="A1512">
        <v>1511</v>
      </c>
      <c r="B1512" t="s">
        <v>7719</v>
      </c>
      <c r="C1512" s="1">
        <v>41954</v>
      </c>
      <c r="D1512" s="22">
        <f>MONTH(Table12[[#This Row],[Order Date]])</f>
        <v>11</v>
      </c>
      <c r="E1512" t="s">
        <v>1387</v>
      </c>
      <c r="F1512" t="s">
        <v>1388</v>
      </c>
      <c r="G1512" s="23" t="s">
        <v>41</v>
      </c>
      <c r="H1512" s="23" t="s">
        <v>61</v>
      </c>
      <c r="I1512" t="s">
        <v>2014</v>
      </c>
      <c r="J1512" s="23" t="s">
        <v>22</v>
      </c>
      <c r="K1512" s="22">
        <v>3</v>
      </c>
      <c r="L1512" s="1">
        <v>41961</v>
      </c>
      <c r="M1512" s="22">
        <f>Table12[[#This Row],[Ship Date]]-Table12[[#This Row],[Order Date]]</f>
        <v>7</v>
      </c>
      <c r="N1512" s="23" t="s">
        <v>45</v>
      </c>
      <c r="O1512" s="23" t="s">
        <v>23</v>
      </c>
      <c r="P1512" s="23" t="s">
        <v>38</v>
      </c>
      <c r="Q1512" s="23" t="s">
        <v>39</v>
      </c>
      <c r="R1512" s="23" t="s">
        <v>37</v>
      </c>
      <c r="S1512" s="33">
        <v>0</v>
      </c>
      <c r="T1512" s="13">
        <v>30.48</v>
      </c>
      <c r="U1512" s="13">
        <v>7.9248000000000003</v>
      </c>
      <c r="V1512" s="55">
        <f>IFERROR(Table12[[#This Row],[Profit]]/Table12[[#This Row],[Sales]],0)</f>
        <v>0.26</v>
      </c>
    </row>
    <row r="1513" spans="1:22" x14ac:dyDescent="0.2">
      <c r="A1513">
        <v>1512</v>
      </c>
      <c r="B1513" t="s">
        <v>7719</v>
      </c>
      <c r="C1513" s="1">
        <v>41954</v>
      </c>
      <c r="D1513" s="22">
        <f>MONTH(Table12[[#This Row],[Order Date]])</f>
        <v>11</v>
      </c>
      <c r="E1513" t="s">
        <v>4082</v>
      </c>
      <c r="F1513" t="s">
        <v>4083</v>
      </c>
      <c r="G1513" s="23" t="s">
        <v>28</v>
      </c>
      <c r="H1513" s="23" t="s">
        <v>32</v>
      </c>
      <c r="I1513" t="s">
        <v>2014</v>
      </c>
      <c r="J1513" s="23" t="s">
        <v>22</v>
      </c>
      <c r="K1513" s="22">
        <v>1</v>
      </c>
      <c r="L1513" s="1">
        <v>41961</v>
      </c>
      <c r="M1513" s="22">
        <f>Table12[[#This Row],[Ship Date]]-Table12[[#This Row],[Order Date]]</f>
        <v>7</v>
      </c>
      <c r="N1513" s="23" t="s">
        <v>45</v>
      </c>
      <c r="O1513" s="23" t="s">
        <v>23</v>
      </c>
      <c r="P1513" s="23" t="s">
        <v>38</v>
      </c>
      <c r="Q1513" s="23" t="s">
        <v>39</v>
      </c>
      <c r="R1513" s="23" t="s">
        <v>37</v>
      </c>
      <c r="S1513" s="33">
        <v>0.2</v>
      </c>
      <c r="T1513" s="13">
        <v>112.648</v>
      </c>
      <c r="U1513" s="13">
        <v>11.264799999999999</v>
      </c>
      <c r="V1513" s="55">
        <f>IFERROR(Table12[[#This Row],[Profit]]/Table12[[#This Row],[Sales]],0)</f>
        <v>9.9999999999999992E-2</v>
      </c>
    </row>
    <row r="1514" spans="1:22" x14ac:dyDescent="0.2">
      <c r="A1514">
        <v>1513</v>
      </c>
      <c r="B1514" t="s">
        <v>7827</v>
      </c>
      <c r="C1514" s="1">
        <v>41954</v>
      </c>
      <c r="D1514" s="22">
        <f>MONTH(Table12[[#This Row],[Order Date]])</f>
        <v>11</v>
      </c>
      <c r="E1514" t="s">
        <v>5378</v>
      </c>
      <c r="F1514" t="s">
        <v>5379</v>
      </c>
      <c r="G1514" s="23" t="s">
        <v>28</v>
      </c>
      <c r="H1514" s="23" t="s">
        <v>58</v>
      </c>
      <c r="I1514" t="s">
        <v>6883</v>
      </c>
      <c r="J1514" s="23" t="s">
        <v>36</v>
      </c>
      <c r="K1514" s="22">
        <v>2</v>
      </c>
      <c r="L1514" s="1">
        <v>41958</v>
      </c>
      <c r="M1514" s="22">
        <f>Table12[[#This Row],[Ship Date]]-Table12[[#This Row],[Order Date]]</f>
        <v>4</v>
      </c>
      <c r="N1514" s="23" t="s">
        <v>20</v>
      </c>
      <c r="O1514" s="23" t="s">
        <v>23</v>
      </c>
      <c r="P1514" s="23" t="s">
        <v>132</v>
      </c>
      <c r="Q1514" s="23" t="s">
        <v>133</v>
      </c>
      <c r="R1514" s="23" t="s">
        <v>4223</v>
      </c>
      <c r="S1514" s="33">
        <v>0.2</v>
      </c>
      <c r="T1514" s="13">
        <v>23.968</v>
      </c>
      <c r="U1514" s="13">
        <v>7.7896000000000001</v>
      </c>
      <c r="V1514" s="55">
        <f>IFERROR(Table12[[#This Row],[Profit]]/Table12[[#This Row],[Sales]],0)</f>
        <v>0.32500000000000001</v>
      </c>
    </row>
    <row r="1515" spans="1:22" x14ac:dyDescent="0.2">
      <c r="A1515">
        <v>1514</v>
      </c>
      <c r="B1515" t="s">
        <v>7827</v>
      </c>
      <c r="C1515" s="1">
        <v>41954</v>
      </c>
      <c r="D1515" s="22">
        <f>MONTH(Table12[[#This Row],[Order Date]])</f>
        <v>11</v>
      </c>
      <c r="E1515" t="s">
        <v>180</v>
      </c>
      <c r="F1515" t="s">
        <v>181</v>
      </c>
      <c r="G1515" s="23" t="s">
        <v>28</v>
      </c>
      <c r="H1515" s="23" t="s">
        <v>29</v>
      </c>
      <c r="I1515" t="s">
        <v>6883</v>
      </c>
      <c r="J1515" s="23" t="s">
        <v>36</v>
      </c>
      <c r="K1515" s="22">
        <v>4</v>
      </c>
      <c r="L1515" s="1">
        <v>41958</v>
      </c>
      <c r="M1515" s="22">
        <f>Table12[[#This Row],[Ship Date]]-Table12[[#This Row],[Order Date]]</f>
        <v>4</v>
      </c>
      <c r="N1515" s="23" t="s">
        <v>20</v>
      </c>
      <c r="O1515" s="23" t="s">
        <v>23</v>
      </c>
      <c r="P1515" s="23" t="s">
        <v>132</v>
      </c>
      <c r="Q1515" s="23" t="s">
        <v>133</v>
      </c>
      <c r="R1515" s="23" t="s">
        <v>4223</v>
      </c>
      <c r="S1515" s="33">
        <v>0.5</v>
      </c>
      <c r="T1515" s="13">
        <v>521.96</v>
      </c>
      <c r="U1515" s="13">
        <v>-250.54079999999999</v>
      </c>
      <c r="V1515" s="55">
        <f>IFERROR(Table12[[#This Row],[Profit]]/Table12[[#This Row],[Sales]],0)</f>
        <v>-0.47999999999999993</v>
      </c>
    </row>
    <row r="1516" spans="1:22" x14ac:dyDescent="0.2">
      <c r="A1516">
        <v>1515</v>
      </c>
      <c r="B1516" t="s">
        <v>7830</v>
      </c>
      <c r="C1516" s="1">
        <v>41954</v>
      </c>
      <c r="D1516" s="22">
        <f>MONTH(Table12[[#This Row],[Order Date]])</f>
        <v>11</v>
      </c>
      <c r="E1516" t="s">
        <v>1768</v>
      </c>
      <c r="F1516" t="s">
        <v>1769</v>
      </c>
      <c r="G1516" s="23" t="s">
        <v>64</v>
      </c>
      <c r="H1516" s="23" t="s">
        <v>65</v>
      </c>
      <c r="I1516" t="s">
        <v>164</v>
      </c>
      <c r="J1516" s="23" t="s">
        <v>92</v>
      </c>
      <c r="K1516" s="22">
        <v>9</v>
      </c>
      <c r="L1516" s="1">
        <v>41956</v>
      </c>
      <c r="M1516" s="22">
        <f>Table12[[#This Row],[Ship Date]]-Table12[[#This Row],[Order Date]]</f>
        <v>2</v>
      </c>
      <c r="N1516" s="23" t="s">
        <v>20</v>
      </c>
      <c r="O1516" s="23" t="s">
        <v>23</v>
      </c>
      <c r="P1516" s="23" t="s">
        <v>38</v>
      </c>
      <c r="Q1516" s="23" t="s">
        <v>39</v>
      </c>
      <c r="R1516" s="23" t="s">
        <v>37</v>
      </c>
      <c r="S1516" s="33">
        <v>0.2</v>
      </c>
      <c r="T1516" s="13">
        <v>575.928</v>
      </c>
      <c r="U1516" s="13">
        <v>57.592799999999997</v>
      </c>
      <c r="V1516" s="55">
        <f>IFERROR(Table12[[#This Row],[Profit]]/Table12[[#This Row],[Sales]],0)</f>
        <v>9.9999999999999992E-2</v>
      </c>
    </row>
    <row r="1517" spans="1:22" x14ac:dyDescent="0.2">
      <c r="A1517">
        <v>1516</v>
      </c>
      <c r="B1517" t="s">
        <v>7830</v>
      </c>
      <c r="C1517" s="1">
        <v>41954</v>
      </c>
      <c r="D1517" s="22">
        <f>MONTH(Table12[[#This Row],[Order Date]])</f>
        <v>11</v>
      </c>
      <c r="E1517" t="s">
        <v>3609</v>
      </c>
      <c r="F1517" t="s">
        <v>3610</v>
      </c>
      <c r="G1517" s="23" t="s">
        <v>41</v>
      </c>
      <c r="H1517" s="23" t="s">
        <v>71</v>
      </c>
      <c r="I1517" t="s">
        <v>164</v>
      </c>
      <c r="J1517" s="23" t="s">
        <v>92</v>
      </c>
      <c r="K1517" s="22">
        <v>2</v>
      </c>
      <c r="L1517" s="1">
        <v>41956</v>
      </c>
      <c r="M1517" s="22">
        <f>Table12[[#This Row],[Ship Date]]-Table12[[#This Row],[Order Date]]</f>
        <v>2</v>
      </c>
      <c r="N1517" s="23" t="s">
        <v>20</v>
      </c>
      <c r="O1517" s="23" t="s">
        <v>23</v>
      </c>
      <c r="P1517" s="23" t="s">
        <v>38</v>
      </c>
      <c r="Q1517" s="23" t="s">
        <v>39</v>
      </c>
      <c r="R1517" s="23" t="s">
        <v>37</v>
      </c>
      <c r="S1517" s="33">
        <v>0</v>
      </c>
      <c r="T1517" s="13">
        <v>7.78</v>
      </c>
      <c r="U1517" s="13">
        <v>2.0228000000000002</v>
      </c>
      <c r="V1517" s="55">
        <f>IFERROR(Table12[[#This Row],[Profit]]/Table12[[#This Row],[Sales]],0)</f>
        <v>0.26</v>
      </c>
    </row>
    <row r="1518" spans="1:22" x14ac:dyDescent="0.2">
      <c r="A1518">
        <v>1517</v>
      </c>
      <c r="B1518" t="s">
        <v>7830</v>
      </c>
      <c r="C1518" s="1">
        <v>41954</v>
      </c>
      <c r="D1518" s="22">
        <f>MONTH(Table12[[#This Row],[Order Date]])</f>
        <v>11</v>
      </c>
      <c r="E1518" t="s">
        <v>2617</v>
      </c>
      <c r="F1518" t="s">
        <v>2618</v>
      </c>
      <c r="G1518" s="23" t="s">
        <v>41</v>
      </c>
      <c r="H1518" s="23" t="s">
        <v>82</v>
      </c>
      <c r="I1518" t="s">
        <v>164</v>
      </c>
      <c r="J1518" s="23" t="s">
        <v>92</v>
      </c>
      <c r="K1518" s="22">
        <v>4</v>
      </c>
      <c r="L1518" s="1">
        <v>41956</v>
      </c>
      <c r="M1518" s="22">
        <f>Table12[[#This Row],[Ship Date]]-Table12[[#This Row],[Order Date]]</f>
        <v>2</v>
      </c>
      <c r="N1518" s="23" t="s">
        <v>20</v>
      </c>
      <c r="O1518" s="23" t="s">
        <v>23</v>
      </c>
      <c r="P1518" s="23" t="s">
        <v>38</v>
      </c>
      <c r="Q1518" s="23" t="s">
        <v>39</v>
      </c>
      <c r="R1518" s="23" t="s">
        <v>37</v>
      </c>
      <c r="S1518" s="33">
        <v>0</v>
      </c>
      <c r="T1518" s="13">
        <v>123.92</v>
      </c>
      <c r="U1518" s="13">
        <v>55.764000000000003</v>
      </c>
      <c r="V1518" s="55">
        <f>IFERROR(Table12[[#This Row],[Profit]]/Table12[[#This Row],[Sales]],0)</f>
        <v>0.45</v>
      </c>
    </row>
    <row r="1519" spans="1:22" x14ac:dyDescent="0.2">
      <c r="A1519">
        <v>1518</v>
      </c>
      <c r="B1519" t="s">
        <v>9949</v>
      </c>
      <c r="C1519" s="1">
        <v>41954</v>
      </c>
      <c r="D1519" s="22">
        <f>MONTH(Table12[[#This Row],[Order Date]])</f>
        <v>11</v>
      </c>
      <c r="E1519" t="s">
        <v>70</v>
      </c>
      <c r="F1519" t="s">
        <v>72</v>
      </c>
      <c r="G1519" s="23" t="s">
        <v>41</v>
      </c>
      <c r="H1519" s="23" t="s">
        <v>71</v>
      </c>
      <c r="I1519" t="s">
        <v>683</v>
      </c>
      <c r="J1519" s="23" t="s">
        <v>36</v>
      </c>
      <c r="K1519" s="22">
        <v>1</v>
      </c>
      <c r="L1519" s="1">
        <v>41956</v>
      </c>
      <c r="M1519" s="22">
        <f>Table12[[#This Row],[Ship Date]]-Table12[[#This Row],[Order Date]]</f>
        <v>2</v>
      </c>
      <c r="N1519" s="23" t="s">
        <v>169</v>
      </c>
      <c r="O1519" s="23" t="s">
        <v>23</v>
      </c>
      <c r="P1519" s="23" t="s">
        <v>87</v>
      </c>
      <c r="Q1519" s="23" t="s">
        <v>39</v>
      </c>
      <c r="R1519" s="23" t="s">
        <v>86</v>
      </c>
      <c r="S1519" s="33">
        <v>0</v>
      </c>
      <c r="T1519" s="13">
        <v>22.98</v>
      </c>
      <c r="U1519" s="13">
        <v>6.8940000000000001</v>
      </c>
      <c r="V1519" s="55">
        <f>IFERROR(Table12[[#This Row],[Profit]]/Table12[[#This Row],[Sales]],0)</f>
        <v>0.3</v>
      </c>
    </row>
    <row r="1520" spans="1:22" x14ac:dyDescent="0.2">
      <c r="A1520">
        <v>1519</v>
      </c>
      <c r="B1520" t="s">
        <v>9949</v>
      </c>
      <c r="C1520" s="1">
        <v>41954</v>
      </c>
      <c r="D1520" s="22">
        <f>MONTH(Table12[[#This Row],[Order Date]])</f>
        <v>11</v>
      </c>
      <c r="E1520" t="s">
        <v>4282</v>
      </c>
      <c r="F1520" t="s">
        <v>4283</v>
      </c>
      <c r="G1520" s="23" t="s">
        <v>64</v>
      </c>
      <c r="H1520" s="23" t="s">
        <v>144</v>
      </c>
      <c r="I1520" t="s">
        <v>683</v>
      </c>
      <c r="J1520" s="23" t="s">
        <v>36</v>
      </c>
      <c r="K1520" s="22">
        <v>7</v>
      </c>
      <c r="L1520" s="1">
        <v>41956</v>
      </c>
      <c r="M1520" s="22">
        <f>Table12[[#This Row],[Ship Date]]-Table12[[#This Row],[Order Date]]</f>
        <v>2</v>
      </c>
      <c r="N1520" s="23" t="s">
        <v>169</v>
      </c>
      <c r="O1520" s="23" t="s">
        <v>23</v>
      </c>
      <c r="P1520" s="23" t="s">
        <v>87</v>
      </c>
      <c r="Q1520" s="23" t="s">
        <v>39</v>
      </c>
      <c r="R1520" s="23" t="s">
        <v>86</v>
      </c>
      <c r="S1520" s="33">
        <v>0</v>
      </c>
      <c r="T1520" s="13">
        <v>102.13</v>
      </c>
      <c r="U1520" s="13">
        <v>15.3195</v>
      </c>
      <c r="V1520" s="55">
        <f>IFERROR(Table12[[#This Row],[Profit]]/Table12[[#This Row],[Sales]],0)</f>
        <v>0.15</v>
      </c>
    </row>
    <row r="1521" spans="1:22" x14ac:dyDescent="0.2">
      <c r="A1521">
        <v>1520</v>
      </c>
      <c r="B1521" t="s">
        <v>9949</v>
      </c>
      <c r="C1521" s="1">
        <v>41954</v>
      </c>
      <c r="D1521" s="22">
        <f>MONTH(Table12[[#This Row],[Order Date]])</f>
        <v>11</v>
      </c>
      <c r="E1521" t="s">
        <v>1543</v>
      </c>
      <c r="F1521" t="s">
        <v>1544</v>
      </c>
      <c r="G1521" s="23" t="s">
        <v>41</v>
      </c>
      <c r="H1521" s="23" t="s">
        <v>68</v>
      </c>
      <c r="I1521" t="s">
        <v>683</v>
      </c>
      <c r="J1521" s="23" t="s">
        <v>36</v>
      </c>
      <c r="K1521" s="22">
        <v>2</v>
      </c>
      <c r="L1521" s="1">
        <v>41956</v>
      </c>
      <c r="M1521" s="22">
        <f>Table12[[#This Row],[Ship Date]]-Table12[[#This Row],[Order Date]]</f>
        <v>2</v>
      </c>
      <c r="N1521" s="23" t="s">
        <v>169</v>
      </c>
      <c r="O1521" s="23" t="s">
        <v>23</v>
      </c>
      <c r="P1521" s="23" t="s">
        <v>87</v>
      </c>
      <c r="Q1521" s="23" t="s">
        <v>39</v>
      </c>
      <c r="R1521" s="23" t="s">
        <v>86</v>
      </c>
      <c r="S1521" s="33">
        <v>0.2</v>
      </c>
      <c r="T1521" s="13">
        <v>2033.5840000000001</v>
      </c>
      <c r="U1521" s="13">
        <v>762.59400000000005</v>
      </c>
      <c r="V1521" s="55">
        <f>IFERROR(Table12[[#This Row],[Profit]]/Table12[[#This Row],[Sales]],0)</f>
        <v>0.375</v>
      </c>
    </row>
    <row r="1522" spans="1:22" x14ac:dyDescent="0.2">
      <c r="A1522">
        <v>1521</v>
      </c>
      <c r="B1522" t="s">
        <v>10028</v>
      </c>
      <c r="C1522" s="1">
        <v>41954</v>
      </c>
      <c r="D1522" s="22">
        <f>MONTH(Table12[[#This Row],[Order Date]])</f>
        <v>11</v>
      </c>
      <c r="E1522" t="s">
        <v>6670</v>
      </c>
      <c r="F1522" t="s">
        <v>6671</v>
      </c>
      <c r="G1522" s="23" t="s">
        <v>28</v>
      </c>
      <c r="H1522" s="23" t="s">
        <v>58</v>
      </c>
      <c r="I1522" t="s">
        <v>56</v>
      </c>
      <c r="J1522" s="23" t="s">
        <v>22</v>
      </c>
      <c r="K1522" s="22">
        <v>2</v>
      </c>
      <c r="L1522" s="1">
        <v>41958</v>
      </c>
      <c r="M1522" s="22">
        <f>Table12[[#This Row],[Ship Date]]-Table12[[#This Row],[Order Date]]</f>
        <v>4</v>
      </c>
      <c r="N1522" s="23" t="s">
        <v>45</v>
      </c>
      <c r="O1522" s="23" t="s">
        <v>23</v>
      </c>
      <c r="P1522" s="23" t="s">
        <v>189</v>
      </c>
      <c r="Q1522" s="23" t="s">
        <v>95</v>
      </c>
      <c r="R1522" s="23" t="s">
        <v>271</v>
      </c>
      <c r="S1522" s="33">
        <v>0.6</v>
      </c>
      <c r="T1522" s="13">
        <v>10.984</v>
      </c>
      <c r="U1522" s="13">
        <v>-7.9634</v>
      </c>
      <c r="V1522" s="55">
        <f>IFERROR(Table12[[#This Row],[Profit]]/Table12[[#This Row],[Sales]],0)</f>
        <v>-0.72499999999999998</v>
      </c>
    </row>
    <row r="1523" spans="1:22" x14ac:dyDescent="0.2">
      <c r="A1523">
        <v>1522</v>
      </c>
      <c r="B1523" t="s">
        <v>10028</v>
      </c>
      <c r="C1523" s="1">
        <v>41954</v>
      </c>
      <c r="D1523" s="22">
        <f>MONTH(Table12[[#This Row],[Order Date]])</f>
        <v>11</v>
      </c>
      <c r="E1523" t="s">
        <v>1588</v>
      </c>
      <c r="F1523" t="s">
        <v>1589</v>
      </c>
      <c r="G1523" s="23" t="s">
        <v>28</v>
      </c>
      <c r="H1523" s="23" t="s">
        <v>32</v>
      </c>
      <c r="I1523" t="s">
        <v>56</v>
      </c>
      <c r="J1523" s="23" t="s">
        <v>22</v>
      </c>
      <c r="K1523" s="22">
        <v>4</v>
      </c>
      <c r="L1523" s="1">
        <v>41958</v>
      </c>
      <c r="M1523" s="22">
        <f>Table12[[#This Row],[Ship Date]]-Table12[[#This Row],[Order Date]]</f>
        <v>4</v>
      </c>
      <c r="N1523" s="23" t="s">
        <v>45</v>
      </c>
      <c r="O1523" s="23" t="s">
        <v>23</v>
      </c>
      <c r="P1523" s="23" t="s">
        <v>189</v>
      </c>
      <c r="Q1523" s="23" t="s">
        <v>95</v>
      </c>
      <c r="R1523" s="23" t="s">
        <v>271</v>
      </c>
      <c r="S1523" s="33">
        <v>0.3</v>
      </c>
      <c r="T1523" s="13">
        <v>797.94399999999996</v>
      </c>
      <c r="U1523" s="13">
        <v>-56.996000000000002</v>
      </c>
      <c r="V1523" s="55">
        <f>IFERROR(Table12[[#This Row],[Profit]]/Table12[[#This Row],[Sales]],0)</f>
        <v>-7.1428571428571438E-2</v>
      </c>
    </row>
    <row r="1524" spans="1:22" x14ac:dyDescent="0.2">
      <c r="A1524">
        <v>1523</v>
      </c>
      <c r="B1524" t="s">
        <v>10125</v>
      </c>
      <c r="C1524" s="1">
        <v>41954</v>
      </c>
      <c r="D1524" s="22">
        <f>MONTH(Table12[[#This Row],[Order Date]])</f>
        <v>11</v>
      </c>
      <c r="E1524" t="s">
        <v>4649</v>
      </c>
      <c r="F1524" t="s">
        <v>4650</v>
      </c>
      <c r="G1524" s="23" t="s">
        <v>41</v>
      </c>
      <c r="H1524" s="23" t="s">
        <v>82</v>
      </c>
      <c r="I1524" t="s">
        <v>4736</v>
      </c>
      <c r="J1524" s="23" t="s">
        <v>92</v>
      </c>
      <c r="K1524" s="22">
        <v>5</v>
      </c>
      <c r="L1524" s="1">
        <v>41960</v>
      </c>
      <c r="M1524" s="22">
        <f>Table12[[#This Row],[Ship Date]]-Table12[[#This Row],[Order Date]]</f>
        <v>6</v>
      </c>
      <c r="N1524" s="23" t="s">
        <v>45</v>
      </c>
      <c r="O1524" s="23" t="s">
        <v>23</v>
      </c>
      <c r="P1524" s="23" t="s">
        <v>238</v>
      </c>
      <c r="Q1524" s="23" t="s">
        <v>133</v>
      </c>
      <c r="R1524" s="23" t="s">
        <v>1326</v>
      </c>
      <c r="S1524" s="33">
        <v>0</v>
      </c>
      <c r="T1524" s="13">
        <v>46.35</v>
      </c>
      <c r="U1524" s="13">
        <v>21.784500000000001</v>
      </c>
      <c r="V1524" s="55">
        <f>IFERROR(Table12[[#This Row],[Profit]]/Table12[[#This Row],[Sales]],0)</f>
        <v>0.47000000000000003</v>
      </c>
    </row>
    <row r="1525" spans="1:22" x14ac:dyDescent="0.2">
      <c r="A1525">
        <v>1524</v>
      </c>
      <c r="B1525" t="s">
        <v>10125</v>
      </c>
      <c r="C1525" s="1">
        <v>41954</v>
      </c>
      <c r="D1525" s="22">
        <f>MONTH(Table12[[#This Row],[Order Date]])</f>
        <v>11</v>
      </c>
      <c r="E1525" t="s">
        <v>6090</v>
      </c>
      <c r="F1525" t="s">
        <v>6091</v>
      </c>
      <c r="G1525" s="23" t="s">
        <v>41</v>
      </c>
      <c r="H1525" s="23" t="s">
        <v>82</v>
      </c>
      <c r="I1525" t="s">
        <v>4736</v>
      </c>
      <c r="J1525" s="23" t="s">
        <v>92</v>
      </c>
      <c r="K1525" s="22">
        <v>4</v>
      </c>
      <c r="L1525" s="1">
        <v>41960</v>
      </c>
      <c r="M1525" s="22">
        <f>Table12[[#This Row],[Ship Date]]-Table12[[#This Row],[Order Date]]</f>
        <v>6</v>
      </c>
      <c r="N1525" s="23" t="s">
        <v>45</v>
      </c>
      <c r="O1525" s="23" t="s">
        <v>23</v>
      </c>
      <c r="P1525" s="23" t="s">
        <v>238</v>
      </c>
      <c r="Q1525" s="23" t="s">
        <v>133</v>
      </c>
      <c r="R1525" s="23" t="s">
        <v>1326</v>
      </c>
      <c r="S1525" s="33">
        <v>0</v>
      </c>
      <c r="T1525" s="13">
        <v>223.92</v>
      </c>
      <c r="U1525" s="13">
        <v>109.7208</v>
      </c>
      <c r="V1525" s="55">
        <f>IFERROR(Table12[[#This Row],[Profit]]/Table12[[#This Row],[Sales]],0)</f>
        <v>0.49</v>
      </c>
    </row>
    <row r="1526" spans="1:22" x14ac:dyDescent="0.2">
      <c r="A1526">
        <v>1525</v>
      </c>
      <c r="B1526" t="s">
        <v>10125</v>
      </c>
      <c r="C1526" s="1">
        <v>41954</v>
      </c>
      <c r="D1526" s="22">
        <f>MONTH(Table12[[#This Row],[Order Date]])</f>
        <v>11</v>
      </c>
      <c r="E1526" t="s">
        <v>1722</v>
      </c>
      <c r="F1526" t="s">
        <v>1723</v>
      </c>
      <c r="G1526" s="23" t="s">
        <v>41</v>
      </c>
      <c r="H1526" s="23" t="s">
        <v>513</v>
      </c>
      <c r="I1526" t="s">
        <v>4736</v>
      </c>
      <c r="J1526" s="23" t="s">
        <v>92</v>
      </c>
      <c r="K1526" s="22">
        <v>2</v>
      </c>
      <c r="L1526" s="1">
        <v>41960</v>
      </c>
      <c r="M1526" s="22">
        <f>Table12[[#This Row],[Ship Date]]-Table12[[#This Row],[Order Date]]</f>
        <v>6</v>
      </c>
      <c r="N1526" s="23" t="s">
        <v>45</v>
      </c>
      <c r="O1526" s="23" t="s">
        <v>23</v>
      </c>
      <c r="P1526" s="23" t="s">
        <v>238</v>
      </c>
      <c r="Q1526" s="23" t="s">
        <v>133</v>
      </c>
      <c r="R1526" s="23" t="s">
        <v>1326</v>
      </c>
      <c r="S1526" s="33">
        <v>0</v>
      </c>
      <c r="T1526" s="13">
        <v>7.3</v>
      </c>
      <c r="U1526" s="13">
        <v>2.19</v>
      </c>
      <c r="V1526" s="55">
        <f>IFERROR(Table12[[#This Row],[Profit]]/Table12[[#This Row],[Sales]],0)</f>
        <v>0.3</v>
      </c>
    </row>
    <row r="1527" spans="1:22" x14ac:dyDescent="0.2">
      <c r="A1527">
        <v>1526</v>
      </c>
      <c r="B1527" t="s">
        <v>4112</v>
      </c>
      <c r="C1527" s="1">
        <v>41955</v>
      </c>
      <c r="D1527" s="22">
        <f>MONTH(Table12[[#This Row],[Order Date]])</f>
        <v>11</v>
      </c>
      <c r="E1527" t="s">
        <v>670</v>
      </c>
      <c r="F1527" t="s">
        <v>671</v>
      </c>
      <c r="G1527" s="23" t="s">
        <v>41</v>
      </c>
      <c r="H1527" s="23" t="s">
        <v>53</v>
      </c>
      <c r="I1527" t="s">
        <v>1260</v>
      </c>
      <c r="J1527" s="23" t="s">
        <v>22</v>
      </c>
      <c r="K1527" s="22">
        <v>4</v>
      </c>
      <c r="L1527" s="1">
        <v>41955</v>
      </c>
      <c r="M1527" s="22">
        <f>Table12[[#This Row],[Ship Date]]-Table12[[#This Row],[Order Date]]</f>
        <v>0</v>
      </c>
      <c r="N1527" s="23" t="s">
        <v>1141</v>
      </c>
      <c r="O1527" s="23" t="s">
        <v>23</v>
      </c>
      <c r="P1527" s="23" t="s">
        <v>94</v>
      </c>
      <c r="Q1527" s="23" t="s">
        <v>95</v>
      </c>
      <c r="R1527" s="23" t="s">
        <v>598</v>
      </c>
      <c r="S1527" s="33">
        <v>0.2</v>
      </c>
      <c r="T1527" s="13">
        <v>49.631999999999998</v>
      </c>
      <c r="U1527" s="13">
        <v>4.9631999999999996</v>
      </c>
      <c r="V1527" s="55">
        <f>IFERROR(Table12[[#This Row],[Profit]]/Table12[[#This Row],[Sales]],0)</f>
        <v>9.9999999999999992E-2</v>
      </c>
    </row>
    <row r="1528" spans="1:22" x14ac:dyDescent="0.2">
      <c r="A1528">
        <v>1527</v>
      </c>
      <c r="B1528" t="s">
        <v>4852</v>
      </c>
      <c r="C1528" s="1">
        <v>41955</v>
      </c>
      <c r="D1528" s="22">
        <f>MONTH(Table12[[#This Row],[Order Date]])</f>
        <v>11</v>
      </c>
      <c r="E1528" t="s">
        <v>1254</v>
      </c>
      <c r="F1528" t="s">
        <v>1255</v>
      </c>
      <c r="G1528" s="23" t="s">
        <v>41</v>
      </c>
      <c r="H1528" s="23" t="s">
        <v>82</v>
      </c>
      <c r="I1528" t="s">
        <v>2550</v>
      </c>
      <c r="J1528" s="23" t="s">
        <v>22</v>
      </c>
      <c r="K1528" s="22">
        <v>2</v>
      </c>
      <c r="L1528" s="1">
        <v>41959</v>
      </c>
      <c r="M1528" s="22">
        <f>Table12[[#This Row],[Ship Date]]-Table12[[#This Row],[Order Date]]</f>
        <v>4</v>
      </c>
      <c r="N1528" s="23" t="s">
        <v>45</v>
      </c>
      <c r="O1528" s="23" t="s">
        <v>23</v>
      </c>
      <c r="P1528" s="23" t="s">
        <v>38</v>
      </c>
      <c r="Q1528" s="23" t="s">
        <v>39</v>
      </c>
      <c r="R1528" s="23" t="s">
        <v>37</v>
      </c>
      <c r="S1528" s="33">
        <v>0</v>
      </c>
      <c r="T1528" s="13">
        <v>11.96</v>
      </c>
      <c r="U1528" s="13">
        <v>5.8604000000000003</v>
      </c>
      <c r="V1528" s="55">
        <f>IFERROR(Table12[[#This Row],[Profit]]/Table12[[#This Row],[Sales]],0)</f>
        <v>0.49</v>
      </c>
    </row>
    <row r="1529" spans="1:22" x14ac:dyDescent="0.2">
      <c r="A1529">
        <v>1528</v>
      </c>
      <c r="B1529" t="s">
        <v>4852</v>
      </c>
      <c r="C1529" s="1">
        <v>41955</v>
      </c>
      <c r="D1529" s="22">
        <f>MONTH(Table12[[#This Row],[Order Date]])</f>
        <v>11</v>
      </c>
      <c r="E1529" t="s">
        <v>2532</v>
      </c>
      <c r="F1529" t="s">
        <v>2533</v>
      </c>
      <c r="G1529" s="23" t="s">
        <v>28</v>
      </c>
      <c r="H1529" s="23" t="s">
        <v>50</v>
      </c>
      <c r="I1529" t="s">
        <v>2550</v>
      </c>
      <c r="J1529" s="23" t="s">
        <v>22</v>
      </c>
      <c r="K1529" s="22">
        <v>3</v>
      </c>
      <c r="L1529" s="1">
        <v>41959</v>
      </c>
      <c r="M1529" s="22">
        <f>Table12[[#This Row],[Ship Date]]-Table12[[#This Row],[Order Date]]</f>
        <v>4</v>
      </c>
      <c r="N1529" s="23" t="s">
        <v>45</v>
      </c>
      <c r="O1529" s="23" t="s">
        <v>23</v>
      </c>
      <c r="P1529" s="23" t="s">
        <v>38</v>
      </c>
      <c r="Q1529" s="23" t="s">
        <v>39</v>
      </c>
      <c r="R1529" s="23" t="s">
        <v>37</v>
      </c>
      <c r="S1529" s="33">
        <v>0.2</v>
      </c>
      <c r="T1529" s="13">
        <v>629.06399999999996</v>
      </c>
      <c r="U1529" s="13">
        <v>31.453199999999999</v>
      </c>
      <c r="V1529" s="55">
        <f>IFERROR(Table12[[#This Row],[Profit]]/Table12[[#This Row],[Sales]],0)</f>
        <v>0.05</v>
      </c>
    </row>
    <row r="1530" spans="1:22" x14ac:dyDescent="0.2">
      <c r="A1530">
        <v>1529</v>
      </c>
      <c r="B1530" t="s">
        <v>6377</v>
      </c>
      <c r="C1530" s="1">
        <v>41955</v>
      </c>
      <c r="D1530" s="22">
        <f>MONTH(Table12[[#This Row],[Order Date]])</f>
        <v>11</v>
      </c>
      <c r="E1530" t="s">
        <v>986</v>
      </c>
      <c r="F1530" t="s">
        <v>987</v>
      </c>
      <c r="G1530" s="23" t="s">
        <v>41</v>
      </c>
      <c r="H1530" s="23" t="s">
        <v>61</v>
      </c>
      <c r="I1530" t="s">
        <v>5370</v>
      </c>
      <c r="J1530" s="23" t="s">
        <v>36</v>
      </c>
      <c r="K1530" s="22">
        <v>3</v>
      </c>
      <c r="L1530" s="1">
        <v>41960</v>
      </c>
      <c r="M1530" s="22">
        <f>Table12[[#This Row],[Ship Date]]-Table12[[#This Row],[Order Date]]</f>
        <v>5</v>
      </c>
      <c r="N1530" s="23" t="s">
        <v>20</v>
      </c>
      <c r="O1530" s="23" t="s">
        <v>23</v>
      </c>
      <c r="P1530" s="23" t="s">
        <v>80</v>
      </c>
      <c r="Q1530" s="23" t="s">
        <v>26</v>
      </c>
      <c r="R1530" s="23" t="s">
        <v>2188</v>
      </c>
      <c r="S1530" s="33">
        <v>0.2</v>
      </c>
      <c r="T1530" s="13">
        <v>7.8719999999999999</v>
      </c>
      <c r="U1530" s="13">
        <v>0.88560000000000005</v>
      </c>
      <c r="V1530" s="55">
        <f>IFERROR(Table12[[#This Row],[Profit]]/Table12[[#This Row],[Sales]],0)</f>
        <v>0.1125</v>
      </c>
    </row>
    <row r="1531" spans="1:22" x14ac:dyDescent="0.2">
      <c r="A1531">
        <v>1530</v>
      </c>
      <c r="B1531" t="s">
        <v>7561</v>
      </c>
      <c r="C1531" s="1">
        <v>41955</v>
      </c>
      <c r="D1531" s="22">
        <f>MONTH(Table12[[#This Row],[Order Date]])</f>
        <v>11</v>
      </c>
      <c r="E1531" t="s">
        <v>5201</v>
      </c>
      <c r="F1531" t="s">
        <v>5202</v>
      </c>
      <c r="G1531" s="23" t="s">
        <v>41</v>
      </c>
      <c r="H1531" s="23" t="s">
        <v>61</v>
      </c>
      <c r="I1531" t="s">
        <v>6088</v>
      </c>
      <c r="J1531" s="23" t="s">
        <v>36</v>
      </c>
      <c r="K1531" s="22">
        <v>1</v>
      </c>
      <c r="L1531" s="1">
        <v>41959</v>
      </c>
      <c r="M1531" s="22">
        <f>Table12[[#This Row],[Ship Date]]-Table12[[#This Row],[Order Date]]</f>
        <v>4</v>
      </c>
      <c r="N1531" s="23" t="s">
        <v>45</v>
      </c>
      <c r="O1531" s="23" t="s">
        <v>23</v>
      </c>
      <c r="P1531" s="23" t="s">
        <v>94</v>
      </c>
      <c r="Q1531" s="23" t="s">
        <v>95</v>
      </c>
      <c r="R1531" s="23" t="s">
        <v>165</v>
      </c>
      <c r="S1531" s="33">
        <v>0.2</v>
      </c>
      <c r="T1531" s="13">
        <v>2.6720000000000002</v>
      </c>
      <c r="U1531" s="13">
        <v>0.33400000000000002</v>
      </c>
      <c r="V1531" s="55">
        <f>IFERROR(Table12[[#This Row],[Profit]]/Table12[[#This Row],[Sales]],0)</f>
        <v>0.125</v>
      </c>
    </row>
    <row r="1532" spans="1:22" x14ac:dyDescent="0.2">
      <c r="A1532">
        <v>1531</v>
      </c>
      <c r="B1532" t="s">
        <v>7561</v>
      </c>
      <c r="C1532" s="1">
        <v>41955</v>
      </c>
      <c r="D1532" s="22">
        <f>MONTH(Table12[[#This Row],[Order Date]])</f>
        <v>11</v>
      </c>
      <c r="E1532" t="s">
        <v>6123</v>
      </c>
      <c r="F1532" t="s">
        <v>6124</v>
      </c>
      <c r="G1532" s="23" t="s">
        <v>41</v>
      </c>
      <c r="H1532" s="23" t="s">
        <v>513</v>
      </c>
      <c r="I1532" t="s">
        <v>6088</v>
      </c>
      <c r="J1532" s="23" t="s">
        <v>36</v>
      </c>
      <c r="K1532" s="22">
        <v>6</v>
      </c>
      <c r="L1532" s="1">
        <v>41959</v>
      </c>
      <c r="M1532" s="22">
        <f>Table12[[#This Row],[Ship Date]]-Table12[[#This Row],[Order Date]]</f>
        <v>4</v>
      </c>
      <c r="N1532" s="23" t="s">
        <v>45</v>
      </c>
      <c r="O1532" s="23" t="s">
        <v>23</v>
      </c>
      <c r="P1532" s="23" t="s">
        <v>94</v>
      </c>
      <c r="Q1532" s="23" t="s">
        <v>95</v>
      </c>
      <c r="R1532" s="23" t="s">
        <v>165</v>
      </c>
      <c r="S1532" s="33">
        <v>0.2</v>
      </c>
      <c r="T1532" s="13">
        <v>16.655999999999999</v>
      </c>
      <c r="U1532" s="13">
        <v>-3.1230000000000002</v>
      </c>
      <c r="V1532" s="55">
        <f>IFERROR(Table12[[#This Row],[Profit]]/Table12[[#This Row],[Sales]],0)</f>
        <v>-0.18750000000000003</v>
      </c>
    </row>
    <row r="1533" spans="1:22" x14ac:dyDescent="0.2">
      <c r="A1533">
        <v>1532</v>
      </c>
      <c r="B1533" t="s">
        <v>7561</v>
      </c>
      <c r="C1533" s="1">
        <v>41955</v>
      </c>
      <c r="D1533" s="22">
        <f>MONTH(Table12[[#This Row],[Order Date]])</f>
        <v>11</v>
      </c>
      <c r="E1533" t="s">
        <v>800</v>
      </c>
      <c r="F1533" t="s">
        <v>1581</v>
      </c>
      <c r="G1533" s="23" t="s">
        <v>64</v>
      </c>
      <c r="H1533" s="23" t="s">
        <v>144</v>
      </c>
      <c r="I1533" t="s">
        <v>6088</v>
      </c>
      <c r="J1533" s="23" t="s">
        <v>36</v>
      </c>
      <c r="K1533" s="22">
        <v>3</v>
      </c>
      <c r="L1533" s="1">
        <v>41959</v>
      </c>
      <c r="M1533" s="22">
        <f>Table12[[#This Row],[Ship Date]]-Table12[[#This Row],[Order Date]]</f>
        <v>4</v>
      </c>
      <c r="N1533" s="23" t="s">
        <v>45</v>
      </c>
      <c r="O1533" s="23" t="s">
        <v>23</v>
      </c>
      <c r="P1533" s="23" t="s">
        <v>94</v>
      </c>
      <c r="Q1533" s="23" t="s">
        <v>95</v>
      </c>
      <c r="R1533" s="23" t="s">
        <v>165</v>
      </c>
      <c r="S1533" s="33">
        <v>0.2</v>
      </c>
      <c r="T1533" s="13">
        <v>79.512</v>
      </c>
      <c r="U1533" s="13">
        <v>20.8719</v>
      </c>
      <c r="V1533" s="55">
        <f>IFERROR(Table12[[#This Row],[Profit]]/Table12[[#This Row],[Sales]],0)</f>
        <v>0.26250000000000001</v>
      </c>
    </row>
    <row r="1534" spans="1:22" x14ac:dyDescent="0.2">
      <c r="A1534">
        <v>1533</v>
      </c>
      <c r="B1534" t="s">
        <v>7561</v>
      </c>
      <c r="C1534" s="1">
        <v>41955</v>
      </c>
      <c r="D1534" s="22">
        <f>MONTH(Table12[[#This Row],[Order Date]])</f>
        <v>11</v>
      </c>
      <c r="E1534" t="s">
        <v>933</v>
      </c>
      <c r="F1534" t="s">
        <v>934</v>
      </c>
      <c r="G1534" s="23" t="s">
        <v>41</v>
      </c>
      <c r="H1534" s="23" t="s">
        <v>82</v>
      </c>
      <c r="I1534" t="s">
        <v>6088</v>
      </c>
      <c r="J1534" s="23" t="s">
        <v>36</v>
      </c>
      <c r="K1534" s="22">
        <v>7</v>
      </c>
      <c r="L1534" s="1">
        <v>41959</v>
      </c>
      <c r="M1534" s="22">
        <f>Table12[[#This Row],[Ship Date]]-Table12[[#This Row],[Order Date]]</f>
        <v>4</v>
      </c>
      <c r="N1534" s="23" t="s">
        <v>45</v>
      </c>
      <c r="O1534" s="23" t="s">
        <v>23</v>
      </c>
      <c r="P1534" s="23" t="s">
        <v>94</v>
      </c>
      <c r="Q1534" s="23" t="s">
        <v>95</v>
      </c>
      <c r="R1534" s="23" t="s">
        <v>165</v>
      </c>
      <c r="S1534" s="33">
        <v>0.2</v>
      </c>
      <c r="T1534" s="13">
        <v>36.287999999999997</v>
      </c>
      <c r="U1534" s="13">
        <v>12.700799999999999</v>
      </c>
      <c r="V1534" s="55">
        <f>IFERROR(Table12[[#This Row],[Profit]]/Table12[[#This Row],[Sales]],0)</f>
        <v>0.35000000000000003</v>
      </c>
    </row>
    <row r="1535" spans="1:22" x14ac:dyDescent="0.2">
      <c r="A1535">
        <v>1534</v>
      </c>
      <c r="B1535" t="s">
        <v>7561</v>
      </c>
      <c r="C1535" s="1">
        <v>41955</v>
      </c>
      <c r="D1535" s="22">
        <f>MONTH(Table12[[#This Row],[Order Date]])</f>
        <v>11</v>
      </c>
      <c r="E1535" t="s">
        <v>3083</v>
      </c>
      <c r="F1535" t="s">
        <v>3084</v>
      </c>
      <c r="G1535" s="23" t="s">
        <v>28</v>
      </c>
      <c r="H1535" s="23" t="s">
        <v>29</v>
      </c>
      <c r="I1535" t="s">
        <v>6088</v>
      </c>
      <c r="J1535" s="23" t="s">
        <v>36</v>
      </c>
      <c r="K1535" s="22">
        <v>1</v>
      </c>
      <c r="L1535" s="1">
        <v>41959</v>
      </c>
      <c r="M1535" s="22">
        <f>Table12[[#This Row],[Ship Date]]-Table12[[#This Row],[Order Date]]</f>
        <v>4</v>
      </c>
      <c r="N1535" s="23" t="s">
        <v>45</v>
      </c>
      <c r="O1535" s="23" t="s">
        <v>23</v>
      </c>
      <c r="P1535" s="23" t="s">
        <v>94</v>
      </c>
      <c r="Q1535" s="23" t="s">
        <v>95</v>
      </c>
      <c r="R1535" s="23" t="s">
        <v>165</v>
      </c>
      <c r="S1535" s="33">
        <v>0.32</v>
      </c>
      <c r="T1535" s="13">
        <v>67.993200000000002</v>
      </c>
      <c r="U1535" s="13">
        <v>-12.998699999999999</v>
      </c>
      <c r="V1535" s="55">
        <f>IFERROR(Table12[[#This Row],[Profit]]/Table12[[#This Row],[Sales]],0)</f>
        <v>-0.19117647058823528</v>
      </c>
    </row>
    <row r="1536" spans="1:22" x14ac:dyDescent="0.2">
      <c r="A1536">
        <v>1535</v>
      </c>
      <c r="B1536" t="s">
        <v>10100</v>
      </c>
      <c r="C1536" s="1">
        <v>41955</v>
      </c>
      <c r="D1536" s="22">
        <f>MONTH(Table12[[#This Row],[Order Date]])</f>
        <v>11</v>
      </c>
      <c r="E1536" t="s">
        <v>5056</v>
      </c>
      <c r="F1536" t="s">
        <v>5057</v>
      </c>
      <c r="G1536" s="23" t="s">
        <v>28</v>
      </c>
      <c r="H1536" s="23" t="s">
        <v>58</v>
      </c>
      <c r="I1536" t="s">
        <v>224</v>
      </c>
      <c r="J1536" s="23" t="s">
        <v>22</v>
      </c>
      <c r="K1536" s="22">
        <v>3</v>
      </c>
      <c r="L1536" s="1">
        <v>41961</v>
      </c>
      <c r="M1536" s="22">
        <f>Table12[[#This Row],[Ship Date]]-Table12[[#This Row],[Order Date]]</f>
        <v>6</v>
      </c>
      <c r="N1536" s="23" t="s">
        <v>45</v>
      </c>
      <c r="O1536" s="23" t="s">
        <v>23</v>
      </c>
      <c r="P1536" s="23" t="s">
        <v>94</v>
      </c>
      <c r="Q1536" s="23" t="s">
        <v>95</v>
      </c>
      <c r="R1536" s="23" t="s">
        <v>3716</v>
      </c>
      <c r="S1536" s="33">
        <v>0.6</v>
      </c>
      <c r="T1536" s="13">
        <v>25.128</v>
      </c>
      <c r="U1536" s="13">
        <v>-6.9101999999999997</v>
      </c>
      <c r="V1536" s="55">
        <f>IFERROR(Table12[[#This Row],[Profit]]/Table12[[#This Row],[Sales]],0)</f>
        <v>-0.27499999999999997</v>
      </c>
    </row>
    <row r="1537" spans="1:22" x14ac:dyDescent="0.2">
      <c r="A1537">
        <v>1536</v>
      </c>
      <c r="B1537" t="s">
        <v>10100</v>
      </c>
      <c r="C1537" s="1">
        <v>41955</v>
      </c>
      <c r="D1537" s="22">
        <f>MONTH(Table12[[#This Row],[Order Date]])</f>
        <v>11</v>
      </c>
      <c r="E1537" t="s">
        <v>1472</v>
      </c>
      <c r="F1537" t="s">
        <v>1473</v>
      </c>
      <c r="G1537" s="23" t="s">
        <v>64</v>
      </c>
      <c r="H1537" s="23" t="s">
        <v>144</v>
      </c>
      <c r="I1537" t="s">
        <v>224</v>
      </c>
      <c r="J1537" s="23" t="s">
        <v>22</v>
      </c>
      <c r="K1537" s="22">
        <v>2</v>
      </c>
      <c r="L1537" s="1">
        <v>41961</v>
      </c>
      <c r="M1537" s="22">
        <f>Table12[[#This Row],[Ship Date]]-Table12[[#This Row],[Order Date]]</f>
        <v>6</v>
      </c>
      <c r="N1537" s="23" t="s">
        <v>45</v>
      </c>
      <c r="O1537" s="23" t="s">
        <v>23</v>
      </c>
      <c r="P1537" s="23" t="s">
        <v>94</v>
      </c>
      <c r="Q1537" s="23" t="s">
        <v>95</v>
      </c>
      <c r="R1537" s="23" t="s">
        <v>3716</v>
      </c>
      <c r="S1537" s="33">
        <v>0.2</v>
      </c>
      <c r="T1537" s="13">
        <v>127.98399999999999</v>
      </c>
      <c r="U1537" s="13">
        <v>25.596800000000002</v>
      </c>
      <c r="V1537" s="55">
        <f>IFERROR(Table12[[#This Row],[Profit]]/Table12[[#This Row],[Sales]],0)</f>
        <v>0.2</v>
      </c>
    </row>
    <row r="1538" spans="1:22" x14ac:dyDescent="0.2">
      <c r="A1538">
        <v>1537</v>
      </c>
      <c r="B1538" t="s">
        <v>4574</v>
      </c>
      <c r="C1538" s="1">
        <v>41957</v>
      </c>
      <c r="D1538" s="22">
        <f>MONTH(Table12[[#This Row],[Order Date]])</f>
        <v>11</v>
      </c>
      <c r="E1538" t="s">
        <v>4576</v>
      </c>
      <c r="F1538" t="s">
        <v>4577</v>
      </c>
      <c r="G1538" s="23" t="s">
        <v>64</v>
      </c>
      <c r="H1538" s="23" t="s">
        <v>65</v>
      </c>
      <c r="I1538" t="s">
        <v>4575</v>
      </c>
      <c r="J1538" s="23" t="s">
        <v>22</v>
      </c>
      <c r="K1538" s="22">
        <v>7</v>
      </c>
      <c r="L1538" s="1">
        <v>41959</v>
      </c>
      <c r="M1538" s="22">
        <f>Table12[[#This Row],[Ship Date]]-Table12[[#This Row],[Order Date]]</f>
        <v>2</v>
      </c>
      <c r="N1538" s="23" t="s">
        <v>20</v>
      </c>
      <c r="O1538" s="23" t="s">
        <v>23</v>
      </c>
      <c r="P1538" s="23" t="s">
        <v>660</v>
      </c>
      <c r="Q1538" s="23" t="s">
        <v>133</v>
      </c>
      <c r="R1538" s="23" t="s">
        <v>659</v>
      </c>
      <c r="S1538" s="33">
        <v>0</v>
      </c>
      <c r="T1538" s="13">
        <v>832.93</v>
      </c>
      <c r="U1538" s="13">
        <v>233.22040000000001</v>
      </c>
      <c r="V1538" s="55">
        <f>IFERROR(Table12[[#This Row],[Profit]]/Table12[[#This Row],[Sales]],0)</f>
        <v>0.28000000000000003</v>
      </c>
    </row>
    <row r="1539" spans="1:22" x14ac:dyDescent="0.2">
      <c r="A1539">
        <v>1538</v>
      </c>
      <c r="B1539" t="s">
        <v>4574</v>
      </c>
      <c r="C1539" s="1">
        <v>41957</v>
      </c>
      <c r="D1539" s="22">
        <f>MONTH(Table12[[#This Row],[Order Date]])</f>
        <v>11</v>
      </c>
      <c r="E1539" t="s">
        <v>857</v>
      </c>
      <c r="F1539" t="s">
        <v>858</v>
      </c>
      <c r="G1539" s="23" t="s">
        <v>41</v>
      </c>
      <c r="H1539" s="23" t="s">
        <v>68</v>
      </c>
      <c r="I1539" t="s">
        <v>4575</v>
      </c>
      <c r="J1539" s="23" t="s">
        <v>22</v>
      </c>
      <c r="K1539" s="22">
        <v>10</v>
      </c>
      <c r="L1539" s="1">
        <v>41959</v>
      </c>
      <c r="M1539" s="22">
        <f>Table12[[#This Row],[Ship Date]]-Table12[[#This Row],[Order Date]]</f>
        <v>2</v>
      </c>
      <c r="N1539" s="23" t="s">
        <v>20</v>
      </c>
      <c r="O1539" s="23" t="s">
        <v>23</v>
      </c>
      <c r="P1539" s="23" t="s">
        <v>660</v>
      </c>
      <c r="Q1539" s="23" t="s">
        <v>133</v>
      </c>
      <c r="R1539" s="23" t="s">
        <v>659</v>
      </c>
      <c r="S1539" s="33">
        <v>0</v>
      </c>
      <c r="T1539" s="13">
        <v>43.8</v>
      </c>
      <c r="U1539" s="13">
        <v>21.024000000000001</v>
      </c>
      <c r="V1539" s="55">
        <f>IFERROR(Table12[[#This Row],[Profit]]/Table12[[#This Row],[Sales]],0)</f>
        <v>0.48000000000000004</v>
      </c>
    </row>
    <row r="1540" spans="1:22" x14ac:dyDescent="0.2">
      <c r="A1540">
        <v>1539</v>
      </c>
      <c r="B1540" t="s">
        <v>4712</v>
      </c>
      <c r="C1540" s="1">
        <v>41957</v>
      </c>
      <c r="D1540" s="22">
        <f>MONTH(Table12[[#This Row],[Order Date]])</f>
        <v>11</v>
      </c>
      <c r="E1540" t="s">
        <v>98</v>
      </c>
      <c r="F1540" t="s">
        <v>99</v>
      </c>
      <c r="G1540" s="23" t="s">
        <v>41</v>
      </c>
      <c r="H1540" s="23" t="s">
        <v>68</v>
      </c>
      <c r="I1540" t="s">
        <v>1113</v>
      </c>
      <c r="J1540" s="23" t="s">
        <v>22</v>
      </c>
      <c r="K1540" s="22">
        <v>3</v>
      </c>
      <c r="L1540" s="1">
        <v>41961</v>
      </c>
      <c r="M1540" s="22">
        <f>Table12[[#This Row],[Ship Date]]-Table12[[#This Row],[Order Date]]</f>
        <v>4</v>
      </c>
      <c r="N1540" s="23" t="s">
        <v>45</v>
      </c>
      <c r="O1540" s="23" t="s">
        <v>23</v>
      </c>
      <c r="P1540" s="23" t="s">
        <v>212</v>
      </c>
      <c r="Q1540" s="23" t="s">
        <v>95</v>
      </c>
      <c r="R1540" s="23" t="s">
        <v>4713</v>
      </c>
      <c r="S1540" s="33">
        <v>0</v>
      </c>
      <c r="T1540" s="13">
        <v>12.72</v>
      </c>
      <c r="U1540" s="13">
        <v>6.36</v>
      </c>
      <c r="V1540" s="55">
        <f>IFERROR(Table12[[#This Row],[Profit]]/Table12[[#This Row],[Sales]],0)</f>
        <v>0.5</v>
      </c>
    </row>
    <row r="1541" spans="1:22" x14ac:dyDescent="0.2">
      <c r="A1541">
        <v>1540</v>
      </c>
      <c r="B1541" t="s">
        <v>4712</v>
      </c>
      <c r="C1541" s="1">
        <v>41957</v>
      </c>
      <c r="D1541" s="22">
        <f>MONTH(Table12[[#This Row],[Order Date]])</f>
        <v>11</v>
      </c>
      <c r="E1541" t="s">
        <v>2104</v>
      </c>
      <c r="F1541" t="s">
        <v>2105</v>
      </c>
      <c r="G1541" s="23" t="s">
        <v>41</v>
      </c>
      <c r="H1541" s="23" t="s">
        <v>68</v>
      </c>
      <c r="I1541" t="s">
        <v>1113</v>
      </c>
      <c r="J1541" s="23" t="s">
        <v>22</v>
      </c>
      <c r="K1541" s="22">
        <v>4</v>
      </c>
      <c r="L1541" s="1">
        <v>41961</v>
      </c>
      <c r="M1541" s="22">
        <f>Table12[[#This Row],[Ship Date]]-Table12[[#This Row],[Order Date]]</f>
        <v>4</v>
      </c>
      <c r="N1541" s="23" t="s">
        <v>45</v>
      </c>
      <c r="O1541" s="23" t="s">
        <v>23</v>
      </c>
      <c r="P1541" s="23" t="s">
        <v>212</v>
      </c>
      <c r="Q1541" s="23" t="s">
        <v>95</v>
      </c>
      <c r="R1541" s="23" t="s">
        <v>4713</v>
      </c>
      <c r="S1541" s="33">
        <v>0</v>
      </c>
      <c r="T1541" s="13">
        <v>11.52</v>
      </c>
      <c r="U1541" s="13">
        <v>5.6448</v>
      </c>
      <c r="V1541" s="55">
        <f>IFERROR(Table12[[#This Row],[Profit]]/Table12[[#This Row],[Sales]],0)</f>
        <v>0.49000000000000005</v>
      </c>
    </row>
    <row r="1542" spans="1:22" x14ac:dyDescent="0.2">
      <c r="A1542">
        <v>1541</v>
      </c>
      <c r="B1542" t="s">
        <v>5788</v>
      </c>
      <c r="C1542" s="1">
        <v>41957</v>
      </c>
      <c r="D1542" s="22">
        <f>MONTH(Table12[[#This Row],[Order Date]])</f>
        <v>11</v>
      </c>
      <c r="E1542" t="s">
        <v>5790</v>
      </c>
      <c r="F1542" t="s">
        <v>5791</v>
      </c>
      <c r="G1542" s="23" t="s">
        <v>41</v>
      </c>
      <c r="H1542" s="23" t="s">
        <v>82</v>
      </c>
      <c r="I1542" t="s">
        <v>5789</v>
      </c>
      <c r="J1542" s="23" t="s">
        <v>36</v>
      </c>
      <c r="K1542" s="22">
        <v>4</v>
      </c>
      <c r="L1542" s="1">
        <v>41958</v>
      </c>
      <c r="M1542" s="22">
        <f>Table12[[#This Row],[Ship Date]]-Table12[[#This Row],[Order Date]]</f>
        <v>1</v>
      </c>
      <c r="N1542" s="23" t="s">
        <v>169</v>
      </c>
      <c r="O1542" s="23" t="s">
        <v>23</v>
      </c>
      <c r="P1542" s="23" t="s">
        <v>94</v>
      </c>
      <c r="Q1542" s="23" t="s">
        <v>95</v>
      </c>
      <c r="R1542" s="23" t="s">
        <v>533</v>
      </c>
      <c r="S1542" s="33">
        <v>0.2</v>
      </c>
      <c r="T1542" s="13">
        <v>20.736000000000001</v>
      </c>
      <c r="U1542" s="13">
        <v>7.2576000000000001</v>
      </c>
      <c r="V1542" s="55">
        <f>IFERROR(Table12[[#This Row],[Profit]]/Table12[[#This Row],[Sales]],0)</f>
        <v>0.35</v>
      </c>
    </row>
    <row r="1543" spans="1:22" x14ac:dyDescent="0.2">
      <c r="A1543">
        <v>1542</v>
      </c>
      <c r="B1543" t="s">
        <v>6643</v>
      </c>
      <c r="C1543" s="1">
        <v>41957</v>
      </c>
      <c r="D1543" s="22">
        <f>MONTH(Table12[[#This Row],[Order Date]])</f>
        <v>11</v>
      </c>
      <c r="E1543" t="s">
        <v>914</v>
      </c>
      <c r="F1543" t="s">
        <v>915</v>
      </c>
      <c r="G1543" s="23" t="s">
        <v>41</v>
      </c>
      <c r="H1543" s="23" t="s">
        <v>82</v>
      </c>
      <c r="I1543" t="s">
        <v>648</v>
      </c>
      <c r="J1543" s="23" t="s">
        <v>92</v>
      </c>
      <c r="K1543" s="22">
        <v>2</v>
      </c>
      <c r="L1543" s="1">
        <v>41961</v>
      </c>
      <c r="M1543" s="22">
        <f>Table12[[#This Row],[Ship Date]]-Table12[[#This Row],[Order Date]]</f>
        <v>4</v>
      </c>
      <c r="N1543" s="23" t="s">
        <v>45</v>
      </c>
      <c r="O1543" s="23" t="s">
        <v>23</v>
      </c>
      <c r="P1543" s="23" t="s">
        <v>238</v>
      </c>
      <c r="Q1543" s="23" t="s">
        <v>133</v>
      </c>
      <c r="R1543" s="23" t="s">
        <v>237</v>
      </c>
      <c r="S1543" s="33">
        <v>0</v>
      </c>
      <c r="T1543" s="13">
        <v>11.36</v>
      </c>
      <c r="U1543" s="13">
        <v>5.2256</v>
      </c>
      <c r="V1543" s="55">
        <f>IFERROR(Table12[[#This Row],[Profit]]/Table12[[#This Row],[Sales]],0)</f>
        <v>0.46</v>
      </c>
    </row>
    <row r="1544" spans="1:22" x14ac:dyDescent="0.2">
      <c r="A1544">
        <v>1543</v>
      </c>
      <c r="B1544" t="s">
        <v>6643</v>
      </c>
      <c r="C1544" s="1">
        <v>41957</v>
      </c>
      <c r="D1544" s="22">
        <f>MONTH(Table12[[#This Row],[Order Date]])</f>
        <v>11</v>
      </c>
      <c r="E1544" t="s">
        <v>5499</v>
      </c>
      <c r="F1544" t="s">
        <v>5500</v>
      </c>
      <c r="G1544" s="23" t="s">
        <v>28</v>
      </c>
      <c r="H1544" s="23" t="s">
        <v>32</v>
      </c>
      <c r="I1544" t="s">
        <v>648</v>
      </c>
      <c r="J1544" s="23" t="s">
        <v>92</v>
      </c>
      <c r="K1544" s="22">
        <v>2</v>
      </c>
      <c r="L1544" s="1">
        <v>41961</v>
      </c>
      <c r="M1544" s="22">
        <f>Table12[[#This Row],[Ship Date]]-Table12[[#This Row],[Order Date]]</f>
        <v>4</v>
      </c>
      <c r="N1544" s="23" t="s">
        <v>45</v>
      </c>
      <c r="O1544" s="23" t="s">
        <v>23</v>
      </c>
      <c r="P1544" s="23" t="s">
        <v>238</v>
      </c>
      <c r="Q1544" s="23" t="s">
        <v>133</v>
      </c>
      <c r="R1544" s="23" t="s">
        <v>237</v>
      </c>
      <c r="S1544" s="33">
        <v>0.1</v>
      </c>
      <c r="T1544" s="13">
        <v>69.263999999999996</v>
      </c>
      <c r="U1544" s="13">
        <v>14.622400000000001</v>
      </c>
      <c r="V1544" s="55">
        <f>IFERROR(Table12[[#This Row],[Profit]]/Table12[[#This Row],[Sales]],0)</f>
        <v>0.21111111111111114</v>
      </c>
    </row>
    <row r="1545" spans="1:22" x14ac:dyDescent="0.2">
      <c r="A1545">
        <v>1544</v>
      </c>
      <c r="B1545" t="s">
        <v>9188</v>
      </c>
      <c r="C1545" s="1">
        <v>41957</v>
      </c>
      <c r="D1545" s="22">
        <f>MONTH(Table12[[#This Row],[Order Date]])</f>
        <v>11</v>
      </c>
      <c r="E1545" t="s">
        <v>3506</v>
      </c>
      <c r="F1545" t="s">
        <v>3507</v>
      </c>
      <c r="G1545" s="23" t="s">
        <v>41</v>
      </c>
      <c r="H1545" s="23" t="s">
        <v>82</v>
      </c>
      <c r="I1545" t="s">
        <v>3114</v>
      </c>
      <c r="J1545" s="23" t="s">
        <v>22</v>
      </c>
      <c r="K1545" s="22">
        <v>5</v>
      </c>
      <c r="L1545" s="1">
        <v>41963</v>
      </c>
      <c r="M1545" s="22">
        <f>Table12[[#This Row],[Ship Date]]-Table12[[#This Row],[Order Date]]</f>
        <v>6</v>
      </c>
      <c r="N1545" s="23" t="s">
        <v>45</v>
      </c>
      <c r="O1545" s="23" t="s">
        <v>23</v>
      </c>
      <c r="P1545" s="23" t="s">
        <v>285</v>
      </c>
      <c r="Q1545" s="23" t="s">
        <v>26</v>
      </c>
      <c r="R1545" s="23" t="s">
        <v>4320</v>
      </c>
      <c r="S1545" s="33">
        <v>0</v>
      </c>
      <c r="T1545" s="13">
        <v>32.4</v>
      </c>
      <c r="U1545" s="13">
        <v>15.552</v>
      </c>
      <c r="V1545" s="55">
        <f>IFERROR(Table12[[#This Row],[Profit]]/Table12[[#This Row],[Sales]],0)</f>
        <v>0.48</v>
      </c>
    </row>
    <row r="1546" spans="1:22" x14ac:dyDescent="0.2">
      <c r="A1546">
        <v>1545</v>
      </c>
      <c r="B1546" t="s">
        <v>4330</v>
      </c>
      <c r="C1546" s="1">
        <v>41958</v>
      </c>
      <c r="D1546" s="22">
        <f>MONTH(Table12[[#This Row],[Order Date]])</f>
        <v>11</v>
      </c>
      <c r="E1546" t="s">
        <v>3637</v>
      </c>
      <c r="F1546" t="s">
        <v>3638</v>
      </c>
      <c r="G1546" s="23" t="s">
        <v>41</v>
      </c>
      <c r="H1546" s="23" t="s">
        <v>61</v>
      </c>
      <c r="I1546" t="s">
        <v>3257</v>
      </c>
      <c r="J1546" s="23" t="s">
        <v>22</v>
      </c>
      <c r="K1546" s="22">
        <v>3</v>
      </c>
      <c r="L1546" s="1">
        <v>41964</v>
      </c>
      <c r="M1546" s="22">
        <f>Table12[[#This Row],[Ship Date]]-Table12[[#This Row],[Order Date]]</f>
        <v>6</v>
      </c>
      <c r="N1546" s="23" t="s">
        <v>45</v>
      </c>
      <c r="O1546" s="23" t="s">
        <v>23</v>
      </c>
      <c r="P1546" s="23" t="s">
        <v>299</v>
      </c>
      <c r="Q1546" s="23" t="s">
        <v>26</v>
      </c>
      <c r="R1546" s="23" t="s">
        <v>4331</v>
      </c>
      <c r="S1546" s="33">
        <v>0.2</v>
      </c>
      <c r="T1546" s="13">
        <v>4.2240000000000002</v>
      </c>
      <c r="U1546" s="13">
        <v>0.47520000000000001</v>
      </c>
      <c r="V1546" s="55">
        <f>IFERROR(Table12[[#This Row],[Profit]]/Table12[[#This Row],[Sales]],0)</f>
        <v>0.1125</v>
      </c>
    </row>
    <row r="1547" spans="1:22" x14ac:dyDescent="0.2">
      <c r="A1547">
        <v>1546</v>
      </c>
      <c r="B1547" t="s">
        <v>4330</v>
      </c>
      <c r="C1547" s="1">
        <v>41958</v>
      </c>
      <c r="D1547" s="22">
        <f>MONTH(Table12[[#This Row],[Order Date]])</f>
        <v>11</v>
      </c>
      <c r="E1547" t="s">
        <v>321</v>
      </c>
      <c r="F1547" t="s">
        <v>322</v>
      </c>
      <c r="G1547" s="23" t="s">
        <v>41</v>
      </c>
      <c r="H1547" s="23" t="s">
        <v>71</v>
      </c>
      <c r="I1547" t="s">
        <v>3257</v>
      </c>
      <c r="J1547" s="23" t="s">
        <v>22</v>
      </c>
      <c r="K1547" s="22">
        <v>2</v>
      </c>
      <c r="L1547" s="1">
        <v>41964</v>
      </c>
      <c r="M1547" s="22">
        <f>Table12[[#This Row],[Ship Date]]-Table12[[#This Row],[Order Date]]</f>
        <v>6</v>
      </c>
      <c r="N1547" s="23" t="s">
        <v>45</v>
      </c>
      <c r="O1547" s="23" t="s">
        <v>23</v>
      </c>
      <c r="P1547" s="23" t="s">
        <v>299</v>
      </c>
      <c r="Q1547" s="23" t="s">
        <v>26</v>
      </c>
      <c r="R1547" s="23" t="s">
        <v>4331</v>
      </c>
      <c r="S1547" s="33">
        <v>0.2</v>
      </c>
      <c r="T1547" s="13">
        <v>333.05599999999998</v>
      </c>
      <c r="U1547" s="13">
        <v>29.142399999999999</v>
      </c>
      <c r="V1547" s="55">
        <f>IFERROR(Table12[[#This Row],[Profit]]/Table12[[#This Row],[Sales]],0)</f>
        <v>8.7499999999999994E-2</v>
      </c>
    </row>
    <row r="1548" spans="1:22" x14ac:dyDescent="0.2">
      <c r="A1548">
        <v>1547</v>
      </c>
      <c r="B1548" t="s">
        <v>4330</v>
      </c>
      <c r="C1548" s="1">
        <v>41958</v>
      </c>
      <c r="D1548" s="22">
        <f>MONTH(Table12[[#This Row],[Order Date]])</f>
        <v>11</v>
      </c>
      <c r="E1548" t="s">
        <v>1936</v>
      </c>
      <c r="F1548" t="s">
        <v>1937</v>
      </c>
      <c r="G1548" s="23" t="s">
        <v>41</v>
      </c>
      <c r="H1548" s="23" t="s">
        <v>82</v>
      </c>
      <c r="I1548" t="s">
        <v>3257</v>
      </c>
      <c r="J1548" s="23" t="s">
        <v>22</v>
      </c>
      <c r="K1548" s="22">
        <v>4</v>
      </c>
      <c r="L1548" s="1">
        <v>41964</v>
      </c>
      <c r="M1548" s="22">
        <f>Table12[[#This Row],[Ship Date]]-Table12[[#This Row],[Order Date]]</f>
        <v>6</v>
      </c>
      <c r="N1548" s="23" t="s">
        <v>45</v>
      </c>
      <c r="O1548" s="23" t="s">
        <v>23</v>
      </c>
      <c r="P1548" s="23" t="s">
        <v>299</v>
      </c>
      <c r="Q1548" s="23" t="s">
        <v>26</v>
      </c>
      <c r="R1548" s="23" t="s">
        <v>4331</v>
      </c>
      <c r="S1548" s="33">
        <v>0.2</v>
      </c>
      <c r="T1548" s="13">
        <v>24.896000000000001</v>
      </c>
      <c r="U1548" s="13">
        <v>7.78</v>
      </c>
      <c r="V1548" s="55">
        <f>IFERROR(Table12[[#This Row],[Profit]]/Table12[[#This Row],[Sales]],0)</f>
        <v>0.3125</v>
      </c>
    </row>
    <row r="1549" spans="1:22" x14ac:dyDescent="0.2">
      <c r="A1549">
        <v>1548</v>
      </c>
      <c r="B1549" t="s">
        <v>4985</v>
      </c>
      <c r="C1549" s="1">
        <v>41958</v>
      </c>
      <c r="D1549" s="22">
        <f>MONTH(Table12[[#This Row],[Order Date]])</f>
        <v>11</v>
      </c>
      <c r="E1549" t="s">
        <v>3351</v>
      </c>
      <c r="F1549" t="s">
        <v>3352</v>
      </c>
      <c r="G1549" s="23" t="s">
        <v>41</v>
      </c>
      <c r="H1549" s="23" t="s">
        <v>155</v>
      </c>
      <c r="I1549" t="s">
        <v>2093</v>
      </c>
      <c r="J1549" s="23" t="s">
        <v>22</v>
      </c>
      <c r="K1549" s="22">
        <v>9</v>
      </c>
      <c r="L1549" s="1">
        <v>41965</v>
      </c>
      <c r="M1549" s="22">
        <f>Table12[[#This Row],[Ship Date]]-Table12[[#This Row],[Order Date]]</f>
        <v>7</v>
      </c>
      <c r="N1549" s="23" t="s">
        <v>45</v>
      </c>
      <c r="O1549" s="23" t="s">
        <v>23</v>
      </c>
      <c r="P1549" s="23" t="s">
        <v>94</v>
      </c>
      <c r="Q1549" s="23" t="s">
        <v>95</v>
      </c>
      <c r="R1549" s="23" t="s">
        <v>165</v>
      </c>
      <c r="S1549" s="33">
        <v>0.2</v>
      </c>
      <c r="T1549" s="13">
        <v>604.65599999999995</v>
      </c>
      <c r="U1549" s="13">
        <v>204.07140000000001</v>
      </c>
      <c r="V1549" s="55">
        <f>IFERROR(Table12[[#This Row],[Profit]]/Table12[[#This Row],[Sales]],0)</f>
        <v>0.33750000000000002</v>
      </c>
    </row>
    <row r="1550" spans="1:22" x14ac:dyDescent="0.2">
      <c r="A1550">
        <v>1549</v>
      </c>
      <c r="B1550" t="s">
        <v>7193</v>
      </c>
      <c r="C1550" s="1">
        <v>41958</v>
      </c>
      <c r="D1550" s="22">
        <f>MONTH(Table12[[#This Row],[Order Date]])</f>
        <v>11</v>
      </c>
      <c r="E1550" t="s">
        <v>819</v>
      </c>
      <c r="F1550" t="s">
        <v>820</v>
      </c>
      <c r="G1550" s="23" t="s">
        <v>28</v>
      </c>
      <c r="H1550" s="23" t="s">
        <v>58</v>
      </c>
      <c r="I1550" t="s">
        <v>7194</v>
      </c>
      <c r="J1550" s="23" t="s">
        <v>22</v>
      </c>
      <c r="K1550" s="22">
        <v>3</v>
      </c>
      <c r="L1550" s="1">
        <v>41961</v>
      </c>
      <c r="M1550" s="22">
        <f>Table12[[#This Row],[Ship Date]]-Table12[[#This Row],[Order Date]]</f>
        <v>3</v>
      </c>
      <c r="N1550" s="23" t="s">
        <v>169</v>
      </c>
      <c r="O1550" s="23" t="s">
        <v>23</v>
      </c>
      <c r="P1550" s="23" t="s">
        <v>38</v>
      </c>
      <c r="Q1550" s="23" t="s">
        <v>39</v>
      </c>
      <c r="R1550" s="23" t="s">
        <v>37</v>
      </c>
      <c r="S1550" s="33">
        <v>0</v>
      </c>
      <c r="T1550" s="13">
        <v>10.11</v>
      </c>
      <c r="U1550" s="13">
        <v>3.2351999999999999</v>
      </c>
      <c r="V1550" s="55">
        <f>IFERROR(Table12[[#This Row],[Profit]]/Table12[[#This Row],[Sales]],0)</f>
        <v>0.32</v>
      </c>
    </row>
    <row r="1551" spans="1:22" x14ac:dyDescent="0.2">
      <c r="A1551">
        <v>1550</v>
      </c>
      <c r="B1551" t="s">
        <v>7193</v>
      </c>
      <c r="C1551" s="1">
        <v>41958</v>
      </c>
      <c r="D1551" s="22">
        <f>MONTH(Table12[[#This Row],[Order Date]])</f>
        <v>11</v>
      </c>
      <c r="E1551" t="s">
        <v>800</v>
      </c>
      <c r="F1551" t="s">
        <v>801</v>
      </c>
      <c r="G1551" s="23" t="s">
        <v>64</v>
      </c>
      <c r="H1551" s="23" t="s">
        <v>144</v>
      </c>
      <c r="I1551" t="s">
        <v>7194</v>
      </c>
      <c r="J1551" s="23" t="s">
        <v>22</v>
      </c>
      <c r="K1551" s="22">
        <v>3</v>
      </c>
      <c r="L1551" s="1">
        <v>41961</v>
      </c>
      <c r="M1551" s="22">
        <f>Table12[[#This Row],[Ship Date]]-Table12[[#This Row],[Order Date]]</f>
        <v>3</v>
      </c>
      <c r="N1551" s="23" t="s">
        <v>169</v>
      </c>
      <c r="O1551" s="23" t="s">
        <v>23</v>
      </c>
      <c r="P1551" s="23" t="s">
        <v>38</v>
      </c>
      <c r="Q1551" s="23" t="s">
        <v>39</v>
      </c>
      <c r="R1551" s="23" t="s">
        <v>37</v>
      </c>
      <c r="S1551" s="33">
        <v>0</v>
      </c>
      <c r="T1551" s="13">
        <v>772.47</v>
      </c>
      <c r="U1551" s="13">
        <v>146.76929999999999</v>
      </c>
      <c r="V1551" s="55">
        <f>IFERROR(Table12[[#This Row],[Profit]]/Table12[[#This Row],[Sales]],0)</f>
        <v>0.18999999999999997</v>
      </c>
    </row>
    <row r="1552" spans="1:22" x14ac:dyDescent="0.2">
      <c r="A1552">
        <v>1551</v>
      </c>
      <c r="B1552" t="s">
        <v>7193</v>
      </c>
      <c r="C1552" s="1">
        <v>41958</v>
      </c>
      <c r="D1552" s="22">
        <f>MONTH(Table12[[#This Row],[Order Date]])</f>
        <v>11</v>
      </c>
      <c r="E1552" t="s">
        <v>2336</v>
      </c>
      <c r="F1552" t="s">
        <v>2337</v>
      </c>
      <c r="G1552" s="23" t="s">
        <v>41</v>
      </c>
      <c r="H1552" s="23" t="s">
        <v>513</v>
      </c>
      <c r="I1552" t="s">
        <v>7194</v>
      </c>
      <c r="J1552" s="23" t="s">
        <v>22</v>
      </c>
      <c r="K1552" s="22">
        <v>2</v>
      </c>
      <c r="L1552" s="1">
        <v>41961</v>
      </c>
      <c r="M1552" s="22">
        <f>Table12[[#This Row],[Ship Date]]-Table12[[#This Row],[Order Date]]</f>
        <v>3</v>
      </c>
      <c r="N1552" s="23" t="s">
        <v>169</v>
      </c>
      <c r="O1552" s="23" t="s">
        <v>23</v>
      </c>
      <c r="P1552" s="23" t="s">
        <v>38</v>
      </c>
      <c r="Q1552" s="23" t="s">
        <v>39</v>
      </c>
      <c r="R1552" s="23" t="s">
        <v>37</v>
      </c>
      <c r="S1552" s="33">
        <v>0</v>
      </c>
      <c r="T1552" s="13">
        <v>20.46</v>
      </c>
      <c r="U1552" s="13">
        <v>5.3196000000000003</v>
      </c>
      <c r="V1552" s="55">
        <f>IFERROR(Table12[[#This Row],[Profit]]/Table12[[#This Row],[Sales]],0)</f>
        <v>0.26</v>
      </c>
    </row>
    <row r="1553" spans="1:22" x14ac:dyDescent="0.2">
      <c r="A1553">
        <v>1552</v>
      </c>
      <c r="B1553" t="s">
        <v>9550</v>
      </c>
      <c r="C1553" s="1">
        <v>41958</v>
      </c>
      <c r="D1553" s="22">
        <f>MONTH(Table12[[#This Row],[Order Date]])</f>
        <v>11</v>
      </c>
      <c r="E1553" t="s">
        <v>1722</v>
      </c>
      <c r="F1553" t="s">
        <v>1723</v>
      </c>
      <c r="G1553" s="23" t="s">
        <v>41</v>
      </c>
      <c r="H1553" s="23" t="s">
        <v>513</v>
      </c>
      <c r="I1553" t="s">
        <v>4773</v>
      </c>
      <c r="J1553" s="23" t="s">
        <v>36</v>
      </c>
      <c r="K1553" s="22">
        <v>3</v>
      </c>
      <c r="L1553" s="1">
        <v>41960</v>
      </c>
      <c r="M1553" s="22">
        <f>Table12[[#This Row],[Ship Date]]-Table12[[#This Row],[Order Date]]</f>
        <v>2</v>
      </c>
      <c r="N1553" s="23" t="s">
        <v>20</v>
      </c>
      <c r="O1553" s="23" t="s">
        <v>23</v>
      </c>
      <c r="P1553" s="23" t="s">
        <v>38</v>
      </c>
      <c r="Q1553" s="23" t="s">
        <v>39</v>
      </c>
      <c r="R1553" s="23" t="s">
        <v>114</v>
      </c>
      <c r="S1553" s="33">
        <v>0</v>
      </c>
      <c r="T1553" s="13">
        <v>10.95</v>
      </c>
      <c r="U1553" s="13">
        <v>3.2850000000000001</v>
      </c>
      <c r="V1553" s="55">
        <f>IFERROR(Table12[[#This Row],[Profit]]/Table12[[#This Row],[Sales]],0)</f>
        <v>0.30000000000000004</v>
      </c>
    </row>
    <row r="1554" spans="1:22" x14ac:dyDescent="0.2">
      <c r="A1554">
        <v>1553</v>
      </c>
      <c r="B1554" t="s">
        <v>6212</v>
      </c>
      <c r="C1554" s="1">
        <v>41959</v>
      </c>
      <c r="D1554" s="22">
        <f>MONTH(Table12[[#This Row],[Order Date]])</f>
        <v>11</v>
      </c>
      <c r="E1554" t="s">
        <v>3776</v>
      </c>
      <c r="F1554" t="s">
        <v>3777</v>
      </c>
      <c r="G1554" s="23" t="s">
        <v>64</v>
      </c>
      <c r="H1554" s="23" t="s">
        <v>65</v>
      </c>
      <c r="I1554" t="s">
        <v>4343</v>
      </c>
      <c r="J1554" s="23" t="s">
        <v>92</v>
      </c>
      <c r="K1554" s="22">
        <v>2</v>
      </c>
      <c r="L1554" s="1">
        <v>41963</v>
      </c>
      <c r="M1554" s="22">
        <f>Table12[[#This Row],[Ship Date]]-Table12[[#This Row],[Order Date]]</f>
        <v>4</v>
      </c>
      <c r="N1554" s="23" t="s">
        <v>45</v>
      </c>
      <c r="O1554" s="23" t="s">
        <v>23</v>
      </c>
      <c r="P1554" s="23" t="s">
        <v>4001</v>
      </c>
      <c r="Q1554" s="23" t="s">
        <v>95</v>
      </c>
      <c r="R1554" s="23" t="s">
        <v>6213</v>
      </c>
      <c r="S1554" s="33">
        <v>0</v>
      </c>
      <c r="T1554" s="13">
        <v>273.95999999999998</v>
      </c>
      <c r="U1554" s="13">
        <v>10.958399999999999</v>
      </c>
      <c r="V1554" s="55">
        <f>IFERROR(Table12[[#This Row],[Profit]]/Table12[[#This Row],[Sales]],0)</f>
        <v>0.04</v>
      </c>
    </row>
    <row r="1555" spans="1:22" x14ac:dyDescent="0.2">
      <c r="A1555">
        <v>1554</v>
      </c>
      <c r="B1555" t="s">
        <v>6769</v>
      </c>
      <c r="C1555" s="1">
        <v>41959</v>
      </c>
      <c r="D1555" s="22">
        <f>MONTH(Table12[[#This Row],[Order Date]])</f>
        <v>11</v>
      </c>
      <c r="E1555" t="s">
        <v>4962</v>
      </c>
      <c r="F1555" t="s">
        <v>4963</v>
      </c>
      <c r="G1555" s="23" t="s">
        <v>41</v>
      </c>
      <c r="H1555" s="23" t="s">
        <v>155</v>
      </c>
      <c r="I1555" t="s">
        <v>1892</v>
      </c>
      <c r="J1555" s="23" t="s">
        <v>92</v>
      </c>
      <c r="K1555" s="22">
        <v>5</v>
      </c>
      <c r="L1555" s="1">
        <v>41964</v>
      </c>
      <c r="M1555" s="22">
        <f>Table12[[#This Row],[Ship Date]]-Table12[[#This Row],[Order Date]]</f>
        <v>5</v>
      </c>
      <c r="N1555" s="23" t="s">
        <v>45</v>
      </c>
      <c r="O1555" s="23" t="s">
        <v>23</v>
      </c>
      <c r="P1555" s="23" t="s">
        <v>226</v>
      </c>
      <c r="Q1555" s="23" t="s">
        <v>95</v>
      </c>
      <c r="R1555" s="23" t="s">
        <v>476</v>
      </c>
      <c r="S1555" s="33">
        <v>0</v>
      </c>
      <c r="T1555" s="13">
        <v>78.349999999999994</v>
      </c>
      <c r="U1555" s="13">
        <v>36.8245</v>
      </c>
      <c r="V1555" s="55">
        <f>IFERROR(Table12[[#This Row],[Profit]]/Table12[[#This Row],[Sales]],0)</f>
        <v>0.47000000000000003</v>
      </c>
    </row>
    <row r="1556" spans="1:22" x14ac:dyDescent="0.2">
      <c r="A1556">
        <v>1555</v>
      </c>
      <c r="B1556" t="s">
        <v>6769</v>
      </c>
      <c r="C1556" s="1">
        <v>41959</v>
      </c>
      <c r="D1556" s="22">
        <f>MONTH(Table12[[#This Row],[Order Date]])</f>
        <v>11</v>
      </c>
      <c r="E1556" t="s">
        <v>5344</v>
      </c>
      <c r="F1556" t="s">
        <v>5345</v>
      </c>
      <c r="G1556" s="23" t="s">
        <v>41</v>
      </c>
      <c r="H1556" s="23" t="s">
        <v>82</v>
      </c>
      <c r="I1556" t="s">
        <v>1892</v>
      </c>
      <c r="J1556" s="23" t="s">
        <v>92</v>
      </c>
      <c r="K1556" s="22">
        <v>6</v>
      </c>
      <c r="L1556" s="1">
        <v>41964</v>
      </c>
      <c r="M1556" s="22">
        <f>Table12[[#This Row],[Ship Date]]-Table12[[#This Row],[Order Date]]</f>
        <v>5</v>
      </c>
      <c r="N1556" s="23" t="s">
        <v>45</v>
      </c>
      <c r="O1556" s="23" t="s">
        <v>23</v>
      </c>
      <c r="P1556" s="23" t="s">
        <v>226</v>
      </c>
      <c r="Q1556" s="23" t="s">
        <v>95</v>
      </c>
      <c r="R1556" s="23" t="s">
        <v>476</v>
      </c>
      <c r="S1556" s="33">
        <v>0</v>
      </c>
      <c r="T1556" s="13">
        <v>31.68</v>
      </c>
      <c r="U1556" s="13">
        <v>14.256</v>
      </c>
      <c r="V1556" s="55">
        <f>IFERROR(Table12[[#This Row],[Profit]]/Table12[[#This Row],[Sales]],0)</f>
        <v>0.45</v>
      </c>
    </row>
    <row r="1557" spans="1:22" x14ac:dyDescent="0.2">
      <c r="A1557">
        <v>1556</v>
      </c>
      <c r="B1557" t="s">
        <v>6769</v>
      </c>
      <c r="C1557" s="1">
        <v>41959</v>
      </c>
      <c r="D1557" s="22">
        <f>MONTH(Table12[[#This Row],[Order Date]])</f>
        <v>11</v>
      </c>
      <c r="E1557" t="s">
        <v>141</v>
      </c>
      <c r="F1557" t="s">
        <v>142</v>
      </c>
      <c r="G1557" s="23" t="s">
        <v>41</v>
      </c>
      <c r="H1557" s="23" t="s">
        <v>68</v>
      </c>
      <c r="I1557" t="s">
        <v>1892</v>
      </c>
      <c r="J1557" s="23" t="s">
        <v>92</v>
      </c>
      <c r="K1557" s="22">
        <v>4</v>
      </c>
      <c r="L1557" s="1">
        <v>41964</v>
      </c>
      <c r="M1557" s="22">
        <f>Table12[[#This Row],[Ship Date]]-Table12[[#This Row],[Order Date]]</f>
        <v>5</v>
      </c>
      <c r="N1557" s="23" t="s">
        <v>45</v>
      </c>
      <c r="O1557" s="23" t="s">
        <v>23</v>
      </c>
      <c r="P1557" s="23" t="s">
        <v>226</v>
      </c>
      <c r="Q1557" s="23" t="s">
        <v>95</v>
      </c>
      <c r="R1557" s="23" t="s">
        <v>476</v>
      </c>
      <c r="S1557" s="33">
        <v>0</v>
      </c>
      <c r="T1557" s="13">
        <v>29.12</v>
      </c>
      <c r="U1557" s="13">
        <v>14.268800000000001</v>
      </c>
      <c r="V1557" s="55">
        <f>IFERROR(Table12[[#This Row],[Profit]]/Table12[[#This Row],[Sales]],0)</f>
        <v>0.49</v>
      </c>
    </row>
    <row r="1558" spans="1:22" x14ac:dyDescent="0.2">
      <c r="A1558">
        <v>1557</v>
      </c>
      <c r="B1558" t="s">
        <v>6769</v>
      </c>
      <c r="C1558" s="1">
        <v>41959</v>
      </c>
      <c r="D1558" s="22">
        <f>MONTH(Table12[[#This Row],[Order Date]])</f>
        <v>11</v>
      </c>
      <c r="E1558" t="s">
        <v>1054</v>
      </c>
      <c r="F1558" t="s">
        <v>1055</v>
      </c>
      <c r="G1558" s="23" t="s">
        <v>41</v>
      </c>
      <c r="H1558" s="23" t="s">
        <v>53</v>
      </c>
      <c r="I1558" t="s">
        <v>1892</v>
      </c>
      <c r="J1558" s="23" t="s">
        <v>92</v>
      </c>
      <c r="K1558" s="22">
        <v>5</v>
      </c>
      <c r="L1558" s="1">
        <v>41964</v>
      </c>
      <c r="M1558" s="22">
        <f>Table12[[#This Row],[Ship Date]]-Table12[[#This Row],[Order Date]]</f>
        <v>5</v>
      </c>
      <c r="N1558" s="23" t="s">
        <v>45</v>
      </c>
      <c r="O1558" s="23" t="s">
        <v>23</v>
      </c>
      <c r="P1558" s="23" t="s">
        <v>226</v>
      </c>
      <c r="Q1558" s="23" t="s">
        <v>95</v>
      </c>
      <c r="R1558" s="23" t="s">
        <v>476</v>
      </c>
      <c r="S1558" s="33">
        <v>0</v>
      </c>
      <c r="T1558" s="13">
        <v>169.45</v>
      </c>
      <c r="U1558" s="13">
        <v>42.362499999999997</v>
      </c>
      <c r="V1558" s="55">
        <f>IFERROR(Table12[[#This Row],[Profit]]/Table12[[#This Row],[Sales]],0)</f>
        <v>0.25</v>
      </c>
    </row>
    <row r="1559" spans="1:22" x14ac:dyDescent="0.2">
      <c r="A1559">
        <v>1558</v>
      </c>
      <c r="B1559" t="s">
        <v>7158</v>
      </c>
      <c r="C1559" s="1">
        <v>41959</v>
      </c>
      <c r="D1559" s="22">
        <f>MONTH(Table12[[#This Row],[Order Date]])</f>
        <v>11</v>
      </c>
      <c r="E1559" t="s">
        <v>2439</v>
      </c>
      <c r="F1559" t="s">
        <v>2440</v>
      </c>
      <c r="G1559" s="23" t="s">
        <v>41</v>
      </c>
      <c r="H1559" s="23" t="s">
        <v>42</v>
      </c>
      <c r="I1559" t="s">
        <v>2486</v>
      </c>
      <c r="J1559" s="23" t="s">
        <v>36</v>
      </c>
      <c r="K1559" s="22">
        <v>2</v>
      </c>
      <c r="L1559" s="1">
        <v>41965</v>
      </c>
      <c r="M1559" s="22">
        <f>Table12[[#This Row],[Ship Date]]-Table12[[#This Row],[Order Date]]</f>
        <v>6</v>
      </c>
      <c r="N1559" s="23" t="s">
        <v>45</v>
      </c>
      <c r="O1559" s="23" t="s">
        <v>23</v>
      </c>
      <c r="P1559" s="23" t="s">
        <v>38</v>
      </c>
      <c r="Q1559" s="23" t="s">
        <v>39</v>
      </c>
      <c r="R1559" s="23" t="s">
        <v>1286</v>
      </c>
      <c r="S1559" s="33">
        <v>0</v>
      </c>
      <c r="T1559" s="13">
        <v>5.22</v>
      </c>
      <c r="U1559" s="13">
        <v>2.4011999999999998</v>
      </c>
      <c r="V1559" s="55">
        <f>IFERROR(Table12[[#This Row],[Profit]]/Table12[[#This Row],[Sales]],0)</f>
        <v>0.45999999999999996</v>
      </c>
    </row>
    <row r="1560" spans="1:22" x14ac:dyDescent="0.2">
      <c r="A1560">
        <v>1559</v>
      </c>
      <c r="B1560" t="s">
        <v>7377</v>
      </c>
      <c r="C1560" s="1">
        <v>41959</v>
      </c>
      <c r="D1560" s="22">
        <f>MONTH(Table12[[#This Row],[Order Date]])</f>
        <v>11</v>
      </c>
      <c r="E1560" t="s">
        <v>5115</v>
      </c>
      <c r="F1560" t="s">
        <v>5116</v>
      </c>
      <c r="G1560" s="23" t="s">
        <v>28</v>
      </c>
      <c r="H1560" s="23" t="s">
        <v>32</v>
      </c>
      <c r="I1560" t="s">
        <v>1976</v>
      </c>
      <c r="J1560" s="23" t="s">
        <v>22</v>
      </c>
      <c r="K1560" s="22">
        <v>2</v>
      </c>
      <c r="L1560" s="1">
        <v>41963</v>
      </c>
      <c r="M1560" s="22">
        <f>Table12[[#This Row],[Ship Date]]-Table12[[#This Row],[Order Date]]</f>
        <v>4</v>
      </c>
      <c r="N1560" s="23" t="s">
        <v>45</v>
      </c>
      <c r="O1560" s="23" t="s">
        <v>23</v>
      </c>
      <c r="P1560" s="23" t="s">
        <v>189</v>
      </c>
      <c r="Q1560" s="23" t="s">
        <v>95</v>
      </c>
      <c r="R1560" s="23" t="s">
        <v>319</v>
      </c>
      <c r="S1560" s="33">
        <v>0.3</v>
      </c>
      <c r="T1560" s="13">
        <v>37.295999999999999</v>
      </c>
      <c r="U1560" s="13">
        <v>-1.0656000000000001</v>
      </c>
      <c r="V1560" s="55">
        <f>IFERROR(Table12[[#This Row],[Profit]]/Table12[[#This Row],[Sales]],0)</f>
        <v>-2.8571428571428574E-2</v>
      </c>
    </row>
    <row r="1561" spans="1:22" x14ac:dyDescent="0.2">
      <c r="A1561">
        <v>1560</v>
      </c>
      <c r="B1561" t="s">
        <v>9413</v>
      </c>
      <c r="C1561" s="1">
        <v>41959</v>
      </c>
      <c r="D1561" s="22">
        <f>MONTH(Table12[[#This Row],[Order Date]])</f>
        <v>11</v>
      </c>
      <c r="E1561" t="s">
        <v>2666</v>
      </c>
      <c r="F1561" t="s">
        <v>2667</v>
      </c>
      <c r="G1561" s="23" t="s">
        <v>64</v>
      </c>
      <c r="H1561" s="23" t="s">
        <v>65</v>
      </c>
      <c r="I1561" t="s">
        <v>1860</v>
      </c>
      <c r="J1561" s="23" t="s">
        <v>36</v>
      </c>
      <c r="K1561" s="22">
        <v>4</v>
      </c>
      <c r="L1561" s="1">
        <v>41961</v>
      </c>
      <c r="M1561" s="22">
        <f>Table12[[#This Row],[Ship Date]]-Table12[[#This Row],[Order Date]]</f>
        <v>2</v>
      </c>
      <c r="N1561" s="23" t="s">
        <v>169</v>
      </c>
      <c r="O1561" s="23" t="s">
        <v>23</v>
      </c>
      <c r="P1561" s="23" t="s">
        <v>38</v>
      </c>
      <c r="Q1561" s="23" t="s">
        <v>39</v>
      </c>
      <c r="R1561" s="23" t="s">
        <v>37</v>
      </c>
      <c r="S1561" s="33">
        <v>0.2</v>
      </c>
      <c r="T1561" s="13">
        <v>79.968000000000004</v>
      </c>
      <c r="U1561" s="13">
        <v>-17.992799999999999</v>
      </c>
      <c r="V1561" s="55">
        <f>IFERROR(Table12[[#This Row],[Profit]]/Table12[[#This Row],[Sales]],0)</f>
        <v>-0.22499999999999998</v>
      </c>
    </row>
    <row r="1562" spans="1:22" x14ac:dyDescent="0.2">
      <c r="A1562">
        <v>1561</v>
      </c>
      <c r="B1562" t="s">
        <v>9413</v>
      </c>
      <c r="C1562" s="1">
        <v>41959</v>
      </c>
      <c r="D1562" s="22">
        <f>MONTH(Table12[[#This Row],[Order Date]])</f>
        <v>11</v>
      </c>
      <c r="E1562" t="s">
        <v>1966</v>
      </c>
      <c r="F1562" t="s">
        <v>1967</v>
      </c>
      <c r="G1562" s="23" t="s">
        <v>28</v>
      </c>
      <c r="H1562" s="23" t="s">
        <v>29</v>
      </c>
      <c r="I1562" t="s">
        <v>1860</v>
      </c>
      <c r="J1562" s="23" t="s">
        <v>36</v>
      </c>
      <c r="K1562" s="22">
        <v>3</v>
      </c>
      <c r="L1562" s="1">
        <v>41961</v>
      </c>
      <c r="M1562" s="22">
        <f>Table12[[#This Row],[Ship Date]]-Table12[[#This Row],[Order Date]]</f>
        <v>2</v>
      </c>
      <c r="N1562" s="23" t="s">
        <v>169</v>
      </c>
      <c r="O1562" s="23" t="s">
        <v>23</v>
      </c>
      <c r="P1562" s="23" t="s">
        <v>38</v>
      </c>
      <c r="Q1562" s="23" t="s">
        <v>39</v>
      </c>
      <c r="R1562" s="23" t="s">
        <v>37</v>
      </c>
      <c r="S1562" s="33">
        <v>0.15</v>
      </c>
      <c r="T1562" s="13">
        <v>305.97449999999998</v>
      </c>
      <c r="U1562" s="13">
        <v>25.197900000000001</v>
      </c>
      <c r="V1562" s="55">
        <f>IFERROR(Table12[[#This Row],[Profit]]/Table12[[#This Row],[Sales]],0)</f>
        <v>8.2352941176470601E-2</v>
      </c>
    </row>
    <row r="1563" spans="1:22" x14ac:dyDescent="0.2">
      <c r="A1563">
        <v>1562</v>
      </c>
      <c r="B1563" t="s">
        <v>9413</v>
      </c>
      <c r="C1563" s="1">
        <v>41959</v>
      </c>
      <c r="D1563" s="22">
        <f>MONTH(Table12[[#This Row],[Order Date]])</f>
        <v>11</v>
      </c>
      <c r="E1563" t="s">
        <v>604</v>
      </c>
      <c r="F1563" t="s">
        <v>605</v>
      </c>
      <c r="G1563" s="23" t="s">
        <v>41</v>
      </c>
      <c r="H1563" s="23" t="s">
        <v>53</v>
      </c>
      <c r="I1563" t="s">
        <v>1860</v>
      </c>
      <c r="J1563" s="23" t="s">
        <v>36</v>
      </c>
      <c r="K1563" s="22">
        <v>3</v>
      </c>
      <c r="L1563" s="1">
        <v>41961</v>
      </c>
      <c r="M1563" s="22">
        <f>Table12[[#This Row],[Ship Date]]-Table12[[#This Row],[Order Date]]</f>
        <v>2</v>
      </c>
      <c r="N1563" s="23" t="s">
        <v>169</v>
      </c>
      <c r="O1563" s="23" t="s">
        <v>23</v>
      </c>
      <c r="P1563" s="23" t="s">
        <v>38</v>
      </c>
      <c r="Q1563" s="23" t="s">
        <v>39</v>
      </c>
      <c r="R1563" s="23" t="s">
        <v>37</v>
      </c>
      <c r="S1563" s="33">
        <v>0</v>
      </c>
      <c r="T1563" s="13">
        <v>344.91</v>
      </c>
      <c r="U1563" s="13">
        <v>10.347300000000001</v>
      </c>
      <c r="V1563" s="55">
        <f>IFERROR(Table12[[#This Row],[Profit]]/Table12[[#This Row],[Sales]],0)</f>
        <v>0.03</v>
      </c>
    </row>
    <row r="1564" spans="1:22" x14ac:dyDescent="0.2">
      <c r="A1564">
        <v>1563</v>
      </c>
      <c r="B1564" t="s">
        <v>4422</v>
      </c>
      <c r="C1564" s="1">
        <v>41960</v>
      </c>
      <c r="D1564" s="22">
        <f>MONTH(Table12[[#This Row],[Order Date]])</f>
        <v>11</v>
      </c>
      <c r="E1564" t="s">
        <v>3432</v>
      </c>
      <c r="F1564" t="s">
        <v>3433</v>
      </c>
      <c r="G1564" s="23" t="s">
        <v>28</v>
      </c>
      <c r="H1564" s="23" t="s">
        <v>32</v>
      </c>
      <c r="I1564" t="s">
        <v>673</v>
      </c>
      <c r="J1564" s="23" t="s">
        <v>92</v>
      </c>
      <c r="K1564" s="22">
        <v>5</v>
      </c>
      <c r="L1564" s="1">
        <v>41964</v>
      </c>
      <c r="M1564" s="22">
        <f>Table12[[#This Row],[Ship Date]]-Table12[[#This Row],[Order Date]]</f>
        <v>4</v>
      </c>
      <c r="N1564" s="23" t="s">
        <v>45</v>
      </c>
      <c r="O1564" s="23" t="s">
        <v>23</v>
      </c>
      <c r="P1564" s="23" t="s">
        <v>204</v>
      </c>
      <c r="Q1564" s="23" t="s">
        <v>95</v>
      </c>
      <c r="R1564" s="23" t="s">
        <v>4423</v>
      </c>
      <c r="S1564" s="33">
        <v>0</v>
      </c>
      <c r="T1564" s="13">
        <v>479.9</v>
      </c>
      <c r="U1564" s="13">
        <v>81.582999999999998</v>
      </c>
      <c r="V1564" s="55">
        <f>IFERROR(Table12[[#This Row],[Profit]]/Table12[[#This Row],[Sales]],0)</f>
        <v>0.17</v>
      </c>
    </row>
    <row r="1565" spans="1:22" x14ac:dyDescent="0.2">
      <c r="A1565">
        <v>1564</v>
      </c>
      <c r="B1565" t="s">
        <v>5609</v>
      </c>
      <c r="C1565" s="1">
        <v>41960</v>
      </c>
      <c r="D1565" s="22">
        <f>MONTH(Table12[[#This Row],[Order Date]])</f>
        <v>11</v>
      </c>
      <c r="E1565" t="s">
        <v>3771</v>
      </c>
      <c r="F1565" t="s">
        <v>3772</v>
      </c>
      <c r="G1565" s="23" t="s">
        <v>41</v>
      </c>
      <c r="H1565" s="23" t="s">
        <v>53</v>
      </c>
      <c r="I1565" t="s">
        <v>2107</v>
      </c>
      <c r="J1565" s="23" t="s">
        <v>36</v>
      </c>
      <c r="K1565" s="22">
        <v>7</v>
      </c>
      <c r="L1565" s="1">
        <v>41965</v>
      </c>
      <c r="M1565" s="22">
        <f>Table12[[#This Row],[Ship Date]]-Table12[[#This Row],[Order Date]]</f>
        <v>5</v>
      </c>
      <c r="N1565" s="23" t="s">
        <v>45</v>
      </c>
      <c r="O1565" s="23" t="s">
        <v>23</v>
      </c>
      <c r="P1565" s="23" t="s">
        <v>218</v>
      </c>
      <c r="Q1565" s="23" t="s">
        <v>133</v>
      </c>
      <c r="R1565" s="23" t="s">
        <v>536</v>
      </c>
      <c r="S1565" s="33">
        <v>0</v>
      </c>
      <c r="T1565" s="13">
        <v>2934.33</v>
      </c>
      <c r="U1565" s="13">
        <v>792.26909999999998</v>
      </c>
      <c r="V1565" s="55">
        <f>IFERROR(Table12[[#This Row],[Profit]]/Table12[[#This Row],[Sales]],0)</f>
        <v>0.27</v>
      </c>
    </row>
    <row r="1566" spans="1:22" x14ac:dyDescent="0.2">
      <c r="A1566">
        <v>1565</v>
      </c>
      <c r="B1566" t="s">
        <v>5609</v>
      </c>
      <c r="C1566" s="1">
        <v>41960</v>
      </c>
      <c r="D1566" s="22">
        <f>MONTH(Table12[[#This Row],[Order Date]])</f>
        <v>11</v>
      </c>
      <c r="E1566" t="s">
        <v>5610</v>
      </c>
      <c r="F1566" t="s">
        <v>5611</v>
      </c>
      <c r="G1566" s="23" t="s">
        <v>28</v>
      </c>
      <c r="H1566" s="23" t="s">
        <v>58</v>
      </c>
      <c r="I1566" t="s">
        <v>2107</v>
      </c>
      <c r="J1566" s="23" t="s">
        <v>36</v>
      </c>
      <c r="K1566" s="22">
        <v>3</v>
      </c>
      <c r="L1566" s="1">
        <v>41965</v>
      </c>
      <c r="M1566" s="22">
        <f>Table12[[#This Row],[Ship Date]]-Table12[[#This Row],[Order Date]]</f>
        <v>5</v>
      </c>
      <c r="N1566" s="23" t="s">
        <v>45</v>
      </c>
      <c r="O1566" s="23" t="s">
        <v>23</v>
      </c>
      <c r="P1566" s="23" t="s">
        <v>218</v>
      </c>
      <c r="Q1566" s="23" t="s">
        <v>133</v>
      </c>
      <c r="R1566" s="23" t="s">
        <v>536</v>
      </c>
      <c r="S1566" s="33">
        <v>0</v>
      </c>
      <c r="T1566" s="13">
        <v>124.41</v>
      </c>
      <c r="U1566" s="13">
        <v>14.9292</v>
      </c>
      <c r="V1566" s="55">
        <f>IFERROR(Table12[[#This Row],[Profit]]/Table12[[#This Row],[Sales]],0)</f>
        <v>0.12</v>
      </c>
    </row>
    <row r="1567" spans="1:22" x14ac:dyDescent="0.2">
      <c r="A1567">
        <v>1566</v>
      </c>
      <c r="B1567" t="s">
        <v>5609</v>
      </c>
      <c r="C1567" s="1">
        <v>41960</v>
      </c>
      <c r="D1567" s="22">
        <f>MONTH(Table12[[#This Row],[Order Date]])</f>
        <v>11</v>
      </c>
      <c r="E1567" t="s">
        <v>2345</v>
      </c>
      <c r="F1567" t="s">
        <v>2346</v>
      </c>
      <c r="G1567" s="23" t="s">
        <v>41</v>
      </c>
      <c r="H1567" s="23" t="s">
        <v>61</v>
      </c>
      <c r="I1567" t="s">
        <v>2107</v>
      </c>
      <c r="J1567" s="23" t="s">
        <v>36</v>
      </c>
      <c r="K1567" s="22">
        <v>5</v>
      </c>
      <c r="L1567" s="1">
        <v>41965</v>
      </c>
      <c r="M1567" s="22">
        <f>Table12[[#This Row],[Ship Date]]-Table12[[#This Row],[Order Date]]</f>
        <v>5</v>
      </c>
      <c r="N1567" s="23" t="s">
        <v>45</v>
      </c>
      <c r="O1567" s="23" t="s">
        <v>23</v>
      </c>
      <c r="P1567" s="23" t="s">
        <v>218</v>
      </c>
      <c r="Q1567" s="23" t="s">
        <v>133</v>
      </c>
      <c r="R1567" s="23" t="s">
        <v>536</v>
      </c>
      <c r="S1567" s="33">
        <v>0</v>
      </c>
      <c r="T1567" s="13">
        <v>57.75</v>
      </c>
      <c r="U1567" s="13">
        <v>26.565000000000001</v>
      </c>
      <c r="V1567" s="55">
        <f>IFERROR(Table12[[#This Row],[Profit]]/Table12[[#This Row],[Sales]],0)</f>
        <v>0.46</v>
      </c>
    </row>
    <row r="1568" spans="1:22" x14ac:dyDescent="0.2">
      <c r="A1568">
        <v>1567</v>
      </c>
      <c r="B1568" t="s">
        <v>5792</v>
      </c>
      <c r="C1568" s="1">
        <v>41960</v>
      </c>
      <c r="D1568" s="22">
        <f>MONTH(Table12[[#This Row],[Order Date]])</f>
        <v>11</v>
      </c>
      <c r="E1568" t="s">
        <v>3312</v>
      </c>
      <c r="F1568" t="s">
        <v>3313</v>
      </c>
      <c r="G1568" s="23" t="s">
        <v>64</v>
      </c>
      <c r="H1568" s="23" t="s">
        <v>144</v>
      </c>
      <c r="I1568" t="s">
        <v>1012</v>
      </c>
      <c r="J1568" s="23" t="s">
        <v>36</v>
      </c>
      <c r="K1568" s="22">
        <v>2</v>
      </c>
      <c r="L1568" s="1">
        <v>41962</v>
      </c>
      <c r="M1568" s="22">
        <f>Table12[[#This Row],[Ship Date]]-Table12[[#This Row],[Order Date]]</f>
        <v>2</v>
      </c>
      <c r="N1568" s="23" t="s">
        <v>169</v>
      </c>
      <c r="O1568" s="23" t="s">
        <v>23</v>
      </c>
      <c r="P1568" s="23" t="s">
        <v>38</v>
      </c>
      <c r="Q1568" s="23" t="s">
        <v>39</v>
      </c>
      <c r="R1568" s="23" t="s">
        <v>114</v>
      </c>
      <c r="S1568" s="33">
        <v>0</v>
      </c>
      <c r="T1568" s="13">
        <v>99.98</v>
      </c>
      <c r="U1568" s="13">
        <v>7.9984000000000002</v>
      </c>
      <c r="V1568" s="55">
        <f>IFERROR(Table12[[#This Row],[Profit]]/Table12[[#This Row],[Sales]],0)</f>
        <v>0.08</v>
      </c>
    </row>
    <row r="1569" spans="1:22" x14ac:dyDescent="0.2">
      <c r="A1569">
        <v>1568</v>
      </c>
      <c r="B1569" t="s">
        <v>5792</v>
      </c>
      <c r="C1569" s="1">
        <v>41960</v>
      </c>
      <c r="D1569" s="22">
        <f>MONTH(Table12[[#This Row],[Order Date]])</f>
        <v>11</v>
      </c>
      <c r="E1569" t="s">
        <v>2253</v>
      </c>
      <c r="F1569" t="s">
        <v>2254</v>
      </c>
      <c r="G1569" s="23" t="s">
        <v>41</v>
      </c>
      <c r="H1569" s="23" t="s">
        <v>82</v>
      </c>
      <c r="I1569" t="s">
        <v>1012</v>
      </c>
      <c r="J1569" s="23" t="s">
        <v>36</v>
      </c>
      <c r="K1569" s="22">
        <v>7</v>
      </c>
      <c r="L1569" s="1">
        <v>41962</v>
      </c>
      <c r="M1569" s="22">
        <f>Table12[[#This Row],[Ship Date]]-Table12[[#This Row],[Order Date]]</f>
        <v>2</v>
      </c>
      <c r="N1569" s="23" t="s">
        <v>169</v>
      </c>
      <c r="O1569" s="23" t="s">
        <v>23</v>
      </c>
      <c r="P1569" s="23" t="s">
        <v>38</v>
      </c>
      <c r="Q1569" s="23" t="s">
        <v>39</v>
      </c>
      <c r="R1569" s="23" t="s">
        <v>114</v>
      </c>
      <c r="S1569" s="33">
        <v>0</v>
      </c>
      <c r="T1569" s="13">
        <v>733.95</v>
      </c>
      <c r="U1569" s="13">
        <v>352.29599999999999</v>
      </c>
      <c r="V1569" s="55">
        <f>IFERROR(Table12[[#This Row],[Profit]]/Table12[[#This Row],[Sales]],0)</f>
        <v>0.48</v>
      </c>
    </row>
    <row r="1570" spans="1:22" x14ac:dyDescent="0.2">
      <c r="A1570">
        <v>1569</v>
      </c>
      <c r="B1570" t="s">
        <v>5792</v>
      </c>
      <c r="C1570" s="1">
        <v>41960</v>
      </c>
      <c r="D1570" s="22">
        <f>MONTH(Table12[[#This Row],[Order Date]])</f>
        <v>11</v>
      </c>
      <c r="E1570" t="s">
        <v>5291</v>
      </c>
      <c r="F1570" t="s">
        <v>5292</v>
      </c>
      <c r="G1570" s="23" t="s">
        <v>41</v>
      </c>
      <c r="H1570" s="23" t="s">
        <v>71</v>
      </c>
      <c r="I1570" t="s">
        <v>1012</v>
      </c>
      <c r="J1570" s="23" t="s">
        <v>36</v>
      </c>
      <c r="K1570" s="22">
        <v>3</v>
      </c>
      <c r="L1570" s="1">
        <v>41962</v>
      </c>
      <c r="M1570" s="22">
        <f>Table12[[#This Row],[Ship Date]]-Table12[[#This Row],[Order Date]]</f>
        <v>2</v>
      </c>
      <c r="N1570" s="23" t="s">
        <v>169</v>
      </c>
      <c r="O1570" s="23" t="s">
        <v>23</v>
      </c>
      <c r="P1570" s="23" t="s">
        <v>38</v>
      </c>
      <c r="Q1570" s="23" t="s">
        <v>39</v>
      </c>
      <c r="R1570" s="23" t="s">
        <v>114</v>
      </c>
      <c r="S1570" s="33">
        <v>0</v>
      </c>
      <c r="T1570" s="13">
        <v>241.44</v>
      </c>
      <c r="U1570" s="13">
        <v>72.432000000000002</v>
      </c>
      <c r="V1570" s="55">
        <f>IFERROR(Table12[[#This Row],[Profit]]/Table12[[#This Row],[Sales]],0)</f>
        <v>0.3</v>
      </c>
    </row>
    <row r="1571" spans="1:22" x14ac:dyDescent="0.2">
      <c r="A1571">
        <v>1570</v>
      </c>
      <c r="B1571" t="s">
        <v>6068</v>
      </c>
      <c r="C1571" s="1">
        <v>41960</v>
      </c>
      <c r="D1571" s="22">
        <f>MONTH(Table12[[#This Row],[Order Date]])</f>
        <v>11</v>
      </c>
      <c r="E1571" t="s">
        <v>1936</v>
      </c>
      <c r="F1571" t="s">
        <v>1937</v>
      </c>
      <c r="G1571" s="23" t="s">
        <v>41</v>
      </c>
      <c r="H1571" s="23" t="s">
        <v>82</v>
      </c>
      <c r="I1571" t="s">
        <v>6069</v>
      </c>
      <c r="J1571" s="23" t="s">
        <v>22</v>
      </c>
      <c r="K1571" s="22">
        <v>2</v>
      </c>
      <c r="L1571" s="1">
        <v>41967</v>
      </c>
      <c r="M1571" s="22">
        <f>Table12[[#This Row],[Ship Date]]-Table12[[#This Row],[Order Date]]</f>
        <v>7</v>
      </c>
      <c r="N1571" s="23" t="s">
        <v>45</v>
      </c>
      <c r="O1571" s="23" t="s">
        <v>23</v>
      </c>
      <c r="P1571" s="23" t="s">
        <v>132</v>
      </c>
      <c r="Q1571" s="23" t="s">
        <v>133</v>
      </c>
      <c r="R1571" s="23" t="s">
        <v>131</v>
      </c>
      <c r="S1571" s="33">
        <v>0.2</v>
      </c>
      <c r="T1571" s="13">
        <v>12.448</v>
      </c>
      <c r="U1571" s="13">
        <v>3.89</v>
      </c>
      <c r="V1571" s="55">
        <f>IFERROR(Table12[[#This Row],[Profit]]/Table12[[#This Row],[Sales]],0)</f>
        <v>0.3125</v>
      </c>
    </row>
    <row r="1572" spans="1:22" x14ac:dyDescent="0.2">
      <c r="A1572">
        <v>1571</v>
      </c>
      <c r="B1572" t="s">
        <v>6068</v>
      </c>
      <c r="C1572" s="1">
        <v>41960</v>
      </c>
      <c r="D1572" s="22">
        <f>MONTH(Table12[[#This Row],[Order Date]])</f>
        <v>11</v>
      </c>
      <c r="E1572" t="s">
        <v>1707</v>
      </c>
      <c r="F1572" t="s">
        <v>1708</v>
      </c>
      <c r="G1572" s="23" t="s">
        <v>28</v>
      </c>
      <c r="H1572" s="23" t="s">
        <v>32</v>
      </c>
      <c r="I1572" t="s">
        <v>6069</v>
      </c>
      <c r="J1572" s="23" t="s">
        <v>22</v>
      </c>
      <c r="K1572" s="22">
        <v>5</v>
      </c>
      <c r="L1572" s="1">
        <v>41967</v>
      </c>
      <c r="M1572" s="22">
        <f>Table12[[#This Row],[Ship Date]]-Table12[[#This Row],[Order Date]]</f>
        <v>7</v>
      </c>
      <c r="N1572" s="23" t="s">
        <v>45</v>
      </c>
      <c r="O1572" s="23" t="s">
        <v>23</v>
      </c>
      <c r="P1572" s="23" t="s">
        <v>132</v>
      </c>
      <c r="Q1572" s="23" t="s">
        <v>133</v>
      </c>
      <c r="R1572" s="23" t="s">
        <v>131</v>
      </c>
      <c r="S1572" s="33">
        <v>0.3</v>
      </c>
      <c r="T1572" s="13">
        <v>657.93</v>
      </c>
      <c r="U1572" s="13">
        <v>-93.99</v>
      </c>
      <c r="V1572" s="55">
        <f>IFERROR(Table12[[#This Row],[Profit]]/Table12[[#This Row],[Sales]],0)</f>
        <v>-0.14285714285714285</v>
      </c>
    </row>
    <row r="1573" spans="1:22" x14ac:dyDescent="0.2">
      <c r="A1573">
        <v>1572</v>
      </c>
      <c r="B1573" t="s">
        <v>7859</v>
      </c>
      <c r="C1573" s="1">
        <v>41960</v>
      </c>
      <c r="D1573" s="22">
        <f>MONTH(Table12[[#This Row],[Order Date]])</f>
        <v>11</v>
      </c>
      <c r="E1573" t="s">
        <v>444</v>
      </c>
      <c r="F1573" t="s">
        <v>445</v>
      </c>
      <c r="G1573" s="23" t="s">
        <v>41</v>
      </c>
      <c r="H1573" s="23" t="s">
        <v>155</v>
      </c>
      <c r="I1573" t="s">
        <v>686</v>
      </c>
      <c r="J1573" s="23" t="s">
        <v>22</v>
      </c>
      <c r="K1573" s="22">
        <v>3</v>
      </c>
      <c r="L1573" s="1">
        <v>41964</v>
      </c>
      <c r="M1573" s="22">
        <f>Table12[[#This Row],[Ship Date]]-Table12[[#This Row],[Order Date]]</f>
        <v>4</v>
      </c>
      <c r="N1573" s="23" t="s">
        <v>45</v>
      </c>
      <c r="O1573" s="23" t="s">
        <v>23</v>
      </c>
      <c r="P1573" s="23" t="s">
        <v>94</v>
      </c>
      <c r="Q1573" s="23" t="s">
        <v>95</v>
      </c>
      <c r="R1573" s="23" t="s">
        <v>7547</v>
      </c>
      <c r="S1573" s="33">
        <v>0.2</v>
      </c>
      <c r="T1573" s="13">
        <v>7.08</v>
      </c>
      <c r="U1573" s="13">
        <v>2.4780000000000002</v>
      </c>
      <c r="V1573" s="55">
        <f>IFERROR(Table12[[#This Row],[Profit]]/Table12[[#This Row],[Sales]],0)</f>
        <v>0.35000000000000003</v>
      </c>
    </row>
    <row r="1574" spans="1:22" x14ac:dyDescent="0.2">
      <c r="A1574">
        <v>1573</v>
      </c>
      <c r="B1574" t="s">
        <v>8174</v>
      </c>
      <c r="C1574" s="1">
        <v>41960</v>
      </c>
      <c r="D1574" s="22">
        <f>MONTH(Table12[[#This Row],[Order Date]])</f>
        <v>11</v>
      </c>
      <c r="E1574" t="s">
        <v>4174</v>
      </c>
      <c r="F1574" t="s">
        <v>4175</v>
      </c>
      <c r="G1574" s="23" t="s">
        <v>41</v>
      </c>
      <c r="H1574" s="23" t="s">
        <v>68</v>
      </c>
      <c r="I1574" t="s">
        <v>1662</v>
      </c>
      <c r="J1574" s="23" t="s">
        <v>22</v>
      </c>
      <c r="K1574" s="22">
        <v>3</v>
      </c>
      <c r="L1574" s="1">
        <v>41965</v>
      </c>
      <c r="M1574" s="22">
        <f>Table12[[#This Row],[Ship Date]]-Table12[[#This Row],[Order Date]]</f>
        <v>5</v>
      </c>
      <c r="N1574" s="23" t="s">
        <v>45</v>
      </c>
      <c r="O1574" s="23" t="s">
        <v>23</v>
      </c>
      <c r="P1574" s="23" t="s">
        <v>238</v>
      </c>
      <c r="Q1574" s="23" t="s">
        <v>133</v>
      </c>
      <c r="R1574" s="23" t="s">
        <v>3048</v>
      </c>
      <c r="S1574" s="33">
        <v>0.2</v>
      </c>
      <c r="T1574" s="13">
        <v>2152.7759999999998</v>
      </c>
      <c r="U1574" s="13">
        <v>726.56190000000004</v>
      </c>
      <c r="V1574" s="55">
        <f>IFERROR(Table12[[#This Row],[Profit]]/Table12[[#This Row],[Sales]],0)</f>
        <v>0.33750000000000002</v>
      </c>
    </row>
    <row r="1575" spans="1:22" x14ac:dyDescent="0.2">
      <c r="A1575">
        <v>1574</v>
      </c>
      <c r="B1575" t="s">
        <v>8174</v>
      </c>
      <c r="C1575" s="1">
        <v>41960</v>
      </c>
      <c r="D1575" s="22">
        <f>MONTH(Table12[[#This Row],[Order Date]])</f>
        <v>11</v>
      </c>
      <c r="E1575" t="s">
        <v>4452</v>
      </c>
      <c r="F1575" t="s">
        <v>4453</v>
      </c>
      <c r="G1575" s="23" t="s">
        <v>28</v>
      </c>
      <c r="H1575" s="23" t="s">
        <v>29</v>
      </c>
      <c r="I1575" t="s">
        <v>1662</v>
      </c>
      <c r="J1575" s="23" t="s">
        <v>22</v>
      </c>
      <c r="K1575" s="22">
        <v>10</v>
      </c>
      <c r="L1575" s="1">
        <v>41965</v>
      </c>
      <c r="M1575" s="22">
        <f>Table12[[#This Row],[Ship Date]]-Table12[[#This Row],[Order Date]]</f>
        <v>5</v>
      </c>
      <c r="N1575" s="23" t="s">
        <v>45</v>
      </c>
      <c r="O1575" s="23" t="s">
        <v>23</v>
      </c>
      <c r="P1575" s="23" t="s">
        <v>238</v>
      </c>
      <c r="Q1575" s="23" t="s">
        <v>133</v>
      </c>
      <c r="R1575" s="23" t="s">
        <v>3048</v>
      </c>
      <c r="S1575" s="33">
        <v>0.2</v>
      </c>
      <c r="T1575" s="13">
        <v>4007.84</v>
      </c>
      <c r="U1575" s="13">
        <v>-50.097999999999999</v>
      </c>
      <c r="V1575" s="55">
        <f>IFERROR(Table12[[#This Row],[Profit]]/Table12[[#This Row],[Sales]],0)</f>
        <v>-1.2499999999999999E-2</v>
      </c>
    </row>
    <row r="1576" spans="1:22" x14ac:dyDescent="0.2">
      <c r="A1576">
        <v>1575</v>
      </c>
      <c r="B1576" t="s">
        <v>9854</v>
      </c>
      <c r="C1576" s="1">
        <v>41960</v>
      </c>
      <c r="D1576" s="22">
        <f>MONTH(Table12[[#This Row],[Order Date]])</f>
        <v>11</v>
      </c>
      <c r="E1576" t="s">
        <v>2374</v>
      </c>
      <c r="F1576" t="s">
        <v>2375</v>
      </c>
      <c r="G1576" s="23" t="s">
        <v>41</v>
      </c>
      <c r="H1576" s="23" t="s">
        <v>82</v>
      </c>
      <c r="I1576" t="s">
        <v>3239</v>
      </c>
      <c r="J1576" s="23" t="s">
        <v>92</v>
      </c>
      <c r="K1576" s="22">
        <v>3</v>
      </c>
      <c r="L1576" s="1">
        <v>41965</v>
      </c>
      <c r="M1576" s="22">
        <f>Table12[[#This Row],[Ship Date]]-Table12[[#This Row],[Order Date]]</f>
        <v>5</v>
      </c>
      <c r="N1576" s="23" t="s">
        <v>20</v>
      </c>
      <c r="O1576" s="23" t="s">
        <v>23</v>
      </c>
      <c r="P1576" s="23" t="s">
        <v>238</v>
      </c>
      <c r="Q1576" s="23" t="s">
        <v>133</v>
      </c>
      <c r="R1576" s="23" t="s">
        <v>237</v>
      </c>
      <c r="S1576" s="33">
        <v>0</v>
      </c>
      <c r="T1576" s="13">
        <v>34.44</v>
      </c>
      <c r="U1576" s="13">
        <v>17.22</v>
      </c>
      <c r="V1576" s="55">
        <f>IFERROR(Table12[[#This Row],[Profit]]/Table12[[#This Row],[Sales]],0)</f>
        <v>0.5</v>
      </c>
    </row>
    <row r="1577" spans="1:22" x14ac:dyDescent="0.2">
      <c r="A1577">
        <v>1576</v>
      </c>
      <c r="B1577" t="s">
        <v>4889</v>
      </c>
      <c r="C1577" s="1">
        <v>41961</v>
      </c>
      <c r="D1577" s="22">
        <f>MONTH(Table12[[#This Row],[Order Date]])</f>
        <v>11</v>
      </c>
      <c r="E1577" t="s">
        <v>4891</v>
      </c>
      <c r="F1577" t="s">
        <v>4892</v>
      </c>
      <c r="G1577" s="23" t="s">
        <v>28</v>
      </c>
      <c r="H1577" s="23" t="s">
        <v>50</v>
      </c>
      <c r="I1577" t="s">
        <v>4890</v>
      </c>
      <c r="J1577" s="23" t="s">
        <v>22</v>
      </c>
      <c r="K1577" s="22">
        <v>2</v>
      </c>
      <c r="L1577" s="1">
        <v>41963</v>
      </c>
      <c r="M1577" s="22">
        <f>Table12[[#This Row],[Ship Date]]-Table12[[#This Row],[Order Date]]</f>
        <v>2</v>
      </c>
      <c r="N1577" s="23" t="s">
        <v>20</v>
      </c>
      <c r="O1577" s="23" t="s">
        <v>23</v>
      </c>
      <c r="P1577" s="23" t="s">
        <v>405</v>
      </c>
      <c r="Q1577" s="23" t="s">
        <v>39</v>
      </c>
      <c r="R1577" s="23" t="s">
        <v>1303</v>
      </c>
      <c r="S1577" s="33">
        <v>0.5</v>
      </c>
      <c r="T1577" s="13">
        <v>145.97999999999999</v>
      </c>
      <c r="U1577" s="13">
        <v>-99.266400000000004</v>
      </c>
      <c r="V1577" s="55">
        <f>IFERROR(Table12[[#This Row],[Profit]]/Table12[[#This Row],[Sales]],0)</f>
        <v>-0.68</v>
      </c>
    </row>
    <row r="1578" spans="1:22" x14ac:dyDescent="0.2">
      <c r="A1578">
        <v>1577</v>
      </c>
      <c r="B1578" t="s">
        <v>4889</v>
      </c>
      <c r="C1578" s="1">
        <v>41961</v>
      </c>
      <c r="D1578" s="22">
        <f>MONTH(Table12[[#This Row],[Order Date]])</f>
        <v>11</v>
      </c>
      <c r="E1578" t="s">
        <v>2963</v>
      </c>
      <c r="F1578" t="s">
        <v>2964</v>
      </c>
      <c r="G1578" s="23" t="s">
        <v>41</v>
      </c>
      <c r="H1578" s="23" t="s">
        <v>82</v>
      </c>
      <c r="I1578" t="s">
        <v>4890</v>
      </c>
      <c r="J1578" s="23" t="s">
        <v>22</v>
      </c>
      <c r="K1578" s="22">
        <v>4</v>
      </c>
      <c r="L1578" s="1">
        <v>41963</v>
      </c>
      <c r="M1578" s="22">
        <f>Table12[[#This Row],[Ship Date]]-Table12[[#This Row],[Order Date]]</f>
        <v>2</v>
      </c>
      <c r="N1578" s="23" t="s">
        <v>20</v>
      </c>
      <c r="O1578" s="23" t="s">
        <v>23</v>
      </c>
      <c r="P1578" s="23" t="s">
        <v>405</v>
      </c>
      <c r="Q1578" s="23" t="s">
        <v>39</v>
      </c>
      <c r="R1578" s="23" t="s">
        <v>1303</v>
      </c>
      <c r="S1578" s="33">
        <v>0.2</v>
      </c>
      <c r="T1578" s="13">
        <v>35.808</v>
      </c>
      <c r="U1578" s="13">
        <v>12.5328</v>
      </c>
      <c r="V1578" s="55">
        <f>IFERROR(Table12[[#This Row],[Profit]]/Table12[[#This Row],[Sales]],0)</f>
        <v>0.35</v>
      </c>
    </row>
    <row r="1579" spans="1:22" x14ac:dyDescent="0.2">
      <c r="A1579">
        <v>1578</v>
      </c>
      <c r="B1579" t="s">
        <v>5825</v>
      </c>
      <c r="C1579" s="1">
        <v>41961</v>
      </c>
      <c r="D1579" s="22">
        <f>MONTH(Table12[[#This Row],[Order Date]])</f>
        <v>11</v>
      </c>
      <c r="E1579" t="s">
        <v>88</v>
      </c>
      <c r="F1579" t="s">
        <v>89</v>
      </c>
      <c r="G1579" s="23" t="s">
        <v>41</v>
      </c>
      <c r="H1579" s="23" t="s">
        <v>68</v>
      </c>
      <c r="I1579" t="s">
        <v>1725</v>
      </c>
      <c r="J1579" s="23" t="s">
        <v>22</v>
      </c>
      <c r="K1579" s="22">
        <v>1</v>
      </c>
      <c r="L1579" s="1">
        <v>41965</v>
      </c>
      <c r="M1579" s="22">
        <f>Table12[[#This Row],[Ship Date]]-Table12[[#This Row],[Order Date]]</f>
        <v>4</v>
      </c>
      <c r="N1579" s="23" t="s">
        <v>45</v>
      </c>
      <c r="O1579" s="23" t="s">
        <v>23</v>
      </c>
      <c r="P1579" s="23" t="s">
        <v>132</v>
      </c>
      <c r="Q1579" s="23" t="s">
        <v>133</v>
      </c>
      <c r="R1579" s="23" t="s">
        <v>131</v>
      </c>
      <c r="S1579" s="33">
        <v>0.7</v>
      </c>
      <c r="T1579" s="13">
        <v>50.997</v>
      </c>
      <c r="U1579" s="13">
        <v>-40.797600000000003</v>
      </c>
      <c r="V1579" s="55">
        <f>IFERROR(Table12[[#This Row],[Profit]]/Table12[[#This Row],[Sales]],0)</f>
        <v>-0.8</v>
      </c>
    </row>
    <row r="1580" spans="1:22" x14ac:dyDescent="0.2">
      <c r="A1580">
        <v>1579</v>
      </c>
      <c r="B1580" t="s">
        <v>5825</v>
      </c>
      <c r="C1580" s="1">
        <v>41961</v>
      </c>
      <c r="D1580" s="22">
        <f>MONTH(Table12[[#This Row],[Order Date]])</f>
        <v>11</v>
      </c>
      <c r="E1580" t="s">
        <v>338</v>
      </c>
      <c r="F1580" t="s">
        <v>339</v>
      </c>
      <c r="G1580" s="23" t="s">
        <v>41</v>
      </c>
      <c r="H1580" s="23" t="s">
        <v>53</v>
      </c>
      <c r="I1580" t="s">
        <v>1725</v>
      </c>
      <c r="J1580" s="23" t="s">
        <v>22</v>
      </c>
      <c r="K1580" s="22">
        <v>1</v>
      </c>
      <c r="L1580" s="1">
        <v>41965</v>
      </c>
      <c r="M1580" s="22">
        <f>Table12[[#This Row],[Ship Date]]-Table12[[#This Row],[Order Date]]</f>
        <v>4</v>
      </c>
      <c r="N1580" s="23" t="s">
        <v>45</v>
      </c>
      <c r="O1580" s="23" t="s">
        <v>23</v>
      </c>
      <c r="P1580" s="23" t="s">
        <v>132</v>
      </c>
      <c r="Q1580" s="23" t="s">
        <v>133</v>
      </c>
      <c r="R1580" s="23" t="s">
        <v>131</v>
      </c>
      <c r="S1580" s="33">
        <v>0.2</v>
      </c>
      <c r="T1580" s="13">
        <v>76.792000000000002</v>
      </c>
      <c r="U1580" s="13">
        <v>-16.318300000000001</v>
      </c>
      <c r="V1580" s="55">
        <f>IFERROR(Table12[[#This Row],[Profit]]/Table12[[#This Row],[Sales]],0)</f>
        <v>-0.21249999999999999</v>
      </c>
    </row>
    <row r="1581" spans="1:22" x14ac:dyDescent="0.2">
      <c r="A1581">
        <v>1580</v>
      </c>
      <c r="B1581" t="s">
        <v>5825</v>
      </c>
      <c r="C1581" s="1">
        <v>41961</v>
      </c>
      <c r="D1581" s="22">
        <f>MONTH(Table12[[#This Row],[Order Date]])</f>
        <v>11</v>
      </c>
      <c r="E1581" t="s">
        <v>5826</v>
      </c>
      <c r="F1581" t="s">
        <v>5827</v>
      </c>
      <c r="G1581" s="23" t="s">
        <v>64</v>
      </c>
      <c r="H1581" s="23" t="s">
        <v>65</v>
      </c>
      <c r="I1581" t="s">
        <v>1725</v>
      </c>
      <c r="J1581" s="23" t="s">
        <v>22</v>
      </c>
      <c r="K1581" s="22">
        <v>6</v>
      </c>
      <c r="L1581" s="1">
        <v>41965</v>
      </c>
      <c r="M1581" s="22">
        <f>Table12[[#This Row],[Ship Date]]-Table12[[#This Row],[Order Date]]</f>
        <v>4</v>
      </c>
      <c r="N1581" s="23" t="s">
        <v>45</v>
      </c>
      <c r="O1581" s="23" t="s">
        <v>23</v>
      </c>
      <c r="P1581" s="23" t="s">
        <v>132</v>
      </c>
      <c r="Q1581" s="23" t="s">
        <v>133</v>
      </c>
      <c r="R1581" s="23" t="s">
        <v>131</v>
      </c>
      <c r="S1581" s="33">
        <v>0.4</v>
      </c>
      <c r="T1581" s="13">
        <v>539.96400000000006</v>
      </c>
      <c r="U1581" s="13">
        <v>-107.9928</v>
      </c>
      <c r="V1581" s="55">
        <f>IFERROR(Table12[[#This Row],[Profit]]/Table12[[#This Row],[Sales]],0)</f>
        <v>-0.19999999999999998</v>
      </c>
    </row>
    <row r="1582" spans="1:22" x14ac:dyDescent="0.2">
      <c r="A1582">
        <v>1581</v>
      </c>
      <c r="B1582" t="s">
        <v>5825</v>
      </c>
      <c r="C1582" s="1">
        <v>41961</v>
      </c>
      <c r="D1582" s="22">
        <f>MONTH(Table12[[#This Row],[Order Date]])</f>
        <v>11</v>
      </c>
      <c r="E1582" t="s">
        <v>3465</v>
      </c>
      <c r="F1582" t="s">
        <v>4567</v>
      </c>
      <c r="G1582" s="23" t="s">
        <v>28</v>
      </c>
      <c r="H1582" s="23" t="s">
        <v>58</v>
      </c>
      <c r="I1582" t="s">
        <v>1725</v>
      </c>
      <c r="J1582" s="23" t="s">
        <v>22</v>
      </c>
      <c r="K1582" s="22">
        <v>3</v>
      </c>
      <c r="L1582" s="1">
        <v>41965</v>
      </c>
      <c r="M1582" s="22">
        <f>Table12[[#This Row],[Ship Date]]-Table12[[#This Row],[Order Date]]</f>
        <v>4</v>
      </c>
      <c r="N1582" s="23" t="s">
        <v>45</v>
      </c>
      <c r="O1582" s="23" t="s">
        <v>23</v>
      </c>
      <c r="P1582" s="23" t="s">
        <v>132</v>
      </c>
      <c r="Q1582" s="23" t="s">
        <v>133</v>
      </c>
      <c r="R1582" s="23" t="s">
        <v>131</v>
      </c>
      <c r="S1582" s="33">
        <v>0.2</v>
      </c>
      <c r="T1582" s="13">
        <v>60.311999999999998</v>
      </c>
      <c r="U1582" s="13">
        <v>5.2773000000000003</v>
      </c>
      <c r="V1582" s="55">
        <f>IFERROR(Table12[[#This Row],[Profit]]/Table12[[#This Row],[Sales]],0)</f>
        <v>8.7500000000000008E-2</v>
      </c>
    </row>
    <row r="1583" spans="1:22" x14ac:dyDescent="0.2">
      <c r="A1583">
        <v>1582</v>
      </c>
      <c r="B1583" t="s">
        <v>5825</v>
      </c>
      <c r="C1583" s="1">
        <v>41961</v>
      </c>
      <c r="D1583" s="22">
        <f>MONTH(Table12[[#This Row],[Order Date]])</f>
        <v>11</v>
      </c>
      <c r="E1583" t="s">
        <v>2993</v>
      </c>
      <c r="F1583" t="s">
        <v>2994</v>
      </c>
      <c r="G1583" s="23" t="s">
        <v>41</v>
      </c>
      <c r="H1583" s="23" t="s">
        <v>68</v>
      </c>
      <c r="I1583" t="s">
        <v>1725</v>
      </c>
      <c r="J1583" s="23" t="s">
        <v>22</v>
      </c>
      <c r="K1583" s="22">
        <v>3</v>
      </c>
      <c r="L1583" s="1">
        <v>41965</v>
      </c>
      <c r="M1583" s="22">
        <f>Table12[[#This Row],[Ship Date]]-Table12[[#This Row],[Order Date]]</f>
        <v>4</v>
      </c>
      <c r="N1583" s="23" t="s">
        <v>45</v>
      </c>
      <c r="O1583" s="23" t="s">
        <v>23</v>
      </c>
      <c r="P1583" s="23" t="s">
        <v>132</v>
      </c>
      <c r="Q1583" s="23" t="s">
        <v>133</v>
      </c>
      <c r="R1583" s="23" t="s">
        <v>131</v>
      </c>
      <c r="S1583" s="33">
        <v>0.7</v>
      </c>
      <c r="T1583" s="13">
        <v>1.944</v>
      </c>
      <c r="U1583" s="13">
        <v>-1.4256</v>
      </c>
      <c r="V1583" s="55">
        <f>IFERROR(Table12[[#This Row],[Profit]]/Table12[[#This Row],[Sales]],0)</f>
        <v>-0.73333333333333339</v>
      </c>
    </row>
    <row r="1584" spans="1:22" x14ac:dyDescent="0.2">
      <c r="A1584">
        <v>1583</v>
      </c>
      <c r="B1584" t="s">
        <v>6508</v>
      </c>
      <c r="C1584" s="1">
        <v>41961</v>
      </c>
      <c r="D1584" s="22">
        <f>MONTH(Table12[[#This Row],[Order Date]])</f>
        <v>11</v>
      </c>
      <c r="E1584" t="s">
        <v>1703</v>
      </c>
      <c r="F1584" t="s">
        <v>1704</v>
      </c>
      <c r="G1584" s="23" t="s">
        <v>41</v>
      </c>
      <c r="H1584" s="23" t="s">
        <v>68</v>
      </c>
      <c r="I1584" t="s">
        <v>3309</v>
      </c>
      <c r="J1584" s="23" t="s">
        <v>36</v>
      </c>
      <c r="K1584" s="22">
        <v>5</v>
      </c>
      <c r="L1584" s="1">
        <v>41968</v>
      </c>
      <c r="M1584" s="22">
        <f>Table12[[#This Row],[Ship Date]]-Table12[[#This Row],[Order Date]]</f>
        <v>7</v>
      </c>
      <c r="N1584" s="23" t="s">
        <v>45</v>
      </c>
      <c r="O1584" s="23" t="s">
        <v>23</v>
      </c>
      <c r="P1584" s="23" t="s">
        <v>189</v>
      </c>
      <c r="Q1584" s="23" t="s">
        <v>95</v>
      </c>
      <c r="R1584" s="23" t="s">
        <v>271</v>
      </c>
      <c r="S1584" s="33">
        <v>0.8</v>
      </c>
      <c r="T1584" s="13">
        <v>14.48</v>
      </c>
      <c r="U1584" s="13">
        <v>-23.891999999999999</v>
      </c>
      <c r="V1584" s="55">
        <f>IFERROR(Table12[[#This Row],[Profit]]/Table12[[#This Row],[Sales]],0)</f>
        <v>-1.65</v>
      </c>
    </row>
    <row r="1585" spans="1:22" x14ac:dyDescent="0.2">
      <c r="A1585">
        <v>1584</v>
      </c>
      <c r="B1585" t="s">
        <v>7105</v>
      </c>
      <c r="C1585" s="1">
        <v>41961</v>
      </c>
      <c r="D1585" s="22">
        <f>MONTH(Table12[[#This Row],[Order Date]])</f>
        <v>11</v>
      </c>
      <c r="E1585" t="s">
        <v>4192</v>
      </c>
      <c r="F1585" t="s">
        <v>4193</v>
      </c>
      <c r="G1585" s="23" t="s">
        <v>41</v>
      </c>
      <c r="H1585" s="23" t="s">
        <v>68</v>
      </c>
      <c r="I1585" t="s">
        <v>5253</v>
      </c>
      <c r="J1585" s="23" t="s">
        <v>22</v>
      </c>
      <c r="K1585" s="22">
        <v>8</v>
      </c>
      <c r="L1585" s="1">
        <v>41966</v>
      </c>
      <c r="M1585" s="22">
        <f>Table12[[#This Row],[Ship Date]]-Table12[[#This Row],[Order Date]]</f>
        <v>5</v>
      </c>
      <c r="N1585" s="23" t="s">
        <v>20</v>
      </c>
      <c r="O1585" s="23" t="s">
        <v>23</v>
      </c>
      <c r="P1585" s="23" t="s">
        <v>441</v>
      </c>
      <c r="Q1585" s="23" t="s">
        <v>133</v>
      </c>
      <c r="R1585" s="23" t="s">
        <v>659</v>
      </c>
      <c r="S1585" s="33">
        <v>0.7</v>
      </c>
      <c r="T1585" s="13">
        <v>11.808</v>
      </c>
      <c r="U1585" s="13">
        <v>-8.6592000000000002</v>
      </c>
      <c r="V1585" s="55">
        <f>IFERROR(Table12[[#This Row],[Profit]]/Table12[[#This Row],[Sales]],0)</f>
        <v>-0.73333333333333339</v>
      </c>
    </row>
    <row r="1586" spans="1:22" x14ac:dyDescent="0.2">
      <c r="A1586">
        <v>1585</v>
      </c>
      <c r="B1586" t="s">
        <v>7105</v>
      </c>
      <c r="C1586" s="1">
        <v>41961</v>
      </c>
      <c r="D1586" s="22">
        <f>MONTH(Table12[[#This Row],[Order Date]])</f>
        <v>11</v>
      </c>
      <c r="E1586" t="s">
        <v>7106</v>
      </c>
      <c r="F1586" t="s">
        <v>7107</v>
      </c>
      <c r="G1586" s="23" t="s">
        <v>64</v>
      </c>
      <c r="H1586" s="23" t="s">
        <v>65</v>
      </c>
      <c r="I1586" t="s">
        <v>5253</v>
      </c>
      <c r="J1586" s="23" t="s">
        <v>22</v>
      </c>
      <c r="K1586" s="22">
        <v>2</v>
      </c>
      <c r="L1586" s="1">
        <v>41966</v>
      </c>
      <c r="M1586" s="22">
        <f>Table12[[#This Row],[Ship Date]]-Table12[[#This Row],[Order Date]]</f>
        <v>5</v>
      </c>
      <c r="N1586" s="23" t="s">
        <v>20</v>
      </c>
      <c r="O1586" s="23" t="s">
        <v>23</v>
      </c>
      <c r="P1586" s="23" t="s">
        <v>441</v>
      </c>
      <c r="Q1586" s="23" t="s">
        <v>133</v>
      </c>
      <c r="R1586" s="23" t="s">
        <v>659</v>
      </c>
      <c r="S1586" s="33">
        <v>0.4</v>
      </c>
      <c r="T1586" s="13">
        <v>9.5879999999999992</v>
      </c>
      <c r="U1586" s="13">
        <v>-2.0773999999999999</v>
      </c>
      <c r="V1586" s="55">
        <f>IFERROR(Table12[[#This Row],[Profit]]/Table12[[#This Row],[Sales]],0)</f>
        <v>-0.21666666666666667</v>
      </c>
    </row>
    <row r="1587" spans="1:22" x14ac:dyDescent="0.2">
      <c r="A1587">
        <v>1586</v>
      </c>
      <c r="B1587" t="s">
        <v>7440</v>
      </c>
      <c r="C1587" s="1">
        <v>41961</v>
      </c>
      <c r="D1587" s="22">
        <f>MONTH(Table12[[#This Row],[Order Date]])</f>
        <v>11</v>
      </c>
      <c r="E1587" t="s">
        <v>5182</v>
      </c>
      <c r="F1587" t="s">
        <v>5183</v>
      </c>
      <c r="G1587" s="23" t="s">
        <v>41</v>
      </c>
      <c r="H1587" s="23" t="s">
        <v>82</v>
      </c>
      <c r="I1587" t="s">
        <v>1461</v>
      </c>
      <c r="J1587" s="23" t="s">
        <v>36</v>
      </c>
      <c r="K1587" s="22">
        <v>7</v>
      </c>
      <c r="L1587" s="1">
        <v>41964</v>
      </c>
      <c r="M1587" s="22">
        <f>Table12[[#This Row],[Ship Date]]-Table12[[#This Row],[Order Date]]</f>
        <v>3</v>
      </c>
      <c r="N1587" s="23" t="s">
        <v>20</v>
      </c>
      <c r="O1587" s="23" t="s">
        <v>23</v>
      </c>
      <c r="P1587" s="23" t="s">
        <v>109</v>
      </c>
      <c r="Q1587" s="23" t="s">
        <v>39</v>
      </c>
      <c r="R1587" s="23" t="s">
        <v>3326</v>
      </c>
      <c r="S1587" s="33">
        <v>0</v>
      </c>
      <c r="T1587" s="13">
        <v>21.98</v>
      </c>
      <c r="U1587" s="13">
        <v>9.891</v>
      </c>
      <c r="V1587" s="55">
        <f>IFERROR(Table12[[#This Row],[Profit]]/Table12[[#This Row],[Sales]],0)</f>
        <v>0.45</v>
      </c>
    </row>
    <row r="1588" spans="1:22" x14ac:dyDescent="0.2">
      <c r="A1588">
        <v>1587</v>
      </c>
      <c r="B1588" t="s">
        <v>8629</v>
      </c>
      <c r="C1588" s="1">
        <v>41961</v>
      </c>
      <c r="D1588" s="22">
        <f>MONTH(Table12[[#This Row],[Order Date]])</f>
        <v>11</v>
      </c>
      <c r="E1588" t="s">
        <v>978</v>
      </c>
      <c r="F1588" t="s">
        <v>979</v>
      </c>
      <c r="G1588" s="23" t="s">
        <v>28</v>
      </c>
      <c r="H1588" s="23" t="s">
        <v>50</v>
      </c>
      <c r="I1588" t="s">
        <v>2187</v>
      </c>
      <c r="J1588" s="23" t="s">
        <v>22</v>
      </c>
      <c r="K1588" s="22">
        <v>4</v>
      </c>
      <c r="L1588" s="1">
        <v>41964</v>
      </c>
      <c r="M1588" s="22">
        <f>Table12[[#This Row],[Ship Date]]-Table12[[#This Row],[Order Date]]</f>
        <v>3</v>
      </c>
      <c r="N1588" s="23" t="s">
        <v>169</v>
      </c>
      <c r="O1588" s="23" t="s">
        <v>23</v>
      </c>
      <c r="P1588" s="23" t="s">
        <v>189</v>
      </c>
      <c r="Q1588" s="23" t="s">
        <v>95</v>
      </c>
      <c r="R1588" s="23" t="s">
        <v>7967</v>
      </c>
      <c r="S1588" s="33">
        <v>0.5</v>
      </c>
      <c r="T1588" s="13">
        <v>292.10000000000002</v>
      </c>
      <c r="U1588" s="13">
        <v>-175.26</v>
      </c>
      <c r="V1588" s="55">
        <f>IFERROR(Table12[[#This Row],[Profit]]/Table12[[#This Row],[Sales]],0)</f>
        <v>-0.59999999999999987</v>
      </c>
    </row>
    <row r="1589" spans="1:22" x14ac:dyDescent="0.2">
      <c r="A1589">
        <v>1588</v>
      </c>
      <c r="B1589" t="s">
        <v>8629</v>
      </c>
      <c r="C1589" s="1">
        <v>41961</v>
      </c>
      <c r="D1589" s="22">
        <f>MONTH(Table12[[#This Row],[Order Date]])</f>
        <v>11</v>
      </c>
      <c r="E1589" t="s">
        <v>5394</v>
      </c>
      <c r="F1589" t="s">
        <v>5395</v>
      </c>
      <c r="G1589" s="23" t="s">
        <v>28</v>
      </c>
      <c r="H1589" s="23" t="s">
        <v>58</v>
      </c>
      <c r="I1589" t="s">
        <v>2187</v>
      </c>
      <c r="J1589" s="23" t="s">
        <v>22</v>
      </c>
      <c r="K1589" s="22">
        <v>2</v>
      </c>
      <c r="L1589" s="1">
        <v>41964</v>
      </c>
      <c r="M1589" s="22">
        <f>Table12[[#This Row],[Ship Date]]-Table12[[#This Row],[Order Date]]</f>
        <v>3</v>
      </c>
      <c r="N1589" s="23" t="s">
        <v>169</v>
      </c>
      <c r="O1589" s="23" t="s">
        <v>23</v>
      </c>
      <c r="P1589" s="23" t="s">
        <v>189</v>
      </c>
      <c r="Q1589" s="23" t="s">
        <v>95</v>
      </c>
      <c r="R1589" s="23" t="s">
        <v>7967</v>
      </c>
      <c r="S1589" s="33">
        <v>0.6</v>
      </c>
      <c r="T1589" s="13">
        <v>8.5440000000000005</v>
      </c>
      <c r="U1589" s="13">
        <v>-7.476</v>
      </c>
      <c r="V1589" s="55">
        <f>IFERROR(Table12[[#This Row],[Profit]]/Table12[[#This Row],[Sales]],0)</f>
        <v>-0.875</v>
      </c>
    </row>
    <row r="1590" spans="1:22" x14ac:dyDescent="0.2">
      <c r="A1590">
        <v>1589</v>
      </c>
      <c r="B1590" t="s">
        <v>8629</v>
      </c>
      <c r="C1590" s="1">
        <v>41961</v>
      </c>
      <c r="D1590" s="22">
        <f>MONTH(Table12[[#This Row],[Order Date]])</f>
        <v>11</v>
      </c>
      <c r="E1590" t="s">
        <v>6752</v>
      </c>
      <c r="F1590" t="s">
        <v>6753</v>
      </c>
      <c r="G1590" s="23" t="s">
        <v>28</v>
      </c>
      <c r="H1590" s="23" t="s">
        <v>29</v>
      </c>
      <c r="I1590" t="s">
        <v>2187</v>
      </c>
      <c r="J1590" s="23" t="s">
        <v>22</v>
      </c>
      <c r="K1590" s="22">
        <v>6</v>
      </c>
      <c r="L1590" s="1">
        <v>41964</v>
      </c>
      <c r="M1590" s="22">
        <f>Table12[[#This Row],[Ship Date]]-Table12[[#This Row],[Order Date]]</f>
        <v>3</v>
      </c>
      <c r="N1590" s="23" t="s">
        <v>169</v>
      </c>
      <c r="O1590" s="23" t="s">
        <v>23</v>
      </c>
      <c r="P1590" s="23" t="s">
        <v>189</v>
      </c>
      <c r="Q1590" s="23" t="s">
        <v>95</v>
      </c>
      <c r="R1590" s="23" t="s">
        <v>7967</v>
      </c>
      <c r="S1590" s="33">
        <v>0.3</v>
      </c>
      <c r="T1590" s="13">
        <v>424.11599999999999</v>
      </c>
      <c r="U1590" s="13">
        <v>-30.294</v>
      </c>
      <c r="V1590" s="55">
        <f>IFERROR(Table12[[#This Row],[Profit]]/Table12[[#This Row],[Sales]],0)</f>
        <v>-7.1428571428571438E-2</v>
      </c>
    </row>
    <row r="1591" spans="1:22" x14ac:dyDescent="0.2">
      <c r="A1591">
        <v>1590</v>
      </c>
      <c r="B1591" t="s">
        <v>8629</v>
      </c>
      <c r="C1591" s="1">
        <v>41961</v>
      </c>
      <c r="D1591" s="22">
        <f>MONTH(Table12[[#This Row],[Order Date]])</f>
        <v>11</v>
      </c>
      <c r="E1591" t="s">
        <v>1857</v>
      </c>
      <c r="F1591" t="s">
        <v>1858</v>
      </c>
      <c r="G1591" s="23" t="s">
        <v>41</v>
      </c>
      <c r="H1591" s="23" t="s">
        <v>68</v>
      </c>
      <c r="I1591" t="s">
        <v>2187</v>
      </c>
      <c r="J1591" s="23" t="s">
        <v>22</v>
      </c>
      <c r="K1591" s="22">
        <v>3</v>
      </c>
      <c r="L1591" s="1">
        <v>41964</v>
      </c>
      <c r="M1591" s="22">
        <f>Table12[[#This Row],[Ship Date]]-Table12[[#This Row],[Order Date]]</f>
        <v>3</v>
      </c>
      <c r="N1591" s="23" t="s">
        <v>169</v>
      </c>
      <c r="O1591" s="23" t="s">
        <v>23</v>
      </c>
      <c r="P1591" s="23" t="s">
        <v>189</v>
      </c>
      <c r="Q1591" s="23" t="s">
        <v>95</v>
      </c>
      <c r="R1591" s="23" t="s">
        <v>7967</v>
      </c>
      <c r="S1591" s="33">
        <v>0.8</v>
      </c>
      <c r="T1591" s="13">
        <v>2.8919999999999999</v>
      </c>
      <c r="U1591" s="13">
        <v>-4.9164000000000003</v>
      </c>
      <c r="V1591" s="55">
        <f>IFERROR(Table12[[#This Row],[Profit]]/Table12[[#This Row],[Sales]],0)</f>
        <v>-1.7000000000000002</v>
      </c>
    </row>
    <row r="1592" spans="1:22" x14ac:dyDescent="0.2">
      <c r="A1592">
        <v>1591</v>
      </c>
      <c r="B1592" t="s">
        <v>8629</v>
      </c>
      <c r="C1592" s="1">
        <v>41961</v>
      </c>
      <c r="D1592" s="22">
        <f>MONTH(Table12[[#This Row],[Order Date]])</f>
        <v>11</v>
      </c>
      <c r="E1592" t="s">
        <v>2136</v>
      </c>
      <c r="F1592" t="s">
        <v>2137</v>
      </c>
      <c r="G1592" s="23" t="s">
        <v>41</v>
      </c>
      <c r="H1592" s="23" t="s">
        <v>53</v>
      </c>
      <c r="I1592" t="s">
        <v>2187</v>
      </c>
      <c r="J1592" s="23" t="s">
        <v>22</v>
      </c>
      <c r="K1592" s="22">
        <v>5</v>
      </c>
      <c r="L1592" s="1">
        <v>41964</v>
      </c>
      <c r="M1592" s="22">
        <f>Table12[[#This Row],[Ship Date]]-Table12[[#This Row],[Order Date]]</f>
        <v>3</v>
      </c>
      <c r="N1592" s="23" t="s">
        <v>169</v>
      </c>
      <c r="O1592" s="23" t="s">
        <v>23</v>
      </c>
      <c r="P1592" s="23" t="s">
        <v>189</v>
      </c>
      <c r="Q1592" s="23" t="s">
        <v>95</v>
      </c>
      <c r="R1592" s="23" t="s">
        <v>7967</v>
      </c>
      <c r="S1592" s="33">
        <v>0.2</v>
      </c>
      <c r="T1592" s="13">
        <v>381.72</v>
      </c>
      <c r="U1592" s="13">
        <v>-66.801000000000002</v>
      </c>
      <c r="V1592" s="55">
        <f>IFERROR(Table12[[#This Row],[Profit]]/Table12[[#This Row],[Sales]],0)</f>
        <v>-0.17499999999999999</v>
      </c>
    </row>
    <row r="1593" spans="1:22" x14ac:dyDescent="0.2">
      <c r="A1593">
        <v>1592</v>
      </c>
      <c r="B1593" t="s">
        <v>9488</v>
      </c>
      <c r="C1593" s="1">
        <v>41961</v>
      </c>
      <c r="D1593" s="22">
        <f>MONTH(Table12[[#This Row],[Order Date]])</f>
        <v>11</v>
      </c>
      <c r="E1593" t="s">
        <v>6868</v>
      </c>
      <c r="F1593" t="s">
        <v>6869</v>
      </c>
      <c r="G1593" s="23" t="s">
        <v>41</v>
      </c>
      <c r="H1593" s="23" t="s">
        <v>53</v>
      </c>
      <c r="I1593" t="s">
        <v>332</v>
      </c>
      <c r="J1593" s="23" t="s">
        <v>36</v>
      </c>
      <c r="K1593" s="22">
        <v>5</v>
      </c>
      <c r="L1593" s="1">
        <v>41963</v>
      </c>
      <c r="M1593" s="22">
        <f>Table12[[#This Row],[Ship Date]]-Table12[[#This Row],[Order Date]]</f>
        <v>2</v>
      </c>
      <c r="N1593" s="23" t="s">
        <v>20</v>
      </c>
      <c r="O1593" s="23" t="s">
        <v>23</v>
      </c>
      <c r="P1593" s="23" t="s">
        <v>204</v>
      </c>
      <c r="Q1593" s="23" t="s">
        <v>95</v>
      </c>
      <c r="R1593" s="23" t="s">
        <v>364</v>
      </c>
      <c r="S1593" s="33">
        <v>0</v>
      </c>
      <c r="T1593" s="13">
        <v>67.150000000000006</v>
      </c>
      <c r="U1593" s="13">
        <v>16.787500000000001</v>
      </c>
      <c r="V1593" s="55">
        <f>IFERROR(Table12[[#This Row],[Profit]]/Table12[[#This Row],[Sales]],0)</f>
        <v>0.25</v>
      </c>
    </row>
    <row r="1594" spans="1:22" x14ac:dyDescent="0.2">
      <c r="A1594">
        <v>1593</v>
      </c>
      <c r="B1594" t="s">
        <v>9746</v>
      </c>
      <c r="C1594" s="1">
        <v>41961</v>
      </c>
      <c r="D1594" s="22">
        <f>MONTH(Table12[[#This Row],[Order Date]])</f>
        <v>11</v>
      </c>
      <c r="E1594" t="s">
        <v>1847</v>
      </c>
      <c r="F1594" t="s">
        <v>1848</v>
      </c>
      <c r="G1594" s="23" t="s">
        <v>28</v>
      </c>
      <c r="H1594" s="23" t="s">
        <v>32</v>
      </c>
      <c r="I1594" t="s">
        <v>1142</v>
      </c>
      <c r="J1594" s="23" t="s">
        <v>36</v>
      </c>
      <c r="K1594" s="22">
        <v>3</v>
      </c>
      <c r="L1594" s="1">
        <v>41966</v>
      </c>
      <c r="M1594" s="22">
        <f>Table12[[#This Row],[Ship Date]]-Table12[[#This Row],[Order Date]]</f>
        <v>5</v>
      </c>
      <c r="N1594" s="23" t="s">
        <v>45</v>
      </c>
      <c r="O1594" s="23" t="s">
        <v>23</v>
      </c>
      <c r="P1594" s="23" t="s">
        <v>103</v>
      </c>
      <c r="Q1594" s="23" t="s">
        <v>95</v>
      </c>
      <c r="R1594" s="23" t="s">
        <v>541</v>
      </c>
      <c r="S1594" s="33">
        <v>0</v>
      </c>
      <c r="T1594" s="13">
        <v>392.94</v>
      </c>
      <c r="U1594" s="13">
        <v>43.223399999999998</v>
      </c>
      <c r="V1594" s="55">
        <f>IFERROR(Table12[[#This Row],[Profit]]/Table12[[#This Row],[Sales]],0)</f>
        <v>0.11</v>
      </c>
    </row>
    <row r="1595" spans="1:22" x14ac:dyDescent="0.2">
      <c r="A1595">
        <v>1594</v>
      </c>
      <c r="B1595" t="s">
        <v>9960</v>
      </c>
      <c r="C1595" s="1">
        <v>41961</v>
      </c>
      <c r="D1595" s="22">
        <f>MONTH(Table12[[#This Row],[Order Date]])</f>
        <v>11</v>
      </c>
      <c r="E1595" t="s">
        <v>1945</v>
      </c>
      <c r="F1595" t="s">
        <v>1946</v>
      </c>
      <c r="G1595" s="23" t="s">
        <v>28</v>
      </c>
      <c r="H1595" s="23" t="s">
        <v>58</v>
      </c>
      <c r="I1595" t="s">
        <v>1437</v>
      </c>
      <c r="J1595" s="23" t="s">
        <v>36</v>
      </c>
      <c r="K1595" s="22">
        <v>2</v>
      </c>
      <c r="L1595" s="1">
        <v>41968</v>
      </c>
      <c r="M1595" s="22">
        <f>Table12[[#This Row],[Ship Date]]-Table12[[#This Row],[Order Date]]</f>
        <v>7</v>
      </c>
      <c r="N1595" s="23" t="s">
        <v>45</v>
      </c>
      <c r="O1595" s="23" t="s">
        <v>23</v>
      </c>
      <c r="P1595" s="23" t="s">
        <v>87</v>
      </c>
      <c r="Q1595" s="23" t="s">
        <v>39</v>
      </c>
      <c r="R1595" s="23" t="s">
        <v>86</v>
      </c>
      <c r="S1595" s="33">
        <v>0</v>
      </c>
      <c r="T1595" s="13">
        <v>137.54</v>
      </c>
      <c r="U1595" s="13">
        <v>55.015999999999998</v>
      </c>
      <c r="V1595" s="55">
        <f>IFERROR(Table12[[#This Row],[Profit]]/Table12[[#This Row],[Sales]],0)</f>
        <v>0.4</v>
      </c>
    </row>
    <row r="1596" spans="1:22" x14ac:dyDescent="0.2">
      <c r="A1596">
        <v>1595</v>
      </c>
      <c r="B1596" t="s">
        <v>9960</v>
      </c>
      <c r="C1596" s="1">
        <v>41961</v>
      </c>
      <c r="D1596" s="22">
        <f>MONTH(Table12[[#This Row],[Order Date]])</f>
        <v>11</v>
      </c>
      <c r="E1596" t="s">
        <v>3327</v>
      </c>
      <c r="F1596" t="s">
        <v>3328</v>
      </c>
      <c r="G1596" s="23" t="s">
        <v>28</v>
      </c>
      <c r="H1596" s="23" t="s">
        <v>50</v>
      </c>
      <c r="I1596" t="s">
        <v>1437</v>
      </c>
      <c r="J1596" s="23" t="s">
        <v>36</v>
      </c>
      <c r="K1596" s="22">
        <v>4</v>
      </c>
      <c r="L1596" s="1">
        <v>41968</v>
      </c>
      <c r="M1596" s="22">
        <f>Table12[[#This Row],[Ship Date]]-Table12[[#This Row],[Order Date]]</f>
        <v>7</v>
      </c>
      <c r="N1596" s="23" t="s">
        <v>45</v>
      </c>
      <c r="O1596" s="23" t="s">
        <v>23</v>
      </c>
      <c r="P1596" s="23" t="s">
        <v>87</v>
      </c>
      <c r="Q1596" s="23" t="s">
        <v>39</v>
      </c>
      <c r="R1596" s="23" t="s">
        <v>86</v>
      </c>
      <c r="S1596" s="33">
        <v>0</v>
      </c>
      <c r="T1596" s="13">
        <v>730.2</v>
      </c>
      <c r="U1596" s="13">
        <v>94.926000000000002</v>
      </c>
      <c r="V1596" s="55">
        <f>IFERROR(Table12[[#This Row],[Profit]]/Table12[[#This Row],[Sales]],0)</f>
        <v>0.13</v>
      </c>
    </row>
    <row r="1597" spans="1:22" x14ac:dyDescent="0.2">
      <c r="A1597">
        <v>1596</v>
      </c>
      <c r="B1597" t="s">
        <v>647</v>
      </c>
      <c r="C1597" s="1">
        <v>41962</v>
      </c>
      <c r="D1597" s="22">
        <f>MONTH(Table12[[#This Row],[Order Date]])</f>
        <v>11</v>
      </c>
      <c r="E1597" t="s">
        <v>651</v>
      </c>
      <c r="F1597" t="s">
        <v>652</v>
      </c>
      <c r="G1597" s="23" t="s">
        <v>64</v>
      </c>
      <c r="H1597" s="23" t="s">
        <v>65</v>
      </c>
      <c r="I1597" t="s">
        <v>648</v>
      </c>
      <c r="J1597" s="23" t="s">
        <v>92</v>
      </c>
      <c r="K1597" s="22">
        <v>4</v>
      </c>
      <c r="L1597" s="1">
        <v>41967</v>
      </c>
      <c r="M1597" s="22">
        <f>Table12[[#This Row],[Ship Date]]-Table12[[#This Row],[Order Date]]</f>
        <v>5</v>
      </c>
      <c r="N1597" s="23" t="s">
        <v>20</v>
      </c>
      <c r="O1597" s="23" t="s">
        <v>23</v>
      </c>
      <c r="P1597" s="23" t="s">
        <v>650</v>
      </c>
      <c r="Q1597" s="23" t="s">
        <v>26</v>
      </c>
      <c r="R1597" s="23" t="s">
        <v>649</v>
      </c>
      <c r="S1597" s="33">
        <v>0</v>
      </c>
      <c r="T1597" s="13">
        <v>503.96</v>
      </c>
      <c r="U1597" s="13">
        <v>131.02959999999999</v>
      </c>
      <c r="V1597" s="55">
        <f>IFERROR(Table12[[#This Row],[Profit]]/Table12[[#This Row],[Sales]],0)</f>
        <v>0.26</v>
      </c>
    </row>
    <row r="1598" spans="1:22" x14ac:dyDescent="0.2">
      <c r="A1598">
        <v>1597</v>
      </c>
      <c r="B1598" t="s">
        <v>647</v>
      </c>
      <c r="C1598" s="1">
        <v>41962</v>
      </c>
      <c r="D1598" s="22">
        <f>MONTH(Table12[[#This Row],[Order Date]])</f>
        <v>11</v>
      </c>
      <c r="E1598" t="s">
        <v>653</v>
      </c>
      <c r="F1598" t="s">
        <v>654</v>
      </c>
      <c r="G1598" s="23" t="s">
        <v>64</v>
      </c>
      <c r="H1598" s="23" t="s">
        <v>65</v>
      </c>
      <c r="I1598" t="s">
        <v>648</v>
      </c>
      <c r="J1598" s="23" t="s">
        <v>92</v>
      </c>
      <c r="K1598" s="22">
        <v>5</v>
      </c>
      <c r="L1598" s="1">
        <v>41967</v>
      </c>
      <c r="M1598" s="22">
        <f>Table12[[#This Row],[Ship Date]]-Table12[[#This Row],[Order Date]]</f>
        <v>5</v>
      </c>
      <c r="N1598" s="23" t="s">
        <v>20</v>
      </c>
      <c r="O1598" s="23" t="s">
        <v>23</v>
      </c>
      <c r="P1598" s="23" t="s">
        <v>650</v>
      </c>
      <c r="Q1598" s="23" t="s">
        <v>26</v>
      </c>
      <c r="R1598" s="23" t="s">
        <v>649</v>
      </c>
      <c r="S1598" s="33">
        <v>0</v>
      </c>
      <c r="T1598" s="13">
        <v>149.94999999999999</v>
      </c>
      <c r="U1598" s="13">
        <v>41.985999999999997</v>
      </c>
      <c r="V1598" s="55">
        <f>IFERROR(Table12[[#This Row],[Profit]]/Table12[[#This Row],[Sales]],0)</f>
        <v>0.28000000000000003</v>
      </c>
    </row>
    <row r="1599" spans="1:22" x14ac:dyDescent="0.2">
      <c r="A1599">
        <v>1598</v>
      </c>
      <c r="B1599" t="s">
        <v>647</v>
      </c>
      <c r="C1599" s="1">
        <v>41962</v>
      </c>
      <c r="D1599" s="22">
        <f>MONTH(Table12[[#This Row],[Order Date]])</f>
        <v>11</v>
      </c>
      <c r="E1599" t="s">
        <v>655</v>
      </c>
      <c r="F1599" t="s">
        <v>656</v>
      </c>
      <c r="G1599" s="23" t="s">
        <v>64</v>
      </c>
      <c r="H1599" s="23" t="s">
        <v>144</v>
      </c>
      <c r="I1599" t="s">
        <v>648</v>
      </c>
      <c r="J1599" s="23" t="s">
        <v>92</v>
      </c>
      <c r="K1599" s="22">
        <v>2</v>
      </c>
      <c r="L1599" s="1">
        <v>41967</v>
      </c>
      <c r="M1599" s="22">
        <f>Table12[[#This Row],[Ship Date]]-Table12[[#This Row],[Order Date]]</f>
        <v>5</v>
      </c>
      <c r="N1599" s="23" t="s">
        <v>20</v>
      </c>
      <c r="O1599" s="23" t="s">
        <v>23</v>
      </c>
      <c r="P1599" s="23" t="s">
        <v>650</v>
      </c>
      <c r="Q1599" s="23" t="s">
        <v>26</v>
      </c>
      <c r="R1599" s="23" t="s">
        <v>649</v>
      </c>
      <c r="S1599" s="33">
        <v>0</v>
      </c>
      <c r="T1599" s="13">
        <v>29</v>
      </c>
      <c r="U1599" s="13">
        <v>7.25</v>
      </c>
      <c r="V1599" s="55">
        <f>IFERROR(Table12[[#This Row],[Profit]]/Table12[[#This Row],[Sales]],0)</f>
        <v>0.25</v>
      </c>
    </row>
    <row r="1600" spans="1:22" x14ac:dyDescent="0.2">
      <c r="A1600">
        <v>1599</v>
      </c>
      <c r="B1600" t="s">
        <v>4952</v>
      </c>
      <c r="C1600" s="1">
        <v>41962</v>
      </c>
      <c r="D1600" s="22">
        <f>MONTH(Table12[[#This Row],[Order Date]])</f>
        <v>11</v>
      </c>
      <c r="E1600" t="s">
        <v>4060</v>
      </c>
      <c r="F1600" t="s">
        <v>4061</v>
      </c>
      <c r="G1600" s="23" t="s">
        <v>64</v>
      </c>
      <c r="H1600" s="23" t="s">
        <v>65</v>
      </c>
      <c r="I1600" t="s">
        <v>4953</v>
      </c>
      <c r="J1600" s="23" t="s">
        <v>22</v>
      </c>
      <c r="K1600" s="22">
        <v>7</v>
      </c>
      <c r="L1600" s="1">
        <v>41966</v>
      </c>
      <c r="M1600" s="22">
        <f>Table12[[#This Row],[Ship Date]]-Table12[[#This Row],[Order Date]]</f>
        <v>4</v>
      </c>
      <c r="N1600" s="23" t="s">
        <v>45</v>
      </c>
      <c r="O1600" s="23" t="s">
        <v>23</v>
      </c>
      <c r="P1600" s="23" t="s">
        <v>238</v>
      </c>
      <c r="Q1600" s="23" t="s">
        <v>133</v>
      </c>
      <c r="R1600" s="23" t="s">
        <v>4954</v>
      </c>
      <c r="S1600" s="33">
        <v>0</v>
      </c>
      <c r="T1600" s="13">
        <v>4548.8100000000004</v>
      </c>
      <c r="U1600" s="13">
        <v>1228.1786999999999</v>
      </c>
      <c r="V1600" s="55">
        <f>IFERROR(Table12[[#This Row],[Profit]]/Table12[[#This Row],[Sales]],0)</f>
        <v>0.26999999999999996</v>
      </c>
    </row>
    <row r="1601" spans="1:22" x14ac:dyDescent="0.2">
      <c r="A1601">
        <v>1600</v>
      </c>
      <c r="B1601" t="s">
        <v>7439</v>
      </c>
      <c r="C1601" s="1">
        <v>41962</v>
      </c>
      <c r="D1601" s="22">
        <f>MONTH(Table12[[#This Row],[Order Date]])</f>
        <v>11</v>
      </c>
      <c r="E1601" t="s">
        <v>1868</v>
      </c>
      <c r="F1601" t="s">
        <v>1869</v>
      </c>
      <c r="G1601" s="23" t="s">
        <v>41</v>
      </c>
      <c r="H1601" s="23" t="s">
        <v>42</v>
      </c>
      <c r="I1601" t="s">
        <v>6803</v>
      </c>
      <c r="J1601" s="23" t="s">
        <v>36</v>
      </c>
      <c r="K1601" s="22">
        <v>6</v>
      </c>
      <c r="L1601" s="1">
        <v>41968</v>
      </c>
      <c r="M1601" s="22">
        <f>Table12[[#This Row],[Ship Date]]-Table12[[#This Row],[Order Date]]</f>
        <v>6</v>
      </c>
      <c r="N1601" s="23" t="s">
        <v>45</v>
      </c>
      <c r="O1601" s="23" t="s">
        <v>23</v>
      </c>
      <c r="P1601" s="23" t="s">
        <v>218</v>
      </c>
      <c r="Q1601" s="23" t="s">
        <v>133</v>
      </c>
      <c r="R1601" s="23" t="s">
        <v>461</v>
      </c>
      <c r="S1601" s="33">
        <v>0</v>
      </c>
      <c r="T1601" s="13">
        <v>22.5</v>
      </c>
      <c r="U1601" s="13">
        <v>10.8</v>
      </c>
      <c r="V1601" s="55">
        <f>IFERROR(Table12[[#This Row],[Profit]]/Table12[[#This Row],[Sales]],0)</f>
        <v>0.48000000000000004</v>
      </c>
    </row>
    <row r="1602" spans="1:22" x14ac:dyDescent="0.2">
      <c r="A1602">
        <v>1601</v>
      </c>
      <c r="B1602" t="s">
        <v>7439</v>
      </c>
      <c r="C1602" s="1">
        <v>41962</v>
      </c>
      <c r="D1602" s="22">
        <f>MONTH(Table12[[#This Row],[Order Date]])</f>
        <v>11</v>
      </c>
      <c r="E1602" t="s">
        <v>2193</v>
      </c>
      <c r="F1602" t="s">
        <v>2194</v>
      </c>
      <c r="G1602" s="23" t="s">
        <v>41</v>
      </c>
      <c r="H1602" s="23" t="s">
        <v>42</v>
      </c>
      <c r="I1602" t="s">
        <v>6803</v>
      </c>
      <c r="J1602" s="23" t="s">
        <v>36</v>
      </c>
      <c r="K1602" s="22">
        <v>2</v>
      </c>
      <c r="L1602" s="1">
        <v>41968</v>
      </c>
      <c r="M1602" s="22">
        <f>Table12[[#This Row],[Ship Date]]-Table12[[#This Row],[Order Date]]</f>
        <v>6</v>
      </c>
      <c r="N1602" s="23" t="s">
        <v>45</v>
      </c>
      <c r="O1602" s="23" t="s">
        <v>23</v>
      </c>
      <c r="P1602" s="23" t="s">
        <v>218</v>
      </c>
      <c r="Q1602" s="23" t="s">
        <v>133</v>
      </c>
      <c r="R1602" s="23" t="s">
        <v>461</v>
      </c>
      <c r="S1602" s="33">
        <v>0</v>
      </c>
      <c r="T1602" s="13">
        <v>9.9600000000000009</v>
      </c>
      <c r="U1602" s="13">
        <v>4.5815999999999999</v>
      </c>
      <c r="V1602" s="55">
        <f>IFERROR(Table12[[#This Row],[Profit]]/Table12[[#This Row],[Sales]],0)</f>
        <v>0.45999999999999996</v>
      </c>
    </row>
    <row r="1603" spans="1:22" x14ac:dyDescent="0.2">
      <c r="A1603">
        <v>1602</v>
      </c>
      <c r="B1603" t="s">
        <v>7439</v>
      </c>
      <c r="C1603" s="1">
        <v>41962</v>
      </c>
      <c r="D1603" s="22">
        <f>MONTH(Table12[[#This Row],[Order Date]])</f>
        <v>11</v>
      </c>
      <c r="E1603" t="s">
        <v>1618</v>
      </c>
      <c r="F1603" t="s">
        <v>1619</v>
      </c>
      <c r="G1603" s="23" t="s">
        <v>41</v>
      </c>
      <c r="H1603" s="23" t="s">
        <v>68</v>
      </c>
      <c r="I1603" t="s">
        <v>6803</v>
      </c>
      <c r="J1603" s="23" t="s">
        <v>36</v>
      </c>
      <c r="K1603" s="22">
        <v>7</v>
      </c>
      <c r="L1603" s="1">
        <v>41968</v>
      </c>
      <c r="M1603" s="22">
        <f>Table12[[#This Row],[Ship Date]]-Table12[[#This Row],[Order Date]]</f>
        <v>6</v>
      </c>
      <c r="N1603" s="23" t="s">
        <v>45</v>
      </c>
      <c r="O1603" s="23" t="s">
        <v>23</v>
      </c>
      <c r="P1603" s="23" t="s">
        <v>218</v>
      </c>
      <c r="Q1603" s="23" t="s">
        <v>133</v>
      </c>
      <c r="R1603" s="23" t="s">
        <v>461</v>
      </c>
      <c r="S1603" s="33">
        <v>0</v>
      </c>
      <c r="T1603" s="13">
        <v>213.08</v>
      </c>
      <c r="U1603" s="13">
        <v>102.2784</v>
      </c>
      <c r="V1603" s="55">
        <f>IFERROR(Table12[[#This Row],[Profit]]/Table12[[#This Row],[Sales]],0)</f>
        <v>0.48</v>
      </c>
    </row>
    <row r="1604" spans="1:22" x14ac:dyDescent="0.2">
      <c r="A1604">
        <v>1603</v>
      </c>
      <c r="B1604" t="s">
        <v>7439</v>
      </c>
      <c r="C1604" s="1">
        <v>41962</v>
      </c>
      <c r="D1604" s="22">
        <f>MONTH(Table12[[#This Row],[Order Date]])</f>
        <v>11</v>
      </c>
      <c r="E1604" t="s">
        <v>3711</v>
      </c>
      <c r="F1604" t="s">
        <v>3712</v>
      </c>
      <c r="G1604" s="23" t="s">
        <v>28</v>
      </c>
      <c r="H1604" s="23" t="s">
        <v>29</v>
      </c>
      <c r="I1604" t="s">
        <v>6803</v>
      </c>
      <c r="J1604" s="23" t="s">
        <v>36</v>
      </c>
      <c r="K1604" s="22">
        <v>6</v>
      </c>
      <c r="L1604" s="1">
        <v>41968</v>
      </c>
      <c r="M1604" s="22">
        <f>Table12[[#This Row],[Ship Date]]-Table12[[#This Row],[Order Date]]</f>
        <v>6</v>
      </c>
      <c r="N1604" s="23" t="s">
        <v>45</v>
      </c>
      <c r="O1604" s="23" t="s">
        <v>23</v>
      </c>
      <c r="P1604" s="23" t="s">
        <v>218</v>
      </c>
      <c r="Q1604" s="23" t="s">
        <v>133</v>
      </c>
      <c r="R1604" s="23" t="s">
        <v>461</v>
      </c>
      <c r="S1604" s="33">
        <v>0</v>
      </c>
      <c r="T1604" s="13">
        <v>1025.8800000000001</v>
      </c>
      <c r="U1604" s="13">
        <v>235.95240000000001</v>
      </c>
      <c r="V1604" s="55">
        <f>IFERROR(Table12[[#This Row],[Profit]]/Table12[[#This Row],[Sales]],0)</f>
        <v>0.22999999999999998</v>
      </c>
    </row>
    <row r="1605" spans="1:22" x14ac:dyDescent="0.2">
      <c r="A1605">
        <v>1604</v>
      </c>
      <c r="B1605" t="s">
        <v>8932</v>
      </c>
      <c r="C1605" s="1">
        <v>41962</v>
      </c>
      <c r="D1605" s="22">
        <f>MONTH(Table12[[#This Row],[Order Date]])</f>
        <v>11</v>
      </c>
      <c r="E1605" t="s">
        <v>1532</v>
      </c>
      <c r="F1605" t="s">
        <v>4440</v>
      </c>
      <c r="G1605" s="23" t="s">
        <v>41</v>
      </c>
      <c r="H1605" s="23" t="s">
        <v>82</v>
      </c>
      <c r="I1605" t="s">
        <v>6929</v>
      </c>
      <c r="J1605" s="23" t="s">
        <v>92</v>
      </c>
      <c r="K1605" s="22">
        <v>3</v>
      </c>
      <c r="L1605" s="1">
        <v>41967</v>
      </c>
      <c r="M1605" s="22">
        <f>Table12[[#This Row],[Ship Date]]-Table12[[#This Row],[Order Date]]</f>
        <v>5</v>
      </c>
      <c r="N1605" s="23" t="s">
        <v>20</v>
      </c>
      <c r="O1605" s="23" t="s">
        <v>23</v>
      </c>
      <c r="P1605" s="23" t="s">
        <v>109</v>
      </c>
      <c r="Q1605" s="23" t="s">
        <v>39</v>
      </c>
      <c r="R1605" s="23" t="s">
        <v>4541</v>
      </c>
      <c r="S1605" s="33">
        <v>0</v>
      </c>
      <c r="T1605" s="13">
        <v>166.44</v>
      </c>
      <c r="U1605" s="13">
        <v>79.891199999999998</v>
      </c>
      <c r="V1605" s="55">
        <f>IFERROR(Table12[[#This Row],[Profit]]/Table12[[#This Row],[Sales]],0)</f>
        <v>0.48</v>
      </c>
    </row>
    <row r="1606" spans="1:22" x14ac:dyDescent="0.2">
      <c r="A1606">
        <v>1605</v>
      </c>
      <c r="B1606" t="s">
        <v>9564</v>
      </c>
      <c r="C1606" s="1">
        <v>41962</v>
      </c>
      <c r="D1606" s="22">
        <f>MONTH(Table12[[#This Row],[Order Date]])</f>
        <v>11</v>
      </c>
      <c r="E1606" t="s">
        <v>3824</v>
      </c>
      <c r="F1606" t="s">
        <v>3825</v>
      </c>
      <c r="G1606" s="23" t="s">
        <v>64</v>
      </c>
      <c r="H1606" s="23" t="s">
        <v>144</v>
      </c>
      <c r="I1606" t="s">
        <v>587</v>
      </c>
      <c r="J1606" s="23" t="s">
        <v>22</v>
      </c>
      <c r="K1606" s="22">
        <v>1</v>
      </c>
      <c r="L1606" s="1">
        <v>41964</v>
      </c>
      <c r="M1606" s="22">
        <f>Table12[[#This Row],[Ship Date]]-Table12[[#This Row],[Order Date]]</f>
        <v>2</v>
      </c>
      <c r="N1606" s="23" t="s">
        <v>169</v>
      </c>
      <c r="O1606" s="23" t="s">
        <v>23</v>
      </c>
      <c r="P1606" s="23" t="s">
        <v>132</v>
      </c>
      <c r="Q1606" s="23" t="s">
        <v>133</v>
      </c>
      <c r="R1606" s="23" t="s">
        <v>131</v>
      </c>
      <c r="S1606" s="33">
        <v>0.2</v>
      </c>
      <c r="T1606" s="13">
        <v>47.496000000000002</v>
      </c>
      <c r="U1606" s="13">
        <v>-1.1874</v>
      </c>
      <c r="V1606" s="55">
        <f>IFERROR(Table12[[#This Row],[Profit]]/Table12[[#This Row],[Sales]],0)</f>
        <v>-2.4999999999999998E-2</v>
      </c>
    </row>
    <row r="1607" spans="1:22" x14ac:dyDescent="0.2">
      <c r="A1607">
        <v>1606</v>
      </c>
      <c r="B1607" t="s">
        <v>9965</v>
      </c>
      <c r="C1607" s="1">
        <v>41962</v>
      </c>
      <c r="D1607" s="22">
        <f>MONTH(Table12[[#This Row],[Order Date]])</f>
        <v>11</v>
      </c>
      <c r="E1607" t="s">
        <v>3970</v>
      </c>
      <c r="F1607" t="s">
        <v>3971</v>
      </c>
      <c r="G1607" s="23" t="s">
        <v>41</v>
      </c>
      <c r="H1607" s="23" t="s">
        <v>53</v>
      </c>
      <c r="I1607" t="s">
        <v>4654</v>
      </c>
      <c r="J1607" s="23" t="s">
        <v>22</v>
      </c>
      <c r="K1607" s="22">
        <v>4</v>
      </c>
      <c r="L1607" s="1">
        <v>41967</v>
      </c>
      <c r="M1607" s="22">
        <f>Table12[[#This Row],[Ship Date]]-Table12[[#This Row],[Order Date]]</f>
        <v>5</v>
      </c>
      <c r="N1607" s="23" t="s">
        <v>45</v>
      </c>
      <c r="O1607" s="23" t="s">
        <v>23</v>
      </c>
      <c r="P1607" s="23" t="s">
        <v>204</v>
      </c>
      <c r="Q1607" s="23" t="s">
        <v>95</v>
      </c>
      <c r="R1607" s="23" t="s">
        <v>9966</v>
      </c>
      <c r="S1607" s="33">
        <v>0</v>
      </c>
      <c r="T1607" s="13">
        <v>221.16</v>
      </c>
      <c r="U1607" s="13">
        <v>57.501600000000003</v>
      </c>
      <c r="V1607" s="55">
        <f>IFERROR(Table12[[#This Row],[Profit]]/Table12[[#This Row],[Sales]],0)</f>
        <v>0.26</v>
      </c>
    </row>
    <row r="1608" spans="1:22" x14ac:dyDescent="0.2">
      <c r="A1608">
        <v>1607</v>
      </c>
      <c r="B1608" t="s">
        <v>9965</v>
      </c>
      <c r="C1608" s="1">
        <v>41962</v>
      </c>
      <c r="D1608" s="22">
        <f>MONTH(Table12[[#This Row],[Order Date]])</f>
        <v>11</v>
      </c>
      <c r="E1608" t="s">
        <v>1839</v>
      </c>
      <c r="F1608" t="s">
        <v>1840</v>
      </c>
      <c r="G1608" s="23" t="s">
        <v>64</v>
      </c>
      <c r="H1608" s="23" t="s">
        <v>65</v>
      </c>
      <c r="I1608" t="s">
        <v>4654</v>
      </c>
      <c r="J1608" s="23" t="s">
        <v>22</v>
      </c>
      <c r="K1608" s="22">
        <v>3</v>
      </c>
      <c r="L1608" s="1">
        <v>41967</v>
      </c>
      <c r="M1608" s="22">
        <f>Table12[[#This Row],[Ship Date]]-Table12[[#This Row],[Order Date]]</f>
        <v>5</v>
      </c>
      <c r="N1608" s="23" t="s">
        <v>45</v>
      </c>
      <c r="O1608" s="23" t="s">
        <v>23</v>
      </c>
      <c r="P1608" s="23" t="s">
        <v>204</v>
      </c>
      <c r="Q1608" s="23" t="s">
        <v>95</v>
      </c>
      <c r="R1608" s="23" t="s">
        <v>9966</v>
      </c>
      <c r="S1608" s="33">
        <v>0</v>
      </c>
      <c r="T1608" s="13">
        <v>281.97000000000003</v>
      </c>
      <c r="U1608" s="13">
        <v>78.951599999999999</v>
      </c>
      <c r="V1608" s="55">
        <f>IFERROR(Table12[[#This Row],[Profit]]/Table12[[#This Row],[Sales]],0)</f>
        <v>0.27999999999999997</v>
      </c>
    </row>
    <row r="1609" spans="1:22" x14ac:dyDescent="0.2">
      <c r="A1609">
        <v>1608</v>
      </c>
      <c r="B1609" t="s">
        <v>10020</v>
      </c>
      <c r="C1609" s="1">
        <v>41962</v>
      </c>
      <c r="D1609" s="22">
        <f>MONTH(Table12[[#This Row],[Order Date]])</f>
        <v>11</v>
      </c>
      <c r="E1609" t="s">
        <v>9473</v>
      </c>
      <c r="F1609" t="s">
        <v>9474</v>
      </c>
      <c r="G1609" s="23" t="s">
        <v>41</v>
      </c>
      <c r="H1609" s="23" t="s">
        <v>82</v>
      </c>
      <c r="I1609" t="s">
        <v>471</v>
      </c>
      <c r="J1609" s="23" t="s">
        <v>92</v>
      </c>
      <c r="K1609" s="22">
        <v>1</v>
      </c>
      <c r="L1609" s="1">
        <v>41965</v>
      </c>
      <c r="M1609" s="22">
        <f>Table12[[#This Row],[Ship Date]]-Table12[[#This Row],[Order Date]]</f>
        <v>3</v>
      </c>
      <c r="N1609" s="23" t="s">
        <v>20</v>
      </c>
      <c r="O1609" s="23" t="s">
        <v>23</v>
      </c>
      <c r="P1609" s="23" t="s">
        <v>132</v>
      </c>
      <c r="Q1609" s="23" t="s">
        <v>133</v>
      </c>
      <c r="R1609" s="23" t="s">
        <v>131</v>
      </c>
      <c r="S1609" s="33">
        <v>0.2</v>
      </c>
      <c r="T1609" s="13">
        <v>5.88</v>
      </c>
      <c r="U1609" s="13">
        <v>1.9844999999999999</v>
      </c>
      <c r="V1609" s="55">
        <f>IFERROR(Table12[[#This Row],[Profit]]/Table12[[#This Row],[Sales]],0)</f>
        <v>0.33749999999999997</v>
      </c>
    </row>
    <row r="1610" spans="1:22" x14ac:dyDescent="0.2">
      <c r="A1610">
        <v>1609</v>
      </c>
      <c r="B1610" t="s">
        <v>8753</v>
      </c>
      <c r="C1610" s="1">
        <v>41963</v>
      </c>
      <c r="D1610" s="22">
        <f>MONTH(Table12[[#This Row],[Order Date]])</f>
        <v>11</v>
      </c>
      <c r="E1610" t="s">
        <v>7641</v>
      </c>
      <c r="F1610" t="s">
        <v>7302</v>
      </c>
      <c r="G1610" s="23" t="s">
        <v>41</v>
      </c>
      <c r="H1610" s="23" t="s">
        <v>155</v>
      </c>
      <c r="I1610" t="s">
        <v>4080</v>
      </c>
      <c r="J1610" s="23" t="s">
        <v>36</v>
      </c>
      <c r="K1610" s="22">
        <v>3</v>
      </c>
      <c r="L1610" s="1">
        <v>41968</v>
      </c>
      <c r="M1610" s="22">
        <f>Table12[[#This Row],[Ship Date]]-Table12[[#This Row],[Order Date]]</f>
        <v>5</v>
      </c>
      <c r="N1610" s="23" t="s">
        <v>45</v>
      </c>
      <c r="O1610" s="23" t="s">
        <v>23</v>
      </c>
      <c r="P1610" s="23" t="s">
        <v>238</v>
      </c>
      <c r="Q1610" s="23" t="s">
        <v>133</v>
      </c>
      <c r="R1610" s="23" t="s">
        <v>237</v>
      </c>
      <c r="S1610" s="33">
        <v>0</v>
      </c>
      <c r="T1610" s="13">
        <v>34.74</v>
      </c>
      <c r="U1610" s="13">
        <v>17.37</v>
      </c>
      <c r="V1610" s="55">
        <f>IFERROR(Table12[[#This Row],[Profit]]/Table12[[#This Row],[Sales]],0)</f>
        <v>0.5</v>
      </c>
    </row>
    <row r="1611" spans="1:22" x14ac:dyDescent="0.2">
      <c r="A1611">
        <v>1610</v>
      </c>
      <c r="B1611" t="s">
        <v>8753</v>
      </c>
      <c r="C1611" s="1">
        <v>41963</v>
      </c>
      <c r="D1611" s="22">
        <f>MONTH(Table12[[#This Row],[Order Date]])</f>
        <v>11</v>
      </c>
      <c r="E1611" t="s">
        <v>2999</v>
      </c>
      <c r="F1611" t="s">
        <v>3000</v>
      </c>
      <c r="G1611" s="23" t="s">
        <v>64</v>
      </c>
      <c r="H1611" s="23" t="s">
        <v>65</v>
      </c>
      <c r="I1611" t="s">
        <v>4080</v>
      </c>
      <c r="J1611" s="23" t="s">
        <v>36</v>
      </c>
      <c r="K1611" s="22">
        <v>6</v>
      </c>
      <c r="L1611" s="1">
        <v>41968</v>
      </c>
      <c r="M1611" s="22">
        <f>Table12[[#This Row],[Ship Date]]-Table12[[#This Row],[Order Date]]</f>
        <v>5</v>
      </c>
      <c r="N1611" s="23" t="s">
        <v>45</v>
      </c>
      <c r="O1611" s="23" t="s">
        <v>23</v>
      </c>
      <c r="P1611" s="23" t="s">
        <v>238</v>
      </c>
      <c r="Q1611" s="23" t="s">
        <v>133</v>
      </c>
      <c r="R1611" s="23" t="s">
        <v>237</v>
      </c>
      <c r="S1611" s="33">
        <v>0</v>
      </c>
      <c r="T1611" s="13">
        <v>833.94</v>
      </c>
      <c r="U1611" s="13">
        <v>216.8244</v>
      </c>
      <c r="V1611" s="55">
        <f>IFERROR(Table12[[#This Row],[Profit]]/Table12[[#This Row],[Sales]],0)</f>
        <v>0.25999999999999995</v>
      </c>
    </row>
    <row r="1612" spans="1:22" x14ac:dyDescent="0.2">
      <c r="A1612">
        <v>1611</v>
      </c>
      <c r="B1612" t="s">
        <v>8753</v>
      </c>
      <c r="C1612" s="1">
        <v>41963</v>
      </c>
      <c r="D1612" s="22">
        <f>MONTH(Table12[[#This Row],[Order Date]])</f>
        <v>11</v>
      </c>
      <c r="E1612" t="s">
        <v>2784</v>
      </c>
      <c r="F1612" t="s">
        <v>2785</v>
      </c>
      <c r="G1612" s="23" t="s">
        <v>41</v>
      </c>
      <c r="H1612" s="23" t="s">
        <v>68</v>
      </c>
      <c r="I1612" t="s">
        <v>4080</v>
      </c>
      <c r="J1612" s="23" t="s">
        <v>36</v>
      </c>
      <c r="K1612" s="22">
        <v>3</v>
      </c>
      <c r="L1612" s="1">
        <v>41968</v>
      </c>
      <c r="M1612" s="22">
        <f>Table12[[#This Row],[Ship Date]]-Table12[[#This Row],[Order Date]]</f>
        <v>5</v>
      </c>
      <c r="N1612" s="23" t="s">
        <v>45</v>
      </c>
      <c r="O1612" s="23" t="s">
        <v>23</v>
      </c>
      <c r="P1612" s="23" t="s">
        <v>238</v>
      </c>
      <c r="Q1612" s="23" t="s">
        <v>133</v>
      </c>
      <c r="R1612" s="23" t="s">
        <v>237</v>
      </c>
      <c r="S1612" s="33">
        <v>0.2</v>
      </c>
      <c r="T1612" s="13">
        <v>12.96</v>
      </c>
      <c r="U1612" s="13">
        <v>4.5359999999999996</v>
      </c>
      <c r="V1612" s="55">
        <f>IFERROR(Table12[[#This Row],[Profit]]/Table12[[#This Row],[Sales]],0)</f>
        <v>0.34999999999999992</v>
      </c>
    </row>
    <row r="1613" spans="1:22" x14ac:dyDescent="0.2">
      <c r="A1613">
        <v>1612</v>
      </c>
      <c r="B1613" t="s">
        <v>8753</v>
      </c>
      <c r="C1613" s="1">
        <v>41963</v>
      </c>
      <c r="D1613" s="22">
        <f>MONTH(Table12[[#This Row],[Order Date]])</f>
        <v>11</v>
      </c>
      <c r="E1613" t="s">
        <v>5136</v>
      </c>
      <c r="F1613" t="s">
        <v>5137</v>
      </c>
      <c r="G1613" s="23" t="s">
        <v>41</v>
      </c>
      <c r="H1613" s="23" t="s">
        <v>82</v>
      </c>
      <c r="I1613" t="s">
        <v>4080</v>
      </c>
      <c r="J1613" s="23" t="s">
        <v>36</v>
      </c>
      <c r="K1613" s="22">
        <v>4</v>
      </c>
      <c r="L1613" s="1">
        <v>41968</v>
      </c>
      <c r="M1613" s="22">
        <f>Table12[[#This Row],[Ship Date]]-Table12[[#This Row],[Order Date]]</f>
        <v>5</v>
      </c>
      <c r="N1613" s="23" t="s">
        <v>45</v>
      </c>
      <c r="O1613" s="23" t="s">
        <v>23</v>
      </c>
      <c r="P1613" s="23" t="s">
        <v>238</v>
      </c>
      <c r="Q1613" s="23" t="s">
        <v>133</v>
      </c>
      <c r="R1613" s="23" t="s">
        <v>237</v>
      </c>
      <c r="S1613" s="33">
        <v>0</v>
      </c>
      <c r="T1613" s="13">
        <v>25.92</v>
      </c>
      <c r="U1613" s="13">
        <v>12.441599999999999</v>
      </c>
      <c r="V1613" s="55">
        <f>IFERROR(Table12[[#This Row],[Profit]]/Table12[[#This Row],[Sales]],0)</f>
        <v>0.47999999999999993</v>
      </c>
    </row>
    <row r="1614" spans="1:22" x14ac:dyDescent="0.2">
      <c r="A1614">
        <v>1613</v>
      </c>
      <c r="B1614" t="s">
        <v>5904</v>
      </c>
      <c r="C1614" s="1">
        <v>41964</v>
      </c>
      <c r="D1614" s="22">
        <f>MONTH(Table12[[#This Row],[Order Date]])</f>
        <v>11</v>
      </c>
      <c r="E1614" t="s">
        <v>2352</v>
      </c>
      <c r="F1614" t="s">
        <v>2353</v>
      </c>
      <c r="G1614" s="23" t="s">
        <v>64</v>
      </c>
      <c r="H1614" s="23" t="s">
        <v>65</v>
      </c>
      <c r="I1614" t="s">
        <v>5905</v>
      </c>
      <c r="J1614" s="23" t="s">
        <v>36</v>
      </c>
      <c r="K1614" s="22">
        <v>1</v>
      </c>
      <c r="L1614" s="1">
        <v>41969</v>
      </c>
      <c r="M1614" s="22">
        <f>Table12[[#This Row],[Ship Date]]-Table12[[#This Row],[Order Date]]</f>
        <v>5</v>
      </c>
      <c r="N1614" s="23" t="s">
        <v>45</v>
      </c>
      <c r="O1614" s="23" t="s">
        <v>23</v>
      </c>
      <c r="P1614" s="23" t="s">
        <v>25</v>
      </c>
      <c r="Q1614" s="23" t="s">
        <v>26</v>
      </c>
      <c r="R1614" s="23" t="s">
        <v>1294</v>
      </c>
      <c r="S1614" s="33">
        <v>0</v>
      </c>
      <c r="T1614" s="13">
        <v>36.99</v>
      </c>
      <c r="U1614" s="13">
        <v>9.9872999999999994</v>
      </c>
      <c r="V1614" s="55">
        <f>IFERROR(Table12[[#This Row],[Profit]]/Table12[[#This Row],[Sales]],0)</f>
        <v>0.26999999999999996</v>
      </c>
    </row>
    <row r="1615" spans="1:22" x14ac:dyDescent="0.2">
      <c r="A1615">
        <v>1614</v>
      </c>
      <c r="B1615" t="s">
        <v>5904</v>
      </c>
      <c r="C1615" s="1">
        <v>41964</v>
      </c>
      <c r="D1615" s="22">
        <f>MONTH(Table12[[#This Row],[Order Date]])</f>
        <v>11</v>
      </c>
      <c r="E1615" t="s">
        <v>3788</v>
      </c>
      <c r="F1615" t="s">
        <v>3789</v>
      </c>
      <c r="G1615" s="23" t="s">
        <v>41</v>
      </c>
      <c r="H1615" s="23" t="s">
        <v>82</v>
      </c>
      <c r="I1615" t="s">
        <v>5905</v>
      </c>
      <c r="J1615" s="23" t="s">
        <v>36</v>
      </c>
      <c r="K1615" s="22">
        <v>6</v>
      </c>
      <c r="L1615" s="1">
        <v>41969</v>
      </c>
      <c r="M1615" s="22">
        <f>Table12[[#This Row],[Ship Date]]-Table12[[#This Row],[Order Date]]</f>
        <v>5</v>
      </c>
      <c r="N1615" s="23" t="s">
        <v>45</v>
      </c>
      <c r="O1615" s="23" t="s">
        <v>23</v>
      </c>
      <c r="P1615" s="23" t="s">
        <v>25</v>
      </c>
      <c r="Q1615" s="23" t="s">
        <v>26</v>
      </c>
      <c r="R1615" s="23" t="s">
        <v>1294</v>
      </c>
      <c r="S1615" s="33">
        <v>0</v>
      </c>
      <c r="T1615" s="13">
        <v>629.1</v>
      </c>
      <c r="U1615" s="13">
        <v>301.96800000000002</v>
      </c>
      <c r="V1615" s="55">
        <f>IFERROR(Table12[[#This Row],[Profit]]/Table12[[#This Row],[Sales]],0)</f>
        <v>0.48000000000000004</v>
      </c>
    </row>
    <row r="1616" spans="1:22" x14ac:dyDescent="0.2">
      <c r="A1616">
        <v>1615</v>
      </c>
      <c r="B1616" t="s">
        <v>5904</v>
      </c>
      <c r="C1616" s="1">
        <v>41964</v>
      </c>
      <c r="D1616" s="22">
        <f>MONTH(Table12[[#This Row],[Order Date]])</f>
        <v>11</v>
      </c>
      <c r="E1616" t="s">
        <v>1907</v>
      </c>
      <c r="F1616" t="s">
        <v>1908</v>
      </c>
      <c r="G1616" s="23" t="s">
        <v>41</v>
      </c>
      <c r="H1616" s="23" t="s">
        <v>53</v>
      </c>
      <c r="I1616" t="s">
        <v>5905</v>
      </c>
      <c r="J1616" s="23" t="s">
        <v>36</v>
      </c>
      <c r="K1616" s="22">
        <v>3</v>
      </c>
      <c r="L1616" s="1">
        <v>41969</v>
      </c>
      <c r="M1616" s="22">
        <f>Table12[[#This Row],[Ship Date]]-Table12[[#This Row],[Order Date]]</f>
        <v>5</v>
      </c>
      <c r="N1616" s="23" t="s">
        <v>45</v>
      </c>
      <c r="O1616" s="23" t="s">
        <v>23</v>
      </c>
      <c r="P1616" s="23" t="s">
        <v>25</v>
      </c>
      <c r="Q1616" s="23" t="s">
        <v>26</v>
      </c>
      <c r="R1616" s="23" t="s">
        <v>1294</v>
      </c>
      <c r="S1616" s="33">
        <v>0</v>
      </c>
      <c r="T1616" s="13">
        <v>193.95</v>
      </c>
      <c r="U1616" s="13">
        <v>9.6974999999999998</v>
      </c>
      <c r="V1616" s="55">
        <f>IFERROR(Table12[[#This Row],[Profit]]/Table12[[#This Row],[Sales]],0)</f>
        <v>0.05</v>
      </c>
    </row>
    <row r="1617" spans="1:22" x14ac:dyDescent="0.2">
      <c r="A1617">
        <v>1616</v>
      </c>
      <c r="B1617" t="s">
        <v>5904</v>
      </c>
      <c r="C1617" s="1">
        <v>41964</v>
      </c>
      <c r="D1617" s="22">
        <f>MONTH(Table12[[#This Row],[Order Date]])</f>
        <v>11</v>
      </c>
      <c r="E1617" t="s">
        <v>60</v>
      </c>
      <c r="F1617" t="s">
        <v>62</v>
      </c>
      <c r="G1617" s="23" t="s">
        <v>41</v>
      </c>
      <c r="H1617" s="23" t="s">
        <v>61</v>
      </c>
      <c r="I1617" t="s">
        <v>5905</v>
      </c>
      <c r="J1617" s="23" t="s">
        <v>36</v>
      </c>
      <c r="K1617" s="22">
        <v>3</v>
      </c>
      <c r="L1617" s="1">
        <v>41969</v>
      </c>
      <c r="M1617" s="22">
        <f>Table12[[#This Row],[Ship Date]]-Table12[[#This Row],[Order Date]]</f>
        <v>5</v>
      </c>
      <c r="N1617" s="23" t="s">
        <v>45</v>
      </c>
      <c r="O1617" s="23" t="s">
        <v>23</v>
      </c>
      <c r="P1617" s="23" t="s">
        <v>25</v>
      </c>
      <c r="Q1617" s="23" t="s">
        <v>26</v>
      </c>
      <c r="R1617" s="23" t="s">
        <v>1294</v>
      </c>
      <c r="S1617" s="33">
        <v>0</v>
      </c>
      <c r="T1617" s="13">
        <v>5.46</v>
      </c>
      <c r="U1617" s="13">
        <v>1.4742</v>
      </c>
      <c r="V1617" s="55">
        <f>IFERROR(Table12[[#This Row],[Profit]]/Table12[[#This Row],[Sales]],0)</f>
        <v>0.27</v>
      </c>
    </row>
    <row r="1618" spans="1:22" x14ac:dyDescent="0.2">
      <c r="A1618">
        <v>1617</v>
      </c>
      <c r="B1618" t="s">
        <v>6802</v>
      </c>
      <c r="C1618" s="1">
        <v>41964</v>
      </c>
      <c r="D1618" s="22">
        <f>MONTH(Table12[[#This Row],[Order Date]])</f>
        <v>11</v>
      </c>
      <c r="E1618" t="s">
        <v>4122</v>
      </c>
      <c r="F1618" t="s">
        <v>4123</v>
      </c>
      <c r="G1618" s="23" t="s">
        <v>41</v>
      </c>
      <c r="H1618" s="23" t="s">
        <v>82</v>
      </c>
      <c r="I1618" t="s">
        <v>6803</v>
      </c>
      <c r="J1618" s="23" t="s">
        <v>36</v>
      </c>
      <c r="K1618" s="22">
        <v>2</v>
      </c>
      <c r="L1618" s="1">
        <v>41969</v>
      </c>
      <c r="M1618" s="22">
        <f>Table12[[#This Row],[Ship Date]]-Table12[[#This Row],[Order Date]]</f>
        <v>5</v>
      </c>
      <c r="N1618" s="23" t="s">
        <v>45</v>
      </c>
      <c r="O1618" s="23" t="s">
        <v>23</v>
      </c>
      <c r="P1618" s="23" t="s">
        <v>38</v>
      </c>
      <c r="Q1618" s="23" t="s">
        <v>39</v>
      </c>
      <c r="R1618" s="23" t="s">
        <v>114</v>
      </c>
      <c r="S1618" s="33">
        <v>0</v>
      </c>
      <c r="T1618" s="13">
        <v>12.96</v>
      </c>
      <c r="U1618" s="13">
        <v>6.2207999999999997</v>
      </c>
      <c r="V1618" s="55">
        <f>IFERROR(Table12[[#This Row],[Profit]]/Table12[[#This Row],[Sales]],0)</f>
        <v>0.47999999999999993</v>
      </c>
    </row>
    <row r="1619" spans="1:22" x14ac:dyDescent="0.2">
      <c r="A1619">
        <v>1618</v>
      </c>
      <c r="B1619" t="s">
        <v>7402</v>
      </c>
      <c r="C1619" s="1">
        <v>41964</v>
      </c>
      <c r="D1619" s="22">
        <f>MONTH(Table12[[#This Row],[Order Date]])</f>
        <v>11</v>
      </c>
      <c r="E1619" t="s">
        <v>154</v>
      </c>
      <c r="F1619" t="s">
        <v>156</v>
      </c>
      <c r="G1619" s="23" t="s">
        <v>41</v>
      </c>
      <c r="H1619" s="23" t="s">
        <v>155</v>
      </c>
      <c r="I1619" t="s">
        <v>7403</v>
      </c>
      <c r="J1619" s="23" t="s">
        <v>36</v>
      </c>
      <c r="K1619" s="22">
        <v>1</v>
      </c>
      <c r="L1619" s="1">
        <v>41970</v>
      </c>
      <c r="M1619" s="22">
        <f>Table12[[#This Row],[Ship Date]]-Table12[[#This Row],[Order Date]]</f>
        <v>6</v>
      </c>
      <c r="N1619" s="23" t="s">
        <v>45</v>
      </c>
      <c r="O1619" s="23" t="s">
        <v>23</v>
      </c>
      <c r="P1619" s="23" t="s">
        <v>94</v>
      </c>
      <c r="Q1619" s="23" t="s">
        <v>95</v>
      </c>
      <c r="R1619" s="23" t="s">
        <v>718</v>
      </c>
      <c r="S1619" s="33">
        <v>0.2</v>
      </c>
      <c r="T1619" s="13">
        <v>1.6319999999999999</v>
      </c>
      <c r="U1619" s="13">
        <v>0.55079999999999996</v>
      </c>
      <c r="V1619" s="55">
        <f>IFERROR(Table12[[#This Row],[Profit]]/Table12[[#This Row],[Sales]],0)</f>
        <v>0.33750000000000002</v>
      </c>
    </row>
    <row r="1620" spans="1:22" x14ac:dyDescent="0.2">
      <c r="A1620">
        <v>1619</v>
      </c>
      <c r="B1620" t="s">
        <v>7402</v>
      </c>
      <c r="C1620" s="1">
        <v>41964</v>
      </c>
      <c r="D1620" s="22">
        <f>MONTH(Table12[[#This Row],[Order Date]])</f>
        <v>11</v>
      </c>
      <c r="E1620" t="s">
        <v>3813</v>
      </c>
      <c r="F1620" t="s">
        <v>3814</v>
      </c>
      <c r="G1620" s="23" t="s">
        <v>64</v>
      </c>
      <c r="H1620" s="23" t="s">
        <v>65</v>
      </c>
      <c r="I1620" t="s">
        <v>7403</v>
      </c>
      <c r="J1620" s="23" t="s">
        <v>36</v>
      </c>
      <c r="K1620" s="22">
        <v>5</v>
      </c>
      <c r="L1620" s="1">
        <v>41970</v>
      </c>
      <c r="M1620" s="22">
        <f>Table12[[#This Row],[Ship Date]]-Table12[[#This Row],[Order Date]]</f>
        <v>6</v>
      </c>
      <c r="N1620" s="23" t="s">
        <v>45</v>
      </c>
      <c r="O1620" s="23" t="s">
        <v>23</v>
      </c>
      <c r="P1620" s="23" t="s">
        <v>94</v>
      </c>
      <c r="Q1620" s="23" t="s">
        <v>95</v>
      </c>
      <c r="R1620" s="23" t="s">
        <v>718</v>
      </c>
      <c r="S1620" s="33">
        <v>0.2</v>
      </c>
      <c r="T1620" s="13">
        <v>267.95999999999998</v>
      </c>
      <c r="U1620" s="13">
        <v>16.747499999999999</v>
      </c>
      <c r="V1620" s="55">
        <f>IFERROR(Table12[[#This Row],[Profit]]/Table12[[#This Row],[Sales]],0)</f>
        <v>6.25E-2</v>
      </c>
    </row>
    <row r="1621" spans="1:22" x14ac:dyDescent="0.2">
      <c r="A1621">
        <v>1620</v>
      </c>
      <c r="B1621" t="s">
        <v>8858</v>
      </c>
      <c r="C1621" s="1">
        <v>41964</v>
      </c>
      <c r="D1621" s="22">
        <f>MONTH(Table12[[#This Row],[Order Date]])</f>
        <v>11</v>
      </c>
      <c r="E1621" t="s">
        <v>3979</v>
      </c>
      <c r="F1621" t="s">
        <v>3980</v>
      </c>
      <c r="G1621" s="23" t="s">
        <v>41</v>
      </c>
      <c r="H1621" s="23" t="s">
        <v>82</v>
      </c>
      <c r="I1621" t="s">
        <v>5225</v>
      </c>
      <c r="J1621" s="23" t="s">
        <v>92</v>
      </c>
      <c r="K1621" s="22">
        <v>2</v>
      </c>
      <c r="L1621" s="1">
        <v>41969</v>
      </c>
      <c r="M1621" s="22">
        <f>Table12[[#This Row],[Ship Date]]-Table12[[#This Row],[Order Date]]</f>
        <v>5</v>
      </c>
      <c r="N1621" s="23" t="s">
        <v>45</v>
      </c>
      <c r="O1621" s="23" t="s">
        <v>23</v>
      </c>
      <c r="P1621" s="23" t="s">
        <v>38</v>
      </c>
      <c r="Q1621" s="23" t="s">
        <v>39</v>
      </c>
      <c r="R1621" s="23" t="s">
        <v>114</v>
      </c>
      <c r="S1621" s="33">
        <v>0</v>
      </c>
      <c r="T1621" s="13">
        <v>6.58</v>
      </c>
      <c r="U1621" s="13">
        <v>3.0268000000000002</v>
      </c>
      <c r="V1621" s="55">
        <f>IFERROR(Table12[[#This Row],[Profit]]/Table12[[#This Row],[Sales]],0)</f>
        <v>0.46</v>
      </c>
    </row>
    <row r="1622" spans="1:22" x14ac:dyDescent="0.2">
      <c r="A1622">
        <v>1621</v>
      </c>
      <c r="B1622" t="s">
        <v>8858</v>
      </c>
      <c r="C1622" s="1">
        <v>41964</v>
      </c>
      <c r="D1622" s="22">
        <f>MONTH(Table12[[#This Row],[Order Date]])</f>
        <v>11</v>
      </c>
      <c r="E1622" t="s">
        <v>5843</v>
      </c>
      <c r="F1622" t="s">
        <v>5844</v>
      </c>
      <c r="G1622" s="23" t="s">
        <v>64</v>
      </c>
      <c r="H1622" s="23" t="s">
        <v>144</v>
      </c>
      <c r="I1622" t="s">
        <v>5225</v>
      </c>
      <c r="J1622" s="23" t="s">
        <v>92</v>
      </c>
      <c r="K1622" s="22">
        <v>1</v>
      </c>
      <c r="L1622" s="1">
        <v>41969</v>
      </c>
      <c r="M1622" s="22">
        <f>Table12[[#This Row],[Ship Date]]-Table12[[#This Row],[Order Date]]</f>
        <v>5</v>
      </c>
      <c r="N1622" s="23" t="s">
        <v>45</v>
      </c>
      <c r="O1622" s="23" t="s">
        <v>23</v>
      </c>
      <c r="P1622" s="23" t="s">
        <v>38</v>
      </c>
      <c r="Q1622" s="23" t="s">
        <v>39</v>
      </c>
      <c r="R1622" s="23" t="s">
        <v>114</v>
      </c>
      <c r="S1622" s="33">
        <v>0</v>
      </c>
      <c r="T1622" s="13">
        <v>94.99</v>
      </c>
      <c r="U1622" s="13">
        <v>28.497</v>
      </c>
      <c r="V1622" s="55">
        <f>IFERROR(Table12[[#This Row],[Profit]]/Table12[[#This Row],[Sales]],0)</f>
        <v>0.3</v>
      </c>
    </row>
    <row r="1623" spans="1:22" x14ac:dyDescent="0.2">
      <c r="A1623">
        <v>1622</v>
      </c>
      <c r="B1623" t="s">
        <v>5052</v>
      </c>
      <c r="C1623" s="1">
        <v>41965</v>
      </c>
      <c r="D1623" s="22">
        <f>MONTH(Table12[[#This Row],[Order Date]])</f>
        <v>11</v>
      </c>
      <c r="E1623" t="s">
        <v>3076</v>
      </c>
      <c r="F1623" t="s">
        <v>3077</v>
      </c>
      <c r="G1623" s="23" t="s">
        <v>41</v>
      </c>
      <c r="H1623" s="23" t="s">
        <v>155</v>
      </c>
      <c r="I1623" t="s">
        <v>193</v>
      </c>
      <c r="J1623" s="23" t="s">
        <v>36</v>
      </c>
      <c r="K1623" s="22">
        <v>3</v>
      </c>
      <c r="L1623" s="1">
        <v>41970</v>
      </c>
      <c r="M1623" s="22">
        <f>Table12[[#This Row],[Ship Date]]-Table12[[#This Row],[Order Date]]</f>
        <v>5</v>
      </c>
      <c r="N1623" s="23" t="s">
        <v>45</v>
      </c>
      <c r="O1623" s="23" t="s">
        <v>23</v>
      </c>
      <c r="P1623" s="23" t="s">
        <v>1125</v>
      </c>
      <c r="Q1623" s="23" t="s">
        <v>26</v>
      </c>
      <c r="R1623" s="23" t="s">
        <v>440</v>
      </c>
      <c r="S1623" s="33">
        <v>0</v>
      </c>
      <c r="T1623" s="13">
        <v>16.23</v>
      </c>
      <c r="U1623" s="13">
        <v>7.9527000000000001</v>
      </c>
      <c r="V1623" s="55">
        <f>IFERROR(Table12[[#This Row],[Profit]]/Table12[[#This Row],[Sales]],0)</f>
        <v>0.49</v>
      </c>
    </row>
    <row r="1624" spans="1:22" x14ac:dyDescent="0.2">
      <c r="A1624">
        <v>1623</v>
      </c>
      <c r="B1624" t="s">
        <v>5052</v>
      </c>
      <c r="C1624" s="1">
        <v>41965</v>
      </c>
      <c r="D1624" s="22">
        <f>MONTH(Table12[[#This Row],[Order Date]])</f>
        <v>11</v>
      </c>
      <c r="E1624" t="s">
        <v>2288</v>
      </c>
      <c r="F1624" t="s">
        <v>2289</v>
      </c>
      <c r="G1624" s="23" t="s">
        <v>41</v>
      </c>
      <c r="H1624" s="23" t="s">
        <v>68</v>
      </c>
      <c r="I1624" t="s">
        <v>193</v>
      </c>
      <c r="J1624" s="23" t="s">
        <v>36</v>
      </c>
      <c r="K1624" s="22">
        <v>5</v>
      </c>
      <c r="L1624" s="1">
        <v>41970</v>
      </c>
      <c r="M1624" s="22">
        <f>Table12[[#This Row],[Ship Date]]-Table12[[#This Row],[Order Date]]</f>
        <v>5</v>
      </c>
      <c r="N1624" s="23" t="s">
        <v>45</v>
      </c>
      <c r="O1624" s="23" t="s">
        <v>23</v>
      </c>
      <c r="P1624" s="23" t="s">
        <v>1125</v>
      </c>
      <c r="Q1624" s="23" t="s">
        <v>26</v>
      </c>
      <c r="R1624" s="23" t="s">
        <v>440</v>
      </c>
      <c r="S1624" s="33">
        <v>0</v>
      </c>
      <c r="T1624" s="13">
        <v>319.89999999999998</v>
      </c>
      <c r="U1624" s="13">
        <v>156.751</v>
      </c>
      <c r="V1624" s="55">
        <f>IFERROR(Table12[[#This Row],[Profit]]/Table12[[#This Row],[Sales]],0)</f>
        <v>0.49000000000000005</v>
      </c>
    </row>
    <row r="1625" spans="1:22" x14ac:dyDescent="0.2">
      <c r="A1625">
        <v>1624</v>
      </c>
      <c r="B1625" t="s">
        <v>5052</v>
      </c>
      <c r="C1625" s="1">
        <v>41965</v>
      </c>
      <c r="D1625" s="22">
        <f>MONTH(Table12[[#This Row],[Order Date]])</f>
        <v>11</v>
      </c>
      <c r="E1625" t="s">
        <v>590</v>
      </c>
      <c r="F1625" t="s">
        <v>591</v>
      </c>
      <c r="G1625" s="23" t="s">
        <v>41</v>
      </c>
      <c r="H1625" s="23" t="s">
        <v>155</v>
      </c>
      <c r="I1625" t="s">
        <v>193</v>
      </c>
      <c r="J1625" s="23" t="s">
        <v>36</v>
      </c>
      <c r="K1625" s="22">
        <v>2</v>
      </c>
      <c r="L1625" s="1">
        <v>41970</v>
      </c>
      <c r="M1625" s="22">
        <f>Table12[[#This Row],[Ship Date]]-Table12[[#This Row],[Order Date]]</f>
        <v>5</v>
      </c>
      <c r="N1625" s="23" t="s">
        <v>45</v>
      </c>
      <c r="O1625" s="23" t="s">
        <v>23</v>
      </c>
      <c r="P1625" s="23" t="s">
        <v>1125</v>
      </c>
      <c r="Q1625" s="23" t="s">
        <v>26</v>
      </c>
      <c r="R1625" s="23" t="s">
        <v>440</v>
      </c>
      <c r="S1625" s="33">
        <v>0</v>
      </c>
      <c r="T1625" s="13">
        <v>11.36</v>
      </c>
      <c r="U1625" s="13">
        <v>5.3391999999999999</v>
      </c>
      <c r="V1625" s="55">
        <f>IFERROR(Table12[[#This Row],[Profit]]/Table12[[#This Row],[Sales]],0)</f>
        <v>0.47000000000000003</v>
      </c>
    </row>
    <row r="1626" spans="1:22" x14ac:dyDescent="0.2">
      <c r="A1626">
        <v>1625</v>
      </c>
      <c r="B1626" t="s">
        <v>5052</v>
      </c>
      <c r="C1626" s="1">
        <v>41965</v>
      </c>
      <c r="D1626" s="22">
        <f>MONTH(Table12[[#This Row],[Order Date]])</f>
        <v>11</v>
      </c>
      <c r="E1626" t="s">
        <v>5053</v>
      </c>
      <c r="F1626" t="s">
        <v>5054</v>
      </c>
      <c r="G1626" s="23" t="s">
        <v>41</v>
      </c>
      <c r="H1626" s="23" t="s">
        <v>71</v>
      </c>
      <c r="I1626" t="s">
        <v>193</v>
      </c>
      <c r="J1626" s="23" t="s">
        <v>36</v>
      </c>
      <c r="K1626" s="22">
        <v>3</v>
      </c>
      <c r="L1626" s="1">
        <v>41970</v>
      </c>
      <c r="M1626" s="22">
        <f>Table12[[#This Row],[Ship Date]]-Table12[[#This Row],[Order Date]]</f>
        <v>5</v>
      </c>
      <c r="N1626" s="23" t="s">
        <v>45</v>
      </c>
      <c r="O1626" s="23" t="s">
        <v>23</v>
      </c>
      <c r="P1626" s="23" t="s">
        <v>1125</v>
      </c>
      <c r="Q1626" s="23" t="s">
        <v>26</v>
      </c>
      <c r="R1626" s="23" t="s">
        <v>440</v>
      </c>
      <c r="S1626" s="33">
        <v>0</v>
      </c>
      <c r="T1626" s="13">
        <v>675.12</v>
      </c>
      <c r="U1626" s="13">
        <v>290.30160000000001</v>
      </c>
      <c r="V1626" s="55">
        <f>IFERROR(Table12[[#This Row],[Profit]]/Table12[[#This Row],[Sales]],0)</f>
        <v>0.43</v>
      </c>
    </row>
    <row r="1627" spans="1:22" x14ac:dyDescent="0.2">
      <c r="A1627">
        <v>1626</v>
      </c>
      <c r="B1627" t="s">
        <v>5901</v>
      </c>
      <c r="C1627" s="1">
        <v>41965</v>
      </c>
      <c r="D1627" s="22">
        <f>MONTH(Table12[[#This Row],[Order Date]])</f>
        <v>11</v>
      </c>
      <c r="E1627" t="s">
        <v>3468</v>
      </c>
      <c r="F1627" t="s">
        <v>3469</v>
      </c>
      <c r="G1627" s="23" t="s">
        <v>41</v>
      </c>
      <c r="H1627" s="23" t="s">
        <v>68</v>
      </c>
      <c r="I1627" t="s">
        <v>5796</v>
      </c>
      <c r="J1627" s="23" t="s">
        <v>22</v>
      </c>
      <c r="K1627" s="22">
        <v>1</v>
      </c>
      <c r="L1627" s="1">
        <v>41968</v>
      </c>
      <c r="M1627" s="22">
        <f>Table12[[#This Row],[Ship Date]]-Table12[[#This Row],[Order Date]]</f>
        <v>3</v>
      </c>
      <c r="N1627" s="23" t="s">
        <v>169</v>
      </c>
      <c r="O1627" s="23" t="s">
        <v>23</v>
      </c>
      <c r="P1627" s="23" t="s">
        <v>94</v>
      </c>
      <c r="Q1627" s="23" t="s">
        <v>95</v>
      </c>
      <c r="R1627" s="23" t="s">
        <v>533</v>
      </c>
      <c r="S1627" s="33">
        <v>0.8</v>
      </c>
      <c r="T1627" s="13">
        <v>6.9279999999999999</v>
      </c>
      <c r="U1627" s="13">
        <v>-11.0848</v>
      </c>
      <c r="V1627" s="55">
        <f>IFERROR(Table12[[#This Row],[Profit]]/Table12[[#This Row],[Sales]],0)</f>
        <v>-1.5999999999999999</v>
      </c>
    </row>
    <row r="1628" spans="1:22" x14ac:dyDescent="0.2">
      <c r="A1628">
        <v>1627</v>
      </c>
      <c r="B1628" t="s">
        <v>6314</v>
      </c>
      <c r="C1628" s="1">
        <v>41965</v>
      </c>
      <c r="D1628" s="22">
        <f>MONTH(Table12[[#This Row],[Order Date]])</f>
        <v>11</v>
      </c>
      <c r="E1628" t="s">
        <v>4380</v>
      </c>
      <c r="F1628" t="s">
        <v>4381</v>
      </c>
      <c r="G1628" s="23" t="s">
        <v>41</v>
      </c>
      <c r="H1628" s="23" t="s">
        <v>68</v>
      </c>
      <c r="I1628" t="s">
        <v>5582</v>
      </c>
      <c r="J1628" s="23" t="s">
        <v>92</v>
      </c>
      <c r="K1628" s="22">
        <v>5</v>
      </c>
      <c r="L1628" s="1">
        <v>41971</v>
      </c>
      <c r="M1628" s="22">
        <f>Table12[[#This Row],[Ship Date]]-Table12[[#This Row],[Order Date]]</f>
        <v>6</v>
      </c>
      <c r="N1628" s="23" t="s">
        <v>45</v>
      </c>
      <c r="O1628" s="23" t="s">
        <v>23</v>
      </c>
      <c r="P1628" s="23" t="s">
        <v>189</v>
      </c>
      <c r="Q1628" s="23" t="s">
        <v>95</v>
      </c>
      <c r="R1628" s="23" t="s">
        <v>5628</v>
      </c>
      <c r="S1628" s="33">
        <v>0.8</v>
      </c>
      <c r="T1628" s="13">
        <v>9.98</v>
      </c>
      <c r="U1628" s="13">
        <v>-16.466999999999999</v>
      </c>
      <c r="V1628" s="55">
        <f>IFERROR(Table12[[#This Row],[Profit]]/Table12[[#This Row],[Sales]],0)</f>
        <v>-1.65</v>
      </c>
    </row>
    <row r="1629" spans="1:22" x14ac:dyDescent="0.2">
      <c r="A1629">
        <v>1628</v>
      </c>
      <c r="B1629" t="s">
        <v>6383</v>
      </c>
      <c r="C1629" s="1">
        <v>41965</v>
      </c>
      <c r="D1629" s="22">
        <f>MONTH(Table12[[#This Row],[Order Date]])</f>
        <v>11</v>
      </c>
      <c r="E1629" t="s">
        <v>4949</v>
      </c>
      <c r="F1629" t="s">
        <v>4950</v>
      </c>
      <c r="G1629" s="23" t="s">
        <v>41</v>
      </c>
      <c r="H1629" s="23" t="s">
        <v>82</v>
      </c>
      <c r="I1629" t="s">
        <v>6384</v>
      </c>
      <c r="J1629" s="23" t="s">
        <v>22</v>
      </c>
      <c r="K1629" s="22">
        <v>9</v>
      </c>
      <c r="L1629" s="1">
        <v>41969</v>
      </c>
      <c r="M1629" s="22">
        <f>Table12[[#This Row],[Ship Date]]-Table12[[#This Row],[Order Date]]</f>
        <v>4</v>
      </c>
      <c r="N1629" s="23" t="s">
        <v>45</v>
      </c>
      <c r="O1629" s="23" t="s">
        <v>23</v>
      </c>
      <c r="P1629" s="23" t="s">
        <v>38</v>
      </c>
      <c r="Q1629" s="23" t="s">
        <v>39</v>
      </c>
      <c r="R1629" s="23" t="s">
        <v>37</v>
      </c>
      <c r="S1629" s="33">
        <v>0</v>
      </c>
      <c r="T1629" s="13">
        <v>53.82</v>
      </c>
      <c r="U1629" s="13">
        <v>24.219000000000001</v>
      </c>
      <c r="V1629" s="55">
        <f>IFERROR(Table12[[#This Row],[Profit]]/Table12[[#This Row],[Sales]],0)</f>
        <v>0.45</v>
      </c>
    </row>
    <row r="1630" spans="1:22" x14ac:dyDescent="0.2">
      <c r="A1630">
        <v>1629</v>
      </c>
      <c r="B1630" t="s">
        <v>8333</v>
      </c>
      <c r="C1630" s="1">
        <v>41965</v>
      </c>
      <c r="D1630" s="22">
        <f>MONTH(Table12[[#This Row],[Order Date]])</f>
        <v>11</v>
      </c>
      <c r="E1630" t="s">
        <v>5078</v>
      </c>
      <c r="F1630" t="s">
        <v>5079</v>
      </c>
      <c r="G1630" s="23" t="s">
        <v>41</v>
      </c>
      <c r="H1630" s="23" t="s">
        <v>82</v>
      </c>
      <c r="I1630" t="s">
        <v>3833</v>
      </c>
      <c r="J1630" s="23" t="s">
        <v>36</v>
      </c>
      <c r="K1630" s="22">
        <v>2</v>
      </c>
      <c r="L1630" s="1">
        <v>41968</v>
      </c>
      <c r="M1630" s="22">
        <f>Table12[[#This Row],[Ship Date]]-Table12[[#This Row],[Order Date]]</f>
        <v>3</v>
      </c>
      <c r="N1630" s="23" t="s">
        <v>169</v>
      </c>
      <c r="O1630" s="23" t="s">
        <v>23</v>
      </c>
      <c r="P1630" s="23" t="s">
        <v>1125</v>
      </c>
      <c r="Q1630" s="23" t="s">
        <v>26</v>
      </c>
      <c r="R1630" s="23" t="s">
        <v>1537</v>
      </c>
      <c r="S1630" s="33">
        <v>0</v>
      </c>
      <c r="T1630" s="13">
        <v>9.9600000000000009</v>
      </c>
      <c r="U1630" s="13">
        <v>4.8803999999999998</v>
      </c>
      <c r="V1630" s="55">
        <f>IFERROR(Table12[[#This Row],[Profit]]/Table12[[#This Row],[Sales]],0)</f>
        <v>0.48999999999999994</v>
      </c>
    </row>
    <row r="1631" spans="1:22" x14ac:dyDescent="0.2">
      <c r="A1631">
        <v>1630</v>
      </c>
      <c r="B1631" t="s">
        <v>3672</v>
      </c>
      <c r="C1631" s="1">
        <v>41966</v>
      </c>
      <c r="D1631" s="22">
        <f>MONTH(Table12[[#This Row],[Order Date]])</f>
        <v>11</v>
      </c>
      <c r="E1631" t="s">
        <v>343</v>
      </c>
      <c r="F1631" t="s">
        <v>344</v>
      </c>
      <c r="G1631" s="23" t="s">
        <v>28</v>
      </c>
      <c r="H1631" s="23" t="s">
        <v>32</v>
      </c>
      <c r="I1631" t="s">
        <v>1402</v>
      </c>
      <c r="J1631" s="23" t="s">
        <v>22</v>
      </c>
      <c r="K1631" s="22">
        <v>5</v>
      </c>
      <c r="L1631" s="1">
        <v>41968</v>
      </c>
      <c r="M1631" s="22">
        <f>Table12[[#This Row],[Ship Date]]-Table12[[#This Row],[Order Date]]</f>
        <v>2</v>
      </c>
      <c r="N1631" s="23" t="s">
        <v>169</v>
      </c>
      <c r="O1631" s="23" t="s">
        <v>23</v>
      </c>
      <c r="P1631" s="23" t="s">
        <v>38</v>
      </c>
      <c r="Q1631" s="23" t="s">
        <v>39</v>
      </c>
      <c r="R1631" s="23" t="s">
        <v>37</v>
      </c>
      <c r="S1631" s="33">
        <v>0.2</v>
      </c>
      <c r="T1631" s="13">
        <v>603.91999999999996</v>
      </c>
      <c r="U1631" s="13">
        <v>-67.941000000000003</v>
      </c>
      <c r="V1631" s="55">
        <f>IFERROR(Table12[[#This Row],[Profit]]/Table12[[#This Row],[Sales]],0)</f>
        <v>-0.11250000000000002</v>
      </c>
    </row>
    <row r="1632" spans="1:22" x14ac:dyDescent="0.2">
      <c r="A1632">
        <v>1631</v>
      </c>
      <c r="B1632" t="s">
        <v>3672</v>
      </c>
      <c r="C1632" s="1">
        <v>41966</v>
      </c>
      <c r="D1632" s="22">
        <f>MONTH(Table12[[#This Row],[Order Date]])</f>
        <v>11</v>
      </c>
      <c r="E1632" t="s">
        <v>3673</v>
      </c>
      <c r="F1632" t="s">
        <v>3674</v>
      </c>
      <c r="G1632" s="23" t="s">
        <v>41</v>
      </c>
      <c r="H1632" s="23" t="s">
        <v>155</v>
      </c>
      <c r="I1632" t="s">
        <v>1402</v>
      </c>
      <c r="J1632" s="23" t="s">
        <v>22</v>
      </c>
      <c r="K1632" s="22">
        <v>3</v>
      </c>
      <c r="L1632" s="1">
        <v>41968</v>
      </c>
      <c r="M1632" s="22">
        <f>Table12[[#This Row],[Ship Date]]-Table12[[#This Row],[Order Date]]</f>
        <v>2</v>
      </c>
      <c r="N1632" s="23" t="s">
        <v>169</v>
      </c>
      <c r="O1632" s="23" t="s">
        <v>23</v>
      </c>
      <c r="P1632" s="23" t="s">
        <v>38</v>
      </c>
      <c r="Q1632" s="23" t="s">
        <v>39</v>
      </c>
      <c r="R1632" s="23" t="s">
        <v>37</v>
      </c>
      <c r="S1632" s="33">
        <v>0</v>
      </c>
      <c r="T1632" s="13">
        <v>21.84</v>
      </c>
      <c r="U1632" s="13">
        <v>10.4832</v>
      </c>
      <c r="V1632" s="55">
        <f>IFERROR(Table12[[#This Row],[Profit]]/Table12[[#This Row],[Sales]],0)</f>
        <v>0.48</v>
      </c>
    </row>
    <row r="1633" spans="1:22" x14ac:dyDescent="0.2">
      <c r="A1633">
        <v>1632</v>
      </c>
      <c r="B1633" t="s">
        <v>3672</v>
      </c>
      <c r="C1633" s="1">
        <v>41966</v>
      </c>
      <c r="D1633" s="22">
        <f>MONTH(Table12[[#This Row],[Order Date]])</f>
        <v>11</v>
      </c>
      <c r="E1633" t="s">
        <v>3675</v>
      </c>
      <c r="F1633" t="s">
        <v>3676</v>
      </c>
      <c r="G1633" s="23" t="s">
        <v>64</v>
      </c>
      <c r="H1633" s="23" t="s">
        <v>144</v>
      </c>
      <c r="I1633" t="s">
        <v>1402</v>
      </c>
      <c r="J1633" s="23" t="s">
        <v>22</v>
      </c>
      <c r="K1633" s="22">
        <v>1</v>
      </c>
      <c r="L1633" s="1">
        <v>41968</v>
      </c>
      <c r="M1633" s="22">
        <f>Table12[[#This Row],[Ship Date]]-Table12[[#This Row],[Order Date]]</f>
        <v>2</v>
      </c>
      <c r="N1633" s="23" t="s">
        <v>169</v>
      </c>
      <c r="O1633" s="23" t="s">
        <v>23</v>
      </c>
      <c r="P1633" s="23" t="s">
        <v>38</v>
      </c>
      <c r="Q1633" s="23" t="s">
        <v>39</v>
      </c>
      <c r="R1633" s="23" t="s">
        <v>37</v>
      </c>
      <c r="S1633" s="33">
        <v>0</v>
      </c>
      <c r="T1633" s="13">
        <v>29.99</v>
      </c>
      <c r="U1633" s="13">
        <v>6.2979000000000003</v>
      </c>
      <c r="V1633" s="55">
        <f>IFERROR(Table12[[#This Row],[Profit]]/Table12[[#This Row],[Sales]],0)</f>
        <v>0.21000000000000002</v>
      </c>
    </row>
    <row r="1634" spans="1:22" x14ac:dyDescent="0.2">
      <c r="A1634">
        <v>1633</v>
      </c>
      <c r="B1634" t="s">
        <v>3672</v>
      </c>
      <c r="C1634" s="1">
        <v>41966</v>
      </c>
      <c r="D1634" s="22">
        <f>MONTH(Table12[[#This Row],[Order Date]])</f>
        <v>11</v>
      </c>
      <c r="E1634" t="s">
        <v>1600</v>
      </c>
      <c r="F1634" t="s">
        <v>1601</v>
      </c>
      <c r="G1634" s="23" t="s">
        <v>28</v>
      </c>
      <c r="H1634" s="23" t="s">
        <v>32</v>
      </c>
      <c r="I1634" t="s">
        <v>1402</v>
      </c>
      <c r="J1634" s="23" t="s">
        <v>22</v>
      </c>
      <c r="K1634" s="22">
        <v>2</v>
      </c>
      <c r="L1634" s="1">
        <v>41968</v>
      </c>
      <c r="M1634" s="22">
        <f>Table12[[#This Row],[Ship Date]]-Table12[[#This Row],[Order Date]]</f>
        <v>2</v>
      </c>
      <c r="N1634" s="23" t="s">
        <v>169</v>
      </c>
      <c r="O1634" s="23" t="s">
        <v>23</v>
      </c>
      <c r="P1634" s="23" t="s">
        <v>38</v>
      </c>
      <c r="Q1634" s="23" t="s">
        <v>39</v>
      </c>
      <c r="R1634" s="23" t="s">
        <v>37</v>
      </c>
      <c r="S1634" s="33">
        <v>0.2</v>
      </c>
      <c r="T1634" s="13">
        <v>381.44</v>
      </c>
      <c r="U1634" s="13">
        <v>23.84</v>
      </c>
      <c r="V1634" s="55">
        <f>IFERROR(Table12[[#This Row],[Profit]]/Table12[[#This Row],[Sales]],0)</f>
        <v>6.25E-2</v>
      </c>
    </row>
    <row r="1635" spans="1:22" x14ac:dyDescent="0.2">
      <c r="A1635">
        <v>1634</v>
      </c>
      <c r="B1635" t="s">
        <v>4410</v>
      </c>
      <c r="C1635" s="1">
        <v>41966</v>
      </c>
      <c r="D1635" s="22">
        <f>MONTH(Table12[[#This Row],[Order Date]])</f>
        <v>11</v>
      </c>
      <c r="E1635" t="s">
        <v>1476</v>
      </c>
      <c r="F1635" t="s">
        <v>1477</v>
      </c>
      <c r="G1635" s="23" t="s">
        <v>41</v>
      </c>
      <c r="H1635" s="23" t="s">
        <v>42</v>
      </c>
      <c r="I1635" t="s">
        <v>3924</v>
      </c>
      <c r="J1635" s="23" t="s">
        <v>92</v>
      </c>
      <c r="K1635" s="22">
        <v>2</v>
      </c>
      <c r="L1635" s="1">
        <v>41972</v>
      </c>
      <c r="M1635" s="22">
        <f>Table12[[#This Row],[Ship Date]]-Table12[[#This Row],[Order Date]]</f>
        <v>6</v>
      </c>
      <c r="N1635" s="23" t="s">
        <v>45</v>
      </c>
      <c r="O1635" s="23" t="s">
        <v>23</v>
      </c>
      <c r="P1635" s="23" t="s">
        <v>94</v>
      </c>
      <c r="Q1635" s="23" t="s">
        <v>95</v>
      </c>
      <c r="R1635" s="23" t="s">
        <v>165</v>
      </c>
      <c r="S1635" s="33">
        <v>0.2</v>
      </c>
      <c r="T1635" s="13">
        <v>23.68</v>
      </c>
      <c r="U1635" s="13">
        <v>8.8800000000000008</v>
      </c>
      <c r="V1635" s="55">
        <f>IFERROR(Table12[[#This Row],[Profit]]/Table12[[#This Row],[Sales]],0)</f>
        <v>0.37500000000000006</v>
      </c>
    </row>
    <row r="1636" spans="1:22" x14ac:dyDescent="0.2">
      <c r="A1636">
        <v>1635</v>
      </c>
      <c r="B1636" t="s">
        <v>6157</v>
      </c>
      <c r="C1636" s="1">
        <v>41966</v>
      </c>
      <c r="D1636" s="22">
        <f>MONTH(Table12[[#This Row],[Order Date]])</f>
        <v>11</v>
      </c>
      <c r="E1636" t="s">
        <v>2543</v>
      </c>
      <c r="F1636" t="s">
        <v>814</v>
      </c>
      <c r="G1636" s="23" t="s">
        <v>28</v>
      </c>
      <c r="H1636" s="23" t="s">
        <v>58</v>
      </c>
      <c r="I1636" t="s">
        <v>1233</v>
      </c>
      <c r="J1636" s="23" t="s">
        <v>36</v>
      </c>
      <c r="K1636" s="22">
        <v>2</v>
      </c>
      <c r="L1636" s="1">
        <v>41970</v>
      </c>
      <c r="M1636" s="22">
        <f>Table12[[#This Row],[Ship Date]]-Table12[[#This Row],[Order Date]]</f>
        <v>4</v>
      </c>
      <c r="N1636" s="23" t="s">
        <v>45</v>
      </c>
      <c r="O1636" s="23" t="s">
        <v>23</v>
      </c>
      <c r="P1636" s="23" t="s">
        <v>94</v>
      </c>
      <c r="Q1636" s="23" t="s">
        <v>95</v>
      </c>
      <c r="R1636" s="23" t="s">
        <v>4444</v>
      </c>
      <c r="S1636" s="33">
        <v>0.6</v>
      </c>
      <c r="T1636" s="13">
        <v>6.3680000000000003</v>
      </c>
      <c r="U1636" s="13">
        <v>-2.5472000000000001</v>
      </c>
      <c r="V1636" s="55">
        <f>IFERROR(Table12[[#This Row],[Profit]]/Table12[[#This Row],[Sales]],0)</f>
        <v>-0.4</v>
      </c>
    </row>
    <row r="1637" spans="1:22" x14ac:dyDescent="0.2">
      <c r="A1637">
        <v>1636</v>
      </c>
      <c r="B1637" t="s">
        <v>6157</v>
      </c>
      <c r="C1637" s="1">
        <v>41966</v>
      </c>
      <c r="D1637" s="22">
        <f>MONTH(Table12[[#This Row],[Order Date]])</f>
        <v>11</v>
      </c>
      <c r="E1637" t="s">
        <v>3688</v>
      </c>
      <c r="F1637" t="s">
        <v>3689</v>
      </c>
      <c r="G1637" s="23" t="s">
        <v>41</v>
      </c>
      <c r="H1637" s="23" t="s">
        <v>71</v>
      </c>
      <c r="I1637" t="s">
        <v>1233</v>
      </c>
      <c r="J1637" s="23" t="s">
        <v>36</v>
      </c>
      <c r="K1637" s="22">
        <v>3</v>
      </c>
      <c r="L1637" s="1">
        <v>41970</v>
      </c>
      <c r="M1637" s="22">
        <f>Table12[[#This Row],[Ship Date]]-Table12[[#This Row],[Order Date]]</f>
        <v>4</v>
      </c>
      <c r="N1637" s="23" t="s">
        <v>45</v>
      </c>
      <c r="O1637" s="23" t="s">
        <v>23</v>
      </c>
      <c r="P1637" s="23" t="s">
        <v>94</v>
      </c>
      <c r="Q1637" s="23" t="s">
        <v>95</v>
      </c>
      <c r="R1637" s="23" t="s">
        <v>4444</v>
      </c>
      <c r="S1637" s="33">
        <v>0.8</v>
      </c>
      <c r="T1637" s="13">
        <v>34.176000000000002</v>
      </c>
      <c r="U1637" s="13">
        <v>-87.148799999999994</v>
      </c>
      <c r="V1637" s="55">
        <f>IFERROR(Table12[[#This Row],[Profit]]/Table12[[#This Row],[Sales]],0)</f>
        <v>-2.5499999999999998</v>
      </c>
    </row>
    <row r="1638" spans="1:22" x14ac:dyDescent="0.2">
      <c r="A1638">
        <v>1637</v>
      </c>
      <c r="B1638" t="s">
        <v>6157</v>
      </c>
      <c r="C1638" s="1">
        <v>41966</v>
      </c>
      <c r="D1638" s="22">
        <f>MONTH(Table12[[#This Row],[Order Date]])</f>
        <v>11</v>
      </c>
      <c r="E1638" t="s">
        <v>5279</v>
      </c>
      <c r="F1638" t="s">
        <v>5280</v>
      </c>
      <c r="G1638" s="23" t="s">
        <v>64</v>
      </c>
      <c r="H1638" s="23" t="s">
        <v>144</v>
      </c>
      <c r="I1638" t="s">
        <v>1233</v>
      </c>
      <c r="J1638" s="23" t="s">
        <v>36</v>
      </c>
      <c r="K1638" s="22">
        <v>7</v>
      </c>
      <c r="L1638" s="1">
        <v>41970</v>
      </c>
      <c r="M1638" s="22">
        <f>Table12[[#This Row],[Ship Date]]-Table12[[#This Row],[Order Date]]</f>
        <v>4</v>
      </c>
      <c r="N1638" s="23" t="s">
        <v>45</v>
      </c>
      <c r="O1638" s="23" t="s">
        <v>23</v>
      </c>
      <c r="P1638" s="23" t="s">
        <v>94</v>
      </c>
      <c r="Q1638" s="23" t="s">
        <v>95</v>
      </c>
      <c r="R1638" s="23" t="s">
        <v>4444</v>
      </c>
      <c r="S1638" s="33">
        <v>0.2</v>
      </c>
      <c r="T1638" s="13">
        <v>5.5439999999999996</v>
      </c>
      <c r="U1638" s="13">
        <v>1.6632</v>
      </c>
      <c r="V1638" s="55">
        <f>IFERROR(Table12[[#This Row],[Profit]]/Table12[[#This Row],[Sales]],0)</f>
        <v>0.30000000000000004</v>
      </c>
    </row>
    <row r="1639" spans="1:22" x14ac:dyDescent="0.2">
      <c r="A1639">
        <v>1638</v>
      </c>
      <c r="B1639" t="s">
        <v>7042</v>
      </c>
      <c r="C1639" s="1">
        <v>41966</v>
      </c>
      <c r="D1639" s="22">
        <f>MONTH(Table12[[#This Row],[Order Date]])</f>
        <v>11</v>
      </c>
      <c r="E1639" t="s">
        <v>4465</v>
      </c>
      <c r="F1639" t="s">
        <v>4466</v>
      </c>
      <c r="G1639" s="23" t="s">
        <v>41</v>
      </c>
      <c r="H1639" s="23" t="s">
        <v>155</v>
      </c>
      <c r="I1639" t="s">
        <v>4016</v>
      </c>
      <c r="J1639" s="23" t="s">
        <v>36</v>
      </c>
      <c r="K1639" s="22">
        <v>3</v>
      </c>
      <c r="L1639" s="1">
        <v>41971</v>
      </c>
      <c r="M1639" s="22">
        <f>Table12[[#This Row],[Ship Date]]-Table12[[#This Row],[Order Date]]</f>
        <v>5</v>
      </c>
      <c r="N1639" s="23" t="s">
        <v>45</v>
      </c>
      <c r="O1639" s="23" t="s">
        <v>23</v>
      </c>
      <c r="P1639" s="23" t="s">
        <v>132</v>
      </c>
      <c r="Q1639" s="23" t="s">
        <v>133</v>
      </c>
      <c r="R1639" s="23" t="s">
        <v>131</v>
      </c>
      <c r="S1639" s="33">
        <v>0.2</v>
      </c>
      <c r="T1639" s="13">
        <v>62.808</v>
      </c>
      <c r="U1639" s="13">
        <v>21.197700000000001</v>
      </c>
      <c r="V1639" s="55">
        <f>IFERROR(Table12[[#This Row],[Profit]]/Table12[[#This Row],[Sales]],0)</f>
        <v>0.33750000000000002</v>
      </c>
    </row>
    <row r="1640" spans="1:22" x14ac:dyDescent="0.2">
      <c r="A1640">
        <v>1639</v>
      </c>
      <c r="B1640" t="s">
        <v>8510</v>
      </c>
      <c r="C1640" s="1">
        <v>41966</v>
      </c>
      <c r="D1640" s="22">
        <f>MONTH(Table12[[#This Row],[Order Date]])</f>
        <v>11</v>
      </c>
      <c r="E1640" t="s">
        <v>4145</v>
      </c>
      <c r="F1640" t="s">
        <v>591</v>
      </c>
      <c r="G1640" s="23" t="s">
        <v>41</v>
      </c>
      <c r="H1640" s="23" t="s">
        <v>155</v>
      </c>
      <c r="I1640" t="s">
        <v>2377</v>
      </c>
      <c r="J1640" s="23" t="s">
        <v>22</v>
      </c>
      <c r="K1640" s="22">
        <v>3</v>
      </c>
      <c r="L1640" s="1">
        <v>41971</v>
      </c>
      <c r="M1640" s="22">
        <f>Table12[[#This Row],[Ship Date]]-Table12[[#This Row],[Order Date]]</f>
        <v>5</v>
      </c>
      <c r="N1640" s="23" t="s">
        <v>45</v>
      </c>
      <c r="O1640" s="23" t="s">
        <v>23</v>
      </c>
      <c r="P1640" s="23" t="s">
        <v>277</v>
      </c>
      <c r="Q1640" s="23" t="s">
        <v>39</v>
      </c>
      <c r="R1640" s="23" t="s">
        <v>550</v>
      </c>
      <c r="S1640" s="33">
        <v>0.2</v>
      </c>
      <c r="T1640" s="13">
        <v>23.472000000000001</v>
      </c>
      <c r="U1640" s="13">
        <v>8.8019999999999996</v>
      </c>
      <c r="V1640" s="55">
        <f>IFERROR(Table12[[#This Row],[Profit]]/Table12[[#This Row],[Sales]],0)</f>
        <v>0.37499999999999994</v>
      </c>
    </row>
    <row r="1641" spans="1:22" x14ac:dyDescent="0.2">
      <c r="A1641">
        <v>1640</v>
      </c>
      <c r="B1641" t="s">
        <v>8604</v>
      </c>
      <c r="C1641" s="1">
        <v>41966</v>
      </c>
      <c r="D1641" s="22">
        <f>MONTH(Table12[[#This Row],[Order Date]])</f>
        <v>11</v>
      </c>
      <c r="E1641" t="s">
        <v>3131</v>
      </c>
      <c r="F1641" t="s">
        <v>3132</v>
      </c>
      <c r="G1641" s="23" t="s">
        <v>28</v>
      </c>
      <c r="H1641" s="23" t="s">
        <v>32</v>
      </c>
      <c r="I1641" t="s">
        <v>3402</v>
      </c>
      <c r="J1641" s="23" t="s">
        <v>36</v>
      </c>
      <c r="K1641" s="22">
        <v>2</v>
      </c>
      <c r="L1641" s="1">
        <v>41969</v>
      </c>
      <c r="M1641" s="22">
        <f>Table12[[#This Row],[Ship Date]]-Table12[[#This Row],[Order Date]]</f>
        <v>3</v>
      </c>
      <c r="N1641" s="23" t="s">
        <v>20</v>
      </c>
      <c r="O1641" s="23" t="s">
        <v>23</v>
      </c>
      <c r="P1641" s="23" t="s">
        <v>94</v>
      </c>
      <c r="Q1641" s="23" t="s">
        <v>95</v>
      </c>
      <c r="R1641" s="23" t="s">
        <v>165</v>
      </c>
      <c r="S1641" s="33">
        <v>0.3</v>
      </c>
      <c r="T1641" s="13">
        <v>155.37200000000001</v>
      </c>
      <c r="U1641" s="13">
        <v>-35.513599999999997</v>
      </c>
      <c r="V1641" s="55">
        <f>IFERROR(Table12[[#This Row],[Profit]]/Table12[[#This Row],[Sales]],0)</f>
        <v>-0.22857142857142854</v>
      </c>
    </row>
    <row r="1642" spans="1:22" x14ac:dyDescent="0.2">
      <c r="A1642">
        <v>1641</v>
      </c>
      <c r="B1642" t="s">
        <v>9955</v>
      </c>
      <c r="C1642" s="1">
        <v>41966</v>
      </c>
      <c r="D1642" s="22">
        <f>MONTH(Table12[[#This Row],[Order Date]])</f>
        <v>11</v>
      </c>
      <c r="E1642" t="s">
        <v>2645</v>
      </c>
      <c r="F1642" t="s">
        <v>2646</v>
      </c>
      <c r="G1642" s="23" t="s">
        <v>41</v>
      </c>
      <c r="H1642" s="23" t="s">
        <v>68</v>
      </c>
      <c r="I1642" t="s">
        <v>4599</v>
      </c>
      <c r="J1642" s="23" t="s">
        <v>22</v>
      </c>
      <c r="K1642" s="22">
        <v>3</v>
      </c>
      <c r="L1642" s="1">
        <v>41970</v>
      </c>
      <c r="M1642" s="22">
        <f>Table12[[#This Row],[Ship Date]]-Table12[[#This Row],[Order Date]]</f>
        <v>4</v>
      </c>
      <c r="N1642" s="23" t="s">
        <v>45</v>
      </c>
      <c r="O1642" s="23" t="s">
        <v>23</v>
      </c>
      <c r="P1642" s="23" t="s">
        <v>212</v>
      </c>
      <c r="Q1642" s="23" t="s">
        <v>95</v>
      </c>
      <c r="R1642" s="23" t="s">
        <v>775</v>
      </c>
      <c r="S1642" s="33">
        <v>0</v>
      </c>
      <c r="T1642" s="13">
        <v>14.67</v>
      </c>
      <c r="U1642" s="13">
        <v>6.7481999999999998</v>
      </c>
      <c r="V1642" s="55">
        <f>IFERROR(Table12[[#This Row],[Profit]]/Table12[[#This Row],[Sales]],0)</f>
        <v>0.45999999999999996</v>
      </c>
    </row>
    <row r="1643" spans="1:22" x14ac:dyDescent="0.2">
      <c r="A1643">
        <v>1642</v>
      </c>
      <c r="B1643" t="s">
        <v>1206</v>
      </c>
      <c r="C1643" s="1">
        <v>41967</v>
      </c>
      <c r="D1643" s="22">
        <f>MONTH(Table12[[#This Row],[Order Date]])</f>
        <v>11</v>
      </c>
      <c r="E1643" t="s">
        <v>1208</v>
      </c>
      <c r="F1643" t="s">
        <v>1209</v>
      </c>
      <c r="G1643" s="23" t="s">
        <v>41</v>
      </c>
      <c r="H1643" s="23" t="s">
        <v>61</v>
      </c>
      <c r="I1643" t="s">
        <v>1207</v>
      </c>
      <c r="J1643" s="23" t="s">
        <v>22</v>
      </c>
      <c r="K1643" s="22">
        <v>1</v>
      </c>
      <c r="L1643" s="1">
        <v>41969</v>
      </c>
      <c r="M1643" s="22">
        <f>Table12[[#This Row],[Ship Date]]-Table12[[#This Row],[Order Date]]</f>
        <v>2</v>
      </c>
      <c r="N1643" s="23" t="s">
        <v>169</v>
      </c>
      <c r="O1643" s="23" t="s">
        <v>23</v>
      </c>
      <c r="P1643" s="23" t="s">
        <v>441</v>
      </c>
      <c r="Q1643" s="23" t="s">
        <v>133</v>
      </c>
      <c r="R1643" s="23" t="s">
        <v>887</v>
      </c>
      <c r="S1643" s="33">
        <v>0.2</v>
      </c>
      <c r="T1643" s="13">
        <v>2.6240000000000001</v>
      </c>
      <c r="U1643" s="13">
        <v>0.4264</v>
      </c>
      <c r="V1643" s="55">
        <f>IFERROR(Table12[[#This Row],[Profit]]/Table12[[#This Row],[Sales]],0)</f>
        <v>0.16250000000000001</v>
      </c>
    </row>
    <row r="1644" spans="1:22" x14ac:dyDescent="0.2">
      <c r="A1644">
        <v>1643</v>
      </c>
      <c r="B1644" t="s">
        <v>2649</v>
      </c>
      <c r="C1644" s="1">
        <v>41967</v>
      </c>
      <c r="D1644" s="22">
        <f>MONTH(Table12[[#This Row],[Order Date]])</f>
        <v>11</v>
      </c>
      <c r="E1644" t="s">
        <v>2651</v>
      </c>
      <c r="F1644" t="s">
        <v>2652</v>
      </c>
      <c r="G1644" s="23" t="s">
        <v>28</v>
      </c>
      <c r="H1644" s="23" t="s">
        <v>58</v>
      </c>
      <c r="I1644" t="s">
        <v>2650</v>
      </c>
      <c r="J1644" s="23" t="s">
        <v>22</v>
      </c>
      <c r="K1644" s="22">
        <v>4</v>
      </c>
      <c r="L1644" s="1">
        <v>41969</v>
      </c>
      <c r="M1644" s="22">
        <f>Table12[[#This Row],[Ship Date]]-Table12[[#This Row],[Order Date]]</f>
        <v>2</v>
      </c>
      <c r="N1644" s="23" t="s">
        <v>169</v>
      </c>
      <c r="O1644" s="23" t="s">
        <v>23</v>
      </c>
      <c r="P1644" s="23" t="s">
        <v>38</v>
      </c>
      <c r="Q1644" s="23" t="s">
        <v>39</v>
      </c>
      <c r="R1644" s="23" t="s">
        <v>836</v>
      </c>
      <c r="S1644" s="33">
        <v>0</v>
      </c>
      <c r="T1644" s="13">
        <v>151.72</v>
      </c>
      <c r="U1644" s="13">
        <v>27.3096</v>
      </c>
      <c r="V1644" s="55">
        <f>IFERROR(Table12[[#This Row],[Profit]]/Table12[[#This Row],[Sales]],0)</f>
        <v>0.18</v>
      </c>
    </row>
    <row r="1645" spans="1:22" x14ac:dyDescent="0.2">
      <c r="A1645">
        <v>1644</v>
      </c>
      <c r="B1645" t="s">
        <v>2991</v>
      </c>
      <c r="C1645" s="1">
        <v>41967</v>
      </c>
      <c r="D1645" s="22">
        <f>MONTH(Table12[[#This Row],[Order Date]])</f>
        <v>11</v>
      </c>
      <c r="E1645" t="s">
        <v>2993</v>
      </c>
      <c r="F1645" t="s">
        <v>2994</v>
      </c>
      <c r="G1645" s="23" t="s">
        <v>41</v>
      </c>
      <c r="H1645" s="23" t="s">
        <v>68</v>
      </c>
      <c r="I1645" t="s">
        <v>2992</v>
      </c>
      <c r="J1645" s="23" t="s">
        <v>36</v>
      </c>
      <c r="K1645" s="22">
        <v>7</v>
      </c>
      <c r="L1645" s="1">
        <v>41973</v>
      </c>
      <c r="M1645" s="22">
        <f>Table12[[#This Row],[Ship Date]]-Table12[[#This Row],[Order Date]]</f>
        <v>6</v>
      </c>
      <c r="N1645" s="23" t="s">
        <v>45</v>
      </c>
      <c r="O1645" s="23" t="s">
        <v>23</v>
      </c>
      <c r="P1645" s="23" t="s">
        <v>87</v>
      </c>
      <c r="Q1645" s="23" t="s">
        <v>39</v>
      </c>
      <c r="R1645" s="23" t="s">
        <v>86</v>
      </c>
      <c r="S1645" s="33">
        <v>0.2</v>
      </c>
      <c r="T1645" s="13">
        <v>12.096</v>
      </c>
      <c r="U1645" s="13">
        <v>4.2336</v>
      </c>
      <c r="V1645" s="55">
        <f>IFERROR(Table12[[#This Row],[Profit]]/Table12[[#This Row],[Sales]],0)</f>
        <v>0.35</v>
      </c>
    </row>
    <row r="1646" spans="1:22" x14ac:dyDescent="0.2">
      <c r="A1646">
        <v>1645</v>
      </c>
      <c r="B1646" t="s">
        <v>2991</v>
      </c>
      <c r="C1646" s="1">
        <v>41967</v>
      </c>
      <c r="D1646" s="22">
        <f>MONTH(Table12[[#This Row],[Order Date]])</f>
        <v>11</v>
      </c>
      <c r="E1646" t="s">
        <v>2995</v>
      </c>
      <c r="F1646" t="s">
        <v>2996</v>
      </c>
      <c r="G1646" s="23" t="s">
        <v>41</v>
      </c>
      <c r="H1646" s="23" t="s">
        <v>53</v>
      </c>
      <c r="I1646" t="s">
        <v>2992</v>
      </c>
      <c r="J1646" s="23" t="s">
        <v>36</v>
      </c>
      <c r="K1646" s="22">
        <v>6</v>
      </c>
      <c r="L1646" s="1">
        <v>41973</v>
      </c>
      <c r="M1646" s="22">
        <f>Table12[[#This Row],[Ship Date]]-Table12[[#This Row],[Order Date]]</f>
        <v>6</v>
      </c>
      <c r="N1646" s="23" t="s">
        <v>45</v>
      </c>
      <c r="O1646" s="23" t="s">
        <v>23</v>
      </c>
      <c r="P1646" s="23" t="s">
        <v>87</v>
      </c>
      <c r="Q1646" s="23" t="s">
        <v>39</v>
      </c>
      <c r="R1646" s="23" t="s">
        <v>86</v>
      </c>
      <c r="S1646" s="33">
        <v>0</v>
      </c>
      <c r="T1646" s="13">
        <v>485.88</v>
      </c>
      <c r="U1646" s="13">
        <v>9.7175999999999991</v>
      </c>
      <c r="V1646" s="55">
        <f>IFERROR(Table12[[#This Row],[Profit]]/Table12[[#This Row],[Sales]],0)</f>
        <v>1.9999999999999997E-2</v>
      </c>
    </row>
    <row r="1647" spans="1:22" x14ac:dyDescent="0.2">
      <c r="A1647">
        <v>1646</v>
      </c>
      <c r="B1647" t="s">
        <v>2991</v>
      </c>
      <c r="C1647" s="1">
        <v>41967</v>
      </c>
      <c r="D1647" s="22">
        <f>MONTH(Table12[[#This Row],[Order Date]])</f>
        <v>11</v>
      </c>
      <c r="E1647" t="s">
        <v>2003</v>
      </c>
      <c r="F1647" t="s">
        <v>2004</v>
      </c>
      <c r="G1647" s="23" t="s">
        <v>41</v>
      </c>
      <c r="H1647" s="23" t="s">
        <v>82</v>
      </c>
      <c r="I1647" t="s">
        <v>2992</v>
      </c>
      <c r="J1647" s="23" t="s">
        <v>36</v>
      </c>
      <c r="K1647" s="22">
        <v>4</v>
      </c>
      <c r="L1647" s="1">
        <v>41973</v>
      </c>
      <c r="M1647" s="22">
        <f>Table12[[#This Row],[Ship Date]]-Table12[[#This Row],[Order Date]]</f>
        <v>6</v>
      </c>
      <c r="N1647" s="23" t="s">
        <v>45</v>
      </c>
      <c r="O1647" s="23" t="s">
        <v>23</v>
      </c>
      <c r="P1647" s="23" t="s">
        <v>87</v>
      </c>
      <c r="Q1647" s="23" t="s">
        <v>39</v>
      </c>
      <c r="R1647" s="23" t="s">
        <v>86</v>
      </c>
      <c r="S1647" s="33">
        <v>0</v>
      </c>
      <c r="T1647" s="13">
        <v>25.92</v>
      </c>
      <c r="U1647" s="13">
        <v>12.441599999999999</v>
      </c>
      <c r="V1647" s="55">
        <f>IFERROR(Table12[[#This Row],[Profit]]/Table12[[#This Row],[Sales]],0)</f>
        <v>0.47999999999999993</v>
      </c>
    </row>
    <row r="1648" spans="1:22" x14ac:dyDescent="0.2">
      <c r="A1648">
        <v>1647</v>
      </c>
      <c r="B1648" t="s">
        <v>2991</v>
      </c>
      <c r="C1648" s="1">
        <v>41967</v>
      </c>
      <c r="D1648" s="22">
        <f>MONTH(Table12[[#This Row],[Order Date]])</f>
        <v>11</v>
      </c>
      <c r="E1648" t="s">
        <v>2042</v>
      </c>
      <c r="F1648" t="s">
        <v>2043</v>
      </c>
      <c r="G1648" s="23" t="s">
        <v>41</v>
      </c>
      <c r="H1648" s="23" t="s">
        <v>53</v>
      </c>
      <c r="I1648" t="s">
        <v>2992</v>
      </c>
      <c r="J1648" s="23" t="s">
        <v>36</v>
      </c>
      <c r="K1648" s="22">
        <v>2</v>
      </c>
      <c r="L1648" s="1">
        <v>41973</v>
      </c>
      <c r="M1648" s="22">
        <f>Table12[[#This Row],[Ship Date]]-Table12[[#This Row],[Order Date]]</f>
        <v>6</v>
      </c>
      <c r="N1648" s="23" t="s">
        <v>45</v>
      </c>
      <c r="O1648" s="23" t="s">
        <v>23</v>
      </c>
      <c r="P1648" s="23" t="s">
        <v>87</v>
      </c>
      <c r="Q1648" s="23" t="s">
        <v>39</v>
      </c>
      <c r="R1648" s="23" t="s">
        <v>86</v>
      </c>
      <c r="S1648" s="33">
        <v>0</v>
      </c>
      <c r="T1648" s="13">
        <v>197.58</v>
      </c>
      <c r="U1648" s="13">
        <v>53.346600000000002</v>
      </c>
      <c r="V1648" s="55">
        <f>IFERROR(Table12[[#This Row],[Profit]]/Table12[[#This Row],[Sales]],0)</f>
        <v>0.27</v>
      </c>
    </row>
    <row r="1649" spans="1:22" x14ac:dyDescent="0.2">
      <c r="A1649">
        <v>1648</v>
      </c>
      <c r="B1649" t="s">
        <v>4507</v>
      </c>
      <c r="C1649" s="1">
        <v>41967</v>
      </c>
      <c r="D1649" s="22">
        <f>MONTH(Table12[[#This Row],[Order Date]])</f>
        <v>11</v>
      </c>
      <c r="E1649" t="s">
        <v>1399</v>
      </c>
      <c r="F1649" t="s">
        <v>1400</v>
      </c>
      <c r="G1649" s="23" t="s">
        <v>64</v>
      </c>
      <c r="H1649" s="23" t="s">
        <v>144</v>
      </c>
      <c r="I1649" t="s">
        <v>4508</v>
      </c>
      <c r="J1649" s="23" t="s">
        <v>22</v>
      </c>
      <c r="K1649" s="22">
        <v>7</v>
      </c>
      <c r="L1649" s="1">
        <v>41972</v>
      </c>
      <c r="M1649" s="22">
        <f>Table12[[#This Row],[Ship Date]]-Table12[[#This Row],[Order Date]]</f>
        <v>5</v>
      </c>
      <c r="N1649" s="23" t="s">
        <v>20</v>
      </c>
      <c r="O1649" s="23" t="s">
        <v>23</v>
      </c>
      <c r="P1649" s="23" t="s">
        <v>528</v>
      </c>
      <c r="Q1649" s="23" t="s">
        <v>95</v>
      </c>
      <c r="R1649" s="23" t="s">
        <v>4509</v>
      </c>
      <c r="S1649" s="33">
        <v>0</v>
      </c>
      <c r="T1649" s="13">
        <v>111.79</v>
      </c>
      <c r="U1649" s="13">
        <v>43.598100000000002</v>
      </c>
      <c r="V1649" s="55">
        <f>IFERROR(Table12[[#This Row],[Profit]]/Table12[[#This Row],[Sales]],0)</f>
        <v>0.39</v>
      </c>
    </row>
    <row r="1650" spans="1:22" x14ac:dyDescent="0.2">
      <c r="A1650">
        <v>1649</v>
      </c>
      <c r="B1650" t="s">
        <v>4789</v>
      </c>
      <c r="C1650" s="1">
        <v>41967</v>
      </c>
      <c r="D1650" s="22">
        <f>MONTH(Table12[[#This Row],[Order Date]])</f>
        <v>11</v>
      </c>
      <c r="E1650" t="s">
        <v>4791</v>
      </c>
      <c r="F1650" t="s">
        <v>4792</v>
      </c>
      <c r="G1650" s="23" t="s">
        <v>28</v>
      </c>
      <c r="H1650" s="23" t="s">
        <v>32</v>
      </c>
      <c r="I1650" t="s">
        <v>4208</v>
      </c>
      <c r="J1650" s="23" t="s">
        <v>22</v>
      </c>
      <c r="K1650" s="22">
        <v>1</v>
      </c>
      <c r="L1650" s="1">
        <v>41969</v>
      </c>
      <c r="M1650" s="22">
        <f>Table12[[#This Row],[Ship Date]]-Table12[[#This Row],[Order Date]]</f>
        <v>2</v>
      </c>
      <c r="N1650" s="23" t="s">
        <v>20</v>
      </c>
      <c r="O1650" s="23" t="s">
        <v>23</v>
      </c>
      <c r="P1650" s="23" t="s">
        <v>38</v>
      </c>
      <c r="Q1650" s="23" t="s">
        <v>39</v>
      </c>
      <c r="R1650" s="23" t="s">
        <v>4790</v>
      </c>
      <c r="S1650" s="33">
        <v>0.2</v>
      </c>
      <c r="T1650" s="13">
        <v>120.712</v>
      </c>
      <c r="U1650" s="13">
        <v>-18.1068</v>
      </c>
      <c r="V1650" s="55">
        <f>IFERROR(Table12[[#This Row],[Profit]]/Table12[[#This Row],[Sales]],0)</f>
        <v>-0.15</v>
      </c>
    </row>
    <row r="1651" spans="1:22" x14ac:dyDescent="0.2">
      <c r="A1651">
        <v>1650</v>
      </c>
      <c r="B1651" t="s">
        <v>6257</v>
      </c>
      <c r="C1651" s="1">
        <v>41967</v>
      </c>
      <c r="D1651" s="22">
        <f>MONTH(Table12[[#This Row],[Order Date]])</f>
        <v>11</v>
      </c>
      <c r="E1651" t="s">
        <v>2598</v>
      </c>
      <c r="F1651" t="s">
        <v>2599</v>
      </c>
      <c r="G1651" s="23" t="s">
        <v>64</v>
      </c>
      <c r="H1651" s="23" t="s">
        <v>65</v>
      </c>
      <c r="I1651" t="s">
        <v>3698</v>
      </c>
      <c r="J1651" s="23" t="s">
        <v>36</v>
      </c>
      <c r="K1651" s="22">
        <v>5</v>
      </c>
      <c r="L1651" s="1">
        <v>41967</v>
      </c>
      <c r="M1651" s="22">
        <f>Table12[[#This Row],[Ship Date]]-Table12[[#This Row],[Order Date]]</f>
        <v>0</v>
      </c>
      <c r="N1651" s="23" t="s">
        <v>1141</v>
      </c>
      <c r="O1651" s="23" t="s">
        <v>23</v>
      </c>
      <c r="P1651" s="23" t="s">
        <v>441</v>
      </c>
      <c r="Q1651" s="23" t="s">
        <v>133</v>
      </c>
      <c r="R1651" s="23" t="s">
        <v>440</v>
      </c>
      <c r="S1651" s="33">
        <v>0.4</v>
      </c>
      <c r="T1651" s="13">
        <v>1049.97</v>
      </c>
      <c r="U1651" s="13">
        <v>-209.994</v>
      </c>
      <c r="V1651" s="55">
        <f>IFERROR(Table12[[#This Row],[Profit]]/Table12[[#This Row],[Sales]],0)</f>
        <v>-0.19999999999999998</v>
      </c>
    </row>
    <row r="1652" spans="1:22" x14ac:dyDescent="0.2">
      <c r="A1652">
        <v>1651</v>
      </c>
      <c r="B1652" t="s">
        <v>6257</v>
      </c>
      <c r="C1652" s="1">
        <v>41967</v>
      </c>
      <c r="D1652" s="22">
        <f>MONTH(Table12[[#This Row],[Order Date]])</f>
        <v>11</v>
      </c>
      <c r="E1652" t="s">
        <v>3480</v>
      </c>
      <c r="F1652" t="s">
        <v>3481</v>
      </c>
      <c r="G1652" s="23" t="s">
        <v>28</v>
      </c>
      <c r="H1652" s="23" t="s">
        <v>32</v>
      </c>
      <c r="I1652" t="s">
        <v>3698</v>
      </c>
      <c r="J1652" s="23" t="s">
        <v>36</v>
      </c>
      <c r="K1652" s="22">
        <v>3</v>
      </c>
      <c r="L1652" s="1">
        <v>41967</v>
      </c>
      <c r="M1652" s="22">
        <f>Table12[[#This Row],[Ship Date]]-Table12[[#This Row],[Order Date]]</f>
        <v>0</v>
      </c>
      <c r="N1652" s="23" t="s">
        <v>1141</v>
      </c>
      <c r="O1652" s="23" t="s">
        <v>23</v>
      </c>
      <c r="P1652" s="23" t="s">
        <v>441</v>
      </c>
      <c r="Q1652" s="23" t="s">
        <v>133</v>
      </c>
      <c r="R1652" s="23" t="s">
        <v>440</v>
      </c>
      <c r="S1652" s="33">
        <v>0.3</v>
      </c>
      <c r="T1652" s="13">
        <v>611.05799999999999</v>
      </c>
      <c r="U1652" s="13">
        <v>-34.9176</v>
      </c>
      <c r="V1652" s="55">
        <f>IFERROR(Table12[[#This Row],[Profit]]/Table12[[#This Row],[Sales]],0)</f>
        <v>-5.7142857142857141E-2</v>
      </c>
    </row>
    <row r="1653" spans="1:22" x14ac:dyDescent="0.2">
      <c r="A1653">
        <v>1652</v>
      </c>
      <c r="B1653" t="s">
        <v>6452</v>
      </c>
      <c r="C1653" s="1">
        <v>41967</v>
      </c>
      <c r="D1653" s="22">
        <f>MONTH(Table12[[#This Row],[Order Date]])</f>
        <v>11</v>
      </c>
      <c r="E1653" t="s">
        <v>2640</v>
      </c>
      <c r="F1653" t="s">
        <v>2641</v>
      </c>
      <c r="G1653" s="23" t="s">
        <v>41</v>
      </c>
      <c r="H1653" s="23" t="s">
        <v>53</v>
      </c>
      <c r="I1653" t="s">
        <v>1624</v>
      </c>
      <c r="J1653" s="23" t="s">
        <v>22</v>
      </c>
      <c r="K1653" s="22">
        <v>5</v>
      </c>
      <c r="L1653" s="1">
        <v>41971</v>
      </c>
      <c r="M1653" s="22">
        <f>Table12[[#This Row],[Ship Date]]-Table12[[#This Row],[Order Date]]</f>
        <v>4</v>
      </c>
      <c r="N1653" s="23" t="s">
        <v>45</v>
      </c>
      <c r="O1653" s="23" t="s">
        <v>23</v>
      </c>
      <c r="P1653" s="23" t="s">
        <v>189</v>
      </c>
      <c r="Q1653" s="23" t="s">
        <v>95</v>
      </c>
      <c r="R1653" s="23" t="s">
        <v>271</v>
      </c>
      <c r="S1653" s="33">
        <v>0.2</v>
      </c>
      <c r="T1653" s="13">
        <v>646.20000000000005</v>
      </c>
      <c r="U1653" s="13">
        <v>-8.0775000000000006</v>
      </c>
      <c r="V1653" s="55">
        <f>IFERROR(Table12[[#This Row],[Profit]]/Table12[[#This Row],[Sales]],0)</f>
        <v>-1.2500000000000001E-2</v>
      </c>
    </row>
    <row r="1654" spans="1:22" x14ac:dyDescent="0.2">
      <c r="A1654">
        <v>1653</v>
      </c>
      <c r="B1654" t="s">
        <v>7190</v>
      </c>
      <c r="C1654" s="1">
        <v>41967</v>
      </c>
      <c r="D1654" s="22">
        <f>MONTH(Table12[[#This Row],[Order Date]])</f>
        <v>11</v>
      </c>
      <c r="E1654" t="s">
        <v>723</v>
      </c>
      <c r="F1654" t="s">
        <v>724</v>
      </c>
      <c r="G1654" s="23" t="s">
        <v>28</v>
      </c>
      <c r="H1654" s="23" t="s">
        <v>58</v>
      </c>
      <c r="I1654" t="s">
        <v>3812</v>
      </c>
      <c r="J1654" s="23" t="s">
        <v>22</v>
      </c>
      <c r="K1654" s="22">
        <v>7</v>
      </c>
      <c r="L1654" s="1">
        <v>41972</v>
      </c>
      <c r="M1654" s="22">
        <f>Table12[[#This Row],[Ship Date]]-Table12[[#This Row],[Order Date]]</f>
        <v>5</v>
      </c>
      <c r="N1654" s="23" t="s">
        <v>45</v>
      </c>
      <c r="O1654" s="23" t="s">
        <v>23</v>
      </c>
      <c r="P1654" s="23" t="s">
        <v>441</v>
      </c>
      <c r="Q1654" s="23" t="s">
        <v>133</v>
      </c>
      <c r="R1654" s="23" t="s">
        <v>2496</v>
      </c>
      <c r="S1654" s="33">
        <v>0.2</v>
      </c>
      <c r="T1654" s="13">
        <v>35.167999999999999</v>
      </c>
      <c r="U1654" s="13">
        <v>9.6712000000000007</v>
      </c>
      <c r="V1654" s="55">
        <f>IFERROR(Table12[[#This Row],[Profit]]/Table12[[#This Row],[Sales]],0)</f>
        <v>0.27500000000000002</v>
      </c>
    </row>
    <row r="1655" spans="1:22" x14ac:dyDescent="0.2">
      <c r="A1655">
        <v>1654</v>
      </c>
      <c r="B1655" t="s">
        <v>7190</v>
      </c>
      <c r="C1655" s="1">
        <v>41967</v>
      </c>
      <c r="D1655" s="22">
        <f>MONTH(Table12[[#This Row],[Order Date]])</f>
        <v>11</v>
      </c>
      <c r="E1655" t="s">
        <v>7191</v>
      </c>
      <c r="F1655" t="s">
        <v>7192</v>
      </c>
      <c r="G1655" s="23" t="s">
        <v>64</v>
      </c>
      <c r="H1655" s="23" t="s">
        <v>65</v>
      </c>
      <c r="I1655" t="s">
        <v>3812</v>
      </c>
      <c r="J1655" s="23" t="s">
        <v>22</v>
      </c>
      <c r="K1655" s="22">
        <v>4</v>
      </c>
      <c r="L1655" s="1">
        <v>41972</v>
      </c>
      <c r="M1655" s="22">
        <f>Table12[[#This Row],[Ship Date]]-Table12[[#This Row],[Order Date]]</f>
        <v>5</v>
      </c>
      <c r="N1655" s="23" t="s">
        <v>45</v>
      </c>
      <c r="O1655" s="23" t="s">
        <v>23</v>
      </c>
      <c r="P1655" s="23" t="s">
        <v>441</v>
      </c>
      <c r="Q1655" s="23" t="s">
        <v>133</v>
      </c>
      <c r="R1655" s="23" t="s">
        <v>2496</v>
      </c>
      <c r="S1655" s="33">
        <v>0.4</v>
      </c>
      <c r="T1655" s="13">
        <v>1502.376</v>
      </c>
      <c r="U1655" s="13">
        <v>-250.39599999999999</v>
      </c>
      <c r="V1655" s="55">
        <f>IFERROR(Table12[[#This Row],[Profit]]/Table12[[#This Row],[Sales]],0)</f>
        <v>-0.16666666666666666</v>
      </c>
    </row>
    <row r="1656" spans="1:22" x14ac:dyDescent="0.2">
      <c r="A1656">
        <v>1655</v>
      </c>
      <c r="B1656" t="s">
        <v>8057</v>
      </c>
      <c r="C1656" s="1">
        <v>41967</v>
      </c>
      <c r="D1656" s="22">
        <f>MONTH(Table12[[#This Row],[Order Date]])</f>
        <v>11</v>
      </c>
      <c r="E1656" t="s">
        <v>434</v>
      </c>
      <c r="F1656" t="s">
        <v>435</v>
      </c>
      <c r="G1656" s="23" t="s">
        <v>41</v>
      </c>
      <c r="H1656" s="23" t="s">
        <v>61</v>
      </c>
      <c r="I1656" t="s">
        <v>1800</v>
      </c>
      <c r="J1656" s="23" t="s">
        <v>36</v>
      </c>
      <c r="K1656" s="22">
        <v>4</v>
      </c>
      <c r="L1656" s="1">
        <v>41972</v>
      </c>
      <c r="M1656" s="22">
        <f>Table12[[#This Row],[Ship Date]]-Table12[[#This Row],[Order Date]]</f>
        <v>5</v>
      </c>
      <c r="N1656" s="23" t="s">
        <v>45</v>
      </c>
      <c r="O1656" s="23" t="s">
        <v>23</v>
      </c>
      <c r="P1656" s="23" t="s">
        <v>212</v>
      </c>
      <c r="Q1656" s="23" t="s">
        <v>95</v>
      </c>
      <c r="R1656" s="23" t="s">
        <v>293</v>
      </c>
      <c r="S1656" s="33">
        <v>0</v>
      </c>
      <c r="T1656" s="13">
        <v>151.91999999999999</v>
      </c>
      <c r="U1656" s="13">
        <v>45.576000000000001</v>
      </c>
      <c r="V1656" s="55">
        <f>IFERROR(Table12[[#This Row],[Profit]]/Table12[[#This Row],[Sales]],0)</f>
        <v>0.30000000000000004</v>
      </c>
    </row>
    <row r="1657" spans="1:22" x14ac:dyDescent="0.2">
      <c r="A1657">
        <v>1656</v>
      </c>
      <c r="B1657" t="s">
        <v>8057</v>
      </c>
      <c r="C1657" s="1">
        <v>41967</v>
      </c>
      <c r="D1657" s="22">
        <f>MONTH(Table12[[#This Row],[Order Date]])</f>
        <v>11</v>
      </c>
      <c r="E1657" t="s">
        <v>1740</v>
      </c>
      <c r="F1657" t="s">
        <v>1741</v>
      </c>
      <c r="G1657" s="23" t="s">
        <v>41</v>
      </c>
      <c r="H1657" s="23" t="s">
        <v>42</v>
      </c>
      <c r="I1657" t="s">
        <v>1800</v>
      </c>
      <c r="J1657" s="23" t="s">
        <v>36</v>
      </c>
      <c r="K1657" s="22">
        <v>2</v>
      </c>
      <c r="L1657" s="1">
        <v>41972</v>
      </c>
      <c r="M1657" s="22">
        <f>Table12[[#This Row],[Ship Date]]-Table12[[#This Row],[Order Date]]</f>
        <v>5</v>
      </c>
      <c r="N1657" s="23" t="s">
        <v>45</v>
      </c>
      <c r="O1657" s="23" t="s">
        <v>23</v>
      </c>
      <c r="P1657" s="23" t="s">
        <v>212</v>
      </c>
      <c r="Q1657" s="23" t="s">
        <v>95</v>
      </c>
      <c r="R1657" s="23" t="s">
        <v>293</v>
      </c>
      <c r="S1657" s="33">
        <v>0</v>
      </c>
      <c r="T1657" s="13">
        <v>196.62</v>
      </c>
      <c r="U1657" s="13">
        <v>96.343800000000002</v>
      </c>
      <c r="V1657" s="55">
        <f>IFERROR(Table12[[#This Row],[Profit]]/Table12[[#This Row],[Sales]],0)</f>
        <v>0.49</v>
      </c>
    </row>
    <row r="1658" spans="1:22" x14ac:dyDescent="0.2">
      <c r="A1658">
        <v>1657</v>
      </c>
      <c r="B1658" t="s">
        <v>8057</v>
      </c>
      <c r="C1658" s="1">
        <v>41967</v>
      </c>
      <c r="D1658" s="22">
        <f>MONTH(Table12[[#This Row],[Order Date]])</f>
        <v>11</v>
      </c>
      <c r="E1658" t="s">
        <v>5210</v>
      </c>
      <c r="F1658" t="s">
        <v>5211</v>
      </c>
      <c r="G1658" s="23" t="s">
        <v>41</v>
      </c>
      <c r="H1658" s="23" t="s">
        <v>82</v>
      </c>
      <c r="I1658" t="s">
        <v>1800</v>
      </c>
      <c r="J1658" s="23" t="s">
        <v>36</v>
      </c>
      <c r="K1658" s="22">
        <v>3</v>
      </c>
      <c r="L1658" s="1">
        <v>41972</v>
      </c>
      <c r="M1658" s="22">
        <f>Table12[[#This Row],[Ship Date]]-Table12[[#This Row],[Order Date]]</f>
        <v>5</v>
      </c>
      <c r="N1658" s="23" t="s">
        <v>45</v>
      </c>
      <c r="O1658" s="23" t="s">
        <v>23</v>
      </c>
      <c r="P1658" s="23" t="s">
        <v>212</v>
      </c>
      <c r="Q1658" s="23" t="s">
        <v>95</v>
      </c>
      <c r="R1658" s="23" t="s">
        <v>293</v>
      </c>
      <c r="S1658" s="33">
        <v>0</v>
      </c>
      <c r="T1658" s="13">
        <v>144.12</v>
      </c>
      <c r="U1658" s="13">
        <v>69.177599999999998</v>
      </c>
      <c r="V1658" s="55">
        <f>IFERROR(Table12[[#This Row],[Profit]]/Table12[[#This Row],[Sales]],0)</f>
        <v>0.48</v>
      </c>
    </row>
    <row r="1659" spans="1:22" x14ac:dyDescent="0.2">
      <c r="A1659">
        <v>1658</v>
      </c>
      <c r="B1659" t="s">
        <v>8057</v>
      </c>
      <c r="C1659" s="1">
        <v>41967</v>
      </c>
      <c r="D1659" s="22">
        <f>MONTH(Table12[[#This Row],[Order Date]])</f>
        <v>11</v>
      </c>
      <c r="E1659" t="s">
        <v>826</v>
      </c>
      <c r="F1659" t="s">
        <v>827</v>
      </c>
      <c r="G1659" s="23" t="s">
        <v>41</v>
      </c>
      <c r="H1659" s="23" t="s">
        <v>82</v>
      </c>
      <c r="I1659" t="s">
        <v>1800</v>
      </c>
      <c r="J1659" s="23" t="s">
        <v>36</v>
      </c>
      <c r="K1659" s="22">
        <v>2</v>
      </c>
      <c r="L1659" s="1">
        <v>41972</v>
      </c>
      <c r="M1659" s="22">
        <f>Table12[[#This Row],[Ship Date]]-Table12[[#This Row],[Order Date]]</f>
        <v>5</v>
      </c>
      <c r="N1659" s="23" t="s">
        <v>45</v>
      </c>
      <c r="O1659" s="23" t="s">
        <v>23</v>
      </c>
      <c r="P1659" s="23" t="s">
        <v>212</v>
      </c>
      <c r="Q1659" s="23" t="s">
        <v>95</v>
      </c>
      <c r="R1659" s="23" t="s">
        <v>293</v>
      </c>
      <c r="S1659" s="33">
        <v>0</v>
      </c>
      <c r="T1659" s="13">
        <v>15.96</v>
      </c>
      <c r="U1659" s="13">
        <v>7.98</v>
      </c>
      <c r="V1659" s="55">
        <f>IFERROR(Table12[[#This Row],[Profit]]/Table12[[#This Row],[Sales]],0)</f>
        <v>0.5</v>
      </c>
    </row>
    <row r="1660" spans="1:22" x14ac:dyDescent="0.2">
      <c r="A1660">
        <v>1659</v>
      </c>
      <c r="B1660" t="s">
        <v>8530</v>
      </c>
      <c r="C1660" s="1">
        <v>41967</v>
      </c>
      <c r="D1660" s="22">
        <f>MONTH(Table12[[#This Row],[Order Date]])</f>
        <v>11</v>
      </c>
      <c r="E1660" t="s">
        <v>5065</v>
      </c>
      <c r="F1660" t="s">
        <v>5066</v>
      </c>
      <c r="G1660" s="23" t="s">
        <v>28</v>
      </c>
      <c r="H1660" s="23" t="s">
        <v>58</v>
      </c>
      <c r="I1660" t="s">
        <v>91</v>
      </c>
      <c r="J1660" s="23" t="s">
        <v>92</v>
      </c>
      <c r="K1660" s="22">
        <v>5</v>
      </c>
      <c r="L1660" s="1">
        <v>41972</v>
      </c>
      <c r="M1660" s="22">
        <f>Table12[[#This Row],[Ship Date]]-Table12[[#This Row],[Order Date]]</f>
        <v>5</v>
      </c>
      <c r="N1660" s="23" t="s">
        <v>45</v>
      </c>
      <c r="O1660" s="23" t="s">
        <v>23</v>
      </c>
      <c r="P1660" s="23" t="s">
        <v>285</v>
      </c>
      <c r="Q1660" s="23" t="s">
        <v>26</v>
      </c>
      <c r="R1660" s="23" t="s">
        <v>2621</v>
      </c>
      <c r="S1660" s="33">
        <v>0</v>
      </c>
      <c r="T1660" s="13">
        <v>111.15</v>
      </c>
      <c r="U1660" s="13">
        <v>48.905999999999999</v>
      </c>
      <c r="V1660" s="55">
        <f>IFERROR(Table12[[#This Row],[Profit]]/Table12[[#This Row],[Sales]],0)</f>
        <v>0.43999999999999995</v>
      </c>
    </row>
    <row r="1661" spans="1:22" x14ac:dyDescent="0.2">
      <c r="A1661">
        <v>1660</v>
      </c>
      <c r="B1661" t="s">
        <v>10107</v>
      </c>
      <c r="C1661" s="1">
        <v>41967</v>
      </c>
      <c r="D1661" s="22">
        <f>MONTH(Table12[[#This Row],[Order Date]])</f>
        <v>11</v>
      </c>
      <c r="E1661" t="s">
        <v>2916</v>
      </c>
      <c r="F1661" t="s">
        <v>2917</v>
      </c>
      <c r="G1661" s="23" t="s">
        <v>41</v>
      </c>
      <c r="H1661" s="23" t="s">
        <v>68</v>
      </c>
      <c r="I1661" t="s">
        <v>2974</v>
      </c>
      <c r="J1661" s="23" t="s">
        <v>92</v>
      </c>
      <c r="K1661" s="22">
        <v>3</v>
      </c>
      <c r="L1661" s="1">
        <v>41973</v>
      </c>
      <c r="M1661" s="22">
        <f>Table12[[#This Row],[Ship Date]]-Table12[[#This Row],[Order Date]]</f>
        <v>6</v>
      </c>
      <c r="N1661" s="23" t="s">
        <v>45</v>
      </c>
      <c r="O1661" s="23" t="s">
        <v>23</v>
      </c>
      <c r="P1661" s="23" t="s">
        <v>441</v>
      </c>
      <c r="Q1661" s="23" t="s">
        <v>133</v>
      </c>
      <c r="R1661" s="23" t="s">
        <v>706</v>
      </c>
      <c r="S1661" s="33">
        <v>0.7</v>
      </c>
      <c r="T1661" s="13">
        <v>5.742</v>
      </c>
      <c r="U1661" s="13">
        <v>-4.5936000000000003</v>
      </c>
      <c r="V1661" s="55">
        <f>IFERROR(Table12[[#This Row],[Profit]]/Table12[[#This Row],[Sales]],0)</f>
        <v>-0.8</v>
      </c>
    </row>
    <row r="1662" spans="1:22" x14ac:dyDescent="0.2">
      <c r="A1662">
        <v>1661</v>
      </c>
      <c r="B1662" t="s">
        <v>4298</v>
      </c>
      <c r="C1662" s="1">
        <v>41968</v>
      </c>
      <c r="D1662" s="22">
        <f>MONTH(Table12[[#This Row],[Order Date]])</f>
        <v>11</v>
      </c>
      <c r="E1662" t="s">
        <v>2233</v>
      </c>
      <c r="F1662" t="s">
        <v>2234</v>
      </c>
      <c r="G1662" s="23" t="s">
        <v>41</v>
      </c>
      <c r="H1662" s="23" t="s">
        <v>71</v>
      </c>
      <c r="I1662" t="s">
        <v>3217</v>
      </c>
      <c r="J1662" s="23" t="s">
        <v>36</v>
      </c>
      <c r="K1662" s="22">
        <v>6</v>
      </c>
      <c r="L1662" s="1">
        <v>41970</v>
      </c>
      <c r="M1662" s="22">
        <f>Table12[[#This Row],[Ship Date]]-Table12[[#This Row],[Order Date]]</f>
        <v>2</v>
      </c>
      <c r="N1662" s="23" t="s">
        <v>20</v>
      </c>
      <c r="O1662" s="23" t="s">
        <v>23</v>
      </c>
      <c r="P1662" s="23" t="s">
        <v>38</v>
      </c>
      <c r="Q1662" s="23" t="s">
        <v>39</v>
      </c>
      <c r="R1662" s="23" t="s">
        <v>873</v>
      </c>
      <c r="S1662" s="33">
        <v>0</v>
      </c>
      <c r="T1662" s="13">
        <v>320.88</v>
      </c>
      <c r="U1662" s="13">
        <v>93.055199999999999</v>
      </c>
      <c r="V1662" s="55">
        <f>IFERROR(Table12[[#This Row],[Profit]]/Table12[[#This Row],[Sales]],0)</f>
        <v>0.28999999999999998</v>
      </c>
    </row>
    <row r="1663" spans="1:22" x14ac:dyDescent="0.2">
      <c r="A1663">
        <v>1662</v>
      </c>
      <c r="B1663" t="s">
        <v>4298</v>
      </c>
      <c r="C1663" s="1">
        <v>41968</v>
      </c>
      <c r="D1663" s="22">
        <f>MONTH(Table12[[#This Row],[Order Date]])</f>
        <v>11</v>
      </c>
      <c r="E1663" t="s">
        <v>2543</v>
      </c>
      <c r="F1663" t="s">
        <v>814</v>
      </c>
      <c r="G1663" s="23" t="s">
        <v>28</v>
      </c>
      <c r="H1663" s="23" t="s">
        <v>58</v>
      </c>
      <c r="I1663" t="s">
        <v>3217</v>
      </c>
      <c r="J1663" s="23" t="s">
        <v>36</v>
      </c>
      <c r="K1663" s="22">
        <v>3</v>
      </c>
      <c r="L1663" s="1">
        <v>41970</v>
      </c>
      <c r="M1663" s="22">
        <f>Table12[[#This Row],[Ship Date]]-Table12[[#This Row],[Order Date]]</f>
        <v>2</v>
      </c>
      <c r="N1663" s="23" t="s">
        <v>20</v>
      </c>
      <c r="O1663" s="23" t="s">
        <v>23</v>
      </c>
      <c r="P1663" s="23" t="s">
        <v>38</v>
      </c>
      <c r="Q1663" s="23" t="s">
        <v>39</v>
      </c>
      <c r="R1663" s="23" t="s">
        <v>873</v>
      </c>
      <c r="S1663" s="33">
        <v>0</v>
      </c>
      <c r="T1663" s="13">
        <v>23.88</v>
      </c>
      <c r="U1663" s="13">
        <v>10.507199999999999</v>
      </c>
      <c r="V1663" s="55">
        <f>IFERROR(Table12[[#This Row],[Profit]]/Table12[[#This Row],[Sales]],0)</f>
        <v>0.44</v>
      </c>
    </row>
    <row r="1664" spans="1:22" x14ac:dyDescent="0.2">
      <c r="A1664">
        <v>1663</v>
      </c>
      <c r="B1664" t="s">
        <v>4298</v>
      </c>
      <c r="C1664" s="1">
        <v>41968</v>
      </c>
      <c r="D1664" s="22">
        <f>MONTH(Table12[[#This Row],[Order Date]])</f>
        <v>11</v>
      </c>
      <c r="E1664" t="s">
        <v>3751</v>
      </c>
      <c r="F1664" t="s">
        <v>3752</v>
      </c>
      <c r="G1664" s="23" t="s">
        <v>41</v>
      </c>
      <c r="H1664" s="23" t="s">
        <v>82</v>
      </c>
      <c r="I1664" t="s">
        <v>3217</v>
      </c>
      <c r="J1664" s="23" t="s">
        <v>36</v>
      </c>
      <c r="K1664" s="22">
        <v>4</v>
      </c>
      <c r="L1664" s="1">
        <v>41970</v>
      </c>
      <c r="M1664" s="22">
        <f>Table12[[#This Row],[Ship Date]]-Table12[[#This Row],[Order Date]]</f>
        <v>2</v>
      </c>
      <c r="N1664" s="23" t="s">
        <v>20</v>
      </c>
      <c r="O1664" s="23" t="s">
        <v>23</v>
      </c>
      <c r="P1664" s="23" t="s">
        <v>38</v>
      </c>
      <c r="Q1664" s="23" t="s">
        <v>39</v>
      </c>
      <c r="R1664" s="23" t="s">
        <v>873</v>
      </c>
      <c r="S1664" s="33">
        <v>0</v>
      </c>
      <c r="T1664" s="13">
        <v>26.76</v>
      </c>
      <c r="U1664" s="13">
        <v>12.3096</v>
      </c>
      <c r="V1664" s="55">
        <f>IFERROR(Table12[[#This Row],[Profit]]/Table12[[#This Row],[Sales]],0)</f>
        <v>0.45999999999999996</v>
      </c>
    </row>
    <row r="1665" spans="1:22" x14ac:dyDescent="0.2">
      <c r="A1665">
        <v>1664</v>
      </c>
      <c r="B1665" t="s">
        <v>5090</v>
      </c>
      <c r="C1665" s="1">
        <v>41968</v>
      </c>
      <c r="D1665" s="22">
        <f>MONTH(Table12[[#This Row],[Order Date]])</f>
        <v>11</v>
      </c>
      <c r="E1665" t="s">
        <v>5091</v>
      </c>
      <c r="F1665" t="s">
        <v>5092</v>
      </c>
      <c r="G1665" s="23" t="s">
        <v>64</v>
      </c>
      <c r="H1665" s="23" t="s">
        <v>144</v>
      </c>
      <c r="I1665" t="s">
        <v>4365</v>
      </c>
      <c r="J1665" s="23" t="s">
        <v>36</v>
      </c>
      <c r="K1665" s="22">
        <v>3</v>
      </c>
      <c r="L1665" s="1">
        <v>41973</v>
      </c>
      <c r="M1665" s="22">
        <f>Table12[[#This Row],[Ship Date]]-Table12[[#This Row],[Order Date]]</f>
        <v>5</v>
      </c>
      <c r="N1665" s="23" t="s">
        <v>45</v>
      </c>
      <c r="O1665" s="23" t="s">
        <v>23</v>
      </c>
      <c r="P1665" s="23" t="s">
        <v>94</v>
      </c>
      <c r="Q1665" s="23" t="s">
        <v>95</v>
      </c>
      <c r="R1665" s="23" t="s">
        <v>997</v>
      </c>
      <c r="S1665" s="33">
        <v>0.2</v>
      </c>
      <c r="T1665" s="13">
        <v>24.672000000000001</v>
      </c>
      <c r="U1665" s="13">
        <v>0</v>
      </c>
      <c r="V1665" s="55">
        <f>IFERROR(Table12[[#This Row],[Profit]]/Table12[[#This Row],[Sales]],0)</f>
        <v>0</v>
      </c>
    </row>
    <row r="1666" spans="1:22" x14ac:dyDescent="0.2">
      <c r="A1666">
        <v>1665</v>
      </c>
      <c r="B1666" t="s">
        <v>5090</v>
      </c>
      <c r="C1666" s="1">
        <v>41968</v>
      </c>
      <c r="D1666" s="22">
        <f>MONTH(Table12[[#This Row],[Order Date]])</f>
        <v>11</v>
      </c>
      <c r="E1666" t="s">
        <v>1372</v>
      </c>
      <c r="F1666" t="s">
        <v>1373</v>
      </c>
      <c r="G1666" s="23" t="s">
        <v>41</v>
      </c>
      <c r="H1666" s="23" t="s">
        <v>42</v>
      </c>
      <c r="I1666" t="s">
        <v>4365</v>
      </c>
      <c r="J1666" s="23" t="s">
        <v>36</v>
      </c>
      <c r="K1666" s="22">
        <v>1</v>
      </c>
      <c r="L1666" s="1">
        <v>41973</v>
      </c>
      <c r="M1666" s="22">
        <f>Table12[[#This Row],[Ship Date]]-Table12[[#This Row],[Order Date]]</f>
        <v>5</v>
      </c>
      <c r="N1666" s="23" t="s">
        <v>45</v>
      </c>
      <c r="O1666" s="23" t="s">
        <v>23</v>
      </c>
      <c r="P1666" s="23" t="s">
        <v>94</v>
      </c>
      <c r="Q1666" s="23" t="s">
        <v>95</v>
      </c>
      <c r="R1666" s="23" t="s">
        <v>997</v>
      </c>
      <c r="S1666" s="33">
        <v>0.2</v>
      </c>
      <c r="T1666" s="13">
        <v>2.52</v>
      </c>
      <c r="U1666" s="13">
        <v>0.88200000000000001</v>
      </c>
      <c r="V1666" s="55">
        <f>IFERROR(Table12[[#This Row],[Profit]]/Table12[[#This Row],[Sales]],0)</f>
        <v>0.35</v>
      </c>
    </row>
    <row r="1667" spans="1:22" x14ac:dyDescent="0.2">
      <c r="A1667">
        <v>1666</v>
      </c>
      <c r="B1667" t="s">
        <v>5090</v>
      </c>
      <c r="C1667" s="1">
        <v>41968</v>
      </c>
      <c r="D1667" s="22">
        <f>MONTH(Table12[[#This Row],[Order Date]])</f>
        <v>11</v>
      </c>
      <c r="E1667" t="s">
        <v>49</v>
      </c>
      <c r="F1667" t="s">
        <v>51</v>
      </c>
      <c r="G1667" s="23" t="s">
        <v>28</v>
      </c>
      <c r="H1667" s="23" t="s">
        <v>50</v>
      </c>
      <c r="I1667" t="s">
        <v>4365</v>
      </c>
      <c r="J1667" s="23" t="s">
        <v>36</v>
      </c>
      <c r="K1667" s="22">
        <v>5</v>
      </c>
      <c r="L1667" s="1">
        <v>41973</v>
      </c>
      <c r="M1667" s="22">
        <f>Table12[[#This Row],[Ship Date]]-Table12[[#This Row],[Order Date]]</f>
        <v>5</v>
      </c>
      <c r="N1667" s="23" t="s">
        <v>45</v>
      </c>
      <c r="O1667" s="23" t="s">
        <v>23</v>
      </c>
      <c r="P1667" s="23" t="s">
        <v>94</v>
      </c>
      <c r="Q1667" s="23" t="s">
        <v>95</v>
      </c>
      <c r="R1667" s="23" t="s">
        <v>997</v>
      </c>
      <c r="S1667" s="33">
        <v>0.3</v>
      </c>
      <c r="T1667" s="13">
        <v>1218.7349999999999</v>
      </c>
      <c r="U1667" s="13">
        <v>-121.87350000000001</v>
      </c>
      <c r="V1667" s="55">
        <f>IFERROR(Table12[[#This Row],[Profit]]/Table12[[#This Row],[Sales]],0)</f>
        <v>-0.10000000000000002</v>
      </c>
    </row>
    <row r="1668" spans="1:22" x14ac:dyDescent="0.2">
      <c r="A1668">
        <v>1667</v>
      </c>
      <c r="B1668" t="s">
        <v>5090</v>
      </c>
      <c r="C1668" s="1">
        <v>41968</v>
      </c>
      <c r="D1668" s="22">
        <f>MONTH(Table12[[#This Row],[Order Date]])</f>
        <v>11</v>
      </c>
      <c r="E1668" t="s">
        <v>4412</v>
      </c>
      <c r="F1668" t="s">
        <v>4413</v>
      </c>
      <c r="G1668" s="23" t="s">
        <v>41</v>
      </c>
      <c r="H1668" s="23" t="s">
        <v>42</v>
      </c>
      <c r="I1668" t="s">
        <v>4365</v>
      </c>
      <c r="J1668" s="23" t="s">
        <v>36</v>
      </c>
      <c r="K1668" s="22">
        <v>2</v>
      </c>
      <c r="L1668" s="1">
        <v>41973</v>
      </c>
      <c r="M1668" s="22">
        <f>Table12[[#This Row],[Ship Date]]-Table12[[#This Row],[Order Date]]</f>
        <v>5</v>
      </c>
      <c r="N1668" s="23" t="s">
        <v>45</v>
      </c>
      <c r="O1668" s="23" t="s">
        <v>23</v>
      </c>
      <c r="P1668" s="23" t="s">
        <v>94</v>
      </c>
      <c r="Q1668" s="23" t="s">
        <v>95</v>
      </c>
      <c r="R1668" s="23" t="s">
        <v>997</v>
      </c>
      <c r="S1668" s="33">
        <v>0.2</v>
      </c>
      <c r="T1668" s="13">
        <v>5.9039999999999999</v>
      </c>
      <c r="U1668" s="13">
        <v>1.9925999999999999</v>
      </c>
      <c r="V1668" s="55">
        <f>IFERROR(Table12[[#This Row],[Profit]]/Table12[[#This Row],[Sales]],0)</f>
        <v>0.33749999999999997</v>
      </c>
    </row>
    <row r="1669" spans="1:22" x14ac:dyDescent="0.2">
      <c r="A1669">
        <v>1668</v>
      </c>
      <c r="B1669" t="s">
        <v>5090</v>
      </c>
      <c r="C1669" s="1">
        <v>41968</v>
      </c>
      <c r="D1669" s="22">
        <f>MONTH(Table12[[#This Row],[Order Date]])</f>
        <v>11</v>
      </c>
      <c r="E1669" t="s">
        <v>2700</v>
      </c>
      <c r="F1669" t="s">
        <v>2701</v>
      </c>
      <c r="G1669" s="23" t="s">
        <v>41</v>
      </c>
      <c r="H1669" s="23" t="s">
        <v>82</v>
      </c>
      <c r="I1669" t="s">
        <v>4365</v>
      </c>
      <c r="J1669" s="23" t="s">
        <v>36</v>
      </c>
      <c r="K1669" s="22">
        <v>3</v>
      </c>
      <c r="L1669" s="1">
        <v>41973</v>
      </c>
      <c r="M1669" s="22">
        <f>Table12[[#This Row],[Ship Date]]-Table12[[#This Row],[Order Date]]</f>
        <v>5</v>
      </c>
      <c r="N1669" s="23" t="s">
        <v>45</v>
      </c>
      <c r="O1669" s="23" t="s">
        <v>23</v>
      </c>
      <c r="P1669" s="23" t="s">
        <v>94</v>
      </c>
      <c r="Q1669" s="23" t="s">
        <v>95</v>
      </c>
      <c r="R1669" s="23" t="s">
        <v>997</v>
      </c>
      <c r="S1669" s="33">
        <v>0.2</v>
      </c>
      <c r="T1669" s="13">
        <v>15.696</v>
      </c>
      <c r="U1669" s="13">
        <v>5.1012000000000004</v>
      </c>
      <c r="V1669" s="55">
        <f>IFERROR(Table12[[#This Row],[Profit]]/Table12[[#This Row],[Sales]],0)</f>
        <v>0.32500000000000001</v>
      </c>
    </row>
    <row r="1670" spans="1:22" x14ac:dyDescent="0.2">
      <c r="A1670">
        <v>1669</v>
      </c>
      <c r="B1670" t="s">
        <v>5090</v>
      </c>
      <c r="C1670" s="1">
        <v>41968</v>
      </c>
      <c r="D1670" s="22">
        <f>MONTH(Table12[[#This Row],[Order Date]])</f>
        <v>11</v>
      </c>
      <c r="E1670" t="s">
        <v>1824</v>
      </c>
      <c r="F1670" t="s">
        <v>1825</v>
      </c>
      <c r="G1670" s="23" t="s">
        <v>28</v>
      </c>
      <c r="H1670" s="23" t="s">
        <v>58</v>
      </c>
      <c r="I1670" t="s">
        <v>4365</v>
      </c>
      <c r="J1670" s="23" t="s">
        <v>36</v>
      </c>
      <c r="K1670" s="22">
        <v>3</v>
      </c>
      <c r="L1670" s="1">
        <v>41973</v>
      </c>
      <c r="M1670" s="22">
        <f>Table12[[#This Row],[Ship Date]]-Table12[[#This Row],[Order Date]]</f>
        <v>5</v>
      </c>
      <c r="N1670" s="23" t="s">
        <v>45</v>
      </c>
      <c r="O1670" s="23" t="s">
        <v>23</v>
      </c>
      <c r="P1670" s="23" t="s">
        <v>94</v>
      </c>
      <c r="Q1670" s="23" t="s">
        <v>95</v>
      </c>
      <c r="R1670" s="23" t="s">
        <v>997</v>
      </c>
      <c r="S1670" s="33">
        <v>0.6</v>
      </c>
      <c r="T1670" s="13">
        <v>6.0960000000000001</v>
      </c>
      <c r="U1670" s="13">
        <v>-3.9624000000000001</v>
      </c>
      <c r="V1670" s="55">
        <f>IFERROR(Table12[[#This Row],[Profit]]/Table12[[#This Row],[Sales]],0)</f>
        <v>-0.65</v>
      </c>
    </row>
    <row r="1671" spans="1:22" x14ac:dyDescent="0.2">
      <c r="A1671">
        <v>1670</v>
      </c>
      <c r="B1671" t="s">
        <v>6402</v>
      </c>
      <c r="C1671" s="1">
        <v>41968</v>
      </c>
      <c r="D1671" s="22">
        <f>MONTH(Table12[[#This Row],[Order Date]])</f>
        <v>11</v>
      </c>
      <c r="E1671" t="s">
        <v>2581</v>
      </c>
      <c r="F1671" t="s">
        <v>2582</v>
      </c>
      <c r="G1671" s="23" t="s">
        <v>28</v>
      </c>
      <c r="H1671" s="23" t="s">
        <v>58</v>
      </c>
      <c r="I1671" t="s">
        <v>3554</v>
      </c>
      <c r="J1671" s="23" t="s">
        <v>22</v>
      </c>
      <c r="K1671" s="22">
        <v>2</v>
      </c>
      <c r="L1671" s="1">
        <v>41970</v>
      </c>
      <c r="M1671" s="22">
        <f>Table12[[#This Row],[Ship Date]]-Table12[[#This Row],[Order Date]]</f>
        <v>2</v>
      </c>
      <c r="N1671" s="23" t="s">
        <v>20</v>
      </c>
      <c r="O1671" s="23" t="s">
        <v>23</v>
      </c>
      <c r="P1671" s="23" t="s">
        <v>1235</v>
      </c>
      <c r="Q1671" s="23" t="s">
        <v>133</v>
      </c>
      <c r="R1671" s="23" t="s">
        <v>6403</v>
      </c>
      <c r="S1671" s="33">
        <v>0</v>
      </c>
      <c r="T1671" s="13">
        <v>52.96</v>
      </c>
      <c r="U1671" s="13">
        <v>20.1248</v>
      </c>
      <c r="V1671" s="55">
        <f>IFERROR(Table12[[#This Row],[Profit]]/Table12[[#This Row],[Sales]],0)</f>
        <v>0.38</v>
      </c>
    </row>
    <row r="1672" spans="1:22" x14ac:dyDescent="0.2">
      <c r="A1672">
        <v>1671</v>
      </c>
      <c r="B1672" t="s">
        <v>6980</v>
      </c>
      <c r="C1672" s="1">
        <v>41968</v>
      </c>
      <c r="D1672" s="22">
        <f>MONTH(Table12[[#This Row],[Order Date]])</f>
        <v>11</v>
      </c>
      <c r="E1672" t="s">
        <v>4978</v>
      </c>
      <c r="F1672" t="s">
        <v>4979</v>
      </c>
      <c r="G1672" s="23" t="s">
        <v>41</v>
      </c>
      <c r="H1672" s="23" t="s">
        <v>53</v>
      </c>
      <c r="I1672" t="s">
        <v>3602</v>
      </c>
      <c r="J1672" s="23" t="s">
        <v>92</v>
      </c>
      <c r="K1672" s="22">
        <v>4</v>
      </c>
      <c r="L1672" s="1">
        <v>41972</v>
      </c>
      <c r="M1672" s="22">
        <f>Table12[[#This Row],[Ship Date]]-Table12[[#This Row],[Order Date]]</f>
        <v>4</v>
      </c>
      <c r="N1672" s="23" t="s">
        <v>20</v>
      </c>
      <c r="O1672" s="23" t="s">
        <v>23</v>
      </c>
      <c r="P1672" s="23" t="s">
        <v>238</v>
      </c>
      <c r="Q1672" s="23" t="s">
        <v>133</v>
      </c>
      <c r="R1672" s="23" t="s">
        <v>237</v>
      </c>
      <c r="S1672" s="33">
        <v>0</v>
      </c>
      <c r="T1672" s="13">
        <v>1117.92</v>
      </c>
      <c r="U1672" s="13">
        <v>55.896000000000001</v>
      </c>
      <c r="V1672" s="55">
        <f>IFERROR(Table12[[#This Row],[Profit]]/Table12[[#This Row],[Sales]],0)</f>
        <v>4.9999999999999996E-2</v>
      </c>
    </row>
    <row r="1673" spans="1:22" x14ac:dyDescent="0.2">
      <c r="A1673">
        <v>1672</v>
      </c>
      <c r="B1673" t="s">
        <v>6980</v>
      </c>
      <c r="C1673" s="1">
        <v>41968</v>
      </c>
      <c r="D1673" s="22">
        <f>MONTH(Table12[[#This Row],[Order Date]])</f>
        <v>11</v>
      </c>
      <c r="E1673" t="s">
        <v>3953</v>
      </c>
      <c r="F1673" t="s">
        <v>3954</v>
      </c>
      <c r="G1673" s="23" t="s">
        <v>28</v>
      </c>
      <c r="H1673" s="23" t="s">
        <v>29</v>
      </c>
      <c r="I1673" t="s">
        <v>3602</v>
      </c>
      <c r="J1673" s="23" t="s">
        <v>92</v>
      </c>
      <c r="K1673" s="22">
        <v>3</v>
      </c>
      <c r="L1673" s="1">
        <v>41972</v>
      </c>
      <c r="M1673" s="22">
        <f>Table12[[#This Row],[Ship Date]]-Table12[[#This Row],[Order Date]]</f>
        <v>4</v>
      </c>
      <c r="N1673" s="23" t="s">
        <v>20</v>
      </c>
      <c r="O1673" s="23" t="s">
        <v>23</v>
      </c>
      <c r="P1673" s="23" t="s">
        <v>238</v>
      </c>
      <c r="Q1673" s="23" t="s">
        <v>133</v>
      </c>
      <c r="R1673" s="23" t="s">
        <v>237</v>
      </c>
      <c r="S1673" s="33">
        <v>0.2</v>
      </c>
      <c r="T1673" s="13">
        <v>275.952</v>
      </c>
      <c r="U1673" s="13">
        <v>-37.943399999999997</v>
      </c>
      <c r="V1673" s="55">
        <f>IFERROR(Table12[[#This Row],[Profit]]/Table12[[#This Row],[Sales]],0)</f>
        <v>-0.13749999999999998</v>
      </c>
    </row>
    <row r="1674" spans="1:22" x14ac:dyDescent="0.2">
      <c r="A1674">
        <v>1673</v>
      </c>
      <c r="B1674" t="s">
        <v>8079</v>
      </c>
      <c r="C1674" s="1">
        <v>41968</v>
      </c>
      <c r="D1674" s="22">
        <f>MONTH(Table12[[#This Row],[Order Date]])</f>
        <v>11</v>
      </c>
      <c r="E1674" t="s">
        <v>6231</v>
      </c>
      <c r="F1674" t="s">
        <v>6232</v>
      </c>
      <c r="G1674" s="23" t="s">
        <v>41</v>
      </c>
      <c r="H1674" s="23" t="s">
        <v>61</v>
      </c>
      <c r="I1674" t="s">
        <v>2478</v>
      </c>
      <c r="J1674" s="23" t="s">
        <v>22</v>
      </c>
      <c r="K1674" s="22">
        <v>7</v>
      </c>
      <c r="L1674" s="1">
        <v>41973</v>
      </c>
      <c r="M1674" s="22">
        <f>Table12[[#This Row],[Ship Date]]-Table12[[#This Row],[Order Date]]</f>
        <v>5</v>
      </c>
      <c r="N1674" s="23" t="s">
        <v>45</v>
      </c>
      <c r="O1674" s="23" t="s">
        <v>23</v>
      </c>
      <c r="P1674" s="23" t="s">
        <v>374</v>
      </c>
      <c r="Q1674" s="23" t="s">
        <v>39</v>
      </c>
      <c r="R1674" s="23" t="s">
        <v>284</v>
      </c>
      <c r="S1674" s="33">
        <v>0.2</v>
      </c>
      <c r="T1674" s="13">
        <v>51.015999999999998</v>
      </c>
      <c r="U1674" s="13">
        <v>8.2901000000000007</v>
      </c>
      <c r="V1674" s="55">
        <f>IFERROR(Table12[[#This Row],[Profit]]/Table12[[#This Row],[Sales]],0)</f>
        <v>0.16250000000000001</v>
      </c>
    </row>
    <row r="1675" spans="1:22" x14ac:dyDescent="0.2">
      <c r="A1675">
        <v>1674</v>
      </c>
      <c r="B1675" t="s">
        <v>8789</v>
      </c>
      <c r="C1675" s="1">
        <v>41968</v>
      </c>
      <c r="D1675" s="22">
        <f>MONTH(Table12[[#This Row],[Order Date]])</f>
        <v>11</v>
      </c>
      <c r="E1675" t="s">
        <v>849</v>
      </c>
      <c r="F1675" t="s">
        <v>850</v>
      </c>
      <c r="G1675" s="23" t="s">
        <v>64</v>
      </c>
      <c r="H1675" s="23" t="s">
        <v>65</v>
      </c>
      <c r="I1675" t="s">
        <v>4508</v>
      </c>
      <c r="J1675" s="23" t="s">
        <v>22</v>
      </c>
      <c r="K1675" s="22">
        <v>5</v>
      </c>
      <c r="L1675" s="1">
        <v>41972</v>
      </c>
      <c r="M1675" s="22">
        <f>Table12[[#This Row],[Ship Date]]-Table12[[#This Row],[Order Date]]</f>
        <v>4</v>
      </c>
      <c r="N1675" s="23" t="s">
        <v>45</v>
      </c>
      <c r="O1675" s="23" t="s">
        <v>23</v>
      </c>
      <c r="P1675" s="23" t="s">
        <v>38</v>
      </c>
      <c r="Q1675" s="23" t="s">
        <v>39</v>
      </c>
      <c r="R1675" s="23" t="s">
        <v>37</v>
      </c>
      <c r="S1675" s="33">
        <v>0.2</v>
      </c>
      <c r="T1675" s="13">
        <v>539.91999999999996</v>
      </c>
      <c r="U1675" s="13">
        <v>47.243000000000002</v>
      </c>
      <c r="V1675" s="55">
        <f>IFERROR(Table12[[#This Row],[Profit]]/Table12[[#This Row],[Sales]],0)</f>
        <v>8.7500000000000008E-2</v>
      </c>
    </row>
    <row r="1676" spans="1:22" x14ac:dyDescent="0.2">
      <c r="A1676">
        <v>1675</v>
      </c>
      <c r="B1676" t="s">
        <v>8789</v>
      </c>
      <c r="C1676" s="1">
        <v>41968</v>
      </c>
      <c r="D1676" s="22">
        <f>MONTH(Table12[[#This Row],[Order Date]])</f>
        <v>11</v>
      </c>
      <c r="E1676" t="s">
        <v>2160</v>
      </c>
      <c r="F1676" t="s">
        <v>2161</v>
      </c>
      <c r="G1676" s="23" t="s">
        <v>28</v>
      </c>
      <c r="H1676" s="23" t="s">
        <v>32</v>
      </c>
      <c r="I1676" t="s">
        <v>4508</v>
      </c>
      <c r="J1676" s="23" t="s">
        <v>22</v>
      </c>
      <c r="K1676" s="22">
        <v>4</v>
      </c>
      <c r="L1676" s="1">
        <v>41972</v>
      </c>
      <c r="M1676" s="22">
        <f>Table12[[#This Row],[Ship Date]]-Table12[[#This Row],[Order Date]]</f>
        <v>4</v>
      </c>
      <c r="N1676" s="23" t="s">
        <v>45</v>
      </c>
      <c r="O1676" s="23" t="s">
        <v>23</v>
      </c>
      <c r="P1676" s="23" t="s">
        <v>38</v>
      </c>
      <c r="Q1676" s="23" t="s">
        <v>39</v>
      </c>
      <c r="R1676" s="23" t="s">
        <v>37</v>
      </c>
      <c r="S1676" s="33">
        <v>0.2</v>
      </c>
      <c r="T1676" s="13">
        <v>725.34400000000005</v>
      </c>
      <c r="U1676" s="13">
        <v>54.400799999999997</v>
      </c>
      <c r="V1676" s="55">
        <f>IFERROR(Table12[[#This Row],[Profit]]/Table12[[#This Row],[Sales]],0)</f>
        <v>7.4999999999999983E-2</v>
      </c>
    </row>
    <row r="1677" spans="1:22" x14ac:dyDescent="0.2">
      <c r="A1677">
        <v>1676</v>
      </c>
      <c r="B1677" t="s">
        <v>8789</v>
      </c>
      <c r="C1677" s="1">
        <v>41968</v>
      </c>
      <c r="D1677" s="22">
        <f>MONTH(Table12[[#This Row],[Order Date]])</f>
        <v>11</v>
      </c>
      <c r="E1677" t="s">
        <v>8726</v>
      </c>
      <c r="F1677" t="s">
        <v>2673</v>
      </c>
      <c r="G1677" s="23" t="s">
        <v>41</v>
      </c>
      <c r="H1677" s="23" t="s">
        <v>61</v>
      </c>
      <c r="I1677" t="s">
        <v>4508</v>
      </c>
      <c r="J1677" s="23" t="s">
        <v>22</v>
      </c>
      <c r="K1677" s="22">
        <v>3</v>
      </c>
      <c r="L1677" s="1">
        <v>41972</v>
      </c>
      <c r="M1677" s="22">
        <f>Table12[[#This Row],[Ship Date]]-Table12[[#This Row],[Order Date]]</f>
        <v>4</v>
      </c>
      <c r="N1677" s="23" t="s">
        <v>45</v>
      </c>
      <c r="O1677" s="23" t="s">
        <v>23</v>
      </c>
      <c r="P1677" s="23" t="s">
        <v>38</v>
      </c>
      <c r="Q1677" s="23" t="s">
        <v>39</v>
      </c>
      <c r="R1677" s="23" t="s">
        <v>37</v>
      </c>
      <c r="S1677" s="33">
        <v>0</v>
      </c>
      <c r="T1677" s="13">
        <v>7.44</v>
      </c>
      <c r="U1677" s="13">
        <v>2.6040000000000001</v>
      </c>
      <c r="V1677" s="55">
        <f>IFERROR(Table12[[#This Row],[Profit]]/Table12[[#This Row],[Sales]],0)</f>
        <v>0.35</v>
      </c>
    </row>
    <row r="1678" spans="1:22" x14ac:dyDescent="0.2">
      <c r="A1678">
        <v>1677</v>
      </c>
      <c r="B1678" t="s">
        <v>314</v>
      </c>
      <c r="C1678" s="1">
        <v>41969</v>
      </c>
      <c r="D1678" s="22">
        <f>MONTH(Table12[[#This Row],[Order Date]])</f>
        <v>11</v>
      </c>
      <c r="E1678" t="s">
        <v>315</v>
      </c>
      <c r="F1678" t="s">
        <v>316</v>
      </c>
      <c r="G1678" s="23" t="s">
        <v>28</v>
      </c>
      <c r="H1678" s="23" t="s">
        <v>58</v>
      </c>
      <c r="I1678" t="s">
        <v>297</v>
      </c>
      <c r="J1678" s="23" t="s">
        <v>22</v>
      </c>
      <c r="K1678" s="22">
        <v>5</v>
      </c>
      <c r="L1678" s="1">
        <v>41974</v>
      </c>
      <c r="M1678" s="22">
        <f>Table12[[#This Row],[Ship Date]]-Table12[[#This Row],[Order Date]]</f>
        <v>5</v>
      </c>
      <c r="N1678" s="23" t="s">
        <v>20</v>
      </c>
      <c r="O1678" s="23" t="s">
        <v>23</v>
      </c>
      <c r="P1678" s="23" t="s">
        <v>94</v>
      </c>
      <c r="Q1678" s="23" t="s">
        <v>95</v>
      </c>
      <c r="R1678" s="23" t="s">
        <v>165</v>
      </c>
      <c r="S1678" s="33">
        <v>0.6</v>
      </c>
      <c r="T1678" s="13">
        <v>19.3</v>
      </c>
      <c r="U1678" s="13">
        <v>-14.475</v>
      </c>
      <c r="V1678" s="55">
        <f>IFERROR(Table12[[#This Row],[Profit]]/Table12[[#This Row],[Sales]],0)</f>
        <v>-0.75</v>
      </c>
    </row>
    <row r="1679" spans="1:22" x14ac:dyDescent="0.2">
      <c r="A1679">
        <v>1678</v>
      </c>
      <c r="B1679" t="s">
        <v>3773</v>
      </c>
      <c r="C1679" s="1">
        <v>41969</v>
      </c>
      <c r="D1679" s="22">
        <f>MONTH(Table12[[#This Row],[Order Date]])</f>
        <v>11</v>
      </c>
      <c r="E1679" t="s">
        <v>2687</v>
      </c>
      <c r="F1679" t="s">
        <v>2688</v>
      </c>
      <c r="G1679" s="23" t="s">
        <v>41</v>
      </c>
      <c r="H1679" s="23" t="s">
        <v>82</v>
      </c>
      <c r="I1679" t="s">
        <v>3774</v>
      </c>
      <c r="J1679" s="23" t="s">
        <v>22</v>
      </c>
      <c r="K1679" s="22">
        <v>3</v>
      </c>
      <c r="L1679" s="1">
        <v>41975</v>
      </c>
      <c r="M1679" s="22">
        <f>Table12[[#This Row],[Ship Date]]-Table12[[#This Row],[Order Date]]</f>
        <v>6</v>
      </c>
      <c r="N1679" s="23" t="s">
        <v>45</v>
      </c>
      <c r="O1679" s="23" t="s">
        <v>23</v>
      </c>
      <c r="P1679" s="23" t="s">
        <v>374</v>
      </c>
      <c r="Q1679" s="23" t="s">
        <v>39</v>
      </c>
      <c r="R1679" s="23" t="s">
        <v>3775</v>
      </c>
      <c r="S1679" s="33">
        <v>0.2</v>
      </c>
      <c r="T1679" s="13">
        <v>15.552</v>
      </c>
      <c r="U1679" s="13">
        <v>5.4432</v>
      </c>
      <c r="V1679" s="55">
        <f>IFERROR(Table12[[#This Row],[Profit]]/Table12[[#This Row],[Sales]],0)</f>
        <v>0.35000000000000003</v>
      </c>
    </row>
    <row r="1680" spans="1:22" x14ac:dyDescent="0.2">
      <c r="A1680">
        <v>1679</v>
      </c>
      <c r="B1680" t="s">
        <v>3773</v>
      </c>
      <c r="C1680" s="1">
        <v>41969</v>
      </c>
      <c r="D1680" s="22">
        <f>MONTH(Table12[[#This Row],[Order Date]])</f>
        <v>11</v>
      </c>
      <c r="E1680" t="s">
        <v>2578</v>
      </c>
      <c r="F1680" t="s">
        <v>2579</v>
      </c>
      <c r="G1680" s="23" t="s">
        <v>41</v>
      </c>
      <c r="H1680" s="23" t="s">
        <v>53</v>
      </c>
      <c r="I1680" t="s">
        <v>3774</v>
      </c>
      <c r="J1680" s="23" t="s">
        <v>22</v>
      </c>
      <c r="K1680" s="22">
        <v>5</v>
      </c>
      <c r="L1680" s="1">
        <v>41975</v>
      </c>
      <c r="M1680" s="22">
        <f>Table12[[#This Row],[Ship Date]]-Table12[[#This Row],[Order Date]]</f>
        <v>6</v>
      </c>
      <c r="N1680" s="23" t="s">
        <v>45</v>
      </c>
      <c r="O1680" s="23" t="s">
        <v>23</v>
      </c>
      <c r="P1680" s="23" t="s">
        <v>374</v>
      </c>
      <c r="Q1680" s="23" t="s">
        <v>39</v>
      </c>
      <c r="R1680" s="23" t="s">
        <v>3775</v>
      </c>
      <c r="S1680" s="33">
        <v>0.2</v>
      </c>
      <c r="T1680" s="13">
        <v>669.08</v>
      </c>
      <c r="U1680" s="13">
        <v>-167.27</v>
      </c>
      <c r="V1680" s="55">
        <f>IFERROR(Table12[[#This Row],[Profit]]/Table12[[#This Row],[Sales]],0)</f>
        <v>-0.25</v>
      </c>
    </row>
    <row r="1681" spans="1:22" x14ac:dyDescent="0.2">
      <c r="A1681">
        <v>1680</v>
      </c>
      <c r="B1681" t="s">
        <v>3773</v>
      </c>
      <c r="C1681" s="1">
        <v>41969</v>
      </c>
      <c r="D1681" s="22">
        <f>MONTH(Table12[[#This Row],[Order Date]])</f>
        <v>11</v>
      </c>
      <c r="E1681" t="s">
        <v>3776</v>
      </c>
      <c r="F1681" t="s">
        <v>3777</v>
      </c>
      <c r="G1681" s="23" t="s">
        <v>64</v>
      </c>
      <c r="H1681" s="23" t="s">
        <v>65</v>
      </c>
      <c r="I1681" t="s">
        <v>3774</v>
      </c>
      <c r="J1681" s="23" t="s">
        <v>22</v>
      </c>
      <c r="K1681" s="22">
        <v>4</v>
      </c>
      <c r="L1681" s="1">
        <v>41975</v>
      </c>
      <c r="M1681" s="22">
        <f>Table12[[#This Row],[Ship Date]]-Table12[[#This Row],[Order Date]]</f>
        <v>6</v>
      </c>
      <c r="N1681" s="23" t="s">
        <v>45</v>
      </c>
      <c r="O1681" s="23" t="s">
        <v>23</v>
      </c>
      <c r="P1681" s="23" t="s">
        <v>374</v>
      </c>
      <c r="Q1681" s="23" t="s">
        <v>39</v>
      </c>
      <c r="R1681" s="23" t="s">
        <v>3775</v>
      </c>
      <c r="S1681" s="33">
        <v>0.2</v>
      </c>
      <c r="T1681" s="13">
        <v>438.33600000000001</v>
      </c>
      <c r="U1681" s="13">
        <v>-87.667199999999994</v>
      </c>
      <c r="V1681" s="55">
        <f>IFERROR(Table12[[#This Row],[Profit]]/Table12[[#This Row],[Sales]],0)</f>
        <v>-0.19999999999999998</v>
      </c>
    </row>
    <row r="1682" spans="1:22" x14ac:dyDescent="0.2">
      <c r="A1682">
        <v>1681</v>
      </c>
      <c r="B1682" t="s">
        <v>7321</v>
      </c>
      <c r="C1682" s="1">
        <v>41969</v>
      </c>
      <c r="D1682" s="22">
        <f>MONTH(Table12[[#This Row],[Order Date]])</f>
        <v>11</v>
      </c>
      <c r="E1682" t="s">
        <v>5840</v>
      </c>
      <c r="F1682" t="s">
        <v>5841</v>
      </c>
      <c r="G1682" s="23" t="s">
        <v>41</v>
      </c>
      <c r="H1682" s="23" t="s">
        <v>82</v>
      </c>
      <c r="I1682" t="s">
        <v>487</v>
      </c>
      <c r="J1682" s="23" t="s">
        <v>92</v>
      </c>
      <c r="K1682" s="22">
        <v>2</v>
      </c>
      <c r="L1682" s="1">
        <v>41974</v>
      </c>
      <c r="M1682" s="22">
        <f>Table12[[#This Row],[Ship Date]]-Table12[[#This Row],[Order Date]]</f>
        <v>5</v>
      </c>
      <c r="N1682" s="23" t="s">
        <v>45</v>
      </c>
      <c r="O1682" s="23" t="s">
        <v>23</v>
      </c>
      <c r="P1682" s="23" t="s">
        <v>38</v>
      </c>
      <c r="Q1682" s="23" t="s">
        <v>39</v>
      </c>
      <c r="R1682" s="23" t="s">
        <v>114</v>
      </c>
      <c r="S1682" s="33">
        <v>0</v>
      </c>
      <c r="T1682" s="13">
        <v>81.98</v>
      </c>
      <c r="U1682" s="13">
        <v>40.170200000000001</v>
      </c>
      <c r="V1682" s="55">
        <f>IFERROR(Table12[[#This Row],[Profit]]/Table12[[#This Row],[Sales]],0)</f>
        <v>0.49</v>
      </c>
    </row>
    <row r="1683" spans="1:22" x14ac:dyDescent="0.2">
      <c r="A1683">
        <v>1682</v>
      </c>
      <c r="B1683" t="s">
        <v>7742</v>
      </c>
      <c r="C1683" s="1">
        <v>41969</v>
      </c>
      <c r="D1683" s="22">
        <f>MONTH(Table12[[#This Row],[Order Date]])</f>
        <v>11</v>
      </c>
      <c r="E1683" t="s">
        <v>2057</v>
      </c>
      <c r="F1683" t="s">
        <v>2058</v>
      </c>
      <c r="G1683" s="23" t="s">
        <v>64</v>
      </c>
      <c r="H1683" s="23" t="s">
        <v>65</v>
      </c>
      <c r="I1683" t="s">
        <v>1546</v>
      </c>
      <c r="J1683" s="23" t="s">
        <v>22</v>
      </c>
      <c r="K1683" s="22">
        <v>4</v>
      </c>
      <c r="L1683" s="1">
        <v>41969</v>
      </c>
      <c r="M1683" s="22">
        <f>Table12[[#This Row],[Ship Date]]-Table12[[#This Row],[Order Date]]</f>
        <v>0</v>
      </c>
      <c r="N1683" s="23" t="s">
        <v>1141</v>
      </c>
      <c r="O1683" s="23" t="s">
        <v>23</v>
      </c>
      <c r="P1683" s="23" t="s">
        <v>238</v>
      </c>
      <c r="Q1683" s="23" t="s">
        <v>133</v>
      </c>
      <c r="R1683" s="23" t="s">
        <v>7743</v>
      </c>
      <c r="S1683" s="33">
        <v>0</v>
      </c>
      <c r="T1683" s="13">
        <v>279.95999999999998</v>
      </c>
      <c r="U1683" s="13">
        <v>78.388800000000003</v>
      </c>
      <c r="V1683" s="55">
        <f>IFERROR(Table12[[#This Row],[Profit]]/Table12[[#This Row],[Sales]],0)</f>
        <v>0.28000000000000003</v>
      </c>
    </row>
    <row r="1684" spans="1:22" x14ac:dyDescent="0.2">
      <c r="A1684">
        <v>1683</v>
      </c>
      <c r="B1684" t="s">
        <v>7742</v>
      </c>
      <c r="C1684" s="1">
        <v>41969</v>
      </c>
      <c r="D1684" s="22">
        <f>MONTH(Table12[[#This Row],[Order Date]])</f>
        <v>11</v>
      </c>
      <c r="E1684" t="s">
        <v>263</v>
      </c>
      <c r="F1684" t="s">
        <v>264</v>
      </c>
      <c r="G1684" s="23" t="s">
        <v>41</v>
      </c>
      <c r="H1684" s="23" t="s">
        <v>68</v>
      </c>
      <c r="I1684" t="s">
        <v>1546</v>
      </c>
      <c r="J1684" s="23" t="s">
        <v>22</v>
      </c>
      <c r="K1684" s="22">
        <v>3</v>
      </c>
      <c r="L1684" s="1">
        <v>41969</v>
      </c>
      <c r="M1684" s="22">
        <f>Table12[[#This Row],[Ship Date]]-Table12[[#This Row],[Order Date]]</f>
        <v>0</v>
      </c>
      <c r="N1684" s="23" t="s">
        <v>1141</v>
      </c>
      <c r="O1684" s="23" t="s">
        <v>23</v>
      </c>
      <c r="P1684" s="23" t="s">
        <v>238</v>
      </c>
      <c r="Q1684" s="23" t="s">
        <v>133</v>
      </c>
      <c r="R1684" s="23" t="s">
        <v>7743</v>
      </c>
      <c r="S1684" s="33">
        <v>0.2</v>
      </c>
      <c r="T1684" s="13">
        <v>12.912000000000001</v>
      </c>
      <c r="U1684" s="13">
        <v>4.6806000000000001</v>
      </c>
      <c r="V1684" s="55">
        <f>IFERROR(Table12[[#This Row],[Profit]]/Table12[[#This Row],[Sales]],0)</f>
        <v>0.36249999999999999</v>
      </c>
    </row>
    <row r="1685" spans="1:22" x14ac:dyDescent="0.2">
      <c r="A1685">
        <v>1684</v>
      </c>
      <c r="B1685" t="s">
        <v>7742</v>
      </c>
      <c r="C1685" s="1">
        <v>41969</v>
      </c>
      <c r="D1685" s="22">
        <f>MONTH(Table12[[#This Row],[Order Date]])</f>
        <v>11</v>
      </c>
      <c r="E1685" t="s">
        <v>3023</v>
      </c>
      <c r="F1685" t="s">
        <v>3024</v>
      </c>
      <c r="G1685" s="23" t="s">
        <v>41</v>
      </c>
      <c r="H1685" s="23" t="s">
        <v>68</v>
      </c>
      <c r="I1685" t="s">
        <v>1546</v>
      </c>
      <c r="J1685" s="23" t="s">
        <v>22</v>
      </c>
      <c r="K1685" s="22">
        <v>4</v>
      </c>
      <c r="L1685" s="1">
        <v>41969</v>
      </c>
      <c r="M1685" s="22">
        <f>Table12[[#This Row],[Ship Date]]-Table12[[#This Row],[Order Date]]</f>
        <v>0</v>
      </c>
      <c r="N1685" s="23" t="s">
        <v>1141</v>
      </c>
      <c r="O1685" s="23" t="s">
        <v>23</v>
      </c>
      <c r="P1685" s="23" t="s">
        <v>238</v>
      </c>
      <c r="Q1685" s="23" t="s">
        <v>133</v>
      </c>
      <c r="R1685" s="23" t="s">
        <v>7743</v>
      </c>
      <c r="S1685" s="33">
        <v>0.2</v>
      </c>
      <c r="T1685" s="13">
        <v>17.088000000000001</v>
      </c>
      <c r="U1685" s="13">
        <v>5.7671999999999999</v>
      </c>
      <c r="V1685" s="55">
        <f>IFERROR(Table12[[#This Row],[Profit]]/Table12[[#This Row],[Sales]],0)</f>
        <v>0.33749999999999997</v>
      </c>
    </row>
    <row r="1686" spans="1:22" x14ac:dyDescent="0.2">
      <c r="A1686">
        <v>1685</v>
      </c>
      <c r="B1686" t="s">
        <v>7742</v>
      </c>
      <c r="C1686" s="1">
        <v>41969</v>
      </c>
      <c r="D1686" s="22">
        <f>MONTH(Table12[[#This Row],[Order Date]])</f>
        <v>11</v>
      </c>
      <c r="E1686" t="s">
        <v>1128</v>
      </c>
      <c r="F1686" t="s">
        <v>1129</v>
      </c>
      <c r="G1686" s="23" t="s">
        <v>41</v>
      </c>
      <c r="H1686" s="23" t="s">
        <v>42</v>
      </c>
      <c r="I1686" t="s">
        <v>1546</v>
      </c>
      <c r="J1686" s="23" t="s">
        <v>22</v>
      </c>
      <c r="K1686" s="22">
        <v>9</v>
      </c>
      <c r="L1686" s="1">
        <v>41969</v>
      </c>
      <c r="M1686" s="22">
        <f>Table12[[#This Row],[Ship Date]]-Table12[[#This Row],[Order Date]]</f>
        <v>0</v>
      </c>
      <c r="N1686" s="23" t="s">
        <v>1141</v>
      </c>
      <c r="O1686" s="23" t="s">
        <v>23</v>
      </c>
      <c r="P1686" s="23" t="s">
        <v>238</v>
      </c>
      <c r="Q1686" s="23" t="s">
        <v>133</v>
      </c>
      <c r="R1686" s="23" t="s">
        <v>7743</v>
      </c>
      <c r="S1686" s="33">
        <v>0</v>
      </c>
      <c r="T1686" s="13">
        <v>93.15</v>
      </c>
      <c r="U1686" s="13">
        <v>44.712000000000003</v>
      </c>
      <c r="V1686" s="55">
        <f>IFERROR(Table12[[#This Row],[Profit]]/Table12[[#This Row],[Sales]],0)</f>
        <v>0.48</v>
      </c>
    </row>
    <row r="1687" spans="1:22" x14ac:dyDescent="0.2">
      <c r="A1687">
        <v>1686</v>
      </c>
      <c r="B1687" t="s">
        <v>7742</v>
      </c>
      <c r="C1687" s="1">
        <v>41969</v>
      </c>
      <c r="D1687" s="22">
        <f>MONTH(Table12[[#This Row],[Order Date]])</f>
        <v>11</v>
      </c>
      <c r="E1687" t="s">
        <v>2568</v>
      </c>
      <c r="F1687" t="s">
        <v>2569</v>
      </c>
      <c r="G1687" s="23" t="s">
        <v>41</v>
      </c>
      <c r="H1687" s="23" t="s">
        <v>42</v>
      </c>
      <c r="I1687" t="s">
        <v>1546</v>
      </c>
      <c r="J1687" s="23" t="s">
        <v>22</v>
      </c>
      <c r="K1687" s="22">
        <v>4</v>
      </c>
      <c r="L1687" s="1">
        <v>41969</v>
      </c>
      <c r="M1687" s="22">
        <f>Table12[[#This Row],[Ship Date]]-Table12[[#This Row],[Order Date]]</f>
        <v>0</v>
      </c>
      <c r="N1687" s="23" t="s">
        <v>1141</v>
      </c>
      <c r="O1687" s="23" t="s">
        <v>23</v>
      </c>
      <c r="P1687" s="23" t="s">
        <v>238</v>
      </c>
      <c r="Q1687" s="23" t="s">
        <v>133</v>
      </c>
      <c r="R1687" s="23" t="s">
        <v>7743</v>
      </c>
      <c r="S1687" s="33">
        <v>0</v>
      </c>
      <c r="T1687" s="13">
        <v>11.52</v>
      </c>
      <c r="U1687" s="13">
        <v>5.6448</v>
      </c>
      <c r="V1687" s="55">
        <f>IFERROR(Table12[[#This Row],[Profit]]/Table12[[#This Row],[Sales]],0)</f>
        <v>0.49000000000000005</v>
      </c>
    </row>
    <row r="1688" spans="1:22" x14ac:dyDescent="0.2">
      <c r="A1688">
        <v>1687</v>
      </c>
      <c r="B1688" t="s">
        <v>9350</v>
      </c>
      <c r="C1688" s="1">
        <v>41969</v>
      </c>
      <c r="D1688" s="22">
        <f>MONTH(Table12[[#This Row],[Order Date]])</f>
        <v>11</v>
      </c>
      <c r="E1688" t="s">
        <v>2585</v>
      </c>
      <c r="F1688" t="s">
        <v>2586</v>
      </c>
      <c r="G1688" s="23" t="s">
        <v>41</v>
      </c>
      <c r="H1688" s="23" t="s">
        <v>68</v>
      </c>
      <c r="I1688" t="s">
        <v>4965</v>
      </c>
      <c r="J1688" s="23" t="s">
        <v>36</v>
      </c>
      <c r="K1688" s="22">
        <v>3</v>
      </c>
      <c r="L1688" s="1">
        <v>41974</v>
      </c>
      <c r="M1688" s="22">
        <f>Table12[[#This Row],[Ship Date]]-Table12[[#This Row],[Order Date]]</f>
        <v>5</v>
      </c>
      <c r="N1688" s="23" t="s">
        <v>45</v>
      </c>
      <c r="O1688" s="23" t="s">
        <v>23</v>
      </c>
      <c r="P1688" s="23" t="s">
        <v>38</v>
      </c>
      <c r="Q1688" s="23" t="s">
        <v>39</v>
      </c>
      <c r="R1688" s="23" t="s">
        <v>3080</v>
      </c>
      <c r="S1688" s="33">
        <v>0.2</v>
      </c>
      <c r="T1688" s="13">
        <v>4.32</v>
      </c>
      <c r="U1688" s="13">
        <v>1.512</v>
      </c>
      <c r="V1688" s="55">
        <f>IFERROR(Table12[[#This Row],[Profit]]/Table12[[#This Row],[Sales]],0)</f>
        <v>0.35</v>
      </c>
    </row>
    <row r="1689" spans="1:22" x14ac:dyDescent="0.2">
      <c r="A1689">
        <v>1688</v>
      </c>
      <c r="B1689" t="s">
        <v>9350</v>
      </c>
      <c r="C1689" s="1">
        <v>41969</v>
      </c>
      <c r="D1689" s="22">
        <f>MONTH(Table12[[#This Row],[Order Date]])</f>
        <v>11</v>
      </c>
      <c r="E1689" t="s">
        <v>3578</v>
      </c>
      <c r="F1689" t="s">
        <v>3579</v>
      </c>
      <c r="G1689" s="23" t="s">
        <v>41</v>
      </c>
      <c r="H1689" s="23" t="s">
        <v>82</v>
      </c>
      <c r="I1689" t="s">
        <v>4965</v>
      </c>
      <c r="J1689" s="23" t="s">
        <v>36</v>
      </c>
      <c r="K1689" s="22">
        <v>3</v>
      </c>
      <c r="L1689" s="1">
        <v>41974</v>
      </c>
      <c r="M1689" s="22">
        <f>Table12[[#This Row],[Ship Date]]-Table12[[#This Row],[Order Date]]</f>
        <v>5</v>
      </c>
      <c r="N1689" s="23" t="s">
        <v>45</v>
      </c>
      <c r="O1689" s="23" t="s">
        <v>23</v>
      </c>
      <c r="P1689" s="23" t="s">
        <v>38</v>
      </c>
      <c r="Q1689" s="23" t="s">
        <v>39</v>
      </c>
      <c r="R1689" s="23" t="s">
        <v>3080</v>
      </c>
      <c r="S1689" s="33">
        <v>0</v>
      </c>
      <c r="T1689" s="13">
        <v>14.94</v>
      </c>
      <c r="U1689" s="13">
        <v>7.0217999999999998</v>
      </c>
      <c r="V1689" s="55">
        <f>IFERROR(Table12[[#This Row],[Profit]]/Table12[[#This Row],[Sales]],0)</f>
        <v>0.47000000000000003</v>
      </c>
    </row>
    <row r="1690" spans="1:22" x14ac:dyDescent="0.2">
      <c r="A1690">
        <v>1689</v>
      </c>
      <c r="B1690" t="s">
        <v>9350</v>
      </c>
      <c r="C1690" s="1">
        <v>41969</v>
      </c>
      <c r="D1690" s="22">
        <f>MONTH(Table12[[#This Row],[Order Date]])</f>
        <v>11</v>
      </c>
      <c r="E1690" t="s">
        <v>4552</v>
      </c>
      <c r="F1690" t="s">
        <v>4553</v>
      </c>
      <c r="G1690" s="23" t="s">
        <v>41</v>
      </c>
      <c r="H1690" s="23" t="s">
        <v>71</v>
      </c>
      <c r="I1690" t="s">
        <v>4965</v>
      </c>
      <c r="J1690" s="23" t="s">
        <v>36</v>
      </c>
      <c r="K1690" s="22">
        <v>2</v>
      </c>
      <c r="L1690" s="1">
        <v>41974</v>
      </c>
      <c r="M1690" s="22">
        <f>Table12[[#This Row],[Ship Date]]-Table12[[#This Row],[Order Date]]</f>
        <v>5</v>
      </c>
      <c r="N1690" s="23" t="s">
        <v>45</v>
      </c>
      <c r="O1690" s="23" t="s">
        <v>23</v>
      </c>
      <c r="P1690" s="23" t="s">
        <v>38</v>
      </c>
      <c r="Q1690" s="23" t="s">
        <v>39</v>
      </c>
      <c r="R1690" s="23" t="s">
        <v>3080</v>
      </c>
      <c r="S1690" s="33">
        <v>0</v>
      </c>
      <c r="T1690" s="13">
        <v>40.54</v>
      </c>
      <c r="U1690" s="13">
        <v>11.3512</v>
      </c>
      <c r="V1690" s="55">
        <f>IFERROR(Table12[[#This Row],[Profit]]/Table12[[#This Row],[Sales]],0)</f>
        <v>0.28000000000000003</v>
      </c>
    </row>
    <row r="1691" spans="1:22" x14ac:dyDescent="0.2">
      <c r="A1691">
        <v>1690</v>
      </c>
      <c r="B1691" t="s">
        <v>9350</v>
      </c>
      <c r="C1691" s="1">
        <v>41969</v>
      </c>
      <c r="D1691" s="22">
        <f>MONTH(Table12[[#This Row],[Order Date]])</f>
        <v>11</v>
      </c>
      <c r="E1691" t="s">
        <v>4784</v>
      </c>
      <c r="F1691" t="s">
        <v>4785</v>
      </c>
      <c r="G1691" s="23" t="s">
        <v>41</v>
      </c>
      <c r="H1691" s="23" t="s">
        <v>68</v>
      </c>
      <c r="I1691" t="s">
        <v>4965</v>
      </c>
      <c r="J1691" s="23" t="s">
        <v>36</v>
      </c>
      <c r="K1691" s="22">
        <v>1</v>
      </c>
      <c r="L1691" s="1">
        <v>41974</v>
      </c>
      <c r="M1691" s="22">
        <f>Table12[[#This Row],[Ship Date]]-Table12[[#This Row],[Order Date]]</f>
        <v>5</v>
      </c>
      <c r="N1691" s="23" t="s">
        <v>45</v>
      </c>
      <c r="O1691" s="23" t="s">
        <v>23</v>
      </c>
      <c r="P1691" s="23" t="s">
        <v>38</v>
      </c>
      <c r="Q1691" s="23" t="s">
        <v>39</v>
      </c>
      <c r="R1691" s="23" t="s">
        <v>3080</v>
      </c>
      <c r="S1691" s="33">
        <v>0.2</v>
      </c>
      <c r="T1691" s="13">
        <v>7.3120000000000003</v>
      </c>
      <c r="U1691" s="13">
        <v>2.5592000000000001</v>
      </c>
      <c r="V1691" s="55">
        <f>IFERROR(Table12[[#This Row],[Profit]]/Table12[[#This Row],[Sales]],0)</f>
        <v>0.35000000000000003</v>
      </c>
    </row>
    <row r="1692" spans="1:22" x14ac:dyDescent="0.2">
      <c r="A1692">
        <v>1691</v>
      </c>
      <c r="B1692" t="s">
        <v>3518</v>
      </c>
      <c r="C1692" s="1">
        <v>41970</v>
      </c>
      <c r="D1692" s="22">
        <f>MONTH(Table12[[#This Row],[Order Date]])</f>
        <v>11</v>
      </c>
      <c r="E1692" t="s">
        <v>3520</v>
      </c>
      <c r="F1692" t="s">
        <v>498</v>
      </c>
      <c r="G1692" s="23" t="s">
        <v>41</v>
      </c>
      <c r="H1692" s="23" t="s">
        <v>240</v>
      </c>
      <c r="I1692" t="s">
        <v>3519</v>
      </c>
      <c r="J1692" s="23" t="s">
        <v>22</v>
      </c>
      <c r="K1692" s="22">
        <v>2</v>
      </c>
      <c r="L1692" s="1">
        <v>41976</v>
      </c>
      <c r="M1692" s="22">
        <f>Table12[[#This Row],[Ship Date]]-Table12[[#This Row],[Order Date]]</f>
        <v>6</v>
      </c>
      <c r="N1692" s="23" t="s">
        <v>45</v>
      </c>
      <c r="O1692" s="23" t="s">
        <v>23</v>
      </c>
      <c r="P1692" s="23" t="s">
        <v>238</v>
      </c>
      <c r="Q1692" s="23" t="s">
        <v>133</v>
      </c>
      <c r="R1692" s="23" t="s">
        <v>237</v>
      </c>
      <c r="S1692" s="33">
        <v>0</v>
      </c>
      <c r="T1692" s="13">
        <v>3.76</v>
      </c>
      <c r="U1692" s="13">
        <v>1.3160000000000001</v>
      </c>
      <c r="V1692" s="55">
        <f>IFERROR(Table12[[#This Row],[Profit]]/Table12[[#This Row],[Sales]],0)</f>
        <v>0.35000000000000003</v>
      </c>
    </row>
    <row r="1693" spans="1:22" x14ac:dyDescent="0.2">
      <c r="A1693">
        <v>1692</v>
      </c>
      <c r="B1693" t="s">
        <v>9826</v>
      </c>
      <c r="C1693" s="1">
        <v>41970</v>
      </c>
      <c r="D1693" s="22">
        <f>MONTH(Table12[[#This Row],[Order Date]])</f>
        <v>11</v>
      </c>
      <c r="E1693" t="s">
        <v>3059</v>
      </c>
      <c r="F1693" t="s">
        <v>3060</v>
      </c>
      <c r="G1693" s="23" t="s">
        <v>28</v>
      </c>
      <c r="H1693" s="23" t="s">
        <v>58</v>
      </c>
      <c r="I1693" t="s">
        <v>5934</v>
      </c>
      <c r="J1693" s="23" t="s">
        <v>36</v>
      </c>
      <c r="K1693" s="22">
        <v>5</v>
      </c>
      <c r="L1693" s="1">
        <v>41974</v>
      </c>
      <c r="M1693" s="22">
        <f>Table12[[#This Row],[Ship Date]]-Table12[[#This Row],[Order Date]]</f>
        <v>4</v>
      </c>
      <c r="N1693" s="23" t="s">
        <v>45</v>
      </c>
      <c r="O1693" s="23" t="s">
        <v>23</v>
      </c>
      <c r="P1693" s="23" t="s">
        <v>238</v>
      </c>
      <c r="Q1693" s="23" t="s">
        <v>133</v>
      </c>
      <c r="R1693" s="23" t="s">
        <v>3048</v>
      </c>
      <c r="S1693" s="33">
        <v>0</v>
      </c>
      <c r="T1693" s="13">
        <v>199.9</v>
      </c>
      <c r="U1693" s="13">
        <v>39.979999999999997</v>
      </c>
      <c r="V1693" s="55">
        <f>IFERROR(Table12[[#This Row],[Profit]]/Table12[[#This Row],[Sales]],0)</f>
        <v>0.19999999999999998</v>
      </c>
    </row>
    <row r="1694" spans="1:22" x14ac:dyDescent="0.2">
      <c r="A1694">
        <v>1693</v>
      </c>
      <c r="B1694" t="s">
        <v>4559</v>
      </c>
      <c r="C1694" s="1">
        <v>41971</v>
      </c>
      <c r="D1694" s="22">
        <f>MONTH(Table12[[#This Row],[Order Date]])</f>
        <v>11</v>
      </c>
      <c r="E1694" t="s">
        <v>1930</v>
      </c>
      <c r="F1694" t="s">
        <v>1931</v>
      </c>
      <c r="G1694" s="23" t="s">
        <v>41</v>
      </c>
      <c r="H1694" s="23" t="s">
        <v>61</v>
      </c>
      <c r="I1694" t="s">
        <v>4405</v>
      </c>
      <c r="J1694" s="23" t="s">
        <v>22</v>
      </c>
      <c r="K1694" s="22">
        <v>3</v>
      </c>
      <c r="L1694" s="1">
        <v>41977</v>
      </c>
      <c r="M1694" s="22">
        <f>Table12[[#This Row],[Ship Date]]-Table12[[#This Row],[Order Date]]</f>
        <v>6</v>
      </c>
      <c r="N1694" s="23" t="s">
        <v>45</v>
      </c>
      <c r="O1694" s="23" t="s">
        <v>23</v>
      </c>
      <c r="P1694" s="23" t="s">
        <v>320</v>
      </c>
      <c r="Q1694" s="23" t="s">
        <v>26</v>
      </c>
      <c r="R1694" s="23" t="s">
        <v>1608</v>
      </c>
      <c r="S1694" s="33">
        <v>0</v>
      </c>
      <c r="T1694" s="13">
        <v>14.67</v>
      </c>
      <c r="U1694" s="13">
        <v>3.9609000000000001</v>
      </c>
      <c r="V1694" s="55">
        <f>IFERROR(Table12[[#This Row],[Profit]]/Table12[[#This Row],[Sales]],0)</f>
        <v>0.27</v>
      </c>
    </row>
    <row r="1695" spans="1:22" x14ac:dyDescent="0.2">
      <c r="A1695">
        <v>1694</v>
      </c>
      <c r="B1695" t="s">
        <v>6362</v>
      </c>
      <c r="C1695" s="1">
        <v>41971</v>
      </c>
      <c r="D1695" s="22">
        <f>MONTH(Table12[[#This Row],[Order Date]])</f>
        <v>11</v>
      </c>
      <c r="E1695" t="s">
        <v>2854</v>
      </c>
      <c r="F1695" t="s">
        <v>2855</v>
      </c>
      <c r="G1695" s="23" t="s">
        <v>41</v>
      </c>
      <c r="H1695" s="23" t="s">
        <v>68</v>
      </c>
      <c r="I1695" t="s">
        <v>2719</v>
      </c>
      <c r="J1695" s="23" t="s">
        <v>22</v>
      </c>
      <c r="K1695" s="22">
        <v>2</v>
      </c>
      <c r="L1695" s="1">
        <v>41973</v>
      </c>
      <c r="M1695" s="22">
        <f>Table12[[#This Row],[Ship Date]]-Table12[[#This Row],[Order Date]]</f>
        <v>2</v>
      </c>
      <c r="N1695" s="23" t="s">
        <v>20</v>
      </c>
      <c r="O1695" s="23" t="s">
        <v>23</v>
      </c>
      <c r="P1695" s="23" t="s">
        <v>238</v>
      </c>
      <c r="Q1695" s="23" t="s">
        <v>133</v>
      </c>
      <c r="R1695" s="23" t="s">
        <v>3271</v>
      </c>
      <c r="S1695" s="33">
        <v>0.2</v>
      </c>
      <c r="T1695" s="13">
        <v>17.248000000000001</v>
      </c>
      <c r="U1695" s="13">
        <v>6.0368000000000004</v>
      </c>
      <c r="V1695" s="55">
        <f>IFERROR(Table12[[#This Row],[Profit]]/Table12[[#This Row],[Sales]],0)</f>
        <v>0.35</v>
      </c>
    </row>
    <row r="1696" spans="1:22" x14ac:dyDescent="0.2">
      <c r="A1696">
        <v>1695</v>
      </c>
      <c r="B1696" t="s">
        <v>7303</v>
      </c>
      <c r="C1696" s="1">
        <v>41971</v>
      </c>
      <c r="D1696" s="22">
        <f>MONTH(Table12[[#This Row],[Order Date]])</f>
        <v>11</v>
      </c>
      <c r="E1696" t="s">
        <v>489</v>
      </c>
      <c r="F1696" t="s">
        <v>490</v>
      </c>
      <c r="G1696" s="23" t="s">
        <v>28</v>
      </c>
      <c r="H1696" s="23" t="s">
        <v>58</v>
      </c>
      <c r="I1696" t="s">
        <v>2128</v>
      </c>
      <c r="J1696" s="23" t="s">
        <v>36</v>
      </c>
      <c r="K1696" s="22">
        <v>5</v>
      </c>
      <c r="L1696" s="1">
        <v>41974</v>
      </c>
      <c r="M1696" s="22">
        <f>Table12[[#This Row],[Ship Date]]-Table12[[#This Row],[Order Date]]</f>
        <v>3</v>
      </c>
      <c r="N1696" s="23" t="s">
        <v>20</v>
      </c>
      <c r="O1696" s="23" t="s">
        <v>23</v>
      </c>
      <c r="P1696" s="23" t="s">
        <v>342</v>
      </c>
      <c r="Q1696" s="23" t="s">
        <v>26</v>
      </c>
      <c r="R1696" s="23" t="s">
        <v>341</v>
      </c>
      <c r="S1696" s="33">
        <v>0</v>
      </c>
      <c r="T1696" s="13">
        <v>397.6</v>
      </c>
      <c r="U1696" s="13">
        <v>43.735999999999997</v>
      </c>
      <c r="V1696" s="55">
        <f>IFERROR(Table12[[#This Row],[Profit]]/Table12[[#This Row],[Sales]],0)</f>
        <v>0.10999999999999999</v>
      </c>
    </row>
    <row r="1697" spans="1:22" x14ac:dyDescent="0.2">
      <c r="A1697">
        <v>1696</v>
      </c>
      <c r="B1697" t="s">
        <v>7303</v>
      </c>
      <c r="C1697" s="1">
        <v>41971</v>
      </c>
      <c r="D1697" s="22">
        <f>MONTH(Table12[[#This Row],[Order Date]])</f>
        <v>11</v>
      </c>
      <c r="E1697" t="s">
        <v>6577</v>
      </c>
      <c r="F1697" t="s">
        <v>6578</v>
      </c>
      <c r="G1697" s="23" t="s">
        <v>41</v>
      </c>
      <c r="H1697" s="23" t="s">
        <v>82</v>
      </c>
      <c r="I1697" t="s">
        <v>2128</v>
      </c>
      <c r="J1697" s="23" t="s">
        <v>36</v>
      </c>
      <c r="K1697" s="22">
        <v>7</v>
      </c>
      <c r="L1697" s="1">
        <v>41974</v>
      </c>
      <c r="M1697" s="22">
        <f>Table12[[#This Row],[Ship Date]]-Table12[[#This Row],[Order Date]]</f>
        <v>3</v>
      </c>
      <c r="N1697" s="23" t="s">
        <v>20</v>
      </c>
      <c r="O1697" s="23" t="s">
        <v>23</v>
      </c>
      <c r="P1697" s="23" t="s">
        <v>342</v>
      </c>
      <c r="Q1697" s="23" t="s">
        <v>26</v>
      </c>
      <c r="R1697" s="23" t="s">
        <v>341</v>
      </c>
      <c r="S1697" s="33">
        <v>0</v>
      </c>
      <c r="T1697" s="13">
        <v>85.96</v>
      </c>
      <c r="U1697" s="13">
        <v>40.401200000000003</v>
      </c>
      <c r="V1697" s="55">
        <f>IFERROR(Table12[[#This Row],[Profit]]/Table12[[#This Row],[Sales]],0)</f>
        <v>0.47000000000000008</v>
      </c>
    </row>
    <row r="1698" spans="1:22" x14ac:dyDescent="0.2">
      <c r="A1698">
        <v>1697</v>
      </c>
      <c r="B1698" t="s">
        <v>7303</v>
      </c>
      <c r="C1698" s="1">
        <v>41971</v>
      </c>
      <c r="D1698" s="22">
        <f>MONTH(Table12[[#This Row],[Order Date]])</f>
        <v>11</v>
      </c>
      <c r="E1698" t="s">
        <v>1208</v>
      </c>
      <c r="F1698" t="s">
        <v>1209</v>
      </c>
      <c r="G1698" s="23" t="s">
        <v>41</v>
      </c>
      <c r="H1698" s="23" t="s">
        <v>61</v>
      </c>
      <c r="I1698" t="s">
        <v>2128</v>
      </c>
      <c r="J1698" s="23" t="s">
        <v>36</v>
      </c>
      <c r="K1698" s="22">
        <v>4</v>
      </c>
      <c r="L1698" s="1">
        <v>41974</v>
      </c>
      <c r="M1698" s="22">
        <f>Table12[[#This Row],[Ship Date]]-Table12[[#This Row],[Order Date]]</f>
        <v>3</v>
      </c>
      <c r="N1698" s="23" t="s">
        <v>20</v>
      </c>
      <c r="O1698" s="23" t="s">
        <v>23</v>
      </c>
      <c r="P1698" s="23" t="s">
        <v>342</v>
      </c>
      <c r="Q1698" s="23" t="s">
        <v>26</v>
      </c>
      <c r="R1698" s="23" t="s">
        <v>341</v>
      </c>
      <c r="S1698" s="33">
        <v>0</v>
      </c>
      <c r="T1698" s="13">
        <v>13.12</v>
      </c>
      <c r="U1698" s="13">
        <v>4.3296000000000001</v>
      </c>
      <c r="V1698" s="55">
        <f>IFERROR(Table12[[#This Row],[Profit]]/Table12[[#This Row],[Sales]],0)</f>
        <v>0.33</v>
      </c>
    </row>
    <row r="1699" spans="1:22" x14ac:dyDescent="0.2">
      <c r="A1699">
        <v>1698</v>
      </c>
      <c r="B1699" t="s">
        <v>7303</v>
      </c>
      <c r="C1699" s="1">
        <v>41971</v>
      </c>
      <c r="D1699" s="22">
        <f>MONTH(Table12[[#This Row],[Order Date]])</f>
        <v>11</v>
      </c>
      <c r="E1699" t="s">
        <v>1181</v>
      </c>
      <c r="F1699" t="s">
        <v>1182</v>
      </c>
      <c r="G1699" s="23" t="s">
        <v>41</v>
      </c>
      <c r="H1699" s="23" t="s">
        <v>68</v>
      </c>
      <c r="I1699" t="s">
        <v>2128</v>
      </c>
      <c r="J1699" s="23" t="s">
        <v>36</v>
      </c>
      <c r="K1699" s="22">
        <v>3</v>
      </c>
      <c r="L1699" s="1">
        <v>41974</v>
      </c>
      <c r="M1699" s="22">
        <f>Table12[[#This Row],[Ship Date]]-Table12[[#This Row],[Order Date]]</f>
        <v>3</v>
      </c>
      <c r="N1699" s="23" t="s">
        <v>20</v>
      </c>
      <c r="O1699" s="23" t="s">
        <v>23</v>
      </c>
      <c r="P1699" s="23" t="s">
        <v>342</v>
      </c>
      <c r="Q1699" s="23" t="s">
        <v>26</v>
      </c>
      <c r="R1699" s="23" t="s">
        <v>341</v>
      </c>
      <c r="S1699" s="33">
        <v>0</v>
      </c>
      <c r="T1699" s="13">
        <v>45.66</v>
      </c>
      <c r="U1699" s="13">
        <v>22.3734</v>
      </c>
      <c r="V1699" s="55">
        <f>IFERROR(Table12[[#This Row],[Profit]]/Table12[[#This Row],[Sales]],0)</f>
        <v>0.49000000000000005</v>
      </c>
    </row>
    <row r="1700" spans="1:22" x14ac:dyDescent="0.2">
      <c r="A1700">
        <v>1699</v>
      </c>
      <c r="B1700" t="s">
        <v>7524</v>
      </c>
      <c r="C1700" s="1">
        <v>41971</v>
      </c>
      <c r="D1700" s="22">
        <f>MONTH(Table12[[#This Row],[Order Date]])</f>
        <v>11</v>
      </c>
      <c r="E1700" t="s">
        <v>1146</v>
      </c>
      <c r="F1700" t="s">
        <v>1147</v>
      </c>
      <c r="G1700" s="23" t="s">
        <v>41</v>
      </c>
      <c r="H1700" s="23" t="s">
        <v>513</v>
      </c>
      <c r="I1700" t="s">
        <v>6275</v>
      </c>
      <c r="J1700" s="23" t="s">
        <v>92</v>
      </c>
      <c r="K1700" s="22">
        <v>2</v>
      </c>
      <c r="L1700" s="1">
        <v>41971</v>
      </c>
      <c r="M1700" s="22">
        <f>Table12[[#This Row],[Ship Date]]-Table12[[#This Row],[Order Date]]</f>
        <v>0</v>
      </c>
      <c r="N1700" s="23" t="s">
        <v>1141</v>
      </c>
      <c r="O1700" s="23" t="s">
        <v>23</v>
      </c>
      <c r="P1700" s="23" t="s">
        <v>38</v>
      </c>
      <c r="Q1700" s="23" t="s">
        <v>39</v>
      </c>
      <c r="R1700" s="23" t="s">
        <v>114</v>
      </c>
      <c r="S1700" s="33">
        <v>0</v>
      </c>
      <c r="T1700" s="13">
        <v>7.36</v>
      </c>
      <c r="U1700" s="13">
        <v>0.1472</v>
      </c>
      <c r="V1700" s="55">
        <f>IFERROR(Table12[[#This Row],[Profit]]/Table12[[#This Row],[Sales]],0)</f>
        <v>0.02</v>
      </c>
    </row>
    <row r="1701" spans="1:22" x14ac:dyDescent="0.2">
      <c r="A1701">
        <v>1700</v>
      </c>
      <c r="B1701" t="s">
        <v>7524</v>
      </c>
      <c r="C1701" s="1">
        <v>41971</v>
      </c>
      <c r="D1701" s="22">
        <f>MONTH(Table12[[#This Row],[Order Date]])</f>
        <v>11</v>
      </c>
      <c r="E1701" t="s">
        <v>918</v>
      </c>
      <c r="F1701" t="s">
        <v>919</v>
      </c>
      <c r="G1701" s="23" t="s">
        <v>41</v>
      </c>
      <c r="H1701" s="23" t="s">
        <v>42</v>
      </c>
      <c r="I1701" t="s">
        <v>6275</v>
      </c>
      <c r="J1701" s="23" t="s">
        <v>92</v>
      </c>
      <c r="K1701" s="22">
        <v>4</v>
      </c>
      <c r="L1701" s="1">
        <v>41971</v>
      </c>
      <c r="M1701" s="22">
        <f>Table12[[#This Row],[Ship Date]]-Table12[[#This Row],[Order Date]]</f>
        <v>0</v>
      </c>
      <c r="N1701" s="23" t="s">
        <v>1141</v>
      </c>
      <c r="O1701" s="23" t="s">
        <v>23</v>
      </c>
      <c r="P1701" s="23" t="s">
        <v>38</v>
      </c>
      <c r="Q1701" s="23" t="s">
        <v>39</v>
      </c>
      <c r="R1701" s="23" t="s">
        <v>114</v>
      </c>
      <c r="S1701" s="33">
        <v>0</v>
      </c>
      <c r="T1701" s="13">
        <v>41.4</v>
      </c>
      <c r="U1701" s="13">
        <v>19.872</v>
      </c>
      <c r="V1701" s="55">
        <f>IFERROR(Table12[[#This Row],[Profit]]/Table12[[#This Row],[Sales]],0)</f>
        <v>0.48000000000000004</v>
      </c>
    </row>
    <row r="1702" spans="1:22" x14ac:dyDescent="0.2">
      <c r="A1702">
        <v>1701</v>
      </c>
      <c r="B1702" t="s">
        <v>7524</v>
      </c>
      <c r="C1702" s="1">
        <v>41971</v>
      </c>
      <c r="D1702" s="22">
        <f>MONTH(Table12[[#This Row],[Order Date]])</f>
        <v>11</v>
      </c>
      <c r="E1702" t="s">
        <v>3949</v>
      </c>
      <c r="F1702" t="s">
        <v>3950</v>
      </c>
      <c r="G1702" s="23" t="s">
        <v>28</v>
      </c>
      <c r="H1702" s="23" t="s">
        <v>29</v>
      </c>
      <c r="I1702" t="s">
        <v>6275</v>
      </c>
      <c r="J1702" s="23" t="s">
        <v>92</v>
      </c>
      <c r="K1702" s="22">
        <v>4</v>
      </c>
      <c r="L1702" s="1">
        <v>41971</v>
      </c>
      <c r="M1702" s="22">
        <f>Table12[[#This Row],[Ship Date]]-Table12[[#This Row],[Order Date]]</f>
        <v>0</v>
      </c>
      <c r="N1702" s="23" t="s">
        <v>1141</v>
      </c>
      <c r="O1702" s="23" t="s">
        <v>23</v>
      </c>
      <c r="P1702" s="23" t="s">
        <v>38</v>
      </c>
      <c r="Q1702" s="23" t="s">
        <v>39</v>
      </c>
      <c r="R1702" s="23" t="s">
        <v>114</v>
      </c>
      <c r="S1702" s="33">
        <v>0.15</v>
      </c>
      <c r="T1702" s="13">
        <v>411.33199999999999</v>
      </c>
      <c r="U1702" s="13">
        <v>-4.8391999999999999</v>
      </c>
      <c r="V1702" s="55">
        <f>IFERROR(Table12[[#This Row],[Profit]]/Table12[[#This Row],[Sales]],0)</f>
        <v>-1.1764705882352941E-2</v>
      </c>
    </row>
    <row r="1703" spans="1:22" x14ac:dyDescent="0.2">
      <c r="A1703">
        <v>1702</v>
      </c>
      <c r="B1703" t="s">
        <v>7560</v>
      </c>
      <c r="C1703" s="1">
        <v>41971</v>
      </c>
      <c r="D1703" s="22">
        <f>MONTH(Table12[[#This Row],[Order Date]])</f>
        <v>11</v>
      </c>
      <c r="E1703" t="s">
        <v>3224</v>
      </c>
      <c r="F1703" t="s">
        <v>3225</v>
      </c>
      <c r="G1703" s="23" t="s">
        <v>41</v>
      </c>
      <c r="H1703" s="23" t="s">
        <v>71</v>
      </c>
      <c r="I1703" t="s">
        <v>3654</v>
      </c>
      <c r="J1703" s="23" t="s">
        <v>22</v>
      </c>
      <c r="K1703" s="22">
        <v>3</v>
      </c>
      <c r="L1703" s="1">
        <v>41974</v>
      </c>
      <c r="M1703" s="22">
        <f>Table12[[#This Row],[Ship Date]]-Table12[[#This Row],[Order Date]]</f>
        <v>3</v>
      </c>
      <c r="N1703" s="23" t="s">
        <v>169</v>
      </c>
      <c r="O1703" s="23" t="s">
        <v>23</v>
      </c>
      <c r="P1703" s="23" t="s">
        <v>38</v>
      </c>
      <c r="Q1703" s="23" t="s">
        <v>39</v>
      </c>
      <c r="R1703" s="23" t="s">
        <v>114</v>
      </c>
      <c r="S1703" s="33">
        <v>0</v>
      </c>
      <c r="T1703" s="13">
        <v>43.68</v>
      </c>
      <c r="U1703" s="13">
        <v>11.7936</v>
      </c>
      <c r="V1703" s="55">
        <f>IFERROR(Table12[[#This Row],[Profit]]/Table12[[#This Row],[Sales]],0)</f>
        <v>0.27</v>
      </c>
    </row>
    <row r="1704" spans="1:22" x14ac:dyDescent="0.2">
      <c r="A1704">
        <v>1703</v>
      </c>
      <c r="B1704" t="s">
        <v>7560</v>
      </c>
      <c r="C1704" s="1">
        <v>41971</v>
      </c>
      <c r="D1704" s="22">
        <f>MONTH(Table12[[#This Row],[Order Date]])</f>
        <v>11</v>
      </c>
      <c r="E1704" t="s">
        <v>2790</v>
      </c>
      <c r="F1704" t="s">
        <v>2791</v>
      </c>
      <c r="G1704" s="23" t="s">
        <v>64</v>
      </c>
      <c r="H1704" s="23" t="s">
        <v>144</v>
      </c>
      <c r="I1704" t="s">
        <v>3654</v>
      </c>
      <c r="J1704" s="23" t="s">
        <v>22</v>
      </c>
      <c r="K1704" s="22">
        <v>7</v>
      </c>
      <c r="L1704" s="1">
        <v>41974</v>
      </c>
      <c r="M1704" s="22">
        <f>Table12[[#This Row],[Ship Date]]-Table12[[#This Row],[Order Date]]</f>
        <v>3</v>
      </c>
      <c r="N1704" s="23" t="s">
        <v>169</v>
      </c>
      <c r="O1704" s="23" t="s">
        <v>23</v>
      </c>
      <c r="P1704" s="23" t="s">
        <v>38</v>
      </c>
      <c r="Q1704" s="23" t="s">
        <v>39</v>
      </c>
      <c r="R1704" s="23" t="s">
        <v>114</v>
      </c>
      <c r="S1704" s="33">
        <v>0</v>
      </c>
      <c r="T1704" s="13">
        <v>139.93</v>
      </c>
      <c r="U1704" s="13">
        <v>34.982500000000002</v>
      </c>
      <c r="V1704" s="55">
        <f>IFERROR(Table12[[#This Row],[Profit]]/Table12[[#This Row],[Sales]],0)</f>
        <v>0.25</v>
      </c>
    </row>
    <row r="1705" spans="1:22" x14ac:dyDescent="0.2">
      <c r="A1705">
        <v>1704</v>
      </c>
      <c r="B1705" t="s">
        <v>9330</v>
      </c>
      <c r="C1705" s="1">
        <v>41971</v>
      </c>
      <c r="D1705" s="22">
        <f>MONTH(Table12[[#This Row],[Order Date]])</f>
        <v>11</v>
      </c>
      <c r="E1705" t="s">
        <v>3845</v>
      </c>
      <c r="F1705" t="s">
        <v>3846</v>
      </c>
      <c r="G1705" s="23" t="s">
        <v>64</v>
      </c>
      <c r="H1705" s="23" t="s">
        <v>602</v>
      </c>
      <c r="I1705" t="s">
        <v>4027</v>
      </c>
      <c r="J1705" s="23" t="s">
        <v>22</v>
      </c>
      <c r="K1705" s="22">
        <v>5</v>
      </c>
      <c r="L1705" s="1">
        <v>41975</v>
      </c>
      <c r="M1705" s="22">
        <f>Table12[[#This Row],[Ship Date]]-Table12[[#This Row],[Order Date]]</f>
        <v>4</v>
      </c>
      <c r="N1705" s="23" t="s">
        <v>45</v>
      </c>
      <c r="O1705" s="23" t="s">
        <v>23</v>
      </c>
      <c r="P1705" s="23" t="s">
        <v>94</v>
      </c>
      <c r="Q1705" s="23" t="s">
        <v>95</v>
      </c>
      <c r="R1705" s="23" t="s">
        <v>165</v>
      </c>
      <c r="S1705" s="33">
        <v>0.4</v>
      </c>
      <c r="T1705" s="13">
        <v>998.85</v>
      </c>
      <c r="U1705" s="13">
        <v>-199.77</v>
      </c>
      <c r="V1705" s="55">
        <f>IFERROR(Table12[[#This Row],[Profit]]/Table12[[#This Row],[Sales]],0)</f>
        <v>-0.2</v>
      </c>
    </row>
    <row r="1706" spans="1:22" x14ac:dyDescent="0.2">
      <c r="A1706">
        <v>1705</v>
      </c>
      <c r="B1706" t="s">
        <v>9985</v>
      </c>
      <c r="C1706" s="1">
        <v>41971</v>
      </c>
      <c r="D1706" s="22">
        <f>MONTH(Table12[[#This Row],[Order Date]])</f>
        <v>11</v>
      </c>
      <c r="E1706" t="s">
        <v>2627</v>
      </c>
      <c r="F1706" t="s">
        <v>2628</v>
      </c>
      <c r="G1706" s="23" t="s">
        <v>41</v>
      </c>
      <c r="H1706" s="23" t="s">
        <v>155</v>
      </c>
      <c r="I1706" t="s">
        <v>5102</v>
      </c>
      <c r="J1706" s="23" t="s">
        <v>36</v>
      </c>
      <c r="K1706" s="22">
        <v>6</v>
      </c>
      <c r="L1706" s="1">
        <v>41976</v>
      </c>
      <c r="M1706" s="22">
        <f>Table12[[#This Row],[Ship Date]]-Table12[[#This Row],[Order Date]]</f>
        <v>5</v>
      </c>
      <c r="N1706" s="23" t="s">
        <v>45</v>
      </c>
      <c r="O1706" s="23" t="s">
        <v>23</v>
      </c>
      <c r="P1706" s="23" t="s">
        <v>226</v>
      </c>
      <c r="Q1706" s="23" t="s">
        <v>95</v>
      </c>
      <c r="R1706" s="23" t="s">
        <v>1294</v>
      </c>
      <c r="S1706" s="33">
        <v>0</v>
      </c>
      <c r="T1706" s="13">
        <v>64.02</v>
      </c>
      <c r="U1706" s="13">
        <v>29.449200000000001</v>
      </c>
      <c r="V1706" s="55">
        <f>IFERROR(Table12[[#This Row],[Profit]]/Table12[[#This Row],[Sales]],0)</f>
        <v>0.46</v>
      </c>
    </row>
    <row r="1707" spans="1:22" x14ac:dyDescent="0.2">
      <c r="A1707">
        <v>1706</v>
      </c>
      <c r="B1707" t="s">
        <v>3527</v>
      </c>
      <c r="C1707" s="1">
        <v>41972</v>
      </c>
      <c r="D1707" s="22">
        <f>MONTH(Table12[[#This Row],[Order Date]])</f>
        <v>11</v>
      </c>
      <c r="E1707" t="s">
        <v>2816</v>
      </c>
      <c r="F1707" t="s">
        <v>2817</v>
      </c>
      <c r="G1707" s="23" t="s">
        <v>41</v>
      </c>
      <c r="H1707" s="23" t="s">
        <v>42</v>
      </c>
      <c r="I1707" t="s">
        <v>3528</v>
      </c>
      <c r="J1707" s="23" t="s">
        <v>22</v>
      </c>
      <c r="K1707" s="22">
        <v>2</v>
      </c>
      <c r="L1707" s="1">
        <v>41979</v>
      </c>
      <c r="M1707" s="22">
        <f>Table12[[#This Row],[Ship Date]]-Table12[[#This Row],[Order Date]]</f>
        <v>7</v>
      </c>
      <c r="N1707" s="23" t="s">
        <v>45</v>
      </c>
      <c r="O1707" s="23" t="s">
        <v>23</v>
      </c>
      <c r="P1707" s="23" t="s">
        <v>132</v>
      </c>
      <c r="Q1707" s="23" t="s">
        <v>133</v>
      </c>
      <c r="R1707" s="23" t="s">
        <v>131</v>
      </c>
      <c r="S1707" s="33">
        <v>0.2</v>
      </c>
      <c r="T1707" s="13">
        <v>5.04</v>
      </c>
      <c r="U1707" s="13">
        <v>1.764</v>
      </c>
      <c r="V1707" s="55">
        <f>IFERROR(Table12[[#This Row],[Profit]]/Table12[[#This Row],[Sales]],0)</f>
        <v>0.35</v>
      </c>
    </row>
    <row r="1708" spans="1:22" x14ac:dyDescent="0.2">
      <c r="A1708">
        <v>1707</v>
      </c>
      <c r="B1708" t="s">
        <v>3782</v>
      </c>
      <c r="C1708" s="1">
        <v>41972</v>
      </c>
      <c r="D1708" s="22">
        <f>MONTH(Table12[[#This Row],[Order Date]])</f>
        <v>11</v>
      </c>
      <c r="E1708" t="s">
        <v>1883</v>
      </c>
      <c r="F1708" t="s">
        <v>498</v>
      </c>
      <c r="G1708" s="23" t="s">
        <v>41</v>
      </c>
      <c r="H1708" s="23" t="s">
        <v>240</v>
      </c>
      <c r="I1708" t="s">
        <v>3783</v>
      </c>
      <c r="J1708" s="23" t="s">
        <v>36</v>
      </c>
      <c r="K1708" s="22">
        <v>2</v>
      </c>
      <c r="L1708" s="1">
        <v>41977</v>
      </c>
      <c r="M1708" s="22">
        <f>Table12[[#This Row],[Ship Date]]-Table12[[#This Row],[Order Date]]</f>
        <v>5</v>
      </c>
      <c r="N1708" s="23" t="s">
        <v>45</v>
      </c>
      <c r="O1708" s="23" t="s">
        <v>23</v>
      </c>
      <c r="P1708" s="23" t="s">
        <v>189</v>
      </c>
      <c r="Q1708" s="23" t="s">
        <v>95</v>
      </c>
      <c r="R1708" s="23" t="s">
        <v>3784</v>
      </c>
      <c r="S1708" s="33">
        <v>0.2</v>
      </c>
      <c r="T1708" s="13">
        <v>12.624000000000001</v>
      </c>
      <c r="U1708" s="13">
        <v>3.9449999999999998</v>
      </c>
      <c r="V1708" s="55">
        <f>IFERROR(Table12[[#This Row],[Profit]]/Table12[[#This Row],[Sales]],0)</f>
        <v>0.3125</v>
      </c>
    </row>
    <row r="1709" spans="1:22" x14ac:dyDescent="0.2">
      <c r="A1709">
        <v>1708</v>
      </c>
      <c r="B1709" t="s">
        <v>6743</v>
      </c>
      <c r="C1709" s="1">
        <v>41972</v>
      </c>
      <c r="D1709" s="22">
        <f>MONTH(Table12[[#This Row],[Order Date]])</f>
        <v>11</v>
      </c>
      <c r="E1709" t="s">
        <v>3105</v>
      </c>
      <c r="F1709" t="s">
        <v>3106</v>
      </c>
      <c r="G1709" s="23" t="s">
        <v>64</v>
      </c>
      <c r="H1709" s="23" t="s">
        <v>65</v>
      </c>
      <c r="I1709" t="s">
        <v>872</v>
      </c>
      <c r="J1709" s="23" t="s">
        <v>22</v>
      </c>
      <c r="K1709" s="22">
        <v>2</v>
      </c>
      <c r="L1709" s="1">
        <v>41979</v>
      </c>
      <c r="M1709" s="22">
        <f>Table12[[#This Row],[Ship Date]]-Table12[[#This Row],[Order Date]]</f>
        <v>7</v>
      </c>
      <c r="N1709" s="23" t="s">
        <v>45</v>
      </c>
      <c r="O1709" s="23" t="s">
        <v>23</v>
      </c>
      <c r="P1709" s="23" t="s">
        <v>38</v>
      </c>
      <c r="Q1709" s="23" t="s">
        <v>39</v>
      </c>
      <c r="R1709" s="23" t="s">
        <v>114</v>
      </c>
      <c r="S1709" s="33">
        <v>0.2</v>
      </c>
      <c r="T1709" s="13">
        <v>575.91999999999996</v>
      </c>
      <c r="U1709" s="13">
        <v>71.989999999999995</v>
      </c>
      <c r="V1709" s="55">
        <f>IFERROR(Table12[[#This Row],[Profit]]/Table12[[#This Row],[Sales]],0)</f>
        <v>0.125</v>
      </c>
    </row>
    <row r="1710" spans="1:22" x14ac:dyDescent="0.2">
      <c r="A1710">
        <v>1709</v>
      </c>
      <c r="B1710" t="s">
        <v>6743</v>
      </c>
      <c r="C1710" s="1">
        <v>41972</v>
      </c>
      <c r="D1710" s="22">
        <f>MONTH(Table12[[#This Row],[Order Date]])</f>
        <v>11</v>
      </c>
      <c r="E1710" t="s">
        <v>2856</v>
      </c>
      <c r="F1710" t="s">
        <v>498</v>
      </c>
      <c r="G1710" s="23" t="s">
        <v>41</v>
      </c>
      <c r="H1710" s="23" t="s">
        <v>240</v>
      </c>
      <c r="I1710" t="s">
        <v>872</v>
      </c>
      <c r="J1710" s="23" t="s">
        <v>22</v>
      </c>
      <c r="K1710" s="22">
        <v>5</v>
      </c>
      <c r="L1710" s="1">
        <v>41979</v>
      </c>
      <c r="M1710" s="22">
        <f>Table12[[#This Row],[Ship Date]]-Table12[[#This Row],[Order Date]]</f>
        <v>7</v>
      </c>
      <c r="N1710" s="23" t="s">
        <v>45</v>
      </c>
      <c r="O1710" s="23" t="s">
        <v>23</v>
      </c>
      <c r="P1710" s="23" t="s">
        <v>38</v>
      </c>
      <c r="Q1710" s="23" t="s">
        <v>39</v>
      </c>
      <c r="R1710" s="23" t="s">
        <v>114</v>
      </c>
      <c r="S1710" s="33">
        <v>0</v>
      </c>
      <c r="T1710" s="13">
        <v>30.4</v>
      </c>
      <c r="U1710" s="13">
        <v>15.2</v>
      </c>
      <c r="V1710" s="55">
        <f>IFERROR(Table12[[#This Row],[Profit]]/Table12[[#This Row],[Sales]],0)</f>
        <v>0.5</v>
      </c>
    </row>
    <row r="1711" spans="1:22" x14ac:dyDescent="0.2">
      <c r="A1711">
        <v>1710</v>
      </c>
      <c r="B1711" t="s">
        <v>8888</v>
      </c>
      <c r="C1711" s="1">
        <v>41972</v>
      </c>
      <c r="D1711" s="22">
        <f>MONTH(Table12[[#This Row],[Order Date]])</f>
        <v>11</v>
      </c>
      <c r="E1711" t="s">
        <v>229</v>
      </c>
      <c r="F1711" t="s">
        <v>230</v>
      </c>
      <c r="G1711" s="23" t="s">
        <v>41</v>
      </c>
      <c r="H1711" s="23" t="s">
        <v>42</v>
      </c>
      <c r="I1711" t="s">
        <v>1290</v>
      </c>
      <c r="J1711" s="23" t="s">
        <v>22</v>
      </c>
      <c r="K1711" s="22">
        <v>2</v>
      </c>
      <c r="L1711" s="1">
        <v>41979</v>
      </c>
      <c r="M1711" s="22">
        <f>Table12[[#This Row],[Ship Date]]-Table12[[#This Row],[Order Date]]</f>
        <v>7</v>
      </c>
      <c r="N1711" s="23" t="s">
        <v>45</v>
      </c>
      <c r="O1711" s="23" t="s">
        <v>23</v>
      </c>
      <c r="P1711" s="23" t="s">
        <v>238</v>
      </c>
      <c r="Q1711" s="23" t="s">
        <v>133</v>
      </c>
      <c r="R1711" s="23" t="s">
        <v>237</v>
      </c>
      <c r="S1711" s="33">
        <v>0</v>
      </c>
      <c r="T1711" s="13">
        <v>25.06</v>
      </c>
      <c r="U1711" s="13">
        <v>11.7782</v>
      </c>
      <c r="V1711" s="55">
        <f>IFERROR(Table12[[#This Row],[Profit]]/Table12[[#This Row],[Sales]],0)</f>
        <v>0.47000000000000003</v>
      </c>
    </row>
    <row r="1712" spans="1:22" x14ac:dyDescent="0.2">
      <c r="A1712">
        <v>1711</v>
      </c>
      <c r="B1712" t="s">
        <v>6582</v>
      </c>
      <c r="C1712" s="1">
        <v>41973</v>
      </c>
      <c r="D1712" s="22">
        <f>MONTH(Table12[[#This Row],[Order Date]])</f>
        <v>11</v>
      </c>
      <c r="E1712" t="s">
        <v>6583</v>
      </c>
      <c r="F1712" t="s">
        <v>6584</v>
      </c>
      <c r="G1712" s="23" t="s">
        <v>41</v>
      </c>
      <c r="H1712" s="23" t="s">
        <v>155</v>
      </c>
      <c r="I1712" t="s">
        <v>1113</v>
      </c>
      <c r="J1712" s="23" t="s">
        <v>22</v>
      </c>
      <c r="K1712" s="22">
        <v>4</v>
      </c>
      <c r="L1712" s="1">
        <v>41977</v>
      </c>
      <c r="M1712" s="22">
        <f>Table12[[#This Row],[Ship Date]]-Table12[[#This Row],[Order Date]]</f>
        <v>4</v>
      </c>
      <c r="N1712" s="23" t="s">
        <v>45</v>
      </c>
      <c r="O1712" s="23" t="s">
        <v>23</v>
      </c>
      <c r="P1712" s="23" t="s">
        <v>238</v>
      </c>
      <c r="Q1712" s="23" t="s">
        <v>133</v>
      </c>
      <c r="R1712" s="23" t="s">
        <v>2020</v>
      </c>
      <c r="S1712" s="33">
        <v>0</v>
      </c>
      <c r="T1712" s="13">
        <v>62.28</v>
      </c>
      <c r="U1712" s="13">
        <v>29.271599999999999</v>
      </c>
      <c r="V1712" s="55">
        <f>IFERROR(Table12[[#This Row],[Profit]]/Table12[[#This Row],[Sales]],0)</f>
        <v>0.47</v>
      </c>
    </row>
    <row r="1713" spans="1:22" x14ac:dyDescent="0.2">
      <c r="A1713">
        <v>1712</v>
      </c>
      <c r="B1713" t="s">
        <v>8786</v>
      </c>
      <c r="C1713" s="1">
        <v>41973</v>
      </c>
      <c r="D1713" s="22">
        <f>MONTH(Table12[[#This Row],[Order Date]])</f>
        <v>11</v>
      </c>
      <c r="E1713" t="s">
        <v>7025</v>
      </c>
      <c r="F1713" t="s">
        <v>7026</v>
      </c>
      <c r="G1713" s="23" t="s">
        <v>41</v>
      </c>
      <c r="H1713" s="23" t="s">
        <v>68</v>
      </c>
      <c r="I1713" t="s">
        <v>4475</v>
      </c>
      <c r="J1713" s="23" t="s">
        <v>36</v>
      </c>
      <c r="K1713" s="22">
        <v>9</v>
      </c>
      <c r="L1713" s="1">
        <v>41977</v>
      </c>
      <c r="M1713" s="22">
        <f>Table12[[#This Row],[Ship Date]]-Table12[[#This Row],[Order Date]]</f>
        <v>4</v>
      </c>
      <c r="N1713" s="23" t="s">
        <v>45</v>
      </c>
      <c r="O1713" s="23" t="s">
        <v>23</v>
      </c>
      <c r="P1713" s="23" t="s">
        <v>48</v>
      </c>
      <c r="Q1713" s="23" t="s">
        <v>26</v>
      </c>
      <c r="R1713" s="23" t="s">
        <v>5389</v>
      </c>
      <c r="S1713" s="33">
        <v>0.7</v>
      </c>
      <c r="T1713" s="13">
        <v>6.6420000000000003</v>
      </c>
      <c r="U1713" s="13">
        <v>-4.4279999999999999</v>
      </c>
      <c r="V1713" s="55">
        <f>IFERROR(Table12[[#This Row],[Profit]]/Table12[[#This Row],[Sales]],0)</f>
        <v>-0.66666666666666663</v>
      </c>
    </row>
    <row r="1714" spans="1:22" x14ac:dyDescent="0.2">
      <c r="A1714">
        <v>1713</v>
      </c>
      <c r="B1714" t="s">
        <v>9692</v>
      </c>
      <c r="C1714" s="1">
        <v>41973</v>
      </c>
      <c r="D1714" s="22">
        <f>MONTH(Table12[[#This Row],[Order Date]])</f>
        <v>11</v>
      </c>
      <c r="E1714" t="s">
        <v>4493</v>
      </c>
      <c r="F1714" t="s">
        <v>4494</v>
      </c>
      <c r="G1714" s="23" t="s">
        <v>41</v>
      </c>
      <c r="H1714" s="23" t="s">
        <v>513</v>
      </c>
      <c r="I1714" t="s">
        <v>1290</v>
      </c>
      <c r="J1714" s="23" t="s">
        <v>22</v>
      </c>
      <c r="K1714" s="22">
        <v>7</v>
      </c>
      <c r="L1714" s="1">
        <v>41979</v>
      </c>
      <c r="M1714" s="22">
        <f>Table12[[#This Row],[Ship Date]]-Table12[[#This Row],[Order Date]]</f>
        <v>6</v>
      </c>
      <c r="N1714" s="23" t="s">
        <v>45</v>
      </c>
      <c r="O1714" s="23" t="s">
        <v>23</v>
      </c>
      <c r="P1714" s="23" t="s">
        <v>277</v>
      </c>
      <c r="Q1714" s="23" t="s">
        <v>39</v>
      </c>
      <c r="R1714" s="23" t="s">
        <v>7018</v>
      </c>
      <c r="S1714" s="33">
        <v>0.2</v>
      </c>
      <c r="T1714" s="13">
        <v>47.991999999999997</v>
      </c>
      <c r="U1714" s="13">
        <v>3.5994000000000002</v>
      </c>
      <c r="V1714" s="55">
        <f>IFERROR(Table12[[#This Row],[Profit]]/Table12[[#This Row],[Sales]],0)</f>
        <v>7.5000000000000011E-2</v>
      </c>
    </row>
    <row r="1715" spans="1:22" x14ac:dyDescent="0.2">
      <c r="A1715">
        <v>1714</v>
      </c>
      <c r="B1715" t="s">
        <v>9692</v>
      </c>
      <c r="C1715" s="1">
        <v>41973</v>
      </c>
      <c r="D1715" s="22">
        <f>MONTH(Table12[[#This Row],[Order Date]])</f>
        <v>11</v>
      </c>
      <c r="E1715" t="s">
        <v>4994</v>
      </c>
      <c r="F1715" t="s">
        <v>6092</v>
      </c>
      <c r="G1715" s="23" t="s">
        <v>64</v>
      </c>
      <c r="H1715" s="23" t="s">
        <v>144</v>
      </c>
      <c r="I1715" t="s">
        <v>1290</v>
      </c>
      <c r="J1715" s="23" t="s">
        <v>22</v>
      </c>
      <c r="K1715" s="22">
        <v>4</v>
      </c>
      <c r="L1715" s="1">
        <v>41979</v>
      </c>
      <c r="M1715" s="22">
        <f>Table12[[#This Row],[Ship Date]]-Table12[[#This Row],[Order Date]]</f>
        <v>6</v>
      </c>
      <c r="N1715" s="23" t="s">
        <v>45</v>
      </c>
      <c r="O1715" s="23" t="s">
        <v>23</v>
      </c>
      <c r="P1715" s="23" t="s">
        <v>277</v>
      </c>
      <c r="Q1715" s="23" t="s">
        <v>39</v>
      </c>
      <c r="R1715" s="23" t="s">
        <v>7018</v>
      </c>
      <c r="S1715" s="33">
        <v>0.2</v>
      </c>
      <c r="T1715" s="13">
        <v>102.24</v>
      </c>
      <c r="U1715" s="13">
        <v>-16.614000000000001</v>
      </c>
      <c r="V1715" s="55">
        <f>IFERROR(Table12[[#This Row],[Profit]]/Table12[[#This Row],[Sales]],0)</f>
        <v>-0.16250000000000001</v>
      </c>
    </row>
    <row r="1716" spans="1:22" x14ac:dyDescent="0.2">
      <c r="A1716">
        <v>1715</v>
      </c>
      <c r="B1716" t="s">
        <v>3991</v>
      </c>
      <c r="C1716" s="1">
        <v>41974</v>
      </c>
      <c r="D1716" s="22">
        <f>MONTH(Table12[[#This Row],[Order Date]])</f>
        <v>12</v>
      </c>
      <c r="E1716" t="s">
        <v>3992</v>
      </c>
      <c r="F1716" t="s">
        <v>3993</v>
      </c>
      <c r="G1716" s="23" t="s">
        <v>28</v>
      </c>
      <c r="H1716" s="23" t="s">
        <v>32</v>
      </c>
      <c r="I1716" t="s">
        <v>1919</v>
      </c>
      <c r="J1716" s="23" t="s">
        <v>22</v>
      </c>
      <c r="K1716" s="22">
        <v>8</v>
      </c>
      <c r="L1716" s="1">
        <v>41976</v>
      </c>
      <c r="M1716" s="22">
        <f>Table12[[#This Row],[Ship Date]]-Table12[[#This Row],[Order Date]]</f>
        <v>2</v>
      </c>
      <c r="N1716" s="23" t="s">
        <v>169</v>
      </c>
      <c r="O1716" s="23" t="s">
        <v>23</v>
      </c>
      <c r="P1716" s="23" t="s">
        <v>103</v>
      </c>
      <c r="Q1716" s="23" t="s">
        <v>95</v>
      </c>
      <c r="R1716" s="23" t="s">
        <v>102</v>
      </c>
      <c r="S1716" s="33">
        <v>0</v>
      </c>
      <c r="T1716" s="13">
        <v>2807.84</v>
      </c>
      <c r="U1716" s="13">
        <v>673.88160000000005</v>
      </c>
      <c r="V1716" s="55">
        <f>IFERROR(Table12[[#This Row],[Profit]]/Table12[[#This Row],[Sales]],0)</f>
        <v>0.24</v>
      </c>
    </row>
    <row r="1717" spans="1:22" x14ac:dyDescent="0.2">
      <c r="A1717">
        <v>1716</v>
      </c>
      <c r="B1717" t="s">
        <v>3991</v>
      </c>
      <c r="C1717" s="1">
        <v>41974</v>
      </c>
      <c r="D1717" s="22">
        <f>MONTH(Table12[[#This Row],[Order Date]])</f>
        <v>12</v>
      </c>
      <c r="E1717" t="s">
        <v>3994</v>
      </c>
      <c r="F1717" t="s">
        <v>3995</v>
      </c>
      <c r="G1717" s="23" t="s">
        <v>41</v>
      </c>
      <c r="H1717" s="23" t="s">
        <v>61</v>
      </c>
      <c r="I1717" t="s">
        <v>1919</v>
      </c>
      <c r="J1717" s="23" t="s">
        <v>22</v>
      </c>
      <c r="K1717" s="22">
        <v>4</v>
      </c>
      <c r="L1717" s="1">
        <v>41976</v>
      </c>
      <c r="M1717" s="22">
        <f>Table12[[#This Row],[Ship Date]]-Table12[[#This Row],[Order Date]]</f>
        <v>2</v>
      </c>
      <c r="N1717" s="23" t="s">
        <v>169</v>
      </c>
      <c r="O1717" s="23" t="s">
        <v>23</v>
      </c>
      <c r="P1717" s="23" t="s">
        <v>103</v>
      </c>
      <c r="Q1717" s="23" t="s">
        <v>95</v>
      </c>
      <c r="R1717" s="23" t="s">
        <v>102</v>
      </c>
      <c r="S1717" s="33">
        <v>0</v>
      </c>
      <c r="T1717" s="13">
        <v>46.64</v>
      </c>
      <c r="U1717" s="13">
        <v>12.5928</v>
      </c>
      <c r="V1717" s="55">
        <f>IFERROR(Table12[[#This Row],[Profit]]/Table12[[#This Row],[Sales]],0)</f>
        <v>0.27</v>
      </c>
    </row>
    <row r="1718" spans="1:22" x14ac:dyDescent="0.2">
      <c r="A1718">
        <v>1717</v>
      </c>
      <c r="B1718" t="s">
        <v>4403</v>
      </c>
      <c r="C1718" s="1">
        <v>41974</v>
      </c>
      <c r="D1718" s="22">
        <f>MONTH(Table12[[#This Row],[Order Date]])</f>
        <v>12</v>
      </c>
      <c r="E1718" t="s">
        <v>973</v>
      </c>
      <c r="F1718" t="s">
        <v>974</v>
      </c>
      <c r="G1718" s="23" t="s">
        <v>28</v>
      </c>
      <c r="H1718" s="23" t="s">
        <v>58</v>
      </c>
      <c r="I1718" t="s">
        <v>2256</v>
      </c>
      <c r="J1718" s="23" t="s">
        <v>22</v>
      </c>
      <c r="K1718" s="22">
        <v>3</v>
      </c>
      <c r="L1718" s="1">
        <v>41978</v>
      </c>
      <c r="M1718" s="22">
        <f>Table12[[#This Row],[Ship Date]]-Table12[[#This Row],[Order Date]]</f>
        <v>4</v>
      </c>
      <c r="N1718" s="23" t="s">
        <v>45</v>
      </c>
      <c r="O1718" s="23" t="s">
        <v>23</v>
      </c>
      <c r="P1718" s="23" t="s">
        <v>38</v>
      </c>
      <c r="Q1718" s="23" t="s">
        <v>39</v>
      </c>
      <c r="R1718" s="23" t="s">
        <v>114</v>
      </c>
      <c r="S1718" s="33">
        <v>0</v>
      </c>
      <c r="T1718" s="13">
        <v>58.2</v>
      </c>
      <c r="U1718" s="13">
        <v>28.518000000000001</v>
      </c>
      <c r="V1718" s="55">
        <f>IFERROR(Table12[[#This Row],[Profit]]/Table12[[#This Row],[Sales]],0)</f>
        <v>0.49</v>
      </c>
    </row>
    <row r="1719" spans="1:22" x14ac:dyDescent="0.2">
      <c r="A1719">
        <v>1718</v>
      </c>
      <c r="B1719" t="s">
        <v>5729</v>
      </c>
      <c r="C1719" s="1">
        <v>41974</v>
      </c>
      <c r="D1719" s="22">
        <f>MONTH(Table12[[#This Row],[Order Date]])</f>
        <v>12</v>
      </c>
      <c r="E1719" t="s">
        <v>5730</v>
      </c>
      <c r="F1719" t="s">
        <v>5731</v>
      </c>
      <c r="G1719" s="23" t="s">
        <v>64</v>
      </c>
      <c r="H1719" s="23" t="s">
        <v>65</v>
      </c>
      <c r="I1719" t="s">
        <v>3779</v>
      </c>
      <c r="J1719" s="23" t="s">
        <v>22</v>
      </c>
      <c r="K1719" s="22">
        <v>4</v>
      </c>
      <c r="L1719" s="1">
        <v>41980</v>
      </c>
      <c r="M1719" s="22">
        <f>Table12[[#This Row],[Ship Date]]-Table12[[#This Row],[Order Date]]</f>
        <v>6</v>
      </c>
      <c r="N1719" s="23" t="s">
        <v>45</v>
      </c>
      <c r="O1719" s="23" t="s">
        <v>23</v>
      </c>
      <c r="P1719" s="23" t="s">
        <v>80</v>
      </c>
      <c r="Q1719" s="23" t="s">
        <v>26</v>
      </c>
      <c r="R1719" s="23" t="s">
        <v>1345</v>
      </c>
      <c r="S1719" s="33">
        <v>0.2</v>
      </c>
      <c r="T1719" s="13">
        <v>95.968000000000004</v>
      </c>
      <c r="U1719" s="13">
        <v>9.5968</v>
      </c>
      <c r="V1719" s="55">
        <f>IFERROR(Table12[[#This Row],[Profit]]/Table12[[#This Row],[Sales]],0)</f>
        <v>9.9999999999999992E-2</v>
      </c>
    </row>
    <row r="1720" spans="1:22" x14ac:dyDescent="0.2">
      <c r="A1720">
        <v>1719</v>
      </c>
      <c r="B1720" t="s">
        <v>6799</v>
      </c>
      <c r="C1720" s="1">
        <v>41974</v>
      </c>
      <c r="D1720" s="22">
        <f>MONTH(Table12[[#This Row],[Order Date]])</f>
        <v>12</v>
      </c>
      <c r="E1720" t="s">
        <v>6142</v>
      </c>
      <c r="F1720" t="s">
        <v>6143</v>
      </c>
      <c r="G1720" s="23" t="s">
        <v>64</v>
      </c>
      <c r="H1720" s="23" t="s">
        <v>1075</v>
      </c>
      <c r="I1720" t="s">
        <v>2187</v>
      </c>
      <c r="J1720" s="23" t="s">
        <v>22</v>
      </c>
      <c r="K1720" s="22">
        <v>2</v>
      </c>
      <c r="L1720" s="1">
        <v>41976</v>
      </c>
      <c r="M1720" s="22">
        <f>Table12[[#This Row],[Ship Date]]-Table12[[#This Row],[Order Date]]</f>
        <v>2</v>
      </c>
      <c r="N1720" s="23" t="s">
        <v>20</v>
      </c>
      <c r="O1720" s="23" t="s">
        <v>23</v>
      </c>
      <c r="P1720" s="23" t="s">
        <v>441</v>
      </c>
      <c r="Q1720" s="23" t="s">
        <v>133</v>
      </c>
      <c r="R1720" s="23" t="s">
        <v>440</v>
      </c>
      <c r="S1720" s="33">
        <v>0.4</v>
      </c>
      <c r="T1720" s="13">
        <v>659.98800000000006</v>
      </c>
      <c r="U1720" s="13">
        <v>109.998</v>
      </c>
      <c r="V1720" s="55">
        <f>IFERROR(Table12[[#This Row],[Profit]]/Table12[[#This Row],[Sales]],0)</f>
        <v>0.16666666666666666</v>
      </c>
    </row>
    <row r="1721" spans="1:22" x14ac:dyDescent="0.2">
      <c r="A1721">
        <v>1720</v>
      </c>
      <c r="B1721" t="s">
        <v>6799</v>
      </c>
      <c r="C1721" s="1">
        <v>41974</v>
      </c>
      <c r="D1721" s="22">
        <f>MONTH(Table12[[#This Row],[Order Date]])</f>
        <v>12</v>
      </c>
      <c r="E1721" t="s">
        <v>1824</v>
      </c>
      <c r="F1721" t="s">
        <v>1825</v>
      </c>
      <c r="G1721" s="23" t="s">
        <v>28</v>
      </c>
      <c r="H1721" s="23" t="s">
        <v>58</v>
      </c>
      <c r="I1721" t="s">
        <v>2187</v>
      </c>
      <c r="J1721" s="23" t="s">
        <v>22</v>
      </c>
      <c r="K1721" s="22">
        <v>2</v>
      </c>
      <c r="L1721" s="1">
        <v>41976</v>
      </c>
      <c r="M1721" s="22">
        <f>Table12[[#This Row],[Ship Date]]-Table12[[#This Row],[Order Date]]</f>
        <v>2</v>
      </c>
      <c r="N1721" s="23" t="s">
        <v>20</v>
      </c>
      <c r="O1721" s="23" t="s">
        <v>23</v>
      </c>
      <c r="P1721" s="23" t="s">
        <v>441</v>
      </c>
      <c r="Q1721" s="23" t="s">
        <v>133</v>
      </c>
      <c r="R1721" s="23" t="s">
        <v>440</v>
      </c>
      <c r="S1721" s="33">
        <v>0.2</v>
      </c>
      <c r="T1721" s="13">
        <v>8.1280000000000001</v>
      </c>
      <c r="U1721" s="13">
        <v>1.4224000000000001</v>
      </c>
      <c r="V1721" s="55">
        <f>IFERROR(Table12[[#This Row],[Profit]]/Table12[[#This Row],[Sales]],0)</f>
        <v>0.17500000000000002</v>
      </c>
    </row>
    <row r="1722" spans="1:22" x14ac:dyDescent="0.2">
      <c r="A1722">
        <v>1721</v>
      </c>
      <c r="B1722" t="s">
        <v>6799</v>
      </c>
      <c r="C1722" s="1">
        <v>41974</v>
      </c>
      <c r="D1722" s="22">
        <f>MONTH(Table12[[#This Row],[Order Date]])</f>
        <v>12</v>
      </c>
      <c r="E1722" t="s">
        <v>4236</v>
      </c>
      <c r="F1722" t="s">
        <v>4237</v>
      </c>
      <c r="G1722" s="23" t="s">
        <v>41</v>
      </c>
      <c r="H1722" s="23" t="s">
        <v>82</v>
      </c>
      <c r="I1722" t="s">
        <v>2187</v>
      </c>
      <c r="J1722" s="23" t="s">
        <v>22</v>
      </c>
      <c r="K1722" s="22">
        <v>7</v>
      </c>
      <c r="L1722" s="1">
        <v>41976</v>
      </c>
      <c r="M1722" s="22">
        <f>Table12[[#This Row],[Ship Date]]-Table12[[#This Row],[Order Date]]</f>
        <v>2</v>
      </c>
      <c r="N1722" s="23" t="s">
        <v>20</v>
      </c>
      <c r="O1722" s="23" t="s">
        <v>23</v>
      </c>
      <c r="P1722" s="23" t="s">
        <v>441</v>
      </c>
      <c r="Q1722" s="23" t="s">
        <v>133</v>
      </c>
      <c r="R1722" s="23" t="s">
        <v>440</v>
      </c>
      <c r="S1722" s="33">
        <v>0.2</v>
      </c>
      <c r="T1722" s="13">
        <v>36.287999999999997</v>
      </c>
      <c r="U1722" s="13">
        <v>12.700799999999999</v>
      </c>
      <c r="V1722" s="55">
        <f>IFERROR(Table12[[#This Row],[Profit]]/Table12[[#This Row],[Sales]],0)</f>
        <v>0.35000000000000003</v>
      </c>
    </row>
    <row r="1723" spans="1:22" x14ac:dyDescent="0.2">
      <c r="A1723">
        <v>1722</v>
      </c>
      <c r="B1723" t="s">
        <v>6799</v>
      </c>
      <c r="C1723" s="1">
        <v>41974</v>
      </c>
      <c r="D1723" s="22">
        <f>MONTH(Table12[[#This Row],[Order Date]])</f>
        <v>12</v>
      </c>
      <c r="E1723" t="s">
        <v>1316</v>
      </c>
      <c r="F1723" t="s">
        <v>1317</v>
      </c>
      <c r="G1723" s="23" t="s">
        <v>28</v>
      </c>
      <c r="H1723" s="23" t="s">
        <v>32</v>
      </c>
      <c r="I1723" t="s">
        <v>2187</v>
      </c>
      <c r="J1723" s="23" t="s">
        <v>22</v>
      </c>
      <c r="K1723" s="22">
        <v>6</v>
      </c>
      <c r="L1723" s="1">
        <v>41976</v>
      </c>
      <c r="M1723" s="22">
        <f>Table12[[#This Row],[Ship Date]]-Table12[[#This Row],[Order Date]]</f>
        <v>2</v>
      </c>
      <c r="N1723" s="23" t="s">
        <v>20</v>
      </c>
      <c r="O1723" s="23" t="s">
        <v>23</v>
      </c>
      <c r="P1723" s="23" t="s">
        <v>441</v>
      </c>
      <c r="Q1723" s="23" t="s">
        <v>133</v>
      </c>
      <c r="R1723" s="23" t="s">
        <v>440</v>
      </c>
      <c r="S1723" s="33">
        <v>0.3</v>
      </c>
      <c r="T1723" s="13">
        <v>909.72</v>
      </c>
      <c r="U1723" s="13">
        <v>-51.984000000000002</v>
      </c>
      <c r="V1723" s="55">
        <f>IFERROR(Table12[[#This Row],[Profit]]/Table12[[#This Row],[Sales]],0)</f>
        <v>-5.7142857142857141E-2</v>
      </c>
    </row>
    <row r="1724" spans="1:22" x14ac:dyDescent="0.2">
      <c r="A1724">
        <v>1723</v>
      </c>
      <c r="B1724" t="s">
        <v>7103</v>
      </c>
      <c r="C1724" s="1">
        <v>41974</v>
      </c>
      <c r="D1724" s="22">
        <f>MONTH(Table12[[#This Row],[Order Date]])</f>
        <v>12</v>
      </c>
      <c r="E1724" t="s">
        <v>2143</v>
      </c>
      <c r="F1724" t="s">
        <v>2144</v>
      </c>
      <c r="G1724" s="23" t="s">
        <v>28</v>
      </c>
      <c r="H1724" s="23" t="s">
        <v>32</v>
      </c>
      <c r="I1724" t="s">
        <v>1577</v>
      </c>
      <c r="J1724" s="23" t="s">
        <v>36</v>
      </c>
      <c r="K1724" s="22">
        <v>3</v>
      </c>
      <c r="L1724" s="1">
        <v>41976</v>
      </c>
      <c r="M1724" s="22">
        <f>Table12[[#This Row],[Ship Date]]-Table12[[#This Row],[Order Date]]</f>
        <v>2</v>
      </c>
      <c r="N1724" s="23" t="s">
        <v>20</v>
      </c>
      <c r="O1724" s="23" t="s">
        <v>23</v>
      </c>
      <c r="P1724" s="23" t="s">
        <v>94</v>
      </c>
      <c r="Q1724" s="23" t="s">
        <v>95</v>
      </c>
      <c r="R1724" s="23" t="s">
        <v>165</v>
      </c>
      <c r="S1724" s="33">
        <v>0.3</v>
      </c>
      <c r="T1724" s="13">
        <v>674.05799999999999</v>
      </c>
      <c r="U1724" s="13">
        <v>-19.258800000000001</v>
      </c>
      <c r="V1724" s="55">
        <f>IFERROR(Table12[[#This Row],[Profit]]/Table12[[#This Row],[Sales]],0)</f>
        <v>-2.8571428571428574E-2</v>
      </c>
    </row>
    <row r="1725" spans="1:22" x14ac:dyDescent="0.2">
      <c r="A1725">
        <v>1724</v>
      </c>
      <c r="B1725" t="s">
        <v>8999</v>
      </c>
      <c r="C1725" s="1">
        <v>41974</v>
      </c>
      <c r="D1725" s="22">
        <f>MONTH(Table12[[#This Row],[Order Date]])</f>
        <v>12</v>
      </c>
      <c r="E1725" t="s">
        <v>6460</v>
      </c>
      <c r="F1725" t="s">
        <v>6461</v>
      </c>
      <c r="G1725" s="23" t="s">
        <v>64</v>
      </c>
      <c r="H1725" s="23" t="s">
        <v>65</v>
      </c>
      <c r="I1725" t="s">
        <v>6432</v>
      </c>
      <c r="J1725" s="23" t="s">
        <v>22</v>
      </c>
      <c r="K1725" s="22">
        <v>2</v>
      </c>
      <c r="L1725" s="1">
        <v>41976</v>
      </c>
      <c r="M1725" s="22">
        <f>Table12[[#This Row],[Ship Date]]-Table12[[#This Row],[Order Date]]</f>
        <v>2</v>
      </c>
      <c r="N1725" s="23" t="s">
        <v>169</v>
      </c>
      <c r="O1725" s="23" t="s">
        <v>23</v>
      </c>
      <c r="P1725" s="23" t="s">
        <v>1101</v>
      </c>
      <c r="Q1725" s="23" t="s">
        <v>133</v>
      </c>
      <c r="R1725" s="23" t="s">
        <v>1100</v>
      </c>
      <c r="S1725" s="33">
        <v>0</v>
      </c>
      <c r="T1725" s="13">
        <v>271.89999999999998</v>
      </c>
      <c r="U1725" s="13">
        <v>78.850999999999999</v>
      </c>
      <c r="V1725" s="55">
        <f>IFERROR(Table12[[#This Row],[Profit]]/Table12[[#This Row],[Sales]],0)</f>
        <v>0.29000000000000004</v>
      </c>
    </row>
    <row r="1726" spans="1:22" x14ac:dyDescent="0.2">
      <c r="A1726">
        <v>1725</v>
      </c>
      <c r="B1726" t="s">
        <v>8999</v>
      </c>
      <c r="C1726" s="1">
        <v>41974</v>
      </c>
      <c r="D1726" s="22">
        <f>MONTH(Table12[[#This Row],[Order Date]])</f>
        <v>12</v>
      </c>
      <c r="E1726" t="s">
        <v>2316</v>
      </c>
      <c r="F1726" t="s">
        <v>2317</v>
      </c>
      <c r="G1726" s="23" t="s">
        <v>28</v>
      </c>
      <c r="H1726" s="23" t="s">
        <v>58</v>
      </c>
      <c r="I1726" t="s">
        <v>6432</v>
      </c>
      <c r="J1726" s="23" t="s">
        <v>22</v>
      </c>
      <c r="K1726" s="22">
        <v>3</v>
      </c>
      <c r="L1726" s="1">
        <v>41976</v>
      </c>
      <c r="M1726" s="22">
        <f>Table12[[#This Row],[Ship Date]]-Table12[[#This Row],[Order Date]]</f>
        <v>2</v>
      </c>
      <c r="N1726" s="23" t="s">
        <v>169</v>
      </c>
      <c r="O1726" s="23" t="s">
        <v>23</v>
      </c>
      <c r="P1726" s="23" t="s">
        <v>1101</v>
      </c>
      <c r="Q1726" s="23" t="s">
        <v>133</v>
      </c>
      <c r="R1726" s="23" t="s">
        <v>1100</v>
      </c>
      <c r="S1726" s="33">
        <v>0</v>
      </c>
      <c r="T1726" s="13">
        <v>45.84</v>
      </c>
      <c r="U1726" s="13">
        <v>15.585599999999999</v>
      </c>
      <c r="V1726" s="55">
        <f>IFERROR(Table12[[#This Row],[Profit]]/Table12[[#This Row],[Sales]],0)</f>
        <v>0.33999999999999997</v>
      </c>
    </row>
    <row r="1727" spans="1:22" x14ac:dyDescent="0.2">
      <c r="A1727">
        <v>1726</v>
      </c>
      <c r="B1727" t="s">
        <v>8999</v>
      </c>
      <c r="C1727" s="1">
        <v>41974</v>
      </c>
      <c r="D1727" s="22">
        <f>MONTH(Table12[[#This Row],[Order Date]])</f>
        <v>12</v>
      </c>
      <c r="E1727" t="s">
        <v>3007</v>
      </c>
      <c r="F1727" t="s">
        <v>3008</v>
      </c>
      <c r="G1727" s="23" t="s">
        <v>28</v>
      </c>
      <c r="H1727" s="23" t="s">
        <v>58</v>
      </c>
      <c r="I1727" t="s">
        <v>6432</v>
      </c>
      <c r="J1727" s="23" t="s">
        <v>22</v>
      </c>
      <c r="K1727" s="22">
        <v>2</v>
      </c>
      <c r="L1727" s="1">
        <v>41976</v>
      </c>
      <c r="M1727" s="22">
        <f>Table12[[#This Row],[Ship Date]]-Table12[[#This Row],[Order Date]]</f>
        <v>2</v>
      </c>
      <c r="N1727" s="23" t="s">
        <v>169</v>
      </c>
      <c r="O1727" s="23" t="s">
        <v>23</v>
      </c>
      <c r="P1727" s="23" t="s">
        <v>1101</v>
      </c>
      <c r="Q1727" s="23" t="s">
        <v>133</v>
      </c>
      <c r="R1727" s="23" t="s">
        <v>1100</v>
      </c>
      <c r="S1727" s="33">
        <v>0</v>
      </c>
      <c r="T1727" s="13">
        <v>9.82</v>
      </c>
      <c r="U1727" s="13">
        <v>3.2406000000000001</v>
      </c>
      <c r="V1727" s="55">
        <f>IFERROR(Table12[[#This Row],[Profit]]/Table12[[#This Row],[Sales]],0)</f>
        <v>0.33</v>
      </c>
    </row>
    <row r="1728" spans="1:22" x14ac:dyDescent="0.2">
      <c r="A1728">
        <v>1727</v>
      </c>
      <c r="B1728" t="s">
        <v>2007</v>
      </c>
      <c r="C1728" s="1">
        <v>41975</v>
      </c>
      <c r="D1728" s="22">
        <f>MONTH(Table12[[#This Row],[Order Date]])</f>
        <v>12</v>
      </c>
      <c r="E1728" t="s">
        <v>897</v>
      </c>
      <c r="F1728" t="s">
        <v>898</v>
      </c>
      <c r="G1728" s="23" t="s">
        <v>64</v>
      </c>
      <c r="H1728" s="23" t="s">
        <v>144</v>
      </c>
      <c r="I1728" t="s">
        <v>2008</v>
      </c>
      <c r="J1728" s="23" t="s">
        <v>22</v>
      </c>
      <c r="K1728" s="22">
        <v>4</v>
      </c>
      <c r="L1728" s="1">
        <v>41977</v>
      </c>
      <c r="M1728" s="22">
        <f>Table12[[#This Row],[Ship Date]]-Table12[[#This Row],[Order Date]]</f>
        <v>2</v>
      </c>
      <c r="N1728" s="23" t="s">
        <v>169</v>
      </c>
      <c r="O1728" s="23" t="s">
        <v>23</v>
      </c>
      <c r="P1728" s="23" t="s">
        <v>238</v>
      </c>
      <c r="Q1728" s="23" t="s">
        <v>133</v>
      </c>
      <c r="R1728" s="23" t="s">
        <v>237</v>
      </c>
      <c r="S1728" s="33">
        <v>0</v>
      </c>
      <c r="T1728" s="13">
        <v>119.96</v>
      </c>
      <c r="U1728" s="13">
        <v>52.782400000000003</v>
      </c>
      <c r="V1728" s="55">
        <f>IFERROR(Table12[[#This Row],[Profit]]/Table12[[#This Row],[Sales]],0)</f>
        <v>0.44000000000000006</v>
      </c>
    </row>
    <row r="1729" spans="1:22" x14ac:dyDescent="0.2">
      <c r="A1729">
        <v>1728</v>
      </c>
      <c r="B1729" t="s">
        <v>2007</v>
      </c>
      <c r="C1729" s="1">
        <v>41975</v>
      </c>
      <c r="D1729" s="22">
        <f>MONTH(Table12[[#This Row],[Order Date]])</f>
        <v>12</v>
      </c>
      <c r="E1729" t="s">
        <v>2009</v>
      </c>
      <c r="F1729" t="s">
        <v>2010</v>
      </c>
      <c r="G1729" s="23" t="s">
        <v>28</v>
      </c>
      <c r="H1729" s="23" t="s">
        <v>29</v>
      </c>
      <c r="I1729" t="s">
        <v>2008</v>
      </c>
      <c r="J1729" s="23" t="s">
        <v>22</v>
      </c>
      <c r="K1729" s="22">
        <v>5</v>
      </c>
      <c r="L1729" s="1">
        <v>41977</v>
      </c>
      <c r="M1729" s="22">
        <f>Table12[[#This Row],[Ship Date]]-Table12[[#This Row],[Order Date]]</f>
        <v>2</v>
      </c>
      <c r="N1729" s="23" t="s">
        <v>169</v>
      </c>
      <c r="O1729" s="23" t="s">
        <v>23</v>
      </c>
      <c r="P1729" s="23" t="s">
        <v>238</v>
      </c>
      <c r="Q1729" s="23" t="s">
        <v>133</v>
      </c>
      <c r="R1729" s="23" t="s">
        <v>237</v>
      </c>
      <c r="S1729" s="33">
        <v>0.2</v>
      </c>
      <c r="T1729" s="13">
        <v>883.92</v>
      </c>
      <c r="U1729" s="13">
        <v>-110.49</v>
      </c>
      <c r="V1729" s="55">
        <f>IFERROR(Table12[[#This Row],[Profit]]/Table12[[#This Row],[Sales]],0)</f>
        <v>-0.125</v>
      </c>
    </row>
    <row r="1730" spans="1:22" x14ac:dyDescent="0.2">
      <c r="A1730">
        <v>1729</v>
      </c>
      <c r="B1730" t="s">
        <v>2007</v>
      </c>
      <c r="C1730" s="1">
        <v>41975</v>
      </c>
      <c r="D1730" s="22">
        <f>MONTH(Table12[[#This Row],[Order Date]])</f>
        <v>12</v>
      </c>
      <c r="E1730" t="s">
        <v>1212</v>
      </c>
      <c r="F1730" t="s">
        <v>1213</v>
      </c>
      <c r="G1730" s="23" t="s">
        <v>41</v>
      </c>
      <c r="H1730" s="23" t="s">
        <v>68</v>
      </c>
      <c r="I1730" t="s">
        <v>2008</v>
      </c>
      <c r="J1730" s="23" t="s">
        <v>22</v>
      </c>
      <c r="K1730" s="22">
        <v>8</v>
      </c>
      <c r="L1730" s="1">
        <v>41977</v>
      </c>
      <c r="M1730" s="22">
        <f>Table12[[#This Row],[Ship Date]]-Table12[[#This Row],[Order Date]]</f>
        <v>2</v>
      </c>
      <c r="N1730" s="23" t="s">
        <v>169</v>
      </c>
      <c r="O1730" s="23" t="s">
        <v>23</v>
      </c>
      <c r="P1730" s="23" t="s">
        <v>238</v>
      </c>
      <c r="Q1730" s="23" t="s">
        <v>133</v>
      </c>
      <c r="R1730" s="23" t="s">
        <v>237</v>
      </c>
      <c r="S1730" s="33">
        <v>0.2</v>
      </c>
      <c r="T1730" s="13">
        <v>46.72</v>
      </c>
      <c r="U1730" s="13">
        <v>15.768000000000001</v>
      </c>
      <c r="V1730" s="55">
        <f>IFERROR(Table12[[#This Row],[Profit]]/Table12[[#This Row],[Sales]],0)</f>
        <v>0.33750000000000002</v>
      </c>
    </row>
    <row r="1731" spans="1:22" x14ac:dyDescent="0.2">
      <c r="A1731">
        <v>1730</v>
      </c>
      <c r="B1731" t="s">
        <v>5316</v>
      </c>
      <c r="C1731" s="1">
        <v>41975</v>
      </c>
      <c r="D1731" s="22">
        <f>MONTH(Table12[[#This Row],[Order Date]])</f>
        <v>12</v>
      </c>
      <c r="E1731" t="s">
        <v>1014</v>
      </c>
      <c r="F1731" t="s">
        <v>1015</v>
      </c>
      <c r="G1731" s="23" t="s">
        <v>28</v>
      </c>
      <c r="H1731" s="23" t="s">
        <v>58</v>
      </c>
      <c r="I1731" t="s">
        <v>4189</v>
      </c>
      <c r="J1731" s="23" t="s">
        <v>36</v>
      </c>
      <c r="K1731" s="22">
        <v>5</v>
      </c>
      <c r="L1731" s="1">
        <v>41979</v>
      </c>
      <c r="M1731" s="22">
        <f>Table12[[#This Row],[Ship Date]]-Table12[[#This Row],[Order Date]]</f>
        <v>4</v>
      </c>
      <c r="N1731" s="23" t="s">
        <v>45</v>
      </c>
      <c r="O1731" s="23" t="s">
        <v>23</v>
      </c>
      <c r="P1731" s="23" t="s">
        <v>94</v>
      </c>
      <c r="Q1731" s="23" t="s">
        <v>95</v>
      </c>
      <c r="R1731" s="23" t="s">
        <v>5317</v>
      </c>
      <c r="S1731" s="33">
        <v>0.6</v>
      </c>
      <c r="T1731" s="13">
        <v>58.36</v>
      </c>
      <c r="U1731" s="13">
        <v>-24.803000000000001</v>
      </c>
      <c r="V1731" s="55">
        <f>IFERROR(Table12[[#This Row],[Profit]]/Table12[[#This Row],[Sales]],0)</f>
        <v>-0.42500000000000004</v>
      </c>
    </row>
    <row r="1732" spans="1:22" x14ac:dyDescent="0.2">
      <c r="A1732">
        <v>1731</v>
      </c>
      <c r="B1732" t="s">
        <v>5316</v>
      </c>
      <c r="C1732" s="1">
        <v>41975</v>
      </c>
      <c r="D1732" s="22">
        <f>MONTH(Table12[[#This Row],[Order Date]])</f>
        <v>12</v>
      </c>
      <c r="E1732" t="s">
        <v>519</v>
      </c>
      <c r="F1732" t="s">
        <v>520</v>
      </c>
      <c r="G1732" s="23" t="s">
        <v>41</v>
      </c>
      <c r="H1732" s="23" t="s">
        <v>61</v>
      </c>
      <c r="I1732" t="s">
        <v>4189</v>
      </c>
      <c r="J1732" s="23" t="s">
        <v>36</v>
      </c>
      <c r="K1732" s="22">
        <v>7</v>
      </c>
      <c r="L1732" s="1">
        <v>41979</v>
      </c>
      <c r="M1732" s="22">
        <f>Table12[[#This Row],[Ship Date]]-Table12[[#This Row],[Order Date]]</f>
        <v>4</v>
      </c>
      <c r="N1732" s="23" t="s">
        <v>45</v>
      </c>
      <c r="O1732" s="23" t="s">
        <v>23</v>
      </c>
      <c r="P1732" s="23" t="s">
        <v>94</v>
      </c>
      <c r="Q1732" s="23" t="s">
        <v>95</v>
      </c>
      <c r="R1732" s="23" t="s">
        <v>5317</v>
      </c>
      <c r="S1732" s="33">
        <v>0.2</v>
      </c>
      <c r="T1732" s="13">
        <v>16.463999999999999</v>
      </c>
      <c r="U1732" s="13">
        <v>1.4406000000000001</v>
      </c>
      <c r="V1732" s="55">
        <f>IFERROR(Table12[[#This Row],[Profit]]/Table12[[#This Row],[Sales]],0)</f>
        <v>8.7500000000000008E-2</v>
      </c>
    </row>
    <row r="1733" spans="1:22" x14ac:dyDescent="0.2">
      <c r="A1733">
        <v>1732</v>
      </c>
      <c r="B1733" t="s">
        <v>5316</v>
      </c>
      <c r="C1733" s="1">
        <v>41975</v>
      </c>
      <c r="D1733" s="22">
        <f>MONTH(Table12[[#This Row],[Order Date]])</f>
        <v>12</v>
      </c>
      <c r="E1733" t="s">
        <v>1924</v>
      </c>
      <c r="F1733" t="s">
        <v>1925</v>
      </c>
      <c r="G1733" s="23" t="s">
        <v>28</v>
      </c>
      <c r="H1733" s="23" t="s">
        <v>58</v>
      </c>
      <c r="I1733" t="s">
        <v>4189</v>
      </c>
      <c r="J1733" s="23" t="s">
        <v>36</v>
      </c>
      <c r="K1733" s="22">
        <v>5</v>
      </c>
      <c r="L1733" s="1">
        <v>41979</v>
      </c>
      <c r="M1733" s="22">
        <f>Table12[[#This Row],[Ship Date]]-Table12[[#This Row],[Order Date]]</f>
        <v>4</v>
      </c>
      <c r="N1733" s="23" t="s">
        <v>45</v>
      </c>
      <c r="O1733" s="23" t="s">
        <v>23</v>
      </c>
      <c r="P1733" s="23" t="s">
        <v>94</v>
      </c>
      <c r="Q1733" s="23" t="s">
        <v>95</v>
      </c>
      <c r="R1733" s="23" t="s">
        <v>5317</v>
      </c>
      <c r="S1733" s="33">
        <v>0.6</v>
      </c>
      <c r="T1733" s="13">
        <v>39.96</v>
      </c>
      <c r="U1733" s="13">
        <v>-23.975999999999999</v>
      </c>
      <c r="V1733" s="55">
        <f>IFERROR(Table12[[#This Row],[Profit]]/Table12[[#This Row],[Sales]],0)</f>
        <v>-0.6</v>
      </c>
    </row>
    <row r="1734" spans="1:22" x14ac:dyDescent="0.2">
      <c r="A1734">
        <v>1733</v>
      </c>
      <c r="B1734" t="s">
        <v>7088</v>
      </c>
      <c r="C1734" s="1">
        <v>41975</v>
      </c>
      <c r="D1734" s="22">
        <f>MONTH(Table12[[#This Row],[Order Date]])</f>
        <v>12</v>
      </c>
      <c r="E1734" t="s">
        <v>1837</v>
      </c>
      <c r="F1734" t="s">
        <v>1838</v>
      </c>
      <c r="G1734" s="23" t="s">
        <v>64</v>
      </c>
      <c r="H1734" s="23" t="s">
        <v>144</v>
      </c>
      <c r="I1734" t="s">
        <v>3488</v>
      </c>
      <c r="J1734" s="23" t="s">
        <v>36</v>
      </c>
      <c r="K1734" s="22">
        <v>5</v>
      </c>
      <c r="L1734" s="1">
        <v>41980</v>
      </c>
      <c r="M1734" s="22">
        <f>Table12[[#This Row],[Ship Date]]-Table12[[#This Row],[Order Date]]</f>
        <v>5</v>
      </c>
      <c r="N1734" s="23" t="s">
        <v>45</v>
      </c>
      <c r="O1734" s="23" t="s">
        <v>23</v>
      </c>
      <c r="P1734" s="23" t="s">
        <v>441</v>
      </c>
      <c r="Q1734" s="23" t="s">
        <v>133</v>
      </c>
      <c r="R1734" s="23" t="s">
        <v>440</v>
      </c>
      <c r="S1734" s="33">
        <v>0.2</v>
      </c>
      <c r="T1734" s="13">
        <v>119.8</v>
      </c>
      <c r="U1734" s="13">
        <v>29.95</v>
      </c>
      <c r="V1734" s="55">
        <f>IFERROR(Table12[[#This Row],[Profit]]/Table12[[#This Row],[Sales]],0)</f>
        <v>0.25</v>
      </c>
    </row>
    <row r="1735" spans="1:22" x14ac:dyDescent="0.2">
      <c r="A1735">
        <v>1734</v>
      </c>
      <c r="B1735" t="s">
        <v>8008</v>
      </c>
      <c r="C1735" s="1">
        <v>41975</v>
      </c>
      <c r="D1735" s="22">
        <f>MONTH(Table12[[#This Row],[Order Date]])</f>
        <v>12</v>
      </c>
      <c r="E1735" t="s">
        <v>1261</v>
      </c>
      <c r="F1735" t="s">
        <v>1262</v>
      </c>
      <c r="G1735" s="23" t="s">
        <v>41</v>
      </c>
      <c r="H1735" s="23" t="s">
        <v>71</v>
      </c>
      <c r="I1735" t="s">
        <v>3220</v>
      </c>
      <c r="J1735" s="23" t="s">
        <v>22</v>
      </c>
      <c r="K1735" s="22">
        <v>1</v>
      </c>
      <c r="L1735" s="1">
        <v>41977</v>
      </c>
      <c r="M1735" s="22">
        <f>Table12[[#This Row],[Ship Date]]-Table12[[#This Row],[Order Date]]</f>
        <v>2</v>
      </c>
      <c r="N1735" s="23" t="s">
        <v>169</v>
      </c>
      <c r="O1735" s="23" t="s">
        <v>23</v>
      </c>
      <c r="P1735" s="23" t="s">
        <v>189</v>
      </c>
      <c r="Q1735" s="23" t="s">
        <v>95</v>
      </c>
      <c r="R1735" s="23" t="s">
        <v>271</v>
      </c>
      <c r="S1735" s="33">
        <v>0.8</v>
      </c>
      <c r="T1735" s="13">
        <v>2.3940000000000001</v>
      </c>
      <c r="U1735" s="13">
        <v>-6.3441000000000001</v>
      </c>
      <c r="V1735" s="55">
        <f>IFERROR(Table12[[#This Row],[Profit]]/Table12[[#This Row],[Sales]],0)</f>
        <v>-2.65</v>
      </c>
    </row>
    <row r="1736" spans="1:22" x14ac:dyDescent="0.2">
      <c r="A1736">
        <v>1735</v>
      </c>
      <c r="B1736" t="s">
        <v>8211</v>
      </c>
      <c r="C1736" s="1">
        <v>41975</v>
      </c>
      <c r="D1736" s="22">
        <f>MONTH(Table12[[#This Row],[Order Date]])</f>
        <v>12</v>
      </c>
      <c r="E1736" t="s">
        <v>1801</v>
      </c>
      <c r="F1736" t="s">
        <v>1802</v>
      </c>
      <c r="G1736" s="23" t="s">
        <v>28</v>
      </c>
      <c r="H1736" s="23" t="s">
        <v>58</v>
      </c>
      <c r="I1736" t="s">
        <v>202</v>
      </c>
      <c r="J1736" s="23" t="s">
        <v>36</v>
      </c>
      <c r="K1736" s="22">
        <v>3</v>
      </c>
      <c r="L1736" s="1">
        <v>41980</v>
      </c>
      <c r="M1736" s="22">
        <f>Table12[[#This Row],[Ship Date]]-Table12[[#This Row],[Order Date]]</f>
        <v>5</v>
      </c>
      <c r="N1736" s="23" t="s">
        <v>45</v>
      </c>
      <c r="O1736" s="23" t="s">
        <v>23</v>
      </c>
      <c r="P1736" s="23" t="s">
        <v>2408</v>
      </c>
      <c r="Q1736" s="23" t="s">
        <v>133</v>
      </c>
      <c r="R1736" s="23" t="s">
        <v>2828</v>
      </c>
      <c r="S1736" s="33">
        <v>0</v>
      </c>
      <c r="T1736" s="13">
        <v>60.72</v>
      </c>
      <c r="U1736" s="13">
        <v>23.680800000000001</v>
      </c>
      <c r="V1736" s="55">
        <f>IFERROR(Table12[[#This Row],[Profit]]/Table12[[#This Row],[Sales]],0)</f>
        <v>0.39</v>
      </c>
    </row>
    <row r="1737" spans="1:22" x14ac:dyDescent="0.2">
      <c r="A1737">
        <v>1736</v>
      </c>
      <c r="B1737" t="s">
        <v>8211</v>
      </c>
      <c r="C1737" s="1">
        <v>41975</v>
      </c>
      <c r="D1737" s="22">
        <f>MONTH(Table12[[#This Row],[Order Date]])</f>
        <v>12</v>
      </c>
      <c r="E1737" t="s">
        <v>5349</v>
      </c>
      <c r="F1737" t="s">
        <v>5350</v>
      </c>
      <c r="G1737" s="23" t="s">
        <v>41</v>
      </c>
      <c r="H1737" s="23" t="s">
        <v>82</v>
      </c>
      <c r="I1737" t="s">
        <v>202</v>
      </c>
      <c r="J1737" s="23" t="s">
        <v>36</v>
      </c>
      <c r="K1737" s="22">
        <v>3</v>
      </c>
      <c r="L1737" s="1">
        <v>41980</v>
      </c>
      <c r="M1737" s="22">
        <f>Table12[[#This Row],[Ship Date]]-Table12[[#This Row],[Order Date]]</f>
        <v>5</v>
      </c>
      <c r="N1737" s="23" t="s">
        <v>45</v>
      </c>
      <c r="O1737" s="23" t="s">
        <v>23</v>
      </c>
      <c r="P1737" s="23" t="s">
        <v>2408</v>
      </c>
      <c r="Q1737" s="23" t="s">
        <v>133</v>
      </c>
      <c r="R1737" s="23" t="s">
        <v>2828</v>
      </c>
      <c r="S1737" s="33">
        <v>0</v>
      </c>
      <c r="T1737" s="13">
        <v>146.82</v>
      </c>
      <c r="U1737" s="13">
        <v>73.41</v>
      </c>
      <c r="V1737" s="55">
        <f>IFERROR(Table12[[#This Row],[Profit]]/Table12[[#This Row],[Sales]],0)</f>
        <v>0.5</v>
      </c>
    </row>
    <row r="1738" spans="1:22" x14ac:dyDescent="0.2">
      <c r="A1738">
        <v>1737</v>
      </c>
      <c r="B1738" t="s">
        <v>8211</v>
      </c>
      <c r="C1738" s="1">
        <v>41975</v>
      </c>
      <c r="D1738" s="22">
        <f>MONTH(Table12[[#This Row],[Order Date]])</f>
        <v>12</v>
      </c>
      <c r="E1738" t="s">
        <v>4044</v>
      </c>
      <c r="F1738" t="s">
        <v>4045</v>
      </c>
      <c r="G1738" s="23" t="s">
        <v>28</v>
      </c>
      <c r="H1738" s="23" t="s">
        <v>32</v>
      </c>
      <c r="I1738" t="s">
        <v>202</v>
      </c>
      <c r="J1738" s="23" t="s">
        <v>36</v>
      </c>
      <c r="K1738" s="22">
        <v>8</v>
      </c>
      <c r="L1738" s="1">
        <v>41980</v>
      </c>
      <c r="M1738" s="22">
        <f>Table12[[#This Row],[Ship Date]]-Table12[[#This Row],[Order Date]]</f>
        <v>5</v>
      </c>
      <c r="N1738" s="23" t="s">
        <v>45</v>
      </c>
      <c r="O1738" s="23" t="s">
        <v>23</v>
      </c>
      <c r="P1738" s="23" t="s">
        <v>2408</v>
      </c>
      <c r="Q1738" s="23" t="s">
        <v>133</v>
      </c>
      <c r="R1738" s="23" t="s">
        <v>2828</v>
      </c>
      <c r="S1738" s="33">
        <v>0</v>
      </c>
      <c r="T1738" s="13">
        <v>239.84</v>
      </c>
      <c r="U1738" s="13">
        <v>64.756799999999998</v>
      </c>
      <c r="V1738" s="55">
        <f>IFERROR(Table12[[#This Row],[Profit]]/Table12[[#This Row],[Sales]],0)</f>
        <v>0.26999999999999996</v>
      </c>
    </row>
    <row r="1739" spans="1:22" x14ac:dyDescent="0.2">
      <c r="A1739">
        <v>1738</v>
      </c>
      <c r="B1739" t="s">
        <v>8211</v>
      </c>
      <c r="C1739" s="1">
        <v>41975</v>
      </c>
      <c r="D1739" s="22">
        <f>MONTH(Table12[[#This Row],[Order Date]])</f>
        <v>12</v>
      </c>
      <c r="E1739" t="s">
        <v>1009</v>
      </c>
      <c r="F1739" t="s">
        <v>1010</v>
      </c>
      <c r="G1739" s="23" t="s">
        <v>41</v>
      </c>
      <c r="H1739" s="23" t="s">
        <v>42</v>
      </c>
      <c r="I1739" t="s">
        <v>202</v>
      </c>
      <c r="J1739" s="23" t="s">
        <v>36</v>
      </c>
      <c r="K1739" s="22">
        <v>6</v>
      </c>
      <c r="L1739" s="1">
        <v>41980</v>
      </c>
      <c r="M1739" s="22">
        <f>Table12[[#This Row],[Ship Date]]-Table12[[#This Row],[Order Date]]</f>
        <v>5</v>
      </c>
      <c r="N1739" s="23" t="s">
        <v>45</v>
      </c>
      <c r="O1739" s="23" t="s">
        <v>23</v>
      </c>
      <c r="P1739" s="23" t="s">
        <v>2408</v>
      </c>
      <c r="Q1739" s="23" t="s">
        <v>133</v>
      </c>
      <c r="R1739" s="23" t="s">
        <v>2828</v>
      </c>
      <c r="S1739" s="33">
        <v>0</v>
      </c>
      <c r="T1739" s="13">
        <v>15.66</v>
      </c>
      <c r="U1739" s="13">
        <v>7.2035999999999998</v>
      </c>
      <c r="V1739" s="55">
        <f>IFERROR(Table12[[#This Row],[Profit]]/Table12[[#This Row],[Sales]],0)</f>
        <v>0.45999999999999996</v>
      </c>
    </row>
    <row r="1740" spans="1:22" x14ac:dyDescent="0.2">
      <c r="A1740">
        <v>1739</v>
      </c>
      <c r="B1740" t="s">
        <v>9581</v>
      </c>
      <c r="C1740" s="1">
        <v>41975</v>
      </c>
      <c r="D1740" s="22">
        <f>MONTH(Table12[[#This Row],[Order Date]])</f>
        <v>12</v>
      </c>
      <c r="E1740" t="s">
        <v>6498</v>
      </c>
      <c r="F1740" t="s">
        <v>6499</v>
      </c>
      <c r="G1740" s="23" t="s">
        <v>64</v>
      </c>
      <c r="H1740" s="23" t="s">
        <v>144</v>
      </c>
      <c r="I1740" t="s">
        <v>4723</v>
      </c>
      <c r="J1740" s="23" t="s">
        <v>36</v>
      </c>
      <c r="K1740" s="22">
        <v>1</v>
      </c>
      <c r="L1740" s="1">
        <v>41982</v>
      </c>
      <c r="M1740" s="22">
        <f>Table12[[#This Row],[Ship Date]]-Table12[[#This Row],[Order Date]]</f>
        <v>7</v>
      </c>
      <c r="N1740" s="23" t="s">
        <v>45</v>
      </c>
      <c r="O1740" s="23" t="s">
        <v>23</v>
      </c>
      <c r="P1740" s="23" t="s">
        <v>1125</v>
      </c>
      <c r="Q1740" s="23" t="s">
        <v>26</v>
      </c>
      <c r="R1740" s="23" t="s">
        <v>6751</v>
      </c>
      <c r="S1740" s="33">
        <v>0</v>
      </c>
      <c r="T1740" s="13">
        <v>5.95</v>
      </c>
      <c r="U1740" s="13">
        <v>0.83299999999999996</v>
      </c>
      <c r="V1740" s="55">
        <f>IFERROR(Table12[[#This Row],[Profit]]/Table12[[#This Row],[Sales]],0)</f>
        <v>0.13999999999999999</v>
      </c>
    </row>
    <row r="1741" spans="1:22" x14ac:dyDescent="0.2">
      <c r="A1741">
        <v>1740</v>
      </c>
      <c r="B1741" t="s">
        <v>9581</v>
      </c>
      <c r="C1741" s="1">
        <v>41975</v>
      </c>
      <c r="D1741" s="22">
        <f>MONTH(Table12[[#This Row],[Order Date]])</f>
        <v>12</v>
      </c>
      <c r="E1741" t="s">
        <v>2501</v>
      </c>
      <c r="F1741" t="s">
        <v>2502</v>
      </c>
      <c r="G1741" s="23" t="s">
        <v>41</v>
      </c>
      <c r="H1741" s="23" t="s">
        <v>82</v>
      </c>
      <c r="I1741" t="s">
        <v>4723</v>
      </c>
      <c r="J1741" s="23" t="s">
        <v>36</v>
      </c>
      <c r="K1741" s="22">
        <v>3</v>
      </c>
      <c r="L1741" s="1">
        <v>41982</v>
      </c>
      <c r="M1741" s="22">
        <f>Table12[[#This Row],[Ship Date]]-Table12[[#This Row],[Order Date]]</f>
        <v>7</v>
      </c>
      <c r="N1741" s="23" t="s">
        <v>45</v>
      </c>
      <c r="O1741" s="23" t="s">
        <v>23</v>
      </c>
      <c r="P1741" s="23" t="s">
        <v>1125</v>
      </c>
      <c r="Q1741" s="23" t="s">
        <v>26</v>
      </c>
      <c r="R1741" s="23" t="s">
        <v>6751</v>
      </c>
      <c r="S1741" s="33">
        <v>0</v>
      </c>
      <c r="T1741" s="13">
        <v>15.24</v>
      </c>
      <c r="U1741" s="13">
        <v>7.1627999999999998</v>
      </c>
      <c r="V1741" s="55">
        <f>IFERROR(Table12[[#This Row],[Profit]]/Table12[[#This Row],[Sales]],0)</f>
        <v>0.47</v>
      </c>
    </row>
    <row r="1742" spans="1:22" x14ac:dyDescent="0.2">
      <c r="A1742">
        <v>1741</v>
      </c>
      <c r="B1742" t="s">
        <v>4294</v>
      </c>
      <c r="C1742" s="1">
        <v>41976</v>
      </c>
      <c r="D1742" s="22">
        <f>MONTH(Table12[[#This Row],[Order Date]])</f>
        <v>12</v>
      </c>
      <c r="E1742" t="s">
        <v>4296</v>
      </c>
      <c r="F1742" t="s">
        <v>4297</v>
      </c>
      <c r="G1742" s="23" t="s">
        <v>64</v>
      </c>
      <c r="H1742" s="23" t="s">
        <v>65</v>
      </c>
      <c r="I1742" t="s">
        <v>1207</v>
      </c>
      <c r="J1742" s="23" t="s">
        <v>22</v>
      </c>
      <c r="K1742" s="22">
        <v>4</v>
      </c>
      <c r="L1742" s="1">
        <v>41982</v>
      </c>
      <c r="M1742" s="22">
        <f>Table12[[#This Row],[Ship Date]]-Table12[[#This Row],[Order Date]]</f>
        <v>6</v>
      </c>
      <c r="N1742" s="23" t="s">
        <v>45</v>
      </c>
      <c r="O1742" s="23" t="s">
        <v>23</v>
      </c>
      <c r="P1742" s="23" t="s">
        <v>573</v>
      </c>
      <c r="Q1742" s="23" t="s">
        <v>95</v>
      </c>
      <c r="R1742" s="23" t="s">
        <v>4295</v>
      </c>
      <c r="S1742" s="33">
        <v>0</v>
      </c>
      <c r="T1742" s="13">
        <v>479.96</v>
      </c>
      <c r="U1742" s="13">
        <v>134.3888</v>
      </c>
      <c r="V1742" s="55">
        <f>IFERROR(Table12[[#This Row],[Profit]]/Table12[[#This Row],[Sales]],0)</f>
        <v>0.28000000000000003</v>
      </c>
    </row>
    <row r="1743" spans="1:22" x14ac:dyDescent="0.2">
      <c r="A1743">
        <v>1742</v>
      </c>
      <c r="B1743" t="s">
        <v>5101</v>
      </c>
      <c r="C1743" s="1">
        <v>41976</v>
      </c>
      <c r="D1743" s="22">
        <f>MONTH(Table12[[#This Row],[Order Date]])</f>
        <v>12</v>
      </c>
      <c r="E1743" t="s">
        <v>4236</v>
      </c>
      <c r="F1743" t="s">
        <v>4237</v>
      </c>
      <c r="G1743" s="23" t="s">
        <v>41</v>
      </c>
      <c r="H1743" s="23" t="s">
        <v>82</v>
      </c>
      <c r="I1743" t="s">
        <v>5102</v>
      </c>
      <c r="J1743" s="23" t="s">
        <v>36</v>
      </c>
      <c r="K1743" s="22">
        <v>4</v>
      </c>
      <c r="L1743" s="1">
        <v>41979</v>
      </c>
      <c r="M1743" s="22">
        <f>Table12[[#This Row],[Ship Date]]-Table12[[#This Row],[Order Date]]</f>
        <v>3</v>
      </c>
      <c r="N1743" s="23" t="s">
        <v>20</v>
      </c>
      <c r="O1743" s="23" t="s">
        <v>23</v>
      </c>
      <c r="P1743" s="23" t="s">
        <v>528</v>
      </c>
      <c r="Q1743" s="23" t="s">
        <v>95</v>
      </c>
      <c r="R1743" s="23" t="s">
        <v>4509</v>
      </c>
      <c r="S1743" s="33">
        <v>0</v>
      </c>
      <c r="T1743" s="13">
        <v>25.92</v>
      </c>
      <c r="U1743" s="13">
        <v>12.441599999999999</v>
      </c>
      <c r="V1743" s="55">
        <f>IFERROR(Table12[[#This Row],[Profit]]/Table12[[#This Row],[Sales]],0)</f>
        <v>0.47999999999999993</v>
      </c>
    </row>
    <row r="1744" spans="1:22" x14ac:dyDescent="0.2">
      <c r="A1744">
        <v>1743</v>
      </c>
      <c r="B1744" t="s">
        <v>5221</v>
      </c>
      <c r="C1744" s="1">
        <v>41977</v>
      </c>
      <c r="D1744" s="22">
        <f>MONTH(Table12[[#This Row],[Order Date]])</f>
        <v>12</v>
      </c>
      <c r="E1744" t="s">
        <v>5222</v>
      </c>
      <c r="F1744" t="s">
        <v>5223</v>
      </c>
      <c r="G1744" s="23" t="s">
        <v>64</v>
      </c>
      <c r="H1744" s="23" t="s">
        <v>65</v>
      </c>
      <c r="I1744" t="s">
        <v>3237</v>
      </c>
      <c r="J1744" s="23" t="s">
        <v>36</v>
      </c>
      <c r="K1744" s="22">
        <v>2</v>
      </c>
      <c r="L1744" s="1">
        <v>41981</v>
      </c>
      <c r="M1744" s="22">
        <f>Table12[[#This Row],[Ship Date]]-Table12[[#This Row],[Order Date]]</f>
        <v>4</v>
      </c>
      <c r="N1744" s="23" t="s">
        <v>45</v>
      </c>
      <c r="O1744" s="23" t="s">
        <v>23</v>
      </c>
      <c r="P1744" s="23" t="s">
        <v>238</v>
      </c>
      <c r="Q1744" s="23" t="s">
        <v>133</v>
      </c>
      <c r="R1744" s="23" t="s">
        <v>237</v>
      </c>
      <c r="S1744" s="33">
        <v>0</v>
      </c>
      <c r="T1744" s="13">
        <v>129.97999999999999</v>
      </c>
      <c r="U1744" s="13">
        <v>62.3904</v>
      </c>
      <c r="V1744" s="55">
        <f>IFERROR(Table12[[#This Row],[Profit]]/Table12[[#This Row],[Sales]],0)</f>
        <v>0.48000000000000004</v>
      </c>
    </row>
    <row r="1745" spans="1:22" x14ac:dyDescent="0.2">
      <c r="A1745">
        <v>1744</v>
      </c>
      <c r="B1745" t="s">
        <v>274</v>
      </c>
      <c r="C1745" s="1">
        <v>41978</v>
      </c>
      <c r="D1745" s="22">
        <f>MONTH(Table12[[#This Row],[Order Date]])</f>
        <v>12</v>
      </c>
      <c r="E1745" t="s">
        <v>278</v>
      </c>
      <c r="F1745" t="s">
        <v>279</v>
      </c>
      <c r="G1745" s="23" t="s">
        <v>41</v>
      </c>
      <c r="H1745" s="23" t="s">
        <v>61</v>
      </c>
      <c r="I1745" t="s">
        <v>275</v>
      </c>
      <c r="J1745" s="23" t="s">
        <v>36</v>
      </c>
      <c r="K1745" s="22">
        <v>8</v>
      </c>
      <c r="L1745" s="1">
        <v>41983</v>
      </c>
      <c r="M1745" s="22">
        <f>Table12[[#This Row],[Ship Date]]-Table12[[#This Row],[Order Date]]</f>
        <v>5</v>
      </c>
      <c r="N1745" s="23" t="s">
        <v>45</v>
      </c>
      <c r="O1745" s="23" t="s">
        <v>23</v>
      </c>
      <c r="P1745" s="23" t="s">
        <v>277</v>
      </c>
      <c r="Q1745" s="23" t="s">
        <v>39</v>
      </c>
      <c r="R1745" s="23" t="s">
        <v>276</v>
      </c>
      <c r="S1745" s="33">
        <v>0.2</v>
      </c>
      <c r="T1745" s="13">
        <v>1113.0239999999999</v>
      </c>
      <c r="U1745" s="13">
        <v>111.30240000000001</v>
      </c>
      <c r="V1745" s="55">
        <f>IFERROR(Table12[[#This Row],[Profit]]/Table12[[#This Row],[Sales]],0)</f>
        <v>0.10000000000000002</v>
      </c>
    </row>
    <row r="1746" spans="1:22" x14ac:dyDescent="0.2">
      <c r="A1746">
        <v>1745</v>
      </c>
      <c r="B1746" t="s">
        <v>274</v>
      </c>
      <c r="C1746" s="1">
        <v>41978</v>
      </c>
      <c r="D1746" s="22">
        <f>MONTH(Table12[[#This Row],[Order Date]])</f>
        <v>12</v>
      </c>
      <c r="E1746" t="s">
        <v>280</v>
      </c>
      <c r="F1746" t="s">
        <v>281</v>
      </c>
      <c r="G1746" s="23" t="s">
        <v>64</v>
      </c>
      <c r="H1746" s="23" t="s">
        <v>65</v>
      </c>
      <c r="I1746" t="s">
        <v>275</v>
      </c>
      <c r="J1746" s="23" t="s">
        <v>36</v>
      </c>
      <c r="K1746" s="22">
        <v>4</v>
      </c>
      <c r="L1746" s="1">
        <v>41983</v>
      </c>
      <c r="M1746" s="22">
        <f>Table12[[#This Row],[Ship Date]]-Table12[[#This Row],[Order Date]]</f>
        <v>5</v>
      </c>
      <c r="N1746" s="23" t="s">
        <v>45</v>
      </c>
      <c r="O1746" s="23" t="s">
        <v>23</v>
      </c>
      <c r="P1746" s="23" t="s">
        <v>277</v>
      </c>
      <c r="Q1746" s="23" t="s">
        <v>39</v>
      </c>
      <c r="R1746" s="23" t="s">
        <v>276</v>
      </c>
      <c r="S1746" s="33">
        <v>0.2</v>
      </c>
      <c r="T1746" s="13">
        <v>167.96799999999999</v>
      </c>
      <c r="U1746" s="13">
        <v>62.988</v>
      </c>
      <c r="V1746" s="55">
        <f>IFERROR(Table12[[#This Row],[Profit]]/Table12[[#This Row],[Sales]],0)</f>
        <v>0.375</v>
      </c>
    </row>
    <row r="1747" spans="1:22" x14ac:dyDescent="0.2">
      <c r="A1747">
        <v>1746</v>
      </c>
      <c r="B1747" t="s">
        <v>641</v>
      </c>
      <c r="C1747" s="1">
        <v>41978</v>
      </c>
      <c r="D1747" s="22">
        <f>MONTH(Table12[[#This Row],[Order Date]])</f>
        <v>12</v>
      </c>
      <c r="E1747" t="s">
        <v>643</v>
      </c>
      <c r="F1747" t="s">
        <v>644</v>
      </c>
      <c r="G1747" s="23" t="s">
        <v>41</v>
      </c>
      <c r="H1747" s="23" t="s">
        <v>53</v>
      </c>
      <c r="I1747" t="s">
        <v>642</v>
      </c>
      <c r="J1747" s="23" t="s">
        <v>36</v>
      </c>
      <c r="K1747" s="22">
        <v>2</v>
      </c>
      <c r="L1747" s="1">
        <v>41982</v>
      </c>
      <c r="M1747" s="22">
        <f>Table12[[#This Row],[Ship Date]]-Table12[[#This Row],[Order Date]]</f>
        <v>4</v>
      </c>
      <c r="N1747" s="23" t="s">
        <v>20</v>
      </c>
      <c r="O1747" s="23" t="s">
        <v>23</v>
      </c>
      <c r="P1747" s="23" t="s">
        <v>189</v>
      </c>
      <c r="Q1747" s="23" t="s">
        <v>95</v>
      </c>
      <c r="R1747" s="23" t="s">
        <v>319</v>
      </c>
      <c r="S1747" s="33">
        <v>0.2</v>
      </c>
      <c r="T1747" s="13">
        <v>24.815999999999999</v>
      </c>
      <c r="U1747" s="13">
        <v>1.8612</v>
      </c>
      <c r="V1747" s="55">
        <f>IFERROR(Table12[[#This Row],[Profit]]/Table12[[#This Row],[Sales]],0)</f>
        <v>7.4999999999999997E-2</v>
      </c>
    </row>
    <row r="1748" spans="1:22" x14ac:dyDescent="0.2">
      <c r="A1748">
        <v>1747</v>
      </c>
      <c r="B1748" t="s">
        <v>641</v>
      </c>
      <c r="C1748" s="1">
        <v>41978</v>
      </c>
      <c r="D1748" s="22">
        <f>MONTH(Table12[[#This Row],[Order Date]])</f>
        <v>12</v>
      </c>
      <c r="E1748" t="s">
        <v>645</v>
      </c>
      <c r="F1748" t="s">
        <v>646</v>
      </c>
      <c r="G1748" s="23" t="s">
        <v>64</v>
      </c>
      <c r="H1748" s="23" t="s">
        <v>144</v>
      </c>
      <c r="I1748" t="s">
        <v>642</v>
      </c>
      <c r="J1748" s="23" t="s">
        <v>36</v>
      </c>
      <c r="K1748" s="22">
        <v>7</v>
      </c>
      <c r="L1748" s="1">
        <v>41982</v>
      </c>
      <c r="M1748" s="22">
        <f>Table12[[#This Row],[Ship Date]]-Table12[[#This Row],[Order Date]]</f>
        <v>4</v>
      </c>
      <c r="N1748" s="23" t="s">
        <v>20</v>
      </c>
      <c r="O1748" s="23" t="s">
        <v>23</v>
      </c>
      <c r="P1748" s="23" t="s">
        <v>189</v>
      </c>
      <c r="Q1748" s="23" t="s">
        <v>95</v>
      </c>
      <c r="R1748" s="23" t="s">
        <v>319</v>
      </c>
      <c r="S1748" s="33">
        <v>0.2</v>
      </c>
      <c r="T1748" s="13">
        <v>408.74400000000003</v>
      </c>
      <c r="U1748" s="13">
        <v>76.639499999999998</v>
      </c>
      <c r="V1748" s="55">
        <f>IFERROR(Table12[[#This Row],[Profit]]/Table12[[#This Row],[Sales]],0)</f>
        <v>0.18749999999999997</v>
      </c>
    </row>
    <row r="1749" spans="1:22" x14ac:dyDescent="0.2">
      <c r="A1749">
        <v>1748</v>
      </c>
      <c r="B1749" t="s">
        <v>2475</v>
      </c>
      <c r="C1749" s="1">
        <v>41978</v>
      </c>
      <c r="D1749" s="22">
        <f>MONTH(Table12[[#This Row],[Order Date]])</f>
        <v>12</v>
      </c>
      <c r="E1749" t="s">
        <v>1973</v>
      </c>
      <c r="F1749" t="s">
        <v>1974</v>
      </c>
      <c r="G1749" s="23" t="s">
        <v>41</v>
      </c>
      <c r="H1749" s="23" t="s">
        <v>53</v>
      </c>
      <c r="I1749" t="s">
        <v>868</v>
      </c>
      <c r="J1749" s="23" t="s">
        <v>22</v>
      </c>
      <c r="K1749" s="22">
        <v>2</v>
      </c>
      <c r="L1749" s="1">
        <v>41985</v>
      </c>
      <c r="M1749" s="22">
        <f>Table12[[#This Row],[Ship Date]]-Table12[[#This Row],[Order Date]]</f>
        <v>7</v>
      </c>
      <c r="N1749" s="23" t="s">
        <v>45</v>
      </c>
      <c r="O1749" s="23" t="s">
        <v>23</v>
      </c>
      <c r="P1749" s="23" t="s">
        <v>285</v>
      </c>
      <c r="Q1749" s="23" t="s">
        <v>26</v>
      </c>
      <c r="R1749" s="23" t="s">
        <v>2476</v>
      </c>
      <c r="S1749" s="33">
        <v>0</v>
      </c>
      <c r="T1749" s="13">
        <v>24.56</v>
      </c>
      <c r="U1749" s="13">
        <v>6.8768000000000002</v>
      </c>
      <c r="V1749" s="55">
        <f>IFERROR(Table12[[#This Row],[Profit]]/Table12[[#This Row],[Sales]],0)</f>
        <v>0.28000000000000003</v>
      </c>
    </row>
    <row r="1750" spans="1:22" x14ac:dyDescent="0.2">
      <c r="A1750">
        <v>1749</v>
      </c>
      <c r="B1750" t="s">
        <v>7428</v>
      </c>
      <c r="C1750" s="1">
        <v>41978</v>
      </c>
      <c r="D1750" s="22">
        <f>MONTH(Table12[[#This Row],[Order Date]])</f>
        <v>12</v>
      </c>
      <c r="E1750" t="s">
        <v>2171</v>
      </c>
      <c r="F1750" t="s">
        <v>2172</v>
      </c>
      <c r="G1750" s="23" t="s">
        <v>41</v>
      </c>
      <c r="H1750" s="23" t="s">
        <v>155</v>
      </c>
      <c r="I1750" t="s">
        <v>1785</v>
      </c>
      <c r="J1750" s="23" t="s">
        <v>36</v>
      </c>
      <c r="K1750" s="22">
        <v>7</v>
      </c>
      <c r="L1750" s="1">
        <v>41980</v>
      </c>
      <c r="M1750" s="22">
        <f>Table12[[#This Row],[Ship Date]]-Table12[[#This Row],[Order Date]]</f>
        <v>2</v>
      </c>
      <c r="N1750" s="23" t="s">
        <v>169</v>
      </c>
      <c r="O1750" s="23" t="s">
        <v>23</v>
      </c>
      <c r="P1750" s="23" t="s">
        <v>132</v>
      </c>
      <c r="Q1750" s="23" t="s">
        <v>133</v>
      </c>
      <c r="R1750" s="23" t="s">
        <v>131</v>
      </c>
      <c r="S1750" s="33">
        <v>0.2</v>
      </c>
      <c r="T1750" s="13">
        <v>348.488</v>
      </c>
      <c r="U1750" s="13">
        <v>117.6147</v>
      </c>
      <c r="V1750" s="55">
        <f>IFERROR(Table12[[#This Row],[Profit]]/Table12[[#This Row],[Sales]],0)</f>
        <v>0.33750000000000002</v>
      </c>
    </row>
    <row r="1751" spans="1:22" x14ac:dyDescent="0.2">
      <c r="A1751">
        <v>1750</v>
      </c>
      <c r="B1751" t="s">
        <v>7428</v>
      </c>
      <c r="C1751" s="1">
        <v>41978</v>
      </c>
      <c r="D1751" s="22">
        <f>MONTH(Table12[[#This Row],[Order Date]])</f>
        <v>12</v>
      </c>
      <c r="E1751" t="s">
        <v>1383</v>
      </c>
      <c r="F1751" t="s">
        <v>1384</v>
      </c>
      <c r="G1751" s="23" t="s">
        <v>41</v>
      </c>
      <c r="H1751" s="23" t="s">
        <v>53</v>
      </c>
      <c r="I1751" t="s">
        <v>1785</v>
      </c>
      <c r="J1751" s="23" t="s">
        <v>36</v>
      </c>
      <c r="K1751" s="22">
        <v>4</v>
      </c>
      <c r="L1751" s="1">
        <v>41980</v>
      </c>
      <c r="M1751" s="22">
        <f>Table12[[#This Row],[Ship Date]]-Table12[[#This Row],[Order Date]]</f>
        <v>2</v>
      </c>
      <c r="N1751" s="23" t="s">
        <v>169</v>
      </c>
      <c r="O1751" s="23" t="s">
        <v>23</v>
      </c>
      <c r="P1751" s="23" t="s">
        <v>132</v>
      </c>
      <c r="Q1751" s="23" t="s">
        <v>133</v>
      </c>
      <c r="R1751" s="23" t="s">
        <v>131</v>
      </c>
      <c r="S1751" s="33">
        <v>0.2</v>
      </c>
      <c r="T1751" s="13">
        <v>172.73599999999999</v>
      </c>
      <c r="U1751" s="13">
        <v>-30.2288</v>
      </c>
      <c r="V1751" s="55">
        <f>IFERROR(Table12[[#This Row],[Profit]]/Table12[[#This Row],[Sales]],0)</f>
        <v>-0.17500000000000002</v>
      </c>
    </row>
    <row r="1752" spans="1:22" x14ac:dyDescent="0.2">
      <c r="A1752">
        <v>1751</v>
      </c>
      <c r="B1752" t="s">
        <v>7571</v>
      </c>
      <c r="C1752" s="1">
        <v>41978</v>
      </c>
      <c r="D1752" s="22">
        <f>MONTH(Table12[[#This Row],[Order Date]])</f>
        <v>12</v>
      </c>
      <c r="E1752" t="s">
        <v>5840</v>
      </c>
      <c r="F1752" t="s">
        <v>5841</v>
      </c>
      <c r="G1752" s="23" t="s">
        <v>41</v>
      </c>
      <c r="H1752" s="23" t="s">
        <v>82</v>
      </c>
      <c r="I1752" t="s">
        <v>789</v>
      </c>
      <c r="J1752" s="23" t="s">
        <v>36</v>
      </c>
      <c r="K1752" s="22">
        <v>3</v>
      </c>
      <c r="L1752" s="1">
        <v>41982</v>
      </c>
      <c r="M1752" s="22">
        <f>Table12[[#This Row],[Ship Date]]-Table12[[#This Row],[Order Date]]</f>
        <v>4</v>
      </c>
      <c r="N1752" s="23" t="s">
        <v>45</v>
      </c>
      <c r="O1752" s="23" t="s">
        <v>23</v>
      </c>
      <c r="P1752" s="23" t="s">
        <v>441</v>
      </c>
      <c r="Q1752" s="23" t="s">
        <v>133</v>
      </c>
      <c r="R1752" s="23" t="s">
        <v>440</v>
      </c>
      <c r="S1752" s="33">
        <v>0.2</v>
      </c>
      <c r="T1752" s="13">
        <v>98.376000000000005</v>
      </c>
      <c r="U1752" s="13">
        <v>35.661299999999997</v>
      </c>
      <c r="V1752" s="55">
        <f>IFERROR(Table12[[#This Row],[Profit]]/Table12[[#This Row],[Sales]],0)</f>
        <v>0.36249999999999993</v>
      </c>
    </row>
    <row r="1753" spans="1:22" x14ac:dyDescent="0.2">
      <c r="A1753">
        <v>1752</v>
      </c>
      <c r="B1753" t="s">
        <v>7571</v>
      </c>
      <c r="C1753" s="1">
        <v>41978</v>
      </c>
      <c r="D1753" s="22">
        <f>MONTH(Table12[[#This Row],[Order Date]])</f>
        <v>12</v>
      </c>
      <c r="E1753" t="s">
        <v>2366</v>
      </c>
      <c r="F1753" t="s">
        <v>2367</v>
      </c>
      <c r="G1753" s="23" t="s">
        <v>41</v>
      </c>
      <c r="H1753" s="23" t="s">
        <v>68</v>
      </c>
      <c r="I1753" t="s">
        <v>789</v>
      </c>
      <c r="J1753" s="23" t="s">
        <v>36</v>
      </c>
      <c r="K1753" s="22">
        <v>4</v>
      </c>
      <c r="L1753" s="1">
        <v>41982</v>
      </c>
      <c r="M1753" s="22">
        <f>Table12[[#This Row],[Ship Date]]-Table12[[#This Row],[Order Date]]</f>
        <v>4</v>
      </c>
      <c r="N1753" s="23" t="s">
        <v>45</v>
      </c>
      <c r="O1753" s="23" t="s">
        <v>23</v>
      </c>
      <c r="P1753" s="23" t="s">
        <v>441</v>
      </c>
      <c r="Q1753" s="23" t="s">
        <v>133</v>
      </c>
      <c r="R1753" s="23" t="s">
        <v>440</v>
      </c>
      <c r="S1753" s="33">
        <v>0.7</v>
      </c>
      <c r="T1753" s="13">
        <v>29.94</v>
      </c>
      <c r="U1753" s="13">
        <v>-23.952000000000002</v>
      </c>
      <c r="V1753" s="55">
        <f>IFERROR(Table12[[#This Row],[Profit]]/Table12[[#This Row],[Sales]],0)</f>
        <v>-0.8</v>
      </c>
    </row>
    <row r="1754" spans="1:22" x14ac:dyDescent="0.2">
      <c r="A1754">
        <v>1753</v>
      </c>
      <c r="B1754" t="s">
        <v>7571</v>
      </c>
      <c r="C1754" s="1">
        <v>41978</v>
      </c>
      <c r="D1754" s="22">
        <f>MONTH(Table12[[#This Row],[Order Date]])</f>
        <v>12</v>
      </c>
      <c r="E1754" t="s">
        <v>7572</v>
      </c>
      <c r="F1754" t="s">
        <v>7573</v>
      </c>
      <c r="G1754" s="23" t="s">
        <v>41</v>
      </c>
      <c r="H1754" s="23" t="s">
        <v>82</v>
      </c>
      <c r="I1754" t="s">
        <v>789</v>
      </c>
      <c r="J1754" s="23" t="s">
        <v>36</v>
      </c>
      <c r="K1754" s="22">
        <v>3</v>
      </c>
      <c r="L1754" s="1">
        <v>41982</v>
      </c>
      <c r="M1754" s="22">
        <f>Table12[[#This Row],[Ship Date]]-Table12[[#This Row],[Order Date]]</f>
        <v>4</v>
      </c>
      <c r="N1754" s="23" t="s">
        <v>45</v>
      </c>
      <c r="O1754" s="23" t="s">
        <v>23</v>
      </c>
      <c r="P1754" s="23" t="s">
        <v>441</v>
      </c>
      <c r="Q1754" s="23" t="s">
        <v>133</v>
      </c>
      <c r="R1754" s="23" t="s">
        <v>440</v>
      </c>
      <c r="S1754" s="33">
        <v>0.2</v>
      </c>
      <c r="T1754" s="13">
        <v>17.472000000000001</v>
      </c>
      <c r="U1754" s="13">
        <v>5.6783999999999999</v>
      </c>
      <c r="V1754" s="55">
        <f>IFERROR(Table12[[#This Row],[Profit]]/Table12[[#This Row],[Sales]],0)</f>
        <v>0.32499999999999996</v>
      </c>
    </row>
    <row r="1755" spans="1:22" x14ac:dyDescent="0.2">
      <c r="A1755">
        <v>1754</v>
      </c>
      <c r="B1755" t="s">
        <v>7571</v>
      </c>
      <c r="C1755" s="1">
        <v>41978</v>
      </c>
      <c r="D1755" s="22">
        <f>MONTH(Table12[[#This Row],[Order Date]])</f>
        <v>12</v>
      </c>
      <c r="E1755" t="s">
        <v>7574</v>
      </c>
      <c r="F1755" t="s">
        <v>7575</v>
      </c>
      <c r="G1755" s="23" t="s">
        <v>64</v>
      </c>
      <c r="H1755" s="23" t="s">
        <v>65</v>
      </c>
      <c r="I1755" t="s">
        <v>789</v>
      </c>
      <c r="J1755" s="23" t="s">
        <v>36</v>
      </c>
      <c r="K1755" s="22">
        <v>1</v>
      </c>
      <c r="L1755" s="1">
        <v>41982</v>
      </c>
      <c r="M1755" s="22">
        <f>Table12[[#This Row],[Ship Date]]-Table12[[#This Row],[Order Date]]</f>
        <v>4</v>
      </c>
      <c r="N1755" s="23" t="s">
        <v>45</v>
      </c>
      <c r="O1755" s="23" t="s">
        <v>23</v>
      </c>
      <c r="P1755" s="23" t="s">
        <v>441</v>
      </c>
      <c r="Q1755" s="23" t="s">
        <v>133</v>
      </c>
      <c r="R1755" s="23" t="s">
        <v>440</v>
      </c>
      <c r="S1755" s="33">
        <v>0.4</v>
      </c>
      <c r="T1755" s="13">
        <v>36.738</v>
      </c>
      <c r="U1755" s="13">
        <v>-9.1844999999999999</v>
      </c>
      <c r="V1755" s="55">
        <f>IFERROR(Table12[[#This Row],[Profit]]/Table12[[#This Row],[Sales]],0)</f>
        <v>-0.25</v>
      </c>
    </row>
    <row r="1756" spans="1:22" x14ac:dyDescent="0.2">
      <c r="A1756">
        <v>1755</v>
      </c>
      <c r="B1756" t="s">
        <v>7571</v>
      </c>
      <c r="C1756" s="1">
        <v>41978</v>
      </c>
      <c r="D1756" s="22">
        <f>MONTH(Table12[[#This Row],[Order Date]])</f>
        <v>12</v>
      </c>
      <c r="E1756" t="s">
        <v>4214</v>
      </c>
      <c r="F1756" t="s">
        <v>4215</v>
      </c>
      <c r="G1756" s="23" t="s">
        <v>64</v>
      </c>
      <c r="H1756" s="23" t="s">
        <v>65</v>
      </c>
      <c r="I1756" t="s">
        <v>789</v>
      </c>
      <c r="J1756" s="23" t="s">
        <v>36</v>
      </c>
      <c r="K1756" s="22">
        <v>2</v>
      </c>
      <c r="L1756" s="1">
        <v>41982</v>
      </c>
      <c r="M1756" s="22">
        <f>Table12[[#This Row],[Ship Date]]-Table12[[#This Row],[Order Date]]</f>
        <v>4</v>
      </c>
      <c r="N1756" s="23" t="s">
        <v>45</v>
      </c>
      <c r="O1756" s="23" t="s">
        <v>23</v>
      </c>
      <c r="P1756" s="23" t="s">
        <v>441</v>
      </c>
      <c r="Q1756" s="23" t="s">
        <v>133</v>
      </c>
      <c r="R1756" s="23" t="s">
        <v>440</v>
      </c>
      <c r="S1756" s="33">
        <v>0.4</v>
      </c>
      <c r="T1756" s="13">
        <v>179.94</v>
      </c>
      <c r="U1756" s="13">
        <v>-44.984999999999999</v>
      </c>
      <c r="V1756" s="55">
        <f>IFERROR(Table12[[#This Row],[Profit]]/Table12[[#This Row],[Sales]],0)</f>
        <v>-0.25</v>
      </c>
    </row>
    <row r="1757" spans="1:22" x14ac:dyDescent="0.2">
      <c r="A1757">
        <v>1756</v>
      </c>
      <c r="B1757" t="s">
        <v>8762</v>
      </c>
      <c r="C1757" s="1">
        <v>41978</v>
      </c>
      <c r="D1757" s="22">
        <f>MONTH(Table12[[#This Row],[Order Date]])</f>
        <v>12</v>
      </c>
      <c r="E1757" t="s">
        <v>1462</v>
      </c>
      <c r="F1757" t="s">
        <v>1463</v>
      </c>
      <c r="G1757" s="23" t="s">
        <v>41</v>
      </c>
      <c r="H1757" s="23" t="s">
        <v>61</v>
      </c>
      <c r="I1757" t="s">
        <v>1607</v>
      </c>
      <c r="J1757" s="23" t="s">
        <v>22</v>
      </c>
      <c r="K1757" s="22">
        <v>9</v>
      </c>
      <c r="L1757" s="1">
        <v>41983</v>
      </c>
      <c r="M1757" s="22">
        <f>Table12[[#This Row],[Ship Date]]-Table12[[#This Row],[Order Date]]</f>
        <v>5</v>
      </c>
      <c r="N1757" s="23" t="s">
        <v>45</v>
      </c>
      <c r="O1757" s="23" t="s">
        <v>23</v>
      </c>
      <c r="P1757" s="23" t="s">
        <v>38</v>
      </c>
      <c r="Q1757" s="23" t="s">
        <v>39</v>
      </c>
      <c r="R1757" s="23" t="s">
        <v>37</v>
      </c>
      <c r="S1757" s="33">
        <v>0</v>
      </c>
      <c r="T1757" s="13">
        <v>26.46</v>
      </c>
      <c r="U1757" s="13">
        <v>11.907</v>
      </c>
      <c r="V1757" s="55">
        <f>IFERROR(Table12[[#This Row],[Profit]]/Table12[[#This Row],[Sales]],0)</f>
        <v>0.45</v>
      </c>
    </row>
    <row r="1758" spans="1:22" x14ac:dyDescent="0.2">
      <c r="A1758">
        <v>1757</v>
      </c>
      <c r="B1758" t="s">
        <v>8762</v>
      </c>
      <c r="C1758" s="1">
        <v>41978</v>
      </c>
      <c r="D1758" s="22">
        <f>MONTH(Table12[[#This Row],[Order Date]])</f>
        <v>12</v>
      </c>
      <c r="E1758" t="s">
        <v>6577</v>
      </c>
      <c r="F1758" t="s">
        <v>6578</v>
      </c>
      <c r="G1758" s="23" t="s">
        <v>41</v>
      </c>
      <c r="H1758" s="23" t="s">
        <v>82</v>
      </c>
      <c r="I1758" t="s">
        <v>1607</v>
      </c>
      <c r="J1758" s="23" t="s">
        <v>22</v>
      </c>
      <c r="K1758" s="22">
        <v>4</v>
      </c>
      <c r="L1758" s="1">
        <v>41983</v>
      </c>
      <c r="M1758" s="22">
        <f>Table12[[#This Row],[Ship Date]]-Table12[[#This Row],[Order Date]]</f>
        <v>5</v>
      </c>
      <c r="N1758" s="23" t="s">
        <v>45</v>
      </c>
      <c r="O1758" s="23" t="s">
        <v>23</v>
      </c>
      <c r="P1758" s="23" t="s">
        <v>38</v>
      </c>
      <c r="Q1758" s="23" t="s">
        <v>39</v>
      </c>
      <c r="R1758" s="23" t="s">
        <v>37</v>
      </c>
      <c r="S1758" s="33">
        <v>0</v>
      </c>
      <c r="T1758" s="13">
        <v>49.12</v>
      </c>
      <c r="U1758" s="13">
        <v>23.086400000000001</v>
      </c>
      <c r="V1758" s="55">
        <f>IFERROR(Table12[[#This Row],[Profit]]/Table12[[#This Row],[Sales]],0)</f>
        <v>0.47000000000000003</v>
      </c>
    </row>
    <row r="1759" spans="1:22" x14ac:dyDescent="0.2">
      <c r="A1759">
        <v>1758</v>
      </c>
      <c r="B1759" t="s">
        <v>8762</v>
      </c>
      <c r="C1759" s="1">
        <v>41978</v>
      </c>
      <c r="D1759" s="22">
        <f>MONTH(Table12[[#This Row],[Order Date]])</f>
        <v>12</v>
      </c>
      <c r="E1759" t="s">
        <v>2264</v>
      </c>
      <c r="F1759" t="s">
        <v>2265</v>
      </c>
      <c r="G1759" s="23" t="s">
        <v>41</v>
      </c>
      <c r="H1759" s="23" t="s">
        <v>240</v>
      </c>
      <c r="I1759" t="s">
        <v>1607</v>
      </c>
      <c r="J1759" s="23" t="s">
        <v>22</v>
      </c>
      <c r="K1759" s="22">
        <v>3</v>
      </c>
      <c r="L1759" s="1">
        <v>41983</v>
      </c>
      <c r="M1759" s="22">
        <f>Table12[[#This Row],[Ship Date]]-Table12[[#This Row],[Order Date]]</f>
        <v>5</v>
      </c>
      <c r="N1759" s="23" t="s">
        <v>45</v>
      </c>
      <c r="O1759" s="23" t="s">
        <v>23</v>
      </c>
      <c r="P1759" s="23" t="s">
        <v>38</v>
      </c>
      <c r="Q1759" s="23" t="s">
        <v>39</v>
      </c>
      <c r="R1759" s="23" t="s">
        <v>37</v>
      </c>
      <c r="S1759" s="33">
        <v>0</v>
      </c>
      <c r="T1759" s="13">
        <v>15</v>
      </c>
      <c r="U1759" s="13">
        <v>7.2</v>
      </c>
      <c r="V1759" s="55">
        <f>IFERROR(Table12[[#This Row],[Profit]]/Table12[[#This Row],[Sales]],0)</f>
        <v>0.48000000000000004</v>
      </c>
    </row>
    <row r="1760" spans="1:22" x14ac:dyDescent="0.2">
      <c r="A1760">
        <v>1759</v>
      </c>
      <c r="B1760" t="s">
        <v>8836</v>
      </c>
      <c r="C1760" s="1">
        <v>41978</v>
      </c>
      <c r="D1760" s="22">
        <f>MONTH(Table12[[#This Row],[Order Date]])</f>
        <v>12</v>
      </c>
      <c r="E1760" t="s">
        <v>2005</v>
      </c>
      <c r="F1760" t="s">
        <v>2006</v>
      </c>
      <c r="G1760" s="23" t="s">
        <v>41</v>
      </c>
      <c r="H1760" s="23" t="s">
        <v>71</v>
      </c>
      <c r="I1760" t="s">
        <v>761</v>
      </c>
      <c r="J1760" s="23" t="s">
        <v>22</v>
      </c>
      <c r="K1760" s="22">
        <v>6</v>
      </c>
      <c r="L1760" s="1">
        <v>41980</v>
      </c>
      <c r="M1760" s="22">
        <f>Table12[[#This Row],[Ship Date]]-Table12[[#This Row],[Order Date]]</f>
        <v>2</v>
      </c>
      <c r="N1760" s="23" t="s">
        <v>169</v>
      </c>
      <c r="O1760" s="23" t="s">
        <v>23</v>
      </c>
      <c r="P1760" s="23" t="s">
        <v>38</v>
      </c>
      <c r="Q1760" s="23" t="s">
        <v>39</v>
      </c>
      <c r="R1760" s="23" t="s">
        <v>37</v>
      </c>
      <c r="S1760" s="33">
        <v>0</v>
      </c>
      <c r="T1760" s="13">
        <v>250.26</v>
      </c>
      <c r="U1760" s="13">
        <v>72.575400000000002</v>
      </c>
      <c r="V1760" s="55">
        <f>IFERROR(Table12[[#This Row],[Profit]]/Table12[[#This Row],[Sales]],0)</f>
        <v>0.29000000000000004</v>
      </c>
    </row>
    <row r="1761" spans="1:22" x14ac:dyDescent="0.2">
      <c r="A1761">
        <v>1760</v>
      </c>
      <c r="B1761" t="s">
        <v>5230</v>
      </c>
      <c r="C1761" s="1">
        <v>41979</v>
      </c>
      <c r="D1761" s="22">
        <f>MONTH(Table12[[#This Row],[Order Date]])</f>
        <v>12</v>
      </c>
      <c r="E1761" t="s">
        <v>1924</v>
      </c>
      <c r="F1761" t="s">
        <v>1925</v>
      </c>
      <c r="G1761" s="23" t="s">
        <v>28</v>
      </c>
      <c r="H1761" s="23" t="s">
        <v>58</v>
      </c>
      <c r="I1761" t="s">
        <v>1252</v>
      </c>
      <c r="J1761" s="23" t="s">
        <v>22</v>
      </c>
      <c r="K1761" s="22">
        <v>3</v>
      </c>
      <c r="L1761" s="1">
        <v>41981</v>
      </c>
      <c r="M1761" s="22">
        <f>Table12[[#This Row],[Ship Date]]-Table12[[#This Row],[Order Date]]</f>
        <v>2</v>
      </c>
      <c r="N1761" s="23" t="s">
        <v>20</v>
      </c>
      <c r="O1761" s="23" t="s">
        <v>23</v>
      </c>
      <c r="P1761" s="23" t="s">
        <v>94</v>
      </c>
      <c r="Q1761" s="23" t="s">
        <v>95</v>
      </c>
      <c r="R1761" s="23" t="s">
        <v>165</v>
      </c>
      <c r="S1761" s="33">
        <v>0.6</v>
      </c>
      <c r="T1761" s="13">
        <v>23.975999999999999</v>
      </c>
      <c r="U1761" s="13">
        <v>-14.3856</v>
      </c>
      <c r="V1761" s="55">
        <f>IFERROR(Table12[[#This Row],[Profit]]/Table12[[#This Row],[Sales]],0)</f>
        <v>-0.6</v>
      </c>
    </row>
    <row r="1762" spans="1:22" x14ac:dyDescent="0.2">
      <c r="A1762">
        <v>1761</v>
      </c>
      <c r="B1762" t="s">
        <v>5509</v>
      </c>
      <c r="C1762" s="1">
        <v>41979</v>
      </c>
      <c r="D1762" s="22">
        <f>MONTH(Table12[[#This Row],[Order Date]])</f>
        <v>12</v>
      </c>
      <c r="E1762" t="s">
        <v>1155</v>
      </c>
      <c r="F1762" t="s">
        <v>1156</v>
      </c>
      <c r="G1762" s="23" t="s">
        <v>41</v>
      </c>
      <c r="H1762" s="23" t="s">
        <v>53</v>
      </c>
      <c r="I1762" t="s">
        <v>439</v>
      </c>
      <c r="J1762" s="23" t="s">
        <v>22</v>
      </c>
      <c r="K1762" s="22">
        <v>3</v>
      </c>
      <c r="L1762" s="1">
        <v>41984</v>
      </c>
      <c r="M1762" s="22">
        <f>Table12[[#This Row],[Ship Date]]-Table12[[#This Row],[Order Date]]</f>
        <v>5</v>
      </c>
      <c r="N1762" s="23" t="s">
        <v>20</v>
      </c>
      <c r="O1762" s="23" t="s">
        <v>23</v>
      </c>
      <c r="P1762" s="23" t="s">
        <v>374</v>
      </c>
      <c r="Q1762" s="23" t="s">
        <v>39</v>
      </c>
      <c r="R1762" s="23" t="s">
        <v>284</v>
      </c>
      <c r="S1762" s="33">
        <v>0.2</v>
      </c>
      <c r="T1762" s="13">
        <v>53.423999999999999</v>
      </c>
      <c r="U1762" s="13">
        <v>4.6745999999999999</v>
      </c>
      <c r="V1762" s="55">
        <f>IFERROR(Table12[[#This Row],[Profit]]/Table12[[#This Row],[Sales]],0)</f>
        <v>8.7499999999999994E-2</v>
      </c>
    </row>
    <row r="1763" spans="1:22" x14ac:dyDescent="0.2">
      <c r="A1763">
        <v>1762</v>
      </c>
      <c r="B1763" t="s">
        <v>5509</v>
      </c>
      <c r="C1763" s="1">
        <v>41979</v>
      </c>
      <c r="D1763" s="22">
        <f>MONTH(Table12[[#This Row],[Order Date]])</f>
        <v>12</v>
      </c>
      <c r="E1763" t="s">
        <v>4495</v>
      </c>
      <c r="F1763" t="s">
        <v>4496</v>
      </c>
      <c r="G1763" s="23" t="s">
        <v>28</v>
      </c>
      <c r="H1763" s="23" t="s">
        <v>50</v>
      </c>
      <c r="I1763" t="s">
        <v>439</v>
      </c>
      <c r="J1763" s="23" t="s">
        <v>22</v>
      </c>
      <c r="K1763" s="22">
        <v>1</v>
      </c>
      <c r="L1763" s="1">
        <v>41984</v>
      </c>
      <c r="M1763" s="22">
        <f>Table12[[#This Row],[Ship Date]]-Table12[[#This Row],[Order Date]]</f>
        <v>5</v>
      </c>
      <c r="N1763" s="23" t="s">
        <v>20</v>
      </c>
      <c r="O1763" s="23" t="s">
        <v>23</v>
      </c>
      <c r="P1763" s="23" t="s">
        <v>374</v>
      </c>
      <c r="Q1763" s="23" t="s">
        <v>39</v>
      </c>
      <c r="R1763" s="23" t="s">
        <v>284</v>
      </c>
      <c r="S1763" s="33">
        <v>0.5</v>
      </c>
      <c r="T1763" s="13">
        <v>275.49</v>
      </c>
      <c r="U1763" s="13">
        <v>-170.8038</v>
      </c>
      <c r="V1763" s="55">
        <f>IFERROR(Table12[[#This Row],[Profit]]/Table12[[#This Row],[Sales]],0)</f>
        <v>-0.62</v>
      </c>
    </row>
    <row r="1764" spans="1:22" x14ac:dyDescent="0.2">
      <c r="A1764">
        <v>1763</v>
      </c>
      <c r="B1764" t="s">
        <v>7240</v>
      </c>
      <c r="C1764" s="1">
        <v>41979</v>
      </c>
      <c r="D1764" s="22">
        <f>MONTH(Table12[[#This Row],[Order Date]])</f>
        <v>12</v>
      </c>
      <c r="E1764" t="s">
        <v>4696</v>
      </c>
      <c r="F1764" t="s">
        <v>4697</v>
      </c>
      <c r="G1764" s="23" t="s">
        <v>41</v>
      </c>
      <c r="H1764" s="23" t="s">
        <v>71</v>
      </c>
      <c r="I1764" t="s">
        <v>2333</v>
      </c>
      <c r="J1764" s="23" t="s">
        <v>22</v>
      </c>
      <c r="K1764" s="22">
        <v>4</v>
      </c>
      <c r="L1764" s="1">
        <v>41983</v>
      </c>
      <c r="M1764" s="22">
        <f>Table12[[#This Row],[Ship Date]]-Table12[[#This Row],[Order Date]]</f>
        <v>4</v>
      </c>
      <c r="N1764" s="23" t="s">
        <v>45</v>
      </c>
      <c r="O1764" s="23" t="s">
        <v>23</v>
      </c>
      <c r="P1764" s="23" t="s">
        <v>189</v>
      </c>
      <c r="Q1764" s="23" t="s">
        <v>95</v>
      </c>
      <c r="R1764" s="23" t="s">
        <v>271</v>
      </c>
      <c r="S1764" s="33">
        <v>0.8</v>
      </c>
      <c r="T1764" s="13">
        <v>14.016</v>
      </c>
      <c r="U1764" s="13">
        <v>-31.536000000000001</v>
      </c>
      <c r="V1764" s="55">
        <f>IFERROR(Table12[[#This Row],[Profit]]/Table12[[#This Row],[Sales]],0)</f>
        <v>-2.25</v>
      </c>
    </row>
    <row r="1765" spans="1:22" x14ac:dyDescent="0.2">
      <c r="A1765">
        <v>1764</v>
      </c>
      <c r="B1765" t="s">
        <v>7240</v>
      </c>
      <c r="C1765" s="1">
        <v>41979</v>
      </c>
      <c r="D1765" s="22">
        <f>MONTH(Table12[[#This Row],[Order Date]])</f>
        <v>12</v>
      </c>
      <c r="E1765" t="s">
        <v>2883</v>
      </c>
      <c r="F1765" t="s">
        <v>2884</v>
      </c>
      <c r="G1765" s="23" t="s">
        <v>28</v>
      </c>
      <c r="H1765" s="23" t="s">
        <v>50</v>
      </c>
      <c r="I1765" t="s">
        <v>2333</v>
      </c>
      <c r="J1765" s="23" t="s">
        <v>22</v>
      </c>
      <c r="K1765" s="22">
        <v>5</v>
      </c>
      <c r="L1765" s="1">
        <v>41983</v>
      </c>
      <c r="M1765" s="22">
        <f>Table12[[#This Row],[Ship Date]]-Table12[[#This Row],[Order Date]]</f>
        <v>4</v>
      </c>
      <c r="N1765" s="23" t="s">
        <v>45</v>
      </c>
      <c r="O1765" s="23" t="s">
        <v>23</v>
      </c>
      <c r="P1765" s="23" t="s">
        <v>189</v>
      </c>
      <c r="Q1765" s="23" t="s">
        <v>95</v>
      </c>
      <c r="R1765" s="23" t="s">
        <v>271</v>
      </c>
      <c r="S1765" s="33">
        <v>0.5</v>
      </c>
      <c r="T1765" s="13">
        <v>214.95</v>
      </c>
      <c r="U1765" s="13">
        <v>-120.372</v>
      </c>
      <c r="V1765" s="55">
        <f>IFERROR(Table12[[#This Row],[Profit]]/Table12[[#This Row],[Sales]],0)</f>
        <v>-0.56000000000000005</v>
      </c>
    </row>
    <row r="1766" spans="1:22" x14ac:dyDescent="0.2">
      <c r="A1766">
        <v>1765</v>
      </c>
      <c r="B1766" t="s">
        <v>7240</v>
      </c>
      <c r="C1766" s="1">
        <v>41979</v>
      </c>
      <c r="D1766" s="22">
        <f>MONTH(Table12[[#This Row],[Order Date]])</f>
        <v>12</v>
      </c>
      <c r="E1766" t="s">
        <v>2918</v>
      </c>
      <c r="F1766" t="s">
        <v>2919</v>
      </c>
      <c r="G1766" s="23" t="s">
        <v>64</v>
      </c>
      <c r="H1766" s="23" t="s">
        <v>65</v>
      </c>
      <c r="I1766" t="s">
        <v>2333</v>
      </c>
      <c r="J1766" s="23" t="s">
        <v>22</v>
      </c>
      <c r="K1766" s="22">
        <v>4</v>
      </c>
      <c r="L1766" s="1">
        <v>41983</v>
      </c>
      <c r="M1766" s="22">
        <f>Table12[[#This Row],[Ship Date]]-Table12[[#This Row],[Order Date]]</f>
        <v>4</v>
      </c>
      <c r="N1766" s="23" t="s">
        <v>45</v>
      </c>
      <c r="O1766" s="23" t="s">
        <v>23</v>
      </c>
      <c r="P1766" s="23" t="s">
        <v>189</v>
      </c>
      <c r="Q1766" s="23" t="s">
        <v>95</v>
      </c>
      <c r="R1766" s="23" t="s">
        <v>271</v>
      </c>
      <c r="S1766" s="33">
        <v>0.2</v>
      </c>
      <c r="T1766" s="13">
        <v>35.04</v>
      </c>
      <c r="U1766" s="13">
        <v>-7.008</v>
      </c>
      <c r="V1766" s="55">
        <f>IFERROR(Table12[[#This Row],[Profit]]/Table12[[#This Row],[Sales]],0)</f>
        <v>-0.2</v>
      </c>
    </row>
    <row r="1767" spans="1:22" x14ac:dyDescent="0.2">
      <c r="A1767">
        <v>1766</v>
      </c>
      <c r="B1767" t="s">
        <v>7240</v>
      </c>
      <c r="C1767" s="1">
        <v>41979</v>
      </c>
      <c r="D1767" s="22">
        <f>MONTH(Table12[[#This Row],[Order Date]])</f>
        <v>12</v>
      </c>
      <c r="E1767" t="s">
        <v>3894</v>
      </c>
      <c r="F1767" t="s">
        <v>3895</v>
      </c>
      <c r="G1767" s="23" t="s">
        <v>28</v>
      </c>
      <c r="H1767" s="23" t="s">
        <v>58</v>
      </c>
      <c r="I1767" t="s">
        <v>2333</v>
      </c>
      <c r="J1767" s="23" t="s">
        <v>22</v>
      </c>
      <c r="K1767" s="22">
        <v>3</v>
      </c>
      <c r="L1767" s="1">
        <v>41983</v>
      </c>
      <c r="M1767" s="22">
        <f>Table12[[#This Row],[Ship Date]]-Table12[[#This Row],[Order Date]]</f>
        <v>4</v>
      </c>
      <c r="N1767" s="23" t="s">
        <v>45</v>
      </c>
      <c r="O1767" s="23" t="s">
        <v>23</v>
      </c>
      <c r="P1767" s="23" t="s">
        <v>189</v>
      </c>
      <c r="Q1767" s="23" t="s">
        <v>95</v>
      </c>
      <c r="R1767" s="23" t="s">
        <v>271</v>
      </c>
      <c r="S1767" s="33">
        <v>0.6</v>
      </c>
      <c r="T1767" s="13">
        <v>10.776</v>
      </c>
      <c r="U1767" s="13">
        <v>-4.8491999999999997</v>
      </c>
      <c r="V1767" s="55">
        <f>IFERROR(Table12[[#This Row],[Profit]]/Table12[[#This Row],[Sales]],0)</f>
        <v>-0.45</v>
      </c>
    </row>
    <row r="1768" spans="1:22" x14ac:dyDescent="0.2">
      <c r="A1768">
        <v>1767</v>
      </c>
      <c r="B1768" t="s">
        <v>7240</v>
      </c>
      <c r="C1768" s="1">
        <v>41979</v>
      </c>
      <c r="D1768" s="22">
        <f>MONTH(Table12[[#This Row],[Order Date]])</f>
        <v>12</v>
      </c>
      <c r="E1768" t="s">
        <v>3559</v>
      </c>
      <c r="F1768" t="s">
        <v>3560</v>
      </c>
      <c r="G1768" s="23" t="s">
        <v>41</v>
      </c>
      <c r="H1768" s="23" t="s">
        <v>68</v>
      </c>
      <c r="I1768" t="s">
        <v>2333</v>
      </c>
      <c r="J1768" s="23" t="s">
        <v>22</v>
      </c>
      <c r="K1768" s="22">
        <v>2</v>
      </c>
      <c r="L1768" s="1">
        <v>41983</v>
      </c>
      <c r="M1768" s="22">
        <f>Table12[[#This Row],[Ship Date]]-Table12[[#This Row],[Order Date]]</f>
        <v>4</v>
      </c>
      <c r="N1768" s="23" t="s">
        <v>45</v>
      </c>
      <c r="O1768" s="23" t="s">
        <v>23</v>
      </c>
      <c r="P1768" s="23" t="s">
        <v>189</v>
      </c>
      <c r="Q1768" s="23" t="s">
        <v>95</v>
      </c>
      <c r="R1768" s="23" t="s">
        <v>271</v>
      </c>
      <c r="S1768" s="33">
        <v>0.8</v>
      </c>
      <c r="T1768" s="13">
        <v>4.5999999999999996</v>
      </c>
      <c r="U1768" s="13">
        <v>-8.0500000000000007</v>
      </c>
      <c r="V1768" s="55">
        <f>IFERROR(Table12[[#This Row],[Profit]]/Table12[[#This Row],[Sales]],0)</f>
        <v>-1.7500000000000002</v>
      </c>
    </row>
    <row r="1769" spans="1:22" x14ac:dyDescent="0.2">
      <c r="A1769">
        <v>1768</v>
      </c>
      <c r="B1769" t="s">
        <v>7240</v>
      </c>
      <c r="C1769" s="1">
        <v>41979</v>
      </c>
      <c r="D1769" s="22">
        <f>MONTH(Table12[[#This Row],[Order Date]])</f>
        <v>12</v>
      </c>
      <c r="E1769" t="s">
        <v>780</v>
      </c>
      <c r="F1769" t="s">
        <v>781</v>
      </c>
      <c r="G1769" s="23" t="s">
        <v>41</v>
      </c>
      <c r="H1769" s="23" t="s">
        <v>53</v>
      </c>
      <c r="I1769" t="s">
        <v>2333</v>
      </c>
      <c r="J1769" s="23" t="s">
        <v>22</v>
      </c>
      <c r="K1769" s="22">
        <v>2</v>
      </c>
      <c r="L1769" s="1">
        <v>41983</v>
      </c>
      <c r="M1769" s="22">
        <f>Table12[[#This Row],[Ship Date]]-Table12[[#This Row],[Order Date]]</f>
        <v>4</v>
      </c>
      <c r="N1769" s="23" t="s">
        <v>45</v>
      </c>
      <c r="O1769" s="23" t="s">
        <v>23</v>
      </c>
      <c r="P1769" s="23" t="s">
        <v>189</v>
      </c>
      <c r="Q1769" s="23" t="s">
        <v>95</v>
      </c>
      <c r="R1769" s="23" t="s">
        <v>271</v>
      </c>
      <c r="S1769" s="33">
        <v>0.2</v>
      </c>
      <c r="T1769" s="13">
        <v>35.167999999999999</v>
      </c>
      <c r="U1769" s="13">
        <v>-8.3523999999999994</v>
      </c>
      <c r="V1769" s="55">
        <f>IFERROR(Table12[[#This Row],[Profit]]/Table12[[#This Row],[Sales]],0)</f>
        <v>-0.23749999999999999</v>
      </c>
    </row>
    <row r="1770" spans="1:22" x14ac:dyDescent="0.2">
      <c r="A1770">
        <v>1769</v>
      </c>
      <c r="B1770" t="s">
        <v>8492</v>
      </c>
      <c r="C1770" s="1">
        <v>41979</v>
      </c>
      <c r="D1770" s="22">
        <f>MONTH(Table12[[#This Row],[Order Date]])</f>
        <v>12</v>
      </c>
      <c r="E1770" t="s">
        <v>2527</v>
      </c>
      <c r="F1770" t="s">
        <v>2528</v>
      </c>
      <c r="G1770" s="23" t="s">
        <v>41</v>
      </c>
      <c r="H1770" s="23" t="s">
        <v>53</v>
      </c>
      <c r="I1770" t="s">
        <v>2019</v>
      </c>
      <c r="J1770" s="23" t="s">
        <v>36</v>
      </c>
      <c r="K1770" s="22">
        <v>7</v>
      </c>
      <c r="L1770" s="1">
        <v>41981</v>
      </c>
      <c r="M1770" s="22">
        <f>Table12[[#This Row],[Ship Date]]-Table12[[#This Row],[Order Date]]</f>
        <v>2</v>
      </c>
      <c r="N1770" s="23" t="s">
        <v>169</v>
      </c>
      <c r="O1770" s="23" t="s">
        <v>23</v>
      </c>
      <c r="P1770" s="23" t="s">
        <v>38</v>
      </c>
      <c r="Q1770" s="23" t="s">
        <v>39</v>
      </c>
      <c r="R1770" s="23" t="s">
        <v>37</v>
      </c>
      <c r="S1770" s="33">
        <v>0</v>
      </c>
      <c r="T1770" s="13">
        <v>1261.33</v>
      </c>
      <c r="U1770" s="13">
        <v>327.94580000000002</v>
      </c>
      <c r="V1770" s="55">
        <f>IFERROR(Table12[[#This Row],[Profit]]/Table12[[#This Row],[Sales]],0)</f>
        <v>0.26</v>
      </c>
    </row>
    <row r="1771" spans="1:22" x14ac:dyDescent="0.2">
      <c r="A1771">
        <v>1770</v>
      </c>
      <c r="B1771" t="s">
        <v>8872</v>
      </c>
      <c r="C1771" s="1">
        <v>41979</v>
      </c>
      <c r="D1771" s="22">
        <f>MONTH(Table12[[#This Row],[Order Date]])</f>
        <v>12</v>
      </c>
      <c r="E1771" t="s">
        <v>3294</v>
      </c>
      <c r="F1771" t="s">
        <v>3295</v>
      </c>
      <c r="G1771" s="23" t="s">
        <v>41</v>
      </c>
      <c r="H1771" s="23" t="s">
        <v>82</v>
      </c>
      <c r="I1771" t="s">
        <v>7606</v>
      </c>
      <c r="J1771" s="23" t="s">
        <v>22</v>
      </c>
      <c r="K1771" s="22">
        <v>2</v>
      </c>
      <c r="L1771" s="1">
        <v>41984</v>
      </c>
      <c r="M1771" s="22">
        <f>Table12[[#This Row],[Ship Date]]-Table12[[#This Row],[Order Date]]</f>
        <v>5</v>
      </c>
      <c r="N1771" s="23" t="s">
        <v>45</v>
      </c>
      <c r="O1771" s="23" t="s">
        <v>23</v>
      </c>
      <c r="P1771" s="23" t="s">
        <v>299</v>
      </c>
      <c r="Q1771" s="23" t="s">
        <v>26</v>
      </c>
      <c r="R1771" s="23" t="s">
        <v>298</v>
      </c>
      <c r="S1771" s="33">
        <v>0.2</v>
      </c>
      <c r="T1771" s="13">
        <v>42.207999999999998</v>
      </c>
      <c r="U1771" s="13">
        <v>13.717599999999999</v>
      </c>
      <c r="V1771" s="55">
        <f>IFERROR(Table12[[#This Row],[Profit]]/Table12[[#This Row],[Sales]],0)</f>
        <v>0.32500000000000001</v>
      </c>
    </row>
    <row r="1772" spans="1:22" x14ac:dyDescent="0.2">
      <c r="A1772">
        <v>1771</v>
      </c>
      <c r="B1772" t="s">
        <v>7360</v>
      </c>
      <c r="C1772" s="1">
        <v>41980</v>
      </c>
      <c r="D1772" s="22">
        <f>MONTH(Table12[[#This Row],[Order Date]])</f>
        <v>12</v>
      </c>
      <c r="E1772" t="s">
        <v>3294</v>
      </c>
      <c r="F1772" t="s">
        <v>3295</v>
      </c>
      <c r="G1772" s="23" t="s">
        <v>41</v>
      </c>
      <c r="H1772" s="23" t="s">
        <v>82</v>
      </c>
      <c r="I1772" t="s">
        <v>1051</v>
      </c>
      <c r="J1772" s="23" t="s">
        <v>22</v>
      </c>
      <c r="K1772" s="22">
        <v>4</v>
      </c>
      <c r="L1772" s="1">
        <v>41986</v>
      </c>
      <c r="M1772" s="22">
        <f>Table12[[#This Row],[Ship Date]]-Table12[[#This Row],[Order Date]]</f>
        <v>6</v>
      </c>
      <c r="N1772" s="23" t="s">
        <v>45</v>
      </c>
      <c r="O1772" s="23" t="s">
        <v>23</v>
      </c>
      <c r="P1772" s="23" t="s">
        <v>285</v>
      </c>
      <c r="Q1772" s="23" t="s">
        <v>26</v>
      </c>
      <c r="R1772" s="23" t="s">
        <v>2621</v>
      </c>
      <c r="S1772" s="33">
        <v>0</v>
      </c>
      <c r="T1772" s="13">
        <v>105.52</v>
      </c>
      <c r="U1772" s="13">
        <v>48.539200000000001</v>
      </c>
      <c r="V1772" s="55">
        <f>IFERROR(Table12[[#This Row],[Profit]]/Table12[[#This Row],[Sales]],0)</f>
        <v>0.46</v>
      </c>
    </row>
    <row r="1773" spans="1:22" x14ac:dyDescent="0.2">
      <c r="A1773">
        <v>1772</v>
      </c>
      <c r="B1773" t="s">
        <v>8585</v>
      </c>
      <c r="C1773" s="1">
        <v>41980</v>
      </c>
      <c r="D1773" s="22">
        <f>MONTH(Table12[[#This Row],[Order Date]])</f>
        <v>12</v>
      </c>
      <c r="E1773" t="s">
        <v>2231</v>
      </c>
      <c r="F1773" t="s">
        <v>2232</v>
      </c>
      <c r="G1773" s="23" t="s">
        <v>41</v>
      </c>
      <c r="H1773" s="23" t="s">
        <v>61</v>
      </c>
      <c r="I1773" t="s">
        <v>1696</v>
      </c>
      <c r="J1773" s="23" t="s">
        <v>22</v>
      </c>
      <c r="K1773" s="22">
        <v>3</v>
      </c>
      <c r="L1773" s="1">
        <v>41983</v>
      </c>
      <c r="M1773" s="22">
        <f>Table12[[#This Row],[Ship Date]]-Table12[[#This Row],[Order Date]]</f>
        <v>3</v>
      </c>
      <c r="N1773" s="23" t="s">
        <v>169</v>
      </c>
      <c r="O1773" s="23" t="s">
        <v>23</v>
      </c>
      <c r="P1773" s="23" t="s">
        <v>38</v>
      </c>
      <c r="Q1773" s="23" t="s">
        <v>39</v>
      </c>
      <c r="R1773" s="23" t="s">
        <v>37</v>
      </c>
      <c r="S1773" s="33">
        <v>0</v>
      </c>
      <c r="T1773" s="13">
        <v>8.64</v>
      </c>
      <c r="U1773" s="13">
        <v>2.4192</v>
      </c>
      <c r="V1773" s="55">
        <f>IFERROR(Table12[[#This Row],[Profit]]/Table12[[#This Row],[Sales]],0)</f>
        <v>0.27999999999999997</v>
      </c>
    </row>
    <row r="1774" spans="1:22" x14ac:dyDescent="0.2">
      <c r="A1774">
        <v>1773</v>
      </c>
      <c r="B1774" t="s">
        <v>9043</v>
      </c>
      <c r="C1774" s="1">
        <v>41980</v>
      </c>
      <c r="D1774" s="22">
        <f>MONTH(Table12[[#This Row],[Order Date]])</f>
        <v>12</v>
      </c>
      <c r="E1774" t="s">
        <v>5268</v>
      </c>
      <c r="F1774" t="s">
        <v>5269</v>
      </c>
      <c r="G1774" s="23" t="s">
        <v>41</v>
      </c>
      <c r="H1774" s="23" t="s">
        <v>53</v>
      </c>
      <c r="I1774" t="s">
        <v>2601</v>
      </c>
      <c r="J1774" s="23" t="s">
        <v>92</v>
      </c>
      <c r="K1774" s="22">
        <v>7</v>
      </c>
      <c r="L1774" s="1">
        <v>41986</v>
      </c>
      <c r="M1774" s="22">
        <f>Table12[[#This Row],[Ship Date]]-Table12[[#This Row],[Order Date]]</f>
        <v>6</v>
      </c>
      <c r="N1774" s="23" t="s">
        <v>45</v>
      </c>
      <c r="O1774" s="23" t="s">
        <v>23</v>
      </c>
      <c r="P1774" s="23" t="s">
        <v>87</v>
      </c>
      <c r="Q1774" s="23" t="s">
        <v>39</v>
      </c>
      <c r="R1774" s="23" t="s">
        <v>86</v>
      </c>
      <c r="S1774" s="33">
        <v>0</v>
      </c>
      <c r="T1774" s="13">
        <v>269.36</v>
      </c>
      <c r="U1774" s="13">
        <v>70.033600000000007</v>
      </c>
      <c r="V1774" s="55">
        <f>IFERROR(Table12[[#This Row],[Profit]]/Table12[[#This Row],[Sales]],0)</f>
        <v>0.26</v>
      </c>
    </row>
    <row r="1775" spans="1:22" x14ac:dyDescent="0.2">
      <c r="A1775">
        <v>1774</v>
      </c>
      <c r="B1775" t="s">
        <v>9549</v>
      </c>
      <c r="C1775" s="1">
        <v>41980</v>
      </c>
      <c r="D1775" s="22">
        <f>MONTH(Table12[[#This Row],[Order Date]])</f>
        <v>12</v>
      </c>
      <c r="E1775" t="s">
        <v>5140</v>
      </c>
      <c r="F1775" t="s">
        <v>5141</v>
      </c>
      <c r="G1775" s="23" t="s">
        <v>41</v>
      </c>
      <c r="H1775" s="23" t="s">
        <v>82</v>
      </c>
      <c r="I1775" t="s">
        <v>2781</v>
      </c>
      <c r="J1775" s="23" t="s">
        <v>92</v>
      </c>
      <c r="K1775" s="22">
        <v>3</v>
      </c>
      <c r="L1775" s="1">
        <v>41981</v>
      </c>
      <c r="M1775" s="22">
        <f>Table12[[#This Row],[Ship Date]]-Table12[[#This Row],[Order Date]]</f>
        <v>1</v>
      </c>
      <c r="N1775" s="23" t="s">
        <v>169</v>
      </c>
      <c r="O1775" s="23" t="s">
        <v>23</v>
      </c>
      <c r="P1775" s="23" t="s">
        <v>38</v>
      </c>
      <c r="Q1775" s="23" t="s">
        <v>39</v>
      </c>
      <c r="R1775" s="23" t="s">
        <v>114</v>
      </c>
      <c r="S1775" s="33">
        <v>0</v>
      </c>
      <c r="T1775" s="13">
        <v>164.88</v>
      </c>
      <c r="U1775" s="13">
        <v>80.791200000000003</v>
      </c>
      <c r="V1775" s="55">
        <f>IFERROR(Table12[[#This Row],[Profit]]/Table12[[#This Row],[Sales]],0)</f>
        <v>0.49000000000000005</v>
      </c>
    </row>
    <row r="1776" spans="1:22" x14ac:dyDescent="0.2">
      <c r="A1776">
        <v>1775</v>
      </c>
      <c r="B1776" t="s">
        <v>3996</v>
      </c>
      <c r="C1776" s="1">
        <v>41981</v>
      </c>
      <c r="D1776" s="22">
        <f>MONTH(Table12[[#This Row],[Order Date]])</f>
        <v>12</v>
      </c>
      <c r="E1776" t="s">
        <v>464</v>
      </c>
      <c r="F1776" t="s">
        <v>465</v>
      </c>
      <c r="G1776" s="23" t="s">
        <v>41</v>
      </c>
      <c r="H1776" s="23" t="s">
        <v>53</v>
      </c>
      <c r="I1776" t="s">
        <v>3997</v>
      </c>
      <c r="J1776" s="23" t="s">
        <v>36</v>
      </c>
      <c r="K1776" s="22">
        <v>2</v>
      </c>
      <c r="L1776" s="1">
        <v>41986</v>
      </c>
      <c r="M1776" s="22">
        <f>Table12[[#This Row],[Ship Date]]-Table12[[#This Row],[Order Date]]</f>
        <v>5</v>
      </c>
      <c r="N1776" s="23" t="s">
        <v>45</v>
      </c>
      <c r="O1776" s="23" t="s">
        <v>23</v>
      </c>
      <c r="P1776" s="23" t="s">
        <v>94</v>
      </c>
      <c r="Q1776" s="23" t="s">
        <v>95</v>
      </c>
      <c r="R1776" s="23" t="s">
        <v>165</v>
      </c>
      <c r="S1776" s="33">
        <v>0.2</v>
      </c>
      <c r="T1776" s="13">
        <v>60.415999999999997</v>
      </c>
      <c r="U1776" s="13">
        <v>6.0415999999999999</v>
      </c>
      <c r="V1776" s="55">
        <f>IFERROR(Table12[[#This Row],[Profit]]/Table12[[#This Row],[Sales]],0)</f>
        <v>0.1</v>
      </c>
    </row>
    <row r="1777" spans="1:22" x14ac:dyDescent="0.2">
      <c r="A1777">
        <v>1776</v>
      </c>
      <c r="B1777" t="s">
        <v>6122</v>
      </c>
      <c r="C1777" s="1">
        <v>41981</v>
      </c>
      <c r="D1777" s="22">
        <f>MONTH(Table12[[#This Row],[Order Date]])</f>
        <v>12</v>
      </c>
      <c r="E1777" t="s">
        <v>2193</v>
      </c>
      <c r="F1777" t="s">
        <v>2194</v>
      </c>
      <c r="G1777" s="23" t="s">
        <v>41</v>
      </c>
      <c r="H1777" s="23" t="s">
        <v>42</v>
      </c>
      <c r="I1777" t="s">
        <v>4946</v>
      </c>
      <c r="J1777" s="23" t="s">
        <v>22</v>
      </c>
      <c r="K1777" s="22">
        <v>7</v>
      </c>
      <c r="L1777" s="1">
        <v>41986</v>
      </c>
      <c r="M1777" s="22">
        <f>Table12[[#This Row],[Ship Date]]-Table12[[#This Row],[Order Date]]</f>
        <v>5</v>
      </c>
      <c r="N1777" s="23" t="s">
        <v>45</v>
      </c>
      <c r="O1777" s="23" t="s">
        <v>23</v>
      </c>
      <c r="P1777" s="23" t="s">
        <v>374</v>
      </c>
      <c r="Q1777" s="23" t="s">
        <v>39</v>
      </c>
      <c r="R1777" s="23" t="s">
        <v>1744</v>
      </c>
      <c r="S1777" s="33">
        <v>0.2</v>
      </c>
      <c r="T1777" s="13">
        <v>27.888000000000002</v>
      </c>
      <c r="U1777" s="13">
        <v>9.0635999999999992</v>
      </c>
      <c r="V1777" s="55">
        <f>IFERROR(Table12[[#This Row],[Profit]]/Table12[[#This Row],[Sales]],0)</f>
        <v>0.32499999999999996</v>
      </c>
    </row>
    <row r="1778" spans="1:22" x14ac:dyDescent="0.2">
      <c r="A1778">
        <v>1777</v>
      </c>
      <c r="B1778" t="s">
        <v>6122</v>
      </c>
      <c r="C1778" s="1">
        <v>41981</v>
      </c>
      <c r="D1778" s="22">
        <f>MONTH(Table12[[#This Row],[Order Date]])</f>
        <v>12</v>
      </c>
      <c r="E1778" t="s">
        <v>2182</v>
      </c>
      <c r="F1778" t="s">
        <v>2183</v>
      </c>
      <c r="G1778" s="23" t="s">
        <v>41</v>
      </c>
      <c r="H1778" s="23" t="s">
        <v>68</v>
      </c>
      <c r="I1778" t="s">
        <v>4946</v>
      </c>
      <c r="J1778" s="23" t="s">
        <v>22</v>
      </c>
      <c r="K1778" s="22">
        <v>4</v>
      </c>
      <c r="L1778" s="1">
        <v>41986</v>
      </c>
      <c r="M1778" s="22">
        <f>Table12[[#This Row],[Ship Date]]-Table12[[#This Row],[Order Date]]</f>
        <v>5</v>
      </c>
      <c r="N1778" s="23" t="s">
        <v>45</v>
      </c>
      <c r="O1778" s="23" t="s">
        <v>23</v>
      </c>
      <c r="P1778" s="23" t="s">
        <v>374</v>
      </c>
      <c r="Q1778" s="23" t="s">
        <v>39</v>
      </c>
      <c r="R1778" s="23" t="s">
        <v>1744</v>
      </c>
      <c r="S1778" s="33">
        <v>0.7</v>
      </c>
      <c r="T1778" s="13">
        <v>6.4560000000000004</v>
      </c>
      <c r="U1778" s="13">
        <v>-4.5191999999999997</v>
      </c>
      <c r="V1778" s="55">
        <f>IFERROR(Table12[[#This Row],[Profit]]/Table12[[#This Row],[Sales]],0)</f>
        <v>-0.7</v>
      </c>
    </row>
    <row r="1779" spans="1:22" x14ac:dyDescent="0.2">
      <c r="A1779">
        <v>1778</v>
      </c>
      <c r="B1779" t="s">
        <v>6122</v>
      </c>
      <c r="C1779" s="1">
        <v>41981</v>
      </c>
      <c r="D1779" s="22">
        <f>MONTH(Table12[[#This Row],[Order Date]])</f>
        <v>12</v>
      </c>
      <c r="E1779" t="s">
        <v>5766</v>
      </c>
      <c r="F1779" t="s">
        <v>5767</v>
      </c>
      <c r="G1779" s="23" t="s">
        <v>64</v>
      </c>
      <c r="H1779" s="23" t="s">
        <v>65</v>
      </c>
      <c r="I1779" t="s">
        <v>4946</v>
      </c>
      <c r="J1779" s="23" t="s">
        <v>22</v>
      </c>
      <c r="K1779" s="22">
        <v>3</v>
      </c>
      <c r="L1779" s="1">
        <v>41986</v>
      </c>
      <c r="M1779" s="22">
        <f>Table12[[#This Row],[Ship Date]]-Table12[[#This Row],[Order Date]]</f>
        <v>5</v>
      </c>
      <c r="N1779" s="23" t="s">
        <v>45</v>
      </c>
      <c r="O1779" s="23" t="s">
        <v>23</v>
      </c>
      <c r="P1779" s="23" t="s">
        <v>374</v>
      </c>
      <c r="Q1779" s="23" t="s">
        <v>39</v>
      </c>
      <c r="R1779" s="23" t="s">
        <v>1744</v>
      </c>
      <c r="S1779" s="33">
        <v>0.2</v>
      </c>
      <c r="T1779" s="13">
        <v>52.68</v>
      </c>
      <c r="U1779" s="13">
        <v>19.754999999999999</v>
      </c>
      <c r="V1779" s="55">
        <f>IFERROR(Table12[[#This Row],[Profit]]/Table12[[#This Row],[Sales]],0)</f>
        <v>0.375</v>
      </c>
    </row>
    <row r="1780" spans="1:22" x14ac:dyDescent="0.2">
      <c r="A1780">
        <v>1779</v>
      </c>
      <c r="B1780" t="s">
        <v>6122</v>
      </c>
      <c r="C1780" s="1">
        <v>41981</v>
      </c>
      <c r="D1780" s="22">
        <f>MONTH(Table12[[#This Row],[Order Date]])</f>
        <v>12</v>
      </c>
      <c r="E1780" t="s">
        <v>6123</v>
      </c>
      <c r="F1780" t="s">
        <v>6124</v>
      </c>
      <c r="G1780" s="23" t="s">
        <v>41</v>
      </c>
      <c r="H1780" s="23" t="s">
        <v>513</v>
      </c>
      <c r="I1780" t="s">
        <v>4946</v>
      </c>
      <c r="J1780" s="23" t="s">
        <v>22</v>
      </c>
      <c r="K1780" s="22">
        <v>5</v>
      </c>
      <c r="L1780" s="1">
        <v>41986</v>
      </c>
      <c r="M1780" s="22">
        <f>Table12[[#This Row],[Ship Date]]-Table12[[#This Row],[Order Date]]</f>
        <v>5</v>
      </c>
      <c r="N1780" s="23" t="s">
        <v>45</v>
      </c>
      <c r="O1780" s="23" t="s">
        <v>23</v>
      </c>
      <c r="P1780" s="23" t="s">
        <v>374</v>
      </c>
      <c r="Q1780" s="23" t="s">
        <v>39</v>
      </c>
      <c r="R1780" s="23" t="s">
        <v>1744</v>
      </c>
      <c r="S1780" s="33">
        <v>0.2</v>
      </c>
      <c r="T1780" s="13">
        <v>13.88</v>
      </c>
      <c r="U1780" s="13">
        <v>-2.6025</v>
      </c>
      <c r="V1780" s="55">
        <f>IFERROR(Table12[[#This Row],[Profit]]/Table12[[#This Row],[Sales]],0)</f>
        <v>-0.1875</v>
      </c>
    </row>
    <row r="1781" spans="1:22" x14ac:dyDescent="0.2">
      <c r="A1781">
        <v>1780</v>
      </c>
      <c r="B1781" t="s">
        <v>6122</v>
      </c>
      <c r="C1781" s="1">
        <v>41981</v>
      </c>
      <c r="D1781" s="22">
        <f>MONTH(Table12[[#This Row],[Order Date]])</f>
        <v>12</v>
      </c>
      <c r="E1781" t="s">
        <v>5249</v>
      </c>
      <c r="F1781" t="s">
        <v>5250</v>
      </c>
      <c r="G1781" s="23" t="s">
        <v>64</v>
      </c>
      <c r="H1781" s="23" t="s">
        <v>144</v>
      </c>
      <c r="I1781" t="s">
        <v>4946</v>
      </c>
      <c r="J1781" s="23" t="s">
        <v>22</v>
      </c>
      <c r="K1781" s="22">
        <v>10</v>
      </c>
      <c r="L1781" s="1">
        <v>41986</v>
      </c>
      <c r="M1781" s="22">
        <f>Table12[[#This Row],[Ship Date]]-Table12[[#This Row],[Order Date]]</f>
        <v>5</v>
      </c>
      <c r="N1781" s="23" t="s">
        <v>45</v>
      </c>
      <c r="O1781" s="23" t="s">
        <v>23</v>
      </c>
      <c r="P1781" s="23" t="s">
        <v>374</v>
      </c>
      <c r="Q1781" s="23" t="s">
        <v>39</v>
      </c>
      <c r="R1781" s="23" t="s">
        <v>1744</v>
      </c>
      <c r="S1781" s="33">
        <v>0.2</v>
      </c>
      <c r="T1781" s="13">
        <v>103.92</v>
      </c>
      <c r="U1781" s="13">
        <v>-18.186</v>
      </c>
      <c r="V1781" s="55">
        <f>IFERROR(Table12[[#This Row],[Profit]]/Table12[[#This Row],[Sales]],0)</f>
        <v>-0.17499999999999999</v>
      </c>
    </row>
    <row r="1782" spans="1:22" x14ac:dyDescent="0.2">
      <c r="A1782">
        <v>1781</v>
      </c>
      <c r="B1782" t="s">
        <v>6122</v>
      </c>
      <c r="C1782" s="1">
        <v>41981</v>
      </c>
      <c r="D1782" s="22">
        <f>MONTH(Table12[[#This Row],[Order Date]])</f>
        <v>12</v>
      </c>
      <c r="E1782" t="s">
        <v>6125</v>
      </c>
      <c r="F1782" t="s">
        <v>6126</v>
      </c>
      <c r="G1782" s="23" t="s">
        <v>41</v>
      </c>
      <c r="H1782" s="23" t="s">
        <v>42</v>
      </c>
      <c r="I1782" t="s">
        <v>4946</v>
      </c>
      <c r="J1782" s="23" t="s">
        <v>22</v>
      </c>
      <c r="K1782" s="22">
        <v>5</v>
      </c>
      <c r="L1782" s="1">
        <v>41986</v>
      </c>
      <c r="M1782" s="22">
        <f>Table12[[#This Row],[Ship Date]]-Table12[[#This Row],[Order Date]]</f>
        <v>5</v>
      </c>
      <c r="N1782" s="23" t="s">
        <v>45</v>
      </c>
      <c r="O1782" s="23" t="s">
        <v>23</v>
      </c>
      <c r="P1782" s="23" t="s">
        <v>374</v>
      </c>
      <c r="Q1782" s="23" t="s">
        <v>39</v>
      </c>
      <c r="R1782" s="23" t="s">
        <v>1744</v>
      </c>
      <c r="S1782" s="33">
        <v>0.2</v>
      </c>
      <c r="T1782" s="13">
        <v>11.52</v>
      </c>
      <c r="U1782" s="13">
        <v>3.7440000000000002</v>
      </c>
      <c r="V1782" s="55">
        <f>IFERROR(Table12[[#This Row],[Profit]]/Table12[[#This Row],[Sales]],0)</f>
        <v>0.32500000000000001</v>
      </c>
    </row>
    <row r="1783" spans="1:22" x14ac:dyDescent="0.2">
      <c r="A1783">
        <v>1782</v>
      </c>
      <c r="B1783" t="s">
        <v>6122</v>
      </c>
      <c r="C1783" s="1">
        <v>41981</v>
      </c>
      <c r="D1783" s="22">
        <f>MONTH(Table12[[#This Row],[Order Date]])</f>
        <v>12</v>
      </c>
      <c r="E1783" t="s">
        <v>249</v>
      </c>
      <c r="F1783" t="s">
        <v>250</v>
      </c>
      <c r="G1783" s="23" t="s">
        <v>41</v>
      </c>
      <c r="H1783" s="23" t="s">
        <v>82</v>
      </c>
      <c r="I1783" t="s">
        <v>4946</v>
      </c>
      <c r="J1783" s="23" t="s">
        <v>22</v>
      </c>
      <c r="K1783" s="22">
        <v>2</v>
      </c>
      <c r="L1783" s="1">
        <v>41986</v>
      </c>
      <c r="M1783" s="22">
        <f>Table12[[#This Row],[Ship Date]]-Table12[[#This Row],[Order Date]]</f>
        <v>5</v>
      </c>
      <c r="N1783" s="23" t="s">
        <v>45</v>
      </c>
      <c r="O1783" s="23" t="s">
        <v>23</v>
      </c>
      <c r="P1783" s="23" t="s">
        <v>374</v>
      </c>
      <c r="Q1783" s="23" t="s">
        <v>39</v>
      </c>
      <c r="R1783" s="23" t="s">
        <v>1744</v>
      </c>
      <c r="S1783" s="33">
        <v>0.2</v>
      </c>
      <c r="T1783" s="13">
        <v>10.368</v>
      </c>
      <c r="U1783" s="13">
        <v>3.6288</v>
      </c>
      <c r="V1783" s="55">
        <f>IFERROR(Table12[[#This Row],[Profit]]/Table12[[#This Row],[Sales]],0)</f>
        <v>0.35</v>
      </c>
    </row>
    <row r="1784" spans="1:22" x14ac:dyDescent="0.2">
      <c r="A1784">
        <v>1783</v>
      </c>
      <c r="B1784" t="s">
        <v>6122</v>
      </c>
      <c r="C1784" s="1">
        <v>41981</v>
      </c>
      <c r="D1784" s="22">
        <f>MONTH(Table12[[#This Row],[Order Date]])</f>
        <v>12</v>
      </c>
      <c r="E1784" t="s">
        <v>6127</v>
      </c>
      <c r="F1784" t="s">
        <v>6128</v>
      </c>
      <c r="G1784" s="23" t="s">
        <v>41</v>
      </c>
      <c r="H1784" s="23" t="s">
        <v>53</v>
      </c>
      <c r="I1784" t="s">
        <v>4946</v>
      </c>
      <c r="J1784" s="23" t="s">
        <v>22</v>
      </c>
      <c r="K1784" s="22">
        <v>3</v>
      </c>
      <c r="L1784" s="1">
        <v>41986</v>
      </c>
      <c r="M1784" s="22">
        <f>Table12[[#This Row],[Ship Date]]-Table12[[#This Row],[Order Date]]</f>
        <v>5</v>
      </c>
      <c r="N1784" s="23" t="s">
        <v>45</v>
      </c>
      <c r="O1784" s="23" t="s">
        <v>23</v>
      </c>
      <c r="P1784" s="23" t="s">
        <v>374</v>
      </c>
      <c r="Q1784" s="23" t="s">
        <v>39</v>
      </c>
      <c r="R1784" s="23" t="s">
        <v>1744</v>
      </c>
      <c r="S1784" s="33">
        <v>0.2</v>
      </c>
      <c r="T1784" s="13">
        <v>39.072000000000003</v>
      </c>
      <c r="U1784" s="13">
        <v>2.9304000000000001</v>
      </c>
      <c r="V1784" s="55">
        <f>IFERROR(Table12[[#This Row],[Profit]]/Table12[[#This Row],[Sales]],0)</f>
        <v>7.4999999999999997E-2</v>
      </c>
    </row>
    <row r="1785" spans="1:22" x14ac:dyDescent="0.2">
      <c r="A1785">
        <v>1784</v>
      </c>
      <c r="B1785" t="s">
        <v>6162</v>
      </c>
      <c r="C1785" s="1">
        <v>41981</v>
      </c>
      <c r="D1785" s="22">
        <f>MONTH(Table12[[#This Row],[Order Date]])</f>
        <v>12</v>
      </c>
      <c r="E1785" t="s">
        <v>2062</v>
      </c>
      <c r="F1785" t="s">
        <v>2063</v>
      </c>
      <c r="G1785" s="23" t="s">
        <v>41</v>
      </c>
      <c r="H1785" s="23" t="s">
        <v>82</v>
      </c>
      <c r="I1785" t="s">
        <v>4686</v>
      </c>
      <c r="J1785" s="23" t="s">
        <v>22</v>
      </c>
      <c r="K1785" s="22">
        <v>2</v>
      </c>
      <c r="L1785" s="1">
        <v>41983</v>
      </c>
      <c r="M1785" s="22">
        <f>Table12[[#This Row],[Ship Date]]-Table12[[#This Row],[Order Date]]</f>
        <v>2</v>
      </c>
      <c r="N1785" s="23" t="s">
        <v>20</v>
      </c>
      <c r="O1785" s="23" t="s">
        <v>23</v>
      </c>
      <c r="P1785" s="23" t="s">
        <v>87</v>
      </c>
      <c r="Q1785" s="23" t="s">
        <v>39</v>
      </c>
      <c r="R1785" s="23" t="s">
        <v>2654</v>
      </c>
      <c r="S1785" s="33">
        <v>0</v>
      </c>
      <c r="T1785" s="13">
        <v>45.68</v>
      </c>
      <c r="U1785" s="13">
        <v>21.012799999999999</v>
      </c>
      <c r="V1785" s="55">
        <f>IFERROR(Table12[[#This Row],[Profit]]/Table12[[#This Row],[Sales]],0)</f>
        <v>0.45999999999999996</v>
      </c>
    </row>
    <row r="1786" spans="1:22" x14ac:dyDescent="0.2">
      <c r="A1786">
        <v>1785</v>
      </c>
      <c r="B1786" t="s">
        <v>6162</v>
      </c>
      <c r="C1786" s="1">
        <v>41981</v>
      </c>
      <c r="D1786" s="22">
        <f>MONTH(Table12[[#This Row],[Order Date]])</f>
        <v>12</v>
      </c>
      <c r="E1786" t="s">
        <v>1029</v>
      </c>
      <c r="F1786" t="s">
        <v>1030</v>
      </c>
      <c r="G1786" s="23" t="s">
        <v>28</v>
      </c>
      <c r="H1786" s="23" t="s">
        <v>32</v>
      </c>
      <c r="I1786" t="s">
        <v>4686</v>
      </c>
      <c r="J1786" s="23" t="s">
        <v>22</v>
      </c>
      <c r="K1786" s="22">
        <v>5</v>
      </c>
      <c r="L1786" s="1">
        <v>41983</v>
      </c>
      <c r="M1786" s="22">
        <f>Table12[[#This Row],[Ship Date]]-Table12[[#This Row],[Order Date]]</f>
        <v>2</v>
      </c>
      <c r="N1786" s="23" t="s">
        <v>20</v>
      </c>
      <c r="O1786" s="23" t="s">
        <v>23</v>
      </c>
      <c r="P1786" s="23" t="s">
        <v>87</v>
      </c>
      <c r="Q1786" s="23" t="s">
        <v>39</v>
      </c>
      <c r="R1786" s="23" t="s">
        <v>2654</v>
      </c>
      <c r="S1786" s="33">
        <v>0.2</v>
      </c>
      <c r="T1786" s="13">
        <v>603.91999999999996</v>
      </c>
      <c r="U1786" s="13">
        <v>45.293999999999997</v>
      </c>
      <c r="V1786" s="55">
        <f>IFERROR(Table12[[#This Row],[Profit]]/Table12[[#This Row],[Sales]],0)</f>
        <v>7.4999999999999997E-2</v>
      </c>
    </row>
    <row r="1787" spans="1:22" x14ac:dyDescent="0.2">
      <c r="A1787">
        <v>1786</v>
      </c>
      <c r="B1787" t="s">
        <v>9703</v>
      </c>
      <c r="C1787" s="1">
        <v>41981</v>
      </c>
      <c r="D1787" s="22">
        <f>MONTH(Table12[[#This Row],[Order Date]])</f>
        <v>12</v>
      </c>
      <c r="E1787" t="s">
        <v>267</v>
      </c>
      <c r="F1787" t="s">
        <v>268</v>
      </c>
      <c r="G1787" s="23" t="s">
        <v>28</v>
      </c>
      <c r="H1787" s="23" t="s">
        <v>58</v>
      </c>
      <c r="I1787" t="s">
        <v>1845</v>
      </c>
      <c r="J1787" s="23" t="s">
        <v>36</v>
      </c>
      <c r="K1787" s="22">
        <v>2</v>
      </c>
      <c r="L1787" s="1">
        <v>41988</v>
      </c>
      <c r="M1787" s="22">
        <f>Table12[[#This Row],[Ship Date]]-Table12[[#This Row],[Order Date]]</f>
        <v>7</v>
      </c>
      <c r="N1787" s="23" t="s">
        <v>45</v>
      </c>
      <c r="O1787" s="23" t="s">
        <v>23</v>
      </c>
      <c r="P1787" s="23" t="s">
        <v>38</v>
      </c>
      <c r="Q1787" s="23" t="s">
        <v>39</v>
      </c>
      <c r="R1787" s="23" t="s">
        <v>114</v>
      </c>
      <c r="S1787" s="33">
        <v>0</v>
      </c>
      <c r="T1787" s="13">
        <v>39.880000000000003</v>
      </c>
      <c r="U1787" s="13">
        <v>11.166399999999999</v>
      </c>
      <c r="V1787" s="55">
        <f>IFERROR(Table12[[#This Row],[Profit]]/Table12[[#This Row],[Sales]],0)</f>
        <v>0.27999999999999997</v>
      </c>
    </row>
    <row r="1788" spans="1:22" x14ac:dyDescent="0.2">
      <c r="A1788">
        <v>1787</v>
      </c>
      <c r="B1788" t="s">
        <v>9703</v>
      </c>
      <c r="C1788" s="1">
        <v>41981</v>
      </c>
      <c r="D1788" s="22">
        <f>MONTH(Table12[[#This Row],[Order Date]])</f>
        <v>12</v>
      </c>
      <c r="E1788" t="s">
        <v>3843</v>
      </c>
      <c r="F1788" t="s">
        <v>3844</v>
      </c>
      <c r="G1788" s="23" t="s">
        <v>28</v>
      </c>
      <c r="H1788" s="23" t="s">
        <v>58</v>
      </c>
      <c r="I1788" t="s">
        <v>1845</v>
      </c>
      <c r="J1788" s="23" t="s">
        <v>36</v>
      </c>
      <c r="K1788" s="22">
        <v>3</v>
      </c>
      <c r="L1788" s="1">
        <v>41988</v>
      </c>
      <c r="M1788" s="22">
        <f>Table12[[#This Row],[Ship Date]]-Table12[[#This Row],[Order Date]]</f>
        <v>7</v>
      </c>
      <c r="N1788" s="23" t="s">
        <v>45</v>
      </c>
      <c r="O1788" s="23" t="s">
        <v>23</v>
      </c>
      <c r="P1788" s="23" t="s">
        <v>38</v>
      </c>
      <c r="Q1788" s="23" t="s">
        <v>39</v>
      </c>
      <c r="R1788" s="23" t="s">
        <v>114</v>
      </c>
      <c r="S1788" s="33">
        <v>0</v>
      </c>
      <c r="T1788" s="13">
        <v>79.44</v>
      </c>
      <c r="U1788" s="13">
        <v>28.598400000000002</v>
      </c>
      <c r="V1788" s="55">
        <f>IFERROR(Table12[[#This Row],[Profit]]/Table12[[#This Row],[Sales]],0)</f>
        <v>0.36000000000000004</v>
      </c>
    </row>
    <row r="1789" spans="1:22" x14ac:dyDescent="0.2">
      <c r="A1789">
        <v>1788</v>
      </c>
      <c r="B1789" t="s">
        <v>2409</v>
      </c>
      <c r="C1789" s="1">
        <v>41982</v>
      </c>
      <c r="D1789" s="22">
        <f>MONTH(Table12[[#This Row],[Order Date]])</f>
        <v>12</v>
      </c>
      <c r="E1789" t="s">
        <v>1295</v>
      </c>
      <c r="F1789" t="s">
        <v>1296</v>
      </c>
      <c r="G1789" s="23" t="s">
        <v>41</v>
      </c>
      <c r="H1789" s="23" t="s">
        <v>82</v>
      </c>
      <c r="I1789" t="s">
        <v>2319</v>
      </c>
      <c r="J1789" s="23" t="s">
        <v>36</v>
      </c>
      <c r="K1789" s="22">
        <v>6</v>
      </c>
      <c r="L1789" s="1">
        <v>41989</v>
      </c>
      <c r="M1789" s="22">
        <f>Table12[[#This Row],[Ship Date]]-Table12[[#This Row],[Order Date]]</f>
        <v>7</v>
      </c>
      <c r="N1789" s="23" t="s">
        <v>45</v>
      </c>
      <c r="O1789" s="23" t="s">
        <v>23</v>
      </c>
      <c r="P1789" s="23" t="s">
        <v>38</v>
      </c>
      <c r="Q1789" s="23" t="s">
        <v>39</v>
      </c>
      <c r="R1789" s="23" t="s">
        <v>114</v>
      </c>
      <c r="S1789" s="33">
        <v>0</v>
      </c>
      <c r="T1789" s="13">
        <v>34.68</v>
      </c>
      <c r="U1789" s="13">
        <v>16.993200000000002</v>
      </c>
      <c r="V1789" s="55">
        <f>IFERROR(Table12[[#This Row],[Profit]]/Table12[[#This Row],[Sales]],0)</f>
        <v>0.49000000000000005</v>
      </c>
    </row>
    <row r="1790" spans="1:22" x14ac:dyDescent="0.2">
      <c r="A1790">
        <v>1789</v>
      </c>
      <c r="B1790" t="s">
        <v>6861</v>
      </c>
      <c r="C1790" s="1">
        <v>41982</v>
      </c>
      <c r="D1790" s="22">
        <f>MONTH(Table12[[#This Row],[Order Date]])</f>
        <v>12</v>
      </c>
      <c r="E1790" t="s">
        <v>3540</v>
      </c>
      <c r="F1790" t="s">
        <v>3541</v>
      </c>
      <c r="G1790" s="23" t="s">
        <v>41</v>
      </c>
      <c r="H1790" s="23" t="s">
        <v>53</v>
      </c>
      <c r="I1790" t="s">
        <v>5560</v>
      </c>
      <c r="J1790" s="23" t="s">
        <v>36</v>
      </c>
      <c r="K1790" s="22">
        <v>6</v>
      </c>
      <c r="L1790" s="1">
        <v>41987</v>
      </c>
      <c r="M1790" s="22">
        <f>Table12[[#This Row],[Ship Date]]-Table12[[#This Row],[Order Date]]</f>
        <v>5</v>
      </c>
      <c r="N1790" s="23" t="s">
        <v>45</v>
      </c>
      <c r="O1790" s="23" t="s">
        <v>23</v>
      </c>
      <c r="P1790" s="23" t="s">
        <v>277</v>
      </c>
      <c r="Q1790" s="23" t="s">
        <v>39</v>
      </c>
      <c r="R1790" s="23" t="s">
        <v>1613</v>
      </c>
      <c r="S1790" s="33">
        <v>0.2</v>
      </c>
      <c r="T1790" s="13">
        <v>100.70399999999999</v>
      </c>
      <c r="U1790" s="13">
        <v>-1.2587999999999999</v>
      </c>
      <c r="V1790" s="55">
        <f>IFERROR(Table12[[#This Row],[Profit]]/Table12[[#This Row],[Sales]],0)</f>
        <v>-1.2500000000000001E-2</v>
      </c>
    </row>
    <row r="1791" spans="1:22" x14ac:dyDescent="0.2">
      <c r="A1791">
        <v>1790</v>
      </c>
      <c r="B1791" t="s">
        <v>8705</v>
      </c>
      <c r="C1791" s="1">
        <v>41982</v>
      </c>
      <c r="D1791" s="22">
        <f>MONTH(Table12[[#This Row],[Order Date]])</f>
        <v>12</v>
      </c>
      <c r="E1791" t="s">
        <v>502</v>
      </c>
      <c r="F1791" t="s">
        <v>503</v>
      </c>
      <c r="G1791" s="23" t="s">
        <v>41</v>
      </c>
      <c r="H1791" s="23" t="s">
        <v>82</v>
      </c>
      <c r="I1791" t="s">
        <v>8221</v>
      </c>
      <c r="J1791" s="23" t="s">
        <v>36</v>
      </c>
      <c r="K1791" s="22">
        <v>2</v>
      </c>
      <c r="L1791" s="1">
        <v>41984</v>
      </c>
      <c r="M1791" s="22">
        <f>Table12[[#This Row],[Ship Date]]-Table12[[#This Row],[Order Date]]</f>
        <v>2</v>
      </c>
      <c r="N1791" s="23" t="s">
        <v>169</v>
      </c>
      <c r="O1791" s="23" t="s">
        <v>23</v>
      </c>
      <c r="P1791" s="23" t="s">
        <v>94</v>
      </c>
      <c r="Q1791" s="23" t="s">
        <v>95</v>
      </c>
      <c r="R1791" s="23" t="s">
        <v>2776</v>
      </c>
      <c r="S1791" s="33">
        <v>0.2</v>
      </c>
      <c r="T1791" s="13">
        <v>10.688000000000001</v>
      </c>
      <c r="U1791" s="13">
        <v>3.7408000000000001</v>
      </c>
      <c r="V1791" s="55">
        <f>IFERROR(Table12[[#This Row],[Profit]]/Table12[[#This Row],[Sales]],0)</f>
        <v>0.35</v>
      </c>
    </row>
    <row r="1792" spans="1:22" x14ac:dyDescent="0.2">
      <c r="A1792">
        <v>1791</v>
      </c>
      <c r="B1792" t="s">
        <v>8705</v>
      </c>
      <c r="C1792" s="1">
        <v>41982</v>
      </c>
      <c r="D1792" s="22">
        <f>MONTH(Table12[[#This Row],[Order Date]])</f>
        <v>12</v>
      </c>
      <c r="E1792" t="s">
        <v>2042</v>
      </c>
      <c r="F1792" t="s">
        <v>2043</v>
      </c>
      <c r="G1792" s="23" t="s">
        <v>41</v>
      </c>
      <c r="H1792" s="23" t="s">
        <v>53</v>
      </c>
      <c r="I1792" t="s">
        <v>8221</v>
      </c>
      <c r="J1792" s="23" t="s">
        <v>36</v>
      </c>
      <c r="K1792" s="22">
        <v>3</v>
      </c>
      <c r="L1792" s="1">
        <v>41984</v>
      </c>
      <c r="M1792" s="22">
        <f>Table12[[#This Row],[Ship Date]]-Table12[[#This Row],[Order Date]]</f>
        <v>2</v>
      </c>
      <c r="N1792" s="23" t="s">
        <v>169</v>
      </c>
      <c r="O1792" s="23" t="s">
        <v>23</v>
      </c>
      <c r="P1792" s="23" t="s">
        <v>94</v>
      </c>
      <c r="Q1792" s="23" t="s">
        <v>95</v>
      </c>
      <c r="R1792" s="23" t="s">
        <v>2776</v>
      </c>
      <c r="S1792" s="33">
        <v>0.2</v>
      </c>
      <c r="T1792" s="13">
        <v>237.096</v>
      </c>
      <c r="U1792" s="13">
        <v>20.745899999999999</v>
      </c>
      <c r="V1792" s="55">
        <f>IFERROR(Table12[[#This Row],[Profit]]/Table12[[#This Row],[Sales]],0)</f>
        <v>8.7499999999999994E-2</v>
      </c>
    </row>
    <row r="1793" spans="1:22" x14ac:dyDescent="0.2">
      <c r="A1793">
        <v>1792</v>
      </c>
      <c r="B1793" t="s">
        <v>8923</v>
      </c>
      <c r="C1793" s="1">
        <v>41982</v>
      </c>
      <c r="D1793" s="22">
        <f>MONTH(Table12[[#This Row],[Order Date]])</f>
        <v>12</v>
      </c>
      <c r="E1793" t="s">
        <v>7175</v>
      </c>
      <c r="F1793" t="s">
        <v>7176</v>
      </c>
      <c r="G1793" s="23" t="s">
        <v>41</v>
      </c>
      <c r="H1793" s="23" t="s">
        <v>82</v>
      </c>
      <c r="I1793" t="s">
        <v>1012</v>
      </c>
      <c r="J1793" s="23" t="s">
        <v>36</v>
      </c>
      <c r="K1793" s="22">
        <v>2</v>
      </c>
      <c r="L1793" s="1">
        <v>41988</v>
      </c>
      <c r="M1793" s="22">
        <f>Table12[[#This Row],[Ship Date]]-Table12[[#This Row],[Order Date]]</f>
        <v>6</v>
      </c>
      <c r="N1793" s="23" t="s">
        <v>45</v>
      </c>
      <c r="O1793" s="23" t="s">
        <v>23</v>
      </c>
      <c r="P1793" s="23" t="s">
        <v>189</v>
      </c>
      <c r="Q1793" s="23" t="s">
        <v>95</v>
      </c>
      <c r="R1793" s="23" t="s">
        <v>271</v>
      </c>
      <c r="S1793" s="33">
        <v>0.2</v>
      </c>
      <c r="T1793" s="13">
        <v>8.4480000000000004</v>
      </c>
      <c r="U1793" s="13">
        <v>2.9567999999999999</v>
      </c>
      <c r="V1793" s="55">
        <f>IFERROR(Table12[[#This Row],[Profit]]/Table12[[#This Row],[Sales]],0)</f>
        <v>0.35</v>
      </c>
    </row>
    <row r="1794" spans="1:22" x14ac:dyDescent="0.2">
      <c r="A1794">
        <v>1793</v>
      </c>
      <c r="B1794" t="s">
        <v>8923</v>
      </c>
      <c r="C1794" s="1">
        <v>41982</v>
      </c>
      <c r="D1794" s="22">
        <f>MONTH(Table12[[#This Row],[Order Date]])</f>
        <v>12</v>
      </c>
      <c r="E1794" t="s">
        <v>1853</v>
      </c>
      <c r="F1794" t="s">
        <v>1854</v>
      </c>
      <c r="G1794" s="23" t="s">
        <v>41</v>
      </c>
      <c r="H1794" s="23" t="s">
        <v>71</v>
      </c>
      <c r="I1794" t="s">
        <v>1012</v>
      </c>
      <c r="J1794" s="23" t="s">
        <v>36</v>
      </c>
      <c r="K1794" s="22">
        <v>2</v>
      </c>
      <c r="L1794" s="1">
        <v>41988</v>
      </c>
      <c r="M1794" s="22">
        <f>Table12[[#This Row],[Ship Date]]-Table12[[#This Row],[Order Date]]</f>
        <v>6</v>
      </c>
      <c r="N1794" s="23" t="s">
        <v>45</v>
      </c>
      <c r="O1794" s="23" t="s">
        <v>23</v>
      </c>
      <c r="P1794" s="23" t="s">
        <v>189</v>
      </c>
      <c r="Q1794" s="23" t="s">
        <v>95</v>
      </c>
      <c r="R1794" s="23" t="s">
        <v>271</v>
      </c>
      <c r="S1794" s="33">
        <v>0.8</v>
      </c>
      <c r="T1794" s="13">
        <v>20.388000000000002</v>
      </c>
      <c r="U1794" s="13">
        <v>-53.008800000000001</v>
      </c>
      <c r="V1794" s="55">
        <f>IFERROR(Table12[[#This Row],[Profit]]/Table12[[#This Row],[Sales]],0)</f>
        <v>-2.5999999999999996</v>
      </c>
    </row>
    <row r="1795" spans="1:22" x14ac:dyDescent="0.2">
      <c r="A1795">
        <v>1794</v>
      </c>
      <c r="B1795" t="s">
        <v>9064</v>
      </c>
      <c r="C1795" s="1">
        <v>41982</v>
      </c>
      <c r="D1795" s="22">
        <f>MONTH(Table12[[#This Row],[Order Date]])</f>
        <v>12</v>
      </c>
      <c r="E1795" t="s">
        <v>466</v>
      </c>
      <c r="F1795" t="s">
        <v>467</v>
      </c>
      <c r="G1795" s="23" t="s">
        <v>41</v>
      </c>
      <c r="H1795" s="23" t="s">
        <v>155</v>
      </c>
      <c r="I1795" t="s">
        <v>1696</v>
      </c>
      <c r="J1795" s="23" t="s">
        <v>22</v>
      </c>
      <c r="K1795" s="22">
        <v>3</v>
      </c>
      <c r="L1795" s="1">
        <v>41988</v>
      </c>
      <c r="M1795" s="22">
        <f>Table12[[#This Row],[Ship Date]]-Table12[[#This Row],[Order Date]]</f>
        <v>6</v>
      </c>
      <c r="N1795" s="23" t="s">
        <v>45</v>
      </c>
      <c r="O1795" s="23" t="s">
        <v>23</v>
      </c>
      <c r="P1795" s="23" t="s">
        <v>132</v>
      </c>
      <c r="Q1795" s="23" t="s">
        <v>133</v>
      </c>
      <c r="R1795" s="23" t="s">
        <v>131</v>
      </c>
      <c r="S1795" s="33">
        <v>0.2</v>
      </c>
      <c r="T1795" s="13">
        <v>30.672000000000001</v>
      </c>
      <c r="U1795" s="13">
        <v>9.5850000000000009</v>
      </c>
      <c r="V1795" s="55">
        <f>IFERROR(Table12[[#This Row],[Profit]]/Table12[[#This Row],[Sales]],0)</f>
        <v>0.3125</v>
      </c>
    </row>
    <row r="1796" spans="1:22" x14ac:dyDescent="0.2">
      <c r="A1796">
        <v>1795</v>
      </c>
      <c r="B1796" t="s">
        <v>9064</v>
      </c>
      <c r="C1796" s="1">
        <v>41982</v>
      </c>
      <c r="D1796" s="22">
        <f>MONTH(Table12[[#This Row],[Order Date]])</f>
        <v>12</v>
      </c>
      <c r="E1796" t="s">
        <v>3786</v>
      </c>
      <c r="F1796" t="s">
        <v>3787</v>
      </c>
      <c r="G1796" s="23" t="s">
        <v>64</v>
      </c>
      <c r="H1796" s="23" t="s">
        <v>1075</v>
      </c>
      <c r="I1796" t="s">
        <v>1696</v>
      </c>
      <c r="J1796" s="23" t="s">
        <v>22</v>
      </c>
      <c r="K1796" s="22">
        <v>4</v>
      </c>
      <c r="L1796" s="1">
        <v>41988</v>
      </c>
      <c r="M1796" s="22">
        <f>Table12[[#This Row],[Ship Date]]-Table12[[#This Row],[Order Date]]</f>
        <v>6</v>
      </c>
      <c r="N1796" s="23" t="s">
        <v>45</v>
      </c>
      <c r="O1796" s="23" t="s">
        <v>23</v>
      </c>
      <c r="P1796" s="23" t="s">
        <v>132</v>
      </c>
      <c r="Q1796" s="23" t="s">
        <v>133</v>
      </c>
      <c r="R1796" s="23" t="s">
        <v>131</v>
      </c>
      <c r="S1796" s="33">
        <v>0.4</v>
      </c>
      <c r="T1796" s="13">
        <v>1079.9760000000001</v>
      </c>
      <c r="U1796" s="13">
        <v>125.99720000000001</v>
      </c>
      <c r="V1796" s="55">
        <f>IFERROR(Table12[[#This Row],[Profit]]/Table12[[#This Row],[Sales]],0)</f>
        <v>0.11666666666666665</v>
      </c>
    </row>
    <row r="1797" spans="1:22" x14ac:dyDescent="0.2">
      <c r="A1797">
        <v>1796</v>
      </c>
      <c r="B1797" t="s">
        <v>2376</v>
      </c>
      <c r="C1797" s="1">
        <v>41983</v>
      </c>
      <c r="D1797" s="22">
        <f>MONTH(Table12[[#This Row],[Order Date]])</f>
        <v>12</v>
      </c>
      <c r="E1797" t="s">
        <v>914</v>
      </c>
      <c r="F1797" t="s">
        <v>915</v>
      </c>
      <c r="G1797" s="23" t="s">
        <v>41</v>
      </c>
      <c r="H1797" s="23" t="s">
        <v>82</v>
      </c>
      <c r="I1797" t="s">
        <v>2377</v>
      </c>
      <c r="J1797" s="23" t="s">
        <v>22</v>
      </c>
      <c r="K1797" s="22">
        <v>2</v>
      </c>
      <c r="L1797" s="1">
        <v>41988</v>
      </c>
      <c r="M1797" s="22">
        <f>Table12[[#This Row],[Ship Date]]-Table12[[#This Row],[Order Date]]</f>
        <v>5</v>
      </c>
      <c r="N1797" s="23" t="s">
        <v>45</v>
      </c>
      <c r="O1797" s="23" t="s">
        <v>23</v>
      </c>
      <c r="P1797" s="23" t="s">
        <v>238</v>
      </c>
      <c r="Q1797" s="23" t="s">
        <v>133</v>
      </c>
      <c r="R1797" s="23" t="s">
        <v>237</v>
      </c>
      <c r="S1797" s="33">
        <v>0</v>
      </c>
      <c r="T1797" s="13">
        <v>11.36</v>
      </c>
      <c r="U1797" s="13">
        <v>5.2256</v>
      </c>
      <c r="V1797" s="55">
        <f>IFERROR(Table12[[#This Row],[Profit]]/Table12[[#This Row],[Sales]],0)</f>
        <v>0.46</v>
      </c>
    </row>
    <row r="1798" spans="1:22" x14ac:dyDescent="0.2">
      <c r="A1798">
        <v>1797</v>
      </c>
      <c r="B1798" t="s">
        <v>2376</v>
      </c>
      <c r="C1798" s="1">
        <v>41983</v>
      </c>
      <c r="D1798" s="22">
        <f>MONTH(Table12[[#This Row],[Order Date]])</f>
        <v>12</v>
      </c>
      <c r="E1798" t="s">
        <v>1420</v>
      </c>
      <c r="F1798" t="s">
        <v>1421</v>
      </c>
      <c r="G1798" s="23" t="s">
        <v>41</v>
      </c>
      <c r="H1798" s="23" t="s">
        <v>68</v>
      </c>
      <c r="I1798" t="s">
        <v>2377</v>
      </c>
      <c r="J1798" s="23" t="s">
        <v>22</v>
      </c>
      <c r="K1798" s="22">
        <v>7</v>
      </c>
      <c r="L1798" s="1">
        <v>41988</v>
      </c>
      <c r="M1798" s="22">
        <f>Table12[[#This Row],[Ship Date]]-Table12[[#This Row],[Order Date]]</f>
        <v>5</v>
      </c>
      <c r="N1798" s="23" t="s">
        <v>45</v>
      </c>
      <c r="O1798" s="23" t="s">
        <v>23</v>
      </c>
      <c r="P1798" s="23" t="s">
        <v>238</v>
      </c>
      <c r="Q1798" s="23" t="s">
        <v>133</v>
      </c>
      <c r="R1798" s="23" t="s">
        <v>237</v>
      </c>
      <c r="S1798" s="33">
        <v>0.2</v>
      </c>
      <c r="T1798" s="13">
        <v>106.34399999999999</v>
      </c>
      <c r="U1798" s="13">
        <v>37.220399999999998</v>
      </c>
      <c r="V1798" s="55">
        <f>IFERROR(Table12[[#This Row],[Profit]]/Table12[[#This Row],[Sales]],0)</f>
        <v>0.35</v>
      </c>
    </row>
    <row r="1799" spans="1:22" x14ac:dyDescent="0.2">
      <c r="A1799">
        <v>1798</v>
      </c>
      <c r="B1799" t="s">
        <v>7845</v>
      </c>
      <c r="C1799" s="1">
        <v>41983</v>
      </c>
      <c r="D1799" s="22">
        <f>MONTH(Table12[[#This Row],[Order Date]])</f>
        <v>12</v>
      </c>
      <c r="E1799" t="s">
        <v>3087</v>
      </c>
      <c r="F1799" t="s">
        <v>3088</v>
      </c>
      <c r="G1799" s="23" t="s">
        <v>28</v>
      </c>
      <c r="H1799" s="23" t="s">
        <v>32</v>
      </c>
      <c r="I1799" t="s">
        <v>518</v>
      </c>
      <c r="J1799" s="23" t="s">
        <v>36</v>
      </c>
      <c r="K1799" s="22">
        <v>3</v>
      </c>
      <c r="L1799" s="1">
        <v>41987</v>
      </c>
      <c r="M1799" s="22">
        <f>Table12[[#This Row],[Ship Date]]-Table12[[#This Row],[Order Date]]</f>
        <v>4</v>
      </c>
      <c r="N1799" s="23" t="s">
        <v>45</v>
      </c>
      <c r="O1799" s="23" t="s">
        <v>23</v>
      </c>
      <c r="P1799" s="23" t="s">
        <v>5585</v>
      </c>
      <c r="Q1799" s="23" t="s">
        <v>39</v>
      </c>
      <c r="R1799" s="23" t="s">
        <v>7846</v>
      </c>
      <c r="S1799" s="33">
        <v>0.2</v>
      </c>
      <c r="T1799" s="13">
        <v>338.35199999999998</v>
      </c>
      <c r="U1799" s="13">
        <v>4.2294</v>
      </c>
      <c r="V1799" s="55">
        <f>IFERROR(Table12[[#This Row],[Profit]]/Table12[[#This Row],[Sales]],0)</f>
        <v>1.2500000000000001E-2</v>
      </c>
    </row>
    <row r="1800" spans="1:22" x14ac:dyDescent="0.2">
      <c r="A1800">
        <v>1799</v>
      </c>
      <c r="B1800" t="s">
        <v>7845</v>
      </c>
      <c r="C1800" s="1">
        <v>41983</v>
      </c>
      <c r="D1800" s="22">
        <f>MONTH(Table12[[#This Row],[Order Date]])</f>
        <v>12</v>
      </c>
      <c r="E1800" t="s">
        <v>2447</v>
      </c>
      <c r="F1800" t="s">
        <v>2448</v>
      </c>
      <c r="G1800" s="23" t="s">
        <v>41</v>
      </c>
      <c r="H1800" s="23" t="s">
        <v>82</v>
      </c>
      <c r="I1800" t="s">
        <v>518</v>
      </c>
      <c r="J1800" s="23" t="s">
        <v>36</v>
      </c>
      <c r="K1800" s="22">
        <v>4</v>
      </c>
      <c r="L1800" s="1">
        <v>41987</v>
      </c>
      <c r="M1800" s="22">
        <f>Table12[[#This Row],[Ship Date]]-Table12[[#This Row],[Order Date]]</f>
        <v>4</v>
      </c>
      <c r="N1800" s="23" t="s">
        <v>45</v>
      </c>
      <c r="O1800" s="23" t="s">
        <v>23</v>
      </c>
      <c r="P1800" s="23" t="s">
        <v>5585</v>
      </c>
      <c r="Q1800" s="23" t="s">
        <v>39</v>
      </c>
      <c r="R1800" s="23" t="s">
        <v>7846</v>
      </c>
      <c r="S1800" s="33">
        <v>0</v>
      </c>
      <c r="T1800" s="13">
        <v>25.92</v>
      </c>
      <c r="U1800" s="13">
        <v>12.441599999999999</v>
      </c>
      <c r="V1800" s="55">
        <f>IFERROR(Table12[[#This Row],[Profit]]/Table12[[#This Row],[Sales]],0)</f>
        <v>0.47999999999999993</v>
      </c>
    </row>
    <row r="1801" spans="1:22" x14ac:dyDescent="0.2">
      <c r="A1801">
        <v>1800</v>
      </c>
      <c r="B1801" t="s">
        <v>7845</v>
      </c>
      <c r="C1801" s="1">
        <v>41983</v>
      </c>
      <c r="D1801" s="22">
        <f>MONTH(Table12[[#This Row],[Order Date]])</f>
        <v>12</v>
      </c>
      <c r="E1801" t="s">
        <v>1368</v>
      </c>
      <c r="F1801" t="s">
        <v>1369</v>
      </c>
      <c r="G1801" s="23" t="s">
        <v>41</v>
      </c>
      <c r="H1801" s="23" t="s">
        <v>82</v>
      </c>
      <c r="I1801" t="s">
        <v>518</v>
      </c>
      <c r="J1801" s="23" t="s">
        <v>36</v>
      </c>
      <c r="K1801" s="22">
        <v>4</v>
      </c>
      <c r="L1801" s="1">
        <v>41987</v>
      </c>
      <c r="M1801" s="22">
        <f>Table12[[#This Row],[Ship Date]]-Table12[[#This Row],[Order Date]]</f>
        <v>4</v>
      </c>
      <c r="N1801" s="23" t="s">
        <v>45</v>
      </c>
      <c r="O1801" s="23" t="s">
        <v>23</v>
      </c>
      <c r="P1801" s="23" t="s">
        <v>5585</v>
      </c>
      <c r="Q1801" s="23" t="s">
        <v>39</v>
      </c>
      <c r="R1801" s="23" t="s">
        <v>7846</v>
      </c>
      <c r="S1801" s="33">
        <v>0</v>
      </c>
      <c r="T1801" s="13">
        <v>91.36</v>
      </c>
      <c r="U1801" s="13">
        <v>42.025599999999997</v>
      </c>
      <c r="V1801" s="55">
        <f>IFERROR(Table12[[#This Row],[Profit]]/Table12[[#This Row],[Sales]],0)</f>
        <v>0.45999999999999996</v>
      </c>
    </row>
    <row r="1802" spans="1:22" x14ac:dyDescent="0.2">
      <c r="A1802">
        <v>1801</v>
      </c>
      <c r="B1802" t="s">
        <v>3078</v>
      </c>
      <c r="C1802" s="1">
        <v>41985</v>
      </c>
      <c r="D1802" s="22">
        <f>MONTH(Table12[[#This Row],[Order Date]])</f>
        <v>12</v>
      </c>
      <c r="E1802" t="s">
        <v>3081</v>
      </c>
      <c r="F1802" t="s">
        <v>3082</v>
      </c>
      <c r="G1802" s="23" t="s">
        <v>28</v>
      </c>
      <c r="H1802" s="23" t="s">
        <v>50</v>
      </c>
      <c r="I1802" t="s">
        <v>3079</v>
      </c>
      <c r="J1802" s="23" t="s">
        <v>22</v>
      </c>
      <c r="K1802" s="22">
        <v>6</v>
      </c>
      <c r="L1802" s="1">
        <v>41987</v>
      </c>
      <c r="M1802" s="22">
        <f>Table12[[#This Row],[Ship Date]]-Table12[[#This Row],[Order Date]]</f>
        <v>2</v>
      </c>
      <c r="N1802" s="23" t="s">
        <v>20</v>
      </c>
      <c r="O1802" s="23" t="s">
        <v>23</v>
      </c>
      <c r="P1802" s="23" t="s">
        <v>38</v>
      </c>
      <c r="Q1802" s="23" t="s">
        <v>39</v>
      </c>
      <c r="R1802" s="23" t="s">
        <v>3080</v>
      </c>
      <c r="S1802" s="33">
        <v>0.2</v>
      </c>
      <c r="T1802" s="13">
        <v>764.68799999999999</v>
      </c>
      <c r="U1802" s="13">
        <v>95.585999999999999</v>
      </c>
      <c r="V1802" s="55">
        <f>IFERROR(Table12[[#This Row],[Profit]]/Table12[[#This Row],[Sales]],0)</f>
        <v>0.125</v>
      </c>
    </row>
    <row r="1803" spans="1:22" x14ac:dyDescent="0.2">
      <c r="A1803">
        <v>1802</v>
      </c>
      <c r="B1803" t="s">
        <v>3078</v>
      </c>
      <c r="C1803" s="1">
        <v>41985</v>
      </c>
      <c r="D1803" s="22">
        <f>MONTH(Table12[[#This Row],[Order Date]])</f>
        <v>12</v>
      </c>
      <c r="E1803" t="s">
        <v>796</v>
      </c>
      <c r="F1803" t="s">
        <v>797</v>
      </c>
      <c r="G1803" s="23" t="s">
        <v>28</v>
      </c>
      <c r="H1803" s="23" t="s">
        <v>50</v>
      </c>
      <c r="I1803" t="s">
        <v>3079</v>
      </c>
      <c r="J1803" s="23" t="s">
        <v>22</v>
      </c>
      <c r="K1803" s="22">
        <v>12</v>
      </c>
      <c r="L1803" s="1">
        <v>41987</v>
      </c>
      <c r="M1803" s="22">
        <f>Table12[[#This Row],[Ship Date]]-Table12[[#This Row],[Order Date]]</f>
        <v>2</v>
      </c>
      <c r="N1803" s="23" t="s">
        <v>20</v>
      </c>
      <c r="O1803" s="23" t="s">
        <v>23</v>
      </c>
      <c r="P1803" s="23" t="s">
        <v>38</v>
      </c>
      <c r="Q1803" s="23" t="s">
        <v>39</v>
      </c>
      <c r="R1803" s="23" t="s">
        <v>3080</v>
      </c>
      <c r="S1803" s="33">
        <v>0.2</v>
      </c>
      <c r="T1803" s="13">
        <v>3610.848</v>
      </c>
      <c r="U1803" s="13">
        <v>135.4068</v>
      </c>
      <c r="V1803" s="55">
        <f>IFERROR(Table12[[#This Row],[Profit]]/Table12[[#This Row],[Sales]],0)</f>
        <v>3.7499999999999999E-2</v>
      </c>
    </row>
    <row r="1804" spans="1:22" x14ac:dyDescent="0.2">
      <c r="A1804">
        <v>1803</v>
      </c>
      <c r="B1804" t="s">
        <v>3078</v>
      </c>
      <c r="C1804" s="1">
        <v>41985</v>
      </c>
      <c r="D1804" s="22">
        <f>MONTH(Table12[[#This Row],[Order Date]])</f>
        <v>12</v>
      </c>
      <c r="E1804" t="s">
        <v>3083</v>
      </c>
      <c r="F1804" t="s">
        <v>3084</v>
      </c>
      <c r="G1804" s="23" t="s">
        <v>28</v>
      </c>
      <c r="H1804" s="23" t="s">
        <v>29</v>
      </c>
      <c r="I1804" t="s">
        <v>3079</v>
      </c>
      <c r="J1804" s="23" t="s">
        <v>22</v>
      </c>
      <c r="K1804" s="22">
        <v>3</v>
      </c>
      <c r="L1804" s="1">
        <v>41987</v>
      </c>
      <c r="M1804" s="22">
        <f>Table12[[#This Row],[Ship Date]]-Table12[[#This Row],[Order Date]]</f>
        <v>2</v>
      </c>
      <c r="N1804" s="23" t="s">
        <v>20</v>
      </c>
      <c r="O1804" s="23" t="s">
        <v>23</v>
      </c>
      <c r="P1804" s="23" t="s">
        <v>38</v>
      </c>
      <c r="Q1804" s="23" t="s">
        <v>39</v>
      </c>
      <c r="R1804" s="23" t="s">
        <v>3080</v>
      </c>
      <c r="S1804" s="33">
        <v>0.15</v>
      </c>
      <c r="T1804" s="13">
        <v>254.97450000000001</v>
      </c>
      <c r="U1804" s="13">
        <v>11.998799999999999</v>
      </c>
      <c r="V1804" s="55">
        <f>IFERROR(Table12[[#This Row],[Profit]]/Table12[[#This Row],[Sales]],0)</f>
        <v>4.7058823529411764E-2</v>
      </c>
    </row>
    <row r="1805" spans="1:22" x14ac:dyDescent="0.2">
      <c r="A1805">
        <v>1804</v>
      </c>
      <c r="B1805" t="s">
        <v>4500</v>
      </c>
      <c r="C1805" s="1">
        <v>41985</v>
      </c>
      <c r="D1805" s="22">
        <f>MONTH(Table12[[#This Row],[Order Date]])</f>
        <v>12</v>
      </c>
      <c r="E1805" t="s">
        <v>2704</v>
      </c>
      <c r="F1805" t="s">
        <v>2705</v>
      </c>
      <c r="G1805" s="23" t="s">
        <v>28</v>
      </c>
      <c r="H1805" s="23" t="s">
        <v>58</v>
      </c>
      <c r="I1805" t="s">
        <v>4484</v>
      </c>
      <c r="J1805" s="23" t="s">
        <v>22</v>
      </c>
      <c r="K1805" s="22">
        <v>1</v>
      </c>
      <c r="L1805" s="1">
        <v>41990</v>
      </c>
      <c r="M1805" s="22">
        <f>Table12[[#This Row],[Ship Date]]-Table12[[#This Row],[Order Date]]</f>
        <v>5</v>
      </c>
      <c r="N1805" s="23" t="s">
        <v>45</v>
      </c>
      <c r="O1805" s="23" t="s">
        <v>23</v>
      </c>
      <c r="P1805" s="23" t="s">
        <v>38</v>
      </c>
      <c r="Q1805" s="23" t="s">
        <v>39</v>
      </c>
      <c r="R1805" s="23" t="s">
        <v>79</v>
      </c>
      <c r="S1805" s="33">
        <v>0</v>
      </c>
      <c r="T1805" s="13">
        <v>43.31</v>
      </c>
      <c r="U1805" s="13">
        <v>4.3310000000000004</v>
      </c>
      <c r="V1805" s="55">
        <f>IFERROR(Table12[[#This Row],[Profit]]/Table12[[#This Row],[Sales]],0)</f>
        <v>0.1</v>
      </c>
    </row>
    <row r="1806" spans="1:22" x14ac:dyDescent="0.2">
      <c r="A1806">
        <v>1805</v>
      </c>
      <c r="B1806" t="s">
        <v>5668</v>
      </c>
      <c r="C1806" s="1">
        <v>41985</v>
      </c>
      <c r="D1806" s="22">
        <f>MONTH(Table12[[#This Row],[Order Date]])</f>
        <v>12</v>
      </c>
      <c r="E1806" t="s">
        <v>457</v>
      </c>
      <c r="F1806" t="s">
        <v>458</v>
      </c>
      <c r="G1806" s="23" t="s">
        <v>41</v>
      </c>
      <c r="H1806" s="23" t="s">
        <v>68</v>
      </c>
      <c r="I1806" t="s">
        <v>2814</v>
      </c>
      <c r="J1806" s="23" t="s">
        <v>36</v>
      </c>
      <c r="K1806" s="22">
        <v>2</v>
      </c>
      <c r="L1806" s="1">
        <v>41985</v>
      </c>
      <c r="M1806" s="22">
        <f>Table12[[#This Row],[Ship Date]]-Table12[[#This Row],[Order Date]]</f>
        <v>0</v>
      </c>
      <c r="N1806" s="23" t="s">
        <v>1141</v>
      </c>
      <c r="O1806" s="23" t="s">
        <v>23</v>
      </c>
      <c r="P1806" s="23" t="s">
        <v>94</v>
      </c>
      <c r="Q1806" s="23" t="s">
        <v>95</v>
      </c>
      <c r="R1806" s="23" t="s">
        <v>598</v>
      </c>
      <c r="S1806" s="33">
        <v>0.8</v>
      </c>
      <c r="T1806" s="13">
        <v>210.392</v>
      </c>
      <c r="U1806" s="13">
        <v>-336.62720000000002</v>
      </c>
      <c r="V1806" s="55">
        <f>IFERROR(Table12[[#This Row],[Profit]]/Table12[[#This Row],[Sales]],0)</f>
        <v>-1.6</v>
      </c>
    </row>
    <row r="1807" spans="1:22" x14ac:dyDescent="0.2">
      <c r="A1807">
        <v>1806</v>
      </c>
      <c r="B1807" t="s">
        <v>7073</v>
      </c>
      <c r="C1807" s="1">
        <v>41985</v>
      </c>
      <c r="D1807" s="22">
        <f>MONTH(Table12[[#This Row],[Order Date]])</f>
        <v>12</v>
      </c>
      <c r="E1807" t="s">
        <v>3490</v>
      </c>
      <c r="F1807" t="s">
        <v>3491</v>
      </c>
      <c r="G1807" s="23" t="s">
        <v>28</v>
      </c>
      <c r="H1807" s="23" t="s">
        <v>58</v>
      </c>
      <c r="I1807" t="s">
        <v>831</v>
      </c>
      <c r="J1807" s="23" t="s">
        <v>22</v>
      </c>
      <c r="K1807" s="22">
        <v>3</v>
      </c>
      <c r="L1807" s="1">
        <v>41988</v>
      </c>
      <c r="M1807" s="22">
        <f>Table12[[#This Row],[Ship Date]]-Table12[[#This Row],[Order Date]]</f>
        <v>3</v>
      </c>
      <c r="N1807" s="23" t="s">
        <v>20</v>
      </c>
      <c r="O1807" s="23" t="s">
        <v>23</v>
      </c>
      <c r="P1807" s="23" t="s">
        <v>38</v>
      </c>
      <c r="Q1807" s="23" t="s">
        <v>39</v>
      </c>
      <c r="R1807" s="23" t="s">
        <v>2815</v>
      </c>
      <c r="S1807" s="33">
        <v>0</v>
      </c>
      <c r="T1807" s="13">
        <v>12.54</v>
      </c>
      <c r="U1807" s="13">
        <v>4.5144000000000002</v>
      </c>
      <c r="V1807" s="55">
        <f>IFERROR(Table12[[#This Row],[Profit]]/Table12[[#This Row],[Sales]],0)</f>
        <v>0.36000000000000004</v>
      </c>
    </row>
    <row r="1808" spans="1:22" x14ac:dyDescent="0.2">
      <c r="A1808">
        <v>1807</v>
      </c>
      <c r="B1808" t="s">
        <v>7073</v>
      </c>
      <c r="C1808" s="1">
        <v>41985</v>
      </c>
      <c r="D1808" s="22">
        <f>MONTH(Table12[[#This Row],[Order Date]])</f>
        <v>12</v>
      </c>
      <c r="E1808" t="s">
        <v>1338</v>
      </c>
      <c r="F1808" t="s">
        <v>1339</v>
      </c>
      <c r="G1808" s="23" t="s">
        <v>41</v>
      </c>
      <c r="H1808" s="23" t="s">
        <v>53</v>
      </c>
      <c r="I1808" t="s">
        <v>831</v>
      </c>
      <c r="J1808" s="23" t="s">
        <v>22</v>
      </c>
      <c r="K1808" s="22">
        <v>3</v>
      </c>
      <c r="L1808" s="1">
        <v>41988</v>
      </c>
      <c r="M1808" s="22">
        <f>Table12[[#This Row],[Ship Date]]-Table12[[#This Row],[Order Date]]</f>
        <v>3</v>
      </c>
      <c r="N1808" s="23" t="s">
        <v>20</v>
      </c>
      <c r="O1808" s="23" t="s">
        <v>23</v>
      </c>
      <c r="P1808" s="23" t="s">
        <v>38</v>
      </c>
      <c r="Q1808" s="23" t="s">
        <v>39</v>
      </c>
      <c r="R1808" s="23" t="s">
        <v>2815</v>
      </c>
      <c r="S1808" s="33">
        <v>0</v>
      </c>
      <c r="T1808" s="13">
        <v>8.94</v>
      </c>
      <c r="U1808" s="13">
        <v>0.62580000000000002</v>
      </c>
      <c r="V1808" s="55">
        <f>IFERROR(Table12[[#This Row],[Profit]]/Table12[[#This Row],[Sales]],0)</f>
        <v>7.0000000000000007E-2</v>
      </c>
    </row>
    <row r="1809" spans="1:22" x14ac:dyDescent="0.2">
      <c r="A1809">
        <v>1808</v>
      </c>
      <c r="B1809" t="s">
        <v>7073</v>
      </c>
      <c r="C1809" s="1">
        <v>41985</v>
      </c>
      <c r="D1809" s="22">
        <f>MONTH(Table12[[#This Row],[Order Date]])</f>
        <v>12</v>
      </c>
      <c r="E1809" t="s">
        <v>231</v>
      </c>
      <c r="F1809" t="s">
        <v>232</v>
      </c>
      <c r="G1809" s="23" t="s">
        <v>28</v>
      </c>
      <c r="H1809" s="23" t="s">
        <v>58</v>
      </c>
      <c r="I1809" t="s">
        <v>831</v>
      </c>
      <c r="J1809" s="23" t="s">
        <v>22</v>
      </c>
      <c r="K1809" s="22">
        <v>3</v>
      </c>
      <c r="L1809" s="1">
        <v>41988</v>
      </c>
      <c r="M1809" s="22">
        <f>Table12[[#This Row],[Ship Date]]-Table12[[#This Row],[Order Date]]</f>
        <v>3</v>
      </c>
      <c r="N1809" s="23" t="s">
        <v>20</v>
      </c>
      <c r="O1809" s="23" t="s">
        <v>23</v>
      </c>
      <c r="P1809" s="23" t="s">
        <v>38</v>
      </c>
      <c r="Q1809" s="23" t="s">
        <v>39</v>
      </c>
      <c r="R1809" s="23" t="s">
        <v>2815</v>
      </c>
      <c r="S1809" s="33">
        <v>0</v>
      </c>
      <c r="T1809" s="13">
        <v>9.24</v>
      </c>
      <c r="U1809" s="13">
        <v>4.4352</v>
      </c>
      <c r="V1809" s="55">
        <f>IFERROR(Table12[[#This Row],[Profit]]/Table12[[#This Row],[Sales]],0)</f>
        <v>0.48</v>
      </c>
    </row>
    <row r="1810" spans="1:22" x14ac:dyDescent="0.2">
      <c r="A1810">
        <v>1809</v>
      </c>
      <c r="B1810" t="s">
        <v>7520</v>
      </c>
      <c r="C1810" s="1">
        <v>41985</v>
      </c>
      <c r="D1810" s="22">
        <f>MONTH(Table12[[#This Row],[Order Date]])</f>
        <v>12</v>
      </c>
      <c r="E1810" t="s">
        <v>2426</v>
      </c>
      <c r="F1810" t="s">
        <v>591</v>
      </c>
      <c r="G1810" s="23" t="s">
        <v>41</v>
      </c>
      <c r="H1810" s="23" t="s">
        <v>155</v>
      </c>
      <c r="I1810" t="s">
        <v>1290</v>
      </c>
      <c r="J1810" s="23" t="s">
        <v>22</v>
      </c>
      <c r="K1810" s="22">
        <v>3</v>
      </c>
      <c r="L1810" s="1">
        <v>41990</v>
      </c>
      <c r="M1810" s="22">
        <f>Table12[[#This Row],[Ship Date]]-Table12[[#This Row],[Order Date]]</f>
        <v>5</v>
      </c>
      <c r="N1810" s="23" t="s">
        <v>45</v>
      </c>
      <c r="O1810" s="23" t="s">
        <v>23</v>
      </c>
      <c r="P1810" s="23" t="s">
        <v>48</v>
      </c>
      <c r="Q1810" s="23" t="s">
        <v>26</v>
      </c>
      <c r="R1810" s="23" t="s">
        <v>1253</v>
      </c>
      <c r="S1810" s="33">
        <v>0.2</v>
      </c>
      <c r="T1810" s="13">
        <v>23.472000000000001</v>
      </c>
      <c r="U1810" s="13">
        <v>7.6284000000000001</v>
      </c>
      <c r="V1810" s="55">
        <f>IFERROR(Table12[[#This Row],[Profit]]/Table12[[#This Row],[Sales]],0)</f>
        <v>0.32500000000000001</v>
      </c>
    </row>
    <row r="1811" spans="1:22" x14ac:dyDescent="0.2">
      <c r="A1811">
        <v>1810</v>
      </c>
      <c r="B1811" t="s">
        <v>4951</v>
      </c>
      <c r="C1811" s="1">
        <v>41986</v>
      </c>
      <c r="D1811" s="22">
        <f>MONTH(Table12[[#This Row],[Order Date]])</f>
        <v>12</v>
      </c>
      <c r="E1811" t="s">
        <v>3914</v>
      </c>
      <c r="F1811" t="s">
        <v>3915</v>
      </c>
      <c r="G1811" s="23" t="s">
        <v>41</v>
      </c>
      <c r="H1811" s="23" t="s">
        <v>82</v>
      </c>
      <c r="I1811" t="s">
        <v>382</v>
      </c>
      <c r="J1811" s="23" t="s">
        <v>22</v>
      </c>
      <c r="K1811" s="22">
        <v>6</v>
      </c>
      <c r="L1811" s="1">
        <v>41988</v>
      </c>
      <c r="M1811" s="22">
        <f>Table12[[#This Row],[Ship Date]]-Table12[[#This Row],[Order Date]]</f>
        <v>2</v>
      </c>
      <c r="N1811" s="23" t="s">
        <v>20</v>
      </c>
      <c r="O1811" s="23" t="s">
        <v>23</v>
      </c>
      <c r="P1811" s="23" t="s">
        <v>38</v>
      </c>
      <c r="Q1811" s="23" t="s">
        <v>39</v>
      </c>
      <c r="R1811" s="23" t="s">
        <v>37</v>
      </c>
      <c r="S1811" s="33">
        <v>0</v>
      </c>
      <c r="T1811" s="13">
        <v>90.24</v>
      </c>
      <c r="U1811" s="13">
        <v>41.510399999999997</v>
      </c>
      <c r="V1811" s="55">
        <f>IFERROR(Table12[[#This Row],[Profit]]/Table12[[#This Row],[Sales]],0)</f>
        <v>0.46</v>
      </c>
    </row>
    <row r="1812" spans="1:22" x14ac:dyDescent="0.2">
      <c r="A1812">
        <v>1811</v>
      </c>
      <c r="B1812" t="s">
        <v>6060</v>
      </c>
      <c r="C1812" s="1">
        <v>41986</v>
      </c>
      <c r="D1812" s="22">
        <f>MONTH(Table12[[#This Row],[Order Date]])</f>
        <v>12</v>
      </c>
      <c r="E1812" t="s">
        <v>1722</v>
      </c>
      <c r="F1812" t="s">
        <v>1723</v>
      </c>
      <c r="G1812" s="23" t="s">
        <v>41</v>
      </c>
      <c r="H1812" s="23" t="s">
        <v>513</v>
      </c>
      <c r="I1812" t="s">
        <v>1965</v>
      </c>
      <c r="J1812" s="23" t="s">
        <v>22</v>
      </c>
      <c r="K1812" s="22">
        <v>1</v>
      </c>
      <c r="L1812" s="1">
        <v>41988</v>
      </c>
      <c r="M1812" s="22">
        <f>Table12[[#This Row],[Ship Date]]-Table12[[#This Row],[Order Date]]</f>
        <v>2</v>
      </c>
      <c r="N1812" s="23" t="s">
        <v>20</v>
      </c>
      <c r="O1812" s="23" t="s">
        <v>23</v>
      </c>
      <c r="P1812" s="23" t="s">
        <v>94</v>
      </c>
      <c r="Q1812" s="23" t="s">
        <v>95</v>
      </c>
      <c r="R1812" s="23" t="s">
        <v>165</v>
      </c>
      <c r="S1812" s="33">
        <v>0.2</v>
      </c>
      <c r="T1812" s="13">
        <v>2.92</v>
      </c>
      <c r="U1812" s="13">
        <v>0.36499999999999999</v>
      </c>
      <c r="V1812" s="55">
        <f>IFERROR(Table12[[#This Row],[Profit]]/Table12[[#This Row],[Sales]],0)</f>
        <v>0.125</v>
      </c>
    </row>
    <row r="1813" spans="1:22" x14ac:dyDescent="0.2">
      <c r="A1813">
        <v>1812</v>
      </c>
      <c r="B1813" t="s">
        <v>6593</v>
      </c>
      <c r="C1813" s="1">
        <v>41986</v>
      </c>
      <c r="D1813" s="22">
        <f>MONTH(Table12[[#This Row],[Order Date]])</f>
        <v>12</v>
      </c>
      <c r="E1813" t="s">
        <v>6594</v>
      </c>
      <c r="F1813" t="s">
        <v>6595</v>
      </c>
      <c r="G1813" s="23" t="s">
        <v>28</v>
      </c>
      <c r="H1813" s="23" t="s">
        <v>58</v>
      </c>
      <c r="I1813" t="s">
        <v>1700</v>
      </c>
      <c r="J1813" s="23" t="s">
        <v>36</v>
      </c>
      <c r="K1813" s="22">
        <v>3</v>
      </c>
      <c r="L1813" s="1">
        <v>41990</v>
      </c>
      <c r="M1813" s="22">
        <f>Table12[[#This Row],[Ship Date]]-Table12[[#This Row],[Order Date]]</f>
        <v>4</v>
      </c>
      <c r="N1813" s="23" t="s">
        <v>45</v>
      </c>
      <c r="O1813" s="23" t="s">
        <v>23</v>
      </c>
      <c r="P1813" s="23" t="s">
        <v>189</v>
      </c>
      <c r="Q1813" s="23" t="s">
        <v>95</v>
      </c>
      <c r="R1813" s="23" t="s">
        <v>271</v>
      </c>
      <c r="S1813" s="33">
        <v>0.6</v>
      </c>
      <c r="T1813" s="13">
        <v>94.427999999999997</v>
      </c>
      <c r="U1813" s="13">
        <v>-42.492600000000003</v>
      </c>
      <c r="V1813" s="55">
        <f>IFERROR(Table12[[#This Row],[Profit]]/Table12[[#This Row],[Sales]],0)</f>
        <v>-0.45000000000000007</v>
      </c>
    </row>
    <row r="1814" spans="1:22" x14ac:dyDescent="0.2">
      <c r="A1814">
        <v>1813</v>
      </c>
      <c r="B1814" t="s">
        <v>7847</v>
      </c>
      <c r="C1814" s="1">
        <v>41986</v>
      </c>
      <c r="D1814" s="22">
        <f>MONTH(Table12[[#This Row],[Order Date]])</f>
        <v>12</v>
      </c>
      <c r="E1814" t="s">
        <v>4039</v>
      </c>
      <c r="F1814" t="s">
        <v>4040</v>
      </c>
      <c r="G1814" s="23" t="s">
        <v>28</v>
      </c>
      <c r="H1814" s="23" t="s">
        <v>58</v>
      </c>
      <c r="I1814" t="s">
        <v>4475</v>
      </c>
      <c r="J1814" s="23" t="s">
        <v>36</v>
      </c>
      <c r="K1814" s="22">
        <v>3</v>
      </c>
      <c r="L1814" s="1">
        <v>41990</v>
      </c>
      <c r="M1814" s="22">
        <f>Table12[[#This Row],[Ship Date]]-Table12[[#This Row],[Order Date]]</f>
        <v>4</v>
      </c>
      <c r="N1814" s="23" t="s">
        <v>45</v>
      </c>
      <c r="O1814" s="23" t="s">
        <v>23</v>
      </c>
      <c r="P1814" s="23" t="s">
        <v>277</v>
      </c>
      <c r="Q1814" s="23" t="s">
        <v>39</v>
      </c>
      <c r="R1814" s="23" t="s">
        <v>481</v>
      </c>
      <c r="S1814" s="33">
        <v>0.2</v>
      </c>
      <c r="T1814" s="13">
        <v>87.96</v>
      </c>
      <c r="U1814" s="13">
        <v>7.6965000000000003</v>
      </c>
      <c r="V1814" s="55">
        <f>IFERROR(Table12[[#This Row],[Profit]]/Table12[[#This Row],[Sales]],0)</f>
        <v>8.7500000000000008E-2</v>
      </c>
    </row>
    <row r="1815" spans="1:22" x14ac:dyDescent="0.2">
      <c r="A1815">
        <v>1814</v>
      </c>
      <c r="B1815" t="s">
        <v>7847</v>
      </c>
      <c r="C1815" s="1">
        <v>41986</v>
      </c>
      <c r="D1815" s="22">
        <f>MONTH(Table12[[#This Row],[Order Date]])</f>
        <v>12</v>
      </c>
      <c r="E1815" t="s">
        <v>1811</v>
      </c>
      <c r="F1815" t="s">
        <v>1812</v>
      </c>
      <c r="G1815" s="23" t="s">
        <v>41</v>
      </c>
      <c r="H1815" s="23" t="s">
        <v>68</v>
      </c>
      <c r="I1815" t="s">
        <v>4475</v>
      </c>
      <c r="J1815" s="23" t="s">
        <v>36</v>
      </c>
      <c r="K1815" s="22">
        <v>2</v>
      </c>
      <c r="L1815" s="1">
        <v>41990</v>
      </c>
      <c r="M1815" s="22">
        <f>Table12[[#This Row],[Ship Date]]-Table12[[#This Row],[Order Date]]</f>
        <v>4</v>
      </c>
      <c r="N1815" s="23" t="s">
        <v>45</v>
      </c>
      <c r="O1815" s="23" t="s">
        <v>23</v>
      </c>
      <c r="P1815" s="23" t="s">
        <v>277</v>
      </c>
      <c r="Q1815" s="23" t="s">
        <v>39</v>
      </c>
      <c r="R1815" s="23" t="s">
        <v>481</v>
      </c>
      <c r="S1815" s="33">
        <v>0.7</v>
      </c>
      <c r="T1815" s="13">
        <v>5.2140000000000004</v>
      </c>
      <c r="U1815" s="13">
        <v>-4.1711999999999998</v>
      </c>
      <c r="V1815" s="55">
        <f>IFERROR(Table12[[#This Row],[Profit]]/Table12[[#This Row],[Sales]],0)</f>
        <v>-0.79999999999999993</v>
      </c>
    </row>
    <row r="1816" spans="1:22" x14ac:dyDescent="0.2">
      <c r="A1816">
        <v>1815</v>
      </c>
      <c r="B1816" t="s">
        <v>9372</v>
      </c>
      <c r="C1816" s="1">
        <v>41986</v>
      </c>
      <c r="D1816" s="22">
        <f>MONTH(Table12[[#This Row],[Order Date]])</f>
        <v>12</v>
      </c>
      <c r="E1816" t="s">
        <v>3170</v>
      </c>
      <c r="F1816" t="s">
        <v>3171</v>
      </c>
      <c r="G1816" s="23" t="s">
        <v>41</v>
      </c>
      <c r="H1816" s="23" t="s">
        <v>68</v>
      </c>
      <c r="I1816" t="s">
        <v>1281</v>
      </c>
      <c r="J1816" s="23" t="s">
        <v>36</v>
      </c>
      <c r="K1816" s="22">
        <v>3</v>
      </c>
      <c r="L1816" s="1">
        <v>41988</v>
      </c>
      <c r="M1816" s="22">
        <f>Table12[[#This Row],[Ship Date]]-Table12[[#This Row],[Order Date]]</f>
        <v>2</v>
      </c>
      <c r="N1816" s="23" t="s">
        <v>20</v>
      </c>
      <c r="O1816" s="23" t="s">
        <v>23</v>
      </c>
      <c r="P1816" s="23" t="s">
        <v>25</v>
      </c>
      <c r="Q1816" s="23" t="s">
        <v>26</v>
      </c>
      <c r="R1816" s="23" t="s">
        <v>24</v>
      </c>
      <c r="S1816" s="33">
        <v>0</v>
      </c>
      <c r="T1816" s="13">
        <v>12.39</v>
      </c>
      <c r="U1816" s="13">
        <v>5.8232999999999997</v>
      </c>
      <c r="V1816" s="55">
        <f>IFERROR(Table12[[#This Row],[Profit]]/Table12[[#This Row],[Sales]],0)</f>
        <v>0.47</v>
      </c>
    </row>
    <row r="1817" spans="1:22" x14ac:dyDescent="0.2">
      <c r="A1817">
        <v>1816</v>
      </c>
      <c r="B1817" t="s">
        <v>4278</v>
      </c>
      <c r="C1817" s="1">
        <v>41987</v>
      </c>
      <c r="D1817" s="22">
        <f>MONTH(Table12[[#This Row],[Order Date]])</f>
        <v>12</v>
      </c>
      <c r="E1817" t="s">
        <v>4280</v>
      </c>
      <c r="F1817" t="s">
        <v>4281</v>
      </c>
      <c r="G1817" s="23" t="s">
        <v>41</v>
      </c>
      <c r="H1817" s="23" t="s">
        <v>68</v>
      </c>
      <c r="I1817" t="s">
        <v>4279</v>
      </c>
      <c r="J1817" s="23" t="s">
        <v>22</v>
      </c>
      <c r="K1817" s="22">
        <v>4</v>
      </c>
      <c r="L1817" s="1">
        <v>41992</v>
      </c>
      <c r="M1817" s="22">
        <f>Table12[[#This Row],[Ship Date]]-Table12[[#This Row],[Order Date]]</f>
        <v>5</v>
      </c>
      <c r="N1817" s="23" t="s">
        <v>45</v>
      </c>
      <c r="O1817" s="23" t="s">
        <v>23</v>
      </c>
      <c r="P1817" s="23" t="s">
        <v>189</v>
      </c>
      <c r="Q1817" s="23" t="s">
        <v>95</v>
      </c>
      <c r="R1817" s="23" t="s">
        <v>271</v>
      </c>
      <c r="S1817" s="33">
        <v>0.8</v>
      </c>
      <c r="T1817" s="13">
        <v>5.1040000000000001</v>
      </c>
      <c r="U1817" s="13">
        <v>-8.6768000000000001</v>
      </c>
      <c r="V1817" s="55">
        <f>IFERROR(Table12[[#This Row],[Profit]]/Table12[[#This Row],[Sales]],0)</f>
        <v>-1.7</v>
      </c>
    </row>
    <row r="1818" spans="1:22" x14ac:dyDescent="0.2">
      <c r="A1818">
        <v>1817</v>
      </c>
      <c r="B1818" t="s">
        <v>4278</v>
      </c>
      <c r="C1818" s="1">
        <v>41987</v>
      </c>
      <c r="D1818" s="22">
        <f>MONTH(Table12[[#This Row],[Order Date]])</f>
        <v>12</v>
      </c>
      <c r="E1818" t="s">
        <v>2768</v>
      </c>
      <c r="F1818" t="s">
        <v>2769</v>
      </c>
      <c r="G1818" s="23" t="s">
        <v>41</v>
      </c>
      <c r="H1818" s="23" t="s">
        <v>240</v>
      </c>
      <c r="I1818" t="s">
        <v>4279</v>
      </c>
      <c r="J1818" s="23" t="s">
        <v>22</v>
      </c>
      <c r="K1818" s="22">
        <v>2</v>
      </c>
      <c r="L1818" s="1">
        <v>41992</v>
      </c>
      <c r="M1818" s="22">
        <f>Table12[[#This Row],[Ship Date]]-Table12[[#This Row],[Order Date]]</f>
        <v>5</v>
      </c>
      <c r="N1818" s="23" t="s">
        <v>45</v>
      </c>
      <c r="O1818" s="23" t="s">
        <v>23</v>
      </c>
      <c r="P1818" s="23" t="s">
        <v>189</v>
      </c>
      <c r="Q1818" s="23" t="s">
        <v>95</v>
      </c>
      <c r="R1818" s="23" t="s">
        <v>271</v>
      </c>
      <c r="S1818" s="33">
        <v>0.2</v>
      </c>
      <c r="T1818" s="13">
        <v>2.8959999999999999</v>
      </c>
      <c r="U1818" s="13">
        <v>0.47060000000000002</v>
      </c>
      <c r="V1818" s="55">
        <f>IFERROR(Table12[[#This Row],[Profit]]/Table12[[#This Row],[Sales]],0)</f>
        <v>0.16250000000000001</v>
      </c>
    </row>
    <row r="1819" spans="1:22" x14ac:dyDescent="0.2">
      <c r="A1819">
        <v>1818</v>
      </c>
      <c r="B1819" t="s">
        <v>4278</v>
      </c>
      <c r="C1819" s="1">
        <v>41987</v>
      </c>
      <c r="D1819" s="22">
        <f>MONTH(Table12[[#This Row],[Order Date]])</f>
        <v>12</v>
      </c>
      <c r="E1819" t="s">
        <v>4282</v>
      </c>
      <c r="F1819" t="s">
        <v>4283</v>
      </c>
      <c r="G1819" s="23" t="s">
        <v>64</v>
      </c>
      <c r="H1819" s="23" t="s">
        <v>144</v>
      </c>
      <c r="I1819" t="s">
        <v>4279</v>
      </c>
      <c r="J1819" s="23" t="s">
        <v>22</v>
      </c>
      <c r="K1819" s="22">
        <v>3</v>
      </c>
      <c r="L1819" s="1">
        <v>41992</v>
      </c>
      <c r="M1819" s="22">
        <f>Table12[[#This Row],[Ship Date]]-Table12[[#This Row],[Order Date]]</f>
        <v>5</v>
      </c>
      <c r="N1819" s="23" t="s">
        <v>45</v>
      </c>
      <c r="O1819" s="23" t="s">
        <v>23</v>
      </c>
      <c r="P1819" s="23" t="s">
        <v>189</v>
      </c>
      <c r="Q1819" s="23" t="s">
        <v>95</v>
      </c>
      <c r="R1819" s="23" t="s">
        <v>271</v>
      </c>
      <c r="S1819" s="33">
        <v>0.2</v>
      </c>
      <c r="T1819" s="13">
        <v>35.015999999999998</v>
      </c>
      <c r="U1819" s="13">
        <v>-2.1884999999999999</v>
      </c>
      <c r="V1819" s="55">
        <f>IFERROR(Table12[[#This Row],[Profit]]/Table12[[#This Row],[Sales]],0)</f>
        <v>-6.25E-2</v>
      </c>
    </row>
    <row r="1820" spans="1:22" x14ac:dyDescent="0.2">
      <c r="A1820">
        <v>1819</v>
      </c>
      <c r="B1820" t="s">
        <v>7244</v>
      </c>
      <c r="C1820" s="1">
        <v>41987</v>
      </c>
      <c r="D1820" s="22">
        <f>MONTH(Table12[[#This Row],[Order Date]])</f>
        <v>12</v>
      </c>
      <c r="E1820" t="s">
        <v>4882</v>
      </c>
      <c r="F1820" t="s">
        <v>4883</v>
      </c>
      <c r="G1820" s="23" t="s">
        <v>28</v>
      </c>
      <c r="H1820" s="23" t="s">
        <v>32</v>
      </c>
      <c r="I1820" t="s">
        <v>2165</v>
      </c>
      <c r="J1820" s="23" t="s">
        <v>22</v>
      </c>
      <c r="K1820" s="22">
        <v>4</v>
      </c>
      <c r="L1820" s="1">
        <v>41993</v>
      </c>
      <c r="M1820" s="22">
        <f>Table12[[#This Row],[Ship Date]]-Table12[[#This Row],[Order Date]]</f>
        <v>6</v>
      </c>
      <c r="N1820" s="23" t="s">
        <v>45</v>
      </c>
      <c r="O1820" s="23" t="s">
        <v>23</v>
      </c>
      <c r="P1820" s="23" t="s">
        <v>48</v>
      </c>
      <c r="Q1820" s="23" t="s">
        <v>26</v>
      </c>
      <c r="R1820" s="23" t="s">
        <v>3218</v>
      </c>
      <c r="S1820" s="33">
        <v>0.2</v>
      </c>
      <c r="T1820" s="13">
        <v>186.304</v>
      </c>
      <c r="U1820" s="13">
        <v>13.972799999999999</v>
      </c>
      <c r="V1820" s="55">
        <f>IFERROR(Table12[[#This Row],[Profit]]/Table12[[#This Row],[Sales]],0)</f>
        <v>7.4999999999999997E-2</v>
      </c>
    </row>
    <row r="1821" spans="1:22" x14ac:dyDescent="0.2">
      <c r="A1821">
        <v>1820</v>
      </c>
      <c r="B1821" t="s">
        <v>7669</v>
      </c>
      <c r="C1821" s="1">
        <v>41987</v>
      </c>
      <c r="D1821" s="22">
        <f>MONTH(Table12[[#This Row],[Order Date]])</f>
        <v>12</v>
      </c>
      <c r="E1821" t="s">
        <v>3279</v>
      </c>
      <c r="F1821" t="s">
        <v>3280</v>
      </c>
      <c r="G1821" s="23" t="s">
        <v>41</v>
      </c>
      <c r="H1821" s="23" t="s">
        <v>61</v>
      </c>
      <c r="I1821" t="s">
        <v>2086</v>
      </c>
      <c r="J1821" s="23" t="s">
        <v>22</v>
      </c>
      <c r="K1821" s="22">
        <v>1</v>
      </c>
      <c r="L1821" s="1">
        <v>41994</v>
      </c>
      <c r="M1821" s="22">
        <f>Table12[[#This Row],[Ship Date]]-Table12[[#This Row],[Order Date]]</f>
        <v>7</v>
      </c>
      <c r="N1821" s="23" t="s">
        <v>45</v>
      </c>
      <c r="O1821" s="23" t="s">
        <v>23</v>
      </c>
      <c r="P1821" s="23" t="s">
        <v>441</v>
      </c>
      <c r="Q1821" s="23" t="s">
        <v>133</v>
      </c>
      <c r="R1821" s="23" t="s">
        <v>4594</v>
      </c>
      <c r="S1821" s="33">
        <v>0.2</v>
      </c>
      <c r="T1821" s="13">
        <v>2.6240000000000001</v>
      </c>
      <c r="U1821" s="13">
        <v>0.29520000000000002</v>
      </c>
      <c r="V1821" s="55">
        <f>IFERROR(Table12[[#This Row],[Profit]]/Table12[[#This Row],[Sales]],0)</f>
        <v>0.1125</v>
      </c>
    </row>
    <row r="1822" spans="1:22" x14ac:dyDescent="0.2">
      <c r="A1822">
        <v>1821</v>
      </c>
      <c r="B1822" t="s">
        <v>7669</v>
      </c>
      <c r="C1822" s="1">
        <v>41987</v>
      </c>
      <c r="D1822" s="22">
        <f>MONTH(Table12[[#This Row],[Order Date]])</f>
        <v>12</v>
      </c>
      <c r="E1822" t="s">
        <v>4871</v>
      </c>
      <c r="F1822" t="s">
        <v>4872</v>
      </c>
      <c r="G1822" s="23" t="s">
        <v>28</v>
      </c>
      <c r="H1822" s="23" t="s">
        <v>50</v>
      </c>
      <c r="I1822" t="s">
        <v>2086</v>
      </c>
      <c r="J1822" s="23" t="s">
        <v>22</v>
      </c>
      <c r="K1822" s="22">
        <v>1</v>
      </c>
      <c r="L1822" s="1">
        <v>41994</v>
      </c>
      <c r="M1822" s="22">
        <f>Table12[[#This Row],[Ship Date]]-Table12[[#This Row],[Order Date]]</f>
        <v>7</v>
      </c>
      <c r="N1822" s="23" t="s">
        <v>45</v>
      </c>
      <c r="O1822" s="23" t="s">
        <v>23</v>
      </c>
      <c r="P1822" s="23" t="s">
        <v>441</v>
      </c>
      <c r="Q1822" s="23" t="s">
        <v>133</v>
      </c>
      <c r="R1822" s="23" t="s">
        <v>4594</v>
      </c>
      <c r="S1822" s="33">
        <v>0.4</v>
      </c>
      <c r="T1822" s="13">
        <v>136.53</v>
      </c>
      <c r="U1822" s="13">
        <v>-52.336500000000001</v>
      </c>
      <c r="V1822" s="55">
        <f>IFERROR(Table12[[#This Row],[Profit]]/Table12[[#This Row],[Sales]],0)</f>
        <v>-0.38333333333333336</v>
      </c>
    </row>
    <row r="1823" spans="1:22" x14ac:dyDescent="0.2">
      <c r="A1823">
        <v>1822</v>
      </c>
      <c r="B1823" t="s">
        <v>7669</v>
      </c>
      <c r="C1823" s="1">
        <v>41987</v>
      </c>
      <c r="D1823" s="22">
        <f>MONTH(Table12[[#This Row],[Order Date]])</f>
        <v>12</v>
      </c>
      <c r="E1823" t="s">
        <v>2635</v>
      </c>
      <c r="F1823" t="s">
        <v>2636</v>
      </c>
      <c r="G1823" s="23" t="s">
        <v>64</v>
      </c>
      <c r="H1823" s="23" t="s">
        <v>144</v>
      </c>
      <c r="I1823" t="s">
        <v>2086</v>
      </c>
      <c r="J1823" s="23" t="s">
        <v>22</v>
      </c>
      <c r="K1823" s="22">
        <v>1</v>
      </c>
      <c r="L1823" s="1">
        <v>41994</v>
      </c>
      <c r="M1823" s="22">
        <f>Table12[[#This Row],[Ship Date]]-Table12[[#This Row],[Order Date]]</f>
        <v>7</v>
      </c>
      <c r="N1823" s="23" t="s">
        <v>45</v>
      </c>
      <c r="O1823" s="23" t="s">
        <v>23</v>
      </c>
      <c r="P1823" s="23" t="s">
        <v>441</v>
      </c>
      <c r="Q1823" s="23" t="s">
        <v>133</v>
      </c>
      <c r="R1823" s="23" t="s">
        <v>4594</v>
      </c>
      <c r="S1823" s="33">
        <v>0.2</v>
      </c>
      <c r="T1823" s="13">
        <v>263.95999999999998</v>
      </c>
      <c r="U1823" s="13">
        <v>42.893500000000003</v>
      </c>
      <c r="V1823" s="55">
        <f>IFERROR(Table12[[#This Row],[Profit]]/Table12[[#This Row],[Sales]],0)</f>
        <v>0.16250000000000003</v>
      </c>
    </row>
    <row r="1824" spans="1:22" x14ac:dyDescent="0.2">
      <c r="A1824">
        <v>1823</v>
      </c>
      <c r="B1824" t="s">
        <v>8224</v>
      </c>
      <c r="C1824" s="1">
        <v>41987</v>
      </c>
      <c r="D1824" s="22">
        <f>MONTH(Table12[[#This Row],[Order Date]])</f>
        <v>12</v>
      </c>
      <c r="E1824" t="s">
        <v>6505</v>
      </c>
      <c r="F1824" t="s">
        <v>6506</v>
      </c>
      <c r="G1824" s="23" t="s">
        <v>64</v>
      </c>
      <c r="H1824" s="23" t="s">
        <v>602</v>
      </c>
      <c r="I1824" t="s">
        <v>3570</v>
      </c>
      <c r="J1824" s="23" t="s">
        <v>22</v>
      </c>
      <c r="K1824" s="22">
        <v>4</v>
      </c>
      <c r="L1824" s="1">
        <v>41994</v>
      </c>
      <c r="M1824" s="22">
        <f>Table12[[#This Row],[Ship Date]]-Table12[[#This Row],[Order Date]]</f>
        <v>7</v>
      </c>
      <c r="N1824" s="23" t="s">
        <v>45</v>
      </c>
      <c r="O1824" s="23" t="s">
        <v>23</v>
      </c>
      <c r="P1824" s="23" t="s">
        <v>238</v>
      </c>
      <c r="Q1824" s="23" t="s">
        <v>133</v>
      </c>
      <c r="R1824" s="23" t="s">
        <v>237</v>
      </c>
      <c r="S1824" s="33">
        <v>0</v>
      </c>
      <c r="T1824" s="13">
        <v>6999.96</v>
      </c>
      <c r="U1824" s="13">
        <v>2239.9872</v>
      </c>
      <c r="V1824" s="55">
        <f>IFERROR(Table12[[#This Row],[Profit]]/Table12[[#This Row],[Sales]],0)</f>
        <v>0.32</v>
      </c>
    </row>
    <row r="1825" spans="1:22" x14ac:dyDescent="0.2">
      <c r="A1825">
        <v>1824</v>
      </c>
      <c r="B1825" t="s">
        <v>9883</v>
      </c>
      <c r="C1825" s="1">
        <v>41987</v>
      </c>
      <c r="D1825" s="22">
        <f>MONTH(Table12[[#This Row],[Order Date]])</f>
        <v>12</v>
      </c>
      <c r="E1825" t="s">
        <v>3818</v>
      </c>
      <c r="F1825" t="s">
        <v>3819</v>
      </c>
      <c r="G1825" s="23" t="s">
        <v>41</v>
      </c>
      <c r="H1825" s="23" t="s">
        <v>68</v>
      </c>
      <c r="I1825" t="s">
        <v>5672</v>
      </c>
      <c r="J1825" s="23" t="s">
        <v>36</v>
      </c>
      <c r="K1825" s="22">
        <v>3</v>
      </c>
      <c r="L1825" s="1">
        <v>41989</v>
      </c>
      <c r="M1825" s="22">
        <f>Table12[[#This Row],[Ship Date]]-Table12[[#This Row],[Order Date]]</f>
        <v>2</v>
      </c>
      <c r="N1825" s="23" t="s">
        <v>169</v>
      </c>
      <c r="O1825" s="23" t="s">
        <v>23</v>
      </c>
      <c r="P1825" s="23" t="s">
        <v>189</v>
      </c>
      <c r="Q1825" s="23" t="s">
        <v>95</v>
      </c>
      <c r="R1825" s="23" t="s">
        <v>271</v>
      </c>
      <c r="S1825" s="33">
        <v>0.8</v>
      </c>
      <c r="T1825" s="13">
        <v>9.2639999999999993</v>
      </c>
      <c r="U1825" s="13">
        <v>-13.896000000000001</v>
      </c>
      <c r="V1825" s="55">
        <f>IFERROR(Table12[[#This Row],[Profit]]/Table12[[#This Row],[Sales]],0)</f>
        <v>-1.5000000000000002</v>
      </c>
    </row>
    <row r="1826" spans="1:22" x14ac:dyDescent="0.2">
      <c r="A1826">
        <v>1825</v>
      </c>
      <c r="B1826" t="s">
        <v>3677</v>
      </c>
      <c r="C1826" s="1">
        <v>41988</v>
      </c>
      <c r="D1826" s="22">
        <f>MONTH(Table12[[#This Row],[Order Date]])</f>
        <v>12</v>
      </c>
      <c r="E1826" t="s">
        <v>3680</v>
      </c>
      <c r="F1826" t="s">
        <v>3681</v>
      </c>
      <c r="G1826" s="23" t="s">
        <v>64</v>
      </c>
      <c r="H1826" s="23" t="s">
        <v>65</v>
      </c>
      <c r="I1826" t="s">
        <v>3678</v>
      </c>
      <c r="J1826" s="23" t="s">
        <v>22</v>
      </c>
      <c r="K1826" s="22">
        <v>3</v>
      </c>
      <c r="L1826" s="1">
        <v>41991</v>
      </c>
      <c r="M1826" s="22">
        <f>Table12[[#This Row],[Ship Date]]-Table12[[#This Row],[Order Date]]</f>
        <v>3</v>
      </c>
      <c r="N1826" s="23" t="s">
        <v>169</v>
      </c>
      <c r="O1826" s="23" t="s">
        <v>23</v>
      </c>
      <c r="P1826" s="23" t="s">
        <v>94</v>
      </c>
      <c r="Q1826" s="23" t="s">
        <v>95</v>
      </c>
      <c r="R1826" s="23" t="s">
        <v>3679</v>
      </c>
      <c r="S1826" s="33">
        <v>0.2</v>
      </c>
      <c r="T1826" s="13">
        <v>40.68</v>
      </c>
      <c r="U1826" s="13">
        <v>-9.1530000000000005</v>
      </c>
      <c r="V1826" s="55">
        <f>IFERROR(Table12[[#This Row],[Profit]]/Table12[[#This Row],[Sales]],0)</f>
        <v>-0.22500000000000001</v>
      </c>
    </row>
    <row r="1827" spans="1:22" x14ac:dyDescent="0.2">
      <c r="A1827">
        <v>1826</v>
      </c>
      <c r="B1827" t="s">
        <v>3677</v>
      </c>
      <c r="C1827" s="1">
        <v>41988</v>
      </c>
      <c r="D1827" s="22">
        <f>MONTH(Table12[[#This Row],[Order Date]])</f>
        <v>12</v>
      </c>
      <c r="E1827" t="s">
        <v>2179</v>
      </c>
      <c r="F1827" t="s">
        <v>2180</v>
      </c>
      <c r="G1827" s="23" t="s">
        <v>28</v>
      </c>
      <c r="H1827" s="23" t="s">
        <v>32</v>
      </c>
      <c r="I1827" t="s">
        <v>3678</v>
      </c>
      <c r="J1827" s="23" t="s">
        <v>22</v>
      </c>
      <c r="K1827" s="22">
        <v>5</v>
      </c>
      <c r="L1827" s="1">
        <v>41991</v>
      </c>
      <c r="M1827" s="22">
        <f>Table12[[#This Row],[Ship Date]]-Table12[[#This Row],[Order Date]]</f>
        <v>3</v>
      </c>
      <c r="N1827" s="23" t="s">
        <v>169</v>
      </c>
      <c r="O1827" s="23" t="s">
        <v>23</v>
      </c>
      <c r="P1827" s="23" t="s">
        <v>94</v>
      </c>
      <c r="Q1827" s="23" t="s">
        <v>95</v>
      </c>
      <c r="R1827" s="23" t="s">
        <v>3679</v>
      </c>
      <c r="S1827" s="33">
        <v>0.3</v>
      </c>
      <c r="T1827" s="13">
        <v>763.28</v>
      </c>
      <c r="U1827" s="13">
        <v>-21.808</v>
      </c>
      <c r="V1827" s="55">
        <f>IFERROR(Table12[[#This Row],[Profit]]/Table12[[#This Row],[Sales]],0)</f>
        <v>-2.8571428571428571E-2</v>
      </c>
    </row>
    <row r="1828" spans="1:22" x14ac:dyDescent="0.2">
      <c r="A1828">
        <v>1827</v>
      </c>
      <c r="B1828" t="s">
        <v>7580</v>
      </c>
      <c r="C1828" s="1">
        <v>41988</v>
      </c>
      <c r="D1828" s="22">
        <f>MONTH(Table12[[#This Row],[Order Date]])</f>
        <v>12</v>
      </c>
      <c r="E1828" t="s">
        <v>5118</v>
      </c>
      <c r="F1828" t="s">
        <v>5119</v>
      </c>
      <c r="G1828" s="23" t="s">
        <v>28</v>
      </c>
      <c r="H1828" s="23" t="s">
        <v>58</v>
      </c>
      <c r="I1828" t="s">
        <v>926</v>
      </c>
      <c r="J1828" s="23" t="s">
        <v>22</v>
      </c>
      <c r="K1828" s="22">
        <v>2</v>
      </c>
      <c r="L1828" s="1">
        <v>41992</v>
      </c>
      <c r="M1828" s="22">
        <f>Table12[[#This Row],[Ship Date]]-Table12[[#This Row],[Order Date]]</f>
        <v>4</v>
      </c>
      <c r="N1828" s="23" t="s">
        <v>20</v>
      </c>
      <c r="O1828" s="23" t="s">
        <v>23</v>
      </c>
      <c r="P1828" s="23" t="s">
        <v>38</v>
      </c>
      <c r="Q1828" s="23" t="s">
        <v>39</v>
      </c>
      <c r="R1828" s="23" t="s">
        <v>836</v>
      </c>
      <c r="S1828" s="33">
        <v>0</v>
      </c>
      <c r="T1828" s="13">
        <v>6.16</v>
      </c>
      <c r="U1828" s="13">
        <v>1.9712000000000001</v>
      </c>
      <c r="V1828" s="55">
        <f>IFERROR(Table12[[#This Row],[Profit]]/Table12[[#This Row],[Sales]],0)</f>
        <v>0.32</v>
      </c>
    </row>
    <row r="1829" spans="1:22" x14ac:dyDescent="0.2">
      <c r="A1829">
        <v>1828</v>
      </c>
      <c r="B1829" t="s">
        <v>8461</v>
      </c>
      <c r="C1829" s="1">
        <v>41988</v>
      </c>
      <c r="D1829" s="22">
        <f>MONTH(Table12[[#This Row],[Order Date]])</f>
        <v>12</v>
      </c>
      <c r="E1829" t="s">
        <v>5394</v>
      </c>
      <c r="F1829" t="s">
        <v>5395</v>
      </c>
      <c r="G1829" s="23" t="s">
        <v>28</v>
      </c>
      <c r="H1829" s="23" t="s">
        <v>58</v>
      </c>
      <c r="I1829" t="s">
        <v>1024</v>
      </c>
      <c r="J1829" s="23" t="s">
        <v>36</v>
      </c>
      <c r="K1829" s="22">
        <v>2</v>
      </c>
      <c r="L1829" s="1">
        <v>41994</v>
      </c>
      <c r="M1829" s="22">
        <f>Table12[[#This Row],[Ship Date]]-Table12[[#This Row],[Order Date]]</f>
        <v>6</v>
      </c>
      <c r="N1829" s="23" t="s">
        <v>45</v>
      </c>
      <c r="O1829" s="23" t="s">
        <v>23</v>
      </c>
      <c r="P1829" s="23" t="s">
        <v>189</v>
      </c>
      <c r="Q1829" s="23" t="s">
        <v>95</v>
      </c>
      <c r="R1829" s="23" t="s">
        <v>271</v>
      </c>
      <c r="S1829" s="33">
        <v>0.6</v>
      </c>
      <c r="T1829" s="13">
        <v>8.5440000000000005</v>
      </c>
      <c r="U1829" s="13">
        <v>-7.476</v>
      </c>
      <c r="V1829" s="55">
        <f>IFERROR(Table12[[#This Row],[Profit]]/Table12[[#This Row],[Sales]],0)</f>
        <v>-0.875</v>
      </c>
    </row>
    <row r="1830" spans="1:22" x14ac:dyDescent="0.2">
      <c r="A1830">
        <v>1829</v>
      </c>
      <c r="B1830" t="s">
        <v>8724</v>
      </c>
      <c r="C1830" s="1">
        <v>41988</v>
      </c>
      <c r="D1830" s="22">
        <f>MONTH(Table12[[#This Row],[Order Date]])</f>
        <v>12</v>
      </c>
      <c r="E1830" t="s">
        <v>4287</v>
      </c>
      <c r="F1830" t="s">
        <v>4288</v>
      </c>
      <c r="G1830" s="23" t="s">
        <v>28</v>
      </c>
      <c r="H1830" s="23" t="s">
        <v>32</v>
      </c>
      <c r="I1830" t="s">
        <v>1394</v>
      </c>
      <c r="J1830" s="23" t="s">
        <v>36</v>
      </c>
      <c r="K1830" s="22">
        <v>7</v>
      </c>
      <c r="L1830" s="1">
        <v>41990</v>
      </c>
      <c r="M1830" s="22">
        <f>Table12[[#This Row],[Ship Date]]-Table12[[#This Row],[Order Date]]</f>
        <v>2</v>
      </c>
      <c r="N1830" s="23" t="s">
        <v>20</v>
      </c>
      <c r="O1830" s="23" t="s">
        <v>23</v>
      </c>
      <c r="P1830" s="23" t="s">
        <v>132</v>
      </c>
      <c r="Q1830" s="23" t="s">
        <v>133</v>
      </c>
      <c r="R1830" s="23" t="s">
        <v>131</v>
      </c>
      <c r="S1830" s="33">
        <v>0.3</v>
      </c>
      <c r="T1830" s="13">
        <v>445.80200000000002</v>
      </c>
      <c r="U1830" s="13">
        <v>-108.2662</v>
      </c>
      <c r="V1830" s="55">
        <f>IFERROR(Table12[[#This Row],[Profit]]/Table12[[#This Row],[Sales]],0)</f>
        <v>-0.24285714285714283</v>
      </c>
    </row>
    <row r="1831" spans="1:22" x14ac:dyDescent="0.2">
      <c r="A1831">
        <v>1830</v>
      </c>
      <c r="B1831" t="s">
        <v>5085</v>
      </c>
      <c r="C1831" s="1">
        <v>41989</v>
      </c>
      <c r="D1831" s="22">
        <f>MONTH(Table12[[#This Row],[Order Date]])</f>
        <v>12</v>
      </c>
      <c r="E1831" t="s">
        <v>3735</v>
      </c>
      <c r="F1831" t="s">
        <v>3736</v>
      </c>
      <c r="G1831" s="23" t="s">
        <v>41</v>
      </c>
      <c r="H1831" s="23" t="s">
        <v>68</v>
      </c>
      <c r="I1831" t="s">
        <v>5086</v>
      </c>
      <c r="J1831" s="23" t="s">
        <v>36</v>
      </c>
      <c r="K1831" s="22">
        <v>1</v>
      </c>
      <c r="L1831" s="1">
        <v>41994</v>
      </c>
      <c r="M1831" s="22">
        <f>Table12[[#This Row],[Ship Date]]-Table12[[#This Row],[Order Date]]</f>
        <v>5</v>
      </c>
      <c r="N1831" s="23" t="s">
        <v>45</v>
      </c>
      <c r="O1831" s="23" t="s">
        <v>23</v>
      </c>
      <c r="P1831" s="23" t="s">
        <v>48</v>
      </c>
      <c r="Q1831" s="23" t="s">
        <v>26</v>
      </c>
      <c r="R1831" s="23" t="s">
        <v>1345</v>
      </c>
      <c r="S1831" s="33">
        <v>0.7</v>
      </c>
      <c r="T1831" s="13">
        <v>1.167</v>
      </c>
      <c r="U1831" s="13">
        <v>-0.85580000000000001</v>
      </c>
      <c r="V1831" s="55">
        <f>IFERROR(Table12[[#This Row],[Profit]]/Table12[[#This Row],[Sales]],0)</f>
        <v>-0.73333333333333328</v>
      </c>
    </row>
    <row r="1832" spans="1:22" x14ac:dyDescent="0.2">
      <c r="A1832">
        <v>1831</v>
      </c>
      <c r="B1832" t="s">
        <v>5659</v>
      </c>
      <c r="C1832" s="1">
        <v>41989</v>
      </c>
      <c r="D1832" s="22">
        <f>MONTH(Table12[[#This Row],[Order Date]])</f>
        <v>12</v>
      </c>
      <c r="E1832" t="s">
        <v>2207</v>
      </c>
      <c r="F1832" t="s">
        <v>2208</v>
      </c>
      <c r="G1832" s="23" t="s">
        <v>28</v>
      </c>
      <c r="H1832" s="23" t="s">
        <v>58</v>
      </c>
      <c r="I1832" t="s">
        <v>2793</v>
      </c>
      <c r="J1832" s="23" t="s">
        <v>92</v>
      </c>
      <c r="K1832" s="22">
        <v>2</v>
      </c>
      <c r="L1832" s="1">
        <v>41990</v>
      </c>
      <c r="M1832" s="22">
        <f>Table12[[#This Row],[Ship Date]]-Table12[[#This Row],[Order Date]]</f>
        <v>1</v>
      </c>
      <c r="N1832" s="23" t="s">
        <v>169</v>
      </c>
      <c r="O1832" s="23" t="s">
        <v>23</v>
      </c>
      <c r="P1832" s="23" t="s">
        <v>38</v>
      </c>
      <c r="Q1832" s="23" t="s">
        <v>39</v>
      </c>
      <c r="R1832" s="23" t="s">
        <v>37</v>
      </c>
      <c r="S1832" s="33">
        <v>0</v>
      </c>
      <c r="T1832" s="13">
        <v>44.46</v>
      </c>
      <c r="U1832" s="13">
        <v>14.671799999999999</v>
      </c>
      <c r="V1832" s="55">
        <f>IFERROR(Table12[[#This Row],[Profit]]/Table12[[#This Row],[Sales]],0)</f>
        <v>0.32999999999999996</v>
      </c>
    </row>
    <row r="1833" spans="1:22" x14ac:dyDescent="0.2">
      <c r="A1833">
        <v>1832</v>
      </c>
      <c r="B1833" t="s">
        <v>5659</v>
      </c>
      <c r="C1833" s="1">
        <v>41989</v>
      </c>
      <c r="D1833" s="22">
        <f>MONTH(Table12[[#This Row],[Order Date]])</f>
        <v>12</v>
      </c>
      <c r="E1833" t="s">
        <v>1029</v>
      </c>
      <c r="F1833" t="s">
        <v>1030</v>
      </c>
      <c r="G1833" s="23" t="s">
        <v>28</v>
      </c>
      <c r="H1833" s="23" t="s">
        <v>32</v>
      </c>
      <c r="I1833" t="s">
        <v>2793</v>
      </c>
      <c r="J1833" s="23" t="s">
        <v>92</v>
      </c>
      <c r="K1833" s="22">
        <v>2</v>
      </c>
      <c r="L1833" s="1">
        <v>41990</v>
      </c>
      <c r="M1833" s="22">
        <f>Table12[[#This Row],[Ship Date]]-Table12[[#This Row],[Order Date]]</f>
        <v>1</v>
      </c>
      <c r="N1833" s="23" t="s">
        <v>169</v>
      </c>
      <c r="O1833" s="23" t="s">
        <v>23</v>
      </c>
      <c r="P1833" s="23" t="s">
        <v>38</v>
      </c>
      <c r="Q1833" s="23" t="s">
        <v>39</v>
      </c>
      <c r="R1833" s="23" t="s">
        <v>37</v>
      </c>
      <c r="S1833" s="33">
        <v>0.2</v>
      </c>
      <c r="T1833" s="13">
        <v>241.56800000000001</v>
      </c>
      <c r="U1833" s="13">
        <v>18.117599999999999</v>
      </c>
      <c r="V1833" s="55">
        <f>IFERROR(Table12[[#This Row],[Profit]]/Table12[[#This Row],[Sales]],0)</f>
        <v>7.4999999999999997E-2</v>
      </c>
    </row>
    <row r="1834" spans="1:22" x14ac:dyDescent="0.2">
      <c r="A1834">
        <v>1833</v>
      </c>
      <c r="B1834" t="s">
        <v>5659</v>
      </c>
      <c r="C1834" s="1">
        <v>41989</v>
      </c>
      <c r="D1834" s="22">
        <f>MONTH(Table12[[#This Row],[Order Date]])</f>
        <v>12</v>
      </c>
      <c r="E1834" t="s">
        <v>1889</v>
      </c>
      <c r="F1834" t="s">
        <v>1890</v>
      </c>
      <c r="G1834" s="23" t="s">
        <v>64</v>
      </c>
      <c r="H1834" s="23" t="s">
        <v>144</v>
      </c>
      <c r="I1834" t="s">
        <v>2793</v>
      </c>
      <c r="J1834" s="23" t="s">
        <v>92</v>
      </c>
      <c r="K1834" s="22">
        <v>5</v>
      </c>
      <c r="L1834" s="1">
        <v>41990</v>
      </c>
      <c r="M1834" s="22">
        <f>Table12[[#This Row],[Ship Date]]-Table12[[#This Row],[Order Date]]</f>
        <v>1</v>
      </c>
      <c r="N1834" s="23" t="s">
        <v>169</v>
      </c>
      <c r="O1834" s="23" t="s">
        <v>23</v>
      </c>
      <c r="P1834" s="23" t="s">
        <v>38</v>
      </c>
      <c r="Q1834" s="23" t="s">
        <v>39</v>
      </c>
      <c r="R1834" s="23" t="s">
        <v>37</v>
      </c>
      <c r="S1834" s="33">
        <v>0</v>
      </c>
      <c r="T1834" s="13">
        <v>395</v>
      </c>
      <c r="U1834" s="13">
        <v>39.5</v>
      </c>
      <c r="V1834" s="55">
        <f>IFERROR(Table12[[#This Row],[Profit]]/Table12[[#This Row],[Sales]],0)</f>
        <v>0.1</v>
      </c>
    </row>
    <row r="1835" spans="1:22" x14ac:dyDescent="0.2">
      <c r="A1835">
        <v>1834</v>
      </c>
      <c r="B1835" t="s">
        <v>5659</v>
      </c>
      <c r="C1835" s="1">
        <v>41989</v>
      </c>
      <c r="D1835" s="22">
        <f>MONTH(Table12[[#This Row],[Order Date]])</f>
        <v>12</v>
      </c>
      <c r="E1835" t="s">
        <v>172</v>
      </c>
      <c r="F1835" t="s">
        <v>173</v>
      </c>
      <c r="G1835" s="23" t="s">
        <v>64</v>
      </c>
      <c r="H1835" s="23" t="s">
        <v>65</v>
      </c>
      <c r="I1835" t="s">
        <v>2793</v>
      </c>
      <c r="J1835" s="23" t="s">
        <v>92</v>
      </c>
      <c r="K1835" s="22">
        <v>4</v>
      </c>
      <c r="L1835" s="1">
        <v>41990</v>
      </c>
      <c r="M1835" s="22">
        <f>Table12[[#This Row],[Ship Date]]-Table12[[#This Row],[Order Date]]</f>
        <v>1</v>
      </c>
      <c r="N1835" s="23" t="s">
        <v>169</v>
      </c>
      <c r="O1835" s="23" t="s">
        <v>23</v>
      </c>
      <c r="P1835" s="23" t="s">
        <v>38</v>
      </c>
      <c r="Q1835" s="23" t="s">
        <v>39</v>
      </c>
      <c r="R1835" s="23" t="s">
        <v>37</v>
      </c>
      <c r="S1835" s="33">
        <v>0.2</v>
      </c>
      <c r="T1835" s="13">
        <v>627.16800000000001</v>
      </c>
      <c r="U1835" s="13">
        <v>70.556399999999996</v>
      </c>
      <c r="V1835" s="55">
        <f>IFERROR(Table12[[#This Row],[Profit]]/Table12[[#This Row],[Sales]],0)</f>
        <v>0.11249999999999999</v>
      </c>
    </row>
    <row r="1836" spans="1:22" x14ac:dyDescent="0.2">
      <c r="A1836">
        <v>1835</v>
      </c>
      <c r="B1836" t="s">
        <v>6199</v>
      </c>
      <c r="C1836" s="1">
        <v>41989</v>
      </c>
      <c r="D1836" s="22">
        <f>MONTH(Table12[[#This Row],[Order Date]])</f>
        <v>12</v>
      </c>
      <c r="E1836" t="s">
        <v>4082</v>
      </c>
      <c r="F1836" t="s">
        <v>4083</v>
      </c>
      <c r="G1836" s="23" t="s">
        <v>28</v>
      </c>
      <c r="H1836" s="23" t="s">
        <v>32</v>
      </c>
      <c r="I1836" t="s">
        <v>122</v>
      </c>
      <c r="J1836" s="23" t="s">
        <v>36</v>
      </c>
      <c r="K1836" s="22">
        <v>9</v>
      </c>
      <c r="L1836" s="1">
        <v>41993</v>
      </c>
      <c r="M1836" s="22">
        <f>Table12[[#This Row],[Ship Date]]-Table12[[#This Row],[Order Date]]</f>
        <v>4</v>
      </c>
      <c r="N1836" s="23" t="s">
        <v>20</v>
      </c>
      <c r="O1836" s="23" t="s">
        <v>23</v>
      </c>
      <c r="P1836" s="23" t="s">
        <v>48</v>
      </c>
      <c r="Q1836" s="23" t="s">
        <v>26</v>
      </c>
      <c r="R1836" s="23" t="s">
        <v>2050</v>
      </c>
      <c r="S1836" s="33">
        <v>0.2</v>
      </c>
      <c r="T1836" s="13">
        <v>1013.832</v>
      </c>
      <c r="U1836" s="13">
        <v>101.3832</v>
      </c>
      <c r="V1836" s="55">
        <f>IFERROR(Table12[[#This Row],[Profit]]/Table12[[#This Row],[Sales]],0)</f>
        <v>0.1</v>
      </c>
    </row>
    <row r="1837" spans="1:22" x14ac:dyDescent="0.2">
      <c r="A1837">
        <v>1836</v>
      </c>
      <c r="B1837" t="s">
        <v>6199</v>
      </c>
      <c r="C1837" s="1">
        <v>41989</v>
      </c>
      <c r="D1837" s="22">
        <f>MONTH(Table12[[#This Row],[Order Date]])</f>
        <v>12</v>
      </c>
      <c r="E1837" t="s">
        <v>1087</v>
      </c>
      <c r="F1837" t="s">
        <v>1088</v>
      </c>
      <c r="G1837" s="23" t="s">
        <v>41</v>
      </c>
      <c r="H1837" s="23" t="s">
        <v>240</v>
      </c>
      <c r="I1837" t="s">
        <v>122</v>
      </c>
      <c r="J1837" s="23" t="s">
        <v>36</v>
      </c>
      <c r="K1837" s="22">
        <v>2</v>
      </c>
      <c r="L1837" s="1">
        <v>41993</v>
      </c>
      <c r="M1837" s="22">
        <f>Table12[[#This Row],[Ship Date]]-Table12[[#This Row],[Order Date]]</f>
        <v>4</v>
      </c>
      <c r="N1837" s="23" t="s">
        <v>20</v>
      </c>
      <c r="O1837" s="23" t="s">
        <v>23</v>
      </c>
      <c r="P1837" s="23" t="s">
        <v>48</v>
      </c>
      <c r="Q1837" s="23" t="s">
        <v>26</v>
      </c>
      <c r="R1837" s="23" t="s">
        <v>2050</v>
      </c>
      <c r="S1837" s="33">
        <v>0.2</v>
      </c>
      <c r="T1837" s="13">
        <v>1.984</v>
      </c>
      <c r="U1837" s="13">
        <v>0.66959999999999997</v>
      </c>
      <c r="V1837" s="55">
        <f>IFERROR(Table12[[#This Row],[Profit]]/Table12[[#This Row],[Sales]],0)</f>
        <v>0.33749999999999997</v>
      </c>
    </row>
    <row r="1838" spans="1:22" x14ac:dyDescent="0.2">
      <c r="A1838">
        <v>1837</v>
      </c>
      <c r="B1838" t="s">
        <v>6965</v>
      </c>
      <c r="C1838" s="1">
        <v>41989</v>
      </c>
      <c r="D1838" s="22">
        <f>MONTH(Table12[[#This Row],[Order Date]])</f>
        <v>12</v>
      </c>
      <c r="E1838" t="s">
        <v>2811</v>
      </c>
      <c r="F1838" t="s">
        <v>2812</v>
      </c>
      <c r="G1838" s="23" t="s">
        <v>41</v>
      </c>
      <c r="H1838" s="23" t="s">
        <v>82</v>
      </c>
      <c r="I1838" t="s">
        <v>6228</v>
      </c>
      <c r="J1838" s="23" t="s">
        <v>22</v>
      </c>
      <c r="K1838" s="22">
        <v>7</v>
      </c>
      <c r="L1838" s="1">
        <v>41994</v>
      </c>
      <c r="M1838" s="22">
        <f>Table12[[#This Row],[Ship Date]]-Table12[[#This Row],[Order Date]]</f>
        <v>5</v>
      </c>
      <c r="N1838" s="23" t="s">
        <v>45</v>
      </c>
      <c r="O1838" s="23" t="s">
        <v>23</v>
      </c>
      <c r="P1838" s="23" t="s">
        <v>94</v>
      </c>
      <c r="Q1838" s="23" t="s">
        <v>95</v>
      </c>
      <c r="R1838" s="23" t="s">
        <v>1488</v>
      </c>
      <c r="S1838" s="33">
        <v>0.2</v>
      </c>
      <c r="T1838" s="13">
        <v>36.287999999999997</v>
      </c>
      <c r="U1838" s="13">
        <v>12.700799999999999</v>
      </c>
      <c r="V1838" s="55">
        <f>IFERROR(Table12[[#This Row],[Profit]]/Table12[[#This Row],[Sales]],0)</f>
        <v>0.35000000000000003</v>
      </c>
    </row>
    <row r="1839" spans="1:22" x14ac:dyDescent="0.2">
      <c r="A1839">
        <v>1838</v>
      </c>
      <c r="B1839" t="s">
        <v>6965</v>
      </c>
      <c r="C1839" s="1">
        <v>41989</v>
      </c>
      <c r="D1839" s="22">
        <f>MONTH(Table12[[#This Row],[Order Date]])</f>
        <v>12</v>
      </c>
      <c r="E1839" t="s">
        <v>5452</v>
      </c>
      <c r="F1839" t="s">
        <v>5453</v>
      </c>
      <c r="G1839" s="23" t="s">
        <v>28</v>
      </c>
      <c r="H1839" s="23" t="s">
        <v>58</v>
      </c>
      <c r="I1839" t="s">
        <v>6228</v>
      </c>
      <c r="J1839" s="23" t="s">
        <v>22</v>
      </c>
      <c r="K1839" s="22">
        <v>2</v>
      </c>
      <c r="L1839" s="1">
        <v>41994</v>
      </c>
      <c r="M1839" s="22">
        <f>Table12[[#This Row],[Ship Date]]-Table12[[#This Row],[Order Date]]</f>
        <v>5</v>
      </c>
      <c r="N1839" s="23" t="s">
        <v>45</v>
      </c>
      <c r="O1839" s="23" t="s">
        <v>23</v>
      </c>
      <c r="P1839" s="23" t="s">
        <v>94</v>
      </c>
      <c r="Q1839" s="23" t="s">
        <v>95</v>
      </c>
      <c r="R1839" s="23" t="s">
        <v>1488</v>
      </c>
      <c r="S1839" s="33">
        <v>0.6</v>
      </c>
      <c r="T1839" s="13">
        <v>56.567999999999998</v>
      </c>
      <c r="U1839" s="13">
        <v>-74.952600000000004</v>
      </c>
      <c r="V1839" s="55">
        <f>IFERROR(Table12[[#This Row],[Profit]]/Table12[[#This Row],[Sales]],0)</f>
        <v>-1.3250000000000002</v>
      </c>
    </row>
    <row r="1840" spans="1:22" x14ac:dyDescent="0.2">
      <c r="A1840">
        <v>1839</v>
      </c>
      <c r="B1840" t="s">
        <v>7094</v>
      </c>
      <c r="C1840" s="1">
        <v>41989</v>
      </c>
      <c r="D1840" s="22">
        <f>MONTH(Table12[[#This Row],[Order Date]])</f>
        <v>12</v>
      </c>
      <c r="E1840" t="s">
        <v>4023</v>
      </c>
      <c r="F1840" t="s">
        <v>4024</v>
      </c>
      <c r="G1840" s="23" t="s">
        <v>41</v>
      </c>
      <c r="H1840" s="23" t="s">
        <v>82</v>
      </c>
      <c r="I1840" t="s">
        <v>2049</v>
      </c>
      <c r="J1840" s="23" t="s">
        <v>36</v>
      </c>
      <c r="K1840" s="22">
        <v>5</v>
      </c>
      <c r="L1840" s="1">
        <v>41993</v>
      </c>
      <c r="M1840" s="22">
        <f>Table12[[#This Row],[Ship Date]]-Table12[[#This Row],[Order Date]]</f>
        <v>4</v>
      </c>
      <c r="N1840" s="23" t="s">
        <v>45</v>
      </c>
      <c r="O1840" s="23" t="s">
        <v>23</v>
      </c>
      <c r="P1840" s="23" t="s">
        <v>212</v>
      </c>
      <c r="Q1840" s="23" t="s">
        <v>95</v>
      </c>
      <c r="R1840" s="23" t="s">
        <v>775</v>
      </c>
      <c r="S1840" s="33">
        <v>0</v>
      </c>
      <c r="T1840" s="13">
        <v>114.2</v>
      </c>
      <c r="U1840" s="13">
        <v>52.531999999999996</v>
      </c>
      <c r="V1840" s="55">
        <f>IFERROR(Table12[[#This Row],[Profit]]/Table12[[#This Row],[Sales]],0)</f>
        <v>0.45999999999999996</v>
      </c>
    </row>
    <row r="1841" spans="1:22" x14ac:dyDescent="0.2">
      <c r="A1841">
        <v>1840</v>
      </c>
      <c r="B1841" t="s">
        <v>8397</v>
      </c>
      <c r="C1841" s="1">
        <v>41989</v>
      </c>
      <c r="D1841" s="22">
        <f>MONTH(Table12[[#This Row],[Order Date]])</f>
        <v>12</v>
      </c>
      <c r="E1841" t="s">
        <v>3992</v>
      </c>
      <c r="F1841" t="s">
        <v>3993</v>
      </c>
      <c r="G1841" s="23" t="s">
        <v>28</v>
      </c>
      <c r="H1841" s="23" t="s">
        <v>32</v>
      </c>
      <c r="I1841" t="s">
        <v>6634</v>
      </c>
      <c r="J1841" s="23" t="s">
        <v>36</v>
      </c>
      <c r="K1841" s="22">
        <v>5</v>
      </c>
      <c r="L1841" s="1">
        <v>41994</v>
      </c>
      <c r="M1841" s="22">
        <f>Table12[[#This Row],[Ship Date]]-Table12[[#This Row],[Order Date]]</f>
        <v>5</v>
      </c>
      <c r="N1841" s="23" t="s">
        <v>45</v>
      </c>
      <c r="O1841" s="23" t="s">
        <v>23</v>
      </c>
      <c r="P1841" s="23" t="s">
        <v>38</v>
      </c>
      <c r="Q1841" s="23" t="s">
        <v>39</v>
      </c>
      <c r="R1841" s="23" t="s">
        <v>4790</v>
      </c>
      <c r="S1841" s="33">
        <v>0.2</v>
      </c>
      <c r="T1841" s="13">
        <v>1403.92</v>
      </c>
      <c r="U1841" s="13">
        <v>70.195999999999998</v>
      </c>
      <c r="V1841" s="55">
        <f>IFERROR(Table12[[#This Row],[Profit]]/Table12[[#This Row],[Sales]],0)</f>
        <v>4.9999999999999996E-2</v>
      </c>
    </row>
    <row r="1842" spans="1:22" x14ac:dyDescent="0.2">
      <c r="A1842">
        <v>1841</v>
      </c>
      <c r="B1842" t="s">
        <v>9591</v>
      </c>
      <c r="C1842" s="1">
        <v>41989</v>
      </c>
      <c r="D1842" s="22">
        <f>MONTH(Table12[[#This Row],[Order Date]])</f>
        <v>12</v>
      </c>
      <c r="E1842" t="s">
        <v>3312</v>
      </c>
      <c r="F1842" t="s">
        <v>3313</v>
      </c>
      <c r="G1842" s="23" t="s">
        <v>64</v>
      </c>
      <c r="H1842" s="23" t="s">
        <v>144</v>
      </c>
      <c r="I1842" t="s">
        <v>726</v>
      </c>
      <c r="J1842" s="23" t="s">
        <v>22</v>
      </c>
      <c r="K1842" s="22">
        <v>2</v>
      </c>
      <c r="L1842" s="1">
        <v>41991</v>
      </c>
      <c r="M1842" s="22">
        <f>Table12[[#This Row],[Ship Date]]-Table12[[#This Row],[Order Date]]</f>
        <v>2</v>
      </c>
      <c r="N1842" s="23" t="s">
        <v>20</v>
      </c>
      <c r="O1842" s="23" t="s">
        <v>23</v>
      </c>
      <c r="P1842" s="23" t="s">
        <v>285</v>
      </c>
      <c r="Q1842" s="23" t="s">
        <v>26</v>
      </c>
      <c r="R1842" s="23" t="s">
        <v>284</v>
      </c>
      <c r="S1842" s="33">
        <v>0</v>
      </c>
      <c r="T1842" s="13">
        <v>99.98</v>
      </c>
      <c r="U1842" s="13">
        <v>7.9984000000000002</v>
      </c>
      <c r="V1842" s="55">
        <f>IFERROR(Table12[[#This Row],[Profit]]/Table12[[#This Row],[Sales]],0)</f>
        <v>0.08</v>
      </c>
    </row>
    <row r="1843" spans="1:22" x14ac:dyDescent="0.2">
      <c r="A1843">
        <v>1842</v>
      </c>
      <c r="B1843" t="s">
        <v>9591</v>
      </c>
      <c r="C1843" s="1">
        <v>41989</v>
      </c>
      <c r="D1843" s="22">
        <f>MONTH(Table12[[#This Row],[Order Date]])</f>
        <v>12</v>
      </c>
      <c r="E1843" t="s">
        <v>3007</v>
      </c>
      <c r="F1843" t="s">
        <v>3008</v>
      </c>
      <c r="G1843" s="23" t="s">
        <v>28</v>
      </c>
      <c r="H1843" s="23" t="s">
        <v>58</v>
      </c>
      <c r="I1843" t="s">
        <v>726</v>
      </c>
      <c r="J1843" s="23" t="s">
        <v>22</v>
      </c>
      <c r="K1843" s="22">
        <v>6</v>
      </c>
      <c r="L1843" s="1">
        <v>41991</v>
      </c>
      <c r="M1843" s="22">
        <f>Table12[[#This Row],[Ship Date]]-Table12[[#This Row],[Order Date]]</f>
        <v>2</v>
      </c>
      <c r="N1843" s="23" t="s">
        <v>20</v>
      </c>
      <c r="O1843" s="23" t="s">
        <v>23</v>
      </c>
      <c r="P1843" s="23" t="s">
        <v>285</v>
      </c>
      <c r="Q1843" s="23" t="s">
        <v>26</v>
      </c>
      <c r="R1843" s="23" t="s">
        <v>284</v>
      </c>
      <c r="S1843" s="33">
        <v>0</v>
      </c>
      <c r="T1843" s="13">
        <v>29.46</v>
      </c>
      <c r="U1843" s="13">
        <v>9.7218</v>
      </c>
      <c r="V1843" s="55">
        <f>IFERROR(Table12[[#This Row],[Profit]]/Table12[[#This Row],[Sales]],0)</f>
        <v>0.33</v>
      </c>
    </row>
    <row r="1844" spans="1:22" x14ac:dyDescent="0.2">
      <c r="A1844">
        <v>1843</v>
      </c>
      <c r="B1844" t="s">
        <v>10065</v>
      </c>
      <c r="C1844" s="1">
        <v>41989</v>
      </c>
      <c r="D1844" s="22">
        <f>MONTH(Table12[[#This Row],[Order Date]])</f>
        <v>12</v>
      </c>
      <c r="E1844" t="s">
        <v>4865</v>
      </c>
      <c r="F1844" t="s">
        <v>4866</v>
      </c>
      <c r="G1844" s="23" t="s">
        <v>64</v>
      </c>
      <c r="H1844" s="23" t="s">
        <v>144</v>
      </c>
      <c r="I1844" t="s">
        <v>1871</v>
      </c>
      <c r="J1844" s="23" t="s">
        <v>22</v>
      </c>
      <c r="K1844" s="22">
        <v>4</v>
      </c>
      <c r="L1844" s="1">
        <v>41991</v>
      </c>
      <c r="M1844" s="22">
        <f>Table12[[#This Row],[Ship Date]]-Table12[[#This Row],[Order Date]]</f>
        <v>2</v>
      </c>
      <c r="N1844" s="23" t="s">
        <v>20</v>
      </c>
      <c r="O1844" s="23" t="s">
        <v>23</v>
      </c>
      <c r="P1844" s="23" t="s">
        <v>94</v>
      </c>
      <c r="Q1844" s="23" t="s">
        <v>95</v>
      </c>
      <c r="R1844" s="23" t="s">
        <v>8371</v>
      </c>
      <c r="S1844" s="33">
        <v>0.2</v>
      </c>
      <c r="T1844" s="13">
        <v>319.96800000000002</v>
      </c>
      <c r="U1844" s="13">
        <v>95.990399999999994</v>
      </c>
      <c r="V1844" s="55">
        <f>IFERROR(Table12[[#This Row],[Profit]]/Table12[[#This Row],[Sales]],0)</f>
        <v>0.3</v>
      </c>
    </row>
    <row r="1845" spans="1:22" x14ac:dyDescent="0.2">
      <c r="A1845">
        <v>1844</v>
      </c>
      <c r="B1845" t="s">
        <v>10065</v>
      </c>
      <c r="C1845" s="1">
        <v>41989</v>
      </c>
      <c r="D1845" s="22">
        <f>MONTH(Table12[[#This Row],[Order Date]])</f>
        <v>12</v>
      </c>
      <c r="E1845" t="s">
        <v>231</v>
      </c>
      <c r="F1845" t="s">
        <v>232</v>
      </c>
      <c r="G1845" s="23" t="s">
        <v>28</v>
      </c>
      <c r="H1845" s="23" t="s">
        <v>58</v>
      </c>
      <c r="I1845" t="s">
        <v>1871</v>
      </c>
      <c r="J1845" s="23" t="s">
        <v>22</v>
      </c>
      <c r="K1845" s="22">
        <v>7</v>
      </c>
      <c r="L1845" s="1">
        <v>41991</v>
      </c>
      <c r="M1845" s="22">
        <f>Table12[[#This Row],[Ship Date]]-Table12[[#This Row],[Order Date]]</f>
        <v>2</v>
      </c>
      <c r="N1845" s="23" t="s">
        <v>20</v>
      </c>
      <c r="O1845" s="23" t="s">
        <v>23</v>
      </c>
      <c r="P1845" s="23" t="s">
        <v>94</v>
      </c>
      <c r="Q1845" s="23" t="s">
        <v>95</v>
      </c>
      <c r="R1845" s="23" t="s">
        <v>8371</v>
      </c>
      <c r="S1845" s="33">
        <v>0.6</v>
      </c>
      <c r="T1845" s="13">
        <v>8.6240000000000006</v>
      </c>
      <c r="U1845" s="13">
        <v>-2.5872000000000002</v>
      </c>
      <c r="V1845" s="55">
        <f>IFERROR(Table12[[#This Row],[Profit]]/Table12[[#This Row],[Sales]],0)</f>
        <v>-0.3</v>
      </c>
    </row>
    <row r="1846" spans="1:22" x14ac:dyDescent="0.2">
      <c r="A1846">
        <v>1845</v>
      </c>
      <c r="B1846" t="s">
        <v>3536</v>
      </c>
      <c r="C1846" s="1">
        <v>41990</v>
      </c>
      <c r="D1846" s="22">
        <f>MONTH(Table12[[#This Row],[Order Date]])</f>
        <v>12</v>
      </c>
      <c r="E1846" t="s">
        <v>2822</v>
      </c>
      <c r="F1846" t="s">
        <v>2823</v>
      </c>
      <c r="G1846" s="23" t="s">
        <v>41</v>
      </c>
      <c r="H1846" s="23" t="s">
        <v>61</v>
      </c>
      <c r="I1846" t="s">
        <v>1260</v>
      </c>
      <c r="J1846" s="23" t="s">
        <v>22</v>
      </c>
      <c r="K1846" s="22">
        <v>3</v>
      </c>
      <c r="L1846" s="1">
        <v>41992</v>
      </c>
      <c r="M1846" s="22">
        <f>Table12[[#This Row],[Ship Date]]-Table12[[#This Row],[Order Date]]</f>
        <v>2</v>
      </c>
      <c r="N1846" s="23" t="s">
        <v>20</v>
      </c>
      <c r="O1846" s="23" t="s">
        <v>23</v>
      </c>
      <c r="P1846" s="23" t="s">
        <v>1125</v>
      </c>
      <c r="Q1846" s="23" t="s">
        <v>26</v>
      </c>
      <c r="R1846" s="23" t="s">
        <v>440</v>
      </c>
      <c r="S1846" s="33">
        <v>0</v>
      </c>
      <c r="T1846" s="13">
        <v>40.049999999999997</v>
      </c>
      <c r="U1846" s="13">
        <v>11.214</v>
      </c>
      <c r="V1846" s="55">
        <f>IFERROR(Table12[[#This Row],[Profit]]/Table12[[#This Row],[Sales]],0)</f>
        <v>0.28000000000000003</v>
      </c>
    </row>
    <row r="1847" spans="1:22" x14ac:dyDescent="0.2">
      <c r="A1847">
        <v>1846</v>
      </c>
      <c r="B1847" t="s">
        <v>6746</v>
      </c>
      <c r="C1847" s="1">
        <v>41990</v>
      </c>
      <c r="D1847" s="22">
        <f>MONTH(Table12[[#This Row],[Order Date]])</f>
        <v>12</v>
      </c>
      <c r="E1847" t="s">
        <v>4268</v>
      </c>
      <c r="F1847" t="s">
        <v>4269</v>
      </c>
      <c r="G1847" s="23" t="s">
        <v>41</v>
      </c>
      <c r="H1847" s="23" t="s">
        <v>68</v>
      </c>
      <c r="I1847" t="s">
        <v>5639</v>
      </c>
      <c r="J1847" s="23" t="s">
        <v>22</v>
      </c>
      <c r="K1847" s="22">
        <v>4</v>
      </c>
      <c r="L1847" s="1">
        <v>41997</v>
      </c>
      <c r="M1847" s="22">
        <f>Table12[[#This Row],[Ship Date]]-Table12[[#This Row],[Order Date]]</f>
        <v>7</v>
      </c>
      <c r="N1847" s="23" t="s">
        <v>45</v>
      </c>
      <c r="O1847" s="23" t="s">
        <v>23</v>
      </c>
      <c r="P1847" s="23" t="s">
        <v>441</v>
      </c>
      <c r="Q1847" s="23" t="s">
        <v>133</v>
      </c>
      <c r="R1847" s="23" t="s">
        <v>440</v>
      </c>
      <c r="S1847" s="33">
        <v>0.7</v>
      </c>
      <c r="T1847" s="13">
        <v>5.484</v>
      </c>
      <c r="U1847" s="13">
        <v>-4.0216000000000003</v>
      </c>
      <c r="V1847" s="55">
        <f>IFERROR(Table12[[#This Row],[Profit]]/Table12[[#This Row],[Sales]],0)</f>
        <v>-0.73333333333333339</v>
      </c>
    </row>
    <row r="1848" spans="1:22" x14ac:dyDescent="0.2">
      <c r="A1848">
        <v>1847</v>
      </c>
      <c r="B1848" t="s">
        <v>1343</v>
      </c>
      <c r="C1848" s="1">
        <v>41992</v>
      </c>
      <c r="D1848" s="22">
        <f>MONTH(Table12[[#This Row],[Order Date]])</f>
        <v>12</v>
      </c>
      <c r="E1848" t="s">
        <v>1346</v>
      </c>
      <c r="F1848" t="s">
        <v>1347</v>
      </c>
      <c r="G1848" s="23" t="s">
        <v>41</v>
      </c>
      <c r="H1848" s="23" t="s">
        <v>68</v>
      </c>
      <c r="I1848" t="s">
        <v>1344</v>
      </c>
      <c r="J1848" s="23" t="s">
        <v>22</v>
      </c>
      <c r="K1848" s="22">
        <v>2</v>
      </c>
      <c r="L1848" s="1">
        <v>41998</v>
      </c>
      <c r="M1848" s="22">
        <f>Table12[[#This Row],[Ship Date]]-Table12[[#This Row],[Order Date]]</f>
        <v>6</v>
      </c>
      <c r="N1848" s="23" t="s">
        <v>45</v>
      </c>
      <c r="O1848" s="23" t="s">
        <v>23</v>
      </c>
      <c r="P1848" s="23" t="s">
        <v>48</v>
      </c>
      <c r="Q1848" s="23" t="s">
        <v>26</v>
      </c>
      <c r="R1848" s="23" t="s">
        <v>1345</v>
      </c>
      <c r="S1848" s="33">
        <v>0.7</v>
      </c>
      <c r="T1848" s="13">
        <v>4.8120000000000003</v>
      </c>
      <c r="U1848" s="13">
        <v>-3.6892</v>
      </c>
      <c r="V1848" s="55">
        <f>IFERROR(Table12[[#This Row],[Profit]]/Table12[[#This Row],[Sales]],0)</f>
        <v>-0.76666666666666661</v>
      </c>
    </row>
    <row r="1849" spans="1:22" x14ac:dyDescent="0.2">
      <c r="A1849">
        <v>1848</v>
      </c>
      <c r="B1849" t="s">
        <v>1343</v>
      </c>
      <c r="C1849" s="1">
        <v>41992</v>
      </c>
      <c r="D1849" s="22">
        <f>MONTH(Table12[[#This Row],[Order Date]])</f>
        <v>12</v>
      </c>
      <c r="E1849" t="s">
        <v>1348</v>
      </c>
      <c r="F1849" t="s">
        <v>1349</v>
      </c>
      <c r="G1849" s="23" t="s">
        <v>64</v>
      </c>
      <c r="H1849" s="23" t="s">
        <v>144</v>
      </c>
      <c r="I1849" t="s">
        <v>1344</v>
      </c>
      <c r="J1849" s="23" t="s">
        <v>22</v>
      </c>
      <c r="K1849" s="22">
        <v>5</v>
      </c>
      <c r="L1849" s="1">
        <v>41998</v>
      </c>
      <c r="M1849" s="22">
        <f>Table12[[#This Row],[Ship Date]]-Table12[[#This Row],[Order Date]]</f>
        <v>6</v>
      </c>
      <c r="N1849" s="23" t="s">
        <v>45</v>
      </c>
      <c r="O1849" s="23" t="s">
        <v>23</v>
      </c>
      <c r="P1849" s="23" t="s">
        <v>48</v>
      </c>
      <c r="Q1849" s="23" t="s">
        <v>26</v>
      </c>
      <c r="R1849" s="23" t="s">
        <v>1345</v>
      </c>
      <c r="S1849" s="33">
        <v>0.2</v>
      </c>
      <c r="T1849" s="13">
        <v>247.8</v>
      </c>
      <c r="U1849" s="13">
        <v>-18.585000000000001</v>
      </c>
      <c r="V1849" s="55">
        <f>IFERROR(Table12[[#This Row],[Profit]]/Table12[[#This Row],[Sales]],0)</f>
        <v>-7.4999999999999997E-2</v>
      </c>
    </row>
    <row r="1850" spans="1:22" x14ac:dyDescent="0.2">
      <c r="A1850">
        <v>1849</v>
      </c>
      <c r="B1850" t="s">
        <v>3406</v>
      </c>
      <c r="C1850" s="1">
        <v>41992</v>
      </c>
      <c r="D1850" s="22">
        <f>MONTH(Table12[[#This Row],[Order Date]])</f>
        <v>12</v>
      </c>
      <c r="E1850" t="s">
        <v>3407</v>
      </c>
      <c r="F1850" t="s">
        <v>3408</v>
      </c>
      <c r="G1850" s="23" t="s">
        <v>41</v>
      </c>
      <c r="H1850" s="23" t="s">
        <v>68</v>
      </c>
      <c r="I1850" t="s">
        <v>85</v>
      </c>
      <c r="J1850" s="23" t="s">
        <v>22</v>
      </c>
      <c r="K1850" s="22">
        <v>6</v>
      </c>
      <c r="L1850" s="1">
        <v>41994</v>
      </c>
      <c r="M1850" s="22">
        <f>Table12[[#This Row],[Ship Date]]-Table12[[#This Row],[Order Date]]</f>
        <v>2</v>
      </c>
      <c r="N1850" s="23" t="s">
        <v>20</v>
      </c>
      <c r="O1850" s="23" t="s">
        <v>23</v>
      </c>
      <c r="P1850" s="23" t="s">
        <v>320</v>
      </c>
      <c r="Q1850" s="23" t="s">
        <v>26</v>
      </c>
      <c r="R1850" s="23" t="s">
        <v>2271</v>
      </c>
      <c r="S1850" s="33">
        <v>0</v>
      </c>
      <c r="T1850" s="13">
        <v>152.76</v>
      </c>
      <c r="U1850" s="13">
        <v>74.852400000000003</v>
      </c>
      <c r="V1850" s="55">
        <f>IFERROR(Table12[[#This Row],[Profit]]/Table12[[#This Row],[Sales]],0)</f>
        <v>0.49000000000000005</v>
      </c>
    </row>
    <row r="1851" spans="1:22" x14ac:dyDescent="0.2">
      <c r="A1851">
        <v>1850</v>
      </c>
      <c r="B1851" t="s">
        <v>3406</v>
      </c>
      <c r="C1851" s="1">
        <v>41992</v>
      </c>
      <c r="D1851" s="22">
        <f>MONTH(Table12[[#This Row],[Order Date]])</f>
        <v>12</v>
      </c>
      <c r="E1851" t="s">
        <v>1764</v>
      </c>
      <c r="F1851" t="s">
        <v>1765</v>
      </c>
      <c r="G1851" s="23" t="s">
        <v>41</v>
      </c>
      <c r="H1851" s="23" t="s">
        <v>513</v>
      </c>
      <c r="I1851" t="s">
        <v>85</v>
      </c>
      <c r="J1851" s="23" t="s">
        <v>22</v>
      </c>
      <c r="K1851" s="22">
        <v>1</v>
      </c>
      <c r="L1851" s="1">
        <v>41994</v>
      </c>
      <c r="M1851" s="22">
        <f>Table12[[#This Row],[Ship Date]]-Table12[[#This Row],[Order Date]]</f>
        <v>2</v>
      </c>
      <c r="N1851" s="23" t="s">
        <v>20</v>
      </c>
      <c r="O1851" s="23" t="s">
        <v>23</v>
      </c>
      <c r="P1851" s="23" t="s">
        <v>320</v>
      </c>
      <c r="Q1851" s="23" t="s">
        <v>26</v>
      </c>
      <c r="R1851" s="23" t="s">
        <v>2271</v>
      </c>
      <c r="S1851" s="33">
        <v>0</v>
      </c>
      <c r="T1851" s="13">
        <v>7.27</v>
      </c>
      <c r="U1851" s="13">
        <v>1.9629000000000001</v>
      </c>
      <c r="V1851" s="55">
        <f>IFERROR(Table12[[#This Row],[Profit]]/Table12[[#This Row],[Sales]],0)</f>
        <v>0.27</v>
      </c>
    </row>
    <row r="1852" spans="1:22" x14ac:dyDescent="0.2">
      <c r="A1852">
        <v>1851</v>
      </c>
      <c r="B1852" t="s">
        <v>3406</v>
      </c>
      <c r="C1852" s="1">
        <v>41992</v>
      </c>
      <c r="D1852" s="22">
        <f>MONTH(Table12[[#This Row],[Order Date]])</f>
        <v>12</v>
      </c>
      <c r="E1852" t="s">
        <v>300</v>
      </c>
      <c r="F1852" t="s">
        <v>301</v>
      </c>
      <c r="G1852" s="23" t="s">
        <v>28</v>
      </c>
      <c r="H1852" s="23" t="s">
        <v>32</v>
      </c>
      <c r="I1852" t="s">
        <v>85</v>
      </c>
      <c r="J1852" s="23" t="s">
        <v>22</v>
      </c>
      <c r="K1852" s="22">
        <v>14</v>
      </c>
      <c r="L1852" s="1">
        <v>41994</v>
      </c>
      <c r="M1852" s="22">
        <f>Table12[[#This Row],[Ship Date]]-Table12[[#This Row],[Order Date]]</f>
        <v>2</v>
      </c>
      <c r="N1852" s="23" t="s">
        <v>20</v>
      </c>
      <c r="O1852" s="23" t="s">
        <v>23</v>
      </c>
      <c r="P1852" s="23" t="s">
        <v>320</v>
      </c>
      <c r="Q1852" s="23" t="s">
        <v>26</v>
      </c>
      <c r="R1852" s="23" t="s">
        <v>2271</v>
      </c>
      <c r="S1852" s="33">
        <v>0</v>
      </c>
      <c r="T1852" s="13">
        <v>1819.86</v>
      </c>
      <c r="U1852" s="13">
        <v>163.78739999999999</v>
      </c>
      <c r="V1852" s="55">
        <f>IFERROR(Table12[[#This Row],[Profit]]/Table12[[#This Row],[Sales]],0)</f>
        <v>0.09</v>
      </c>
    </row>
    <row r="1853" spans="1:22" x14ac:dyDescent="0.2">
      <c r="A1853">
        <v>1852</v>
      </c>
      <c r="B1853" t="s">
        <v>9459</v>
      </c>
      <c r="C1853" s="1">
        <v>41992</v>
      </c>
      <c r="D1853" s="22">
        <f>MONTH(Table12[[#This Row],[Order Date]])</f>
        <v>12</v>
      </c>
      <c r="E1853" t="s">
        <v>1962</v>
      </c>
      <c r="F1853" t="s">
        <v>1963</v>
      </c>
      <c r="G1853" s="23" t="s">
        <v>41</v>
      </c>
      <c r="H1853" s="23" t="s">
        <v>42</v>
      </c>
      <c r="I1853" t="s">
        <v>1222</v>
      </c>
      <c r="J1853" s="23" t="s">
        <v>36</v>
      </c>
      <c r="K1853" s="22">
        <v>2</v>
      </c>
      <c r="L1853" s="1">
        <v>41994</v>
      </c>
      <c r="M1853" s="22">
        <f>Table12[[#This Row],[Ship Date]]-Table12[[#This Row],[Order Date]]</f>
        <v>2</v>
      </c>
      <c r="N1853" s="23" t="s">
        <v>169</v>
      </c>
      <c r="O1853" s="23" t="s">
        <v>23</v>
      </c>
      <c r="P1853" s="23" t="s">
        <v>38</v>
      </c>
      <c r="Q1853" s="23" t="s">
        <v>39</v>
      </c>
      <c r="R1853" s="23" t="s">
        <v>37</v>
      </c>
      <c r="S1853" s="33">
        <v>0</v>
      </c>
      <c r="T1853" s="13">
        <v>14.62</v>
      </c>
      <c r="U1853" s="13">
        <v>6.8714000000000004</v>
      </c>
      <c r="V1853" s="55">
        <f>IFERROR(Table12[[#This Row],[Profit]]/Table12[[#This Row],[Sales]],0)</f>
        <v>0.47000000000000003</v>
      </c>
    </row>
    <row r="1854" spans="1:22" x14ac:dyDescent="0.2">
      <c r="A1854">
        <v>1853</v>
      </c>
      <c r="B1854" t="s">
        <v>9459</v>
      </c>
      <c r="C1854" s="1">
        <v>41992</v>
      </c>
      <c r="D1854" s="22">
        <f>MONTH(Table12[[#This Row],[Order Date]])</f>
        <v>12</v>
      </c>
      <c r="E1854" t="s">
        <v>1663</v>
      </c>
      <c r="F1854" t="s">
        <v>1664</v>
      </c>
      <c r="G1854" s="23" t="s">
        <v>41</v>
      </c>
      <c r="H1854" s="23" t="s">
        <v>240</v>
      </c>
      <c r="I1854" t="s">
        <v>1222</v>
      </c>
      <c r="J1854" s="23" t="s">
        <v>36</v>
      </c>
      <c r="K1854" s="22">
        <v>5</v>
      </c>
      <c r="L1854" s="1">
        <v>41994</v>
      </c>
      <c r="M1854" s="22">
        <f>Table12[[#This Row],[Ship Date]]-Table12[[#This Row],[Order Date]]</f>
        <v>2</v>
      </c>
      <c r="N1854" s="23" t="s">
        <v>169</v>
      </c>
      <c r="O1854" s="23" t="s">
        <v>23</v>
      </c>
      <c r="P1854" s="23" t="s">
        <v>38</v>
      </c>
      <c r="Q1854" s="23" t="s">
        <v>39</v>
      </c>
      <c r="R1854" s="23" t="s">
        <v>37</v>
      </c>
      <c r="S1854" s="33">
        <v>0</v>
      </c>
      <c r="T1854" s="13">
        <v>22.55</v>
      </c>
      <c r="U1854" s="13">
        <v>8.7944999999999993</v>
      </c>
      <c r="V1854" s="55">
        <f>IFERROR(Table12[[#This Row],[Profit]]/Table12[[#This Row],[Sales]],0)</f>
        <v>0.38999999999999996</v>
      </c>
    </row>
    <row r="1855" spans="1:22" x14ac:dyDescent="0.2">
      <c r="A1855">
        <v>1854</v>
      </c>
      <c r="B1855" t="s">
        <v>9459</v>
      </c>
      <c r="C1855" s="1">
        <v>41992</v>
      </c>
      <c r="D1855" s="22">
        <f>MONTH(Table12[[#This Row],[Order Date]])</f>
        <v>12</v>
      </c>
      <c r="E1855" t="s">
        <v>4646</v>
      </c>
      <c r="F1855" t="s">
        <v>4647</v>
      </c>
      <c r="G1855" s="23" t="s">
        <v>64</v>
      </c>
      <c r="H1855" s="23" t="s">
        <v>65</v>
      </c>
      <c r="I1855" t="s">
        <v>1222</v>
      </c>
      <c r="J1855" s="23" t="s">
        <v>36</v>
      </c>
      <c r="K1855" s="22">
        <v>5</v>
      </c>
      <c r="L1855" s="1">
        <v>41994</v>
      </c>
      <c r="M1855" s="22">
        <f>Table12[[#This Row],[Ship Date]]-Table12[[#This Row],[Order Date]]</f>
        <v>2</v>
      </c>
      <c r="N1855" s="23" t="s">
        <v>169</v>
      </c>
      <c r="O1855" s="23" t="s">
        <v>23</v>
      </c>
      <c r="P1855" s="23" t="s">
        <v>38</v>
      </c>
      <c r="Q1855" s="23" t="s">
        <v>39</v>
      </c>
      <c r="R1855" s="23" t="s">
        <v>37</v>
      </c>
      <c r="S1855" s="33">
        <v>0.2</v>
      </c>
      <c r="T1855" s="13">
        <v>583.79999999999995</v>
      </c>
      <c r="U1855" s="13">
        <v>72.974999999999994</v>
      </c>
      <c r="V1855" s="55">
        <f>IFERROR(Table12[[#This Row],[Profit]]/Table12[[#This Row],[Sales]],0)</f>
        <v>0.125</v>
      </c>
    </row>
    <row r="1856" spans="1:22" x14ac:dyDescent="0.2">
      <c r="A1856">
        <v>1855</v>
      </c>
      <c r="B1856" t="s">
        <v>9459</v>
      </c>
      <c r="C1856" s="1">
        <v>41992</v>
      </c>
      <c r="D1856" s="22">
        <f>MONTH(Table12[[#This Row],[Order Date]])</f>
        <v>12</v>
      </c>
      <c r="E1856" t="s">
        <v>2278</v>
      </c>
      <c r="F1856" t="s">
        <v>2279</v>
      </c>
      <c r="G1856" s="23" t="s">
        <v>64</v>
      </c>
      <c r="H1856" s="23" t="s">
        <v>65</v>
      </c>
      <c r="I1856" t="s">
        <v>1222</v>
      </c>
      <c r="J1856" s="23" t="s">
        <v>36</v>
      </c>
      <c r="K1856" s="22">
        <v>4</v>
      </c>
      <c r="L1856" s="1">
        <v>41994</v>
      </c>
      <c r="M1856" s="22">
        <f>Table12[[#This Row],[Ship Date]]-Table12[[#This Row],[Order Date]]</f>
        <v>2</v>
      </c>
      <c r="N1856" s="23" t="s">
        <v>169</v>
      </c>
      <c r="O1856" s="23" t="s">
        <v>23</v>
      </c>
      <c r="P1856" s="23" t="s">
        <v>38</v>
      </c>
      <c r="Q1856" s="23" t="s">
        <v>39</v>
      </c>
      <c r="R1856" s="23" t="s">
        <v>37</v>
      </c>
      <c r="S1856" s="33">
        <v>0.2</v>
      </c>
      <c r="T1856" s="13">
        <v>211.16800000000001</v>
      </c>
      <c r="U1856" s="13">
        <v>15.8376</v>
      </c>
      <c r="V1856" s="55">
        <f>IFERROR(Table12[[#This Row],[Profit]]/Table12[[#This Row],[Sales]],0)</f>
        <v>7.4999999999999997E-2</v>
      </c>
    </row>
    <row r="1857" spans="1:22" x14ac:dyDescent="0.2">
      <c r="A1857">
        <v>1856</v>
      </c>
      <c r="B1857" t="s">
        <v>9891</v>
      </c>
      <c r="C1857" s="1">
        <v>41992</v>
      </c>
      <c r="D1857" s="22">
        <f>MONTH(Table12[[#This Row],[Order Date]])</f>
        <v>12</v>
      </c>
      <c r="E1857" t="s">
        <v>9892</v>
      </c>
      <c r="F1857" t="s">
        <v>9893</v>
      </c>
      <c r="G1857" s="23" t="s">
        <v>64</v>
      </c>
      <c r="H1857" s="23" t="s">
        <v>65</v>
      </c>
      <c r="I1857" t="s">
        <v>4827</v>
      </c>
      <c r="J1857" s="23" t="s">
        <v>22</v>
      </c>
      <c r="K1857" s="22">
        <v>3</v>
      </c>
      <c r="L1857" s="1">
        <v>41998</v>
      </c>
      <c r="M1857" s="22">
        <f>Table12[[#This Row],[Ship Date]]-Table12[[#This Row],[Order Date]]</f>
        <v>6</v>
      </c>
      <c r="N1857" s="23" t="s">
        <v>45</v>
      </c>
      <c r="O1857" s="23" t="s">
        <v>23</v>
      </c>
      <c r="P1857" s="23" t="s">
        <v>189</v>
      </c>
      <c r="Q1857" s="23" t="s">
        <v>95</v>
      </c>
      <c r="R1857" s="23" t="s">
        <v>271</v>
      </c>
      <c r="S1857" s="33">
        <v>0.2</v>
      </c>
      <c r="T1857" s="13">
        <v>323.976</v>
      </c>
      <c r="U1857" s="13">
        <v>36.447299999999998</v>
      </c>
      <c r="V1857" s="55">
        <f>IFERROR(Table12[[#This Row],[Profit]]/Table12[[#This Row],[Sales]],0)</f>
        <v>0.11249999999999999</v>
      </c>
    </row>
    <row r="1858" spans="1:22" x14ac:dyDescent="0.2">
      <c r="A1858">
        <v>1857</v>
      </c>
      <c r="B1858" t="s">
        <v>9891</v>
      </c>
      <c r="C1858" s="1">
        <v>41992</v>
      </c>
      <c r="D1858" s="22">
        <f>MONTH(Table12[[#This Row],[Order Date]])</f>
        <v>12</v>
      </c>
      <c r="E1858" t="s">
        <v>8312</v>
      </c>
      <c r="F1858" t="s">
        <v>8313</v>
      </c>
      <c r="G1858" s="23" t="s">
        <v>41</v>
      </c>
      <c r="H1858" s="23" t="s">
        <v>82</v>
      </c>
      <c r="I1858" t="s">
        <v>4827</v>
      </c>
      <c r="J1858" s="23" t="s">
        <v>22</v>
      </c>
      <c r="K1858" s="22">
        <v>3</v>
      </c>
      <c r="L1858" s="1">
        <v>41998</v>
      </c>
      <c r="M1858" s="22">
        <f>Table12[[#This Row],[Ship Date]]-Table12[[#This Row],[Order Date]]</f>
        <v>6</v>
      </c>
      <c r="N1858" s="23" t="s">
        <v>45</v>
      </c>
      <c r="O1858" s="23" t="s">
        <v>23</v>
      </c>
      <c r="P1858" s="23" t="s">
        <v>189</v>
      </c>
      <c r="Q1858" s="23" t="s">
        <v>95</v>
      </c>
      <c r="R1858" s="23" t="s">
        <v>271</v>
      </c>
      <c r="S1858" s="33">
        <v>0.2</v>
      </c>
      <c r="T1858" s="13">
        <v>15.552</v>
      </c>
      <c r="U1858" s="13">
        <v>5.4432</v>
      </c>
      <c r="V1858" s="55">
        <f>IFERROR(Table12[[#This Row],[Profit]]/Table12[[#This Row],[Sales]],0)</f>
        <v>0.35000000000000003</v>
      </c>
    </row>
    <row r="1859" spans="1:22" x14ac:dyDescent="0.2">
      <c r="A1859">
        <v>1858</v>
      </c>
      <c r="B1859" t="s">
        <v>9891</v>
      </c>
      <c r="C1859" s="1">
        <v>41992</v>
      </c>
      <c r="D1859" s="22">
        <f>MONTH(Table12[[#This Row],[Order Date]])</f>
        <v>12</v>
      </c>
      <c r="E1859" t="s">
        <v>3607</v>
      </c>
      <c r="F1859" t="s">
        <v>3608</v>
      </c>
      <c r="G1859" s="23" t="s">
        <v>41</v>
      </c>
      <c r="H1859" s="23" t="s">
        <v>53</v>
      </c>
      <c r="I1859" t="s">
        <v>4827</v>
      </c>
      <c r="J1859" s="23" t="s">
        <v>22</v>
      </c>
      <c r="K1859" s="22">
        <v>3</v>
      </c>
      <c r="L1859" s="1">
        <v>41998</v>
      </c>
      <c r="M1859" s="22">
        <f>Table12[[#This Row],[Ship Date]]-Table12[[#This Row],[Order Date]]</f>
        <v>6</v>
      </c>
      <c r="N1859" s="23" t="s">
        <v>45</v>
      </c>
      <c r="O1859" s="23" t="s">
        <v>23</v>
      </c>
      <c r="P1859" s="23" t="s">
        <v>189</v>
      </c>
      <c r="Q1859" s="23" t="s">
        <v>95</v>
      </c>
      <c r="R1859" s="23" t="s">
        <v>271</v>
      </c>
      <c r="S1859" s="33">
        <v>0.2</v>
      </c>
      <c r="T1859" s="13">
        <v>32.591999999999999</v>
      </c>
      <c r="U1859" s="13">
        <v>-7.7405999999999997</v>
      </c>
      <c r="V1859" s="55">
        <f>IFERROR(Table12[[#This Row],[Profit]]/Table12[[#This Row],[Sales]],0)</f>
        <v>-0.23749999999999999</v>
      </c>
    </row>
    <row r="1860" spans="1:22" x14ac:dyDescent="0.2">
      <c r="A1860">
        <v>1859</v>
      </c>
      <c r="B1860" t="s">
        <v>2930</v>
      </c>
      <c r="C1860" s="1">
        <v>41993</v>
      </c>
      <c r="D1860" s="22">
        <f>MONTH(Table12[[#This Row],[Order Date]])</f>
        <v>12</v>
      </c>
      <c r="E1860" t="s">
        <v>2932</v>
      </c>
      <c r="F1860" t="s">
        <v>2933</v>
      </c>
      <c r="G1860" s="23" t="s">
        <v>41</v>
      </c>
      <c r="H1860" s="23" t="s">
        <v>53</v>
      </c>
      <c r="I1860" t="s">
        <v>2832</v>
      </c>
      <c r="J1860" s="23" t="s">
        <v>92</v>
      </c>
      <c r="K1860" s="22">
        <v>2</v>
      </c>
      <c r="L1860" s="1">
        <v>41994</v>
      </c>
      <c r="M1860" s="22">
        <f>Table12[[#This Row],[Ship Date]]-Table12[[#This Row],[Order Date]]</f>
        <v>1</v>
      </c>
      <c r="N1860" s="23" t="s">
        <v>169</v>
      </c>
      <c r="O1860" s="23" t="s">
        <v>23</v>
      </c>
      <c r="P1860" s="23" t="s">
        <v>285</v>
      </c>
      <c r="Q1860" s="23" t="s">
        <v>26</v>
      </c>
      <c r="R1860" s="23" t="s">
        <v>2931</v>
      </c>
      <c r="S1860" s="33">
        <v>0</v>
      </c>
      <c r="T1860" s="13">
        <v>122.48</v>
      </c>
      <c r="U1860" s="13">
        <v>0</v>
      </c>
      <c r="V1860" s="55">
        <f>IFERROR(Table12[[#This Row],[Profit]]/Table12[[#This Row],[Sales]],0)</f>
        <v>0</v>
      </c>
    </row>
    <row r="1861" spans="1:22" x14ac:dyDescent="0.2">
      <c r="A1861">
        <v>1860</v>
      </c>
      <c r="B1861" t="s">
        <v>2930</v>
      </c>
      <c r="C1861" s="1">
        <v>41993</v>
      </c>
      <c r="D1861" s="22">
        <f>MONTH(Table12[[#This Row],[Order Date]])</f>
        <v>12</v>
      </c>
      <c r="E1861" t="s">
        <v>2934</v>
      </c>
      <c r="F1861" t="s">
        <v>2935</v>
      </c>
      <c r="G1861" s="23" t="s">
        <v>28</v>
      </c>
      <c r="H1861" s="23" t="s">
        <v>50</v>
      </c>
      <c r="I1861" t="s">
        <v>2832</v>
      </c>
      <c r="J1861" s="23" t="s">
        <v>92</v>
      </c>
      <c r="K1861" s="22">
        <v>7</v>
      </c>
      <c r="L1861" s="1">
        <v>41994</v>
      </c>
      <c r="M1861" s="22">
        <f>Table12[[#This Row],[Ship Date]]-Table12[[#This Row],[Order Date]]</f>
        <v>1</v>
      </c>
      <c r="N1861" s="23" t="s">
        <v>169</v>
      </c>
      <c r="O1861" s="23" t="s">
        <v>23</v>
      </c>
      <c r="P1861" s="23" t="s">
        <v>285</v>
      </c>
      <c r="Q1861" s="23" t="s">
        <v>26</v>
      </c>
      <c r="R1861" s="23" t="s">
        <v>2931</v>
      </c>
      <c r="S1861" s="33">
        <v>0</v>
      </c>
      <c r="T1861" s="13">
        <v>2244.48</v>
      </c>
      <c r="U1861" s="13">
        <v>493.78559999999999</v>
      </c>
      <c r="V1861" s="55">
        <f>IFERROR(Table12[[#This Row],[Profit]]/Table12[[#This Row],[Sales]],0)</f>
        <v>0.22</v>
      </c>
    </row>
    <row r="1862" spans="1:22" x14ac:dyDescent="0.2">
      <c r="A1862">
        <v>1861</v>
      </c>
      <c r="B1862" t="s">
        <v>2930</v>
      </c>
      <c r="C1862" s="1">
        <v>41993</v>
      </c>
      <c r="D1862" s="22">
        <f>MONTH(Table12[[#This Row],[Order Date]])</f>
        <v>12</v>
      </c>
      <c r="E1862" t="s">
        <v>1224</v>
      </c>
      <c r="F1862" t="s">
        <v>1225</v>
      </c>
      <c r="G1862" s="23" t="s">
        <v>41</v>
      </c>
      <c r="H1862" s="23" t="s">
        <v>68</v>
      </c>
      <c r="I1862" t="s">
        <v>2832</v>
      </c>
      <c r="J1862" s="23" t="s">
        <v>92</v>
      </c>
      <c r="K1862" s="22">
        <v>3</v>
      </c>
      <c r="L1862" s="1">
        <v>41994</v>
      </c>
      <c r="M1862" s="22">
        <f>Table12[[#This Row],[Ship Date]]-Table12[[#This Row],[Order Date]]</f>
        <v>1</v>
      </c>
      <c r="N1862" s="23" t="s">
        <v>169</v>
      </c>
      <c r="O1862" s="23" t="s">
        <v>23</v>
      </c>
      <c r="P1862" s="23" t="s">
        <v>285</v>
      </c>
      <c r="Q1862" s="23" t="s">
        <v>26</v>
      </c>
      <c r="R1862" s="23" t="s">
        <v>2931</v>
      </c>
      <c r="S1862" s="33">
        <v>0</v>
      </c>
      <c r="T1862" s="13">
        <v>62.31</v>
      </c>
      <c r="U1862" s="13">
        <v>29.285699999999999</v>
      </c>
      <c r="V1862" s="55">
        <f>IFERROR(Table12[[#This Row],[Profit]]/Table12[[#This Row],[Sales]],0)</f>
        <v>0.47</v>
      </c>
    </row>
    <row r="1863" spans="1:22" x14ac:dyDescent="0.2">
      <c r="A1863">
        <v>1862</v>
      </c>
      <c r="B1863" t="s">
        <v>2930</v>
      </c>
      <c r="C1863" s="1">
        <v>41993</v>
      </c>
      <c r="D1863" s="22">
        <f>MONTH(Table12[[#This Row],[Order Date]])</f>
        <v>12</v>
      </c>
      <c r="E1863" t="s">
        <v>1196</v>
      </c>
      <c r="F1863" t="s">
        <v>1197</v>
      </c>
      <c r="G1863" s="23" t="s">
        <v>28</v>
      </c>
      <c r="H1863" s="23" t="s">
        <v>50</v>
      </c>
      <c r="I1863" t="s">
        <v>2832</v>
      </c>
      <c r="J1863" s="23" t="s">
        <v>92</v>
      </c>
      <c r="K1863" s="22">
        <v>2</v>
      </c>
      <c r="L1863" s="1">
        <v>41994</v>
      </c>
      <c r="M1863" s="22">
        <f>Table12[[#This Row],[Ship Date]]-Table12[[#This Row],[Order Date]]</f>
        <v>1</v>
      </c>
      <c r="N1863" s="23" t="s">
        <v>169</v>
      </c>
      <c r="O1863" s="23" t="s">
        <v>23</v>
      </c>
      <c r="P1863" s="23" t="s">
        <v>285</v>
      </c>
      <c r="Q1863" s="23" t="s">
        <v>26</v>
      </c>
      <c r="R1863" s="23" t="s">
        <v>2931</v>
      </c>
      <c r="S1863" s="33">
        <v>0</v>
      </c>
      <c r="T1863" s="13">
        <v>455.1</v>
      </c>
      <c r="U1863" s="13">
        <v>100.122</v>
      </c>
      <c r="V1863" s="55">
        <f>IFERROR(Table12[[#This Row],[Profit]]/Table12[[#This Row],[Sales]],0)</f>
        <v>0.22</v>
      </c>
    </row>
    <row r="1864" spans="1:22" x14ac:dyDescent="0.2">
      <c r="A1864">
        <v>1863</v>
      </c>
      <c r="B1864" t="s">
        <v>5677</v>
      </c>
      <c r="C1864" s="1">
        <v>41993</v>
      </c>
      <c r="D1864" s="22">
        <f>MONTH(Table12[[#This Row],[Order Date]])</f>
        <v>12</v>
      </c>
      <c r="E1864" t="s">
        <v>918</v>
      </c>
      <c r="F1864" t="s">
        <v>919</v>
      </c>
      <c r="G1864" s="23" t="s">
        <v>41</v>
      </c>
      <c r="H1864" s="23" t="s">
        <v>42</v>
      </c>
      <c r="I1864" t="s">
        <v>1264</v>
      </c>
      <c r="J1864" s="23" t="s">
        <v>22</v>
      </c>
      <c r="K1864" s="22">
        <v>3</v>
      </c>
      <c r="L1864" s="1">
        <v>41998</v>
      </c>
      <c r="M1864" s="22">
        <f>Table12[[#This Row],[Ship Date]]-Table12[[#This Row],[Order Date]]</f>
        <v>5</v>
      </c>
      <c r="N1864" s="23" t="s">
        <v>45</v>
      </c>
      <c r="O1864" s="23" t="s">
        <v>23</v>
      </c>
      <c r="P1864" s="23" t="s">
        <v>87</v>
      </c>
      <c r="Q1864" s="23" t="s">
        <v>39</v>
      </c>
      <c r="R1864" s="23" t="s">
        <v>86</v>
      </c>
      <c r="S1864" s="33">
        <v>0</v>
      </c>
      <c r="T1864" s="13">
        <v>31.05</v>
      </c>
      <c r="U1864" s="13">
        <v>14.904</v>
      </c>
      <c r="V1864" s="55">
        <f>IFERROR(Table12[[#This Row],[Profit]]/Table12[[#This Row],[Sales]],0)</f>
        <v>0.48</v>
      </c>
    </row>
    <row r="1865" spans="1:22" x14ac:dyDescent="0.2">
      <c r="A1865">
        <v>1864</v>
      </c>
      <c r="B1865" t="s">
        <v>5836</v>
      </c>
      <c r="C1865" s="1">
        <v>41993</v>
      </c>
      <c r="D1865" s="22">
        <f>MONTH(Table12[[#This Row],[Order Date]])</f>
        <v>12</v>
      </c>
      <c r="E1865" t="s">
        <v>3625</v>
      </c>
      <c r="F1865" t="s">
        <v>3626</v>
      </c>
      <c r="G1865" s="23" t="s">
        <v>41</v>
      </c>
      <c r="H1865" s="23" t="s">
        <v>71</v>
      </c>
      <c r="I1865" t="s">
        <v>5837</v>
      </c>
      <c r="J1865" s="23" t="s">
        <v>22</v>
      </c>
      <c r="K1865" s="22">
        <v>7</v>
      </c>
      <c r="L1865" s="1">
        <v>41998</v>
      </c>
      <c r="M1865" s="22">
        <f>Table12[[#This Row],[Ship Date]]-Table12[[#This Row],[Order Date]]</f>
        <v>5</v>
      </c>
      <c r="N1865" s="23" t="s">
        <v>45</v>
      </c>
      <c r="O1865" s="23" t="s">
        <v>23</v>
      </c>
      <c r="P1865" s="23" t="s">
        <v>299</v>
      </c>
      <c r="Q1865" s="23" t="s">
        <v>26</v>
      </c>
      <c r="R1865" s="23" t="s">
        <v>341</v>
      </c>
      <c r="S1865" s="33">
        <v>0.2</v>
      </c>
      <c r="T1865" s="13">
        <v>43.512</v>
      </c>
      <c r="U1865" s="13">
        <v>3.8073000000000001</v>
      </c>
      <c r="V1865" s="55">
        <f>IFERROR(Table12[[#This Row],[Profit]]/Table12[[#This Row],[Sales]],0)</f>
        <v>8.7500000000000008E-2</v>
      </c>
    </row>
    <row r="1866" spans="1:22" x14ac:dyDescent="0.2">
      <c r="A1866">
        <v>1865</v>
      </c>
      <c r="B1866" t="s">
        <v>5836</v>
      </c>
      <c r="C1866" s="1">
        <v>41993</v>
      </c>
      <c r="D1866" s="22">
        <f>MONTH(Table12[[#This Row],[Order Date]])</f>
        <v>12</v>
      </c>
      <c r="E1866" t="s">
        <v>606</v>
      </c>
      <c r="F1866" t="s">
        <v>607</v>
      </c>
      <c r="G1866" s="23" t="s">
        <v>28</v>
      </c>
      <c r="H1866" s="23" t="s">
        <v>32</v>
      </c>
      <c r="I1866" t="s">
        <v>5837</v>
      </c>
      <c r="J1866" s="23" t="s">
        <v>22</v>
      </c>
      <c r="K1866" s="22">
        <v>3</v>
      </c>
      <c r="L1866" s="1">
        <v>41998</v>
      </c>
      <c r="M1866" s="22">
        <f>Table12[[#This Row],[Ship Date]]-Table12[[#This Row],[Order Date]]</f>
        <v>5</v>
      </c>
      <c r="N1866" s="23" t="s">
        <v>45</v>
      </c>
      <c r="O1866" s="23" t="s">
        <v>23</v>
      </c>
      <c r="P1866" s="23" t="s">
        <v>299</v>
      </c>
      <c r="Q1866" s="23" t="s">
        <v>26</v>
      </c>
      <c r="R1866" s="23" t="s">
        <v>341</v>
      </c>
      <c r="S1866" s="33">
        <v>0.2</v>
      </c>
      <c r="T1866" s="13">
        <v>662.88</v>
      </c>
      <c r="U1866" s="13">
        <v>74.573999999999998</v>
      </c>
      <c r="V1866" s="55">
        <f>IFERROR(Table12[[#This Row],[Profit]]/Table12[[#This Row],[Sales]],0)</f>
        <v>0.1125</v>
      </c>
    </row>
    <row r="1867" spans="1:22" x14ac:dyDescent="0.2">
      <c r="A1867">
        <v>1866</v>
      </c>
      <c r="B1867" t="s">
        <v>5836</v>
      </c>
      <c r="C1867" s="1">
        <v>41993</v>
      </c>
      <c r="D1867" s="22">
        <f>MONTH(Table12[[#This Row],[Order Date]])</f>
        <v>12</v>
      </c>
      <c r="E1867" t="s">
        <v>3780</v>
      </c>
      <c r="F1867" t="s">
        <v>3781</v>
      </c>
      <c r="G1867" s="23" t="s">
        <v>41</v>
      </c>
      <c r="H1867" s="23" t="s">
        <v>82</v>
      </c>
      <c r="I1867" t="s">
        <v>5837</v>
      </c>
      <c r="J1867" s="23" t="s">
        <v>22</v>
      </c>
      <c r="K1867" s="22">
        <v>5</v>
      </c>
      <c r="L1867" s="1">
        <v>41998</v>
      </c>
      <c r="M1867" s="22">
        <f>Table12[[#This Row],[Ship Date]]-Table12[[#This Row],[Order Date]]</f>
        <v>5</v>
      </c>
      <c r="N1867" s="23" t="s">
        <v>45</v>
      </c>
      <c r="O1867" s="23" t="s">
        <v>23</v>
      </c>
      <c r="P1867" s="23" t="s">
        <v>299</v>
      </c>
      <c r="Q1867" s="23" t="s">
        <v>26</v>
      </c>
      <c r="R1867" s="23" t="s">
        <v>341</v>
      </c>
      <c r="S1867" s="33">
        <v>0.2</v>
      </c>
      <c r="T1867" s="13">
        <v>25.92</v>
      </c>
      <c r="U1867" s="13">
        <v>9.0719999999999992</v>
      </c>
      <c r="V1867" s="55">
        <f>IFERROR(Table12[[#This Row],[Profit]]/Table12[[#This Row],[Sales]],0)</f>
        <v>0.34999999999999992</v>
      </c>
    </row>
    <row r="1868" spans="1:22" x14ac:dyDescent="0.2">
      <c r="A1868">
        <v>1867</v>
      </c>
      <c r="B1868" t="s">
        <v>6093</v>
      </c>
      <c r="C1868" s="1">
        <v>41993</v>
      </c>
      <c r="D1868" s="22">
        <f>MONTH(Table12[[#This Row],[Order Date]])</f>
        <v>12</v>
      </c>
      <c r="E1868" t="s">
        <v>1947</v>
      </c>
      <c r="F1868" t="s">
        <v>1948</v>
      </c>
      <c r="G1868" s="23" t="s">
        <v>41</v>
      </c>
      <c r="H1868" s="23" t="s">
        <v>68</v>
      </c>
      <c r="I1868" t="s">
        <v>1961</v>
      </c>
      <c r="J1868" s="23" t="s">
        <v>22</v>
      </c>
      <c r="K1868" s="22">
        <v>2</v>
      </c>
      <c r="L1868" s="1">
        <v>41996</v>
      </c>
      <c r="M1868" s="22">
        <f>Table12[[#This Row],[Ship Date]]-Table12[[#This Row],[Order Date]]</f>
        <v>3</v>
      </c>
      <c r="N1868" s="23" t="s">
        <v>20</v>
      </c>
      <c r="O1868" s="23" t="s">
        <v>23</v>
      </c>
      <c r="P1868" s="23" t="s">
        <v>38</v>
      </c>
      <c r="Q1868" s="23" t="s">
        <v>39</v>
      </c>
      <c r="R1868" s="23" t="s">
        <v>37</v>
      </c>
      <c r="S1868" s="33">
        <v>0.2</v>
      </c>
      <c r="T1868" s="13">
        <v>487.98399999999998</v>
      </c>
      <c r="U1868" s="13">
        <v>152.495</v>
      </c>
      <c r="V1868" s="55">
        <f>IFERROR(Table12[[#This Row],[Profit]]/Table12[[#This Row],[Sales]],0)</f>
        <v>0.3125</v>
      </c>
    </row>
    <row r="1869" spans="1:22" x14ac:dyDescent="0.2">
      <c r="A1869">
        <v>1868</v>
      </c>
      <c r="B1869" t="s">
        <v>6093</v>
      </c>
      <c r="C1869" s="1">
        <v>41993</v>
      </c>
      <c r="D1869" s="22">
        <f>MONTH(Table12[[#This Row],[Order Date]])</f>
        <v>12</v>
      </c>
      <c r="E1869" t="s">
        <v>6094</v>
      </c>
      <c r="F1869" t="s">
        <v>6095</v>
      </c>
      <c r="G1869" s="23" t="s">
        <v>41</v>
      </c>
      <c r="H1869" s="23" t="s">
        <v>61</v>
      </c>
      <c r="I1869" t="s">
        <v>1961</v>
      </c>
      <c r="J1869" s="23" t="s">
        <v>22</v>
      </c>
      <c r="K1869" s="22">
        <v>2</v>
      </c>
      <c r="L1869" s="1">
        <v>41996</v>
      </c>
      <c r="M1869" s="22">
        <f>Table12[[#This Row],[Ship Date]]-Table12[[#This Row],[Order Date]]</f>
        <v>3</v>
      </c>
      <c r="N1869" s="23" t="s">
        <v>20</v>
      </c>
      <c r="O1869" s="23" t="s">
        <v>23</v>
      </c>
      <c r="P1869" s="23" t="s">
        <v>38</v>
      </c>
      <c r="Q1869" s="23" t="s">
        <v>39</v>
      </c>
      <c r="R1869" s="23" t="s">
        <v>37</v>
      </c>
      <c r="S1869" s="33">
        <v>0</v>
      </c>
      <c r="T1869" s="13">
        <v>47.3</v>
      </c>
      <c r="U1869" s="13">
        <v>12.298</v>
      </c>
      <c r="V1869" s="55">
        <f>IFERROR(Table12[[#This Row],[Profit]]/Table12[[#This Row],[Sales]],0)</f>
        <v>0.26</v>
      </c>
    </row>
    <row r="1870" spans="1:22" x14ac:dyDescent="0.2">
      <c r="A1870">
        <v>1869</v>
      </c>
      <c r="B1870" t="s">
        <v>6093</v>
      </c>
      <c r="C1870" s="1">
        <v>41993</v>
      </c>
      <c r="D1870" s="22">
        <f>MONTH(Table12[[#This Row],[Order Date]])</f>
        <v>12</v>
      </c>
      <c r="E1870" t="s">
        <v>6096</v>
      </c>
      <c r="F1870" t="s">
        <v>6097</v>
      </c>
      <c r="G1870" s="23" t="s">
        <v>41</v>
      </c>
      <c r="H1870" s="23" t="s">
        <v>61</v>
      </c>
      <c r="I1870" t="s">
        <v>1961</v>
      </c>
      <c r="J1870" s="23" t="s">
        <v>22</v>
      </c>
      <c r="K1870" s="22">
        <v>1</v>
      </c>
      <c r="L1870" s="1">
        <v>41996</v>
      </c>
      <c r="M1870" s="22">
        <f>Table12[[#This Row],[Ship Date]]-Table12[[#This Row],[Order Date]]</f>
        <v>3</v>
      </c>
      <c r="N1870" s="23" t="s">
        <v>20</v>
      </c>
      <c r="O1870" s="23" t="s">
        <v>23</v>
      </c>
      <c r="P1870" s="23" t="s">
        <v>38</v>
      </c>
      <c r="Q1870" s="23" t="s">
        <v>39</v>
      </c>
      <c r="R1870" s="23" t="s">
        <v>37</v>
      </c>
      <c r="S1870" s="33">
        <v>0</v>
      </c>
      <c r="T1870" s="13">
        <v>4.13</v>
      </c>
      <c r="U1870" s="13">
        <v>1.1564000000000001</v>
      </c>
      <c r="V1870" s="55">
        <f>IFERROR(Table12[[#This Row],[Profit]]/Table12[[#This Row],[Sales]],0)</f>
        <v>0.28000000000000003</v>
      </c>
    </row>
    <row r="1871" spans="1:22" x14ac:dyDescent="0.2">
      <c r="A1871">
        <v>1870</v>
      </c>
      <c r="B1871" t="s">
        <v>6093</v>
      </c>
      <c r="C1871" s="1">
        <v>41993</v>
      </c>
      <c r="D1871" s="22">
        <f>MONTH(Table12[[#This Row],[Order Date]])</f>
        <v>12</v>
      </c>
      <c r="E1871" t="s">
        <v>6098</v>
      </c>
      <c r="F1871" t="s">
        <v>6099</v>
      </c>
      <c r="G1871" s="23" t="s">
        <v>41</v>
      </c>
      <c r="H1871" s="23" t="s">
        <v>68</v>
      </c>
      <c r="I1871" t="s">
        <v>1961</v>
      </c>
      <c r="J1871" s="23" t="s">
        <v>22</v>
      </c>
      <c r="K1871" s="22">
        <v>5</v>
      </c>
      <c r="L1871" s="1">
        <v>41996</v>
      </c>
      <c r="M1871" s="22">
        <f>Table12[[#This Row],[Ship Date]]-Table12[[#This Row],[Order Date]]</f>
        <v>3</v>
      </c>
      <c r="N1871" s="23" t="s">
        <v>20</v>
      </c>
      <c r="O1871" s="23" t="s">
        <v>23</v>
      </c>
      <c r="P1871" s="23" t="s">
        <v>38</v>
      </c>
      <c r="Q1871" s="23" t="s">
        <v>39</v>
      </c>
      <c r="R1871" s="23" t="s">
        <v>37</v>
      </c>
      <c r="S1871" s="33">
        <v>0.2</v>
      </c>
      <c r="T1871" s="13">
        <v>155.12</v>
      </c>
      <c r="U1871" s="13">
        <v>50.414000000000001</v>
      </c>
      <c r="V1871" s="55">
        <f>IFERROR(Table12[[#This Row],[Profit]]/Table12[[#This Row],[Sales]],0)</f>
        <v>0.32500000000000001</v>
      </c>
    </row>
    <row r="1872" spans="1:22" x14ac:dyDescent="0.2">
      <c r="A1872">
        <v>1871</v>
      </c>
      <c r="B1872" t="s">
        <v>6281</v>
      </c>
      <c r="C1872" s="1">
        <v>41993</v>
      </c>
      <c r="D1872" s="22">
        <f>MONTH(Table12[[#This Row],[Order Date]])</f>
        <v>12</v>
      </c>
      <c r="E1872" t="s">
        <v>6283</v>
      </c>
      <c r="F1872" t="s">
        <v>6284</v>
      </c>
      <c r="G1872" s="23" t="s">
        <v>64</v>
      </c>
      <c r="H1872" s="23" t="s">
        <v>144</v>
      </c>
      <c r="I1872" t="s">
        <v>5165</v>
      </c>
      <c r="J1872" s="23" t="s">
        <v>22</v>
      </c>
      <c r="K1872" s="22">
        <v>7</v>
      </c>
      <c r="L1872" s="1">
        <v>41993</v>
      </c>
      <c r="M1872" s="22">
        <f>Table12[[#This Row],[Ship Date]]-Table12[[#This Row],[Order Date]]</f>
        <v>0</v>
      </c>
      <c r="N1872" s="23" t="s">
        <v>1141</v>
      </c>
      <c r="O1872" s="23" t="s">
        <v>23</v>
      </c>
      <c r="P1872" s="23" t="s">
        <v>405</v>
      </c>
      <c r="Q1872" s="23" t="s">
        <v>39</v>
      </c>
      <c r="R1872" s="23" t="s">
        <v>6282</v>
      </c>
      <c r="S1872" s="33">
        <v>0.2</v>
      </c>
      <c r="T1872" s="13">
        <v>447.94400000000002</v>
      </c>
      <c r="U1872" s="13">
        <v>89.588800000000006</v>
      </c>
      <c r="V1872" s="55">
        <f>IFERROR(Table12[[#This Row],[Profit]]/Table12[[#This Row],[Sales]],0)</f>
        <v>0.2</v>
      </c>
    </row>
    <row r="1873" spans="1:22" x14ac:dyDescent="0.2">
      <c r="A1873">
        <v>1872</v>
      </c>
      <c r="B1873" t="s">
        <v>6644</v>
      </c>
      <c r="C1873" s="1">
        <v>41993</v>
      </c>
      <c r="D1873" s="22">
        <f>MONTH(Table12[[#This Row],[Order Date]])</f>
        <v>12</v>
      </c>
      <c r="E1873" t="s">
        <v>6645</v>
      </c>
      <c r="F1873" t="s">
        <v>6646</v>
      </c>
      <c r="G1873" s="23" t="s">
        <v>41</v>
      </c>
      <c r="H1873" s="23" t="s">
        <v>42</v>
      </c>
      <c r="I1873" t="s">
        <v>3378</v>
      </c>
      <c r="J1873" s="23" t="s">
        <v>22</v>
      </c>
      <c r="K1873" s="22">
        <v>1</v>
      </c>
      <c r="L1873" s="1">
        <v>41996</v>
      </c>
      <c r="M1873" s="22">
        <f>Table12[[#This Row],[Ship Date]]-Table12[[#This Row],[Order Date]]</f>
        <v>3</v>
      </c>
      <c r="N1873" s="23" t="s">
        <v>169</v>
      </c>
      <c r="O1873" s="23" t="s">
        <v>23</v>
      </c>
      <c r="P1873" s="23" t="s">
        <v>226</v>
      </c>
      <c r="Q1873" s="23" t="s">
        <v>95</v>
      </c>
      <c r="R1873" s="23" t="s">
        <v>3859</v>
      </c>
      <c r="S1873" s="33">
        <v>0</v>
      </c>
      <c r="T1873" s="13">
        <v>3.69</v>
      </c>
      <c r="U1873" s="13">
        <v>1.7343</v>
      </c>
      <c r="V1873" s="55">
        <f>IFERROR(Table12[[#This Row],[Profit]]/Table12[[#This Row],[Sales]],0)</f>
        <v>0.47</v>
      </c>
    </row>
    <row r="1874" spans="1:22" x14ac:dyDescent="0.2">
      <c r="A1874">
        <v>1873</v>
      </c>
      <c r="B1874" t="s">
        <v>6644</v>
      </c>
      <c r="C1874" s="1">
        <v>41993</v>
      </c>
      <c r="D1874" s="22">
        <f>MONTH(Table12[[#This Row],[Order Date]])</f>
        <v>12</v>
      </c>
      <c r="E1874" t="s">
        <v>5683</v>
      </c>
      <c r="F1874" t="s">
        <v>5684</v>
      </c>
      <c r="G1874" s="23" t="s">
        <v>41</v>
      </c>
      <c r="H1874" s="23" t="s">
        <v>68</v>
      </c>
      <c r="I1874" t="s">
        <v>3378</v>
      </c>
      <c r="J1874" s="23" t="s">
        <v>22</v>
      </c>
      <c r="K1874" s="22">
        <v>3</v>
      </c>
      <c r="L1874" s="1">
        <v>41996</v>
      </c>
      <c r="M1874" s="22">
        <f>Table12[[#This Row],[Ship Date]]-Table12[[#This Row],[Order Date]]</f>
        <v>3</v>
      </c>
      <c r="N1874" s="23" t="s">
        <v>169</v>
      </c>
      <c r="O1874" s="23" t="s">
        <v>23</v>
      </c>
      <c r="P1874" s="23" t="s">
        <v>226</v>
      </c>
      <c r="Q1874" s="23" t="s">
        <v>95</v>
      </c>
      <c r="R1874" s="23" t="s">
        <v>3859</v>
      </c>
      <c r="S1874" s="33">
        <v>0</v>
      </c>
      <c r="T1874" s="13">
        <v>1103.97</v>
      </c>
      <c r="U1874" s="13">
        <v>496.78649999999999</v>
      </c>
      <c r="V1874" s="55">
        <f>IFERROR(Table12[[#This Row],[Profit]]/Table12[[#This Row],[Sales]],0)</f>
        <v>0.44999999999999996</v>
      </c>
    </row>
    <row r="1875" spans="1:22" x14ac:dyDescent="0.2">
      <c r="A1875">
        <v>1874</v>
      </c>
      <c r="B1875" t="s">
        <v>6745</v>
      </c>
      <c r="C1875" s="1">
        <v>41993</v>
      </c>
      <c r="D1875" s="22">
        <f>MONTH(Table12[[#This Row],[Order Date]])</f>
        <v>12</v>
      </c>
      <c r="E1875" t="s">
        <v>489</v>
      </c>
      <c r="F1875" t="s">
        <v>490</v>
      </c>
      <c r="G1875" s="23" t="s">
        <v>28</v>
      </c>
      <c r="H1875" s="23" t="s">
        <v>58</v>
      </c>
      <c r="I1875" t="s">
        <v>5960</v>
      </c>
      <c r="J1875" s="23" t="s">
        <v>22</v>
      </c>
      <c r="K1875" s="22">
        <v>3</v>
      </c>
      <c r="L1875" s="1">
        <v>42000</v>
      </c>
      <c r="M1875" s="22">
        <f>Table12[[#This Row],[Ship Date]]-Table12[[#This Row],[Order Date]]</f>
        <v>7</v>
      </c>
      <c r="N1875" s="23" t="s">
        <v>45</v>
      </c>
      <c r="O1875" s="23" t="s">
        <v>23</v>
      </c>
      <c r="P1875" s="23" t="s">
        <v>441</v>
      </c>
      <c r="Q1875" s="23" t="s">
        <v>133</v>
      </c>
      <c r="R1875" s="23" t="s">
        <v>687</v>
      </c>
      <c r="S1875" s="33">
        <v>0.2</v>
      </c>
      <c r="T1875" s="13">
        <v>190.84800000000001</v>
      </c>
      <c r="U1875" s="13">
        <v>-21.470400000000001</v>
      </c>
      <c r="V1875" s="55">
        <f>IFERROR(Table12[[#This Row],[Profit]]/Table12[[#This Row],[Sales]],0)</f>
        <v>-0.1125</v>
      </c>
    </row>
    <row r="1876" spans="1:22" x14ac:dyDescent="0.2">
      <c r="A1876">
        <v>1875</v>
      </c>
      <c r="B1876" t="s">
        <v>6957</v>
      </c>
      <c r="C1876" s="1">
        <v>41993</v>
      </c>
      <c r="D1876" s="22">
        <f>MONTH(Table12[[#This Row],[Order Date]])</f>
        <v>12</v>
      </c>
      <c r="E1876" t="s">
        <v>5213</v>
      </c>
      <c r="F1876" t="s">
        <v>5214</v>
      </c>
      <c r="G1876" s="23" t="s">
        <v>28</v>
      </c>
      <c r="H1876" s="23" t="s">
        <v>58</v>
      </c>
      <c r="I1876" t="s">
        <v>4353</v>
      </c>
      <c r="J1876" s="23" t="s">
        <v>22</v>
      </c>
      <c r="K1876" s="22">
        <v>2</v>
      </c>
      <c r="L1876" s="1">
        <v>41995</v>
      </c>
      <c r="M1876" s="22">
        <f>Table12[[#This Row],[Ship Date]]-Table12[[#This Row],[Order Date]]</f>
        <v>2</v>
      </c>
      <c r="N1876" s="23" t="s">
        <v>169</v>
      </c>
      <c r="O1876" s="23" t="s">
        <v>23</v>
      </c>
      <c r="P1876" s="23" t="s">
        <v>277</v>
      </c>
      <c r="Q1876" s="23" t="s">
        <v>39</v>
      </c>
      <c r="R1876" s="23" t="s">
        <v>1159</v>
      </c>
      <c r="S1876" s="33">
        <v>0.2</v>
      </c>
      <c r="T1876" s="13">
        <v>51.968000000000004</v>
      </c>
      <c r="U1876" s="13">
        <v>10.393599999999999</v>
      </c>
      <c r="V1876" s="55">
        <f>IFERROR(Table12[[#This Row],[Profit]]/Table12[[#This Row],[Sales]],0)</f>
        <v>0.19999999999999998</v>
      </c>
    </row>
    <row r="1877" spans="1:22" x14ac:dyDescent="0.2">
      <c r="A1877">
        <v>1876</v>
      </c>
      <c r="B1877" t="s">
        <v>6957</v>
      </c>
      <c r="C1877" s="1">
        <v>41993</v>
      </c>
      <c r="D1877" s="22">
        <f>MONTH(Table12[[#This Row],[Order Date]])</f>
        <v>12</v>
      </c>
      <c r="E1877" t="s">
        <v>897</v>
      </c>
      <c r="F1877" t="s">
        <v>898</v>
      </c>
      <c r="G1877" s="23" t="s">
        <v>64</v>
      </c>
      <c r="H1877" s="23" t="s">
        <v>144</v>
      </c>
      <c r="I1877" t="s">
        <v>4353</v>
      </c>
      <c r="J1877" s="23" t="s">
        <v>22</v>
      </c>
      <c r="K1877" s="22">
        <v>3</v>
      </c>
      <c r="L1877" s="1">
        <v>41995</v>
      </c>
      <c r="M1877" s="22">
        <f>Table12[[#This Row],[Ship Date]]-Table12[[#This Row],[Order Date]]</f>
        <v>2</v>
      </c>
      <c r="N1877" s="23" t="s">
        <v>169</v>
      </c>
      <c r="O1877" s="23" t="s">
        <v>23</v>
      </c>
      <c r="P1877" s="23" t="s">
        <v>277</v>
      </c>
      <c r="Q1877" s="23" t="s">
        <v>39</v>
      </c>
      <c r="R1877" s="23" t="s">
        <v>1159</v>
      </c>
      <c r="S1877" s="33">
        <v>0.2</v>
      </c>
      <c r="T1877" s="13">
        <v>71.975999999999999</v>
      </c>
      <c r="U1877" s="13">
        <v>21.5928</v>
      </c>
      <c r="V1877" s="55">
        <f>IFERROR(Table12[[#This Row],[Profit]]/Table12[[#This Row],[Sales]],0)</f>
        <v>0.3</v>
      </c>
    </row>
    <row r="1878" spans="1:22" x14ac:dyDescent="0.2">
      <c r="A1878">
        <v>1877</v>
      </c>
      <c r="B1878" t="s">
        <v>6957</v>
      </c>
      <c r="C1878" s="1">
        <v>41993</v>
      </c>
      <c r="D1878" s="22">
        <f>MONTH(Table12[[#This Row],[Order Date]])</f>
        <v>12</v>
      </c>
      <c r="E1878" t="s">
        <v>784</v>
      </c>
      <c r="F1878" t="s">
        <v>785</v>
      </c>
      <c r="G1878" s="23" t="s">
        <v>28</v>
      </c>
      <c r="H1878" s="23" t="s">
        <v>32</v>
      </c>
      <c r="I1878" t="s">
        <v>4353</v>
      </c>
      <c r="J1878" s="23" t="s">
        <v>22</v>
      </c>
      <c r="K1878" s="22">
        <v>3</v>
      </c>
      <c r="L1878" s="1">
        <v>41995</v>
      </c>
      <c r="M1878" s="22">
        <f>Table12[[#This Row],[Ship Date]]-Table12[[#This Row],[Order Date]]</f>
        <v>2</v>
      </c>
      <c r="N1878" s="23" t="s">
        <v>169</v>
      </c>
      <c r="O1878" s="23" t="s">
        <v>23</v>
      </c>
      <c r="P1878" s="23" t="s">
        <v>277</v>
      </c>
      <c r="Q1878" s="23" t="s">
        <v>39</v>
      </c>
      <c r="R1878" s="23" t="s">
        <v>1159</v>
      </c>
      <c r="S1878" s="33">
        <v>0.2</v>
      </c>
      <c r="T1878" s="13">
        <v>242.352</v>
      </c>
      <c r="U1878" s="13">
        <v>-42.4116</v>
      </c>
      <c r="V1878" s="55">
        <f>IFERROR(Table12[[#This Row],[Profit]]/Table12[[#This Row],[Sales]],0)</f>
        <v>-0.17499999999999999</v>
      </c>
    </row>
    <row r="1879" spans="1:22" x14ac:dyDescent="0.2">
      <c r="A1879">
        <v>1878</v>
      </c>
      <c r="B1879" t="s">
        <v>6957</v>
      </c>
      <c r="C1879" s="1">
        <v>41993</v>
      </c>
      <c r="D1879" s="22">
        <f>MONTH(Table12[[#This Row],[Order Date]])</f>
        <v>12</v>
      </c>
      <c r="E1879" t="s">
        <v>1532</v>
      </c>
      <c r="F1879" t="s">
        <v>4440</v>
      </c>
      <c r="G1879" s="23" t="s">
        <v>41</v>
      </c>
      <c r="H1879" s="23" t="s">
        <v>82</v>
      </c>
      <c r="I1879" t="s">
        <v>4353</v>
      </c>
      <c r="J1879" s="23" t="s">
        <v>22</v>
      </c>
      <c r="K1879" s="22">
        <v>5</v>
      </c>
      <c r="L1879" s="1">
        <v>41995</v>
      </c>
      <c r="M1879" s="22">
        <f>Table12[[#This Row],[Ship Date]]-Table12[[#This Row],[Order Date]]</f>
        <v>2</v>
      </c>
      <c r="N1879" s="23" t="s">
        <v>169</v>
      </c>
      <c r="O1879" s="23" t="s">
        <v>23</v>
      </c>
      <c r="P1879" s="23" t="s">
        <v>277</v>
      </c>
      <c r="Q1879" s="23" t="s">
        <v>39</v>
      </c>
      <c r="R1879" s="23" t="s">
        <v>1159</v>
      </c>
      <c r="S1879" s="33">
        <v>0.2</v>
      </c>
      <c r="T1879" s="13">
        <v>221.92</v>
      </c>
      <c r="U1879" s="13">
        <v>77.671999999999997</v>
      </c>
      <c r="V1879" s="55">
        <f>IFERROR(Table12[[#This Row],[Profit]]/Table12[[#This Row],[Sales]],0)</f>
        <v>0.35000000000000003</v>
      </c>
    </row>
    <row r="1880" spans="1:22" x14ac:dyDescent="0.2">
      <c r="A1880">
        <v>1879</v>
      </c>
      <c r="B1880" t="s">
        <v>6957</v>
      </c>
      <c r="C1880" s="1">
        <v>41993</v>
      </c>
      <c r="D1880" s="22">
        <f>MONTH(Table12[[#This Row],[Order Date]])</f>
        <v>12</v>
      </c>
      <c r="E1880" t="s">
        <v>5344</v>
      </c>
      <c r="F1880" t="s">
        <v>5345</v>
      </c>
      <c r="G1880" s="23" t="s">
        <v>41</v>
      </c>
      <c r="H1880" s="23" t="s">
        <v>82</v>
      </c>
      <c r="I1880" t="s">
        <v>4353</v>
      </c>
      <c r="J1880" s="23" t="s">
        <v>22</v>
      </c>
      <c r="K1880" s="22">
        <v>2</v>
      </c>
      <c r="L1880" s="1">
        <v>41995</v>
      </c>
      <c r="M1880" s="22">
        <f>Table12[[#This Row],[Ship Date]]-Table12[[#This Row],[Order Date]]</f>
        <v>2</v>
      </c>
      <c r="N1880" s="23" t="s">
        <v>169</v>
      </c>
      <c r="O1880" s="23" t="s">
        <v>23</v>
      </c>
      <c r="P1880" s="23" t="s">
        <v>277</v>
      </c>
      <c r="Q1880" s="23" t="s">
        <v>39</v>
      </c>
      <c r="R1880" s="23" t="s">
        <v>1159</v>
      </c>
      <c r="S1880" s="33">
        <v>0.2</v>
      </c>
      <c r="T1880" s="13">
        <v>8.4480000000000004</v>
      </c>
      <c r="U1880" s="13">
        <v>2.64</v>
      </c>
      <c r="V1880" s="55">
        <f>IFERROR(Table12[[#This Row],[Profit]]/Table12[[#This Row],[Sales]],0)</f>
        <v>0.3125</v>
      </c>
    </row>
    <row r="1881" spans="1:22" x14ac:dyDescent="0.2">
      <c r="A1881">
        <v>1880</v>
      </c>
      <c r="B1881" t="s">
        <v>7910</v>
      </c>
      <c r="C1881" s="1">
        <v>41993</v>
      </c>
      <c r="D1881" s="22">
        <f>MONTH(Table12[[#This Row],[Order Date]])</f>
        <v>12</v>
      </c>
      <c r="E1881" t="s">
        <v>1828</v>
      </c>
      <c r="F1881" t="s">
        <v>1829</v>
      </c>
      <c r="G1881" s="23" t="s">
        <v>41</v>
      </c>
      <c r="H1881" s="23" t="s">
        <v>71</v>
      </c>
      <c r="I1881" t="s">
        <v>4484</v>
      </c>
      <c r="J1881" s="23" t="s">
        <v>22</v>
      </c>
      <c r="K1881" s="22">
        <v>2</v>
      </c>
      <c r="L1881" s="1">
        <v>41998</v>
      </c>
      <c r="M1881" s="22">
        <f>Table12[[#This Row],[Ship Date]]-Table12[[#This Row],[Order Date]]</f>
        <v>5</v>
      </c>
      <c r="N1881" s="23" t="s">
        <v>45</v>
      </c>
      <c r="O1881" s="23" t="s">
        <v>23</v>
      </c>
      <c r="P1881" s="23" t="s">
        <v>94</v>
      </c>
      <c r="Q1881" s="23" t="s">
        <v>95</v>
      </c>
      <c r="R1881" s="23" t="s">
        <v>669</v>
      </c>
      <c r="S1881" s="33">
        <v>0.8</v>
      </c>
      <c r="T1881" s="13">
        <v>19.431999999999999</v>
      </c>
      <c r="U1881" s="13">
        <v>-49.551600000000001</v>
      </c>
      <c r="V1881" s="55">
        <f>IFERROR(Table12[[#This Row],[Profit]]/Table12[[#This Row],[Sales]],0)</f>
        <v>-2.5500000000000003</v>
      </c>
    </row>
    <row r="1882" spans="1:22" x14ac:dyDescent="0.2">
      <c r="A1882">
        <v>1881</v>
      </c>
      <c r="B1882" t="s">
        <v>7910</v>
      </c>
      <c r="C1882" s="1">
        <v>41993</v>
      </c>
      <c r="D1882" s="22">
        <f>MONTH(Table12[[#This Row],[Order Date]])</f>
        <v>12</v>
      </c>
      <c r="E1882" t="s">
        <v>3320</v>
      </c>
      <c r="F1882" t="s">
        <v>3321</v>
      </c>
      <c r="G1882" s="23" t="s">
        <v>64</v>
      </c>
      <c r="H1882" s="23" t="s">
        <v>144</v>
      </c>
      <c r="I1882" t="s">
        <v>4484</v>
      </c>
      <c r="J1882" s="23" t="s">
        <v>22</v>
      </c>
      <c r="K1882" s="22">
        <v>5</v>
      </c>
      <c r="L1882" s="1">
        <v>41998</v>
      </c>
      <c r="M1882" s="22">
        <f>Table12[[#This Row],[Ship Date]]-Table12[[#This Row],[Order Date]]</f>
        <v>5</v>
      </c>
      <c r="N1882" s="23" t="s">
        <v>45</v>
      </c>
      <c r="O1882" s="23" t="s">
        <v>23</v>
      </c>
      <c r="P1882" s="23" t="s">
        <v>94</v>
      </c>
      <c r="Q1882" s="23" t="s">
        <v>95</v>
      </c>
      <c r="R1882" s="23" t="s">
        <v>669</v>
      </c>
      <c r="S1882" s="33">
        <v>0.2</v>
      </c>
      <c r="T1882" s="13">
        <v>65.44</v>
      </c>
      <c r="U1882" s="13">
        <v>-8.18</v>
      </c>
      <c r="V1882" s="55">
        <f>IFERROR(Table12[[#This Row],[Profit]]/Table12[[#This Row],[Sales]],0)</f>
        <v>-0.125</v>
      </c>
    </row>
    <row r="1883" spans="1:22" x14ac:dyDescent="0.2">
      <c r="A1883">
        <v>1882</v>
      </c>
      <c r="B1883" t="s">
        <v>8652</v>
      </c>
      <c r="C1883" s="1">
        <v>41993</v>
      </c>
      <c r="D1883" s="22">
        <f>MONTH(Table12[[#This Row],[Order Date]])</f>
        <v>12</v>
      </c>
      <c r="E1883" t="s">
        <v>5476</v>
      </c>
      <c r="F1883" t="s">
        <v>5477</v>
      </c>
      <c r="G1883" s="23" t="s">
        <v>28</v>
      </c>
      <c r="H1883" s="23" t="s">
        <v>32</v>
      </c>
      <c r="I1883" t="s">
        <v>3108</v>
      </c>
      <c r="J1883" s="23" t="s">
        <v>36</v>
      </c>
      <c r="K1883" s="22">
        <v>3</v>
      </c>
      <c r="L1883" s="1">
        <v>41996</v>
      </c>
      <c r="M1883" s="22">
        <f>Table12[[#This Row],[Ship Date]]-Table12[[#This Row],[Order Date]]</f>
        <v>3</v>
      </c>
      <c r="N1883" s="23" t="s">
        <v>20</v>
      </c>
      <c r="O1883" s="23" t="s">
        <v>23</v>
      </c>
      <c r="P1883" s="23" t="s">
        <v>238</v>
      </c>
      <c r="Q1883" s="23" t="s">
        <v>133</v>
      </c>
      <c r="R1883" s="23" t="s">
        <v>237</v>
      </c>
      <c r="S1883" s="33">
        <v>0.1</v>
      </c>
      <c r="T1883" s="13">
        <v>192.18600000000001</v>
      </c>
      <c r="U1883" s="13">
        <v>36.3018</v>
      </c>
      <c r="V1883" s="55">
        <f>IFERROR(Table12[[#This Row],[Profit]]/Table12[[#This Row],[Sales]],0)</f>
        <v>0.18888888888888888</v>
      </c>
    </row>
    <row r="1884" spans="1:22" x14ac:dyDescent="0.2">
      <c r="A1884">
        <v>1883</v>
      </c>
      <c r="B1884" t="s">
        <v>7631</v>
      </c>
      <c r="C1884" s="1">
        <v>41994</v>
      </c>
      <c r="D1884" s="22">
        <f>MONTH(Table12[[#This Row],[Order Date]])</f>
        <v>12</v>
      </c>
      <c r="E1884" t="s">
        <v>606</v>
      </c>
      <c r="F1884" t="s">
        <v>607</v>
      </c>
      <c r="G1884" s="23" t="s">
        <v>28</v>
      </c>
      <c r="H1884" s="23" t="s">
        <v>32</v>
      </c>
      <c r="I1884" t="s">
        <v>2217</v>
      </c>
      <c r="J1884" s="23" t="s">
        <v>22</v>
      </c>
      <c r="K1884" s="22">
        <v>6</v>
      </c>
      <c r="L1884" s="1">
        <v>42000</v>
      </c>
      <c r="M1884" s="22">
        <f>Table12[[#This Row],[Ship Date]]-Table12[[#This Row],[Order Date]]</f>
        <v>6</v>
      </c>
      <c r="N1884" s="23" t="s">
        <v>45</v>
      </c>
      <c r="O1884" s="23" t="s">
        <v>23</v>
      </c>
      <c r="P1884" s="23" t="s">
        <v>38</v>
      </c>
      <c r="Q1884" s="23" t="s">
        <v>39</v>
      </c>
      <c r="R1884" s="23" t="s">
        <v>836</v>
      </c>
      <c r="S1884" s="33">
        <v>0.2</v>
      </c>
      <c r="T1884" s="13">
        <v>1325.76</v>
      </c>
      <c r="U1884" s="13">
        <v>149.148</v>
      </c>
      <c r="V1884" s="55">
        <f>IFERROR(Table12[[#This Row],[Profit]]/Table12[[#This Row],[Sales]],0)</f>
        <v>0.1125</v>
      </c>
    </row>
    <row r="1885" spans="1:22" x14ac:dyDescent="0.2">
      <c r="A1885">
        <v>1884</v>
      </c>
      <c r="B1885" t="s">
        <v>7631</v>
      </c>
      <c r="C1885" s="1">
        <v>41994</v>
      </c>
      <c r="D1885" s="22">
        <f>MONTH(Table12[[#This Row],[Order Date]])</f>
        <v>12</v>
      </c>
      <c r="E1885" t="s">
        <v>1600</v>
      </c>
      <c r="F1885" t="s">
        <v>1601</v>
      </c>
      <c r="G1885" s="23" t="s">
        <v>28</v>
      </c>
      <c r="H1885" s="23" t="s">
        <v>32</v>
      </c>
      <c r="I1885" t="s">
        <v>2217</v>
      </c>
      <c r="J1885" s="23" t="s">
        <v>22</v>
      </c>
      <c r="K1885" s="22">
        <v>3</v>
      </c>
      <c r="L1885" s="1">
        <v>42000</v>
      </c>
      <c r="M1885" s="22">
        <f>Table12[[#This Row],[Ship Date]]-Table12[[#This Row],[Order Date]]</f>
        <v>6</v>
      </c>
      <c r="N1885" s="23" t="s">
        <v>45</v>
      </c>
      <c r="O1885" s="23" t="s">
        <v>23</v>
      </c>
      <c r="P1885" s="23" t="s">
        <v>38</v>
      </c>
      <c r="Q1885" s="23" t="s">
        <v>39</v>
      </c>
      <c r="R1885" s="23" t="s">
        <v>836</v>
      </c>
      <c r="S1885" s="33">
        <v>0.2</v>
      </c>
      <c r="T1885" s="13">
        <v>572.16</v>
      </c>
      <c r="U1885" s="13">
        <v>35.76</v>
      </c>
      <c r="V1885" s="55">
        <f>IFERROR(Table12[[#This Row],[Profit]]/Table12[[#This Row],[Sales]],0)</f>
        <v>6.25E-2</v>
      </c>
    </row>
    <row r="1886" spans="1:22" x14ac:dyDescent="0.2">
      <c r="A1886">
        <v>1885</v>
      </c>
      <c r="B1886" t="s">
        <v>8002</v>
      </c>
      <c r="C1886" s="1">
        <v>41994</v>
      </c>
      <c r="D1886" s="22">
        <f>MONTH(Table12[[#This Row],[Order Date]])</f>
        <v>12</v>
      </c>
      <c r="E1886" t="s">
        <v>3455</v>
      </c>
      <c r="F1886" t="s">
        <v>3456</v>
      </c>
      <c r="G1886" s="23" t="s">
        <v>41</v>
      </c>
      <c r="H1886" s="23" t="s">
        <v>68</v>
      </c>
      <c r="I1886" t="s">
        <v>3710</v>
      </c>
      <c r="J1886" s="23" t="s">
        <v>92</v>
      </c>
      <c r="K1886" s="22">
        <v>2</v>
      </c>
      <c r="L1886" s="1">
        <v>42001</v>
      </c>
      <c r="M1886" s="22">
        <f>Table12[[#This Row],[Ship Date]]-Table12[[#This Row],[Order Date]]</f>
        <v>7</v>
      </c>
      <c r="N1886" s="23" t="s">
        <v>45</v>
      </c>
      <c r="O1886" s="23" t="s">
        <v>23</v>
      </c>
      <c r="P1886" s="23" t="s">
        <v>299</v>
      </c>
      <c r="Q1886" s="23" t="s">
        <v>26</v>
      </c>
      <c r="R1886" s="23" t="s">
        <v>341</v>
      </c>
      <c r="S1886" s="33">
        <v>0.7</v>
      </c>
      <c r="T1886" s="13">
        <v>18.239999999999998</v>
      </c>
      <c r="U1886" s="13">
        <v>-14.592000000000001</v>
      </c>
      <c r="V1886" s="55">
        <f>IFERROR(Table12[[#This Row],[Profit]]/Table12[[#This Row],[Sales]],0)</f>
        <v>-0.8</v>
      </c>
    </row>
    <row r="1887" spans="1:22" x14ac:dyDescent="0.2">
      <c r="A1887">
        <v>1886</v>
      </c>
      <c r="B1887" t="s">
        <v>9858</v>
      </c>
      <c r="C1887" s="1">
        <v>41994</v>
      </c>
      <c r="D1887" s="22">
        <f>MONTH(Table12[[#This Row],[Order Date]])</f>
        <v>12</v>
      </c>
      <c r="E1887" t="s">
        <v>6125</v>
      </c>
      <c r="F1887" t="s">
        <v>6126</v>
      </c>
      <c r="G1887" s="23" t="s">
        <v>41</v>
      </c>
      <c r="H1887" s="23" t="s">
        <v>42</v>
      </c>
      <c r="I1887" t="s">
        <v>4141</v>
      </c>
      <c r="J1887" s="23" t="s">
        <v>22</v>
      </c>
      <c r="K1887" s="22">
        <v>6</v>
      </c>
      <c r="L1887" s="1">
        <v>41998</v>
      </c>
      <c r="M1887" s="22">
        <f>Table12[[#This Row],[Ship Date]]-Table12[[#This Row],[Order Date]]</f>
        <v>4</v>
      </c>
      <c r="N1887" s="23" t="s">
        <v>45</v>
      </c>
      <c r="O1887" s="23" t="s">
        <v>23</v>
      </c>
      <c r="P1887" s="23" t="s">
        <v>218</v>
      </c>
      <c r="Q1887" s="23" t="s">
        <v>133</v>
      </c>
      <c r="R1887" s="23" t="s">
        <v>536</v>
      </c>
      <c r="S1887" s="33">
        <v>0</v>
      </c>
      <c r="T1887" s="13">
        <v>17.28</v>
      </c>
      <c r="U1887" s="13">
        <v>7.9488000000000003</v>
      </c>
      <c r="V1887" s="55">
        <f>IFERROR(Table12[[#This Row],[Profit]]/Table12[[#This Row],[Sales]],0)</f>
        <v>0.45999999999999996</v>
      </c>
    </row>
    <row r="1888" spans="1:22" x14ac:dyDescent="0.2">
      <c r="A1888">
        <v>1887</v>
      </c>
      <c r="B1888" t="s">
        <v>7941</v>
      </c>
      <c r="C1888" s="1">
        <v>41995</v>
      </c>
      <c r="D1888" s="22">
        <f>MONTH(Table12[[#This Row],[Order Date]])</f>
        <v>12</v>
      </c>
      <c r="E1888" t="s">
        <v>1716</v>
      </c>
      <c r="F1888" t="s">
        <v>1717</v>
      </c>
      <c r="G1888" s="23" t="s">
        <v>41</v>
      </c>
      <c r="H1888" s="23" t="s">
        <v>61</v>
      </c>
      <c r="I1888" t="s">
        <v>6418</v>
      </c>
      <c r="J1888" s="23" t="s">
        <v>22</v>
      </c>
      <c r="K1888" s="22">
        <v>4</v>
      </c>
      <c r="L1888" s="1">
        <v>41999</v>
      </c>
      <c r="M1888" s="22">
        <f>Table12[[#This Row],[Ship Date]]-Table12[[#This Row],[Order Date]]</f>
        <v>4</v>
      </c>
      <c r="N1888" s="23" t="s">
        <v>45</v>
      </c>
      <c r="O1888" s="23" t="s">
        <v>23</v>
      </c>
      <c r="P1888" s="23" t="s">
        <v>38</v>
      </c>
      <c r="Q1888" s="23" t="s">
        <v>39</v>
      </c>
      <c r="R1888" s="23" t="s">
        <v>557</v>
      </c>
      <c r="S1888" s="33">
        <v>0</v>
      </c>
      <c r="T1888" s="13">
        <v>11.76</v>
      </c>
      <c r="U1888" s="13">
        <v>3.1751999999999998</v>
      </c>
      <c r="V1888" s="55">
        <f>IFERROR(Table12[[#This Row],[Profit]]/Table12[[#This Row],[Sales]],0)</f>
        <v>0.26999999999999996</v>
      </c>
    </row>
    <row r="1889" spans="1:22" x14ac:dyDescent="0.2">
      <c r="A1889">
        <v>1888</v>
      </c>
      <c r="B1889" t="s">
        <v>8169</v>
      </c>
      <c r="C1889" s="1">
        <v>41995</v>
      </c>
      <c r="D1889" s="22">
        <f>MONTH(Table12[[#This Row],[Order Date]])</f>
        <v>12</v>
      </c>
      <c r="E1889" t="s">
        <v>8170</v>
      </c>
      <c r="F1889" t="s">
        <v>8171</v>
      </c>
      <c r="G1889" s="23" t="s">
        <v>41</v>
      </c>
      <c r="H1889" s="23" t="s">
        <v>53</v>
      </c>
      <c r="I1889" t="s">
        <v>2998</v>
      </c>
      <c r="J1889" s="23" t="s">
        <v>92</v>
      </c>
      <c r="K1889" s="22">
        <v>4</v>
      </c>
      <c r="L1889" s="1">
        <v>41999</v>
      </c>
      <c r="M1889" s="22">
        <f>Table12[[#This Row],[Ship Date]]-Table12[[#This Row],[Order Date]]</f>
        <v>4</v>
      </c>
      <c r="N1889" s="23" t="s">
        <v>45</v>
      </c>
      <c r="O1889" s="23" t="s">
        <v>23</v>
      </c>
      <c r="P1889" s="23" t="s">
        <v>238</v>
      </c>
      <c r="Q1889" s="23" t="s">
        <v>133</v>
      </c>
      <c r="R1889" s="23" t="s">
        <v>237</v>
      </c>
      <c r="S1889" s="33">
        <v>0</v>
      </c>
      <c r="T1889" s="13">
        <v>216.4</v>
      </c>
      <c r="U1889" s="13">
        <v>56.264000000000003</v>
      </c>
      <c r="V1889" s="55">
        <f>IFERROR(Table12[[#This Row],[Profit]]/Table12[[#This Row],[Sales]],0)</f>
        <v>0.26</v>
      </c>
    </row>
    <row r="1890" spans="1:22" x14ac:dyDescent="0.2">
      <c r="A1890">
        <v>1889</v>
      </c>
      <c r="B1890" t="s">
        <v>8396</v>
      </c>
      <c r="C1890" s="1">
        <v>41995</v>
      </c>
      <c r="D1890" s="22">
        <f>MONTH(Table12[[#This Row],[Order Date]])</f>
        <v>12</v>
      </c>
      <c r="E1890" t="s">
        <v>1866</v>
      </c>
      <c r="F1890" t="s">
        <v>1867</v>
      </c>
      <c r="G1890" s="23" t="s">
        <v>41</v>
      </c>
      <c r="H1890" s="23" t="s">
        <v>53</v>
      </c>
      <c r="I1890" t="s">
        <v>3079</v>
      </c>
      <c r="J1890" s="23" t="s">
        <v>22</v>
      </c>
      <c r="K1890" s="22">
        <v>1</v>
      </c>
      <c r="L1890" s="1">
        <v>42002</v>
      </c>
      <c r="M1890" s="22">
        <f>Table12[[#This Row],[Ship Date]]-Table12[[#This Row],[Order Date]]</f>
        <v>7</v>
      </c>
      <c r="N1890" s="23" t="s">
        <v>45</v>
      </c>
      <c r="O1890" s="23" t="s">
        <v>23</v>
      </c>
      <c r="P1890" s="23" t="s">
        <v>189</v>
      </c>
      <c r="Q1890" s="23" t="s">
        <v>95</v>
      </c>
      <c r="R1890" s="23" t="s">
        <v>271</v>
      </c>
      <c r="S1890" s="33">
        <v>0.2</v>
      </c>
      <c r="T1890" s="13">
        <v>132.16</v>
      </c>
      <c r="U1890" s="13">
        <v>9.9120000000000008</v>
      </c>
      <c r="V1890" s="55">
        <f>IFERROR(Table12[[#This Row],[Profit]]/Table12[[#This Row],[Sales]],0)</f>
        <v>7.5000000000000011E-2</v>
      </c>
    </row>
    <row r="1891" spans="1:22" x14ac:dyDescent="0.2">
      <c r="A1891">
        <v>1890</v>
      </c>
      <c r="B1891" t="s">
        <v>8396</v>
      </c>
      <c r="C1891" s="1">
        <v>41995</v>
      </c>
      <c r="D1891" s="22">
        <f>MONTH(Table12[[#This Row],[Order Date]])</f>
        <v>12</v>
      </c>
      <c r="E1891" t="s">
        <v>1805</v>
      </c>
      <c r="F1891" t="s">
        <v>1806</v>
      </c>
      <c r="G1891" s="23" t="s">
        <v>41</v>
      </c>
      <c r="H1891" s="23" t="s">
        <v>68</v>
      </c>
      <c r="I1891" t="s">
        <v>3079</v>
      </c>
      <c r="J1891" s="23" t="s">
        <v>22</v>
      </c>
      <c r="K1891" s="22">
        <v>6</v>
      </c>
      <c r="L1891" s="1">
        <v>42002</v>
      </c>
      <c r="M1891" s="22">
        <f>Table12[[#This Row],[Ship Date]]-Table12[[#This Row],[Order Date]]</f>
        <v>7</v>
      </c>
      <c r="N1891" s="23" t="s">
        <v>45</v>
      </c>
      <c r="O1891" s="23" t="s">
        <v>23</v>
      </c>
      <c r="P1891" s="23" t="s">
        <v>189</v>
      </c>
      <c r="Q1891" s="23" t="s">
        <v>95</v>
      </c>
      <c r="R1891" s="23" t="s">
        <v>271</v>
      </c>
      <c r="S1891" s="33">
        <v>0.8</v>
      </c>
      <c r="T1891" s="13">
        <v>17.904</v>
      </c>
      <c r="U1891" s="13">
        <v>-31.332000000000001</v>
      </c>
      <c r="V1891" s="55">
        <f>IFERROR(Table12[[#This Row],[Profit]]/Table12[[#This Row],[Sales]],0)</f>
        <v>-1.75</v>
      </c>
    </row>
    <row r="1892" spans="1:22" x14ac:dyDescent="0.2">
      <c r="A1892">
        <v>1891</v>
      </c>
      <c r="B1892" t="s">
        <v>8396</v>
      </c>
      <c r="C1892" s="1">
        <v>41995</v>
      </c>
      <c r="D1892" s="22">
        <f>MONTH(Table12[[#This Row],[Order Date]])</f>
        <v>12</v>
      </c>
      <c r="E1892" t="s">
        <v>3346</v>
      </c>
      <c r="F1892" t="s">
        <v>3347</v>
      </c>
      <c r="G1892" s="23" t="s">
        <v>41</v>
      </c>
      <c r="H1892" s="23" t="s">
        <v>82</v>
      </c>
      <c r="I1892" t="s">
        <v>3079</v>
      </c>
      <c r="J1892" s="23" t="s">
        <v>22</v>
      </c>
      <c r="K1892" s="22">
        <v>4</v>
      </c>
      <c r="L1892" s="1">
        <v>42002</v>
      </c>
      <c r="M1892" s="22">
        <f>Table12[[#This Row],[Ship Date]]-Table12[[#This Row],[Order Date]]</f>
        <v>7</v>
      </c>
      <c r="N1892" s="23" t="s">
        <v>45</v>
      </c>
      <c r="O1892" s="23" t="s">
        <v>23</v>
      </c>
      <c r="P1892" s="23" t="s">
        <v>189</v>
      </c>
      <c r="Q1892" s="23" t="s">
        <v>95</v>
      </c>
      <c r="R1892" s="23" t="s">
        <v>271</v>
      </c>
      <c r="S1892" s="33">
        <v>0.2</v>
      </c>
      <c r="T1892" s="13">
        <v>124.032</v>
      </c>
      <c r="U1892" s="13">
        <v>44.961599999999997</v>
      </c>
      <c r="V1892" s="55">
        <f>IFERROR(Table12[[#This Row],[Profit]]/Table12[[#This Row],[Sales]],0)</f>
        <v>0.36249999999999999</v>
      </c>
    </row>
    <row r="1893" spans="1:22" x14ac:dyDescent="0.2">
      <c r="A1893">
        <v>1892</v>
      </c>
      <c r="B1893" t="s">
        <v>10013</v>
      </c>
      <c r="C1893" s="1">
        <v>41995</v>
      </c>
      <c r="D1893" s="22">
        <f>MONTH(Table12[[#This Row],[Order Date]])</f>
        <v>12</v>
      </c>
      <c r="E1893" t="s">
        <v>2389</v>
      </c>
      <c r="F1893" t="s">
        <v>2390</v>
      </c>
      <c r="G1893" s="23" t="s">
        <v>41</v>
      </c>
      <c r="H1893" s="23" t="s">
        <v>68</v>
      </c>
      <c r="I1893" t="s">
        <v>549</v>
      </c>
      <c r="J1893" s="23" t="s">
        <v>92</v>
      </c>
      <c r="K1893" s="22">
        <v>13</v>
      </c>
      <c r="L1893" s="1">
        <v>41999</v>
      </c>
      <c r="M1893" s="22">
        <f>Table12[[#This Row],[Ship Date]]-Table12[[#This Row],[Order Date]]</f>
        <v>4</v>
      </c>
      <c r="N1893" s="23" t="s">
        <v>45</v>
      </c>
      <c r="O1893" s="23" t="s">
        <v>23</v>
      </c>
      <c r="P1893" s="23" t="s">
        <v>238</v>
      </c>
      <c r="Q1893" s="23" t="s">
        <v>133</v>
      </c>
      <c r="R1893" s="23" t="s">
        <v>237</v>
      </c>
      <c r="S1893" s="33">
        <v>0.2</v>
      </c>
      <c r="T1893" s="13">
        <v>296.71199999999999</v>
      </c>
      <c r="U1893" s="13">
        <v>100.1403</v>
      </c>
      <c r="V1893" s="55">
        <f>IFERROR(Table12[[#This Row],[Profit]]/Table12[[#This Row],[Sales]],0)</f>
        <v>0.33750000000000002</v>
      </c>
    </row>
    <row r="1894" spans="1:22" x14ac:dyDescent="0.2">
      <c r="A1894">
        <v>1893</v>
      </c>
      <c r="B1894" t="s">
        <v>5743</v>
      </c>
      <c r="C1894" s="1">
        <v>41996</v>
      </c>
      <c r="D1894" s="22">
        <f>MONTH(Table12[[#This Row],[Order Date]])</f>
        <v>12</v>
      </c>
      <c r="E1894" t="s">
        <v>1884</v>
      </c>
      <c r="F1894" t="s">
        <v>1885</v>
      </c>
      <c r="G1894" s="23" t="s">
        <v>41</v>
      </c>
      <c r="H1894" s="23" t="s">
        <v>71</v>
      </c>
      <c r="I1894" t="s">
        <v>1714</v>
      </c>
      <c r="J1894" s="23" t="s">
        <v>22</v>
      </c>
      <c r="K1894" s="22">
        <v>11</v>
      </c>
      <c r="L1894" s="1">
        <v>42001</v>
      </c>
      <c r="M1894" s="22">
        <f>Table12[[#This Row],[Ship Date]]-Table12[[#This Row],[Order Date]]</f>
        <v>5</v>
      </c>
      <c r="N1894" s="23" t="s">
        <v>45</v>
      </c>
      <c r="O1894" s="23" t="s">
        <v>23</v>
      </c>
      <c r="P1894" s="23" t="s">
        <v>226</v>
      </c>
      <c r="Q1894" s="23" t="s">
        <v>95</v>
      </c>
      <c r="R1894" s="23" t="s">
        <v>1294</v>
      </c>
      <c r="S1894" s="33">
        <v>0</v>
      </c>
      <c r="T1894" s="13">
        <v>207.24</v>
      </c>
      <c r="U1894" s="13">
        <v>58.027200000000001</v>
      </c>
      <c r="V1894" s="55">
        <f>IFERROR(Table12[[#This Row],[Profit]]/Table12[[#This Row],[Sales]],0)</f>
        <v>0.27999999999999997</v>
      </c>
    </row>
    <row r="1895" spans="1:22" x14ac:dyDescent="0.2">
      <c r="A1895">
        <v>1894</v>
      </c>
      <c r="B1895" t="s">
        <v>6391</v>
      </c>
      <c r="C1895" s="1">
        <v>41996</v>
      </c>
      <c r="D1895" s="22">
        <f>MONTH(Table12[[#This Row],[Order Date]])</f>
        <v>12</v>
      </c>
      <c r="E1895" t="s">
        <v>3358</v>
      </c>
      <c r="F1895" t="s">
        <v>3359</v>
      </c>
      <c r="G1895" s="23" t="s">
        <v>28</v>
      </c>
      <c r="H1895" s="23" t="s">
        <v>50</v>
      </c>
      <c r="I1895" t="s">
        <v>1913</v>
      </c>
      <c r="J1895" s="23" t="s">
        <v>36</v>
      </c>
      <c r="K1895" s="22">
        <v>2</v>
      </c>
      <c r="L1895" s="1">
        <v>42000</v>
      </c>
      <c r="M1895" s="22">
        <f>Table12[[#This Row],[Ship Date]]-Table12[[#This Row],[Order Date]]</f>
        <v>4</v>
      </c>
      <c r="N1895" s="23" t="s">
        <v>45</v>
      </c>
      <c r="O1895" s="23" t="s">
        <v>23</v>
      </c>
      <c r="P1895" s="23" t="s">
        <v>238</v>
      </c>
      <c r="Q1895" s="23" t="s">
        <v>133</v>
      </c>
      <c r="R1895" s="23" t="s">
        <v>237</v>
      </c>
      <c r="S1895" s="33">
        <v>0.4</v>
      </c>
      <c r="T1895" s="13">
        <v>53.316000000000003</v>
      </c>
      <c r="U1895" s="13">
        <v>-19.549199999999999</v>
      </c>
      <c r="V1895" s="55">
        <f>IFERROR(Table12[[#This Row],[Profit]]/Table12[[#This Row],[Sales]],0)</f>
        <v>-0.36666666666666664</v>
      </c>
    </row>
    <row r="1896" spans="1:22" x14ac:dyDescent="0.2">
      <c r="A1896">
        <v>1895</v>
      </c>
      <c r="B1896" t="s">
        <v>6391</v>
      </c>
      <c r="C1896" s="1">
        <v>41996</v>
      </c>
      <c r="D1896" s="22">
        <f>MONTH(Table12[[#This Row],[Order Date]])</f>
        <v>12</v>
      </c>
      <c r="E1896" t="s">
        <v>1884</v>
      </c>
      <c r="F1896" t="s">
        <v>1885</v>
      </c>
      <c r="G1896" s="23" t="s">
        <v>41</v>
      </c>
      <c r="H1896" s="23" t="s">
        <v>71</v>
      </c>
      <c r="I1896" t="s">
        <v>1913</v>
      </c>
      <c r="J1896" s="23" t="s">
        <v>36</v>
      </c>
      <c r="K1896" s="22">
        <v>3</v>
      </c>
      <c r="L1896" s="1">
        <v>42000</v>
      </c>
      <c r="M1896" s="22">
        <f>Table12[[#This Row],[Ship Date]]-Table12[[#This Row],[Order Date]]</f>
        <v>4</v>
      </c>
      <c r="N1896" s="23" t="s">
        <v>45</v>
      </c>
      <c r="O1896" s="23" t="s">
        <v>23</v>
      </c>
      <c r="P1896" s="23" t="s">
        <v>238</v>
      </c>
      <c r="Q1896" s="23" t="s">
        <v>133</v>
      </c>
      <c r="R1896" s="23" t="s">
        <v>237</v>
      </c>
      <c r="S1896" s="33">
        <v>0</v>
      </c>
      <c r="T1896" s="13">
        <v>56.52</v>
      </c>
      <c r="U1896" s="13">
        <v>15.8256</v>
      </c>
      <c r="V1896" s="55">
        <f>IFERROR(Table12[[#This Row],[Profit]]/Table12[[#This Row],[Sales]],0)</f>
        <v>0.27999999999999997</v>
      </c>
    </row>
    <row r="1897" spans="1:22" x14ac:dyDescent="0.2">
      <c r="A1897">
        <v>1896</v>
      </c>
      <c r="B1897" t="s">
        <v>8459</v>
      </c>
      <c r="C1897" s="1">
        <v>41996</v>
      </c>
      <c r="D1897" s="22">
        <f>MONTH(Table12[[#This Row],[Order Date]])</f>
        <v>12</v>
      </c>
      <c r="E1897" t="s">
        <v>5136</v>
      </c>
      <c r="F1897" t="s">
        <v>5137</v>
      </c>
      <c r="G1897" s="23" t="s">
        <v>41</v>
      </c>
      <c r="H1897" s="23" t="s">
        <v>82</v>
      </c>
      <c r="I1897" t="s">
        <v>4128</v>
      </c>
      <c r="J1897" s="23" t="s">
        <v>36</v>
      </c>
      <c r="K1897" s="22">
        <v>1</v>
      </c>
      <c r="L1897" s="1">
        <v>42001</v>
      </c>
      <c r="M1897" s="22">
        <f>Table12[[#This Row],[Ship Date]]-Table12[[#This Row],[Order Date]]</f>
        <v>5</v>
      </c>
      <c r="N1897" s="23" t="s">
        <v>45</v>
      </c>
      <c r="O1897" s="23" t="s">
        <v>23</v>
      </c>
      <c r="P1897" s="23" t="s">
        <v>94</v>
      </c>
      <c r="Q1897" s="23" t="s">
        <v>95</v>
      </c>
      <c r="R1897" s="23" t="s">
        <v>6648</v>
      </c>
      <c r="S1897" s="33">
        <v>0.2</v>
      </c>
      <c r="T1897" s="13">
        <v>5.1840000000000002</v>
      </c>
      <c r="U1897" s="13">
        <v>1.8144</v>
      </c>
      <c r="V1897" s="55">
        <f>IFERROR(Table12[[#This Row],[Profit]]/Table12[[#This Row],[Sales]],0)</f>
        <v>0.35</v>
      </c>
    </row>
    <row r="1898" spans="1:22" x14ac:dyDescent="0.2">
      <c r="A1898">
        <v>1897</v>
      </c>
      <c r="B1898" t="s">
        <v>9799</v>
      </c>
      <c r="C1898" s="1">
        <v>41996</v>
      </c>
      <c r="D1898" s="22">
        <f>MONTH(Table12[[#This Row],[Order Date]])</f>
        <v>12</v>
      </c>
      <c r="E1898" t="s">
        <v>4407</v>
      </c>
      <c r="F1898" t="s">
        <v>4408</v>
      </c>
      <c r="G1898" s="23" t="s">
        <v>41</v>
      </c>
      <c r="H1898" s="23" t="s">
        <v>82</v>
      </c>
      <c r="I1898" t="s">
        <v>852</v>
      </c>
      <c r="J1898" s="23" t="s">
        <v>22</v>
      </c>
      <c r="K1898" s="22">
        <v>3</v>
      </c>
      <c r="L1898" s="1">
        <v>42000</v>
      </c>
      <c r="M1898" s="22">
        <f>Table12[[#This Row],[Ship Date]]-Table12[[#This Row],[Order Date]]</f>
        <v>4</v>
      </c>
      <c r="N1898" s="23" t="s">
        <v>20</v>
      </c>
      <c r="O1898" s="23" t="s">
        <v>23</v>
      </c>
      <c r="P1898" s="23" t="s">
        <v>48</v>
      </c>
      <c r="Q1898" s="23" t="s">
        <v>26</v>
      </c>
      <c r="R1898" s="23" t="s">
        <v>793</v>
      </c>
      <c r="S1898" s="33">
        <v>0.2</v>
      </c>
      <c r="T1898" s="13">
        <v>45.527999999999999</v>
      </c>
      <c r="U1898" s="13">
        <v>15.934799999999999</v>
      </c>
      <c r="V1898" s="55">
        <f>IFERROR(Table12[[#This Row],[Profit]]/Table12[[#This Row],[Sales]],0)</f>
        <v>0.35</v>
      </c>
    </row>
    <row r="1899" spans="1:22" x14ac:dyDescent="0.2">
      <c r="A1899">
        <v>1898</v>
      </c>
      <c r="B1899" t="s">
        <v>9799</v>
      </c>
      <c r="C1899" s="1">
        <v>41996</v>
      </c>
      <c r="D1899" s="22">
        <f>MONTH(Table12[[#This Row],[Order Date]])</f>
        <v>12</v>
      </c>
      <c r="E1899" t="s">
        <v>633</v>
      </c>
      <c r="F1899" t="s">
        <v>634</v>
      </c>
      <c r="G1899" s="23" t="s">
        <v>28</v>
      </c>
      <c r="H1899" s="23" t="s">
        <v>32</v>
      </c>
      <c r="I1899" t="s">
        <v>852</v>
      </c>
      <c r="J1899" s="23" t="s">
        <v>22</v>
      </c>
      <c r="K1899" s="22">
        <v>1</v>
      </c>
      <c r="L1899" s="1">
        <v>42000</v>
      </c>
      <c r="M1899" s="22">
        <f>Table12[[#This Row],[Ship Date]]-Table12[[#This Row],[Order Date]]</f>
        <v>4</v>
      </c>
      <c r="N1899" s="23" t="s">
        <v>20</v>
      </c>
      <c r="O1899" s="23" t="s">
        <v>23</v>
      </c>
      <c r="P1899" s="23" t="s">
        <v>48</v>
      </c>
      <c r="Q1899" s="23" t="s">
        <v>26</v>
      </c>
      <c r="R1899" s="23" t="s">
        <v>793</v>
      </c>
      <c r="S1899" s="33">
        <v>0.2</v>
      </c>
      <c r="T1899" s="13">
        <v>64.784000000000006</v>
      </c>
      <c r="U1899" s="13">
        <v>6.4783999999999997</v>
      </c>
      <c r="V1899" s="55">
        <f>IFERROR(Table12[[#This Row],[Profit]]/Table12[[#This Row],[Sales]],0)</f>
        <v>9.9999999999999992E-2</v>
      </c>
    </row>
    <row r="1900" spans="1:22" x14ac:dyDescent="0.2">
      <c r="A1900">
        <v>1899</v>
      </c>
      <c r="B1900" t="s">
        <v>9799</v>
      </c>
      <c r="C1900" s="1">
        <v>41996</v>
      </c>
      <c r="D1900" s="22">
        <f>MONTH(Table12[[#This Row],[Order Date]])</f>
        <v>12</v>
      </c>
      <c r="E1900" t="s">
        <v>4435</v>
      </c>
      <c r="F1900" t="s">
        <v>4436</v>
      </c>
      <c r="G1900" s="23" t="s">
        <v>41</v>
      </c>
      <c r="H1900" s="23" t="s">
        <v>53</v>
      </c>
      <c r="I1900" t="s">
        <v>852</v>
      </c>
      <c r="J1900" s="23" t="s">
        <v>22</v>
      </c>
      <c r="K1900" s="22">
        <v>2</v>
      </c>
      <c r="L1900" s="1">
        <v>42000</v>
      </c>
      <c r="M1900" s="22">
        <f>Table12[[#This Row],[Ship Date]]-Table12[[#This Row],[Order Date]]</f>
        <v>4</v>
      </c>
      <c r="N1900" s="23" t="s">
        <v>20</v>
      </c>
      <c r="O1900" s="23" t="s">
        <v>23</v>
      </c>
      <c r="P1900" s="23" t="s">
        <v>48</v>
      </c>
      <c r="Q1900" s="23" t="s">
        <v>26</v>
      </c>
      <c r="R1900" s="23" t="s">
        <v>793</v>
      </c>
      <c r="S1900" s="33">
        <v>0.2</v>
      </c>
      <c r="T1900" s="13">
        <v>424.27199999999999</v>
      </c>
      <c r="U1900" s="13">
        <v>-10.6068</v>
      </c>
      <c r="V1900" s="55">
        <f>IFERROR(Table12[[#This Row],[Profit]]/Table12[[#This Row],[Sales]],0)</f>
        <v>-2.5000000000000001E-2</v>
      </c>
    </row>
    <row r="1901" spans="1:22" x14ac:dyDescent="0.2">
      <c r="A1901">
        <v>1900</v>
      </c>
      <c r="B1901" t="s">
        <v>9799</v>
      </c>
      <c r="C1901" s="1">
        <v>41996</v>
      </c>
      <c r="D1901" s="22">
        <f>MONTH(Table12[[#This Row],[Order Date]])</f>
        <v>12</v>
      </c>
      <c r="E1901" t="s">
        <v>257</v>
      </c>
      <c r="F1901" t="s">
        <v>258</v>
      </c>
      <c r="G1901" s="23" t="s">
        <v>41</v>
      </c>
      <c r="H1901" s="23" t="s">
        <v>61</v>
      </c>
      <c r="I1901" t="s">
        <v>852</v>
      </c>
      <c r="J1901" s="23" t="s">
        <v>22</v>
      </c>
      <c r="K1901" s="22">
        <v>1</v>
      </c>
      <c r="L1901" s="1">
        <v>42000</v>
      </c>
      <c r="M1901" s="22">
        <f>Table12[[#This Row],[Ship Date]]-Table12[[#This Row],[Order Date]]</f>
        <v>4</v>
      </c>
      <c r="N1901" s="23" t="s">
        <v>20</v>
      </c>
      <c r="O1901" s="23" t="s">
        <v>23</v>
      </c>
      <c r="P1901" s="23" t="s">
        <v>48</v>
      </c>
      <c r="Q1901" s="23" t="s">
        <v>26</v>
      </c>
      <c r="R1901" s="23" t="s">
        <v>793</v>
      </c>
      <c r="S1901" s="33">
        <v>0.2</v>
      </c>
      <c r="T1901" s="13">
        <v>1.3440000000000001</v>
      </c>
      <c r="U1901" s="13">
        <v>0.504</v>
      </c>
      <c r="V1901" s="55">
        <f>IFERROR(Table12[[#This Row],[Profit]]/Table12[[#This Row],[Sales]],0)</f>
        <v>0.375</v>
      </c>
    </row>
    <row r="1902" spans="1:22" x14ac:dyDescent="0.2">
      <c r="A1902">
        <v>1901</v>
      </c>
      <c r="B1902" t="s">
        <v>9799</v>
      </c>
      <c r="C1902" s="1">
        <v>41996</v>
      </c>
      <c r="D1902" s="22">
        <f>MONTH(Table12[[#This Row],[Order Date]])</f>
        <v>12</v>
      </c>
      <c r="E1902" t="s">
        <v>3540</v>
      </c>
      <c r="F1902" t="s">
        <v>3541</v>
      </c>
      <c r="G1902" s="23" t="s">
        <v>41</v>
      </c>
      <c r="H1902" s="23" t="s">
        <v>53</v>
      </c>
      <c r="I1902" t="s">
        <v>852</v>
      </c>
      <c r="J1902" s="23" t="s">
        <v>22</v>
      </c>
      <c r="K1902" s="22">
        <v>5</v>
      </c>
      <c r="L1902" s="1">
        <v>42000</v>
      </c>
      <c r="M1902" s="22">
        <f>Table12[[#This Row],[Ship Date]]-Table12[[#This Row],[Order Date]]</f>
        <v>4</v>
      </c>
      <c r="N1902" s="23" t="s">
        <v>20</v>
      </c>
      <c r="O1902" s="23" t="s">
        <v>23</v>
      </c>
      <c r="P1902" s="23" t="s">
        <v>48</v>
      </c>
      <c r="Q1902" s="23" t="s">
        <v>26</v>
      </c>
      <c r="R1902" s="23" t="s">
        <v>793</v>
      </c>
      <c r="S1902" s="33">
        <v>0.2</v>
      </c>
      <c r="T1902" s="13">
        <v>83.92</v>
      </c>
      <c r="U1902" s="13">
        <v>-1.0489999999999999</v>
      </c>
      <c r="V1902" s="55">
        <f>IFERROR(Table12[[#This Row],[Profit]]/Table12[[#This Row],[Sales]],0)</f>
        <v>-1.2499999999999999E-2</v>
      </c>
    </row>
    <row r="1903" spans="1:22" x14ac:dyDescent="0.2">
      <c r="A1903">
        <v>1902</v>
      </c>
      <c r="B1903" t="s">
        <v>1251</v>
      </c>
      <c r="C1903" s="1">
        <v>41997</v>
      </c>
      <c r="D1903" s="22">
        <f>MONTH(Table12[[#This Row],[Order Date]])</f>
        <v>12</v>
      </c>
      <c r="E1903" t="s">
        <v>1254</v>
      </c>
      <c r="F1903" t="s">
        <v>1255</v>
      </c>
      <c r="G1903" s="23" t="s">
        <v>41</v>
      </c>
      <c r="H1903" s="23" t="s">
        <v>82</v>
      </c>
      <c r="I1903" t="s">
        <v>1252</v>
      </c>
      <c r="J1903" s="23" t="s">
        <v>22</v>
      </c>
      <c r="K1903" s="22">
        <v>2</v>
      </c>
      <c r="L1903" s="1">
        <v>41999</v>
      </c>
      <c r="M1903" s="22">
        <f>Table12[[#This Row],[Ship Date]]-Table12[[#This Row],[Order Date]]</f>
        <v>2</v>
      </c>
      <c r="N1903" s="23" t="s">
        <v>169</v>
      </c>
      <c r="O1903" s="23" t="s">
        <v>23</v>
      </c>
      <c r="P1903" s="23" t="s">
        <v>48</v>
      </c>
      <c r="Q1903" s="23" t="s">
        <v>26</v>
      </c>
      <c r="R1903" s="23" t="s">
        <v>1253</v>
      </c>
      <c r="S1903" s="33">
        <v>0.2</v>
      </c>
      <c r="T1903" s="13">
        <v>9.5679999999999996</v>
      </c>
      <c r="U1903" s="13">
        <v>3.4683999999999999</v>
      </c>
      <c r="V1903" s="55">
        <f>IFERROR(Table12[[#This Row],[Profit]]/Table12[[#This Row],[Sales]],0)</f>
        <v>0.36249999999999999</v>
      </c>
    </row>
    <row r="1904" spans="1:22" x14ac:dyDescent="0.2">
      <c r="A1904">
        <v>1903</v>
      </c>
      <c r="B1904" t="s">
        <v>1918</v>
      </c>
      <c r="C1904" s="1">
        <v>41997</v>
      </c>
      <c r="D1904" s="22">
        <f>MONTH(Table12[[#This Row],[Order Date]])</f>
        <v>12</v>
      </c>
      <c r="E1904" t="s">
        <v>1921</v>
      </c>
      <c r="F1904" t="s">
        <v>1922</v>
      </c>
      <c r="G1904" s="23" t="s">
        <v>28</v>
      </c>
      <c r="H1904" s="23" t="s">
        <v>58</v>
      </c>
      <c r="I1904" t="s">
        <v>1919</v>
      </c>
      <c r="J1904" s="23" t="s">
        <v>22</v>
      </c>
      <c r="K1904" s="22">
        <v>5</v>
      </c>
      <c r="L1904" s="1">
        <v>41999</v>
      </c>
      <c r="M1904" s="22">
        <f>Table12[[#This Row],[Ship Date]]-Table12[[#This Row],[Order Date]]</f>
        <v>2</v>
      </c>
      <c r="N1904" s="23" t="s">
        <v>169</v>
      </c>
      <c r="O1904" s="23" t="s">
        <v>23</v>
      </c>
      <c r="P1904" s="23" t="s">
        <v>441</v>
      </c>
      <c r="Q1904" s="23" t="s">
        <v>133</v>
      </c>
      <c r="R1904" s="23" t="s">
        <v>1920</v>
      </c>
      <c r="S1904" s="33">
        <v>0.2</v>
      </c>
      <c r="T1904" s="13">
        <v>30.36</v>
      </c>
      <c r="U1904" s="13">
        <v>8.7285000000000004</v>
      </c>
      <c r="V1904" s="55">
        <f>IFERROR(Table12[[#This Row],[Profit]]/Table12[[#This Row],[Sales]],0)</f>
        <v>0.28750000000000003</v>
      </c>
    </row>
    <row r="1905" spans="1:22" x14ac:dyDescent="0.2">
      <c r="A1905">
        <v>1904</v>
      </c>
      <c r="B1905" t="s">
        <v>3119</v>
      </c>
      <c r="C1905" s="1">
        <v>41997</v>
      </c>
      <c r="D1905" s="22">
        <f>MONTH(Table12[[#This Row],[Order Date]])</f>
        <v>12</v>
      </c>
      <c r="E1905" t="s">
        <v>1341</v>
      </c>
      <c r="F1905" t="s">
        <v>1342</v>
      </c>
      <c r="G1905" s="23" t="s">
        <v>41</v>
      </c>
      <c r="H1905" s="23" t="s">
        <v>53</v>
      </c>
      <c r="I1905" t="s">
        <v>332</v>
      </c>
      <c r="J1905" s="23" t="s">
        <v>36</v>
      </c>
      <c r="K1905" s="22">
        <v>1</v>
      </c>
      <c r="L1905" s="1">
        <v>42002</v>
      </c>
      <c r="M1905" s="22">
        <f>Table12[[#This Row],[Ship Date]]-Table12[[#This Row],[Order Date]]</f>
        <v>5</v>
      </c>
      <c r="N1905" s="23" t="s">
        <v>45</v>
      </c>
      <c r="O1905" s="23" t="s">
        <v>23</v>
      </c>
      <c r="P1905" s="23" t="s">
        <v>38</v>
      </c>
      <c r="Q1905" s="23" t="s">
        <v>39</v>
      </c>
      <c r="R1905" s="23" t="s">
        <v>37</v>
      </c>
      <c r="S1905" s="33">
        <v>0</v>
      </c>
      <c r="T1905" s="13">
        <v>142.86000000000001</v>
      </c>
      <c r="U1905" s="13">
        <v>41.429400000000001</v>
      </c>
      <c r="V1905" s="55">
        <f>IFERROR(Table12[[#This Row],[Profit]]/Table12[[#This Row],[Sales]],0)</f>
        <v>0.28999999999999998</v>
      </c>
    </row>
    <row r="1906" spans="1:22" x14ac:dyDescent="0.2">
      <c r="A1906">
        <v>1905</v>
      </c>
      <c r="B1906" t="s">
        <v>3119</v>
      </c>
      <c r="C1906" s="1">
        <v>41997</v>
      </c>
      <c r="D1906" s="22">
        <f>MONTH(Table12[[#This Row],[Order Date]])</f>
        <v>12</v>
      </c>
      <c r="E1906" t="s">
        <v>272</v>
      </c>
      <c r="F1906" t="s">
        <v>273</v>
      </c>
      <c r="G1906" s="23" t="s">
        <v>28</v>
      </c>
      <c r="H1906" s="23" t="s">
        <v>32</v>
      </c>
      <c r="I1906" t="s">
        <v>332</v>
      </c>
      <c r="J1906" s="23" t="s">
        <v>36</v>
      </c>
      <c r="K1906" s="22">
        <v>6</v>
      </c>
      <c r="L1906" s="1">
        <v>42002</v>
      </c>
      <c r="M1906" s="22">
        <f>Table12[[#This Row],[Ship Date]]-Table12[[#This Row],[Order Date]]</f>
        <v>5</v>
      </c>
      <c r="N1906" s="23" t="s">
        <v>45</v>
      </c>
      <c r="O1906" s="23" t="s">
        <v>23</v>
      </c>
      <c r="P1906" s="23" t="s">
        <v>38</v>
      </c>
      <c r="Q1906" s="23" t="s">
        <v>39</v>
      </c>
      <c r="R1906" s="23" t="s">
        <v>37</v>
      </c>
      <c r="S1906" s="33">
        <v>0.2</v>
      </c>
      <c r="T1906" s="13">
        <v>292.27199999999999</v>
      </c>
      <c r="U1906" s="13">
        <v>18.266999999999999</v>
      </c>
      <c r="V1906" s="55">
        <f>IFERROR(Table12[[#This Row],[Profit]]/Table12[[#This Row],[Sales]],0)</f>
        <v>6.25E-2</v>
      </c>
    </row>
    <row r="1907" spans="1:22" x14ac:dyDescent="0.2">
      <c r="A1907">
        <v>1906</v>
      </c>
      <c r="B1907" t="s">
        <v>6806</v>
      </c>
      <c r="C1907" s="1">
        <v>41997</v>
      </c>
      <c r="D1907" s="22">
        <f>MONTH(Table12[[#This Row],[Order Date]])</f>
        <v>12</v>
      </c>
      <c r="E1907" t="s">
        <v>6807</v>
      </c>
      <c r="F1907" t="s">
        <v>6808</v>
      </c>
      <c r="G1907" s="23" t="s">
        <v>64</v>
      </c>
      <c r="H1907" s="23" t="s">
        <v>65</v>
      </c>
      <c r="I1907" t="s">
        <v>3034</v>
      </c>
      <c r="J1907" s="23" t="s">
        <v>92</v>
      </c>
      <c r="K1907" s="22">
        <v>7</v>
      </c>
      <c r="L1907" s="1">
        <v>42002</v>
      </c>
      <c r="M1907" s="22">
        <f>Table12[[#This Row],[Ship Date]]-Table12[[#This Row],[Order Date]]</f>
        <v>5</v>
      </c>
      <c r="N1907" s="23" t="s">
        <v>45</v>
      </c>
      <c r="O1907" s="23" t="s">
        <v>23</v>
      </c>
      <c r="P1907" s="23" t="s">
        <v>38</v>
      </c>
      <c r="Q1907" s="23" t="s">
        <v>39</v>
      </c>
      <c r="R1907" s="23" t="s">
        <v>37</v>
      </c>
      <c r="S1907" s="33">
        <v>0.2</v>
      </c>
      <c r="T1907" s="13">
        <v>173.65600000000001</v>
      </c>
      <c r="U1907" s="13">
        <v>17.365600000000001</v>
      </c>
      <c r="V1907" s="55">
        <f>IFERROR(Table12[[#This Row],[Profit]]/Table12[[#This Row],[Sales]],0)</f>
        <v>0.1</v>
      </c>
    </row>
    <row r="1908" spans="1:22" x14ac:dyDescent="0.2">
      <c r="A1908">
        <v>1907</v>
      </c>
      <c r="B1908" t="s">
        <v>6806</v>
      </c>
      <c r="C1908" s="1">
        <v>41997</v>
      </c>
      <c r="D1908" s="22">
        <f>MONTH(Table12[[#This Row],[Order Date]])</f>
        <v>12</v>
      </c>
      <c r="E1908" t="s">
        <v>3902</v>
      </c>
      <c r="F1908" t="s">
        <v>3903</v>
      </c>
      <c r="G1908" s="23" t="s">
        <v>41</v>
      </c>
      <c r="H1908" s="23" t="s">
        <v>71</v>
      </c>
      <c r="I1908" t="s">
        <v>3034</v>
      </c>
      <c r="J1908" s="23" t="s">
        <v>92</v>
      </c>
      <c r="K1908" s="22">
        <v>2</v>
      </c>
      <c r="L1908" s="1">
        <v>42002</v>
      </c>
      <c r="M1908" s="22">
        <f>Table12[[#This Row],[Ship Date]]-Table12[[#This Row],[Order Date]]</f>
        <v>5</v>
      </c>
      <c r="N1908" s="23" t="s">
        <v>45</v>
      </c>
      <c r="O1908" s="23" t="s">
        <v>23</v>
      </c>
      <c r="P1908" s="23" t="s">
        <v>38</v>
      </c>
      <c r="Q1908" s="23" t="s">
        <v>39</v>
      </c>
      <c r="R1908" s="23" t="s">
        <v>37</v>
      </c>
      <c r="S1908" s="33">
        <v>0</v>
      </c>
      <c r="T1908" s="13">
        <v>361.96</v>
      </c>
      <c r="U1908" s="13">
        <v>101.3488</v>
      </c>
      <c r="V1908" s="55">
        <f>IFERROR(Table12[[#This Row],[Profit]]/Table12[[#This Row],[Sales]],0)</f>
        <v>0.28000000000000003</v>
      </c>
    </row>
    <row r="1909" spans="1:22" x14ac:dyDescent="0.2">
      <c r="A1909">
        <v>1908</v>
      </c>
      <c r="B1909" t="s">
        <v>6806</v>
      </c>
      <c r="C1909" s="1">
        <v>41997</v>
      </c>
      <c r="D1909" s="22">
        <f>MONTH(Table12[[#This Row],[Order Date]])</f>
        <v>12</v>
      </c>
      <c r="E1909" t="s">
        <v>1191</v>
      </c>
      <c r="F1909" t="s">
        <v>1192</v>
      </c>
      <c r="G1909" s="23" t="s">
        <v>64</v>
      </c>
      <c r="H1909" s="23" t="s">
        <v>144</v>
      </c>
      <c r="I1909" t="s">
        <v>3034</v>
      </c>
      <c r="J1909" s="23" t="s">
        <v>92</v>
      </c>
      <c r="K1909" s="22">
        <v>3</v>
      </c>
      <c r="L1909" s="1">
        <v>42002</v>
      </c>
      <c r="M1909" s="22">
        <f>Table12[[#This Row],[Ship Date]]-Table12[[#This Row],[Order Date]]</f>
        <v>5</v>
      </c>
      <c r="N1909" s="23" t="s">
        <v>45</v>
      </c>
      <c r="O1909" s="23" t="s">
        <v>23</v>
      </c>
      <c r="P1909" s="23" t="s">
        <v>38</v>
      </c>
      <c r="Q1909" s="23" t="s">
        <v>39</v>
      </c>
      <c r="R1909" s="23" t="s">
        <v>37</v>
      </c>
      <c r="S1909" s="33">
        <v>0</v>
      </c>
      <c r="T1909" s="13">
        <v>62.85</v>
      </c>
      <c r="U1909" s="13">
        <v>13.198499999999999</v>
      </c>
      <c r="V1909" s="55">
        <f>IFERROR(Table12[[#This Row],[Profit]]/Table12[[#This Row],[Sales]],0)</f>
        <v>0.21</v>
      </c>
    </row>
    <row r="1910" spans="1:22" x14ac:dyDescent="0.2">
      <c r="A1910">
        <v>1909</v>
      </c>
      <c r="B1910" t="s">
        <v>6806</v>
      </c>
      <c r="C1910" s="1">
        <v>41997</v>
      </c>
      <c r="D1910" s="22">
        <f>MONTH(Table12[[#This Row],[Order Date]])</f>
        <v>12</v>
      </c>
      <c r="E1910" t="s">
        <v>2189</v>
      </c>
      <c r="F1910" t="s">
        <v>2190</v>
      </c>
      <c r="G1910" s="23" t="s">
        <v>64</v>
      </c>
      <c r="H1910" s="23" t="s">
        <v>65</v>
      </c>
      <c r="I1910" t="s">
        <v>3034</v>
      </c>
      <c r="J1910" s="23" t="s">
        <v>92</v>
      </c>
      <c r="K1910" s="22">
        <v>3</v>
      </c>
      <c r="L1910" s="1">
        <v>42002</v>
      </c>
      <c r="M1910" s="22">
        <f>Table12[[#This Row],[Ship Date]]-Table12[[#This Row],[Order Date]]</f>
        <v>5</v>
      </c>
      <c r="N1910" s="23" t="s">
        <v>45</v>
      </c>
      <c r="O1910" s="23" t="s">
        <v>23</v>
      </c>
      <c r="P1910" s="23" t="s">
        <v>38</v>
      </c>
      <c r="Q1910" s="23" t="s">
        <v>39</v>
      </c>
      <c r="R1910" s="23" t="s">
        <v>37</v>
      </c>
      <c r="S1910" s="33">
        <v>0.2</v>
      </c>
      <c r="T1910" s="13">
        <v>818.37599999999998</v>
      </c>
      <c r="U1910" s="13">
        <v>51.148499999999999</v>
      </c>
      <c r="V1910" s="55">
        <f>IFERROR(Table12[[#This Row],[Profit]]/Table12[[#This Row],[Sales]],0)</f>
        <v>6.25E-2</v>
      </c>
    </row>
    <row r="1911" spans="1:22" x14ac:dyDescent="0.2">
      <c r="A1911">
        <v>1910</v>
      </c>
      <c r="B1911" t="s">
        <v>6806</v>
      </c>
      <c r="C1911" s="1">
        <v>41997</v>
      </c>
      <c r="D1911" s="22">
        <f>MONTH(Table12[[#This Row],[Order Date]])</f>
        <v>12</v>
      </c>
      <c r="E1911" t="s">
        <v>5758</v>
      </c>
      <c r="F1911" t="s">
        <v>5759</v>
      </c>
      <c r="G1911" s="23" t="s">
        <v>41</v>
      </c>
      <c r="H1911" s="23" t="s">
        <v>53</v>
      </c>
      <c r="I1911" t="s">
        <v>3034</v>
      </c>
      <c r="J1911" s="23" t="s">
        <v>92</v>
      </c>
      <c r="K1911" s="22">
        <v>1</v>
      </c>
      <c r="L1911" s="1">
        <v>42002</v>
      </c>
      <c r="M1911" s="22">
        <f>Table12[[#This Row],[Ship Date]]-Table12[[#This Row],[Order Date]]</f>
        <v>5</v>
      </c>
      <c r="N1911" s="23" t="s">
        <v>45</v>
      </c>
      <c r="O1911" s="23" t="s">
        <v>23</v>
      </c>
      <c r="P1911" s="23" t="s">
        <v>38</v>
      </c>
      <c r="Q1911" s="23" t="s">
        <v>39</v>
      </c>
      <c r="R1911" s="23" t="s">
        <v>37</v>
      </c>
      <c r="S1911" s="33">
        <v>0</v>
      </c>
      <c r="T1911" s="13">
        <v>20.34</v>
      </c>
      <c r="U1911" s="13">
        <v>0.2034</v>
      </c>
      <c r="V1911" s="55">
        <f>IFERROR(Table12[[#This Row],[Profit]]/Table12[[#This Row],[Sales]],0)</f>
        <v>0.01</v>
      </c>
    </row>
    <row r="1912" spans="1:22" x14ac:dyDescent="0.2">
      <c r="A1912">
        <v>1911</v>
      </c>
      <c r="B1912" t="s">
        <v>6806</v>
      </c>
      <c r="C1912" s="1">
        <v>41997</v>
      </c>
      <c r="D1912" s="22">
        <f>MONTH(Table12[[#This Row],[Order Date]])</f>
        <v>12</v>
      </c>
      <c r="E1912" t="s">
        <v>3191</v>
      </c>
      <c r="F1912" t="s">
        <v>3192</v>
      </c>
      <c r="G1912" s="23" t="s">
        <v>28</v>
      </c>
      <c r="H1912" s="23" t="s">
        <v>58</v>
      </c>
      <c r="I1912" t="s">
        <v>3034</v>
      </c>
      <c r="J1912" s="23" t="s">
        <v>92</v>
      </c>
      <c r="K1912" s="22">
        <v>1</v>
      </c>
      <c r="L1912" s="1">
        <v>42002</v>
      </c>
      <c r="M1912" s="22">
        <f>Table12[[#This Row],[Ship Date]]-Table12[[#This Row],[Order Date]]</f>
        <v>5</v>
      </c>
      <c r="N1912" s="23" t="s">
        <v>45</v>
      </c>
      <c r="O1912" s="23" t="s">
        <v>23</v>
      </c>
      <c r="P1912" s="23" t="s">
        <v>38</v>
      </c>
      <c r="Q1912" s="23" t="s">
        <v>39</v>
      </c>
      <c r="R1912" s="23" t="s">
        <v>37</v>
      </c>
      <c r="S1912" s="33">
        <v>0</v>
      </c>
      <c r="T1912" s="13">
        <v>23.99</v>
      </c>
      <c r="U1912" s="13">
        <v>5.5176999999999996</v>
      </c>
      <c r="V1912" s="55">
        <f>IFERROR(Table12[[#This Row],[Profit]]/Table12[[#This Row],[Sales]],0)</f>
        <v>0.23</v>
      </c>
    </row>
    <row r="1913" spans="1:22" x14ac:dyDescent="0.2">
      <c r="A1913">
        <v>1912</v>
      </c>
      <c r="B1913" t="s">
        <v>9552</v>
      </c>
      <c r="C1913" s="1">
        <v>41997</v>
      </c>
      <c r="D1913" s="22">
        <f>MONTH(Table12[[#This Row],[Order Date]])</f>
        <v>12</v>
      </c>
      <c r="E1913" t="s">
        <v>8384</v>
      </c>
      <c r="F1913" t="s">
        <v>8385</v>
      </c>
      <c r="G1913" s="23" t="s">
        <v>41</v>
      </c>
      <c r="H1913" s="23" t="s">
        <v>71</v>
      </c>
      <c r="I1913" t="s">
        <v>4166</v>
      </c>
      <c r="J1913" s="23" t="s">
        <v>22</v>
      </c>
      <c r="K1913" s="22">
        <v>1</v>
      </c>
      <c r="L1913" s="1">
        <v>41999</v>
      </c>
      <c r="M1913" s="22">
        <f>Table12[[#This Row],[Ship Date]]-Table12[[#This Row],[Order Date]]</f>
        <v>2</v>
      </c>
      <c r="N1913" s="23" t="s">
        <v>169</v>
      </c>
      <c r="O1913" s="23" t="s">
        <v>23</v>
      </c>
      <c r="P1913" s="23" t="s">
        <v>38</v>
      </c>
      <c r="Q1913" s="23" t="s">
        <v>39</v>
      </c>
      <c r="R1913" s="23" t="s">
        <v>836</v>
      </c>
      <c r="S1913" s="33">
        <v>0</v>
      </c>
      <c r="T1913" s="13">
        <v>13.97</v>
      </c>
      <c r="U1913" s="13">
        <v>3.6322000000000001</v>
      </c>
      <c r="V1913" s="55">
        <f>IFERROR(Table12[[#This Row],[Profit]]/Table12[[#This Row],[Sales]],0)</f>
        <v>0.26</v>
      </c>
    </row>
    <row r="1914" spans="1:22" x14ac:dyDescent="0.2">
      <c r="A1914">
        <v>1913</v>
      </c>
      <c r="B1914" t="s">
        <v>470</v>
      </c>
      <c r="C1914" s="1">
        <v>41999</v>
      </c>
      <c r="D1914" s="22">
        <f>MONTH(Table12[[#This Row],[Order Date]])</f>
        <v>12</v>
      </c>
      <c r="E1914" t="s">
        <v>472</v>
      </c>
      <c r="F1914" t="s">
        <v>473</v>
      </c>
      <c r="G1914" s="23" t="s">
        <v>28</v>
      </c>
      <c r="H1914" s="23" t="s">
        <v>32</v>
      </c>
      <c r="I1914" t="s">
        <v>471</v>
      </c>
      <c r="J1914" s="23" t="s">
        <v>92</v>
      </c>
      <c r="K1914" s="22">
        <v>3</v>
      </c>
      <c r="L1914" s="1">
        <v>42001</v>
      </c>
      <c r="M1914" s="22">
        <f>Table12[[#This Row],[Ship Date]]-Table12[[#This Row],[Order Date]]</f>
        <v>2</v>
      </c>
      <c r="N1914" s="23" t="s">
        <v>20</v>
      </c>
      <c r="O1914" s="23" t="s">
        <v>23</v>
      </c>
      <c r="P1914" s="23" t="s">
        <v>94</v>
      </c>
      <c r="Q1914" s="23" t="s">
        <v>95</v>
      </c>
      <c r="R1914" s="23" t="s">
        <v>165</v>
      </c>
      <c r="S1914" s="33">
        <v>0.3</v>
      </c>
      <c r="T1914" s="13">
        <v>600.55799999999999</v>
      </c>
      <c r="U1914" s="13">
        <v>-8.5793999999999997</v>
      </c>
      <c r="V1914" s="55">
        <f>IFERROR(Table12[[#This Row],[Profit]]/Table12[[#This Row],[Sales]],0)</f>
        <v>-1.4285714285714285E-2</v>
      </c>
    </row>
    <row r="1915" spans="1:22" x14ac:dyDescent="0.2">
      <c r="A1915">
        <v>1914</v>
      </c>
      <c r="B1915" t="s">
        <v>952</v>
      </c>
      <c r="C1915" s="1">
        <v>41999</v>
      </c>
      <c r="D1915" s="22">
        <f>MONTH(Table12[[#This Row],[Order Date]])</f>
        <v>12</v>
      </c>
      <c r="E1915" t="s">
        <v>955</v>
      </c>
      <c r="F1915" t="s">
        <v>956</v>
      </c>
      <c r="G1915" s="23" t="s">
        <v>28</v>
      </c>
      <c r="H1915" s="23" t="s">
        <v>58</v>
      </c>
      <c r="I1915" t="s">
        <v>953</v>
      </c>
      <c r="J1915" s="23" t="s">
        <v>36</v>
      </c>
      <c r="K1915" s="22">
        <v>8</v>
      </c>
      <c r="L1915" s="1">
        <v>42001</v>
      </c>
      <c r="M1915" s="22">
        <f>Table12[[#This Row],[Ship Date]]-Table12[[#This Row],[Order Date]]</f>
        <v>2</v>
      </c>
      <c r="N1915" s="23" t="s">
        <v>169</v>
      </c>
      <c r="O1915" s="23" t="s">
        <v>23</v>
      </c>
      <c r="P1915" s="23" t="s">
        <v>405</v>
      </c>
      <c r="Q1915" s="23" t="s">
        <v>39</v>
      </c>
      <c r="R1915" s="23" t="s">
        <v>954</v>
      </c>
      <c r="S1915" s="33">
        <v>0.2</v>
      </c>
      <c r="T1915" s="13">
        <v>300.416</v>
      </c>
      <c r="U1915" s="13">
        <v>78.859200000000001</v>
      </c>
      <c r="V1915" s="55">
        <f>IFERROR(Table12[[#This Row],[Profit]]/Table12[[#This Row],[Sales]],0)</f>
        <v>0.26250000000000001</v>
      </c>
    </row>
    <row r="1916" spans="1:22" x14ac:dyDescent="0.2">
      <c r="A1916">
        <v>1915</v>
      </c>
      <c r="B1916" t="s">
        <v>952</v>
      </c>
      <c r="C1916" s="1">
        <v>41999</v>
      </c>
      <c r="D1916" s="22">
        <f>MONTH(Table12[[#This Row],[Order Date]])</f>
        <v>12</v>
      </c>
      <c r="E1916" t="s">
        <v>957</v>
      </c>
      <c r="F1916" t="s">
        <v>958</v>
      </c>
      <c r="G1916" s="23" t="s">
        <v>28</v>
      </c>
      <c r="H1916" s="23" t="s">
        <v>32</v>
      </c>
      <c r="I1916" t="s">
        <v>953</v>
      </c>
      <c r="J1916" s="23" t="s">
        <v>36</v>
      </c>
      <c r="K1916" s="22">
        <v>3</v>
      </c>
      <c r="L1916" s="1">
        <v>42001</v>
      </c>
      <c r="M1916" s="22">
        <f>Table12[[#This Row],[Ship Date]]-Table12[[#This Row],[Order Date]]</f>
        <v>2</v>
      </c>
      <c r="N1916" s="23" t="s">
        <v>169</v>
      </c>
      <c r="O1916" s="23" t="s">
        <v>23</v>
      </c>
      <c r="P1916" s="23" t="s">
        <v>405</v>
      </c>
      <c r="Q1916" s="23" t="s">
        <v>39</v>
      </c>
      <c r="R1916" s="23" t="s">
        <v>954</v>
      </c>
      <c r="S1916" s="33">
        <v>0.2</v>
      </c>
      <c r="T1916" s="13">
        <v>230.352</v>
      </c>
      <c r="U1916" s="13">
        <v>20.155799999999999</v>
      </c>
      <c r="V1916" s="55">
        <f>IFERROR(Table12[[#This Row],[Profit]]/Table12[[#This Row],[Sales]],0)</f>
        <v>8.7499999999999994E-2</v>
      </c>
    </row>
    <row r="1917" spans="1:22" x14ac:dyDescent="0.2">
      <c r="A1917">
        <v>1916</v>
      </c>
      <c r="B1917" t="s">
        <v>952</v>
      </c>
      <c r="C1917" s="1">
        <v>41999</v>
      </c>
      <c r="D1917" s="22">
        <f>MONTH(Table12[[#This Row],[Order Date]])</f>
        <v>12</v>
      </c>
      <c r="E1917" t="s">
        <v>959</v>
      </c>
      <c r="F1917" t="s">
        <v>960</v>
      </c>
      <c r="G1917" s="23" t="s">
        <v>28</v>
      </c>
      <c r="H1917" s="23" t="s">
        <v>58</v>
      </c>
      <c r="I1917" t="s">
        <v>953</v>
      </c>
      <c r="J1917" s="23" t="s">
        <v>36</v>
      </c>
      <c r="K1917" s="22">
        <v>3</v>
      </c>
      <c r="L1917" s="1">
        <v>42001</v>
      </c>
      <c r="M1917" s="22">
        <f>Table12[[#This Row],[Ship Date]]-Table12[[#This Row],[Order Date]]</f>
        <v>2</v>
      </c>
      <c r="N1917" s="23" t="s">
        <v>169</v>
      </c>
      <c r="O1917" s="23" t="s">
        <v>23</v>
      </c>
      <c r="P1917" s="23" t="s">
        <v>405</v>
      </c>
      <c r="Q1917" s="23" t="s">
        <v>39</v>
      </c>
      <c r="R1917" s="23" t="s">
        <v>954</v>
      </c>
      <c r="S1917" s="33">
        <v>0.2</v>
      </c>
      <c r="T1917" s="13">
        <v>218.352</v>
      </c>
      <c r="U1917" s="13">
        <v>-24.564599999999999</v>
      </c>
      <c r="V1917" s="55">
        <f>IFERROR(Table12[[#This Row],[Profit]]/Table12[[#This Row],[Sales]],0)</f>
        <v>-0.11249999999999999</v>
      </c>
    </row>
    <row r="1918" spans="1:22" x14ac:dyDescent="0.2">
      <c r="A1918">
        <v>1917</v>
      </c>
      <c r="B1918" t="s">
        <v>952</v>
      </c>
      <c r="C1918" s="1">
        <v>41999</v>
      </c>
      <c r="D1918" s="22">
        <f>MONTH(Table12[[#This Row],[Order Date]])</f>
        <v>12</v>
      </c>
      <c r="E1918" t="s">
        <v>961</v>
      </c>
      <c r="F1918" t="s">
        <v>962</v>
      </c>
      <c r="G1918" s="23" t="s">
        <v>41</v>
      </c>
      <c r="H1918" s="23" t="s">
        <v>68</v>
      </c>
      <c r="I1918" t="s">
        <v>953</v>
      </c>
      <c r="J1918" s="23" t="s">
        <v>36</v>
      </c>
      <c r="K1918" s="22">
        <v>5</v>
      </c>
      <c r="L1918" s="1">
        <v>42001</v>
      </c>
      <c r="M1918" s="22">
        <f>Table12[[#This Row],[Ship Date]]-Table12[[#This Row],[Order Date]]</f>
        <v>2</v>
      </c>
      <c r="N1918" s="23" t="s">
        <v>169</v>
      </c>
      <c r="O1918" s="23" t="s">
        <v>23</v>
      </c>
      <c r="P1918" s="23" t="s">
        <v>405</v>
      </c>
      <c r="Q1918" s="23" t="s">
        <v>39</v>
      </c>
      <c r="R1918" s="23" t="s">
        <v>954</v>
      </c>
      <c r="S1918" s="33">
        <v>0.7</v>
      </c>
      <c r="T1918" s="13">
        <v>78.599999999999994</v>
      </c>
      <c r="U1918" s="13">
        <v>-62.88</v>
      </c>
      <c r="V1918" s="55">
        <f>IFERROR(Table12[[#This Row],[Profit]]/Table12[[#This Row],[Sales]],0)</f>
        <v>-0.8</v>
      </c>
    </row>
    <row r="1919" spans="1:22" x14ac:dyDescent="0.2">
      <c r="A1919">
        <v>1918</v>
      </c>
      <c r="B1919" t="s">
        <v>952</v>
      </c>
      <c r="C1919" s="1">
        <v>41999</v>
      </c>
      <c r="D1919" s="22">
        <f>MONTH(Table12[[#This Row],[Order Date]])</f>
        <v>12</v>
      </c>
      <c r="E1919" t="s">
        <v>963</v>
      </c>
      <c r="F1919" t="s">
        <v>964</v>
      </c>
      <c r="G1919" s="23" t="s">
        <v>41</v>
      </c>
      <c r="H1919" s="23" t="s">
        <v>240</v>
      </c>
      <c r="I1919" t="s">
        <v>953</v>
      </c>
      <c r="J1919" s="23" t="s">
        <v>36</v>
      </c>
      <c r="K1919" s="22">
        <v>3</v>
      </c>
      <c r="L1919" s="1">
        <v>42001</v>
      </c>
      <c r="M1919" s="22">
        <f>Table12[[#This Row],[Ship Date]]-Table12[[#This Row],[Order Date]]</f>
        <v>2</v>
      </c>
      <c r="N1919" s="23" t="s">
        <v>169</v>
      </c>
      <c r="O1919" s="23" t="s">
        <v>23</v>
      </c>
      <c r="P1919" s="23" t="s">
        <v>405</v>
      </c>
      <c r="Q1919" s="23" t="s">
        <v>39</v>
      </c>
      <c r="R1919" s="23" t="s">
        <v>954</v>
      </c>
      <c r="S1919" s="33">
        <v>0.2</v>
      </c>
      <c r="T1919" s="13">
        <v>27.552</v>
      </c>
      <c r="U1919" s="13">
        <v>9.2988</v>
      </c>
      <c r="V1919" s="55">
        <f>IFERROR(Table12[[#This Row],[Profit]]/Table12[[#This Row],[Sales]],0)</f>
        <v>0.33750000000000002</v>
      </c>
    </row>
    <row r="1920" spans="1:22" x14ac:dyDescent="0.2">
      <c r="A1920">
        <v>1919</v>
      </c>
      <c r="B1920" t="s">
        <v>1809</v>
      </c>
      <c r="C1920" s="1">
        <v>41999</v>
      </c>
      <c r="D1920" s="22">
        <f>MONTH(Table12[[#This Row],[Order Date]])</f>
        <v>12</v>
      </c>
      <c r="E1920" t="s">
        <v>1811</v>
      </c>
      <c r="F1920" t="s">
        <v>1812</v>
      </c>
      <c r="G1920" s="23" t="s">
        <v>41</v>
      </c>
      <c r="H1920" s="23" t="s">
        <v>68</v>
      </c>
      <c r="I1920" t="s">
        <v>1810</v>
      </c>
      <c r="J1920" s="23" t="s">
        <v>22</v>
      </c>
      <c r="K1920" s="22">
        <v>5</v>
      </c>
      <c r="L1920" s="1">
        <v>42004</v>
      </c>
      <c r="M1920" s="22">
        <f>Table12[[#This Row],[Ship Date]]-Table12[[#This Row],[Order Date]]</f>
        <v>5</v>
      </c>
      <c r="N1920" s="23" t="s">
        <v>45</v>
      </c>
      <c r="O1920" s="23" t="s">
        <v>23</v>
      </c>
      <c r="P1920" s="23" t="s">
        <v>189</v>
      </c>
      <c r="Q1920" s="23" t="s">
        <v>95</v>
      </c>
      <c r="R1920" s="23" t="s">
        <v>271</v>
      </c>
      <c r="S1920" s="33">
        <v>0.8</v>
      </c>
      <c r="T1920" s="13">
        <v>8.69</v>
      </c>
      <c r="U1920" s="13">
        <v>-14.773</v>
      </c>
      <c r="V1920" s="55">
        <f>IFERROR(Table12[[#This Row],[Profit]]/Table12[[#This Row],[Sales]],0)</f>
        <v>-1.7</v>
      </c>
    </row>
    <row r="1921" spans="1:22" x14ac:dyDescent="0.2">
      <c r="A1921">
        <v>1920</v>
      </c>
      <c r="B1921" t="s">
        <v>5818</v>
      </c>
      <c r="C1921" s="1">
        <v>41999</v>
      </c>
      <c r="D1921" s="22">
        <f>MONTH(Table12[[#This Row],[Order Date]])</f>
        <v>12</v>
      </c>
      <c r="E1921" t="s">
        <v>635</v>
      </c>
      <c r="F1921" t="s">
        <v>636</v>
      </c>
      <c r="G1921" s="23" t="s">
        <v>41</v>
      </c>
      <c r="H1921" s="23" t="s">
        <v>513</v>
      </c>
      <c r="I1921" t="s">
        <v>1795</v>
      </c>
      <c r="J1921" s="23" t="s">
        <v>22</v>
      </c>
      <c r="K1921" s="22">
        <v>3</v>
      </c>
      <c r="L1921" s="1">
        <v>42003</v>
      </c>
      <c r="M1921" s="22">
        <f>Table12[[#This Row],[Ship Date]]-Table12[[#This Row],[Order Date]]</f>
        <v>4</v>
      </c>
      <c r="N1921" s="23" t="s">
        <v>45</v>
      </c>
      <c r="O1921" s="23" t="s">
        <v>23</v>
      </c>
      <c r="P1921" s="23" t="s">
        <v>38</v>
      </c>
      <c r="Q1921" s="23" t="s">
        <v>39</v>
      </c>
      <c r="R1921" s="23" t="s">
        <v>836</v>
      </c>
      <c r="S1921" s="33">
        <v>0</v>
      </c>
      <c r="T1921" s="13">
        <v>11.91</v>
      </c>
      <c r="U1921" s="13">
        <v>0.1191</v>
      </c>
      <c r="V1921" s="55">
        <f>IFERROR(Table12[[#This Row],[Profit]]/Table12[[#This Row],[Sales]],0)</f>
        <v>0.01</v>
      </c>
    </row>
    <row r="1922" spans="1:22" x14ac:dyDescent="0.2">
      <c r="A1922">
        <v>1921</v>
      </c>
      <c r="B1922" t="s">
        <v>5818</v>
      </c>
      <c r="C1922" s="1">
        <v>41999</v>
      </c>
      <c r="D1922" s="22">
        <f>MONTH(Table12[[#This Row],[Order Date]])</f>
        <v>12</v>
      </c>
      <c r="E1922" t="s">
        <v>2924</v>
      </c>
      <c r="F1922" t="s">
        <v>2925</v>
      </c>
      <c r="G1922" s="23" t="s">
        <v>28</v>
      </c>
      <c r="H1922" s="23" t="s">
        <v>58</v>
      </c>
      <c r="I1922" t="s">
        <v>1795</v>
      </c>
      <c r="J1922" s="23" t="s">
        <v>22</v>
      </c>
      <c r="K1922" s="22">
        <v>2</v>
      </c>
      <c r="L1922" s="1">
        <v>42003</v>
      </c>
      <c r="M1922" s="22">
        <f>Table12[[#This Row],[Ship Date]]-Table12[[#This Row],[Order Date]]</f>
        <v>4</v>
      </c>
      <c r="N1922" s="23" t="s">
        <v>45</v>
      </c>
      <c r="O1922" s="23" t="s">
        <v>23</v>
      </c>
      <c r="P1922" s="23" t="s">
        <v>38</v>
      </c>
      <c r="Q1922" s="23" t="s">
        <v>39</v>
      </c>
      <c r="R1922" s="23" t="s">
        <v>836</v>
      </c>
      <c r="S1922" s="33">
        <v>0</v>
      </c>
      <c r="T1922" s="13">
        <v>3.48</v>
      </c>
      <c r="U1922" s="13">
        <v>1.1135999999999999</v>
      </c>
      <c r="V1922" s="55">
        <f>IFERROR(Table12[[#This Row],[Profit]]/Table12[[#This Row],[Sales]],0)</f>
        <v>0.32</v>
      </c>
    </row>
    <row r="1923" spans="1:22" x14ac:dyDescent="0.2">
      <c r="A1923">
        <v>1922</v>
      </c>
      <c r="B1923" t="s">
        <v>7048</v>
      </c>
      <c r="C1923" s="1">
        <v>41999</v>
      </c>
      <c r="D1923" s="22">
        <f>MONTH(Table12[[#This Row],[Order Date]])</f>
        <v>12</v>
      </c>
      <c r="E1923" t="s">
        <v>837</v>
      </c>
      <c r="F1923" t="s">
        <v>838</v>
      </c>
      <c r="G1923" s="23" t="s">
        <v>41</v>
      </c>
      <c r="H1923" s="23" t="s">
        <v>82</v>
      </c>
      <c r="I1923" t="s">
        <v>6358</v>
      </c>
      <c r="J1923" s="23" t="s">
        <v>22</v>
      </c>
      <c r="K1923" s="22">
        <v>3</v>
      </c>
      <c r="L1923" s="1">
        <v>42004</v>
      </c>
      <c r="M1923" s="22">
        <f>Table12[[#This Row],[Ship Date]]-Table12[[#This Row],[Order Date]]</f>
        <v>5</v>
      </c>
      <c r="N1923" s="23" t="s">
        <v>45</v>
      </c>
      <c r="O1923" s="23" t="s">
        <v>23</v>
      </c>
      <c r="P1923" s="23" t="s">
        <v>132</v>
      </c>
      <c r="Q1923" s="23" t="s">
        <v>133</v>
      </c>
      <c r="R1923" s="23" t="s">
        <v>131</v>
      </c>
      <c r="S1923" s="33">
        <v>0.2</v>
      </c>
      <c r="T1923" s="13">
        <v>18.263999999999999</v>
      </c>
      <c r="U1923" s="13">
        <v>6.1641000000000004</v>
      </c>
      <c r="V1923" s="55">
        <f>IFERROR(Table12[[#This Row],[Profit]]/Table12[[#This Row],[Sales]],0)</f>
        <v>0.33750000000000002</v>
      </c>
    </row>
    <row r="1924" spans="1:22" x14ac:dyDescent="0.2">
      <c r="A1924">
        <v>1923</v>
      </c>
      <c r="B1924" t="s">
        <v>7048</v>
      </c>
      <c r="C1924" s="1">
        <v>41999</v>
      </c>
      <c r="D1924" s="22">
        <f>MONTH(Table12[[#This Row],[Order Date]])</f>
        <v>12</v>
      </c>
      <c r="E1924" t="s">
        <v>6718</v>
      </c>
      <c r="F1924" t="s">
        <v>6719</v>
      </c>
      <c r="G1924" s="23" t="s">
        <v>41</v>
      </c>
      <c r="H1924" s="23" t="s">
        <v>71</v>
      </c>
      <c r="I1924" t="s">
        <v>6358</v>
      </c>
      <c r="J1924" s="23" t="s">
        <v>22</v>
      </c>
      <c r="K1924" s="22">
        <v>2</v>
      </c>
      <c r="L1924" s="1">
        <v>42004</v>
      </c>
      <c r="M1924" s="22">
        <f>Table12[[#This Row],[Ship Date]]-Table12[[#This Row],[Order Date]]</f>
        <v>5</v>
      </c>
      <c r="N1924" s="23" t="s">
        <v>45</v>
      </c>
      <c r="O1924" s="23" t="s">
        <v>23</v>
      </c>
      <c r="P1924" s="23" t="s">
        <v>132</v>
      </c>
      <c r="Q1924" s="23" t="s">
        <v>133</v>
      </c>
      <c r="R1924" s="23" t="s">
        <v>131</v>
      </c>
      <c r="S1924" s="33">
        <v>0.2</v>
      </c>
      <c r="T1924" s="13">
        <v>34.655999999999999</v>
      </c>
      <c r="U1924" s="13">
        <v>5.6315999999999997</v>
      </c>
      <c r="V1924" s="55">
        <f>IFERROR(Table12[[#This Row],[Profit]]/Table12[[#This Row],[Sales]],0)</f>
        <v>0.16250000000000001</v>
      </c>
    </row>
    <row r="1925" spans="1:22" x14ac:dyDescent="0.2">
      <c r="A1925">
        <v>1924</v>
      </c>
      <c r="B1925" t="s">
        <v>7048</v>
      </c>
      <c r="C1925" s="1">
        <v>41999</v>
      </c>
      <c r="D1925" s="22">
        <f>MONTH(Table12[[#This Row],[Order Date]])</f>
        <v>12</v>
      </c>
      <c r="E1925" t="s">
        <v>1853</v>
      </c>
      <c r="F1925" t="s">
        <v>1854</v>
      </c>
      <c r="G1925" s="23" t="s">
        <v>41</v>
      </c>
      <c r="H1925" s="23" t="s">
        <v>71</v>
      </c>
      <c r="I1925" t="s">
        <v>6358</v>
      </c>
      <c r="J1925" s="23" t="s">
        <v>22</v>
      </c>
      <c r="K1925" s="22">
        <v>2</v>
      </c>
      <c r="L1925" s="1">
        <v>42004</v>
      </c>
      <c r="M1925" s="22">
        <f>Table12[[#This Row],[Ship Date]]-Table12[[#This Row],[Order Date]]</f>
        <v>5</v>
      </c>
      <c r="N1925" s="23" t="s">
        <v>45</v>
      </c>
      <c r="O1925" s="23" t="s">
        <v>23</v>
      </c>
      <c r="P1925" s="23" t="s">
        <v>132</v>
      </c>
      <c r="Q1925" s="23" t="s">
        <v>133</v>
      </c>
      <c r="R1925" s="23" t="s">
        <v>131</v>
      </c>
      <c r="S1925" s="33">
        <v>0.2</v>
      </c>
      <c r="T1925" s="13">
        <v>81.552000000000007</v>
      </c>
      <c r="U1925" s="13">
        <v>8.1552000000000007</v>
      </c>
      <c r="V1925" s="55">
        <f>IFERROR(Table12[[#This Row],[Profit]]/Table12[[#This Row],[Sales]],0)</f>
        <v>0.1</v>
      </c>
    </row>
    <row r="1926" spans="1:22" x14ac:dyDescent="0.2">
      <c r="A1926">
        <v>1925</v>
      </c>
      <c r="B1926" t="s">
        <v>7048</v>
      </c>
      <c r="C1926" s="1">
        <v>41999</v>
      </c>
      <c r="D1926" s="22">
        <f>MONTH(Table12[[#This Row],[Order Date]])</f>
        <v>12</v>
      </c>
      <c r="E1926" t="s">
        <v>3658</v>
      </c>
      <c r="F1926" t="s">
        <v>3659</v>
      </c>
      <c r="G1926" s="23" t="s">
        <v>41</v>
      </c>
      <c r="H1926" s="23" t="s">
        <v>53</v>
      </c>
      <c r="I1926" t="s">
        <v>6358</v>
      </c>
      <c r="J1926" s="23" t="s">
        <v>22</v>
      </c>
      <c r="K1926" s="22">
        <v>4</v>
      </c>
      <c r="L1926" s="1">
        <v>42004</v>
      </c>
      <c r="M1926" s="22">
        <f>Table12[[#This Row],[Ship Date]]-Table12[[#This Row],[Order Date]]</f>
        <v>5</v>
      </c>
      <c r="N1926" s="23" t="s">
        <v>45</v>
      </c>
      <c r="O1926" s="23" t="s">
        <v>23</v>
      </c>
      <c r="P1926" s="23" t="s">
        <v>132</v>
      </c>
      <c r="Q1926" s="23" t="s">
        <v>133</v>
      </c>
      <c r="R1926" s="23" t="s">
        <v>131</v>
      </c>
      <c r="S1926" s="33">
        <v>0.2</v>
      </c>
      <c r="T1926" s="13">
        <v>227.136</v>
      </c>
      <c r="U1926" s="13">
        <v>-42.588000000000001</v>
      </c>
      <c r="V1926" s="55">
        <f>IFERROR(Table12[[#This Row],[Profit]]/Table12[[#This Row],[Sales]],0)</f>
        <v>-0.1875</v>
      </c>
    </row>
    <row r="1927" spans="1:22" x14ac:dyDescent="0.2">
      <c r="A1927">
        <v>1926</v>
      </c>
      <c r="B1927" t="s">
        <v>8655</v>
      </c>
      <c r="C1927" s="1">
        <v>41999</v>
      </c>
      <c r="D1927" s="22">
        <f>MONTH(Table12[[#This Row],[Order Date]])</f>
        <v>12</v>
      </c>
      <c r="E1927" t="s">
        <v>3126</v>
      </c>
      <c r="F1927" t="s">
        <v>3127</v>
      </c>
      <c r="G1927" s="23" t="s">
        <v>41</v>
      </c>
      <c r="H1927" s="23" t="s">
        <v>53</v>
      </c>
      <c r="I1927" t="s">
        <v>147</v>
      </c>
      <c r="J1927" s="23" t="s">
        <v>22</v>
      </c>
      <c r="K1927" s="22">
        <v>6</v>
      </c>
      <c r="L1927" s="1">
        <v>42005</v>
      </c>
      <c r="M1927" s="22">
        <f>Table12[[#This Row],[Ship Date]]-Table12[[#This Row],[Order Date]]</f>
        <v>6</v>
      </c>
      <c r="N1927" s="23" t="s">
        <v>45</v>
      </c>
      <c r="O1927" s="23" t="s">
        <v>23</v>
      </c>
      <c r="P1927" s="23" t="s">
        <v>238</v>
      </c>
      <c r="Q1927" s="23" t="s">
        <v>133</v>
      </c>
      <c r="R1927" s="23" t="s">
        <v>237</v>
      </c>
      <c r="S1927" s="33">
        <v>0</v>
      </c>
      <c r="T1927" s="13">
        <v>191.88</v>
      </c>
      <c r="U1927" s="13">
        <v>19.187999999999999</v>
      </c>
      <c r="V1927" s="55">
        <f>IFERROR(Table12[[#This Row],[Profit]]/Table12[[#This Row],[Sales]],0)</f>
        <v>9.9999999999999992E-2</v>
      </c>
    </row>
    <row r="1928" spans="1:22" x14ac:dyDescent="0.2">
      <c r="A1928">
        <v>1927</v>
      </c>
      <c r="B1928" t="s">
        <v>9401</v>
      </c>
      <c r="C1928" s="1">
        <v>41999</v>
      </c>
      <c r="D1928" s="22">
        <f>MONTH(Table12[[#This Row],[Order Date]])</f>
        <v>12</v>
      </c>
      <c r="E1928" t="s">
        <v>4311</v>
      </c>
      <c r="F1928" t="s">
        <v>4312</v>
      </c>
      <c r="G1928" s="23" t="s">
        <v>41</v>
      </c>
      <c r="H1928" s="23" t="s">
        <v>61</v>
      </c>
      <c r="I1928" t="s">
        <v>5489</v>
      </c>
      <c r="J1928" s="23" t="s">
        <v>36</v>
      </c>
      <c r="K1928" s="22">
        <v>3</v>
      </c>
      <c r="L1928" s="1">
        <v>42003</v>
      </c>
      <c r="M1928" s="22">
        <f>Table12[[#This Row],[Ship Date]]-Table12[[#This Row],[Order Date]]</f>
        <v>4</v>
      </c>
      <c r="N1928" s="23" t="s">
        <v>45</v>
      </c>
      <c r="O1928" s="23" t="s">
        <v>23</v>
      </c>
      <c r="P1928" s="23" t="s">
        <v>132</v>
      </c>
      <c r="Q1928" s="23" t="s">
        <v>133</v>
      </c>
      <c r="R1928" s="23" t="s">
        <v>131</v>
      </c>
      <c r="S1928" s="33">
        <v>0.2</v>
      </c>
      <c r="T1928" s="13">
        <v>8.016</v>
      </c>
      <c r="U1928" s="13">
        <v>1.1022000000000001</v>
      </c>
      <c r="V1928" s="55">
        <f>IFERROR(Table12[[#This Row],[Profit]]/Table12[[#This Row],[Sales]],0)</f>
        <v>0.13750000000000001</v>
      </c>
    </row>
    <row r="1929" spans="1:22" x14ac:dyDescent="0.2">
      <c r="A1929">
        <v>1928</v>
      </c>
      <c r="B1929" t="s">
        <v>2973</v>
      </c>
      <c r="C1929" s="1">
        <v>42000</v>
      </c>
      <c r="D1929" s="22">
        <f>MONTH(Table12[[#This Row],[Order Date]])</f>
        <v>12</v>
      </c>
      <c r="E1929" t="s">
        <v>2975</v>
      </c>
      <c r="F1929" t="s">
        <v>2976</v>
      </c>
      <c r="G1929" s="23" t="s">
        <v>41</v>
      </c>
      <c r="H1929" s="23" t="s">
        <v>42</v>
      </c>
      <c r="I1929" t="s">
        <v>2974</v>
      </c>
      <c r="J1929" s="23" t="s">
        <v>92</v>
      </c>
      <c r="K1929" s="22">
        <v>4</v>
      </c>
      <c r="L1929" s="1">
        <v>42003</v>
      </c>
      <c r="M1929" s="22">
        <f>Table12[[#This Row],[Ship Date]]-Table12[[#This Row],[Order Date]]</f>
        <v>3</v>
      </c>
      <c r="N1929" s="23" t="s">
        <v>20</v>
      </c>
      <c r="O1929" s="23" t="s">
        <v>23</v>
      </c>
      <c r="P1929" s="23" t="s">
        <v>38</v>
      </c>
      <c r="Q1929" s="23" t="s">
        <v>39</v>
      </c>
      <c r="R1929" s="23" t="s">
        <v>37</v>
      </c>
      <c r="S1929" s="33">
        <v>0</v>
      </c>
      <c r="T1929" s="13">
        <v>11.56</v>
      </c>
      <c r="U1929" s="13">
        <v>5.4332000000000003</v>
      </c>
      <c r="V1929" s="55">
        <f>IFERROR(Table12[[#This Row],[Profit]]/Table12[[#This Row],[Sales]],0)</f>
        <v>0.47000000000000003</v>
      </c>
    </row>
    <row r="1930" spans="1:22" x14ac:dyDescent="0.2">
      <c r="A1930">
        <v>1929</v>
      </c>
      <c r="B1930" t="s">
        <v>5492</v>
      </c>
      <c r="C1930" s="1">
        <v>42000</v>
      </c>
      <c r="D1930" s="22">
        <f>MONTH(Table12[[#This Row],[Order Date]])</f>
        <v>12</v>
      </c>
      <c r="E1930" t="s">
        <v>3465</v>
      </c>
      <c r="F1930" t="s">
        <v>3466</v>
      </c>
      <c r="G1930" s="23" t="s">
        <v>28</v>
      </c>
      <c r="H1930" s="23" t="s">
        <v>58</v>
      </c>
      <c r="I1930" t="s">
        <v>3528</v>
      </c>
      <c r="J1930" s="23" t="s">
        <v>22</v>
      </c>
      <c r="K1930" s="22">
        <v>6</v>
      </c>
      <c r="L1930" s="1">
        <v>42004</v>
      </c>
      <c r="M1930" s="22">
        <f>Table12[[#This Row],[Ship Date]]-Table12[[#This Row],[Order Date]]</f>
        <v>4</v>
      </c>
      <c r="N1930" s="23" t="s">
        <v>45</v>
      </c>
      <c r="O1930" s="23" t="s">
        <v>23</v>
      </c>
      <c r="P1930" s="23" t="s">
        <v>189</v>
      </c>
      <c r="Q1930" s="23" t="s">
        <v>95</v>
      </c>
      <c r="R1930" s="23" t="s">
        <v>3784</v>
      </c>
      <c r="S1930" s="33">
        <v>0.6</v>
      </c>
      <c r="T1930" s="13">
        <v>32.951999999999998</v>
      </c>
      <c r="U1930" s="13">
        <v>-19.7712</v>
      </c>
      <c r="V1930" s="55">
        <f>IFERROR(Table12[[#This Row],[Profit]]/Table12[[#This Row],[Sales]],0)</f>
        <v>-0.60000000000000009</v>
      </c>
    </row>
    <row r="1931" spans="1:22" x14ac:dyDescent="0.2">
      <c r="A1931">
        <v>1930</v>
      </c>
      <c r="B1931" t="s">
        <v>5492</v>
      </c>
      <c r="C1931" s="1">
        <v>42000</v>
      </c>
      <c r="D1931" s="22">
        <f>MONTH(Table12[[#This Row],[Order Date]])</f>
        <v>12</v>
      </c>
      <c r="E1931" t="s">
        <v>4224</v>
      </c>
      <c r="F1931" t="s">
        <v>2339</v>
      </c>
      <c r="G1931" s="23" t="s">
        <v>41</v>
      </c>
      <c r="H1931" s="23" t="s">
        <v>53</v>
      </c>
      <c r="I1931" t="s">
        <v>3528</v>
      </c>
      <c r="J1931" s="23" t="s">
        <v>22</v>
      </c>
      <c r="K1931" s="22">
        <v>4</v>
      </c>
      <c r="L1931" s="1">
        <v>42004</v>
      </c>
      <c r="M1931" s="22">
        <f>Table12[[#This Row],[Ship Date]]-Table12[[#This Row],[Order Date]]</f>
        <v>4</v>
      </c>
      <c r="N1931" s="23" t="s">
        <v>45</v>
      </c>
      <c r="O1931" s="23" t="s">
        <v>23</v>
      </c>
      <c r="P1931" s="23" t="s">
        <v>189</v>
      </c>
      <c r="Q1931" s="23" t="s">
        <v>95</v>
      </c>
      <c r="R1931" s="23" t="s">
        <v>3784</v>
      </c>
      <c r="S1931" s="33">
        <v>0.2</v>
      </c>
      <c r="T1931" s="13">
        <v>30.015999999999998</v>
      </c>
      <c r="U1931" s="13">
        <v>3.0015999999999998</v>
      </c>
      <c r="V1931" s="55">
        <f>IFERROR(Table12[[#This Row],[Profit]]/Table12[[#This Row],[Sales]],0)</f>
        <v>0.1</v>
      </c>
    </row>
    <row r="1932" spans="1:22" x14ac:dyDescent="0.2">
      <c r="A1932">
        <v>1931</v>
      </c>
      <c r="B1932" t="s">
        <v>6848</v>
      </c>
      <c r="C1932" s="1">
        <v>42000</v>
      </c>
      <c r="D1932" s="22">
        <f>MONTH(Table12[[#This Row],[Order Date]])</f>
        <v>12</v>
      </c>
      <c r="E1932" t="s">
        <v>1291</v>
      </c>
      <c r="F1932" t="s">
        <v>1292</v>
      </c>
      <c r="G1932" s="23" t="s">
        <v>28</v>
      </c>
      <c r="H1932" s="23" t="s">
        <v>32</v>
      </c>
      <c r="I1932" t="s">
        <v>1692</v>
      </c>
      <c r="J1932" s="23" t="s">
        <v>22</v>
      </c>
      <c r="K1932" s="22">
        <v>3</v>
      </c>
      <c r="L1932" s="1">
        <v>42006</v>
      </c>
      <c r="M1932" s="22">
        <f>Table12[[#This Row],[Ship Date]]-Table12[[#This Row],[Order Date]]</f>
        <v>6</v>
      </c>
      <c r="N1932" s="23" t="s">
        <v>45</v>
      </c>
      <c r="O1932" s="23" t="s">
        <v>23</v>
      </c>
      <c r="P1932" s="23" t="s">
        <v>38</v>
      </c>
      <c r="Q1932" s="23" t="s">
        <v>39</v>
      </c>
      <c r="R1932" s="23" t="s">
        <v>114</v>
      </c>
      <c r="S1932" s="33">
        <v>0.2</v>
      </c>
      <c r="T1932" s="13">
        <v>230.28</v>
      </c>
      <c r="U1932" s="13">
        <v>23.027999999999999</v>
      </c>
      <c r="V1932" s="55">
        <f>IFERROR(Table12[[#This Row],[Profit]]/Table12[[#This Row],[Sales]],0)</f>
        <v>9.9999999999999992E-2</v>
      </c>
    </row>
    <row r="1933" spans="1:22" x14ac:dyDescent="0.2">
      <c r="A1933">
        <v>1932</v>
      </c>
      <c r="B1933" t="s">
        <v>6848</v>
      </c>
      <c r="C1933" s="1">
        <v>42000</v>
      </c>
      <c r="D1933" s="22">
        <f>MONTH(Table12[[#This Row],[Order Date]])</f>
        <v>12</v>
      </c>
      <c r="E1933" t="s">
        <v>2162</v>
      </c>
      <c r="F1933" t="s">
        <v>2163</v>
      </c>
      <c r="G1933" s="23" t="s">
        <v>41</v>
      </c>
      <c r="H1933" s="23" t="s">
        <v>82</v>
      </c>
      <c r="I1933" t="s">
        <v>1692</v>
      </c>
      <c r="J1933" s="23" t="s">
        <v>22</v>
      </c>
      <c r="K1933" s="22">
        <v>3</v>
      </c>
      <c r="L1933" s="1">
        <v>42006</v>
      </c>
      <c r="M1933" s="22">
        <f>Table12[[#This Row],[Ship Date]]-Table12[[#This Row],[Order Date]]</f>
        <v>6</v>
      </c>
      <c r="N1933" s="23" t="s">
        <v>45</v>
      </c>
      <c r="O1933" s="23" t="s">
        <v>23</v>
      </c>
      <c r="P1933" s="23" t="s">
        <v>38</v>
      </c>
      <c r="Q1933" s="23" t="s">
        <v>39</v>
      </c>
      <c r="R1933" s="23" t="s">
        <v>114</v>
      </c>
      <c r="S1933" s="33">
        <v>0</v>
      </c>
      <c r="T1933" s="13">
        <v>12.84</v>
      </c>
      <c r="U1933" s="13">
        <v>5.7779999999999996</v>
      </c>
      <c r="V1933" s="55">
        <f>IFERROR(Table12[[#This Row],[Profit]]/Table12[[#This Row],[Sales]],0)</f>
        <v>0.44999999999999996</v>
      </c>
    </row>
    <row r="1934" spans="1:22" x14ac:dyDescent="0.2">
      <c r="A1934">
        <v>1933</v>
      </c>
      <c r="B1934" t="s">
        <v>7928</v>
      </c>
      <c r="C1934" s="1">
        <v>42000</v>
      </c>
      <c r="D1934" s="22">
        <f>MONTH(Table12[[#This Row],[Order Date]])</f>
        <v>12</v>
      </c>
      <c r="E1934" t="s">
        <v>786</v>
      </c>
      <c r="F1934" t="s">
        <v>787</v>
      </c>
      <c r="G1934" s="23" t="s">
        <v>28</v>
      </c>
      <c r="H1934" s="23" t="s">
        <v>32</v>
      </c>
      <c r="I1934" t="s">
        <v>2562</v>
      </c>
      <c r="J1934" s="23" t="s">
        <v>92</v>
      </c>
      <c r="K1934" s="22">
        <v>14</v>
      </c>
      <c r="L1934" s="1">
        <v>42004</v>
      </c>
      <c r="M1934" s="22">
        <f>Table12[[#This Row],[Ship Date]]-Table12[[#This Row],[Order Date]]</f>
        <v>4</v>
      </c>
      <c r="N1934" s="23" t="s">
        <v>45</v>
      </c>
      <c r="O1934" s="23" t="s">
        <v>23</v>
      </c>
      <c r="P1934" s="23" t="s">
        <v>238</v>
      </c>
      <c r="Q1934" s="23" t="s">
        <v>133</v>
      </c>
      <c r="R1934" s="23" t="s">
        <v>237</v>
      </c>
      <c r="S1934" s="33">
        <v>0.1</v>
      </c>
      <c r="T1934" s="13">
        <v>767.21400000000006</v>
      </c>
      <c r="U1934" s="13">
        <v>161.9674</v>
      </c>
      <c r="V1934" s="55">
        <f>IFERROR(Table12[[#This Row],[Profit]]/Table12[[#This Row],[Sales]],0)</f>
        <v>0.21111111111111108</v>
      </c>
    </row>
    <row r="1935" spans="1:22" x14ac:dyDescent="0.2">
      <c r="A1935">
        <v>1934</v>
      </c>
      <c r="B1935" t="s">
        <v>8884</v>
      </c>
      <c r="C1935" s="1">
        <v>42000</v>
      </c>
      <c r="D1935" s="22">
        <f>MONTH(Table12[[#This Row],[Order Date]])</f>
        <v>12</v>
      </c>
      <c r="E1935" t="s">
        <v>6613</v>
      </c>
      <c r="F1935" t="s">
        <v>1262</v>
      </c>
      <c r="G1935" s="23" t="s">
        <v>41</v>
      </c>
      <c r="H1935" s="23" t="s">
        <v>71</v>
      </c>
      <c r="I1935" t="s">
        <v>3875</v>
      </c>
      <c r="J1935" s="23" t="s">
        <v>92</v>
      </c>
      <c r="K1935" s="22">
        <v>1</v>
      </c>
      <c r="L1935" s="1">
        <v>42004</v>
      </c>
      <c r="M1935" s="22">
        <f>Table12[[#This Row],[Ship Date]]-Table12[[#This Row],[Order Date]]</f>
        <v>4</v>
      </c>
      <c r="N1935" s="23" t="s">
        <v>45</v>
      </c>
      <c r="O1935" s="23" t="s">
        <v>23</v>
      </c>
      <c r="P1935" s="23" t="s">
        <v>38</v>
      </c>
      <c r="Q1935" s="23" t="s">
        <v>39</v>
      </c>
      <c r="R1935" s="23" t="s">
        <v>7214</v>
      </c>
      <c r="S1935" s="33">
        <v>0</v>
      </c>
      <c r="T1935" s="13">
        <v>10.98</v>
      </c>
      <c r="U1935" s="13">
        <v>2.9645999999999999</v>
      </c>
      <c r="V1935" s="55">
        <f>IFERROR(Table12[[#This Row],[Profit]]/Table12[[#This Row],[Sales]],0)</f>
        <v>0.26999999999999996</v>
      </c>
    </row>
    <row r="1936" spans="1:22" x14ac:dyDescent="0.2">
      <c r="A1936">
        <v>1935</v>
      </c>
      <c r="B1936" t="s">
        <v>8884</v>
      </c>
      <c r="C1936" s="1">
        <v>42000</v>
      </c>
      <c r="D1936" s="22">
        <f>MONTH(Table12[[#This Row],[Order Date]])</f>
        <v>12</v>
      </c>
      <c r="E1936" t="s">
        <v>7146</v>
      </c>
      <c r="F1936" t="s">
        <v>498</v>
      </c>
      <c r="G1936" s="23" t="s">
        <v>41</v>
      </c>
      <c r="H1936" s="23" t="s">
        <v>240</v>
      </c>
      <c r="I1936" t="s">
        <v>3875</v>
      </c>
      <c r="J1936" s="23" t="s">
        <v>92</v>
      </c>
      <c r="K1936" s="22">
        <v>3</v>
      </c>
      <c r="L1936" s="1">
        <v>42004</v>
      </c>
      <c r="M1936" s="22">
        <f>Table12[[#This Row],[Ship Date]]-Table12[[#This Row],[Order Date]]</f>
        <v>4</v>
      </c>
      <c r="N1936" s="23" t="s">
        <v>45</v>
      </c>
      <c r="O1936" s="23" t="s">
        <v>23</v>
      </c>
      <c r="P1936" s="23" t="s">
        <v>38</v>
      </c>
      <c r="Q1936" s="23" t="s">
        <v>39</v>
      </c>
      <c r="R1936" s="23" t="s">
        <v>7214</v>
      </c>
      <c r="S1936" s="33">
        <v>0</v>
      </c>
      <c r="T1936" s="13">
        <v>7.86</v>
      </c>
      <c r="U1936" s="13">
        <v>3.6156000000000001</v>
      </c>
      <c r="V1936" s="55">
        <f>IFERROR(Table12[[#This Row],[Profit]]/Table12[[#This Row],[Sales]],0)</f>
        <v>0.46</v>
      </c>
    </row>
    <row r="1937" spans="1:22" x14ac:dyDescent="0.2">
      <c r="A1937">
        <v>1936</v>
      </c>
      <c r="B1937" t="s">
        <v>8884</v>
      </c>
      <c r="C1937" s="1">
        <v>42000</v>
      </c>
      <c r="D1937" s="22">
        <f>MONTH(Table12[[#This Row],[Order Date]])</f>
        <v>12</v>
      </c>
      <c r="E1937" t="s">
        <v>1564</v>
      </c>
      <c r="F1937" t="s">
        <v>1565</v>
      </c>
      <c r="G1937" s="23" t="s">
        <v>41</v>
      </c>
      <c r="H1937" s="23" t="s">
        <v>53</v>
      </c>
      <c r="I1937" t="s">
        <v>3875</v>
      </c>
      <c r="J1937" s="23" t="s">
        <v>92</v>
      </c>
      <c r="K1937" s="22">
        <v>3</v>
      </c>
      <c r="L1937" s="1">
        <v>42004</v>
      </c>
      <c r="M1937" s="22">
        <f>Table12[[#This Row],[Ship Date]]-Table12[[#This Row],[Order Date]]</f>
        <v>4</v>
      </c>
      <c r="N1937" s="23" t="s">
        <v>45</v>
      </c>
      <c r="O1937" s="23" t="s">
        <v>23</v>
      </c>
      <c r="P1937" s="23" t="s">
        <v>38</v>
      </c>
      <c r="Q1937" s="23" t="s">
        <v>39</v>
      </c>
      <c r="R1937" s="23" t="s">
        <v>7214</v>
      </c>
      <c r="S1937" s="33">
        <v>0</v>
      </c>
      <c r="T1937" s="13">
        <v>51.45</v>
      </c>
      <c r="U1937" s="13">
        <v>13.891500000000001</v>
      </c>
      <c r="V1937" s="55">
        <f>IFERROR(Table12[[#This Row],[Profit]]/Table12[[#This Row],[Sales]],0)</f>
        <v>0.27</v>
      </c>
    </row>
    <row r="1938" spans="1:22" x14ac:dyDescent="0.2">
      <c r="A1938">
        <v>1937</v>
      </c>
      <c r="B1938" t="s">
        <v>8884</v>
      </c>
      <c r="C1938" s="1">
        <v>42000</v>
      </c>
      <c r="D1938" s="22">
        <f>MONTH(Table12[[#This Row],[Order Date]])</f>
        <v>12</v>
      </c>
      <c r="E1938" t="s">
        <v>3818</v>
      </c>
      <c r="F1938" t="s">
        <v>3819</v>
      </c>
      <c r="G1938" s="23" t="s">
        <v>41</v>
      </c>
      <c r="H1938" s="23" t="s">
        <v>68</v>
      </c>
      <c r="I1938" t="s">
        <v>3875</v>
      </c>
      <c r="J1938" s="23" t="s">
        <v>92</v>
      </c>
      <c r="K1938" s="22">
        <v>3</v>
      </c>
      <c r="L1938" s="1">
        <v>42004</v>
      </c>
      <c r="M1938" s="22">
        <f>Table12[[#This Row],[Ship Date]]-Table12[[#This Row],[Order Date]]</f>
        <v>4</v>
      </c>
      <c r="N1938" s="23" t="s">
        <v>45</v>
      </c>
      <c r="O1938" s="23" t="s">
        <v>23</v>
      </c>
      <c r="P1938" s="23" t="s">
        <v>38</v>
      </c>
      <c r="Q1938" s="23" t="s">
        <v>39</v>
      </c>
      <c r="R1938" s="23" t="s">
        <v>7214</v>
      </c>
      <c r="S1938" s="33">
        <v>0.2</v>
      </c>
      <c r="T1938" s="13">
        <v>37.055999999999997</v>
      </c>
      <c r="U1938" s="13">
        <v>13.896000000000001</v>
      </c>
      <c r="V1938" s="55">
        <f>IFERROR(Table12[[#This Row],[Profit]]/Table12[[#This Row],[Sales]],0)</f>
        <v>0.37500000000000006</v>
      </c>
    </row>
    <row r="1939" spans="1:22" x14ac:dyDescent="0.2">
      <c r="A1939">
        <v>1938</v>
      </c>
      <c r="B1939" t="s">
        <v>9186</v>
      </c>
      <c r="C1939" s="1">
        <v>42000</v>
      </c>
      <c r="D1939" s="22">
        <f>MONTH(Table12[[#This Row],[Order Date]])</f>
        <v>12</v>
      </c>
      <c r="E1939" t="s">
        <v>8541</v>
      </c>
      <c r="F1939" t="s">
        <v>8542</v>
      </c>
      <c r="G1939" s="23" t="s">
        <v>41</v>
      </c>
      <c r="H1939" s="23" t="s">
        <v>82</v>
      </c>
      <c r="I1939" t="s">
        <v>4397</v>
      </c>
      <c r="J1939" s="23" t="s">
        <v>36</v>
      </c>
      <c r="K1939" s="22">
        <v>4</v>
      </c>
      <c r="L1939" s="1">
        <v>42007</v>
      </c>
      <c r="M1939" s="22">
        <f>Table12[[#This Row],[Ship Date]]-Table12[[#This Row],[Order Date]]</f>
        <v>7</v>
      </c>
      <c r="N1939" s="23" t="s">
        <v>45</v>
      </c>
      <c r="O1939" s="23" t="s">
        <v>23</v>
      </c>
      <c r="P1939" s="23" t="s">
        <v>320</v>
      </c>
      <c r="Q1939" s="23" t="s">
        <v>26</v>
      </c>
      <c r="R1939" s="23" t="s">
        <v>319</v>
      </c>
      <c r="S1939" s="33">
        <v>0</v>
      </c>
      <c r="T1939" s="13">
        <v>23.92</v>
      </c>
      <c r="U1939" s="13">
        <v>11.720800000000001</v>
      </c>
      <c r="V1939" s="55">
        <f>IFERROR(Table12[[#This Row],[Profit]]/Table12[[#This Row],[Sales]],0)</f>
        <v>0.49</v>
      </c>
    </row>
    <row r="1940" spans="1:22" x14ac:dyDescent="0.2">
      <c r="A1940">
        <v>1939</v>
      </c>
      <c r="B1940" t="s">
        <v>9186</v>
      </c>
      <c r="C1940" s="1">
        <v>42000</v>
      </c>
      <c r="D1940" s="22">
        <f>MONTH(Table12[[#This Row],[Order Date]])</f>
        <v>12</v>
      </c>
      <c r="E1940" t="s">
        <v>2659</v>
      </c>
      <c r="F1940" t="s">
        <v>2660</v>
      </c>
      <c r="G1940" s="23" t="s">
        <v>64</v>
      </c>
      <c r="H1940" s="23" t="s">
        <v>144</v>
      </c>
      <c r="I1940" t="s">
        <v>4397</v>
      </c>
      <c r="J1940" s="23" t="s">
        <v>36</v>
      </c>
      <c r="K1940" s="22">
        <v>5</v>
      </c>
      <c r="L1940" s="1">
        <v>42007</v>
      </c>
      <c r="M1940" s="22">
        <f>Table12[[#This Row],[Ship Date]]-Table12[[#This Row],[Order Date]]</f>
        <v>7</v>
      </c>
      <c r="N1940" s="23" t="s">
        <v>45</v>
      </c>
      <c r="O1940" s="23" t="s">
        <v>23</v>
      </c>
      <c r="P1940" s="23" t="s">
        <v>320</v>
      </c>
      <c r="Q1940" s="23" t="s">
        <v>26</v>
      </c>
      <c r="R1940" s="23" t="s">
        <v>319</v>
      </c>
      <c r="S1940" s="33">
        <v>0</v>
      </c>
      <c r="T1940" s="13">
        <v>498</v>
      </c>
      <c r="U1940" s="13">
        <v>184.26</v>
      </c>
      <c r="V1940" s="55">
        <f>IFERROR(Table12[[#This Row],[Profit]]/Table12[[#This Row],[Sales]],0)</f>
        <v>0.37</v>
      </c>
    </row>
    <row r="1941" spans="1:22" x14ac:dyDescent="0.2">
      <c r="A1941">
        <v>1940</v>
      </c>
      <c r="B1941" t="s">
        <v>9205</v>
      </c>
      <c r="C1941" s="1">
        <v>42000</v>
      </c>
      <c r="D1941" s="22">
        <f>MONTH(Table12[[#This Row],[Order Date]])</f>
        <v>12</v>
      </c>
      <c r="E1941" t="s">
        <v>1526</v>
      </c>
      <c r="F1941" t="s">
        <v>1527</v>
      </c>
      <c r="G1941" s="23" t="s">
        <v>41</v>
      </c>
      <c r="H1941" s="23" t="s">
        <v>68</v>
      </c>
      <c r="I1941" t="s">
        <v>6236</v>
      </c>
      <c r="J1941" s="23" t="s">
        <v>22</v>
      </c>
      <c r="K1941" s="22">
        <v>1</v>
      </c>
      <c r="L1941" s="1">
        <v>42003</v>
      </c>
      <c r="M1941" s="22">
        <f>Table12[[#This Row],[Ship Date]]-Table12[[#This Row],[Order Date]]</f>
        <v>3</v>
      </c>
      <c r="N1941" s="23" t="s">
        <v>169</v>
      </c>
      <c r="O1941" s="23" t="s">
        <v>23</v>
      </c>
      <c r="P1941" s="23" t="s">
        <v>94</v>
      </c>
      <c r="Q1941" s="23" t="s">
        <v>95</v>
      </c>
      <c r="R1941" s="23" t="s">
        <v>93</v>
      </c>
      <c r="S1941" s="33">
        <v>0.8</v>
      </c>
      <c r="T1941" s="13">
        <v>4.984</v>
      </c>
      <c r="U1941" s="13">
        <v>-8.4727999999999994</v>
      </c>
      <c r="V1941" s="55">
        <f>IFERROR(Table12[[#This Row],[Profit]]/Table12[[#This Row],[Sales]],0)</f>
        <v>-1.7</v>
      </c>
    </row>
    <row r="1942" spans="1:22" x14ac:dyDescent="0.2">
      <c r="A1942">
        <v>1941</v>
      </c>
      <c r="B1942" t="s">
        <v>9390</v>
      </c>
      <c r="C1942" s="1">
        <v>42000</v>
      </c>
      <c r="D1942" s="22">
        <f>MONTH(Table12[[#This Row],[Order Date]])</f>
        <v>12</v>
      </c>
      <c r="E1942" t="s">
        <v>6296</v>
      </c>
      <c r="F1942" t="s">
        <v>6297</v>
      </c>
      <c r="G1942" s="23" t="s">
        <v>28</v>
      </c>
      <c r="H1942" s="23" t="s">
        <v>58</v>
      </c>
      <c r="I1942" t="s">
        <v>363</v>
      </c>
      <c r="J1942" s="23" t="s">
        <v>22</v>
      </c>
      <c r="K1942" s="22">
        <v>3</v>
      </c>
      <c r="L1942" s="1">
        <v>42005</v>
      </c>
      <c r="M1942" s="22">
        <f>Table12[[#This Row],[Ship Date]]-Table12[[#This Row],[Order Date]]</f>
        <v>5</v>
      </c>
      <c r="N1942" s="23" t="s">
        <v>20</v>
      </c>
      <c r="O1942" s="23" t="s">
        <v>23</v>
      </c>
      <c r="P1942" s="23" t="s">
        <v>441</v>
      </c>
      <c r="Q1942" s="23" t="s">
        <v>133</v>
      </c>
      <c r="R1942" s="23" t="s">
        <v>1920</v>
      </c>
      <c r="S1942" s="33">
        <v>0.2</v>
      </c>
      <c r="T1942" s="13">
        <v>182.352</v>
      </c>
      <c r="U1942" s="13">
        <v>-18.235199999999999</v>
      </c>
      <c r="V1942" s="55">
        <f>IFERROR(Table12[[#This Row],[Profit]]/Table12[[#This Row],[Sales]],0)</f>
        <v>-9.9999999999999992E-2</v>
      </c>
    </row>
    <row r="1943" spans="1:22" x14ac:dyDescent="0.2">
      <c r="A1943">
        <v>1942</v>
      </c>
      <c r="B1943" t="s">
        <v>9390</v>
      </c>
      <c r="C1943" s="1">
        <v>42000</v>
      </c>
      <c r="D1943" s="22">
        <f>MONTH(Table12[[#This Row],[Order Date]])</f>
        <v>12</v>
      </c>
      <c r="E1943" t="s">
        <v>855</v>
      </c>
      <c r="F1943" t="s">
        <v>856</v>
      </c>
      <c r="G1943" s="23" t="s">
        <v>41</v>
      </c>
      <c r="H1943" s="23" t="s">
        <v>53</v>
      </c>
      <c r="I1943" t="s">
        <v>363</v>
      </c>
      <c r="J1943" s="23" t="s">
        <v>22</v>
      </c>
      <c r="K1943" s="22">
        <v>2</v>
      </c>
      <c r="L1943" s="1">
        <v>42005</v>
      </c>
      <c r="M1943" s="22">
        <f>Table12[[#This Row],[Ship Date]]-Table12[[#This Row],[Order Date]]</f>
        <v>5</v>
      </c>
      <c r="N1943" s="23" t="s">
        <v>20</v>
      </c>
      <c r="O1943" s="23" t="s">
        <v>23</v>
      </c>
      <c r="P1943" s="23" t="s">
        <v>441</v>
      </c>
      <c r="Q1943" s="23" t="s">
        <v>133</v>
      </c>
      <c r="R1943" s="23" t="s">
        <v>1920</v>
      </c>
      <c r="S1943" s="33">
        <v>0.2</v>
      </c>
      <c r="T1943" s="13">
        <v>118.16</v>
      </c>
      <c r="U1943" s="13">
        <v>-25.109000000000002</v>
      </c>
      <c r="V1943" s="55">
        <f>IFERROR(Table12[[#This Row],[Profit]]/Table12[[#This Row],[Sales]],0)</f>
        <v>-0.21250000000000002</v>
      </c>
    </row>
    <row r="1944" spans="1:22" x14ac:dyDescent="0.2">
      <c r="A1944">
        <v>1943</v>
      </c>
      <c r="B1944" t="s">
        <v>9717</v>
      </c>
      <c r="C1944" s="1">
        <v>42000</v>
      </c>
      <c r="D1944" s="22">
        <f>MONTH(Table12[[#This Row],[Order Date]])</f>
        <v>12</v>
      </c>
      <c r="E1944" t="s">
        <v>457</v>
      </c>
      <c r="F1944" t="s">
        <v>458</v>
      </c>
      <c r="G1944" s="23" t="s">
        <v>41</v>
      </c>
      <c r="H1944" s="23" t="s">
        <v>68</v>
      </c>
      <c r="I1944" t="s">
        <v>1919</v>
      </c>
      <c r="J1944" s="23" t="s">
        <v>22</v>
      </c>
      <c r="K1944" s="22">
        <v>6</v>
      </c>
      <c r="L1944" s="1">
        <v>42004</v>
      </c>
      <c r="M1944" s="22">
        <f>Table12[[#This Row],[Ship Date]]-Table12[[#This Row],[Order Date]]</f>
        <v>4</v>
      </c>
      <c r="N1944" s="23" t="s">
        <v>45</v>
      </c>
      <c r="O1944" s="23" t="s">
        <v>23</v>
      </c>
      <c r="P1944" s="23" t="s">
        <v>277</v>
      </c>
      <c r="Q1944" s="23" t="s">
        <v>39</v>
      </c>
      <c r="R1944" s="23" t="s">
        <v>481</v>
      </c>
      <c r="S1944" s="33">
        <v>0.7</v>
      </c>
      <c r="T1944" s="13">
        <v>946.76400000000001</v>
      </c>
      <c r="U1944" s="13">
        <v>-694.29359999999997</v>
      </c>
      <c r="V1944" s="55">
        <f>IFERROR(Table12[[#This Row],[Profit]]/Table12[[#This Row],[Sales]],0)</f>
        <v>-0.73333333333333328</v>
      </c>
    </row>
    <row r="1945" spans="1:22" x14ac:dyDescent="0.2">
      <c r="A1945">
        <v>1944</v>
      </c>
      <c r="B1945" t="s">
        <v>1023</v>
      </c>
      <c r="C1945" s="1">
        <v>42001</v>
      </c>
      <c r="D1945" s="22">
        <f>MONTH(Table12[[#This Row],[Order Date]])</f>
        <v>12</v>
      </c>
      <c r="E1945" t="s">
        <v>1025</v>
      </c>
      <c r="F1945" t="s">
        <v>1026</v>
      </c>
      <c r="G1945" s="23" t="s">
        <v>41</v>
      </c>
      <c r="H1945" s="23" t="s">
        <v>61</v>
      </c>
      <c r="I1945" t="s">
        <v>1024</v>
      </c>
      <c r="J1945" s="23" t="s">
        <v>36</v>
      </c>
      <c r="K1945" s="22">
        <v>4</v>
      </c>
      <c r="L1945" s="1">
        <v>42003</v>
      </c>
      <c r="M1945" s="22">
        <f>Table12[[#This Row],[Ship Date]]-Table12[[#This Row],[Order Date]]</f>
        <v>2</v>
      </c>
      <c r="N1945" s="23" t="s">
        <v>169</v>
      </c>
      <c r="O1945" s="23" t="s">
        <v>23</v>
      </c>
      <c r="P1945" s="23" t="s">
        <v>132</v>
      </c>
      <c r="Q1945" s="23" t="s">
        <v>133</v>
      </c>
      <c r="R1945" s="23" t="s">
        <v>131</v>
      </c>
      <c r="S1945" s="33">
        <v>0.2</v>
      </c>
      <c r="T1945" s="13">
        <v>99.135999999999996</v>
      </c>
      <c r="U1945" s="13">
        <v>8.6744000000000003</v>
      </c>
      <c r="V1945" s="55">
        <f>IFERROR(Table12[[#This Row],[Profit]]/Table12[[#This Row],[Sales]],0)</f>
        <v>8.7500000000000008E-2</v>
      </c>
    </row>
    <row r="1946" spans="1:22" x14ac:dyDescent="0.2">
      <c r="A1946">
        <v>1945</v>
      </c>
      <c r="B1946" t="s">
        <v>8042</v>
      </c>
      <c r="C1946" s="1">
        <v>42001</v>
      </c>
      <c r="D1946" s="22">
        <f>MONTH(Table12[[#This Row],[Order Date]])</f>
        <v>12</v>
      </c>
      <c r="E1946" t="s">
        <v>4990</v>
      </c>
      <c r="F1946" t="s">
        <v>4991</v>
      </c>
      <c r="G1946" s="23" t="s">
        <v>41</v>
      </c>
      <c r="H1946" s="23" t="s">
        <v>71</v>
      </c>
      <c r="I1946" t="s">
        <v>2355</v>
      </c>
      <c r="J1946" s="23" t="s">
        <v>36</v>
      </c>
      <c r="K1946" s="22">
        <v>6</v>
      </c>
      <c r="L1946" s="1">
        <v>42005</v>
      </c>
      <c r="M1946" s="22">
        <f>Table12[[#This Row],[Ship Date]]-Table12[[#This Row],[Order Date]]</f>
        <v>4</v>
      </c>
      <c r="N1946" s="23" t="s">
        <v>45</v>
      </c>
      <c r="O1946" s="23" t="s">
        <v>23</v>
      </c>
      <c r="P1946" s="23" t="s">
        <v>1101</v>
      </c>
      <c r="Q1946" s="23" t="s">
        <v>133</v>
      </c>
      <c r="R1946" s="23" t="s">
        <v>8043</v>
      </c>
      <c r="S1946" s="33">
        <v>0</v>
      </c>
      <c r="T1946" s="13">
        <v>1737.18</v>
      </c>
      <c r="U1946" s="13">
        <v>503.78219999999999</v>
      </c>
      <c r="V1946" s="55">
        <f>IFERROR(Table12[[#This Row],[Profit]]/Table12[[#This Row],[Sales]],0)</f>
        <v>0.28999999999999998</v>
      </c>
    </row>
    <row r="1947" spans="1:22" x14ac:dyDescent="0.2">
      <c r="A1947">
        <v>1946</v>
      </c>
      <c r="B1947" t="s">
        <v>8042</v>
      </c>
      <c r="C1947" s="1">
        <v>42001</v>
      </c>
      <c r="D1947" s="22">
        <f>MONTH(Table12[[#This Row],[Order Date]])</f>
        <v>12</v>
      </c>
      <c r="E1947" t="s">
        <v>1464</v>
      </c>
      <c r="F1947" t="s">
        <v>1465</v>
      </c>
      <c r="G1947" s="23" t="s">
        <v>41</v>
      </c>
      <c r="H1947" s="23" t="s">
        <v>53</v>
      </c>
      <c r="I1947" t="s">
        <v>2355</v>
      </c>
      <c r="J1947" s="23" t="s">
        <v>36</v>
      </c>
      <c r="K1947" s="22">
        <v>5</v>
      </c>
      <c r="L1947" s="1">
        <v>42005</v>
      </c>
      <c r="M1947" s="22">
        <f>Table12[[#This Row],[Ship Date]]-Table12[[#This Row],[Order Date]]</f>
        <v>4</v>
      </c>
      <c r="N1947" s="23" t="s">
        <v>45</v>
      </c>
      <c r="O1947" s="23" t="s">
        <v>23</v>
      </c>
      <c r="P1947" s="23" t="s">
        <v>1101</v>
      </c>
      <c r="Q1947" s="23" t="s">
        <v>133</v>
      </c>
      <c r="R1947" s="23" t="s">
        <v>8043</v>
      </c>
      <c r="S1947" s="33">
        <v>0</v>
      </c>
      <c r="T1947" s="13">
        <v>704.25</v>
      </c>
      <c r="U1947" s="13">
        <v>84.51</v>
      </c>
      <c r="V1947" s="55">
        <f>IFERROR(Table12[[#This Row],[Profit]]/Table12[[#This Row],[Sales]],0)</f>
        <v>0.12000000000000001</v>
      </c>
    </row>
    <row r="1948" spans="1:22" x14ac:dyDescent="0.2">
      <c r="A1948">
        <v>1947</v>
      </c>
      <c r="B1948" t="s">
        <v>8042</v>
      </c>
      <c r="C1948" s="1">
        <v>42001</v>
      </c>
      <c r="D1948" s="22">
        <f>MONTH(Table12[[#This Row],[Order Date]])</f>
        <v>12</v>
      </c>
      <c r="E1948" t="s">
        <v>7423</v>
      </c>
      <c r="F1948" t="s">
        <v>7424</v>
      </c>
      <c r="G1948" s="23" t="s">
        <v>41</v>
      </c>
      <c r="H1948" s="23" t="s">
        <v>82</v>
      </c>
      <c r="I1948" t="s">
        <v>2355</v>
      </c>
      <c r="J1948" s="23" t="s">
        <v>36</v>
      </c>
      <c r="K1948" s="22">
        <v>4</v>
      </c>
      <c r="L1948" s="1">
        <v>42005</v>
      </c>
      <c r="M1948" s="22">
        <f>Table12[[#This Row],[Ship Date]]-Table12[[#This Row],[Order Date]]</f>
        <v>4</v>
      </c>
      <c r="N1948" s="23" t="s">
        <v>45</v>
      </c>
      <c r="O1948" s="23" t="s">
        <v>23</v>
      </c>
      <c r="P1948" s="23" t="s">
        <v>1101</v>
      </c>
      <c r="Q1948" s="23" t="s">
        <v>133</v>
      </c>
      <c r="R1948" s="23" t="s">
        <v>8043</v>
      </c>
      <c r="S1948" s="33">
        <v>0</v>
      </c>
      <c r="T1948" s="13">
        <v>141.76</v>
      </c>
      <c r="U1948" s="13">
        <v>66.627200000000002</v>
      </c>
      <c r="V1948" s="55">
        <f>IFERROR(Table12[[#This Row],[Profit]]/Table12[[#This Row],[Sales]],0)</f>
        <v>0.47000000000000003</v>
      </c>
    </row>
    <row r="1949" spans="1:22" x14ac:dyDescent="0.2">
      <c r="A1949">
        <v>1948</v>
      </c>
      <c r="B1949" t="s">
        <v>10120</v>
      </c>
      <c r="C1949" s="1">
        <v>42001</v>
      </c>
      <c r="D1949" s="22">
        <f>MONTH(Table12[[#This Row],[Order Date]])</f>
        <v>12</v>
      </c>
      <c r="E1949" t="s">
        <v>5352</v>
      </c>
      <c r="F1949" t="s">
        <v>5353</v>
      </c>
      <c r="G1949" s="23" t="s">
        <v>41</v>
      </c>
      <c r="H1949" s="23" t="s">
        <v>53</v>
      </c>
      <c r="I1949" t="s">
        <v>1508</v>
      </c>
      <c r="J1949" s="23" t="s">
        <v>22</v>
      </c>
      <c r="K1949" s="22">
        <v>9</v>
      </c>
      <c r="L1949" s="1">
        <v>42007</v>
      </c>
      <c r="M1949" s="22">
        <f>Table12[[#This Row],[Ship Date]]-Table12[[#This Row],[Order Date]]</f>
        <v>6</v>
      </c>
      <c r="N1949" s="23" t="s">
        <v>45</v>
      </c>
      <c r="O1949" s="23" t="s">
        <v>23</v>
      </c>
      <c r="P1949" s="23" t="s">
        <v>38</v>
      </c>
      <c r="Q1949" s="23" t="s">
        <v>39</v>
      </c>
      <c r="R1949" s="23" t="s">
        <v>1666</v>
      </c>
      <c r="S1949" s="33">
        <v>0</v>
      </c>
      <c r="T1949" s="13">
        <v>998.82</v>
      </c>
      <c r="U1949" s="13">
        <v>29.964600000000001</v>
      </c>
      <c r="V1949" s="55">
        <f>IFERROR(Table12[[#This Row],[Profit]]/Table12[[#This Row],[Sales]],0)</f>
        <v>0.03</v>
      </c>
    </row>
    <row r="1950" spans="1:22" x14ac:dyDescent="0.2">
      <c r="A1950">
        <v>1949</v>
      </c>
      <c r="B1950" t="s">
        <v>10120</v>
      </c>
      <c r="C1950" s="1">
        <v>42001</v>
      </c>
      <c r="D1950" s="22">
        <f>MONTH(Table12[[#This Row],[Order Date]])</f>
        <v>12</v>
      </c>
      <c r="E1950" t="s">
        <v>2336</v>
      </c>
      <c r="F1950" t="s">
        <v>2337</v>
      </c>
      <c r="G1950" s="23" t="s">
        <v>41</v>
      </c>
      <c r="H1950" s="23" t="s">
        <v>513</v>
      </c>
      <c r="I1950" t="s">
        <v>1508</v>
      </c>
      <c r="J1950" s="23" t="s">
        <v>22</v>
      </c>
      <c r="K1950" s="22">
        <v>5</v>
      </c>
      <c r="L1950" s="1">
        <v>42007</v>
      </c>
      <c r="M1950" s="22">
        <f>Table12[[#This Row],[Ship Date]]-Table12[[#This Row],[Order Date]]</f>
        <v>6</v>
      </c>
      <c r="N1950" s="23" t="s">
        <v>45</v>
      </c>
      <c r="O1950" s="23" t="s">
        <v>23</v>
      </c>
      <c r="P1950" s="23" t="s">
        <v>38</v>
      </c>
      <c r="Q1950" s="23" t="s">
        <v>39</v>
      </c>
      <c r="R1950" s="23" t="s">
        <v>1666</v>
      </c>
      <c r="S1950" s="33">
        <v>0</v>
      </c>
      <c r="T1950" s="13">
        <v>51.15</v>
      </c>
      <c r="U1950" s="13">
        <v>13.298999999999999</v>
      </c>
      <c r="V1950" s="55">
        <f>IFERROR(Table12[[#This Row],[Profit]]/Table12[[#This Row],[Sales]],0)</f>
        <v>0.26</v>
      </c>
    </row>
    <row r="1951" spans="1:22" x14ac:dyDescent="0.2">
      <c r="A1951">
        <v>1950</v>
      </c>
      <c r="B1951" t="s">
        <v>2114</v>
      </c>
      <c r="C1951" s="1">
        <v>42002</v>
      </c>
      <c r="D1951" s="22">
        <f>MONTH(Table12[[#This Row],[Order Date]])</f>
        <v>12</v>
      </c>
      <c r="E1951" t="s">
        <v>1973</v>
      </c>
      <c r="F1951" t="s">
        <v>1974</v>
      </c>
      <c r="G1951" s="23" t="s">
        <v>41</v>
      </c>
      <c r="H1951" s="23" t="s">
        <v>53</v>
      </c>
      <c r="I1951" t="s">
        <v>2115</v>
      </c>
      <c r="J1951" s="23" t="s">
        <v>22</v>
      </c>
      <c r="K1951" s="22">
        <v>2</v>
      </c>
      <c r="L1951" s="1">
        <v>42006</v>
      </c>
      <c r="M1951" s="22">
        <f>Table12[[#This Row],[Ship Date]]-Table12[[#This Row],[Order Date]]</f>
        <v>4</v>
      </c>
      <c r="N1951" s="23" t="s">
        <v>45</v>
      </c>
      <c r="O1951" s="23" t="s">
        <v>23</v>
      </c>
      <c r="P1951" s="23" t="s">
        <v>204</v>
      </c>
      <c r="Q1951" s="23" t="s">
        <v>95</v>
      </c>
      <c r="R1951" s="23" t="s">
        <v>2116</v>
      </c>
      <c r="S1951" s="33">
        <v>0</v>
      </c>
      <c r="T1951" s="13">
        <v>24.56</v>
      </c>
      <c r="U1951" s="13">
        <v>6.8768000000000002</v>
      </c>
      <c r="V1951" s="55">
        <f>IFERROR(Table12[[#This Row],[Profit]]/Table12[[#This Row],[Sales]],0)</f>
        <v>0.28000000000000003</v>
      </c>
    </row>
    <row r="1952" spans="1:22" x14ac:dyDescent="0.2">
      <c r="A1952">
        <v>1951</v>
      </c>
      <c r="B1952" t="s">
        <v>2114</v>
      </c>
      <c r="C1952" s="1">
        <v>42002</v>
      </c>
      <c r="D1952" s="22">
        <f>MONTH(Table12[[#This Row],[Order Date]])</f>
        <v>12</v>
      </c>
      <c r="E1952" t="s">
        <v>1837</v>
      </c>
      <c r="F1952" t="s">
        <v>1838</v>
      </c>
      <c r="G1952" s="23" t="s">
        <v>64</v>
      </c>
      <c r="H1952" s="23" t="s">
        <v>144</v>
      </c>
      <c r="I1952" t="s">
        <v>2115</v>
      </c>
      <c r="J1952" s="23" t="s">
        <v>22</v>
      </c>
      <c r="K1952" s="22">
        <v>4</v>
      </c>
      <c r="L1952" s="1">
        <v>42006</v>
      </c>
      <c r="M1952" s="22">
        <f>Table12[[#This Row],[Ship Date]]-Table12[[#This Row],[Order Date]]</f>
        <v>4</v>
      </c>
      <c r="N1952" s="23" t="s">
        <v>45</v>
      </c>
      <c r="O1952" s="23" t="s">
        <v>23</v>
      </c>
      <c r="P1952" s="23" t="s">
        <v>204</v>
      </c>
      <c r="Q1952" s="23" t="s">
        <v>95</v>
      </c>
      <c r="R1952" s="23" t="s">
        <v>2116</v>
      </c>
      <c r="S1952" s="33">
        <v>0</v>
      </c>
      <c r="T1952" s="13">
        <v>119.8</v>
      </c>
      <c r="U1952" s="13">
        <v>47.92</v>
      </c>
      <c r="V1952" s="55">
        <f>IFERROR(Table12[[#This Row],[Profit]]/Table12[[#This Row],[Sales]],0)</f>
        <v>0.4</v>
      </c>
    </row>
    <row r="1953" spans="1:22" x14ac:dyDescent="0.2">
      <c r="A1953">
        <v>1952</v>
      </c>
      <c r="B1953" t="s">
        <v>6443</v>
      </c>
      <c r="C1953" s="1">
        <v>42002</v>
      </c>
      <c r="D1953" s="22">
        <f>MONTH(Table12[[#This Row],[Order Date]])</f>
        <v>12</v>
      </c>
      <c r="E1953" t="s">
        <v>5521</v>
      </c>
      <c r="F1953" t="s">
        <v>5522</v>
      </c>
      <c r="G1953" s="23" t="s">
        <v>28</v>
      </c>
      <c r="H1953" s="23" t="s">
        <v>58</v>
      </c>
      <c r="I1953" t="s">
        <v>2139</v>
      </c>
      <c r="J1953" s="23" t="s">
        <v>36</v>
      </c>
      <c r="K1953" s="22">
        <v>5</v>
      </c>
      <c r="L1953" s="1">
        <v>42006</v>
      </c>
      <c r="M1953" s="22">
        <f>Table12[[#This Row],[Ship Date]]-Table12[[#This Row],[Order Date]]</f>
        <v>4</v>
      </c>
      <c r="N1953" s="23" t="s">
        <v>45</v>
      </c>
      <c r="O1953" s="23" t="s">
        <v>23</v>
      </c>
      <c r="P1953" s="23" t="s">
        <v>38</v>
      </c>
      <c r="Q1953" s="23" t="s">
        <v>39</v>
      </c>
      <c r="R1953" s="23" t="s">
        <v>114</v>
      </c>
      <c r="S1953" s="33">
        <v>0</v>
      </c>
      <c r="T1953" s="13">
        <v>24.9</v>
      </c>
      <c r="U1953" s="13">
        <v>8.2170000000000005</v>
      </c>
      <c r="V1953" s="55">
        <f>IFERROR(Table12[[#This Row],[Profit]]/Table12[[#This Row],[Sales]],0)</f>
        <v>0.33</v>
      </c>
    </row>
    <row r="1954" spans="1:22" x14ac:dyDescent="0.2">
      <c r="A1954">
        <v>1953</v>
      </c>
      <c r="B1954" t="s">
        <v>6443</v>
      </c>
      <c r="C1954" s="1">
        <v>42002</v>
      </c>
      <c r="D1954" s="22">
        <f>MONTH(Table12[[#This Row],[Order Date]])</f>
        <v>12</v>
      </c>
      <c r="E1954" t="s">
        <v>4097</v>
      </c>
      <c r="F1954" t="s">
        <v>4098</v>
      </c>
      <c r="G1954" s="23" t="s">
        <v>41</v>
      </c>
      <c r="H1954" s="23" t="s">
        <v>82</v>
      </c>
      <c r="I1954" t="s">
        <v>2139</v>
      </c>
      <c r="J1954" s="23" t="s">
        <v>36</v>
      </c>
      <c r="K1954" s="22">
        <v>4</v>
      </c>
      <c r="L1954" s="1">
        <v>42006</v>
      </c>
      <c r="M1954" s="22">
        <f>Table12[[#This Row],[Ship Date]]-Table12[[#This Row],[Order Date]]</f>
        <v>4</v>
      </c>
      <c r="N1954" s="23" t="s">
        <v>45</v>
      </c>
      <c r="O1954" s="23" t="s">
        <v>23</v>
      </c>
      <c r="P1954" s="23" t="s">
        <v>38</v>
      </c>
      <c r="Q1954" s="23" t="s">
        <v>39</v>
      </c>
      <c r="R1954" s="23" t="s">
        <v>114</v>
      </c>
      <c r="S1954" s="33">
        <v>0</v>
      </c>
      <c r="T1954" s="13">
        <v>21.12</v>
      </c>
      <c r="U1954" s="13">
        <v>9.5039999999999996</v>
      </c>
      <c r="V1954" s="55">
        <f>IFERROR(Table12[[#This Row],[Profit]]/Table12[[#This Row],[Sales]],0)</f>
        <v>0.44999999999999996</v>
      </c>
    </row>
    <row r="1955" spans="1:22" x14ac:dyDescent="0.2">
      <c r="A1955">
        <v>1954</v>
      </c>
      <c r="B1955" t="s">
        <v>6443</v>
      </c>
      <c r="C1955" s="1">
        <v>42002</v>
      </c>
      <c r="D1955" s="22">
        <f>MONTH(Table12[[#This Row],[Order Date]])</f>
        <v>12</v>
      </c>
      <c r="E1955" t="s">
        <v>3310</v>
      </c>
      <c r="F1955" t="s">
        <v>3311</v>
      </c>
      <c r="G1955" s="23" t="s">
        <v>64</v>
      </c>
      <c r="H1955" s="23" t="s">
        <v>602</v>
      </c>
      <c r="I1955" t="s">
        <v>2139</v>
      </c>
      <c r="J1955" s="23" t="s">
        <v>36</v>
      </c>
      <c r="K1955" s="22">
        <v>6</v>
      </c>
      <c r="L1955" s="1">
        <v>42006</v>
      </c>
      <c r="M1955" s="22">
        <f>Table12[[#This Row],[Ship Date]]-Table12[[#This Row],[Order Date]]</f>
        <v>4</v>
      </c>
      <c r="N1955" s="23" t="s">
        <v>45</v>
      </c>
      <c r="O1955" s="23" t="s">
        <v>23</v>
      </c>
      <c r="P1955" s="23" t="s">
        <v>38</v>
      </c>
      <c r="Q1955" s="23" t="s">
        <v>39</v>
      </c>
      <c r="R1955" s="23" t="s">
        <v>114</v>
      </c>
      <c r="S1955" s="33">
        <v>0.2</v>
      </c>
      <c r="T1955" s="13">
        <v>767.952</v>
      </c>
      <c r="U1955" s="13">
        <v>287.98200000000003</v>
      </c>
      <c r="V1955" s="55">
        <f>IFERROR(Table12[[#This Row],[Profit]]/Table12[[#This Row],[Sales]],0)</f>
        <v>0.37500000000000006</v>
      </c>
    </row>
    <row r="1956" spans="1:22" x14ac:dyDescent="0.2">
      <c r="A1956">
        <v>1955</v>
      </c>
      <c r="B1956" t="s">
        <v>6443</v>
      </c>
      <c r="C1956" s="1">
        <v>42002</v>
      </c>
      <c r="D1956" s="22">
        <f>MONTH(Table12[[#This Row],[Order Date]])</f>
        <v>12</v>
      </c>
      <c r="E1956" t="s">
        <v>1951</v>
      </c>
      <c r="F1956" t="s">
        <v>1952</v>
      </c>
      <c r="G1956" s="23" t="s">
        <v>41</v>
      </c>
      <c r="H1956" s="23" t="s">
        <v>68</v>
      </c>
      <c r="I1956" t="s">
        <v>2139</v>
      </c>
      <c r="J1956" s="23" t="s">
        <v>36</v>
      </c>
      <c r="K1956" s="22">
        <v>3</v>
      </c>
      <c r="L1956" s="1">
        <v>42006</v>
      </c>
      <c r="M1956" s="22">
        <f>Table12[[#This Row],[Ship Date]]-Table12[[#This Row],[Order Date]]</f>
        <v>4</v>
      </c>
      <c r="N1956" s="23" t="s">
        <v>45</v>
      </c>
      <c r="O1956" s="23" t="s">
        <v>23</v>
      </c>
      <c r="P1956" s="23" t="s">
        <v>38</v>
      </c>
      <c r="Q1956" s="23" t="s">
        <v>39</v>
      </c>
      <c r="R1956" s="23" t="s">
        <v>114</v>
      </c>
      <c r="S1956" s="33">
        <v>0.2</v>
      </c>
      <c r="T1956" s="13">
        <v>14.352</v>
      </c>
      <c r="U1956" s="13">
        <v>4.6643999999999997</v>
      </c>
      <c r="V1956" s="55">
        <f>IFERROR(Table12[[#This Row],[Profit]]/Table12[[#This Row],[Sales]],0)</f>
        <v>0.32499999999999996</v>
      </c>
    </row>
    <row r="1957" spans="1:22" x14ac:dyDescent="0.2">
      <c r="A1957">
        <v>1956</v>
      </c>
      <c r="B1957" t="s">
        <v>6443</v>
      </c>
      <c r="C1957" s="1">
        <v>42002</v>
      </c>
      <c r="D1957" s="22">
        <f>MONTH(Table12[[#This Row],[Order Date]])</f>
        <v>12</v>
      </c>
      <c r="E1957" t="s">
        <v>1768</v>
      </c>
      <c r="F1957" t="s">
        <v>1769</v>
      </c>
      <c r="G1957" s="23" t="s">
        <v>64</v>
      </c>
      <c r="H1957" s="23" t="s">
        <v>65</v>
      </c>
      <c r="I1957" t="s">
        <v>2139</v>
      </c>
      <c r="J1957" s="23" t="s">
        <v>36</v>
      </c>
      <c r="K1957" s="22">
        <v>3</v>
      </c>
      <c r="L1957" s="1">
        <v>42006</v>
      </c>
      <c r="M1957" s="22">
        <f>Table12[[#This Row],[Ship Date]]-Table12[[#This Row],[Order Date]]</f>
        <v>4</v>
      </c>
      <c r="N1957" s="23" t="s">
        <v>45</v>
      </c>
      <c r="O1957" s="23" t="s">
        <v>23</v>
      </c>
      <c r="P1957" s="23" t="s">
        <v>38</v>
      </c>
      <c r="Q1957" s="23" t="s">
        <v>39</v>
      </c>
      <c r="R1957" s="23" t="s">
        <v>114</v>
      </c>
      <c r="S1957" s="33">
        <v>0.2</v>
      </c>
      <c r="T1957" s="13">
        <v>191.976</v>
      </c>
      <c r="U1957" s="13">
        <v>19.197600000000001</v>
      </c>
      <c r="V1957" s="55">
        <f>IFERROR(Table12[[#This Row],[Profit]]/Table12[[#This Row],[Sales]],0)</f>
        <v>0.1</v>
      </c>
    </row>
    <row r="1958" spans="1:22" x14ac:dyDescent="0.2">
      <c r="A1958">
        <v>1957</v>
      </c>
      <c r="B1958" t="s">
        <v>6443</v>
      </c>
      <c r="C1958" s="1">
        <v>42002</v>
      </c>
      <c r="D1958" s="22">
        <f>MONTH(Table12[[#This Row],[Order Date]])</f>
        <v>12</v>
      </c>
      <c r="E1958" t="s">
        <v>3204</v>
      </c>
      <c r="F1958" t="s">
        <v>3205</v>
      </c>
      <c r="G1958" s="23" t="s">
        <v>41</v>
      </c>
      <c r="H1958" s="23" t="s">
        <v>42</v>
      </c>
      <c r="I1958" t="s">
        <v>2139</v>
      </c>
      <c r="J1958" s="23" t="s">
        <v>36</v>
      </c>
      <c r="K1958" s="22">
        <v>9</v>
      </c>
      <c r="L1958" s="1">
        <v>42006</v>
      </c>
      <c r="M1958" s="22">
        <f>Table12[[#This Row],[Ship Date]]-Table12[[#This Row],[Order Date]]</f>
        <v>4</v>
      </c>
      <c r="N1958" s="23" t="s">
        <v>45</v>
      </c>
      <c r="O1958" s="23" t="s">
        <v>23</v>
      </c>
      <c r="P1958" s="23" t="s">
        <v>38</v>
      </c>
      <c r="Q1958" s="23" t="s">
        <v>39</v>
      </c>
      <c r="R1958" s="23" t="s">
        <v>114</v>
      </c>
      <c r="S1958" s="33">
        <v>0</v>
      </c>
      <c r="T1958" s="13">
        <v>274.77</v>
      </c>
      <c r="U1958" s="13">
        <v>126.3942</v>
      </c>
      <c r="V1958" s="55">
        <f>IFERROR(Table12[[#This Row],[Profit]]/Table12[[#This Row],[Sales]],0)</f>
        <v>0.46</v>
      </c>
    </row>
    <row r="1959" spans="1:22" x14ac:dyDescent="0.2">
      <c r="A1959">
        <v>1958</v>
      </c>
      <c r="B1959" t="s">
        <v>6443</v>
      </c>
      <c r="C1959" s="1">
        <v>42002</v>
      </c>
      <c r="D1959" s="22">
        <f>MONTH(Table12[[#This Row],[Order Date]])</f>
        <v>12</v>
      </c>
      <c r="E1959" t="s">
        <v>5870</v>
      </c>
      <c r="F1959" t="s">
        <v>5871</v>
      </c>
      <c r="G1959" s="23" t="s">
        <v>28</v>
      </c>
      <c r="H1959" s="23" t="s">
        <v>58</v>
      </c>
      <c r="I1959" t="s">
        <v>2139</v>
      </c>
      <c r="J1959" s="23" t="s">
        <v>36</v>
      </c>
      <c r="K1959" s="22">
        <v>6</v>
      </c>
      <c r="L1959" s="1">
        <v>42006</v>
      </c>
      <c r="M1959" s="22">
        <f>Table12[[#This Row],[Ship Date]]-Table12[[#This Row],[Order Date]]</f>
        <v>4</v>
      </c>
      <c r="N1959" s="23" t="s">
        <v>45</v>
      </c>
      <c r="O1959" s="23" t="s">
        <v>23</v>
      </c>
      <c r="P1959" s="23" t="s">
        <v>38</v>
      </c>
      <c r="Q1959" s="23" t="s">
        <v>39</v>
      </c>
      <c r="R1959" s="23" t="s">
        <v>114</v>
      </c>
      <c r="S1959" s="33">
        <v>0</v>
      </c>
      <c r="T1959" s="13">
        <v>70.56</v>
      </c>
      <c r="U1959" s="13">
        <v>23.990400000000001</v>
      </c>
      <c r="V1959" s="55">
        <f>IFERROR(Table12[[#This Row],[Profit]]/Table12[[#This Row],[Sales]],0)</f>
        <v>0.34</v>
      </c>
    </row>
    <row r="1960" spans="1:22" x14ac:dyDescent="0.2">
      <c r="A1960">
        <v>1959</v>
      </c>
      <c r="B1960" t="s">
        <v>6672</v>
      </c>
      <c r="C1960" s="1">
        <v>42002</v>
      </c>
      <c r="D1960" s="22">
        <f>MONTH(Table12[[#This Row],[Order Date]])</f>
        <v>12</v>
      </c>
      <c r="E1960" t="s">
        <v>4018</v>
      </c>
      <c r="F1960" t="s">
        <v>4019</v>
      </c>
      <c r="G1960" s="23" t="s">
        <v>64</v>
      </c>
      <c r="H1960" s="23" t="s">
        <v>65</v>
      </c>
      <c r="I1960" t="s">
        <v>3413</v>
      </c>
      <c r="J1960" s="23" t="s">
        <v>22</v>
      </c>
      <c r="K1960" s="22">
        <v>3</v>
      </c>
      <c r="L1960" s="1">
        <v>42007</v>
      </c>
      <c r="M1960" s="22">
        <f>Table12[[#This Row],[Ship Date]]-Table12[[#This Row],[Order Date]]</f>
        <v>5</v>
      </c>
      <c r="N1960" s="23" t="s">
        <v>20</v>
      </c>
      <c r="O1960" s="23" t="s">
        <v>23</v>
      </c>
      <c r="P1960" s="23" t="s">
        <v>589</v>
      </c>
      <c r="Q1960" s="23" t="s">
        <v>39</v>
      </c>
      <c r="R1960" s="23" t="s">
        <v>4858</v>
      </c>
      <c r="S1960" s="33">
        <v>0.2</v>
      </c>
      <c r="T1960" s="13">
        <v>23.975999999999999</v>
      </c>
      <c r="U1960" s="13">
        <v>-5.6943000000000001</v>
      </c>
      <c r="V1960" s="55">
        <f>IFERROR(Table12[[#This Row],[Profit]]/Table12[[#This Row],[Sales]],0)</f>
        <v>-0.23750000000000002</v>
      </c>
    </row>
    <row r="1961" spans="1:22" x14ac:dyDescent="0.2">
      <c r="A1961">
        <v>1960</v>
      </c>
      <c r="B1961" t="s">
        <v>6672</v>
      </c>
      <c r="C1961" s="1">
        <v>42002</v>
      </c>
      <c r="D1961" s="22">
        <f>MONTH(Table12[[#This Row],[Order Date]])</f>
        <v>12</v>
      </c>
      <c r="E1961" t="s">
        <v>4673</v>
      </c>
      <c r="F1961" t="s">
        <v>4674</v>
      </c>
      <c r="G1961" s="23" t="s">
        <v>41</v>
      </c>
      <c r="H1961" s="23" t="s">
        <v>53</v>
      </c>
      <c r="I1961" t="s">
        <v>3413</v>
      </c>
      <c r="J1961" s="23" t="s">
        <v>22</v>
      </c>
      <c r="K1961" s="22">
        <v>1</v>
      </c>
      <c r="L1961" s="1">
        <v>42007</v>
      </c>
      <c r="M1961" s="22">
        <f>Table12[[#This Row],[Ship Date]]-Table12[[#This Row],[Order Date]]</f>
        <v>5</v>
      </c>
      <c r="N1961" s="23" t="s">
        <v>20</v>
      </c>
      <c r="O1961" s="23" t="s">
        <v>23</v>
      </c>
      <c r="P1961" s="23" t="s">
        <v>589</v>
      </c>
      <c r="Q1961" s="23" t="s">
        <v>39</v>
      </c>
      <c r="R1961" s="23" t="s">
        <v>4858</v>
      </c>
      <c r="S1961" s="33">
        <v>0</v>
      </c>
      <c r="T1961" s="13">
        <v>33.29</v>
      </c>
      <c r="U1961" s="13">
        <v>7.9896000000000003</v>
      </c>
      <c r="V1961" s="55">
        <f>IFERROR(Table12[[#This Row],[Profit]]/Table12[[#This Row],[Sales]],0)</f>
        <v>0.24000000000000002</v>
      </c>
    </row>
    <row r="1962" spans="1:22" x14ac:dyDescent="0.2">
      <c r="A1962">
        <v>1961</v>
      </c>
      <c r="B1962" t="s">
        <v>7655</v>
      </c>
      <c r="C1962" s="1">
        <v>42002</v>
      </c>
      <c r="D1962" s="22">
        <f>MONTH(Table12[[#This Row],[Order Date]])</f>
        <v>12</v>
      </c>
      <c r="E1962" t="s">
        <v>5849</v>
      </c>
      <c r="F1962" t="s">
        <v>5850</v>
      </c>
      <c r="G1962" s="23" t="s">
        <v>28</v>
      </c>
      <c r="H1962" s="23" t="s">
        <v>58</v>
      </c>
      <c r="I1962" t="s">
        <v>1743</v>
      </c>
      <c r="J1962" s="23" t="s">
        <v>22</v>
      </c>
      <c r="K1962" s="22">
        <v>3</v>
      </c>
      <c r="L1962" s="1">
        <v>42009</v>
      </c>
      <c r="M1962" s="22">
        <f>Table12[[#This Row],[Ship Date]]-Table12[[#This Row],[Order Date]]</f>
        <v>7</v>
      </c>
      <c r="N1962" s="23" t="s">
        <v>45</v>
      </c>
      <c r="O1962" s="23" t="s">
        <v>23</v>
      </c>
      <c r="P1962" s="23" t="s">
        <v>189</v>
      </c>
      <c r="Q1962" s="23" t="s">
        <v>95</v>
      </c>
      <c r="R1962" s="23" t="s">
        <v>271</v>
      </c>
      <c r="S1962" s="33">
        <v>0.6</v>
      </c>
      <c r="T1962" s="13">
        <v>38.975999999999999</v>
      </c>
      <c r="U1962" s="13">
        <v>-50.668799999999997</v>
      </c>
      <c r="V1962" s="55">
        <f>IFERROR(Table12[[#This Row],[Profit]]/Table12[[#This Row],[Sales]],0)</f>
        <v>-1.3</v>
      </c>
    </row>
    <row r="1963" spans="1:22" x14ac:dyDescent="0.2">
      <c r="A1963">
        <v>1962</v>
      </c>
      <c r="B1963" t="s">
        <v>8568</v>
      </c>
      <c r="C1963" s="1">
        <v>42002</v>
      </c>
      <c r="D1963" s="22">
        <f>MONTH(Table12[[#This Row],[Order Date]])</f>
        <v>12</v>
      </c>
      <c r="E1963" t="s">
        <v>6858</v>
      </c>
      <c r="F1963" t="s">
        <v>6859</v>
      </c>
      <c r="G1963" s="23" t="s">
        <v>28</v>
      </c>
      <c r="H1963" s="23" t="s">
        <v>58</v>
      </c>
      <c r="I1963" t="s">
        <v>3319</v>
      </c>
      <c r="J1963" s="23" t="s">
        <v>92</v>
      </c>
      <c r="K1963" s="22">
        <v>3</v>
      </c>
      <c r="L1963" s="1">
        <v>42006</v>
      </c>
      <c r="M1963" s="22">
        <f>Table12[[#This Row],[Ship Date]]-Table12[[#This Row],[Order Date]]</f>
        <v>4</v>
      </c>
      <c r="N1963" s="23" t="s">
        <v>45</v>
      </c>
      <c r="O1963" s="23" t="s">
        <v>23</v>
      </c>
      <c r="P1963" s="23" t="s">
        <v>189</v>
      </c>
      <c r="Q1963" s="23" t="s">
        <v>95</v>
      </c>
      <c r="R1963" s="23" t="s">
        <v>8529</v>
      </c>
      <c r="S1963" s="33">
        <v>0.6</v>
      </c>
      <c r="T1963" s="13">
        <v>8.7360000000000007</v>
      </c>
      <c r="U1963" s="13">
        <v>-4.8048000000000002</v>
      </c>
      <c r="V1963" s="55">
        <f>IFERROR(Table12[[#This Row],[Profit]]/Table12[[#This Row],[Sales]],0)</f>
        <v>-0.54999999999999993</v>
      </c>
    </row>
    <row r="1964" spans="1:22" x14ac:dyDescent="0.2">
      <c r="A1964">
        <v>1963</v>
      </c>
      <c r="B1964" t="s">
        <v>8827</v>
      </c>
      <c r="C1964" s="1">
        <v>42002</v>
      </c>
      <c r="D1964" s="22">
        <f>MONTH(Table12[[#This Row],[Order Date]])</f>
        <v>12</v>
      </c>
      <c r="E1964" t="s">
        <v>1476</v>
      </c>
      <c r="F1964" t="s">
        <v>1477</v>
      </c>
      <c r="G1964" s="23" t="s">
        <v>41</v>
      </c>
      <c r="H1964" s="23" t="s">
        <v>42</v>
      </c>
      <c r="I1964" t="s">
        <v>3566</v>
      </c>
      <c r="J1964" s="23" t="s">
        <v>22</v>
      </c>
      <c r="K1964" s="22">
        <v>6</v>
      </c>
      <c r="L1964" s="1">
        <v>42007</v>
      </c>
      <c r="M1964" s="22">
        <f>Table12[[#This Row],[Ship Date]]-Table12[[#This Row],[Order Date]]</f>
        <v>5</v>
      </c>
      <c r="N1964" s="23" t="s">
        <v>45</v>
      </c>
      <c r="O1964" s="23" t="s">
        <v>23</v>
      </c>
      <c r="P1964" s="23" t="s">
        <v>38</v>
      </c>
      <c r="Q1964" s="23" t="s">
        <v>39</v>
      </c>
      <c r="R1964" s="23" t="s">
        <v>873</v>
      </c>
      <c r="S1964" s="33">
        <v>0</v>
      </c>
      <c r="T1964" s="13">
        <v>88.8</v>
      </c>
      <c r="U1964" s="13">
        <v>44.4</v>
      </c>
      <c r="V1964" s="55">
        <f>IFERROR(Table12[[#This Row],[Profit]]/Table12[[#This Row],[Sales]],0)</f>
        <v>0.5</v>
      </c>
    </row>
    <row r="1965" spans="1:22" x14ac:dyDescent="0.2">
      <c r="A1965">
        <v>1964</v>
      </c>
      <c r="B1965" t="s">
        <v>8827</v>
      </c>
      <c r="C1965" s="1">
        <v>42002</v>
      </c>
      <c r="D1965" s="22">
        <f>MONTH(Table12[[#This Row],[Order Date]])</f>
        <v>12</v>
      </c>
      <c r="E1965" t="s">
        <v>4614</v>
      </c>
      <c r="F1965" t="s">
        <v>4615</v>
      </c>
      <c r="G1965" s="23" t="s">
        <v>64</v>
      </c>
      <c r="H1965" s="23" t="s">
        <v>65</v>
      </c>
      <c r="I1965" t="s">
        <v>3566</v>
      </c>
      <c r="J1965" s="23" t="s">
        <v>22</v>
      </c>
      <c r="K1965" s="22">
        <v>4</v>
      </c>
      <c r="L1965" s="1">
        <v>42007</v>
      </c>
      <c r="M1965" s="22">
        <f>Table12[[#This Row],[Ship Date]]-Table12[[#This Row],[Order Date]]</f>
        <v>5</v>
      </c>
      <c r="N1965" s="23" t="s">
        <v>45</v>
      </c>
      <c r="O1965" s="23" t="s">
        <v>23</v>
      </c>
      <c r="P1965" s="23" t="s">
        <v>38</v>
      </c>
      <c r="Q1965" s="23" t="s">
        <v>39</v>
      </c>
      <c r="R1965" s="23" t="s">
        <v>873</v>
      </c>
      <c r="S1965" s="33">
        <v>0.2</v>
      </c>
      <c r="T1965" s="13">
        <v>319.96800000000002</v>
      </c>
      <c r="U1965" s="13">
        <v>35.996400000000001</v>
      </c>
      <c r="V1965" s="55">
        <f>IFERROR(Table12[[#This Row],[Profit]]/Table12[[#This Row],[Sales]],0)</f>
        <v>0.1125</v>
      </c>
    </row>
    <row r="1966" spans="1:22" x14ac:dyDescent="0.2">
      <c r="A1966">
        <v>1965</v>
      </c>
      <c r="B1966" t="s">
        <v>9836</v>
      </c>
      <c r="C1966" s="1">
        <v>42002</v>
      </c>
      <c r="D1966" s="22">
        <f>MONTH(Table12[[#This Row],[Order Date]])</f>
        <v>12</v>
      </c>
      <c r="E1966" t="s">
        <v>4270</v>
      </c>
      <c r="F1966" t="s">
        <v>4271</v>
      </c>
      <c r="G1966" s="23" t="s">
        <v>41</v>
      </c>
      <c r="H1966" s="23" t="s">
        <v>71</v>
      </c>
      <c r="I1966" t="s">
        <v>9837</v>
      </c>
      <c r="J1966" s="23" t="s">
        <v>22</v>
      </c>
      <c r="K1966" s="22">
        <v>5</v>
      </c>
      <c r="L1966" s="1">
        <v>42004</v>
      </c>
      <c r="M1966" s="22">
        <f>Table12[[#This Row],[Ship Date]]-Table12[[#This Row],[Order Date]]</f>
        <v>2</v>
      </c>
      <c r="N1966" s="23" t="s">
        <v>20</v>
      </c>
      <c r="O1966" s="23" t="s">
        <v>23</v>
      </c>
      <c r="P1966" s="23" t="s">
        <v>441</v>
      </c>
      <c r="Q1966" s="23" t="s">
        <v>133</v>
      </c>
      <c r="R1966" s="23" t="s">
        <v>3755</v>
      </c>
      <c r="S1966" s="33">
        <v>0.2</v>
      </c>
      <c r="T1966" s="13">
        <v>48.36</v>
      </c>
      <c r="U1966" s="13">
        <v>6.0449999999999999</v>
      </c>
      <c r="V1966" s="55">
        <f>IFERROR(Table12[[#This Row],[Profit]]/Table12[[#This Row],[Sales]],0)</f>
        <v>0.125</v>
      </c>
    </row>
    <row r="1967" spans="1:22" x14ac:dyDescent="0.2">
      <c r="A1967">
        <v>1966</v>
      </c>
      <c r="B1967" t="s">
        <v>984</v>
      </c>
      <c r="C1967" s="1">
        <v>42003</v>
      </c>
      <c r="D1967" s="22">
        <f>MONTH(Table12[[#This Row],[Order Date]])</f>
        <v>12</v>
      </c>
      <c r="E1967" t="s">
        <v>986</v>
      </c>
      <c r="F1967" t="s">
        <v>987</v>
      </c>
      <c r="G1967" s="23" t="s">
        <v>41</v>
      </c>
      <c r="H1967" s="23" t="s">
        <v>61</v>
      </c>
      <c r="I1967" t="s">
        <v>307</v>
      </c>
      <c r="J1967" s="23" t="s">
        <v>36</v>
      </c>
      <c r="K1967" s="22">
        <v>3</v>
      </c>
      <c r="L1967" s="1">
        <v>42008</v>
      </c>
      <c r="M1967" s="22">
        <f>Table12[[#This Row],[Ship Date]]-Table12[[#This Row],[Order Date]]</f>
        <v>5</v>
      </c>
      <c r="N1967" s="23" t="s">
        <v>45</v>
      </c>
      <c r="O1967" s="23" t="s">
        <v>23</v>
      </c>
      <c r="P1967" s="23" t="s">
        <v>212</v>
      </c>
      <c r="Q1967" s="23" t="s">
        <v>95</v>
      </c>
      <c r="R1967" s="23" t="s">
        <v>985</v>
      </c>
      <c r="S1967" s="33">
        <v>0</v>
      </c>
      <c r="T1967" s="13">
        <v>9.84</v>
      </c>
      <c r="U1967" s="13">
        <v>2.8536000000000001</v>
      </c>
      <c r="V1967" s="55">
        <f>IFERROR(Table12[[#This Row],[Profit]]/Table12[[#This Row],[Sales]],0)</f>
        <v>0.29000000000000004</v>
      </c>
    </row>
    <row r="1968" spans="1:22" x14ac:dyDescent="0.2">
      <c r="A1968">
        <v>1967</v>
      </c>
      <c r="B1968" t="s">
        <v>5828</v>
      </c>
      <c r="C1968" s="1">
        <v>42003</v>
      </c>
      <c r="D1968" s="22">
        <f>MONTH(Table12[[#This Row],[Order Date]])</f>
        <v>12</v>
      </c>
      <c r="E1968" t="s">
        <v>3076</v>
      </c>
      <c r="F1968" t="s">
        <v>3077</v>
      </c>
      <c r="G1968" s="23" t="s">
        <v>41</v>
      </c>
      <c r="H1968" s="23" t="s">
        <v>155</v>
      </c>
      <c r="I1968" t="s">
        <v>3026</v>
      </c>
      <c r="J1968" s="23" t="s">
        <v>36</v>
      </c>
      <c r="K1968" s="22">
        <v>3</v>
      </c>
      <c r="L1968" s="1">
        <v>42005</v>
      </c>
      <c r="M1968" s="22">
        <f>Table12[[#This Row],[Ship Date]]-Table12[[#This Row],[Order Date]]</f>
        <v>2</v>
      </c>
      <c r="N1968" s="23" t="s">
        <v>20</v>
      </c>
      <c r="O1968" s="23" t="s">
        <v>23</v>
      </c>
      <c r="P1968" s="23" t="s">
        <v>94</v>
      </c>
      <c r="Q1968" s="23" t="s">
        <v>95</v>
      </c>
      <c r="R1968" s="23" t="s">
        <v>1753</v>
      </c>
      <c r="S1968" s="33">
        <v>0.2</v>
      </c>
      <c r="T1968" s="13">
        <v>12.984</v>
      </c>
      <c r="U1968" s="13">
        <v>4.7066999999999997</v>
      </c>
      <c r="V1968" s="55">
        <f>IFERROR(Table12[[#This Row],[Profit]]/Table12[[#This Row],[Sales]],0)</f>
        <v>0.36249999999999999</v>
      </c>
    </row>
    <row r="1969" spans="1:22" x14ac:dyDescent="0.2">
      <c r="A1969">
        <v>1968</v>
      </c>
      <c r="B1969" t="s">
        <v>5828</v>
      </c>
      <c r="C1969" s="1">
        <v>42003</v>
      </c>
      <c r="D1969" s="22">
        <f>MONTH(Table12[[#This Row],[Order Date]])</f>
        <v>12</v>
      </c>
      <c r="E1969" t="s">
        <v>4401</v>
      </c>
      <c r="F1969" t="s">
        <v>4402</v>
      </c>
      <c r="G1969" s="23" t="s">
        <v>64</v>
      </c>
      <c r="H1969" s="23" t="s">
        <v>65</v>
      </c>
      <c r="I1969" t="s">
        <v>3026</v>
      </c>
      <c r="J1969" s="23" t="s">
        <v>36</v>
      </c>
      <c r="K1969" s="22">
        <v>2</v>
      </c>
      <c r="L1969" s="1">
        <v>42005</v>
      </c>
      <c r="M1969" s="22">
        <f>Table12[[#This Row],[Ship Date]]-Table12[[#This Row],[Order Date]]</f>
        <v>2</v>
      </c>
      <c r="N1969" s="23" t="s">
        <v>20</v>
      </c>
      <c r="O1969" s="23" t="s">
        <v>23</v>
      </c>
      <c r="P1969" s="23" t="s">
        <v>94</v>
      </c>
      <c r="Q1969" s="23" t="s">
        <v>95</v>
      </c>
      <c r="R1969" s="23" t="s">
        <v>1753</v>
      </c>
      <c r="S1969" s="33">
        <v>0.2</v>
      </c>
      <c r="T1969" s="13">
        <v>217.584</v>
      </c>
      <c r="U1969" s="13">
        <v>19.038599999999999</v>
      </c>
      <c r="V1969" s="55">
        <f>IFERROR(Table12[[#This Row],[Profit]]/Table12[[#This Row],[Sales]],0)</f>
        <v>8.7499999999999994E-2</v>
      </c>
    </row>
    <row r="1970" spans="1:22" x14ac:dyDescent="0.2">
      <c r="A1970">
        <v>1969</v>
      </c>
      <c r="B1970" t="s">
        <v>5828</v>
      </c>
      <c r="C1970" s="1">
        <v>42003</v>
      </c>
      <c r="D1970" s="22">
        <f>MONTH(Table12[[#This Row],[Order Date]])</f>
        <v>12</v>
      </c>
      <c r="E1970" t="s">
        <v>2824</v>
      </c>
      <c r="F1970" t="s">
        <v>2825</v>
      </c>
      <c r="G1970" s="23" t="s">
        <v>64</v>
      </c>
      <c r="H1970" s="23" t="s">
        <v>65</v>
      </c>
      <c r="I1970" t="s">
        <v>3026</v>
      </c>
      <c r="J1970" s="23" t="s">
        <v>36</v>
      </c>
      <c r="K1970" s="22">
        <v>3</v>
      </c>
      <c r="L1970" s="1">
        <v>42005</v>
      </c>
      <c r="M1970" s="22">
        <f>Table12[[#This Row],[Ship Date]]-Table12[[#This Row],[Order Date]]</f>
        <v>2</v>
      </c>
      <c r="N1970" s="23" t="s">
        <v>20</v>
      </c>
      <c r="O1970" s="23" t="s">
        <v>23</v>
      </c>
      <c r="P1970" s="23" t="s">
        <v>94</v>
      </c>
      <c r="Q1970" s="23" t="s">
        <v>95</v>
      </c>
      <c r="R1970" s="23" t="s">
        <v>1753</v>
      </c>
      <c r="S1970" s="33">
        <v>0.2</v>
      </c>
      <c r="T1970" s="13">
        <v>328.77600000000001</v>
      </c>
      <c r="U1970" s="13">
        <v>28.767900000000001</v>
      </c>
      <c r="V1970" s="55">
        <f>IFERROR(Table12[[#This Row],[Profit]]/Table12[[#This Row],[Sales]],0)</f>
        <v>8.7499999999999994E-2</v>
      </c>
    </row>
    <row r="1971" spans="1:22" x14ac:dyDescent="0.2">
      <c r="A1971">
        <v>1970</v>
      </c>
      <c r="B1971" t="s">
        <v>5828</v>
      </c>
      <c r="C1971" s="1">
        <v>42003</v>
      </c>
      <c r="D1971" s="22">
        <f>MONTH(Table12[[#This Row],[Order Date]])</f>
        <v>12</v>
      </c>
      <c r="E1971" t="s">
        <v>1108</v>
      </c>
      <c r="F1971" t="s">
        <v>1109</v>
      </c>
      <c r="G1971" s="23" t="s">
        <v>41</v>
      </c>
      <c r="H1971" s="23" t="s">
        <v>68</v>
      </c>
      <c r="I1971" t="s">
        <v>3026</v>
      </c>
      <c r="J1971" s="23" t="s">
        <v>36</v>
      </c>
      <c r="K1971" s="22">
        <v>3</v>
      </c>
      <c r="L1971" s="1">
        <v>42005</v>
      </c>
      <c r="M1971" s="22">
        <f>Table12[[#This Row],[Ship Date]]-Table12[[#This Row],[Order Date]]</f>
        <v>2</v>
      </c>
      <c r="N1971" s="23" t="s">
        <v>20</v>
      </c>
      <c r="O1971" s="23" t="s">
        <v>23</v>
      </c>
      <c r="P1971" s="23" t="s">
        <v>94</v>
      </c>
      <c r="Q1971" s="23" t="s">
        <v>95</v>
      </c>
      <c r="R1971" s="23" t="s">
        <v>1753</v>
      </c>
      <c r="S1971" s="33">
        <v>0.8</v>
      </c>
      <c r="T1971" s="13">
        <v>2.286</v>
      </c>
      <c r="U1971" s="13">
        <v>-3.6576</v>
      </c>
      <c r="V1971" s="55">
        <f>IFERROR(Table12[[#This Row],[Profit]]/Table12[[#This Row],[Sales]],0)</f>
        <v>-1.5999999999999999</v>
      </c>
    </row>
    <row r="1972" spans="1:22" x14ac:dyDescent="0.2">
      <c r="A1972">
        <v>1971</v>
      </c>
      <c r="B1972" t="s">
        <v>5828</v>
      </c>
      <c r="C1972" s="1">
        <v>42003</v>
      </c>
      <c r="D1972" s="22">
        <f>MONTH(Table12[[#This Row],[Order Date]])</f>
        <v>12</v>
      </c>
      <c r="E1972" t="s">
        <v>897</v>
      </c>
      <c r="F1972" t="s">
        <v>898</v>
      </c>
      <c r="G1972" s="23" t="s">
        <v>64</v>
      </c>
      <c r="H1972" s="23" t="s">
        <v>144</v>
      </c>
      <c r="I1972" t="s">
        <v>3026</v>
      </c>
      <c r="J1972" s="23" t="s">
        <v>36</v>
      </c>
      <c r="K1972" s="22">
        <v>2</v>
      </c>
      <c r="L1972" s="1">
        <v>42005</v>
      </c>
      <c r="M1972" s="22">
        <f>Table12[[#This Row],[Ship Date]]-Table12[[#This Row],[Order Date]]</f>
        <v>2</v>
      </c>
      <c r="N1972" s="23" t="s">
        <v>20</v>
      </c>
      <c r="O1972" s="23" t="s">
        <v>23</v>
      </c>
      <c r="P1972" s="23" t="s">
        <v>94</v>
      </c>
      <c r="Q1972" s="23" t="s">
        <v>95</v>
      </c>
      <c r="R1972" s="23" t="s">
        <v>1753</v>
      </c>
      <c r="S1972" s="33">
        <v>0.2</v>
      </c>
      <c r="T1972" s="13">
        <v>47.984000000000002</v>
      </c>
      <c r="U1972" s="13">
        <v>14.395200000000001</v>
      </c>
      <c r="V1972" s="55">
        <f>IFERROR(Table12[[#This Row],[Profit]]/Table12[[#This Row],[Sales]],0)</f>
        <v>0.3</v>
      </c>
    </row>
    <row r="1973" spans="1:22" x14ac:dyDescent="0.2">
      <c r="A1973">
        <v>1972</v>
      </c>
      <c r="B1973" t="s">
        <v>6170</v>
      </c>
      <c r="C1973" s="1">
        <v>42003</v>
      </c>
      <c r="D1973" s="22">
        <f>MONTH(Table12[[#This Row],[Order Date]])</f>
        <v>12</v>
      </c>
      <c r="E1973" t="s">
        <v>5683</v>
      </c>
      <c r="F1973" t="s">
        <v>5684</v>
      </c>
      <c r="G1973" s="23" t="s">
        <v>41</v>
      </c>
      <c r="H1973" s="23" t="s">
        <v>68</v>
      </c>
      <c r="I1973" t="s">
        <v>6154</v>
      </c>
      <c r="J1973" s="23" t="s">
        <v>36</v>
      </c>
      <c r="K1973" s="22">
        <v>5</v>
      </c>
      <c r="L1973" s="1">
        <v>42008</v>
      </c>
      <c r="M1973" s="22">
        <f>Table12[[#This Row],[Ship Date]]-Table12[[#This Row],[Order Date]]</f>
        <v>5</v>
      </c>
      <c r="N1973" s="23" t="s">
        <v>45</v>
      </c>
      <c r="O1973" s="23" t="s">
        <v>23</v>
      </c>
      <c r="P1973" s="23" t="s">
        <v>277</v>
      </c>
      <c r="Q1973" s="23" t="s">
        <v>39</v>
      </c>
      <c r="R1973" s="23" t="s">
        <v>481</v>
      </c>
      <c r="S1973" s="33">
        <v>0.7</v>
      </c>
      <c r="T1973" s="13">
        <v>551.98500000000001</v>
      </c>
      <c r="U1973" s="13">
        <v>-459.98750000000001</v>
      </c>
      <c r="V1973" s="55">
        <f>IFERROR(Table12[[#This Row],[Profit]]/Table12[[#This Row],[Sales]],0)</f>
        <v>-0.83333333333333337</v>
      </c>
    </row>
    <row r="1974" spans="1:22" x14ac:dyDescent="0.2">
      <c r="A1974">
        <v>1973</v>
      </c>
      <c r="B1974" t="s">
        <v>7886</v>
      </c>
      <c r="C1974" s="1">
        <v>42003</v>
      </c>
      <c r="D1974" s="22">
        <f>MONTH(Table12[[#This Row],[Order Date]])</f>
        <v>12</v>
      </c>
      <c r="E1974" t="s">
        <v>6106</v>
      </c>
      <c r="F1974" t="s">
        <v>6107</v>
      </c>
      <c r="G1974" s="23" t="s">
        <v>64</v>
      </c>
      <c r="H1974" s="23" t="s">
        <v>144</v>
      </c>
      <c r="I1974" t="s">
        <v>2314</v>
      </c>
      <c r="J1974" s="23" t="s">
        <v>22</v>
      </c>
      <c r="K1974" s="22">
        <v>2</v>
      </c>
      <c r="L1974" s="1">
        <v>42007</v>
      </c>
      <c r="M1974" s="22">
        <f>Table12[[#This Row],[Ship Date]]-Table12[[#This Row],[Order Date]]</f>
        <v>4</v>
      </c>
      <c r="N1974" s="23" t="s">
        <v>45</v>
      </c>
      <c r="O1974" s="23" t="s">
        <v>23</v>
      </c>
      <c r="P1974" s="23" t="s">
        <v>132</v>
      </c>
      <c r="Q1974" s="23" t="s">
        <v>133</v>
      </c>
      <c r="R1974" s="23" t="s">
        <v>131</v>
      </c>
      <c r="S1974" s="33">
        <v>0.2</v>
      </c>
      <c r="T1974" s="13">
        <v>27.968</v>
      </c>
      <c r="U1974" s="13">
        <v>6.992</v>
      </c>
      <c r="V1974" s="55">
        <f>IFERROR(Table12[[#This Row],[Profit]]/Table12[[#This Row],[Sales]],0)</f>
        <v>0.25</v>
      </c>
    </row>
    <row r="1975" spans="1:22" x14ac:dyDescent="0.2">
      <c r="A1975">
        <v>1974</v>
      </c>
      <c r="B1975" t="s">
        <v>8666</v>
      </c>
      <c r="C1975" s="1">
        <v>42003</v>
      </c>
      <c r="D1975" s="22">
        <f>MONTH(Table12[[#This Row],[Order Date]])</f>
        <v>12</v>
      </c>
      <c r="E1975" t="s">
        <v>2057</v>
      </c>
      <c r="F1975" t="s">
        <v>2058</v>
      </c>
      <c r="G1975" s="23" t="s">
        <v>64</v>
      </c>
      <c r="H1975" s="23" t="s">
        <v>65</v>
      </c>
      <c r="I1975" t="s">
        <v>7119</v>
      </c>
      <c r="J1975" s="23" t="s">
        <v>36</v>
      </c>
      <c r="K1975" s="22">
        <v>6</v>
      </c>
      <c r="L1975" s="1">
        <v>42007</v>
      </c>
      <c r="M1975" s="22">
        <f>Table12[[#This Row],[Ship Date]]-Table12[[#This Row],[Order Date]]</f>
        <v>4</v>
      </c>
      <c r="N1975" s="23" t="s">
        <v>20</v>
      </c>
      <c r="O1975" s="23" t="s">
        <v>23</v>
      </c>
      <c r="P1975" s="23" t="s">
        <v>132</v>
      </c>
      <c r="Q1975" s="23" t="s">
        <v>133</v>
      </c>
      <c r="R1975" s="23" t="s">
        <v>131</v>
      </c>
      <c r="S1975" s="33">
        <v>0.4</v>
      </c>
      <c r="T1975" s="13">
        <v>251.964</v>
      </c>
      <c r="U1975" s="13">
        <v>-50.392800000000001</v>
      </c>
      <c r="V1975" s="55">
        <f>IFERROR(Table12[[#This Row],[Profit]]/Table12[[#This Row],[Sales]],0)</f>
        <v>-0.2</v>
      </c>
    </row>
    <row r="1976" spans="1:22" x14ac:dyDescent="0.2">
      <c r="A1976">
        <v>1975</v>
      </c>
      <c r="B1976" t="s">
        <v>8666</v>
      </c>
      <c r="C1976" s="1">
        <v>42003</v>
      </c>
      <c r="D1976" s="22">
        <f>MONTH(Table12[[#This Row],[Order Date]])</f>
        <v>12</v>
      </c>
      <c r="E1976" t="s">
        <v>1083</v>
      </c>
      <c r="F1976" t="s">
        <v>1084</v>
      </c>
      <c r="G1976" s="23" t="s">
        <v>28</v>
      </c>
      <c r="H1976" s="23" t="s">
        <v>50</v>
      </c>
      <c r="I1976" t="s">
        <v>7119</v>
      </c>
      <c r="J1976" s="23" t="s">
        <v>36</v>
      </c>
      <c r="K1976" s="22">
        <v>3</v>
      </c>
      <c r="L1976" s="1">
        <v>42007</v>
      </c>
      <c r="M1976" s="22">
        <f>Table12[[#This Row],[Ship Date]]-Table12[[#This Row],[Order Date]]</f>
        <v>4</v>
      </c>
      <c r="N1976" s="23" t="s">
        <v>20</v>
      </c>
      <c r="O1976" s="23" t="s">
        <v>23</v>
      </c>
      <c r="P1976" s="23" t="s">
        <v>132</v>
      </c>
      <c r="Q1976" s="23" t="s">
        <v>133</v>
      </c>
      <c r="R1976" s="23" t="s">
        <v>131</v>
      </c>
      <c r="S1976" s="33">
        <v>0.4</v>
      </c>
      <c r="T1976" s="13">
        <v>523.76400000000001</v>
      </c>
      <c r="U1976" s="13">
        <v>-192.04679999999999</v>
      </c>
      <c r="V1976" s="55">
        <f>IFERROR(Table12[[#This Row],[Profit]]/Table12[[#This Row],[Sales]],0)</f>
        <v>-0.36666666666666664</v>
      </c>
    </row>
    <row r="1977" spans="1:22" x14ac:dyDescent="0.2">
      <c r="A1977">
        <v>1976</v>
      </c>
      <c r="B1977" t="s">
        <v>9139</v>
      </c>
      <c r="C1977" s="1">
        <v>42003</v>
      </c>
      <c r="D1977" s="22">
        <f>MONTH(Table12[[#This Row],[Order Date]])</f>
        <v>12</v>
      </c>
      <c r="E1977" t="s">
        <v>9140</v>
      </c>
      <c r="F1977" t="s">
        <v>9141</v>
      </c>
      <c r="G1977" s="23" t="s">
        <v>41</v>
      </c>
      <c r="H1977" s="23" t="s">
        <v>71</v>
      </c>
      <c r="I1977" t="s">
        <v>1494</v>
      </c>
      <c r="J1977" s="23" t="s">
        <v>22</v>
      </c>
      <c r="K1977" s="22">
        <v>3</v>
      </c>
      <c r="L1977" s="1">
        <v>42008</v>
      </c>
      <c r="M1977" s="22">
        <f>Table12[[#This Row],[Ship Date]]-Table12[[#This Row],[Order Date]]</f>
        <v>5</v>
      </c>
      <c r="N1977" s="23" t="s">
        <v>45</v>
      </c>
      <c r="O1977" s="23" t="s">
        <v>23</v>
      </c>
      <c r="P1977" s="23" t="s">
        <v>238</v>
      </c>
      <c r="Q1977" s="23" t="s">
        <v>133</v>
      </c>
      <c r="R1977" s="23" t="s">
        <v>237</v>
      </c>
      <c r="S1977" s="33">
        <v>0</v>
      </c>
      <c r="T1977" s="13">
        <v>122.94</v>
      </c>
      <c r="U1977" s="13">
        <v>30.734999999999999</v>
      </c>
      <c r="V1977" s="55">
        <f>IFERROR(Table12[[#This Row],[Profit]]/Table12[[#This Row],[Sales]],0)</f>
        <v>0.25</v>
      </c>
    </row>
    <row r="1978" spans="1:22" x14ac:dyDescent="0.2">
      <c r="A1978">
        <v>1977</v>
      </c>
      <c r="B1978" t="s">
        <v>9139</v>
      </c>
      <c r="C1978" s="1">
        <v>42003</v>
      </c>
      <c r="D1978" s="22">
        <f>MONTH(Table12[[#This Row],[Order Date]])</f>
        <v>12</v>
      </c>
      <c r="E1978" t="s">
        <v>2949</v>
      </c>
      <c r="F1978" t="s">
        <v>2950</v>
      </c>
      <c r="G1978" s="23" t="s">
        <v>41</v>
      </c>
      <c r="H1978" s="23" t="s">
        <v>68</v>
      </c>
      <c r="I1978" t="s">
        <v>1494</v>
      </c>
      <c r="J1978" s="23" t="s">
        <v>22</v>
      </c>
      <c r="K1978" s="22">
        <v>7</v>
      </c>
      <c r="L1978" s="1">
        <v>42008</v>
      </c>
      <c r="M1978" s="22">
        <f>Table12[[#This Row],[Ship Date]]-Table12[[#This Row],[Order Date]]</f>
        <v>5</v>
      </c>
      <c r="N1978" s="23" t="s">
        <v>45</v>
      </c>
      <c r="O1978" s="23" t="s">
        <v>23</v>
      </c>
      <c r="P1978" s="23" t="s">
        <v>238</v>
      </c>
      <c r="Q1978" s="23" t="s">
        <v>133</v>
      </c>
      <c r="R1978" s="23" t="s">
        <v>237</v>
      </c>
      <c r="S1978" s="33">
        <v>0.2</v>
      </c>
      <c r="T1978" s="13">
        <v>35.448</v>
      </c>
      <c r="U1978" s="13">
        <v>12.8499</v>
      </c>
      <c r="V1978" s="55">
        <f>IFERROR(Table12[[#This Row],[Profit]]/Table12[[#This Row],[Sales]],0)</f>
        <v>0.36249999999999999</v>
      </c>
    </row>
    <row r="1979" spans="1:22" x14ac:dyDescent="0.2">
      <c r="A1979">
        <v>1978</v>
      </c>
      <c r="B1979" t="s">
        <v>9561</v>
      </c>
      <c r="C1979" s="1">
        <v>42003</v>
      </c>
      <c r="D1979" s="22">
        <f>MONTH(Table12[[#This Row],[Order Date]])</f>
        <v>12</v>
      </c>
      <c r="E1979" t="s">
        <v>4124</v>
      </c>
      <c r="F1979" t="s">
        <v>4125</v>
      </c>
      <c r="G1979" s="23" t="s">
        <v>41</v>
      </c>
      <c r="H1979" s="23" t="s">
        <v>53</v>
      </c>
      <c r="I1979" t="s">
        <v>6489</v>
      </c>
      <c r="J1979" s="23" t="s">
        <v>22</v>
      </c>
      <c r="K1979" s="22">
        <v>1</v>
      </c>
      <c r="L1979" s="1">
        <v>42005</v>
      </c>
      <c r="M1979" s="22">
        <f>Table12[[#This Row],[Ship Date]]-Table12[[#This Row],[Order Date]]</f>
        <v>2</v>
      </c>
      <c r="N1979" s="23" t="s">
        <v>169</v>
      </c>
      <c r="O1979" s="23" t="s">
        <v>23</v>
      </c>
      <c r="P1979" s="23" t="s">
        <v>299</v>
      </c>
      <c r="Q1979" s="23" t="s">
        <v>26</v>
      </c>
      <c r="R1979" s="23" t="s">
        <v>298</v>
      </c>
      <c r="S1979" s="33">
        <v>0.2</v>
      </c>
      <c r="T1979" s="13">
        <v>39.128</v>
      </c>
      <c r="U1979" s="13">
        <v>-8.8038000000000007</v>
      </c>
      <c r="V1979" s="55">
        <f>IFERROR(Table12[[#This Row],[Profit]]/Table12[[#This Row],[Sales]],0)</f>
        <v>-0.22500000000000001</v>
      </c>
    </row>
    <row r="1980" spans="1:22" x14ac:dyDescent="0.2">
      <c r="A1980">
        <v>1979</v>
      </c>
      <c r="B1980" t="s">
        <v>3618</v>
      </c>
      <c r="C1980" s="1">
        <v>42004</v>
      </c>
      <c r="D1980" s="22">
        <f>MONTH(Table12[[#This Row],[Order Date]])</f>
        <v>12</v>
      </c>
      <c r="E1980" t="s">
        <v>674</v>
      </c>
      <c r="F1980" t="s">
        <v>675</v>
      </c>
      <c r="G1980" s="23" t="s">
        <v>28</v>
      </c>
      <c r="H1980" s="23" t="s">
        <v>29</v>
      </c>
      <c r="I1980" t="s">
        <v>2421</v>
      </c>
      <c r="J1980" s="23" t="s">
        <v>36</v>
      </c>
      <c r="K1980" s="22">
        <v>7</v>
      </c>
      <c r="L1980" s="1">
        <v>42008</v>
      </c>
      <c r="M1980" s="22">
        <f>Table12[[#This Row],[Ship Date]]-Table12[[#This Row],[Order Date]]</f>
        <v>4</v>
      </c>
      <c r="N1980" s="23" t="s">
        <v>20</v>
      </c>
      <c r="O1980" s="23" t="s">
        <v>23</v>
      </c>
      <c r="P1980" s="23" t="s">
        <v>238</v>
      </c>
      <c r="Q1980" s="23" t="s">
        <v>133</v>
      </c>
      <c r="R1980" s="23" t="s">
        <v>3619</v>
      </c>
      <c r="S1980" s="33">
        <v>0.2</v>
      </c>
      <c r="T1980" s="13">
        <v>1573.4880000000001</v>
      </c>
      <c r="U1980" s="13">
        <v>196.68600000000001</v>
      </c>
      <c r="V1980" s="55">
        <f>IFERROR(Table12[[#This Row],[Profit]]/Table12[[#This Row],[Sales]],0)</f>
        <v>0.125</v>
      </c>
    </row>
    <row r="1981" spans="1:22" x14ac:dyDescent="0.2">
      <c r="A1981">
        <v>1980</v>
      </c>
      <c r="B1981" t="s">
        <v>4326</v>
      </c>
      <c r="C1981" s="1">
        <v>42004</v>
      </c>
      <c r="D1981" s="22">
        <f>MONTH(Table12[[#This Row],[Order Date]])</f>
        <v>12</v>
      </c>
      <c r="E1981" t="s">
        <v>2596</v>
      </c>
      <c r="F1981" t="s">
        <v>2597</v>
      </c>
      <c r="G1981" s="23" t="s">
        <v>41</v>
      </c>
      <c r="H1981" s="23" t="s">
        <v>61</v>
      </c>
      <c r="I1981" t="s">
        <v>2472</v>
      </c>
      <c r="J1981" s="23" t="s">
        <v>36</v>
      </c>
      <c r="K1981" s="22">
        <v>7</v>
      </c>
      <c r="L1981" s="1">
        <v>42008</v>
      </c>
      <c r="M1981" s="22">
        <f>Table12[[#This Row],[Ship Date]]-Table12[[#This Row],[Order Date]]</f>
        <v>4</v>
      </c>
      <c r="N1981" s="23" t="s">
        <v>45</v>
      </c>
      <c r="O1981" s="23" t="s">
        <v>23</v>
      </c>
      <c r="P1981" s="23" t="s">
        <v>528</v>
      </c>
      <c r="Q1981" s="23" t="s">
        <v>95</v>
      </c>
      <c r="R1981" s="23" t="s">
        <v>341</v>
      </c>
      <c r="S1981" s="33">
        <v>0</v>
      </c>
      <c r="T1981" s="13">
        <v>29.68</v>
      </c>
      <c r="U1981" s="13">
        <v>11.575200000000001</v>
      </c>
      <c r="V1981" s="55">
        <f>IFERROR(Table12[[#This Row],[Profit]]/Table12[[#This Row],[Sales]],0)</f>
        <v>0.39</v>
      </c>
    </row>
    <row r="1982" spans="1:22" x14ac:dyDescent="0.2">
      <c r="A1982">
        <v>1981</v>
      </c>
      <c r="B1982" t="s">
        <v>4326</v>
      </c>
      <c r="C1982" s="1">
        <v>42004</v>
      </c>
      <c r="D1982" s="22">
        <f>MONTH(Table12[[#This Row],[Order Date]])</f>
        <v>12</v>
      </c>
      <c r="E1982" t="s">
        <v>853</v>
      </c>
      <c r="F1982" t="s">
        <v>854</v>
      </c>
      <c r="G1982" s="23" t="s">
        <v>64</v>
      </c>
      <c r="H1982" s="23" t="s">
        <v>144</v>
      </c>
      <c r="I1982" t="s">
        <v>2472</v>
      </c>
      <c r="J1982" s="23" t="s">
        <v>36</v>
      </c>
      <c r="K1982" s="22">
        <v>7</v>
      </c>
      <c r="L1982" s="1">
        <v>42008</v>
      </c>
      <c r="M1982" s="22">
        <f>Table12[[#This Row],[Ship Date]]-Table12[[#This Row],[Order Date]]</f>
        <v>4</v>
      </c>
      <c r="N1982" s="23" t="s">
        <v>45</v>
      </c>
      <c r="O1982" s="23" t="s">
        <v>23</v>
      </c>
      <c r="P1982" s="23" t="s">
        <v>528</v>
      </c>
      <c r="Q1982" s="23" t="s">
        <v>95</v>
      </c>
      <c r="R1982" s="23" t="s">
        <v>341</v>
      </c>
      <c r="S1982" s="33">
        <v>0</v>
      </c>
      <c r="T1982" s="13">
        <v>47.53</v>
      </c>
      <c r="U1982" s="13">
        <v>16.1602</v>
      </c>
      <c r="V1982" s="55">
        <f>IFERROR(Table12[[#This Row],[Profit]]/Table12[[#This Row],[Sales]],0)</f>
        <v>0.33999999999999997</v>
      </c>
    </row>
    <row r="1983" spans="1:22" x14ac:dyDescent="0.2">
      <c r="A1983">
        <v>1982</v>
      </c>
      <c r="B1983" t="s">
        <v>4758</v>
      </c>
      <c r="C1983" s="1">
        <v>42004</v>
      </c>
      <c r="D1983" s="22">
        <f>MONTH(Table12[[#This Row],[Order Date]])</f>
        <v>12</v>
      </c>
      <c r="E1983" t="s">
        <v>4759</v>
      </c>
      <c r="F1983" t="s">
        <v>4760</v>
      </c>
      <c r="G1983" s="23" t="s">
        <v>28</v>
      </c>
      <c r="H1983" s="23" t="s">
        <v>58</v>
      </c>
      <c r="I1983" t="s">
        <v>353</v>
      </c>
      <c r="J1983" s="23" t="s">
        <v>92</v>
      </c>
      <c r="K1983" s="22">
        <v>5</v>
      </c>
      <c r="L1983" s="1">
        <v>42007</v>
      </c>
      <c r="M1983" s="22">
        <f>Table12[[#This Row],[Ship Date]]-Table12[[#This Row],[Order Date]]</f>
        <v>3</v>
      </c>
      <c r="N1983" s="23" t="s">
        <v>169</v>
      </c>
      <c r="O1983" s="23" t="s">
        <v>23</v>
      </c>
      <c r="P1983" s="23" t="s">
        <v>1101</v>
      </c>
      <c r="Q1983" s="23" t="s">
        <v>133</v>
      </c>
      <c r="R1983" s="23" t="s">
        <v>541</v>
      </c>
      <c r="S1983" s="33">
        <v>0</v>
      </c>
      <c r="T1983" s="13">
        <v>63.2</v>
      </c>
      <c r="U1983" s="13">
        <v>23.384</v>
      </c>
      <c r="V1983" s="55">
        <f>IFERROR(Table12[[#This Row],[Profit]]/Table12[[#This Row],[Sales]],0)</f>
        <v>0.37</v>
      </c>
    </row>
    <row r="1984" spans="1:22" x14ac:dyDescent="0.2">
      <c r="A1984">
        <v>1983</v>
      </c>
      <c r="B1984" t="s">
        <v>4758</v>
      </c>
      <c r="C1984" s="1">
        <v>42004</v>
      </c>
      <c r="D1984" s="22">
        <f>MONTH(Table12[[#This Row],[Order Date]])</f>
        <v>12</v>
      </c>
      <c r="E1984" t="s">
        <v>4730</v>
      </c>
      <c r="F1984" t="s">
        <v>4731</v>
      </c>
      <c r="G1984" s="23" t="s">
        <v>64</v>
      </c>
      <c r="H1984" s="23" t="s">
        <v>144</v>
      </c>
      <c r="I1984" t="s">
        <v>353</v>
      </c>
      <c r="J1984" s="23" t="s">
        <v>92</v>
      </c>
      <c r="K1984" s="22">
        <v>3</v>
      </c>
      <c r="L1984" s="1">
        <v>42007</v>
      </c>
      <c r="M1984" s="22">
        <f>Table12[[#This Row],[Ship Date]]-Table12[[#This Row],[Order Date]]</f>
        <v>3</v>
      </c>
      <c r="N1984" s="23" t="s">
        <v>169</v>
      </c>
      <c r="O1984" s="23" t="s">
        <v>23</v>
      </c>
      <c r="P1984" s="23" t="s">
        <v>1101</v>
      </c>
      <c r="Q1984" s="23" t="s">
        <v>133</v>
      </c>
      <c r="R1984" s="23" t="s">
        <v>541</v>
      </c>
      <c r="S1984" s="33">
        <v>0</v>
      </c>
      <c r="T1984" s="13">
        <v>113.97</v>
      </c>
      <c r="U1984" s="13">
        <v>27.352799999999998</v>
      </c>
      <c r="V1984" s="55">
        <f>IFERROR(Table12[[#This Row],[Profit]]/Table12[[#This Row],[Sales]],0)</f>
        <v>0.24</v>
      </c>
    </row>
    <row r="1985" spans="1:22" x14ac:dyDescent="0.2">
      <c r="A1985">
        <v>1984</v>
      </c>
      <c r="B1985" t="s">
        <v>6853</v>
      </c>
      <c r="C1985" s="1">
        <v>42004</v>
      </c>
      <c r="D1985" s="22">
        <f>MONTH(Table12[[#This Row],[Order Date]])</f>
        <v>12</v>
      </c>
      <c r="E1985" t="s">
        <v>5710</v>
      </c>
      <c r="F1985" t="s">
        <v>591</v>
      </c>
      <c r="G1985" s="23" t="s">
        <v>41</v>
      </c>
      <c r="H1985" s="23" t="s">
        <v>155</v>
      </c>
      <c r="I1985" t="s">
        <v>5789</v>
      </c>
      <c r="J1985" s="23" t="s">
        <v>36</v>
      </c>
      <c r="K1985" s="22">
        <v>2</v>
      </c>
      <c r="L1985" s="1">
        <v>42009</v>
      </c>
      <c r="M1985" s="22">
        <f>Table12[[#This Row],[Ship Date]]-Table12[[#This Row],[Order Date]]</f>
        <v>5</v>
      </c>
      <c r="N1985" s="23" t="s">
        <v>45</v>
      </c>
      <c r="O1985" s="23" t="s">
        <v>23</v>
      </c>
      <c r="P1985" s="23" t="s">
        <v>94</v>
      </c>
      <c r="Q1985" s="23" t="s">
        <v>95</v>
      </c>
      <c r="R1985" s="23" t="s">
        <v>3679</v>
      </c>
      <c r="S1985" s="33">
        <v>0.2</v>
      </c>
      <c r="T1985" s="13">
        <v>49.567999999999998</v>
      </c>
      <c r="U1985" s="13">
        <v>17.968399999999999</v>
      </c>
      <c r="V1985" s="55">
        <f>IFERROR(Table12[[#This Row],[Profit]]/Table12[[#This Row],[Sales]],0)</f>
        <v>0.36249999999999999</v>
      </c>
    </row>
    <row r="1986" spans="1:22" x14ac:dyDescent="0.2">
      <c r="A1986">
        <v>1985</v>
      </c>
      <c r="B1986" t="s">
        <v>8820</v>
      </c>
      <c r="C1986" s="1">
        <v>42004</v>
      </c>
      <c r="D1986" s="22">
        <f>MONTH(Table12[[#This Row],[Order Date]])</f>
        <v>12</v>
      </c>
      <c r="E1986" t="s">
        <v>6931</v>
      </c>
      <c r="F1986" t="s">
        <v>6932</v>
      </c>
      <c r="G1986" s="23" t="s">
        <v>41</v>
      </c>
      <c r="H1986" s="23" t="s">
        <v>82</v>
      </c>
      <c r="I1986" t="s">
        <v>3366</v>
      </c>
      <c r="J1986" s="23" t="s">
        <v>92</v>
      </c>
      <c r="K1986" s="22">
        <v>4</v>
      </c>
      <c r="L1986" s="1">
        <v>42011</v>
      </c>
      <c r="M1986" s="22">
        <f>Table12[[#This Row],[Ship Date]]-Table12[[#This Row],[Order Date]]</f>
        <v>7</v>
      </c>
      <c r="N1986" s="23" t="s">
        <v>45</v>
      </c>
      <c r="O1986" s="23" t="s">
        <v>23</v>
      </c>
      <c r="P1986" s="23" t="s">
        <v>1235</v>
      </c>
      <c r="Q1986" s="23" t="s">
        <v>133</v>
      </c>
      <c r="R1986" s="23" t="s">
        <v>3161</v>
      </c>
      <c r="S1986" s="33">
        <v>0</v>
      </c>
      <c r="T1986" s="13">
        <v>195.64</v>
      </c>
      <c r="U1986" s="13">
        <v>91.950800000000001</v>
      </c>
      <c r="V1986" s="55">
        <f>IFERROR(Table12[[#This Row],[Profit]]/Table12[[#This Row],[Sales]],0)</f>
        <v>0.47000000000000003</v>
      </c>
    </row>
    <row r="1987" spans="1:22" x14ac:dyDescent="0.2">
      <c r="A1987">
        <v>1986</v>
      </c>
      <c r="B1987" t="s">
        <v>8820</v>
      </c>
      <c r="C1987" s="1">
        <v>42004</v>
      </c>
      <c r="D1987" s="22">
        <f>MONTH(Table12[[#This Row],[Order Date]])</f>
        <v>12</v>
      </c>
      <c r="E1987" t="s">
        <v>3578</v>
      </c>
      <c r="F1987" t="s">
        <v>3579</v>
      </c>
      <c r="G1987" s="23" t="s">
        <v>41</v>
      </c>
      <c r="H1987" s="23" t="s">
        <v>82</v>
      </c>
      <c r="I1987" t="s">
        <v>3366</v>
      </c>
      <c r="J1987" s="23" t="s">
        <v>92</v>
      </c>
      <c r="K1987" s="22">
        <v>3</v>
      </c>
      <c r="L1987" s="1">
        <v>42011</v>
      </c>
      <c r="M1987" s="22">
        <f>Table12[[#This Row],[Ship Date]]-Table12[[#This Row],[Order Date]]</f>
        <v>7</v>
      </c>
      <c r="N1987" s="23" t="s">
        <v>45</v>
      </c>
      <c r="O1987" s="23" t="s">
        <v>23</v>
      </c>
      <c r="P1987" s="23" t="s">
        <v>1235</v>
      </c>
      <c r="Q1987" s="23" t="s">
        <v>133</v>
      </c>
      <c r="R1987" s="23" t="s">
        <v>3161</v>
      </c>
      <c r="S1987" s="33">
        <v>0</v>
      </c>
      <c r="T1987" s="13">
        <v>14.94</v>
      </c>
      <c r="U1987" s="13">
        <v>7.0217999999999998</v>
      </c>
      <c r="V1987" s="55">
        <f>IFERROR(Table12[[#This Row],[Profit]]/Table12[[#This Row],[Sales]],0)</f>
        <v>0.47000000000000003</v>
      </c>
    </row>
    <row r="1988" spans="1:22" x14ac:dyDescent="0.2">
      <c r="A1988">
        <v>1987</v>
      </c>
      <c r="B1988" t="s">
        <v>8820</v>
      </c>
      <c r="C1988" s="1">
        <v>42004</v>
      </c>
      <c r="D1988" s="22">
        <f>MONTH(Table12[[#This Row],[Order Date]])</f>
        <v>12</v>
      </c>
      <c r="E1988" t="s">
        <v>2382</v>
      </c>
      <c r="F1988" t="s">
        <v>3762</v>
      </c>
      <c r="G1988" s="23" t="s">
        <v>64</v>
      </c>
      <c r="H1988" s="23" t="s">
        <v>144</v>
      </c>
      <c r="I1988" t="s">
        <v>3366</v>
      </c>
      <c r="J1988" s="23" t="s">
        <v>92</v>
      </c>
      <c r="K1988" s="22">
        <v>4</v>
      </c>
      <c r="L1988" s="1">
        <v>42011</v>
      </c>
      <c r="M1988" s="22">
        <f>Table12[[#This Row],[Ship Date]]-Table12[[#This Row],[Order Date]]</f>
        <v>7</v>
      </c>
      <c r="N1988" s="23" t="s">
        <v>45</v>
      </c>
      <c r="O1988" s="23" t="s">
        <v>23</v>
      </c>
      <c r="P1988" s="23" t="s">
        <v>1235</v>
      </c>
      <c r="Q1988" s="23" t="s">
        <v>133</v>
      </c>
      <c r="R1988" s="23" t="s">
        <v>3161</v>
      </c>
      <c r="S1988" s="33">
        <v>0</v>
      </c>
      <c r="T1988" s="13">
        <v>1687.8</v>
      </c>
      <c r="U1988" s="13">
        <v>742.63199999999995</v>
      </c>
      <c r="V1988" s="55">
        <f>IFERROR(Table12[[#This Row],[Profit]]/Table12[[#This Row],[Sales]],0)</f>
        <v>0.44</v>
      </c>
    </row>
    <row r="1989" spans="1:22" x14ac:dyDescent="0.2">
      <c r="A1989">
        <v>1988</v>
      </c>
      <c r="B1989" t="s">
        <v>8820</v>
      </c>
      <c r="C1989" s="1">
        <v>42004</v>
      </c>
      <c r="D1989" s="22">
        <f>MONTH(Table12[[#This Row],[Order Date]])</f>
        <v>12</v>
      </c>
      <c r="E1989" t="s">
        <v>3711</v>
      </c>
      <c r="F1989" t="s">
        <v>3712</v>
      </c>
      <c r="G1989" s="23" t="s">
        <v>28</v>
      </c>
      <c r="H1989" s="23" t="s">
        <v>29</v>
      </c>
      <c r="I1989" t="s">
        <v>3366</v>
      </c>
      <c r="J1989" s="23" t="s">
        <v>92</v>
      </c>
      <c r="K1989" s="22">
        <v>2</v>
      </c>
      <c r="L1989" s="1">
        <v>42011</v>
      </c>
      <c r="M1989" s="22">
        <f>Table12[[#This Row],[Ship Date]]-Table12[[#This Row],[Order Date]]</f>
        <v>7</v>
      </c>
      <c r="N1989" s="23" t="s">
        <v>45</v>
      </c>
      <c r="O1989" s="23" t="s">
        <v>23</v>
      </c>
      <c r="P1989" s="23" t="s">
        <v>1235</v>
      </c>
      <c r="Q1989" s="23" t="s">
        <v>133</v>
      </c>
      <c r="R1989" s="23" t="s">
        <v>3161</v>
      </c>
      <c r="S1989" s="33">
        <v>0</v>
      </c>
      <c r="T1989" s="13">
        <v>341.96</v>
      </c>
      <c r="U1989" s="13">
        <v>78.650800000000004</v>
      </c>
      <c r="V1989" s="55">
        <f>IFERROR(Table12[[#This Row],[Profit]]/Table12[[#This Row],[Sales]],0)</f>
        <v>0.23000000000000004</v>
      </c>
    </row>
    <row r="1990" spans="1:22" x14ac:dyDescent="0.2">
      <c r="A1990">
        <v>1989</v>
      </c>
      <c r="B1990" t="s">
        <v>8820</v>
      </c>
      <c r="C1990" s="1">
        <v>42004</v>
      </c>
      <c r="D1990" s="22">
        <f>MONTH(Table12[[#This Row],[Order Date]])</f>
        <v>12</v>
      </c>
      <c r="E1990" t="s">
        <v>182</v>
      </c>
      <c r="F1990" t="s">
        <v>183</v>
      </c>
      <c r="G1990" s="23" t="s">
        <v>28</v>
      </c>
      <c r="H1990" s="23" t="s">
        <v>32</v>
      </c>
      <c r="I1990" t="s">
        <v>3366</v>
      </c>
      <c r="J1990" s="23" t="s">
        <v>92</v>
      </c>
      <c r="K1990" s="22">
        <v>6</v>
      </c>
      <c r="L1990" s="1">
        <v>42011</v>
      </c>
      <c r="M1990" s="22">
        <f>Table12[[#This Row],[Ship Date]]-Table12[[#This Row],[Order Date]]</f>
        <v>7</v>
      </c>
      <c r="N1990" s="23" t="s">
        <v>45</v>
      </c>
      <c r="O1990" s="23" t="s">
        <v>23</v>
      </c>
      <c r="P1990" s="23" t="s">
        <v>1235</v>
      </c>
      <c r="Q1990" s="23" t="s">
        <v>133</v>
      </c>
      <c r="R1990" s="23" t="s">
        <v>3161</v>
      </c>
      <c r="S1990" s="33">
        <v>0</v>
      </c>
      <c r="T1990" s="13">
        <v>605.88</v>
      </c>
      <c r="U1990" s="13">
        <v>151.47</v>
      </c>
      <c r="V1990" s="55">
        <f>IFERROR(Table12[[#This Row],[Profit]]/Table12[[#This Row],[Sales]],0)</f>
        <v>0.25</v>
      </c>
    </row>
    <row r="1991" spans="1:22" x14ac:dyDescent="0.2">
      <c r="A1991">
        <v>1990</v>
      </c>
      <c r="B1991" t="s">
        <v>9351</v>
      </c>
      <c r="C1991" s="1">
        <v>42004</v>
      </c>
      <c r="D1991" s="22">
        <f>MONTH(Table12[[#This Row],[Order Date]])</f>
        <v>12</v>
      </c>
      <c r="E1991" t="s">
        <v>5665</v>
      </c>
      <c r="F1991" t="s">
        <v>5666</v>
      </c>
      <c r="G1991" s="23" t="s">
        <v>64</v>
      </c>
      <c r="H1991" s="23" t="s">
        <v>65</v>
      </c>
      <c r="I1991" t="s">
        <v>2291</v>
      </c>
      <c r="J1991" s="23" t="s">
        <v>92</v>
      </c>
      <c r="K1991" s="22">
        <v>7</v>
      </c>
      <c r="L1991" s="1">
        <v>42004</v>
      </c>
      <c r="M1991" s="22">
        <f>Table12[[#This Row],[Ship Date]]-Table12[[#This Row],[Order Date]]</f>
        <v>0</v>
      </c>
      <c r="N1991" s="23" t="s">
        <v>1141</v>
      </c>
      <c r="O1991" s="23" t="s">
        <v>23</v>
      </c>
      <c r="P1991" s="23" t="s">
        <v>1229</v>
      </c>
      <c r="Q1991" s="23" t="s">
        <v>39</v>
      </c>
      <c r="R1991" s="23" t="s">
        <v>2927</v>
      </c>
      <c r="S1991" s="33">
        <v>0.2</v>
      </c>
      <c r="T1991" s="13">
        <v>475.94400000000002</v>
      </c>
      <c r="U1991" s="13">
        <v>59.493000000000002</v>
      </c>
      <c r="V1991" s="55">
        <f>IFERROR(Table12[[#This Row],[Profit]]/Table12[[#This Row],[Sales]],0)</f>
        <v>0.125</v>
      </c>
    </row>
    <row r="1992" spans="1:22" x14ac:dyDescent="0.2">
      <c r="A1992">
        <v>1991</v>
      </c>
      <c r="B1992" t="s">
        <v>9465</v>
      </c>
      <c r="C1992" s="1">
        <v>42004</v>
      </c>
      <c r="D1992" s="22">
        <f>MONTH(Table12[[#This Row],[Order Date]])</f>
        <v>12</v>
      </c>
      <c r="E1992" t="s">
        <v>1943</v>
      </c>
      <c r="F1992" t="s">
        <v>1944</v>
      </c>
      <c r="G1992" s="23" t="s">
        <v>64</v>
      </c>
      <c r="H1992" s="23" t="s">
        <v>144</v>
      </c>
      <c r="I1992" t="s">
        <v>5733</v>
      </c>
      <c r="J1992" s="23" t="s">
        <v>36</v>
      </c>
      <c r="K1992" s="22">
        <v>3</v>
      </c>
      <c r="L1992" s="1">
        <v>42005</v>
      </c>
      <c r="M1992" s="22">
        <f>Table12[[#This Row],[Ship Date]]-Table12[[#This Row],[Order Date]]</f>
        <v>1</v>
      </c>
      <c r="N1992" s="23" t="s">
        <v>169</v>
      </c>
      <c r="O1992" s="23" t="s">
        <v>23</v>
      </c>
      <c r="P1992" s="23" t="s">
        <v>238</v>
      </c>
      <c r="Q1992" s="23" t="s">
        <v>133</v>
      </c>
      <c r="R1992" s="23" t="s">
        <v>237</v>
      </c>
      <c r="S1992" s="33">
        <v>0</v>
      </c>
      <c r="T1992" s="13">
        <v>34.770000000000003</v>
      </c>
      <c r="U1992" s="13">
        <v>11.4741</v>
      </c>
      <c r="V1992" s="55">
        <f>IFERROR(Table12[[#This Row],[Profit]]/Table12[[#This Row],[Sales]],0)</f>
        <v>0.32999999999999996</v>
      </c>
    </row>
    <row r="1993" spans="1:22" x14ac:dyDescent="0.2">
      <c r="A1993">
        <v>1992</v>
      </c>
      <c r="B1993" t="s">
        <v>9465</v>
      </c>
      <c r="C1993" s="1">
        <v>42004</v>
      </c>
      <c r="D1993" s="22">
        <f>MONTH(Table12[[#This Row],[Order Date]])</f>
        <v>12</v>
      </c>
      <c r="E1993" t="s">
        <v>626</v>
      </c>
      <c r="F1993" t="s">
        <v>627</v>
      </c>
      <c r="G1993" s="23" t="s">
        <v>41</v>
      </c>
      <c r="H1993" s="23" t="s">
        <v>42</v>
      </c>
      <c r="I1993" t="s">
        <v>5733</v>
      </c>
      <c r="J1993" s="23" t="s">
        <v>36</v>
      </c>
      <c r="K1993" s="22">
        <v>3</v>
      </c>
      <c r="L1993" s="1">
        <v>42005</v>
      </c>
      <c r="M1993" s="22">
        <f>Table12[[#This Row],[Ship Date]]-Table12[[#This Row],[Order Date]]</f>
        <v>1</v>
      </c>
      <c r="N1993" s="23" t="s">
        <v>169</v>
      </c>
      <c r="O1993" s="23" t="s">
        <v>23</v>
      </c>
      <c r="P1993" s="23" t="s">
        <v>238</v>
      </c>
      <c r="Q1993" s="23" t="s">
        <v>133</v>
      </c>
      <c r="R1993" s="23" t="s">
        <v>237</v>
      </c>
      <c r="S1993" s="33">
        <v>0</v>
      </c>
      <c r="T1993" s="13">
        <v>18.899999999999999</v>
      </c>
      <c r="U1993" s="13">
        <v>8.6940000000000008</v>
      </c>
      <c r="V1993" s="55">
        <f>IFERROR(Table12[[#This Row],[Profit]]/Table12[[#This Row],[Sales]],0)</f>
        <v>0.46000000000000008</v>
      </c>
    </row>
  </sheetData>
  <dataConsolidate/>
  <conditionalFormatting sqref="A1:U1">
    <cfRule type="duplicateValues" dxfId="4" priority="2"/>
  </conditionalFormatting>
  <pageMargins left="0.7" right="0.7" top="0.75" bottom="0.75" header="0.3" footer="0.3"/>
  <cellWatches>
    <cellWatch r="A1"/>
    <cellWatch r="B1"/>
    <cellWatch r="C1"/>
    <cellWatch r="E1"/>
    <cellWatch r="F1"/>
    <cellWatch r="G1"/>
    <cellWatch r="H1"/>
    <cellWatch r="I1"/>
    <cellWatch r="J1"/>
    <cellWatch r="P1"/>
    <cellWatch r="Q1"/>
    <cellWatch r="R1"/>
    <cellWatch r="K1"/>
    <cellWatch r="L1"/>
    <cellWatch r="N1"/>
    <cellWatch r="O1"/>
    <cellWatch r="S1"/>
    <cellWatch r="T1"/>
    <cellWatch r="U1"/>
  </cellWatche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6FCAD-93D2-4943-AD9E-2CD4C3D36433}">
  <dimension ref="A1:V2103"/>
  <sheetViews>
    <sheetView topLeftCell="F1" workbookViewId="0">
      <selection activeCell="F26" sqref="F26"/>
    </sheetView>
  </sheetViews>
  <sheetFormatPr baseColWidth="10" defaultRowHeight="16" x14ac:dyDescent="0.2"/>
  <cols>
    <col min="1" max="1" width="9.33203125" bestFit="1" customWidth="1"/>
    <col min="2" max="2" width="14.83203125" bestFit="1" customWidth="1"/>
    <col min="3" max="3" width="12.6640625" bestFit="1" customWidth="1"/>
    <col min="4" max="4" width="12.6640625" style="22" customWidth="1"/>
    <col min="5" max="5" width="16.6640625" bestFit="1" customWidth="1"/>
    <col min="6" max="6" width="108.83203125" bestFit="1" customWidth="1"/>
    <col min="7" max="7" width="13.1640625" bestFit="1" customWidth="1"/>
    <col min="8" max="8" width="14.83203125" bestFit="1" customWidth="1"/>
    <col min="9" max="9" width="14.1640625" bestFit="1" customWidth="1"/>
    <col min="10" max="10" width="11.1640625" bestFit="1" customWidth="1"/>
    <col min="15" max="15" width="10.6640625" bestFit="1" customWidth="1"/>
    <col min="16" max="16" width="11.5" bestFit="1" customWidth="1"/>
    <col min="17" max="17" width="13.33203125" bestFit="1" customWidth="1"/>
    <col min="18" max="18" width="12" bestFit="1" customWidth="1"/>
    <col min="19" max="19" width="11.1640625" bestFit="1" customWidth="1"/>
    <col min="20" max="20" width="10.5" bestFit="1" customWidth="1"/>
    <col min="21" max="21" width="17.5" bestFit="1" customWidth="1"/>
    <col min="22" max="22" width="10.5" style="21" bestFit="1" customWidth="1"/>
    <col min="24" max="24" width="11.1640625" bestFit="1" customWidth="1"/>
    <col min="30" max="30" width="15.33203125" customWidth="1"/>
    <col min="33" max="33" width="11" customWidth="1"/>
  </cols>
  <sheetData>
    <row r="1" spans="1:22" x14ac:dyDescent="0.2">
      <c r="A1" t="s">
        <v>0</v>
      </c>
      <c r="B1" t="s">
        <v>1</v>
      </c>
      <c r="C1" s="1" t="s">
        <v>2</v>
      </c>
      <c r="D1" s="22" t="s">
        <v>10169</v>
      </c>
      <c r="E1" t="s">
        <v>11</v>
      </c>
      <c r="F1" t="s">
        <v>14</v>
      </c>
      <c r="G1" s="23" t="s">
        <v>12</v>
      </c>
      <c r="H1" s="23" t="s">
        <v>13</v>
      </c>
      <c r="I1" t="s">
        <v>5</v>
      </c>
      <c r="J1" s="23" t="s">
        <v>6</v>
      </c>
      <c r="K1" s="22" t="s">
        <v>16</v>
      </c>
      <c r="L1" s="1" t="s">
        <v>3</v>
      </c>
      <c r="M1" s="22" t="s">
        <v>10153</v>
      </c>
      <c r="N1" s="23" t="s">
        <v>4</v>
      </c>
      <c r="O1" s="23" t="s">
        <v>7</v>
      </c>
      <c r="P1" s="23" t="s">
        <v>9</v>
      </c>
      <c r="Q1" s="23" t="s">
        <v>10</v>
      </c>
      <c r="R1" s="23" t="s">
        <v>8</v>
      </c>
      <c r="S1" s="33" t="s">
        <v>17</v>
      </c>
      <c r="T1" s="13" t="s">
        <v>15</v>
      </c>
      <c r="U1" s="13" t="s">
        <v>18</v>
      </c>
      <c r="V1" s="21" t="s">
        <v>10154</v>
      </c>
    </row>
    <row r="2" spans="1:22" x14ac:dyDescent="0.2">
      <c r="A2" s="4">
        <v>1</v>
      </c>
      <c r="B2" s="5" t="s">
        <v>745</v>
      </c>
      <c r="C2" s="6">
        <v>42006</v>
      </c>
      <c r="D2" s="27">
        <f>MONTH(Table11[[#This Row],[Order Date]])</f>
        <v>1</v>
      </c>
      <c r="E2" s="5" t="s">
        <v>748</v>
      </c>
      <c r="F2" s="5" t="s">
        <v>749</v>
      </c>
      <c r="G2" s="24" t="s">
        <v>41</v>
      </c>
      <c r="H2" s="24" t="s">
        <v>42</v>
      </c>
      <c r="I2" s="5" t="s">
        <v>746</v>
      </c>
      <c r="J2" s="24" t="s">
        <v>36</v>
      </c>
      <c r="K2" s="27">
        <v>2</v>
      </c>
      <c r="L2" s="6">
        <v>42013</v>
      </c>
      <c r="M2" s="27">
        <f>Table11[[#This Row],[Ship Date]]-Table11[[#This Row],[Order Date]]</f>
        <v>7</v>
      </c>
      <c r="N2" s="24" t="s">
        <v>45</v>
      </c>
      <c r="O2" s="24" t="s">
        <v>23</v>
      </c>
      <c r="P2" s="24" t="s">
        <v>441</v>
      </c>
      <c r="Q2" s="24" t="s">
        <v>133</v>
      </c>
      <c r="R2" s="24" t="s">
        <v>747</v>
      </c>
      <c r="S2" s="34">
        <v>0.2</v>
      </c>
      <c r="T2" s="15">
        <v>23.68</v>
      </c>
      <c r="U2" s="18">
        <v>8.8800000000000008</v>
      </c>
      <c r="V2" s="56">
        <f>Table11[[#This Row],[Profit]]/Table11[[#This Row],[Sales]]</f>
        <v>0.37500000000000006</v>
      </c>
    </row>
    <row r="3" spans="1:22" x14ac:dyDescent="0.2">
      <c r="A3" s="2">
        <v>2</v>
      </c>
      <c r="B3" s="3" t="s">
        <v>745</v>
      </c>
      <c r="C3" s="7">
        <v>42006</v>
      </c>
      <c r="D3" s="28">
        <f>MONTH(Table11[[#This Row],[Order Date]])</f>
        <v>1</v>
      </c>
      <c r="E3" s="3" t="s">
        <v>750</v>
      </c>
      <c r="F3" s="3" t="s">
        <v>751</v>
      </c>
      <c r="G3" s="25" t="s">
        <v>28</v>
      </c>
      <c r="H3" s="25" t="s">
        <v>29</v>
      </c>
      <c r="I3" s="3" t="s">
        <v>746</v>
      </c>
      <c r="J3" s="25" t="s">
        <v>36</v>
      </c>
      <c r="K3" s="28">
        <v>5</v>
      </c>
      <c r="L3" s="7">
        <v>42013</v>
      </c>
      <c r="M3" s="28">
        <f>Table11[[#This Row],[Ship Date]]-Table11[[#This Row],[Order Date]]</f>
        <v>7</v>
      </c>
      <c r="N3" s="25" t="s">
        <v>45</v>
      </c>
      <c r="O3" s="25" t="s">
        <v>23</v>
      </c>
      <c r="P3" s="25" t="s">
        <v>441</v>
      </c>
      <c r="Q3" s="25" t="s">
        <v>133</v>
      </c>
      <c r="R3" s="25" t="s">
        <v>747</v>
      </c>
      <c r="S3" s="35">
        <v>0.5</v>
      </c>
      <c r="T3" s="16">
        <v>452.45</v>
      </c>
      <c r="U3" s="19">
        <v>-244.32300000000001</v>
      </c>
      <c r="V3" s="56">
        <f>Table11[[#This Row],[Profit]]/Table11[[#This Row],[Sales]]</f>
        <v>-0.54</v>
      </c>
    </row>
    <row r="4" spans="1:22" x14ac:dyDescent="0.2">
      <c r="A4" s="4">
        <v>3</v>
      </c>
      <c r="B4" s="5" t="s">
        <v>745</v>
      </c>
      <c r="C4" s="6">
        <v>42006</v>
      </c>
      <c r="D4" s="27">
        <f>MONTH(Table11[[#This Row],[Order Date]])</f>
        <v>1</v>
      </c>
      <c r="E4" s="5" t="s">
        <v>417</v>
      </c>
      <c r="F4" s="5" t="s">
        <v>418</v>
      </c>
      <c r="G4" s="24" t="s">
        <v>64</v>
      </c>
      <c r="H4" s="24" t="s">
        <v>65</v>
      </c>
      <c r="I4" s="5" t="s">
        <v>746</v>
      </c>
      <c r="J4" s="24" t="s">
        <v>36</v>
      </c>
      <c r="K4" s="27">
        <v>3</v>
      </c>
      <c r="L4" s="6">
        <v>42013</v>
      </c>
      <c r="M4" s="27">
        <f>Table11[[#This Row],[Ship Date]]-Table11[[#This Row],[Order Date]]</f>
        <v>7</v>
      </c>
      <c r="N4" s="24" t="s">
        <v>45</v>
      </c>
      <c r="O4" s="24" t="s">
        <v>23</v>
      </c>
      <c r="P4" s="24" t="s">
        <v>441</v>
      </c>
      <c r="Q4" s="24" t="s">
        <v>133</v>
      </c>
      <c r="R4" s="24" t="s">
        <v>747</v>
      </c>
      <c r="S4" s="34">
        <v>0.4</v>
      </c>
      <c r="T4" s="15">
        <v>62.981999999999999</v>
      </c>
      <c r="U4" s="18">
        <v>-14.6958</v>
      </c>
      <c r="V4" s="56">
        <f>Table11[[#This Row],[Profit]]/Table11[[#This Row],[Sales]]</f>
        <v>-0.23333333333333334</v>
      </c>
    </row>
    <row r="5" spans="1:22" x14ac:dyDescent="0.2">
      <c r="A5" s="4">
        <v>4</v>
      </c>
      <c r="B5" s="3" t="s">
        <v>745</v>
      </c>
      <c r="C5" s="7">
        <v>42006</v>
      </c>
      <c r="D5" s="28">
        <f>MONTH(Table11[[#This Row],[Order Date]])</f>
        <v>1</v>
      </c>
      <c r="E5" s="3" t="s">
        <v>752</v>
      </c>
      <c r="F5" s="3" t="s">
        <v>753</v>
      </c>
      <c r="G5" s="25" t="s">
        <v>64</v>
      </c>
      <c r="H5" s="25" t="s">
        <v>602</v>
      </c>
      <c r="I5" s="3" t="s">
        <v>746</v>
      </c>
      <c r="J5" s="25" t="s">
        <v>36</v>
      </c>
      <c r="K5" s="28">
        <v>9</v>
      </c>
      <c r="L5" s="7">
        <v>42013</v>
      </c>
      <c r="M5" s="28">
        <f>Table11[[#This Row],[Ship Date]]-Table11[[#This Row],[Order Date]]</f>
        <v>7</v>
      </c>
      <c r="N5" s="25" t="s">
        <v>45</v>
      </c>
      <c r="O5" s="25" t="s">
        <v>23</v>
      </c>
      <c r="P5" s="25" t="s">
        <v>441</v>
      </c>
      <c r="Q5" s="25" t="s">
        <v>133</v>
      </c>
      <c r="R5" s="25" t="s">
        <v>747</v>
      </c>
      <c r="S5" s="35">
        <v>0.7</v>
      </c>
      <c r="T5" s="16">
        <v>1188</v>
      </c>
      <c r="U5" s="19">
        <v>-950.4</v>
      </c>
      <c r="V5" s="56">
        <f>Table11[[#This Row],[Profit]]/Table11[[#This Row],[Sales]]</f>
        <v>-0.79999999999999993</v>
      </c>
    </row>
    <row r="6" spans="1:22" x14ac:dyDescent="0.2">
      <c r="A6" s="2">
        <v>5</v>
      </c>
      <c r="B6" s="5" t="s">
        <v>745</v>
      </c>
      <c r="C6" s="6">
        <v>42006</v>
      </c>
      <c r="D6" s="27">
        <f>MONTH(Table11[[#This Row],[Order Date]])</f>
        <v>1</v>
      </c>
      <c r="E6" s="5" t="s">
        <v>754</v>
      </c>
      <c r="F6" s="5" t="s">
        <v>755</v>
      </c>
      <c r="G6" s="24" t="s">
        <v>64</v>
      </c>
      <c r="H6" s="24" t="s">
        <v>144</v>
      </c>
      <c r="I6" s="5" t="s">
        <v>746</v>
      </c>
      <c r="J6" s="24" t="s">
        <v>36</v>
      </c>
      <c r="K6" s="27">
        <v>2</v>
      </c>
      <c r="L6" s="6">
        <v>42013</v>
      </c>
      <c r="M6" s="27">
        <f>Table11[[#This Row],[Ship Date]]-Table11[[#This Row],[Order Date]]</f>
        <v>7</v>
      </c>
      <c r="N6" s="24" t="s">
        <v>45</v>
      </c>
      <c r="O6" s="24" t="s">
        <v>23</v>
      </c>
      <c r="P6" s="24" t="s">
        <v>441</v>
      </c>
      <c r="Q6" s="24" t="s">
        <v>133</v>
      </c>
      <c r="R6" s="24" t="s">
        <v>747</v>
      </c>
      <c r="S6" s="34">
        <v>0.2</v>
      </c>
      <c r="T6" s="15">
        <v>89.584000000000003</v>
      </c>
      <c r="U6" s="18">
        <v>4.4791999999999996</v>
      </c>
      <c r="V6" s="56">
        <f>Table11[[#This Row],[Profit]]/Table11[[#This Row],[Sales]]</f>
        <v>4.9999999999999996E-2</v>
      </c>
    </row>
    <row r="7" spans="1:22" x14ac:dyDescent="0.2">
      <c r="A7" s="4">
        <v>6</v>
      </c>
      <c r="B7" s="3" t="s">
        <v>4940</v>
      </c>
      <c r="C7" s="7">
        <v>42006</v>
      </c>
      <c r="D7" s="28">
        <f>MONTH(Table11[[#This Row],[Order Date]])</f>
        <v>1</v>
      </c>
      <c r="E7" s="3" t="s">
        <v>4941</v>
      </c>
      <c r="F7" s="3" t="s">
        <v>4942</v>
      </c>
      <c r="G7" s="25" t="s">
        <v>41</v>
      </c>
      <c r="H7" s="25" t="s">
        <v>53</v>
      </c>
      <c r="I7" s="3" t="s">
        <v>877</v>
      </c>
      <c r="J7" s="25" t="s">
        <v>36</v>
      </c>
      <c r="K7" s="28">
        <v>2</v>
      </c>
      <c r="L7" s="7">
        <v>42008</v>
      </c>
      <c r="M7" s="28">
        <f>Table11[[#This Row],[Ship Date]]-Table11[[#This Row],[Order Date]]</f>
        <v>2</v>
      </c>
      <c r="N7" s="25" t="s">
        <v>20</v>
      </c>
      <c r="O7" s="25" t="s">
        <v>23</v>
      </c>
      <c r="P7" s="25" t="s">
        <v>218</v>
      </c>
      <c r="Q7" s="25" t="s">
        <v>133</v>
      </c>
      <c r="R7" s="25" t="s">
        <v>536</v>
      </c>
      <c r="S7" s="35">
        <v>0</v>
      </c>
      <c r="T7" s="16">
        <v>85.52</v>
      </c>
      <c r="U7" s="19">
        <v>22.235199999999999</v>
      </c>
      <c r="V7" s="56">
        <f>Table11[[#This Row],[Profit]]/Table11[[#This Row],[Sales]]</f>
        <v>0.26</v>
      </c>
    </row>
    <row r="8" spans="1:22" x14ac:dyDescent="0.2">
      <c r="A8" s="4">
        <v>7</v>
      </c>
      <c r="B8" s="5" t="s">
        <v>4940</v>
      </c>
      <c r="C8" s="6">
        <v>42006</v>
      </c>
      <c r="D8" s="27">
        <f>MONTH(Table11[[#This Row],[Order Date]])</f>
        <v>1</v>
      </c>
      <c r="E8" s="5" t="s">
        <v>4943</v>
      </c>
      <c r="F8" s="5" t="s">
        <v>4944</v>
      </c>
      <c r="G8" s="24" t="s">
        <v>41</v>
      </c>
      <c r="H8" s="24" t="s">
        <v>61</v>
      </c>
      <c r="I8" s="5" t="s">
        <v>877</v>
      </c>
      <c r="J8" s="24" t="s">
        <v>36</v>
      </c>
      <c r="K8" s="27">
        <v>3</v>
      </c>
      <c r="L8" s="6">
        <v>42008</v>
      </c>
      <c r="M8" s="27">
        <f>Table11[[#This Row],[Ship Date]]-Table11[[#This Row],[Order Date]]</f>
        <v>2</v>
      </c>
      <c r="N8" s="24" t="s">
        <v>20</v>
      </c>
      <c r="O8" s="24" t="s">
        <v>23</v>
      </c>
      <c r="P8" s="24" t="s">
        <v>218</v>
      </c>
      <c r="Q8" s="24" t="s">
        <v>133</v>
      </c>
      <c r="R8" s="24" t="s">
        <v>536</v>
      </c>
      <c r="S8" s="34">
        <v>0</v>
      </c>
      <c r="T8" s="15">
        <v>9.84</v>
      </c>
      <c r="U8" s="18">
        <v>2.6568000000000001</v>
      </c>
      <c r="V8" s="56">
        <f>Table11[[#This Row],[Profit]]/Table11[[#This Row],[Sales]]</f>
        <v>0.27</v>
      </c>
    </row>
    <row r="9" spans="1:22" x14ac:dyDescent="0.2">
      <c r="A9" s="2">
        <v>8</v>
      </c>
      <c r="B9" s="3" t="s">
        <v>4940</v>
      </c>
      <c r="C9" s="7">
        <v>42006</v>
      </c>
      <c r="D9" s="28">
        <f>MONTH(Table11[[#This Row],[Order Date]])</f>
        <v>1</v>
      </c>
      <c r="E9" s="3" t="s">
        <v>4636</v>
      </c>
      <c r="F9" s="3" t="s">
        <v>4637</v>
      </c>
      <c r="G9" s="25" t="s">
        <v>41</v>
      </c>
      <c r="H9" s="25" t="s">
        <v>82</v>
      </c>
      <c r="I9" s="3" t="s">
        <v>877</v>
      </c>
      <c r="J9" s="25" t="s">
        <v>36</v>
      </c>
      <c r="K9" s="28">
        <v>3</v>
      </c>
      <c r="L9" s="7">
        <v>42008</v>
      </c>
      <c r="M9" s="28">
        <f>Table11[[#This Row],[Ship Date]]-Table11[[#This Row],[Order Date]]</f>
        <v>2</v>
      </c>
      <c r="N9" s="25" t="s">
        <v>20</v>
      </c>
      <c r="O9" s="25" t="s">
        <v>23</v>
      </c>
      <c r="P9" s="25" t="s">
        <v>218</v>
      </c>
      <c r="Q9" s="25" t="s">
        <v>133</v>
      </c>
      <c r="R9" s="25" t="s">
        <v>536</v>
      </c>
      <c r="S9" s="35">
        <v>0</v>
      </c>
      <c r="T9" s="16">
        <v>20.04</v>
      </c>
      <c r="U9" s="19">
        <v>9.6191999999999993</v>
      </c>
      <c r="V9" s="56">
        <f>Table11[[#This Row],[Profit]]/Table11[[#This Row],[Sales]]</f>
        <v>0.48</v>
      </c>
    </row>
    <row r="10" spans="1:22" x14ac:dyDescent="0.2">
      <c r="A10" s="4">
        <v>9</v>
      </c>
      <c r="B10" s="5" t="s">
        <v>6323</v>
      </c>
      <c r="C10" s="6">
        <v>42007</v>
      </c>
      <c r="D10" s="27">
        <f>MONTH(Table11[[#This Row],[Order Date]])</f>
        <v>1</v>
      </c>
      <c r="E10" s="5" t="s">
        <v>1021</v>
      </c>
      <c r="F10" s="5" t="s">
        <v>1022</v>
      </c>
      <c r="G10" s="24" t="s">
        <v>41</v>
      </c>
      <c r="H10" s="24" t="s">
        <v>82</v>
      </c>
      <c r="I10" s="5" t="s">
        <v>1814</v>
      </c>
      <c r="J10" s="24" t="s">
        <v>36</v>
      </c>
      <c r="K10" s="27">
        <v>2</v>
      </c>
      <c r="L10" s="6">
        <v>42012</v>
      </c>
      <c r="M10" s="27">
        <f>Table11[[#This Row],[Ship Date]]-Table11[[#This Row],[Order Date]]</f>
        <v>5</v>
      </c>
      <c r="N10" s="24" t="s">
        <v>45</v>
      </c>
      <c r="O10" s="24" t="s">
        <v>23</v>
      </c>
      <c r="P10" s="24" t="s">
        <v>94</v>
      </c>
      <c r="Q10" s="24" t="s">
        <v>95</v>
      </c>
      <c r="R10" s="24" t="s">
        <v>6324</v>
      </c>
      <c r="S10" s="34">
        <v>0.2</v>
      </c>
      <c r="T10" s="15">
        <v>10.368</v>
      </c>
      <c r="U10" s="18">
        <v>3.6288</v>
      </c>
      <c r="V10" s="56">
        <f>Table11[[#This Row],[Profit]]/Table11[[#This Row],[Sales]]</f>
        <v>0.35</v>
      </c>
    </row>
    <row r="11" spans="1:22" x14ac:dyDescent="0.2">
      <c r="A11" s="4">
        <v>10</v>
      </c>
      <c r="B11" s="3" t="s">
        <v>7212</v>
      </c>
      <c r="C11" s="7">
        <v>42007</v>
      </c>
      <c r="D11" s="28">
        <f>MONTH(Table11[[#This Row],[Order Date]])</f>
        <v>1</v>
      </c>
      <c r="E11" s="3" t="s">
        <v>2659</v>
      </c>
      <c r="F11" s="3" t="s">
        <v>2660</v>
      </c>
      <c r="G11" s="25" t="s">
        <v>64</v>
      </c>
      <c r="H11" s="25" t="s">
        <v>144</v>
      </c>
      <c r="I11" s="3" t="s">
        <v>6531</v>
      </c>
      <c r="J11" s="25" t="s">
        <v>22</v>
      </c>
      <c r="K11" s="28">
        <v>5</v>
      </c>
      <c r="L11" s="7">
        <v>42012</v>
      </c>
      <c r="M11" s="28">
        <f>Table11[[#This Row],[Ship Date]]-Table11[[#This Row],[Order Date]]</f>
        <v>5</v>
      </c>
      <c r="N11" s="25" t="s">
        <v>20</v>
      </c>
      <c r="O11" s="25" t="s">
        <v>23</v>
      </c>
      <c r="P11" s="25" t="s">
        <v>94</v>
      </c>
      <c r="Q11" s="25" t="s">
        <v>95</v>
      </c>
      <c r="R11" s="25" t="s">
        <v>718</v>
      </c>
      <c r="S11" s="35">
        <v>0.2</v>
      </c>
      <c r="T11" s="16">
        <v>398.4</v>
      </c>
      <c r="U11" s="19">
        <v>84.66</v>
      </c>
      <c r="V11" s="56">
        <f>Table11[[#This Row],[Profit]]/Table11[[#This Row],[Sales]]</f>
        <v>0.21249999999999999</v>
      </c>
    </row>
    <row r="12" spans="1:22" x14ac:dyDescent="0.2">
      <c r="A12" s="2">
        <v>11</v>
      </c>
      <c r="B12" s="5" t="s">
        <v>7212</v>
      </c>
      <c r="C12" s="6">
        <v>42007</v>
      </c>
      <c r="D12" s="27">
        <f>MONTH(Table11[[#This Row],[Order Date]])</f>
        <v>1</v>
      </c>
      <c r="E12" s="5" t="s">
        <v>1557</v>
      </c>
      <c r="F12" s="5" t="s">
        <v>1558</v>
      </c>
      <c r="G12" s="24" t="s">
        <v>41</v>
      </c>
      <c r="H12" s="24" t="s">
        <v>61</v>
      </c>
      <c r="I12" s="5" t="s">
        <v>6531</v>
      </c>
      <c r="J12" s="24" t="s">
        <v>22</v>
      </c>
      <c r="K12" s="27">
        <v>3</v>
      </c>
      <c r="L12" s="6">
        <v>42012</v>
      </c>
      <c r="M12" s="27">
        <f>Table11[[#This Row],[Ship Date]]-Table11[[#This Row],[Order Date]]</f>
        <v>5</v>
      </c>
      <c r="N12" s="24" t="s">
        <v>20</v>
      </c>
      <c r="O12" s="24" t="s">
        <v>23</v>
      </c>
      <c r="P12" s="24" t="s">
        <v>94</v>
      </c>
      <c r="Q12" s="24" t="s">
        <v>95</v>
      </c>
      <c r="R12" s="24" t="s">
        <v>718</v>
      </c>
      <c r="S12" s="34">
        <v>0.2</v>
      </c>
      <c r="T12" s="15">
        <v>7.056</v>
      </c>
      <c r="U12" s="18">
        <v>0.79379999999999995</v>
      </c>
      <c r="V12" s="56">
        <f>Table11[[#This Row],[Profit]]/Table11[[#This Row],[Sales]]</f>
        <v>0.11249999999999999</v>
      </c>
    </row>
    <row r="13" spans="1:22" x14ac:dyDescent="0.2">
      <c r="A13" s="4">
        <v>12</v>
      </c>
      <c r="B13" s="3" t="s">
        <v>7212</v>
      </c>
      <c r="C13" s="7">
        <v>42007</v>
      </c>
      <c r="D13" s="28">
        <f>MONTH(Table11[[#This Row],[Order Date]])</f>
        <v>1</v>
      </c>
      <c r="E13" s="3" t="s">
        <v>2009</v>
      </c>
      <c r="F13" s="3" t="s">
        <v>2010</v>
      </c>
      <c r="G13" s="25" t="s">
        <v>28</v>
      </c>
      <c r="H13" s="25" t="s">
        <v>29</v>
      </c>
      <c r="I13" s="3" t="s">
        <v>6531</v>
      </c>
      <c r="J13" s="25" t="s">
        <v>22</v>
      </c>
      <c r="K13" s="28">
        <v>9</v>
      </c>
      <c r="L13" s="7">
        <v>42012</v>
      </c>
      <c r="M13" s="28">
        <f>Table11[[#This Row],[Ship Date]]-Table11[[#This Row],[Order Date]]</f>
        <v>5</v>
      </c>
      <c r="N13" s="25" t="s">
        <v>20</v>
      </c>
      <c r="O13" s="25" t="s">
        <v>23</v>
      </c>
      <c r="P13" s="25" t="s">
        <v>94</v>
      </c>
      <c r="Q13" s="25" t="s">
        <v>95</v>
      </c>
      <c r="R13" s="25" t="s">
        <v>718</v>
      </c>
      <c r="S13" s="35">
        <v>0.32</v>
      </c>
      <c r="T13" s="16">
        <v>1352.3976</v>
      </c>
      <c r="U13" s="19">
        <v>-437.54039999999998</v>
      </c>
      <c r="V13" s="56">
        <f>Table11[[#This Row],[Profit]]/Table11[[#This Row],[Sales]]</f>
        <v>-0.32352941176470584</v>
      </c>
    </row>
    <row r="14" spans="1:22" x14ac:dyDescent="0.2">
      <c r="A14" s="4">
        <v>13</v>
      </c>
      <c r="B14" s="5" t="s">
        <v>7406</v>
      </c>
      <c r="C14" s="6">
        <v>42008</v>
      </c>
      <c r="D14" s="27">
        <f>MONTH(Table11[[#This Row],[Order Date]])</f>
        <v>1</v>
      </c>
      <c r="E14" s="5" t="s">
        <v>2854</v>
      </c>
      <c r="F14" s="5" t="s">
        <v>2855</v>
      </c>
      <c r="G14" s="24" t="s">
        <v>41</v>
      </c>
      <c r="H14" s="24" t="s">
        <v>68</v>
      </c>
      <c r="I14" s="5" t="s">
        <v>2128</v>
      </c>
      <c r="J14" s="24" t="s">
        <v>36</v>
      </c>
      <c r="K14" s="27">
        <v>3</v>
      </c>
      <c r="L14" s="6">
        <v>42014</v>
      </c>
      <c r="M14" s="27">
        <f>Table11[[#This Row],[Ship Date]]-Table11[[#This Row],[Order Date]]</f>
        <v>6</v>
      </c>
      <c r="N14" s="24" t="s">
        <v>45</v>
      </c>
      <c r="O14" s="24" t="s">
        <v>23</v>
      </c>
      <c r="P14" s="24" t="s">
        <v>204</v>
      </c>
      <c r="Q14" s="24" t="s">
        <v>95</v>
      </c>
      <c r="R14" s="24" t="s">
        <v>7407</v>
      </c>
      <c r="S14" s="34">
        <v>0</v>
      </c>
      <c r="T14" s="15">
        <v>32.340000000000003</v>
      </c>
      <c r="U14" s="18">
        <v>15.523199999999999</v>
      </c>
      <c r="V14" s="56">
        <f>Table11[[#This Row],[Profit]]/Table11[[#This Row],[Sales]]</f>
        <v>0.47999999999999993</v>
      </c>
    </row>
    <row r="15" spans="1:22" x14ac:dyDescent="0.2">
      <c r="A15" s="2">
        <v>14</v>
      </c>
      <c r="B15" s="3" t="s">
        <v>7406</v>
      </c>
      <c r="C15" s="7">
        <v>42008</v>
      </c>
      <c r="D15" s="28">
        <f>MONTH(Table11[[#This Row],[Order Date]])</f>
        <v>1</v>
      </c>
      <c r="E15" s="3" t="s">
        <v>826</v>
      </c>
      <c r="F15" s="3" t="s">
        <v>827</v>
      </c>
      <c r="G15" s="25" t="s">
        <v>41</v>
      </c>
      <c r="H15" s="25" t="s">
        <v>82</v>
      </c>
      <c r="I15" s="3" t="s">
        <v>2128</v>
      </c>
      <c r="J15" s="25" t="s">
        <v>36</v>
      </c>
      <c r="K15" s="28">
        <v>5</v>
      </c>
      <c r="L15" s="7">
        <v>42014</v>
      </c>
      <c r="M15" s="28">
        <f>Table11[[#This Row],[Ship Date]]-Table11[[#This Row],[Order Date]]</f>
        <v>6</v>
      </c>
      <c r="N15" s="25" t="s">
        <v>45</v>
      </c>
      <c r="O15" s="25" t="s">
        <v>23</v>
      </c>
      <c r="P15" s="25" t="s">
        <v>204</v>
      </c>
      <c r="Q15" s="25" t="s">
        <v>95</v>
      </c>
      <c r="R15" s="25" t="s">
        <v>7407</v>
      </c>
      <c r="S15" s="35">
        <v>0</v>
      </c>
      <c r="T15" s="16">
        <v>39.9</v>
      </c>
      <c r="U15" s="19">
        <v>19.95</v>
      </c>
      <c r="V15" s="56">
        <f>Table11[[#This Row],[Profit]]/Table11[[#This Row],[Sales]]</f>
        <v>0.5</v>
      </c>
    </row>
    <row r="16" spans="1:22" x14ac:dyDescent="0.2">
      <c r="A16" s="4">
        <v>15</v>
      </c>
      <c r="B16" s="5" t="s">
        <v>7638</v>
      </c>
      <c r="C16" s="6">
        <v>42008</v>
      </c>
      <c r="D16" s="27">
        <f>MONTH(Table11[[#This Row],[Order Date]])</f>
        <v>1</v>
      </c>
      <c r="E16" s="5" t="s">
        <v>3465</v>
      </c>
      <c r="F16" s="5" t="s">
        <v>3466</v>
      </c>
      <c r="G16" s="24" t="s">
        <v>28</v>
      </c>
      <c r="H16" s="24" t="s">
        <v>58</v>
      </c>
      <c r="I16" s="5" t="s">
        <v>911</v>
      </c>
      <c r="J16" s="24" t="s">
        <v>36</v>
      </c>
      <c r="K16" s="27">
        <v>14</v>
      </c>
      <c r="L16" s="6">
        <v>42013</v>
      </c>
      <c r="M16" s="27">
        <f>Table11[[#This Row],[Ship Date]]-Table11[[#This Row],[Order Date]]</f>
        <v>5</v>
      </c>
      <c r="N16" s="24" t="s">
        <v>45</v>
      </c>
      <c r="O16" s="24" t="s">
        <v>23</v>
      </c>
      <c r="P16" s="24" t="s">
        <v>285</v>
      </c>
      <c r="Q16" s="24" t="s">
        <v>26</v>
      </c>
      <c r="R16" s="24" t="s">
        <v>2476</v>
      </c>
      <c r="S16" s="34">
        <v>0</v>
      </c>
      <c r="T16" s="15">
        <v>192.22</v>
      </c>
      <c r="U16" s="18">
        <v>69.199200000000005</v>
      </c>
      <c r="V16" s="56">
        <f>Table11[[#This Row],[Profit]]/Table11[[#This Row],[Sales]]</f>
        <v>0.36000000000000004</v>
      </c>
    </row>
    <row r="17" spans="1:22" x14ac:dyDescent="0.2">
      <c r="A17" s="4">
        <v>16</v>
      </c>
      <c r="B17" s="3" t="s">
        <v>6597</v>
      </c>
      <c r="C17" s="7">
        <v>42009</v>
      </c>
      <c r="D17" s="28">
        <f>MONTH(Table11[[#This Row],[Order Date]])</f>
        <v>1</v>
      </c>
      <c r="E17" s="3" t="s">
        <v>1359</v>
      </c>
      <c r="F17" s="3" t="s">
        <v>1360</v>
      </c>
      <c r="G17" s="25" t="s">
        <v>28</v>
      </c>
      <c r="H17" s="25" t="s">
        <v>32</v>
      </c>
      <c r="I17" s="3" t="s">
        <v>1892</v>
      </c>
      <c r="J17" s="25" t="s">
        <v>92</v>
      </c>
      <c r="K17" s="28">
        <v>1</v>
      </c>
      <c r="L17" s="7">
        <v>42014</v>
      </c>
      <c r="M17" s="28">
        <f>Table11[[#This Row],[Ship Date]]-Table11[[#This Row],[Order Date]]</f>
        <v>5</v>
      </c>
      <c r="N17" s="25" t="s">
        <v>45</v>
      </c>
      <c r="O17" s="25" t="s">
        <v>23</v>
      </c>
      <c r="P17" s="25" t="s">
        <v>87</v>
      </c>
      <c r="Q17" s="25" t="s">
        <v>39</v>
      </c>
      <c r="R17" s="25" t="s">
        <v>86</v>
      </c>
      <c r="S17" s="35">
        <v>0.2</v>
      </c>
      <c r="T17" s="16">
        <v>61.584000000000003</v>
      </c>
      <c r="U17" s="19">
        <v>-6.9282000000000004</v>
      </c>
      <c r="V17" s="56">
        <f>Table11[[#This Row],[Profit]]/Table11[[#This Row],[Sales]]</f>
        <v>-0.1125</v>
      </c>
    </row>
    <row r="18" spans="1:22" x14ac:dyDescent="0.2">
      <c r="A18" s="2">
        <v>17</v>
      </c>
      <c r="B18" s="5" t="s">
        <v>8840</v>
      </c>
      <c r="C18" s="6">
        <v>42009</v>
      </c>
      <c r="D18" s="27">
        <f>MONTH(Table11[[#This Row],[Order Date]])</f>
        <v>1</v>
      </c>
      <c r="E18" s="5" t="s">
        <v>5694</v>
      </c>
      <c r="F18" s="5" t="s">
        <v>5695</v>
      </c>
      <c r="G18" s="24" t="s">
        <v>41</v>
      </c>
      <c r="H18" s="24" t="s">
        <v>61</v>
      </c>
      <c r="I18" s="5" t="s">
        <v>3052</v>
      </c>
      <c r="J18" s="24" t="s">
        <v>36</v>
      </c>
      <c r="K18" s="27">
        <v>3</v>
      </c>
      <c r="L18" s="6">
        <v>42014</v>
      </c>
      <c r="M18" s="27">
        <f>Table11[[#This Row],[Ship Date]]-Table11[[#This Row],[Order Date]]</f>
        <v>5</v>
      </c>
      <c r="N18" s="24" t="s">
        <v>45</v>
      </c>
      <c r="O18" s="24" t="s">
        <v>23</v>
      </c>
      <c r="P18" s="24" t="s">
        <v>238</v>
      </c>
      <c r="Q18" s="24" t="s">
        <v>133</v>
      </c>
      <c r="R18" s="24" t="s">
        <v>237</v>
      </c>
      <c r="S18" s="34">
        <v>0</v>
      </c>
      <c r="T18" s="15">
        <v>59.52</v>
      </c>
      <c r="U18" s="18">
        <v>15.475199999999999</v>
      </c>
      <c r="V18" s="56">
        <f>Table11[[#This Row],[Profit]]/Table11[[#This Row],[Sales]]</f>
        <v>0.25999999999999995</v>
      </c>
    </row>
    <row r="19" spans="1:22" x14ac:dyDescent="0.2">
      <c r="A19" s="4">
        <v>18</v>
      </c>
      <c r="B19" s="3" t="s">
        <v>8840</v>
      </c>
      <c r="C19" s="7">
        <v>42009</v>
      </c>
      <c r="D19" s="28">
        <f>MONTH(Table11[[#This Row],[Order Date]])</f>
        <v>1</v>
      </c>
      <c r="E19" s="3" t="s">
        <v>2602</v>
      </c>
      <c r="F19" s="3" t="s">
        <v>2603</v>
      </c>
      <c r="G19" s="25" t="s">
        <v>41</v>
      </c>
      <c r="H19" s="25" t="s">
        <v>155</v>
      </c>
      <c r="I19" s="3" t="s">
        <v>3052</v>
      </c>
      <c r="J19" s="25" t="s">
        <v>36</v>
      </c>
      <c r="K19" s="28">
        <v>2</v>
      </c>
      <c r="L19" s="7">
        <v>42014</v>
      </c>
      <c r="M19" s="28">
        <f>Table11[[#This Row],[Ship Date]]-Table11[[#This Row],[Order Date]]</f>
        <v>5</v>
      </c>
      <c r="N19" s="25" t="s">
        <v>45</v>
      </c>
      <c r="O19" s="25" t="s">
        <v>23</v>
      </c>
      <c r="P19" s="25" t="s">
        <v>238</v>
      </c>
      <c r="Q19" s="25" t="s">
        <v>133</v>
      </c>
      <c r="R19" s="25" t="s">
        <v>237</v>
      </c>
      <c r="S19" s="35">
        <v>0</v>
      </c>
      <c r="T19" s="16">
        <v>17.48</v>
      </c>
      <c r="U19" s="19">
        <v>8.2156000000000002</v>
      </c>
      <c r="V19" s="56">
        <f>Table11[[#This Row],[Profit]]/Table11[[#This Row],[Sales]]</f>
        <v>0.47000000000000003</v>
      </c>
    </row>
    <row r="20" spans="1:22" x14ac:dyDescent="0.2">
      <c r="A20" s="4">
        <v>19</v>
      </c>
      <c r="B20" s="5" t="s">
        <v>8840</v>
      </c>
      <c r="C20" s="6">
        <v>42009</v>
      </c>
      <c r="D20" s="27">
        <f>MONTH(Table11[[#This Row],[Order Date]])</f>
        <v>1</v>
      </c>
      <c r="E20" s="5" t="s">
        <v>4535</v>
      </c>
      <c r="F20" s="5" t="s">
        <v>4536</v>
      </c>
      <c r="G20" s="24" t="s">
        <v>41</v>
      </c>
      <c r="H20" s="24" t="s">
        <v>68</v>
      </c>
      <c r="I20" s="5" t="s">
        <v>3052</v>
      </c>
      <c r="J20" s="24" t="s">
        <v>36</v>
      </c>
      <c r="K20" s="27">
        <v>2</v>
      </c>
      <c r="L20" s="6">
        <v>42014</v>
      </c>
      <c r="M20" s="27">
        <f>Table11[[#This Row],[Ship Date]]-Table11[[#This Row],[Order Date]]</f>
        <v>5</v>
      </c>
      <c r="N20" s="24" t="s">
        <v>45</v>
      </c>
      <c r="O20" s="24" t="s">
        <v>23</v>
      </c>
      <c r="P20" s="24" t="s">
        <v>238</v>
      </c>
      <c r="Q20" s="24" t="s">
        <v>133</v>
      </c>
      <c r="R20" s="24" t="s">
        <v>237</v>
      </c>
      <c r="S20" s="34">
        <v>0.2</v>
      </c>
      <c r="T20" s="15">
        <v>13.167999999999999</v>
      </c>
      <c r="U20" s="18">
        <v>4.6087999999999996</v>
      </c>
      <c r="V20" s="56">
        <f>Table11[[#This Row],[Profit]]/Table11[[#This Row],[Sales]]</f>
        <v>0.35</v>
      </c>
    </row>
    <row r="21" spans="1:22" x14ac:dyDescent="0.2">
      <c r="A21" s="2">
        <v>20</v>
      </c>
      <c r="B21" s="3" t="s">
        <v>9208</v>
      </c>
      <c r="C21" s="7">
        <v>42009</v>
      </c>
      <c r="D21" s="28">
        <f>MONTH(Table11[[#This Row],[Order Date]])</f>
        <v>1</v>
      </c>
      <c r="E21" s="3" t="s">
        <v>3224</v>
      </c>
      <c r="F21" s="3" t="s">
        <v>3225</v>
      </c>
      <c r="G21" s="25" t="s">
        <v>41</v>
      </c>
      <c r="H21" s="25" t="s">
        <v>71</v>
      </c>
      <c r="I21" s="3" t="s">
        <v>2291</v>
      </c>
      <c r="J21" s="25" t="s">
        <v>92</v>
      </c>
      <c r="K21" s="28">
        <v>6</v>
      </c>
      <c r="L21" s="7">
        <v>42014</v>
      </c>
      <c r="M21" s="28">
        <f>Table11[[#This Row],[Ship Date]]-Table11[[#This Row],[Order Date]]</f>
        <v>5</v>
      </c>
      <c r="N21" s="25" t="s">
        <v>45</v>
      </c>
      <c r="O21" s="25" t="s">
        <v>23</v>
      </c>
      <c r="P21" s="25" t="s">
        <v>38</v>
      </c>
      <c r="Q21" s="25" t="s">
        <v>39</v>
      </c>
      <c r="R21" s="25" t="s">
        <v>114</v>
      </c>
      <c r="S21" s="35">
        <v>0</v>
      </c>
      <c r="T21" s="16">
        <v>87.36</v>
      </c>
      <c r="U21" s="19">
        <v>23.587199999999999</v>
      </c>
      <c r="V21" s="56">
        <f>Table11[[#This Row],[Profit]]/Table11[[#This Row],[Sales]]</f>
        <v>0.27</v>
      </c>
    </row>
    <row r="22" spans="1:22" x14ac:dyDescent="0.2">
      <c r="A22" s="4">
        <v>21</v>
      </c>
      <c r="B22" s="5" t="s">
        <v>9208</v>
      </c>
      <c r="C22" s="6">
        <v>42009</v>
      </c>
      <c r="D22" s="27">
        <f>MONTH(Table11[[#This Row],[Order Date]])</f>
        <v>1</v>
      </c>
      <c r="E22" s="5" t="s">
        <v>2303</v>
      </c>
      <c r="F22" s="5" t="s">
        <v>2304</v>
      </c>
      <c r="G22" s="24" t="s">
        <v>41</v>
      </c>
      <c r="H22" s="24" t="s">
        <v>68</v>
      </c>
      <c r="I22" s="5" t="s">
        <v>2291</v>
      </c>
      <c r="J22" s="24" t="s">
        <v>92</v>
      </c>
      <c r="K22" s="27">
        <v>6</v>
      </c>
      <c r="L22" s="6">
        <v>42014</v>
      </c>
      <c r="M22" s="27">
        <f>Table11[[#This Row],[Ship Date]]-Table11[[#This Row],[Order Date]]</f>
        <v>5</v>
      </c>
      <c r="N22" s="24" t="s">
        <v>45</v>
      </c>
      <c r="O22" s="24" t="s">
        <v>23</v>
      </c>
      <c r="P22" s="24" t="s">
        <v>38</v>
      </c>
      <c r="Q22" s="24" t="s">
        <v>39</v>
      </c>
      <c r="R22" s="24" t="s">
        <v>114</v>
      </c>
      <c r="S22" s="34">
        <v>0.2</v>
      </c>
      <c r="T22" s="15">
        <v>56.16</v>
      </c>
      <c r="U22" s="18">
        <v>17.55</v>
      </c>
      <c r="V22" s="56">
        <f>Table11[[#This Row],[Profit]]/Table11[[#This Row],[Sales]]</f>
        <v>0.31250000000000006</v>
      </c>
    </row>
    <row r="23" spans="1:22" x14ac:dyDescent="0.2">
      <c r="A23" s="4">
        <v>22</v>
      </c>
      <c r="B23" s="3" t="s">
        <v>8838</v>
      </c>
      <c r="C23" s="7">
        <v>42010</v>
      </c>
      <c r="D23" s="28">
        <f>MONTH(Table11[[#This Row],[Order Date]])</f>
        <v>1</v>
      </c>
      <c r="E23" s="3" t="s">
        <v>3304</v>
      </c>
      <c r="F23" s="3" t="s">
        <v>3305</v>
      </c>
      <c r="G23" s="25" t="s">
        <v>41</v>
      </c>
      <c r="H23" s="25" t="s">
        <v>82</v>
      </c>
      <c r="I23" s="3" t="s">
        <v>3026</v>
      </c>
      <c r="J23" s="25" t="s">
        <v>36</v>
      </c>
      <c r="K23" s="28">
        <v>5</v>
      </c>
      <c r="L23" s="7">
        <v>42016</v>
      </c>
      <c r="M23" s="28">
        <f>Table11[[#This Row],[Ship Date]]-Table11[[#This Row],[Order Date]]</f>
        <v>6</v>
      </c>
      <c r="N23" s="25" t="s">
        <v>45</v>
      </c>
      <c r="O23" s="25" t="s">
        <v>23</v>
      </c>
      <c r="P23" s="25" t="s">
        <v>405</v>
      </c>
      <c r="Q23" s="25" t="s">
        <v>39</v>
      </c>
      <c r="R23" s="25" t="s">
        <v>954</v>
      </c>
      <c r="S23" s="35">
        <v>0.2</v>
      </c>
      <c r="T23" s="16">
        <v>29.6</v>
      </c>
      <c r="U23" s="19">
        <v>9.25</v>
      </c>
      <c r="V23" s="56">
        <f>Table11[[#This Row],[Profit]]/Table11[[#This Row],[Sales]]</f>
        <v>0.3125</v>
      </c>
    </row>
    <row r="24" spans="1:22" x14ac:dyDescent="0.2">
      <c r="A24" s="2">
        <v>23</v>
      </c>
      <c r="B24" s="5" t="s">
        <v>8838</v>
      </c>
      <c r="C24" s="6">
        <v>42010</v>
      </c>
      <c r="D24" s="27">
        <f>MONTH(Table11[[#This Row],[Order Date]])</f>
        <v>1</v>
      </c>
      <c r="E24" s="5" t="s">
        <v>1736</v>
      </c>
      <c r="F24" s="5" t="s">
        <v>1737</v>
      </c>
      <c r="G24" s="24" t="s">
        <v>41</v>
      </c>
      <c r="H24" s="24" t="s">
        <v>68</v>
      </c>
      <c r="I24" s="5" t="s">
        <v>3026</v>
      </c>
      <c r="J24" s="24" t="s">
        <v>36</v>
      </c>
      <c r="K24" s="27">
        <v>2</v>
      </c>
      <c r="L24" s="6">
        <v>42016</v>
      </c>
      <c r="M24" s="27">
        <f>Table11[[#This Row],[Ship Date]]-Table11[[#This Row],[Order Date]]</f>
        <v>6</v>
      </c>
      <c r="N24" s="24" t="s">
        <v>45</v>
      </c>
      <c r="O24" s="24" t="s">
        <v>23</v>
      </c>
      <c r="P24" s="24" t="s">
        <v>405</v>
      </c>
      <c r="Q24" s="24" t="s">
        <v>39</v>
      </c>
      <c r="R24" s="24" t="s">
        <v>954</v>
      </c>
      <c r="S24" s="34">
        <v>0.7</v>
      </c>
      <c r="T24" s="15">
        <v>1.9379999999999999</v>
      </c>
      <c r="U24" s="18">
        <v>-1.3566</v>
      </c>
      <c r="V24" s="56">
        <f>Table11[[#This Row],[Profit]]/Table11[[#This Row],[Sales]]</f>
        <v>-0.70000000000000007</v>
      </c>
    </row>
    <row r="25" spans="1:22" x14ac:dyDescent="0.2">
      <c r="A25" s="4">
        <v>24</v>
      </c>
      <c r="B25" s="3" t="s">
        <v>8505</v>
      </c>
      <c r="C25" s="7">
        <v>42013</v>
      </c>
      <c r="D25" s="28">
        <f>MONTH(Table11[[#This Row],[Order Date]])</f>
        <v>1</v>
      </c>
      <c r="E25" s="3" t="s">
        <v>930</v>
      </c>
      <c r="F25" s="3" t="s">
        <v>167</v>
      </c>
      <c r="G25" s="25" t="s">
        <v>41</v>
      </c>
      <c r="H25" s="25" t="s">
        <v>82</v>
      </c>
      <c r="I25" s="3" t="s">
        <v>3962</v>
      </c>
      <c r="J25" s="25" t="s">
        <v>22</v>
      </c>
      <c r="K25" s="28">
        <v>3</v>
      </c>
      <c r="L25" s="7">
        <v>42017</v>
      </c>
      <c r="M25" s="28">
        <f>Table11[[#This Row],[Ship Date]]-Table11[[#This Row],[Order Date]]</f>
        <v>4</v>
      </c>
      <c r="N25" s="25" t="s">
        <v>45</v>
      </c>
      <c r="O25" s="25" t="s">
        <v>23</v>
      </c>
      <c r="P25" s="25" t="s">
        <v>25</v>
      </c>
      <c r="Q25" s="25" t="s">
        <v>26</v>
      </c>
      <c r="R25" s="25" t="s">
        <v>24</v>
      </c>
      <c r="S25" s="35">
        <v>0</v>
      </c>
      <c r="T25" s="16">
        <v>106.32</v>
      </c>
      <c r="U25" s="19">
        <v>49.970399999999998</v>
      </c>
      <c r="V25" s="56">
        <f>Table11[[#This Row],[Profit]]/Table11[[#This Row],[Sales]]</f>
        <v>0.47000000000000003</v>
      </c>
    </row>
    <row r="26" spans="1:22" x14ac:dyDescent="0.2">
      <c r="A26" s="4">
        <v>25</v>
      </c>
      <c r="B26" s="5" t="s">
        <v>8505</v>
      </c>
      <c r="C26" s="6">
        <v>42013</v>
      </c>
      <c r="D26" s="27">
        <f>MONTH(Table11[[#This Row],[Order Date]])</f>
        <v>1</v>
      </c>
      <c r="E26" s="5" t="s">
        <v>4763</v>
      </c>
      <c r="F26" s="5" t="s">
        <v>4764</v>
      </c>
      <c r="G26" s="24" t="s">
        <v>41</v>
      </c>
      <c r="H26" s="24" t="s">
        <v>71</v>
      </c>
      <c r="I26" s="5" t="s">
        <v>3962</v>
      </c>
      <c r="J26" s="24" t="s">
        <v>22</v>
      </c>
      <c r="K26" s="27">
        <v>3</v>
      </c>
      <c r="L26" s="6">
        <v>42017</v>
      </c>
      <c r="M26" s="27">
        <f>Table11[[#This Row],[Ship Date]]-Table11[[#This Row],[Order Date]]</f>
        <v>4</v>
      </c>
      <c r="N26" s="24" t="s">
        <v>45</v>
      </c>
      <c r="O26" s="24" t="s">
        <v>23</v>
      </c>
      <c r="P26" s="24" t="s">
        <v>25</v>
      </c>
      <c r="Q26" s="24" t="s">
        <v>26</v>
      </c>
      <c r="R26" s="24" t="s">
        <v>24</v>
      </c>
      <c r="S26" s="34">
        <v>0</v>
      </c>
      <c r="T26" s="15">
        <v>163.44</v>
      </c>
      <c r="U26" s="18">
        <v>45.763199999999998</v>
      </c>
      <c r="V26" s="56">
        <f>Table11[[#This Row],[Profit]]/Table11[[#This Row],[Sales]]</f>
        <v>0.27999999999999997</v>
      </c>
    </row>
    <row r="27" spans="1:22" x14ac:dyDescent="0.2">
      <c r="A27" s="2">
        <v>26</v>
      </c>
      <c r="B27" s="3" t="s">
        <v>8505</v>
      </c>
      <c r="C27" s="7">
        <v>42013</v>
      </c>
      <c r="D27" s="28">
        <f>MONTH(Table11[[#This Row],[Order Date]])</f>
        <v>1</v>
      </c>
      <c r="E27" s="3" t="s">
        <v>5126</v>
      </c>
      <c r="F27" s="3" t="s">
        <v>5127</v>
      </c>
      <c r="G27" s="25" t="s">
        <v>41</v>
      </c>
      <c r="H27" s="25" t="s">
        <v>61</v>
      </c>
      <c r="I27" s="3" t="s">
        <v>3962</v>
      </c>
      <c r="J27" s="25" t="s">
        <v>22</v>
      </c>
      <c r="K27" s="28">
        <v>2</v>
      </c>
      <c r="L27" s="7">
        <v>42017</v>
      </c>
      <c r="M27" s="28">
        <f>Table11[[#This Row],[Ship Date]]-Table11[[#This Row],[Order Date]]</f>
        <v>4</v>
      </c>
      <c r="N27" s="25" t="s">
        <v>45</v>
      </c>
      <c r="O27" s="25" t="s">
        <v>23</v>
      </c>
      <c r="P27" s="25" t="s">
        <v>25</v>
      </c>
      <c r="Q27" s="25" t="s">
        <v>26</v>
      </c>
      <c r="R27" s="25" t="s">
        <v>24</v>
      </c>
      <c r="S27" s="35">
        <v>0</v>
      </c>
      <c r="T27" s="16">
        <v>42.76</v>
      </c>
      <c r="U27" s="19">
        <v>11.117599999999999</v>
      </c>
      <c r="V27" s="56">
        <f>Table11[[#This Row],[Profit]]/Table11[[#This Row],[Sales]]</f>
        <v>0.26</v>
      </c>
    </row>
    <row r="28" spans="1:22" x14ac:dyDescent="0.2">
      <c r="A28" s="4">
        <v>27</v>
      </c>
      <c r="B28" s="5" t="s">
        <v>8505</v>
      </c>
      <c r="C28" s="6">
        <v>42013</v>
      </c>
      <c r="D28" s="27">
        <f>MONTH(Table11[[#This Row],[Order Date]])</f>
        <v>1</v>
      </c>
      <c r="E28" s="5" t="s">
        <v>5949</v>
      </c>
      <c r="F28" s="5" t="s">
        <v>5950</v>
      </c>
      <c r="G28" s="24" t="s">
        <v>41</v>
      </c>
      <c r="H28" s="24" t="s">
        <v>82</v>
      </c>
      <c r="I28" s="5" t="s">
        <v>3962</v>
      </c>
      <c r="J28" s="24" t="s">
        <v>22</v>
      </c>
      <c r="K28" s="27">
        <v>5</v>
      </c>
      <c r="L28" s="6">
        <v>42017</v>
      </c>
      <c r="M28" s="27">
        <f>Table11[[#This Row],[Ship Date]]-Table11[[#This Row],[Order Date]]</f>
        <v>4</v>
      </c>
      <c r="N28" s="24" t="s">
        <v>45</v>
      </c>
      <c r="O28" s="24" t="s">
        <v>23</v>
      </c>
      <c r="P28" s="24" t="s">
        <v>25</v>
      </c>
      <c r="Q28" s="24" t="s">
        <v>26</v>
      </c>
      <c r="R28" s="24" t="s">
        <v>24</v>
      </c>
      <c r="S28" s="34">
        <v>0</v>
      </c>
      <c r="T28" s="15">
        <v>51.55</v>
      </c>
      <c r="U28" s="18">
        <v>24.2285</v>
      </c>
      <c r="V28" s="56">
        <f>Table11[[#This Row],[Profit]]/Table11[[#This Row],[Sales]]</f>
        <v>0.47000000000000003</v>
      </c>
    </row>
    <row r="29" spans="1:22" x14ac:dyDescent="0.2">
      <c r="A29" s="4">
        <v>28</v>
      </c>
      <c r="B29" s="3" t="s">
        <v>3828</v>
      </c>
      <c r="C29" s="7">
        <v>42014</v>
      </c>
      <c r="D29" s="28">
        <f>MONTH(Table11[[#This Row],[Order Date]])</f>
        <v>1</v>
      </c>
      <c r="E29" s="3" t="s">
        <v>1418</v>
      </c>
      <c r="F29" s="3" t="s">
        <v>1419</v>
      </c>
      <c r="G29" s="25" t="s">
        <v>28</v>
      </c>
      <c r="H29" s="25" t="s">
        <v>50</v>
      </c>
      <c r="I29" s="3" t="s">
        <v>3425</v>
      </c>
      <c r="J29" s="25" t="s">
        <v>22</v>
      </c>
      <c r="K29" s="28">
        <v>4</v>
      </c>
      <c r="L29" s="7">
        <v>42019</v>
      </c>
      <c r="M29" s="28">
        <f>Table11[[#This Row],[Ship Date]]-Table11[[#This Row],[Order Date]]</f>
        <v>5</v>
      </c>
      <c r="N29" s="25" t="s">
        <v>45</v>
      </c>
      <c r="O29" s="25" t="s">
        <v>23</v>
      </c>
      <c r="P29" s="25" t="s">
        <v>238</v>
      </c>
      <c r="Q29" s="25" t="s">
        <v>133</v>
      </c>
      <c r="R29" s="25" t="s">
        <v>237</v>
      </c>
      <c r="S29" s="35">
        <v>0.4</v>
      </c>
      <c r="T29" s="16">
        <v>1018.104</v>
      </c>
      <c r="U29" s="19">
        <v>-373.3048</v>
      </c>
      <c r="V29" s="56">
        <f>Table11[[#This Row],[Profit]]/Table11[[#This Row],[Sales]]</f>
        <v>-0.36666666666666664</v>
      </c>
    </row>
    <row r="30" spans="1:22" x14ac:dyDescent="0.2">
      <c r="A30" s="2">
        <v>29</v>
      </c>
      <c r="B30" s="5" t="s">
        <v>7308</v>
      </c>
      <c r="C30" s="6">
        <v>42016</v>
      </c>
      <c r="D30" s="27">
        <f>MONTH(Table11[[#This Row],[Order Date]])</f>
        <v>1</v>
      </c>
      <c r="E30" s="5" t="s">
        <v>5430</v>
      </c>
      <c r="F30" s="5" t="s">
        <v>5431</v>
      </c>
      <c r="G30" s="24" t="s">
        <v>41</v>
      </c>
      <c r="H30" s="24" t="s">
        <v>53</v>
      </c>
      <c r="I30" s="5" t="s">
        <v>3354</v>
      </c>
      <c r="J30" s="24" t="s">
        <v>36</v>
      </c>
      <c r="K30" s="27">
        <v>3</v>
      </c>
      <c r="L30" s="6">
        <v>42022</v>
      </c>
      <c r="M30" s="27">
        <f>Table11[[#This Row],[Ship Date]]-Table11[[#This Row],[Order Date]]</f>
        <v>6</v>
      </c>
      <c r="N30" s="24" t="s">
        <v>45</v>
      </c>
      <c r="O30" s="24" t="s">
        <v>23</v>
      </c>
      <c r="P30" s="24" t="s">
        <v>218</v>
      </c>
      <c r="Q30" s="24" t="s">
        <v>133</v>
      </c>
      <c r="R30" s="24" t="s">
        <v>536</v>
      </c>
      <c r="S30" s="34">
        <v>0</v>
      </c>
      <c r="T30" s="15">
        <v>465.18</v>
      </c>
      <c r="U30" s="18">
        <v>120.9468</v>
      </c>
      <c r="V30" s="56">
        <f>Table11[[#This Row],[Profit]]/Table11[[#This Row],[Sales]]</f>
        <v>0.26</v>
      </c>
    </row>
    <row r="31" spans="1:22" x14ac:dyDescent="0.2">
      <c r="A31" s="4">
        <v>30</v>
      </c>
      <c r="B31" s="3" t="s">
        <v>10052</v>
      </c>
      <c r="C31" s="7">
        <v>42016</v>
      </c>
      <c r="D31" s="28">
        <f>MONTH(Table11[[#This Row],[Order Date]])</f>
        <v>1</v>
      </c>
      <c r="E31" s="3" t="s">
        <v>1102</v>
      </c>
      <c r="F31" s="3" t="s">
        <v>1103</v>
      </c>
      <c r="G31" s="25" t="s">
        <v>41</v>
      </c>
      <c r="H31" s="25" t="s">
        <v>61</v>
      </c>
      <c r="I31" s="3" t="s">
        <v>5885</v>
      </c>
      <c r="J31" s="25" t="s">
        <v>36</v>
      </c>
      <c r="K31" s="28">
        <v>2</v>
      </c>
      <c r="L31" s="7">
        <v>42021</v>
      </c>
      <c r="M31" s="28">
        <f>Table11[[#This Row],[Ship Date]]-Table11[[#This Row],[Order Date]]</f>
        <v>5</v>
      </c>
      <c r="N31" s="25" t="s">
        <v>45</v>
      </c>
      <c r="O31" s="25" t="s">
        <v>23</v>
      </c>
      <c r="P31" s="25" t="s">
        <v>441</v>
      </c>
      <c r="Q31" s="25" t="s">
        <v>133</v>
      </c>
      <c r="R31" s="25" t="s">
        <v>2496</v>
      </c>
      <c r="S31" s="35">
        <v>0.2</v>
      </c>
      <c r="T31" s="16">
        <v>10.368</v>
      </c>
      <c r="U31" s="19">
        <v>1.5551999999999999</v>
      </c>
      <c r="V31" s="56">
        <f>Table11[[#This Row],[Profit]]/Table11[[#This Row],[Sales]]</f>
        <v>0.15</v>
      </c>
    </row>
    <row r="32" spans="1:22" x14ac:dyDescent="0.2">
      <c r="A32" s="4">
        <v>31</v>
      </c>
      <c r="B32" s="5" t="s">
        <v>10052</v>
      </c>
      <c r="C32" s="6">
        <v>42016</v>
      </c>
      <c r="D32" s="27">
        <f>MONTH(Table11[[#This Row],[Order Date]])</f>
        <v>1</v>
      </c>
      <c r="E32" s="5" t="s">
        <v>172</v>
      </c>
      <c r="F32" s="5" t="s">
        <v>173</v>
      </c>
      <c r="G32" s="24" t="s">
        <v>64</v>
      </c>
      <c r="H32" s="24" t="s">
        <v>65</v>
      </c>
      <c r="I32" s="5" t="s">
        <v>5885</v>
      </c>
      <c r="J32" s="24" t="s">
        <v>36</v>
      </c>
      <c r="K32" s="27">
        <v>2</v>
      </c>
      <c r="L32" s="6">
        <v>42021</v>
      </c>
      <c r="M32" s="27">
        <f>Table11[[#This Row],[Ship Date]]-Table11[[#This Row],[Order Date]]</f>
        <v>5</v>
      </c>
      <c r="N32" s="24" t="s">
        <v>45</v>
      </c>
      <c r="O32" s="24" t="s">
        <v>23</v>
      </c>
      <c r="P32" s="24" t="s">
        <v>441</v>
      </c>
      <c r="Q32" s="24" t="s">
        <v>133</v>
      </c>
      <c r="R32" s="24" t="s">
        <v>2496</v>
      </c>
      <c r="S32" s="34">
        <v>0.4</v>
      </c>
      <c r="T32" s="15">
        <v>235.18799999999999</v>
      </c>
      <c r="U32" s="18">
        <v>-43.117800000000003</v>
      </c>
      <c r="V32" s="56">
        <f>Table11[[#This Row],[Profit]]/Table11[[#This Row],[Sales]]</f>
        <v>-0.18333333333333335</v>
      </c>
    </row>
    <row r="33" spans="1:22" x14ac:dyDescent="0.2">
      <c r="A33" s="2">
        <v>32</v>
      </c>
      <c r="B33" s="3" t="s">
        <v>10052</v>
      </c>
      <c r="C33" s="7">
        <v>42016</v>
      </c>
      <c r="D33" s="28">
        <f>MONTH(Table11[[#This Row],[Order Date]])</f>
        <v>1</v>
      </c>
      <c r="E33" s="3" t="s">
        <v>4938</v>
      </c>
      <c r="F33" s="3" t="s">
        <v>4939</v>
      </c>
      <c r="G33" s="25" t="s">
        <v>64</v>
      </c>
      <c r="H33" s="25" t="s">
        <v>65</v>
      </c>
      <c r="I33" s="3" t="s">
        <v>5885</v>
      </c>
      <c r="J33" s="25" t="s">
        <v>36</v>
      </c>
      <c r="K33" s="28">
        <v>4</v>
      </c>
      <c r="L33" s="7">
        <v>42021</v>
      </c>
      <c r="M33" s="28">
        <f>Table11[[#This Row],[Ship Date]]-Table11[[#This Row],[Order Date]]</f>
        <v>5</v>
      </c>
      <c r="N33" s="25" t="s">
        <v>45</v>
      </c>
      <c r="O33" s="25" t="s">
        <v>23</v>
      </c>
      <c r="P33" s="25" t="s">
        <v>441</v>
      </c>
      <c r="Q33" s="25" t="s">
        <v>133</v>
      </c>
      <c r="R33" s="25" t="s">
        <v>2496</v>
      </c>
      <c r="S33" s="35">
        <v>0.4</v>
      </c>
      <c r="T33" s="16">
        <v>26.376000000000001</v>
      </c>
      <c r="U33" s="19">
        <v>2.6375999999999999</v>
      </c>
      <c r="V33" s="56">
        <f>Table11[[#This Row],[Profit]]/Table11[[#This Row],[Sales]]</f>
        <v>9.9999999999999992E-2</v>
      </c>
    </row>
    <row r="34" spans="1:22" x14ac:dyDescent="0.2">
      <c r="A34" s="4">
        <v>33</v>
      </c>
      <c r="B34" s="5" t="s">
        <v>10052</v>
      </c>
      <c r="C34" s="6">
        <v>42016</v>
      </c>
      <c r="D34" s="27">
        <f>MONTH(Table11[[#This Row],[Order Date]])</f>
        <v>1</v>
      </c>
      <c r="E34" s="5" t="s">
        <v>6983</v>
      </c>
      <c r="F34" s="5" t="s">
        <v>6984</v>
      </c>
      <c r="G34" s="24" t="s">
        <v>64</v>
      </c>
      <c r="H34" s="24" t="s">
        <v>144</v>
      </c>
      <c r="I34" s="5" t="s">
        <v>5885</v>
      </c>
      <c r="J34" s="24" t="s">
        <v>36</v>
      </c>
      <c r="K34" s="27">
        <v>2</v>
      </c>
      <c r="L34" s="6">
        <v>42021</v>
      </c>
      <c r="M34" s="27">
        <f>Table11[[#This Row],[Ship Date]]-Table11[[#This Row],[Order Date]]</f>
        <v>5</v>
      </c>
      <c r="N34" s="24" t="s">
        <v>45</v>
      </c>
      <c r="O34" s="24" t="s">
        <v>23</v>
      </c>
      <c r="P34" s="24" t="s">
        <v>441</v>
      </c>
      <c r="Q34" s="24" t="s">
        <v>133</v>
      </c>
      <c r="R34" s="24" t="s">
        <v>2496</v>
      </c>
      <c r="S34" s="34">
        <v>0.2</v>
      </c>
      <c r="T34" s="15">
        <v>10.384</v>
      </c>
      <c r="U34" s="18">
        <v>2.2065999999999999</v>
      </c>
      <c r="V34" s="56">
        <f>Table11[[#This Row],[Profit]]/Table11[[#This Row],[Sales]]</f>
        <v>0.21249999999999999</v>
      </c>
    </row>
    <row r="35" spans="1:22" x14ac:dyDescent="0.2">
      <c r="A35" s="4">
        <v>34</v>
      </c>
      <c r="B35" s="3" t="s">
        <v>10052</v>
      </c>
      <c r="C35" s="7">
        <v>42016</v>
      </c>
      <c r="D35" s="28">
        <f>MONTH(Table11[[#This Row],[Order Date]])</f>
        <v>1</v>
      </c>
      <c r="E35" s="3" t="s">
        <v>1635</v>
      </c>
      <c r="F35" s="3" t="s">
        <v>1636</v>
      </c>
      <c r="G35" s="25" t="s">
        <v>64</v>
      </c>
      <c r="H35" s="25" t="s">
        <v>65</v>
      </c>
      <c r="I35" s="3" t="s">
        <v>5885</v>
      </c>
      <c r="J35" s="25" t="s">
        <v>36</v>
      </c>
      <c r="K35" s="28">
        <v>3</v>
      </c>
      <c r="L35" s="7">
        <v>42021</v>
      </c>
      <c r="M35" s="28">
        <f>Table11[[#This Row],[Ship Date]]-Table11[[#This Row],[Order Date]]</f>
        <v>5</v>
      </c>
      <c r="N35" s="25" t="s">
        <v>45</v>
      </c>
      <c r="O35" s="25" t="s">
        <v>23</v>
      </c>
      <c r="P35" s="25" t="s">
        <v>441</v>
      </c>
      <c r="Q35" s="25" t="s">
        <v>133</v>
      </c>
      <c r="R35" s="25" t="s">
        <v>2496</v>
      </c>
      <c r="S35" s="35">
        <v>0.4</v>
      </c>
      <c r="T35" s="16">
        <v>107.11799999999999</v>
      </c>
      <c r="U35" s="19">
        <v>-21.4236</v>
      </c>
      <c r="V35" s="56">
        <f>Table11[[#This Row],[Profit]]/Table11[[#This Row],[Sales]]</f>
        <v>-0.2</v>
      </c>
    </row>
    <row r="36" spans="1:22" x14ac:dyDescent="0.2">
      <c r="A36" s="2">
        <v>35</v>
      </c>
      <c r="B36" s="5" t="s">
        <v>7074</v>
      </c>
      <c r="C36" s="6">
        <v>42017</v>
      </c>
      <c r="D36" s="27">
        <f>MONTH(Table11[[#This Row],[Order Date]])</f>
        <v>1</v>
      </c>
      <c r="E36" s="5" t="s">
        <v>2422</v>
      </c>
      <c r="F36" s="5" t="s">
        <v>2423</v>
      </c>
      <c r="G36" s="24" t="s">
        <v>41</v>
      </c>
      <c r="H36" s="24" t="s">
        <v>68</v>
      </c>
      <c r="I36" s="5" t="s">
        <v>1290</v>
      </c>
      <c r="J36" s="24" t="s">
        <v>22</v>
      </c>
      <c r="K36" s="27">
        <v>3</v>
      </c>
      <c r="L36" s="6">
        <v>42021</v>
      </c>
      <c r="M36" s="27">
        <f>Table11[[#This Row],[Ship Date]]-Table11[[#This Row],[Order Date]]</f>
        <v>4</v>
      </c>
      <c r="N36" s="24" t="s">
        <v>45</v>
      </c>
      <c r="O36" s="24" t="s">
        <v>23</v>
      </c>
      <c r="P36" s="24" t="s">
        <v>38</v>
      </c>
      <c r="Q36" s="24" t="s">
        <v>39</v>
      </c>
      <c r="R36" s="24" t="s">
        <v>37</v>
      </c>
      <c r="S36" s="34">
        <v>0.2</v>
      </c>
      <c r="T36" s="15">
        <v>70.007999999999996</v>
      </c>
      <c r="U36" s="18">
        <v>24.502800000000001</v>
      </c>
      <c r="V36" s="56">
        <f>Table11[[#This Row],[Profit]]/Table11[[#This Row],[Sales]]</f>
        <v>0.35000000000000003</v>
      </c>
    </row>
    <row r="37" spans="1:22" x14ac:dyDescent="0.2">
      <c r="A37" s="4">
        <v>36</v>
      </c>
      <c r="B37" s="3" t="s">
        <v>7074</v>
      </c>
      <c r="C37" s="7">
        <v>42017</v>
      </c>
      <c r="D37" s="28">
        <f>MONTH(Table11[[#This Row],[Order Date]])</f>
        <v>1</v>
      </c>
      <c r="E37" s="3" t="s">
        <v>973</v>
      </c>
      <c r="F37" s="3" t="s">
        <v>974</v>
      </c>
      <c r="G37" s="25" t="s">
        <v>28</v>
      </c>
      <c r="H37" s="25" t="s">
        <v>58</v>
      </c>
      <c r="I37" s="3" t="s">
        <v>1290</v>
      </c>
      <c r="J37" s="25" t="s">
        <v>22</v>
      </c>
      <c r="K37" s="28">
        <v>4</v>
      </c>
      <c r="L37" s="7">
        <v>42021</v>
      </c>
      <c r="M37" s="28">
        <f>Table11[[#This Row],[Ship Date]]-Table11[[#This Row],[Order Date]]</f>
        <v>4</v>
      </c>
      <c r="N37" s="25" t="s">
        <v>45</v>
      </c>
      <c r="O37" s="25" t="s">
        <v>23</v>
      </c>
      <c r="P37" s="25" t="s">
        <v>38</v>
      </c>
      <c r="Q37" s="25" t="s">
        <v>39</v>
      </c>
      <c r="R37" s="25" t="s">
        <v>37</v>
      </c>
      <c r="S37" s="35">
        <v>0</v>
      </c>
      <c r="T37" s="16">
        <v>77.599999999999994</v>
      </c>
      <c r="U37" s="19">
        <v>38.024000000000001</v>
      </c>
      <c r="V37" s="56">
        <f>Table11[[#This Row],[Profit]]/Table11[[#This Row],[Sales]]</f>
        <v>0.49000000000000005</v>
      </c>
    </row>
    <row r="38" spans="1:22" x14ac:dyDescent="0.2">
      <c r="A38" s="4">
        <v>37</v>
      </c>
      <c r="B38" s="5" t="s">
        <v>7074</v>
      </c>
      <c r="C38" s="6">
        <v>42017</v>
      </c>
      <c r="D38" s="27">
        <f>MONTH(Table11[[#This Row],[Order Date]])</f>
        <v>1</v>
      </c>
      <c r="E38" s="5" t="s">
        <v>7075</v>
      </c>
      <c r="F38" s="5" t="s">
        <v>7076</v>
      </c>
      <c r="G38" s="24" t="s">
        <v>28</v>
      </c>
      <c r="H38" s="24" t="s">
        <v>58</v>
      </c>
      <c r="I38" s="5" t="s">
        <v>1290</v>
      </c>
      <c r="J38" s="24" t="s">
        <v>22</v>
      </c>
      <c r="K38" s="27">
        <v>9</v>
      </c>
      <c r="L38" s="6">
        <v>42021</v>
      </c>
      <c r="M38" s="27">
        <f>Table11[[#This Row],[Ship Date]]-Table11[[#This Row],[Order Date]]</f>
        <v>4</v>
      </c>
      <c r="N38" s="24" t="s">
        <v>45</v>
      </c>
      <c r="O38" s="24" t="s">
        <v>23</v>
      </c>
      <c r="P38" s="24" t="s">
        <v>38</v>
      </c>
      <c r="Q38" s="24" t="s">
        <v>39</v>
      </c>
      <c r="R38" s="24" t="s">
        <v>37</v>
      </c>
      <c r="S38" s="34">
        <v>0</v>
      </c>
      <c r="T38" s="15">
        <v>464.85</v>
      </c>
      <c r="U38" s="18">
        <v>92.97</v>
      </c>
      <c r="V38" s="56">
        <f>Table11[[#This Row],[Profit]]/Table11[[#This Row],[Sales]]</f>
        <v>0.19999999999999998</v>
      </c>
    </row>
    <row r="39" spans="1:22" x14ac:dyDescent="0.2">
      <c r="A39" s="2">
        <v>38</v>
      </c>
      <c r="B39" s="3" t="s">
        <v>9307</v>
      </c>
      <c r="C39" s="7">
        <v>42017</v>
      </c>
      <c r="D39" s="28">
        <f>MONTH(Table11[[#This Row],[Order Date]])</f>
        <v>1</v>
      </c>
      <c r="E39" s="3" t="s">
        <v>2081</v>
      </c>
      <c r="F39" s="3" t="s">
        <v>2082</v>
      </c>
      <c r="G39" s="25" t="s">
        <v>41</v>
      </c>
      <c r="H39" s="25" t="s">
        <v>42</v>
      </c>
      <c r="I39" s="3" t="s">
        <v>7126</v>
      </c>
      <c r="J39" s="25" t="s">
        <v>36</v>
      </c>
      <c r="K39" s="28">
        <v>2</v>
      </c>
      <c r="L39" s="7">
        <v>42019</v>
      </c>
      <c r="M39" s="28">
        <f>Table11[[#This Row],[Ship Date]]-Table11[[#This Row],[Order Date]]</f>
        <v>2</v>
      </c>
      <c r="N39" s="25" t="s">
        <v>20</v>
      </c>
      <c r="O39" s="25" t="s">
        <v>23</v>
      </c>
      <c r="P39" s="25" t="s">
        <v>1125</v>
      </c>
      <c r="Q39" s="25" t="s">
        <v>26</v>
      </c>
      <c r="R39" s="25" t="s">
        <v>440</v>
      </c>
      <c r="S39" s="35">
        <v>0</v>
      </c>
      <c r="T39" s="16">
        <v>9.82</v>
      </c>
      <c r="U39" s="19">
        <v>4.8117999999999999</v>
      </c>
      <c r="V39" s="56">
        <f>Table11[[#This Row],[Profit]]/Table11[[#This Row],[Sales]]</f>
        <v>0.49</v>
      </c>
    </row>
    <row r="40" spans="1:22" x14ac:dyDescent="0.2">
      <c r="A40" s="4">
        <v>39</v>
      </c>
      <c r="B40" s="5" t="s">
        <v>1426</v>
      </c>
      <c r="C40" s="6">
        <v>42021</v>
      </c>
      <c r="D40" s="27">
        <f>MONTH(Table11[[#This Row],[Order Date]])</f>
        <v>1</v>
      </c>
      <c r="E40" s="5" t="s">
        <v>959</v>
      </c>
      <c r="F40" s="5" t="s">
        <v>960</v>
      </c>
      <c r="G40" s="24" t="s">
        <v>28</v>
      </c>
      <c r="H40" s="24" t="s">
        <v>58</v>
      </c>
      <c r="I40" s="5" t="s">
        <v>1427</v>
      </c>
      <c r="J40" s="24" t="s">
        <v>92</v>
      </c>
      <c r="K40" s="27">
        <v>7</v>
      </c>
      <c r="L40" s="6">
        <v>42028</v>
      </c>
      <c r="M40" s="27">
        <f>Table11[[#This Row],[Ship Date]]-Table11[[#This Row],[Order Date]]</f>
        <v>7</v>
      </c>
      <c r="N40" s="24" t="s">
        <v>45</v>
      </c>
      <c r="O40" s="24" t="s">
        <v>23</v>
      </c>
      <c r="P40" s="24" t="s">
        <v>189</v>
      </c>
      <c r="Q40" s="24" t="s">
        <v>95</v>
      </c>
      <c r="R40" s="24" t="s">
        <v>1428</v>
      </c>
      <c r="S40" s="34">
        <v>0.6</v>
      </c>
      <c r="T40" s="15">
        <v>254.744</v>
      </c>
      <c r="U40" s="18">
        <v>-312.06139999999999</v>
      </c>
      <c r="V40" s="56">
        <f>Table11[[#This Row],[Profit]]/Table11[[#This Row],[Sales]]</f>
        <v>-1.2249999999999999</v>
      </c>
    </row>
    <row r="41" spans="1:22" x14ac:dyDescent="0.2">
      <c r="A41" s="4">
        <v>40</v>
      </c>
      <c r="B41" s="3" t="s">
        <v>7393</v>
      </c>
      <c r="C41" s="7">
        <v>42021</v>
      </c>
      <c r="D41" s="28">
        <f>MONTH(Table11[[#This Row],[Order Date]])</f>
        <v>1</v>
      </c>
      <c r="E41" s="3" t="s">
        <v>5201</v>
      </c>
      <c r="F41" s="3" t="s">
        <v>5202</v>
      </c>
      <c r="G41" s="25" t="s">
        <v>41</v>
      </c>
      <c r="H41" s="25" t="s">
        <v>61</v>
      </c>
      <c r="I41" s="3" t="s">
        <v>4773</v>
      </c>
      <c r="J41" s="25" t="s">
        <v>36</v>
      </c>
      <c r="K41" s="28">
        <v>2</v>
      </c>
      <c r="L41" s="7">
        <v>42026</v>
      </c>
      <c r="M41" s="28">
        <f>Table11[[#This Row],[Ship Date]]-Table11[[#This Row],[Order Date]]</f>
        <v>5</v>
      </c>
      <c r="N41" s="25" t="s">
        <v>45</v>
      </c>
      <c r="O41" s="25" t="s">
        <v>23</v>
      </c>
      <c r="P41" s="25" t="s">
        <v>1101</v>
      </c>
      <c r="Q41" s="25" t="s">
        <v>133</v>
      </c>
      <c r="R41" s="25" t="s">
        <v>1308</v>
      </c>
      <c r="S41" s="35">
        <v>0</v>
      </c>
      <c r="T41" s="16">
        <v>6.68</v>
      </c>
      <c r="U41" s="19">
        <v>2.004</v>
      </c>
      <c r="V41" s="56">
        <f>Table11[[#This Row],[Profit]]/Table11[[#This Row],[Sales]]</f>
        <v>0.3</v>
      </c>
    </row>
    <row r="42" spans="1:22" x14ac:dyDescent="0.2">
      <c r="A42" s="2">
        <v>41</v>
      </c>
      <c r="B42" s="5" t="s">
        <v>7890</v>
      </c>
      <c r="C42" s="6">
        <v>42021</v>
      </c>
      <c r="D42" s="27">
        <f>MONTH(Table11[[#This Row],[Order Date]])</f>
        <v>1</v>
      </c>
      <c r="E42" s="5" t="s">
        <v>4274</v>
      </c>
      <c r="F42" s="5" t="s">
        <v>4275</v>
      </c>
      <c r="G42" s="24" t="s">
        <v>41</v>
      </c>
      <c r="H42" s="24" t="s">
        <v>513</v>
      </c>
      <c r="I42" s="5" t="s">
        <v>6531</v>
      </c>
      <c r="J42" s="24" t="s">
        <v>22</v>
      </c>
      <c r="K42" s="27">
        <v>8</v>
      </c>
      <c r="L42" s="6">
        <v>42027</v>
      </c>
      <c r="M42" s="27">
        <f>Table11[[#This Row],[Ship Date]]-Table11[[#This Row],[Order Date]]</f>
        <v>6</v>
      </c>
      <c r="N42" s="24" t="s">
        <v>45</v>
      </c>
      <c r="O42" s="24" t="s">
        <v>23</v>
      </c>
      <c r="P42" s="24" t="s">
        <v>299</v>
      </c>
      <c r="Q42" s="24" t="s">
        <v>26</v>
      </c>
      <c r="R42" s="24" t="s">
        <v>7891</v>
      </c>
      <c r="S42" s="34">
        <v>0.2</v>
      </c>
      <c r="T42" s="15">
        <v>88.96</v>
      </c>
      <c r="U42" s="18">
        <v>10.007999999999999</v>
      </c>
      <c r="V42" s="56">
        <f>Table11[[#This Row],[Profit]]/Table11[[#This Row],[Sales]]</f>
        <v>0.1125</v>
      </c>
    </row>
    <row r="43" spans="1:22" x14ac:dyDescent="0.2">
      <c r="A43" s="4">
        <v>42</v>
      </c>
      <c r="B43" s="3" t="s">
        <v>8222</v>
      </c>
      <c r="C43" s="7">
        <v>42023</v>
      </c>
      <c r="D43" s="28">
        <f>MONTH(Table11[[#This Row],[Order Date]])</f>
        <v>1</v>
      </c>
      <c r="E43" s="3" t="s">
        <v>4304</v>
      </c>
      <c r="F43" s="3" t="s">
        <v>4305</v>
      </c>
      <c r="G43" s="25" t="s">
        <v>28</v>
      </c>
      <c r="H43" s="25" t="s">
        <v>50</v>
      </c>
      <c r="I43" s="3" t="s">
        <v>2952</v>
      </c>
      <c r="J43" s="25" t="s">
        <v>22</v>
      </c>
      <c r="K43" s="28">
        <v>1</v>
      </c>
      <c r="L43" s="7">
        <v>42027</v>
      </c>
      <c r="M43" s="28">
        <f>Table11[[#This Row],[Ship Date]]-Table11[[#This Row],[Order Date]]</f>
        <v>4</v>
      </c>
      <c r="N43" s="25" t="s">
        <v>45</v>
      </c>
      <c r="O43" s="25" t="s">
        <v>23</v>
      </c>
      <c r="P43" s="25" t="s">
        <v>94</v>
      </c>
      <c r="Q43" s="25" t="s">
        <v>95</v>
      </c>
      <c r="R43" s="25" t="s">
        <v>8223</v>
      </c>
      <c r="S43" s="35">
        <v>0.3</v>
      </c>
      <c r="T43" s="16">
        <v>102.438</v>
      </c>
      <c r="U43" s="19">
        <v>-13.1706</v>
      </c>
      <c r="V43" s="56">
        <f>Table11[[#This Row],[Profit]]/Table11[[#This Row],[Sales]]</f>
        <v>-0.12857142857142856</v>
      </c>
    </row>
    <row r="44" spans="1:22" x14ac:dyDescent="0.2">
      <c r="A44" s="4">
        <v>43</v>
      </c>
      <c r="B44" s="5" t="s">
        <v>8222</v>
      </c>
      <c r="C44" s="6">
        <v>42023</v>
      </c>
      <c r="D44" s="27">
        <f>MONTH(Table11[[#This Row],[Order Date]])</f>
        <v>1</v>
      </c>
      <c r="E44" s="5" t="s">
        <v>5476</v>
      </c>
      <c r="F44" s="5" t="s">
        <v>5477</v>
      </c>
      <c r="G44" s="24" t="s">
        <v>28</v>
      </c>
      <c r="H44" s="24" t="s">
        <v>32</v>
      </c>
      <c r="I44" s="5" t="s">
        <v>2952</v>
      </c>
      <c r="J44" s="24" t="s">
        <v>22</v>
      </c>
      <c r="K44" s="27">
        <v>4</v>
      </c>
      <c r="L44" s="6">
        <v>42027</v>
      </c>
      <c r="M44" s="27">
        <f>Table11[[#This Row],[Ship Date]]-Table11[[#This Row],[Order Date]]</f>
        <v>4</v>
      </c>
      <c r="N44" s="24" t="s">
        <v>45</v>
      </c>
      <c r="O44" s="24" t="s">
        <v>23</v>
      </c>
      <c r="P44" s="24" t="s">
        <v>94</v>
      </c>
      <c r="Q44" s="24" t="s">
        <v>95</v>
      </c>
      <c r="R44" s="24" t="s">
        <v>8223</v>
      </c>
      <c r="S44" s="34">
        <v>0.3</v>
      </c>
      <c r="T44" s="15">
        <v>199.304</v>
      </c>
      <c r="U44" s="18">
        <v>-8.5416000000000007</v>
      </c>
      <c r="V44" s="56">
        <f>Table11[[#This Row],[Profit]]/Table11[[#This Row],[Sales]]</f>
        <v>-4.2857142857142858E-2</v>
      </c>
    </row>
    <row r="45" spans="1:22" x14ac:dyDescent="0.2">
      <c r="A45" s="2">
        <v>44</v>
      </c>
      <c r="B45" s="3" t="s">
        <v>4354</v>
      </c>
      <c r="C45" s="7">
        <v>42027</v>
      </c>
      <c r="D45" s="28">
        <f>MONTH(Table11[[#This Row],[Order Date]])</f>
        <v>1</v>
      </c>
      <c r="E45" s="3" t="s">
        <v>1271</v>
      </c>
      <c r="F45" s="3" t="s">
        <v>1272</v>
      </c>
      <c r="G45" s="25" t="s">
        <v>41</v>
      </c>
      <c r="H45" s="25" t="s">
        <v>82</v>
      </c>
      <c r="I45" s="3" t="s">
        <v>1487</v>
      </c>
      <c r="J45" s="25" t="s">
        <v>92</v>
      </c>
      <c r="K45" s="28">
        <v>3</v>
      </c>
      <c r="L45" s="7">
        <v>42031</v>
      </c>
      <c r="M45" s="28">
        <f>Table11[[#This Row],[Ship Date]]-Table11[[#This Row],[Order Date]]</f>
        <v>4</v>
      </c>
      <c r="N45" s="25" t="s">
        <v>45</v>
      </c>
      <c r="O45" s="25" t="s">
        <v>23</v>
      </c>
      <c r="P45" s="25" t="s">
        <v>1561</v>
      </c>
      <c r="Q45" s="25" t="s">
        <v>39</v>
      </c>
      <c r="R45" s="25" t="s">
        <v>4355</v>
      </c>
      <c r="S45" s="35">
        <v>0</v>
      </c>
      <c r="T45" s="16">
        <v>29.04</v>
      </c>
      <c r="U45" s="19">
        <v>13.9392</v>
      </c>
      <c r="V45" s="56">
        <f>Table11[[#This Row],[Profit]]/Table11[[#This Row],[Sales]]</f>
        <v>0.48</v>
      </c>
    </row>
    <row r="46" spans="1:22" x14ac:dyDescent="0.2">
      <c r="A46" s="4">
        <v>45</v>
      </c>
      <c r="B46" s="5" t="s">
        <v>4354</v>
      </c>
      <c r="C46" s="6">
        <v>42027</v>
      </c>
      <c r="D46" s="27">
        <f>MONTH(Table11[[#This Row],[Order Date]])</f>
        <v>1</v>
      </c>
      <c r="E46" s="5" t="s">
        <v>3881</v>
      </c>
      <c r="F46" s="5" t="s">
        <v>3882</v>
      </c>
      <c r="G46" s="24" t="s">
        <v>41</v>
      </c>
      <c r="H46" s="24" t="s">
        <v>42</v>
      </c>
      <c r="I46" s="5" t="s">
        <v>1487</v>
      </c>
      <c r="J46" s="24" t="s">
        <v>92</v>
      </c>
      <c r="K46" s="27">
        <v>2</v>
      </c>
      <c r="L46" s="6">
        <v>42031</v>
      </c>
      <c r="M46" s="27">
        <f>Table11[[#This Row],[Ship Date]]-Table11[[#This Row],[Order Date]]</f>
        <v>4</v>
      </c>
      <c r="N46" s="24" t="s">
        <v>45</v>
      </c>
      <c r="O46" s="24" t="s">
        <v>23</v>
      </c>
      <c r="P46" s="24" t="s">
        <v>1561</v>
      </c>
      <c r="Q46" s="24" t="s">
        <v>39</v>
      </c>
      <c r="R46" s="24" t="s">
        <v>4355</v>
      </c>
      <c r="S46" s="34">
        <v>0</v>
      </c>
      <c r="T46" s="15">
        <v>14.62</v>
      </c>
      <c r="U46" s="18">
        <v>6.8714000000000004</v>
      </c>
      <c r="V46" s="56">
        <f>Table11[[#This Row],[Profit]]/Table11[[#This Row],[Sales]]</f>
        <v>0.47000000000000003</v>
      </c>
    </row>
    <row r="47" spans="1:22" x14ac:dyDescent="0.2">
      <c r="A47" s="4">
        <v>46</v>
      </c>
      <c r="B47" s="3" t="s">
        <v>8913</v>
      </c>
      <c r="C47" s="7">
        <v>42028</v>
      </c>
      <c r="D47" s="28">
        <f>MONTH(Table11[[#This Row],[Order Date]])</f>
        <v>1</v>
      </c>
      <c r="E47" s="3" t="s">
        <v>1208</v>
      </c>
      <c r="F47" s="3" t="s">
        <v>1209</v>
      </c>
      <c r="G47" s="25" t="s">
        <v>41</v>
      </c>
      <c r="H47" s="25" t="s">
        <v>61</v>
      </c>
      <c r="I47" s="3" t="s">
        <v>6549</v>
      </c>
      <c r="J47" s="25" t="s">
        <v>92</v>
      </c>
      <c r="K47" s="28">
        <v>5</v>
      </c>
      <c r="L47" s="7">
        <v>42032</v>
      </c>
      <c r="M47" s="28">
        <f>Table11[[#This Row],[Ship Date]]-Table11[[#This Row],[Order Date]]</f>
        <v>4</v>
      </c>
      <c r="N47" s="25" t="s">
        <v>45</v>
      </c>
      <c r="O47" s="25" t="s">
        <v>23</v>
      </c>
      <c r="P47" s="25" t="s">
        <v>48</v>
      </c>
      <c r="Q47" s="25" t="s">
        <v>26</v>
      </c>
      <c r="R47" s="25" t="s">
        <v>8395</v>
      </c>
      <c r="S47" s="35">
        <v>0.2</v>
      </c>
      <c r="T47" s="16">
        <v>13.12</v>
      </c>
      <c r="U47" s="19">
        <v>2.1320000000000001</v>
      </c>
      <c r="V47" s="56">
        <f>Table11[[#This Row],[Profit]]/Table11[[#This Row],[Sales]]</f>
        <v>0.16250000000000001</v>
      </c>
    </row>
    <row r="48" spans="1:22" x14ac:dyDescent="0.2">
      <c r="A48" s="2">
        <v>47</v>
      </c>
      <c r="B48" s="5" t="s">
        <v>9524</v>
      </c>
      <c r="C48" s="6">
        <v>42030</v>
      </c>
      <c r="D48" s="27">
        <f>MONTH(Table11[[#This Row],[Order Date]])</f>
        <v>1</v>
      </c>
      <c r="E48" s="5" t="s">
        <v>4596</v>
      </c>
      <c r="F48" s="5" t="s">
        <v>4597</v>
      </c>
      <c r="G48" s="24" t="s">
        <v>41</v>
      </c>
      <c r="H48" s="24" t="s">
        <v>82</v>
      </c>
      <c r="I48" s="5" t="s">
        <v>4723</v>
      </c>
      <c r="J48" s="24" t="s">
        <v>36</v>
      </c>
      <c r="K48" s="27">
        <v>8</v>
      </c>
      <c r="L48" s="6">
        <v>42036</v>
      </c>
      <c r="M48" s="27">
        <f>Table11[[#This Row],[Ship Date]]-Table11[[#This Row],[Order Date]]</f>
        <v>6</v>
      </c>
      <c r="N48" s="24" t="s">
        <v>45</v>
      </c>
      <c r="O48" s="24" t="s">
        <v>23</v>
      </c>
      <c r="P48" s="24" t="s">
        <v>38</v>
      </c>
      <c r="Q48" s="24" t="s">
        <v>39</v>
      </c>
      <c r="R48" s="24" t="s">
        <v>7214</v>
      </c>
      <c r="S48" s="34">
        <v>0</v>
      </c>
      <c r="T48" s="15">
        <v>182.72</v>
      </c>
      <c r="U48" s="18">
        <v>84.051199999999994</v>
      </c>
      <c r="V48" s="56">
        <f>Table11[[#This Row],[Profit]]/Table11[[#This Row],[Sales]]</f>
        <v>0.45999999999999996</v>
      </c>
    </row>
    <row r="49" spans="1:22" x14ac:dyDescent="0.2">
      <c r="A49" s="4">
        <v>48</v>
      </c>
      <c r="B49" s="3" t="s">
        <v>5003</v>
      </c>
      <c r="C49" s="7">
        <v>42031</v>
      </c>
      <c r="D49" s="28">
        <f>MONTH(Table11[[#This Row],[Order Date]])</f>
        <v>1</v>
      </c>
      <c r="E49" s="3" t="s">
        <v>300</v>
      </c>
      <c r="F49" s="3" t="s">
        <v>301</v>
      </c>
      <c r="G49" s="25" t="s">
        <v>28</v>
      </c>
      <c r="H49" s="25" t="s">
        <v>32</v>
      </c>
      <c r="I49" s="3" t="s">
        <v>2029</v>
      </c>
      <c r="J49" s="25" t="s">
        <v>22</v>
      </c>
      <c r="K49" s="28">
        <v>2</v>
      </c>
      <c r="L49" s="7">
        <v>42033</v>
      </c>
      <c r="M49" s="28">
        <f>Table11[[#This Row],[Ship Date]]-Table11[[#This Row],[Order Date]]</f>
        <v>2</v>
      </c>
      <c r="N49" s="25" t="s">
        <v>20</v>
      </c>
      <c r="O49" s="25" t="s">
        <v>23</v>
      </c>
      <c r="P49" s="25" t="s">
        <v>441</v>
      </c>
      <c r="Q49" s="25" t="s">
        <v>133</v>
      </c>
      <c r="R49" s="25" t="s">
        <v>1920</v>
      </c>
      <c r="S49" s="35">
        <v>0.3</v>
      </c>
      <c r="T49" s="16">
        <v>181.98599999999999</v>
      </c>
      <c r="U49" s="19">
        <v>-54.595799999999997</v>
      </c>
      <c r="V49" s="56">
        <f>Table11[[#This Row],[Profit]]/Table11[[#This Row],[Sales]]</f>
        <v>-0.3</v>
      </c>
    </row>
    <row r="50" spans="1:22" x14ac:dyDescent="0.2">
      <c r="A50" s="4">
        <v>49</v>
      </c>
      <c r="B50" s="5" t="s">
        <v>5003</v>
      </c>
      <c r="C50" s="6">
        <v>42031</v>
      </c>
      <c r="D50" s="27">
        <f>MONTH(Table11[[#This Row],[Order Date]])</f>
        <v>1</v>
      </c>
      <c r="E50" s="5" t="s">
        <v>4064</v>
      </c>
      <c r="F50" s="5" t="s">
        <v>4065</v>
      </c>
      <c r="G50" s="24" t="s">
        <v>64</v>
      </c>
      <c r="H50" s="24" t="s">
        <v>65</v>
      </c>
      <c r="I50" s="5" t="s">
        <v>2029</v>
      </c>
      <c r="J50" s="24" t="s">
        <v>22</v>
      </c>
      <c r="K50" s="27">
        <v>4</v>
      </c>
      <c r="L50" s="6">
        <v>42033</v>
      </c>
      <c r="M50" s="27">
        <f>Table11[[#This Row],[Ship Date]]-Table11[[#This Row],[Order Date]]</f>
        <v>2</v>
      </c>
      <c r="N50" s="24" t="s">
        <v>20</v>
      </c>
      <c r="O50" s="24" t="s">
        <v>23</v>
      </c>
      <c r="P50" s="24" t="s">
        <v>441</v>
      </c>
      <c r="Q50" s="24" t="s">
        <v>133</v>
      </c>
      <c r="R50" s="24" t="s">
        <v>1920</v>
      </c>
      <c r="S50" s="34">
        <v>0.4</v>
      </c>
      <c r="T50" s="15">
        <v>431.976</v>
      </c>
      <c r="U50" s="18">
        <v>-100.7944</v>
      </c>
      <c r="V50" s="56">
        <f>Table11[[#This Row],[Profit]]/Table11[[#This Row],[Sales]]</f>
        <v>-0.23333333333333334</v>
      </c>
    </row>
    <row r="51" spans="1:22" x14ac:dyDescent="0.2">
      <c r="A51" s="2">
        <v>50</v>
      </c>
      <c r="B51" s="3" t="s">
        <v>5003</v>
      </c>
      <c r="C51" s="7">
        <v>42031</v>
      </c>
      <c r="D51" s="28">
        <f>MONTH(Table11[[#This Row],[Order Date]])</f>
        <v>1</v>
      </c>
      <c r="E51" s="3" t="s">
        <v>5004</v>
      </c>
      <c r="F51" s="3" t="s">
        <v>5005</v>
      </c>
      <c r="G51" s="25" t="s">
        <v>64</v>
      </c>
      <c r="H51" s="25" t="s">
        <v>65</v>
      </c>
      <c r="I51" s="3" t="s">
        <v>2029</v>
      </c>
      <c r="J51" s="25" t="s">
        <v>22</v>
      </c>
      <c r="K51" s="28">
        <v>1</v>
      </c>
      <c r="L51" s="7">
        <v>42033</v>
      </c>
      <c r="M51" s="28">
        <f>Table11[[#This Row],[Ship Date]]-Table11[[#This Row],[Order Date]]</f>
        <v>2</v>
      </c>
      <c r="N51" s="25" t="s">
        <v>20</v>
      </c>
      <c r="O51" s="25" t="s">
        <v>23</v>
      </c>
      <c r="P51" s="25" t="s">
        <v>441</v>
      </c>
      <c r="Q51" s="25" t="s">
        <v>133</v>
      </c>
      <c r="R51" s="25" t="s">
        <v>1920</v>
      </c>
      <c r="S51" s="35">
        <v>0.4</v>
      </c>
      <c r="T51" s="16">
        <v>155.37</v>
      </c>
      <c r="U51" s="19">
        <v>-36.253</v>
      </c>
      <c r="V51" s="56">
        <f>Table11[[#This Row],[Profit]]/Table11[[#This Row],[Sales]]</f>
        <v>-0.23333333333333334</v>
      </c>
    </row>
    <row r="52" spans="1:22" x14ac:dyDescent="0.2">
      <c r="A52" s="4">
        <v>51</v>
      </c>
      <c r="B52" s="5" t="s">
        <v>9818</v>
      </c>
      <c r="C52" s="6">
        <v>42031</v>
      </c>
      <c r="D52" s="27">
        <f>MONTH(Table11[[#This Row],[Order Date]])</f>
        <v>1</v>
      </c>
      <c r="E52" s="5" t="s">
        <v>1656</v>
      </c>
      <c r="F52" s="5" t="s">
        <v>1657</v>
      </c>
      <c r="G52" s="24" t="s">
        <v>28</v>
      </c>
      <c r="H52" s="24" t="s">
        <v>32</v>
      </c>
      <c r="I52" s="5" t="s">
        <v>1871</v>
      </c>
      <c r="J52" s="24" t="s">
        <v>22</v>
      </c>
      <c r="K52" s="27">
        <v>5</v>
      </c>
      <c r="L52" s="6">
        <v>42033</v>
      </c>
      <c r="M52" s="27">
        <f>Table11[[#This Row],[Ship Date]]-Table11[[#This Row],[Order Date]]</f>
        <v>2</v>
      </c>
      <c r="N52" s="24" t="s">
        <v>169</v>
      </c>
      <c r="O52" s="24" t="s">
        <v>23</v>
      </c>
      <c r="P52" s="24" t="s">
        <v>38</v>
      </c>
      <c r="Q52" s="24" t="s">
        <v>39</v>
      </c>
      <c r="R52" s="24" t="s">
        <v>37</v>
      </c>
      <c r="S52" s="34">
        <v>0.2</v>
      </c>
      <c r="T52" s="15">
        <v>2803.92</v>
      </c>
      <c r="U52" s="18">
        <v>0</v>
      </c>
      <c r="V52" s="56">
        <f>Table11[[#This Row],[Profit]]/Table11[[#This Row],[Sales]]</f>
        <v>0</v>
      </c>
    </row>
    <row r="53" spans="1:22" x14ac:dyDescent="0.2">
      <c r="A53" s="4">
        <v>52</v>
      </c>
      <c r="B53" s="3" t="s">
        <v>9962</v>
      </c>
      <c r="C53" s="7">
        <v>42032</v>
      </c>
      <c r="D53" s="28">
        <f>MONTH(Table11[[#This Row],[Order Date]])</f>
        <v>1</v>
      </c>
      <c r="E53" s="3" t="s">
        <v>2040</v>
      </c>
      <c r="F53" s="3" t="s">
        <v>2041</v>
      </c>
      <c r="G53" s="25" t="s">
        <v>28</v>
      </c>
      <c r="H53" s="25" t="s">
        <v>50</v>
      </c>
      <c r="I53" s="3" t="s">
        <v>731</v>
      </c>
      <c r="J53" s="25" t="s">
        <v>22</v>
      </c>
      <c r="K53" s="28">
        <v>13</v>
      </c>
      <c r="L53" s="7">
        <v>42035</v>
      </c>
      <c r="M53" s="28">
        <f>Table11[[#This Row],[Ship Date]]-Table11[[#This Row],[Order Date]]</f>
        <v>3</v>
      </c>
      <c r="N53" s="25" t="s">
        <v>20</v>
      </c>
      <c r="O53" s="25" t="s">
        <v>23</v>
      </c>
      <c r="P53" s="25" t="s">
        <v>80</v>
      </c>
      <c r="Q53" s="25" t="s">
        <v>26</v>
      </c>
      <c r="R53" s="25" t="s">
        <v>79</v>
      </c>
      <c r="S53" s="35">
        <v>0.4</v>
      </c>
      <c r="T53" s="16">
        <v>4297.6440000000002</v>
      </c>
      <c r="U53" s="19">
        <v>-1862.3124</v>
      </c>
      <c r="V53" s="56">
        <f>Table11[[#This Row],[Profit]]/Table11[[#This Row],[Sales]]</f>
        <v>-0.43333333333333329</v>
      </c>
    </row>
    <row r="54" spans="1:22" x14ac:dyDescent="0.2">
      <c r="A54" s="2">
        <v>53</v>
      </c>
      <c r="B54" s="5" t="s">
        <v>3885</v>
      </c>
      <c r="C54" s="6">
        <v>42034</v>
      </c>
      <c r="D54" s="27">
        <f>MONTH(Table11[[#This Row],[Order Date]])</f>
        <v>1</v>
      </c>
      <c r="E54" s="5" t="s">
        <v>3886</v>
      </c>
      <c r="F54" s="5" t="s">
        <v>3887</v>
      </c>
      <c r="G54" s="24" t="s">
        <v>41</v>
      </c>
      <c r="H54" s="24" t="s">
        <v>82</v>
      </c>
      <c r="I54" s="5" t="s">
        <v>1442</v>
      </c>
      <c r="J54" s="24" t="s">
        <v>22</v>
      </c>
      <c r="K54" s="27">
        <v>6</v>
      </c>
      <c r="L54" s="6">
        <v>42039</v>
      </c>
      <c r="M54" s="27">
        <f>Table11[[#This Row],[Ship Date]]-Table11[[#This Row],[Order Date]]</f>
        <v>5</v>
      </c>
      <c r="N54" s="24" t="s">
        <v>45</v>
      </c>
      <c r="O54" s="24" t="s">
        <v>23</v>
      </c>
      <c r="P54" s="24" t="s">
        <v>94</v>
      </c>
      <c r="Q54" s="24" t="s">
        <v>95</v>
      </c>
      <c r="R54" s="24" t="s">
        <v>165</v>
      </c>
      <c r="S54" s="34">
        <v>0.2</v>
      </c>
      <c r="T54" s="15">
        <v>14.304</v>
      </c>
      <c r="U54" s="18">
        <v>5.0064000000000002</v>
      </c>
      <c r="V54" s="56">
        <f>Table11[[#This Row],[Profit]]/Table11[[#This Row],[Sales]]</f>
        <v>0.35000000000000003</v>
      </c>
    </row>
    <row r="55" spans="1:22" x14ac:dyDescent="0.2">
      <c r="A55" s="4">
        <v>54</v>
      </c>
      <c r="B55" s="3" t="s">
        <v>5212</v>
      </c>
      <c r="C55" s="7">
        <v>42034</v>
      </c>
      <c r="D55" s="28">
        <f>MONTH(Table11[[#This Row],[Order Date]])</f>
        <v>1</v>
      </c>
      <c r="E55" s="3" t="s">
        <v>5213</v>
      </c>
      <c r="F55" s="3" t="s">
        <v>5214</v>
      </c>
      <c r="G55" s="25" t="s">
        <v>28</v>
      </c>
      <c r="H55" s="25" t="s">
        <v>58</v>
      </c>
      <c r="I55" s="3" t="s">
        <v>1729</v>
      </c>
      <c r="J55" s="25" t="s">
        <v>22</v>
      </c>
      <c r="K55" s="28">
        <v>7</v>
      </c>
      <c r="L55" s="7">
        <v>42041</v>
      </c>
      <c r="M55" s="28">
        <f>Table11[[#This Row],[Ship Date]]-Table11[[#This Row],[Order Date]]</f>
        <v>7</v>
      </c>
      <c r="N55" s="25" t="s">
        <v>45</v>
      </c>
      <c r="O55" s="25" t="s">
        <v>23</v>
      </c>
      <c r="P55" s="25" t="s">
        <v>38</v>
      </c>
      <c r="Q55" s="25" t="s">
        <v>39</v>
      </c>
      <c r="R55" s="25" t="s">
        <v>37</v>
      </c>
      <c r="S55" s="35">
        <v>0</v>
      </c>
      <c r="T55" s="16">
        <v>227.36</v>
      </c>
      <c r="U55" s="19">
        <v>81.849599999999995</v>
      </c>
      <c r="V55" s="56">
        <f>Table11[[#This Row],[Profit]]/Table11[[#This Row],[Sales]]</f>
        <v>0.35999999999999993</v>
      </c>
    </row>
    <row r="56" spans="1:22" x14ac:dyDescent="0.2">
      <c r="A56" s="4">
        <v>55</v>
      </c>
      <c r="B56" s="5" t="s">
        <v>5212</v>
      </c>
      <c r="C56" s="6">
        <v>42034</v>
      </c>
      <c r="D56" s="27">
        <f>MONTH(Table11[[#This Row],[Order Date]])</f>
        <v>1</v>
      </c>
      <c r="E56" s="5" t="s">
        <v>4068</v>
      </c>
      <c r="F56" s="5" t="s">
        <v>4069</v>
      </c>
      <c r="G56" s="24" t="s">
        <v>64</v>
      </c>
      <c r="H56" s="24" t="s">
        <v>602</v>
      </c>
      <c r="I56" s="5" t="s">
        <v>1729</v>
      </c>
      <c r="J56" s="24" t="s">
        <v>22</v>
      </c>
      <c r="K56" s="27">
        <v>3</v>
      </c>
      <c r="L56" s="6">
        <v>42041</v>
      </c>
      <c r="M56" s="27">
        <f>Table11[[#This Row],[Ship Date]]-Table11[[#This Row],[Order Date]]</f>
        <v>7</v>
      </c>
      <c r="N56" s="24" t="s">
        <v>45</v>
      </c>
      <c r="O56" s="24" t="s">
        <v>23</v>
      </c>
      <c r="P56" s="24" t="s">
        <v>38</v>
      </c>
      <c r="Q56" s="24" t="s">
        <v>39</v>
      </c>
      <c r="R56" s="24" t="s">
        <v>37</v>
      </c>
      <c r="S56" s="34">
        <v>0.2</v>
      </c>
      <c r="T56" s="15">
        <v>1919.9760000000001</v>
      </c>
      <c r="U56" s="18">
        <v>215.9973</v>
      </c>
      <c r="V56" s="56">
        <f>Table11[[#This Row],[Profit]]/Table11[[#This Row],[Sales]]</f>
        <v>0.11249999999999999</v>
      </c>
    </row>
    <row r="57" spans="1:22" x14ac:dyDescent="0.2">
      <c r="A57" s="2">
        <v>56</v>
      </c>
      <c r="B57" s="3" t="s">
        <v>362</v>
      </c>
      <c r="C57" s="7">
        <v>42035</v>
      </c>
      <c r="D57" s="28">
        <f>MONTH(Table11[[#This Row],[Order Date]])</f>
        <v>1</v>
      </c>
      <c r="E57" s="3" t="s">
        <v>365</v>
      </c>
      <c r="F57" s="3" t="s">
        <v>366</v>
      </c>
      <c r="G57" s="25" t="s">
        <v>41</v>
      </c>
      <c r="H57" s="25" t="s">
        <v>82</v>
      </c>
      <c r="I57" s="3" t="s">
        <v>363</v>
      </c>
      <c r="J57" s="25" t="s">
        <v>22</v>
      </c>
      <c r="K57" s="28">
        <v>2</v>
      </c>
      <c r="L57" s="7">
        <v>42040</v>
      </c>
      <c r="M57" s="28">
        <f>Table11[[#This Row],[Ship Date]]-Table11[[#This Row],[Order Date]]</f>
        <v>5</v>
      </c>
      <c r="N57" s="25" t="s">
        <v>20</v>
      </c>
      <c r="O57" s="25" t="s">
        <v>23</v>
      </c>
      <c r="P57" s="25" t="s">
        <v>204</v>
      </c>
      <c r="Q57" s="25" t="s">
        <v>95</v>
      </c>
      <c r="R57" s="25" t="s">
        <v>364</v>
      </c>
      <c r="S57" s="35">
        <v>0</v>
      </c>
      <c r="T57" s="16">
        <v>12.96</v>
      </c>
      <c r="U57" s="19">
        <v>6.2207999999999997</v>
      </c>
      <c r="V57" s="56">
        <f>Table11[[#This Row],[Profit]]/Table11[[#This Row],[Sales]]</f>
        <v>0.47999999999999993</v>
      </c>
    </row>
    <row r="58" spans="1:22" x14ac:dyDescent="0.2">
      <c r="A58" s="4">
        <v>57</v>
      </c>
      <c r="B58" s="5" t="s">
        <v>362</v>
      </c>
      <c r="C58" s="6">
        <v>42035</v>
      </c>
      <c r="D58" s="27">
        <f>MONTH(Table11[[#This Row],[Order Date]])</f>
        <v>1</v>
      </c>
      <c r="E58" s="5" t="s">
        <v>367</v>
      </c>
      <c r="F58" s="5" t="s">
        <v>368</v>
      </c>
      <c r="G58" s="24" t="s">
        <v>28</v>
      </c>
      <c r="H58" s="24" t="s">
        <v>58</v>
      </c>
      <c r="I58" s="5" t="s">
        <v>363</v>
      </c>
      <c r="J58" s="24" t="s">
        <v>22</v>
      </c>
      <c r="K58" s="27">
        <v>3</v>
      </c>
      <c r="L58" s="6">
        <v>42040</v>
      </c>
      <c r="M58" s="27">
        <f>Table11[[#This Row],[Ship Date]]-Table11[[#This Row],[Order Date]]</f>
        <v>5</v>
      </c>
      <c r="N58" s="24" t="s">
        <v>20</v>
      </c>
      <c r="O58" s="24" t="s">
        <v>23</v>
      </c>
      <c r="P58" s="24" t="s">
        <v>204</v>
      </c>
      <c r="Q58" s="24" t="s">
        <v>95</v>
      </c>
      <c r="R58" s="24" t="s">
        <v>364</v>
      </c>
      <c r="S58" s="34">
        <v>0</v>
      </c>
      <c r="T58" s="15">
        <v>53.34</v>
      </c>
      <c r="U58" s="18">
        <v>16.535399999999999</v>
      </c>
      <c r="V58" s="56">
        <f>Table11[[#This Row],[Profit]]/Table11[[#This Row],[Sales]]</f>
        <v>0.30999999999999994</v>
      </c>
    </row>
    <row r="59" spans="1:22" x14ac:dyDescent="0.2">
      <c r="A59" s="4">
        <v>58</v>
      </c>
      <c r="B59" s="3" t="s">
        <v>362</v>
      </c>
      <c r="C59" s="7">
        <v>42035</v>
      </c>
      <c r="D59" s="28">
        <f>MONTH(Table11[[#This Row],[Order Date]])</f>
        <v>1</v>
      </c>
      <c r="E59" s="3" t="s">
        <v>369</v>
      </c>
      <c r="F59" s="3" t="s">
        <v>370</v>
      </c>
      <c r="G59" s="25" t="s">
        <v>41</v>
      </c>
      <c r="H59" s="25" t="s">
        <v>68</v>
      </c>
      <c r="I59" s="3" t="s">
        <v>363</v>
      </c>
      <c r="J59" s="25" t="s">
        <v>22</v>
      </c>
      <c r="K59" s="28">
        <v>2</v>
      </c>
      <c r="L59" s="7">
        <v>42040</v>
      </c>
      <c r="M59" s="28">
        <f>Table11[[#This Row],[Ship Date]]-Table11[[#This Row],[Order Date]]</f>
        <v>5</v>
      </c>
      <c r="N59" s="25" t="s">
        <v>20</v>
      </c>
      <c r="O59" s="25" t="s">
        <v>23</v>
      </c>
      <c r="P59" s="25" t="s">
        <v>204</v>
      </c>
      <c r="Q59" s="25" t="s">
        <v>95</v>
      </c>
      <c r="R59" s="25" t="s">
        <v>364</v>
      </c>
      <c r="S59" s="35">
        <v>0</v>
      </c>
      <c r="T59" s="16">
        <v>32.96</v>
      </c>
      <c r="U59" s="19">
        <v>16.150400000000001</v>
      </c>
      <c r="V59" s="56">
        <f>Table11[[#This Row],[Profit]]/Table11[[#This Row],[Sales]]</f>
        <v>0.49000000000000005</v>
      </c>
    </row>
    <row r="60" spans="1:22" x14ac:dyDescent="0.2">
      <c r="A60" s="2">
        <v>59</v>
      </c>
      <c r="B60" s="5" t="s">
        <v>2225</v>
      </c>
      <c r="C60" s="6">
        <v>42038</v>
      </c>
      <c r="D60" s="27">
        <f>MONTH(Table11[[#This Row],[Order Date]])</f>
        <v>2</v>
      </c>
      <c r="E60" s="5" t="s">
        <v>1320</v>
      </c>
      <c r="F60" s="5" t="s">
        <v>1321</v>
      </c>
      <c r="G60" s="24" t="s">
        <v>28</v>
      </c>
      <c r="H60" s="24" t="s">
        <v>58</v>
      </c>
      <c r="I60" s="5" t="s">
        <v>1612</v>
      </c>
      <c r="J60" s="24" t="s">
        <v>22</v>
      </c>
      <c r="K60" s="27">
        <v>2</v>
      </c>
      <c r="L60" s="6">
        <v>42040</v>
      </c>
      <c r="M60" s="27">
        <f>Table11[[#This Row],[Ship Date]]-Table11[[#This Row],[Order Date]]</f>
        <v>2</v>
      </c>
      <c r="N60" s="24" t="s">
        <v>169</v>
      </c>
      <c r="O60" s="24" t="s">
        <v>23</v>
      </c>
      <c r="P60" s="24" t="s">
        <v>124</v>
      </c>
      <c r="Q60" s="24" t="s">
        <v>95</v>
      </c>
      <c r="R60" s="24" t="s">
        <v>2226</v>
      </c>
      <c r="S60" s="34">
        <v>0</v>
      </c>
      <c r="T60" s="15">
        <v>28.4</v>
      </c>
      <c r="U60" s="18">
        <v>11.076000000000001</v>
      </c>
      <c r="V60" s="56">
        <f>Table11[[#This Row],[Profit]]/Table11[[#This Row],[Sales]]</f>
        <v>0.39</v>
      </c>
    </row>
    <row r="61" spans="1:22" x14ac:dyDescent="0.2">
      <c r="A61" s="4">
        <v>60</v>
      </c>
      <c r="B61" s="3" t="s">
        <v>2225</v>
      </c>
      <c r="C61" s="7">
        <v>42038</v>
      </c>
      <c r="D61" s="28">
        <f>MONTH(Table11[[#This Row],[Order Date]])</f>
        <v>2</v>
      </c>
      <c r="E61" s="3" t="s">
        <v>2227</v>
      </c>
      <c r="F61" s="3" t="s">
        <v>2228</v>
      </c>
      <c r="G61" s="25" t="s">
        <v>64</v>
      </c>
      <c r="H61" s="25" t="s">
        <v>144</v>
      </c>
      <c r="I61" s="3" t="s">
        <v>1612</v>
      </c>
      <c r="J61" s="25" t="s">
        <v>22</v>
      </c>
      <c r="K61" s="28">
        <v>3</v>
      </c>
      <c r="L61" s="7">
        <v>42040</v>
      </c>
      <c r="M61" s="28">
        <f>Table11[[#This Row],[Ship Date]]-Table11[[#This Row],[Order Date]]</f>
        <v>2</v>
      </c>
      <c r="N61" s="25" t="s">
        <v>169</v>
      </c>
      <c r="O61" s="25" t="s">
        <v>23</v>
      </c>
      <c r="P61" s="25" t="s">
        <v>124</v>
      </c>
      <c r="Q61" s="25" t="s">
        <v>95</v>
      </c>
      <c r="R61" s="25" t="s">
        <v>2226</v>
      </c>
      <c r="S61" s="35">
        <v>0</v>
      </c>
      <c r="T61" s="16">
        <v>149.97</v>
      </c>
      <c r="U61" s="19">
        <v>50.989800000000002</v>
      </c>
      <c r="V61" s="56">
        <f>Table11[[#This Row],[Profit]]/Table11[[#This Row],[Sales]]</f>
        <v>0.34</v>
      </c>
    </row>
    <row r="62" spans="1:22" x14ac:dyDescent="0.2">
      <c r="A62" s="4">
        <v>61</v>
      </c>
      <c r="B62" s="5" t="s">
        <v>4194</v>
      </c>
      <c r="C62" s="6">
        <v>42038</v>
      </c>
      <c r="D62" s="27">
        <f>MONTH(Table11[[#This Row],[Order Date]])</f>
        <v>2</v>
      </c>
      <c r="E62" s="5" t="s">
        <v>4195</v>
      </c>
      <c r="F62" s="5" t="s">
        <v>4196</v>
      </c>
      <c r="G62" s="24" t="s">
        <v>28</v>
      </c>
      <c r="H62" s="24" t="s">
        <v>58</v>
      </c>
      <c r="I62" s="5" t="s">
        <v>3394</v>
      </c>
      <c r="J62" s="24" t="s">
        <v>36</v>
      </c>
      <c r="K62" s="27">
        <v>4</v>
      </c>
      <c r="L62" s="6">
        <v>42039</v>
      </c>
      <c r="M62" s="27">
        <f>Table11[[#This Row],[Ship Date]]-Table11[[#This Row],[Order Date]]</f>
        <v>1</v>
      </c>
      <c r="N62" s="24" t="s">
        <v>169</v>
      </c>
      <c r="O62" s="24" t="s">
        <v>23</v>
      </c>
      <c r="P62" s="24" t="s">
        <v>38</v>
      </c>
      <c r="Q62" s="24" t="s">
        <v>39</v>
      </c>
      <c r="R62" s="24" t="s">
        <v>37</v>
      </c>
      <c r="S62" s="34">
        <v>0</v>
      </c>
      <c r="T62" s="15">
        <v>136.91999999999999</v>
      </c>
      <c r="U62" s="18">
        <v>41.076000000000001</v>
      </c>
      <c r="V62" s="56">
        <f>Table11[[#This Row],[Profit]]/Table11[[#This Row],[Sales]]</f>
        <v>0.30000000000000004</v>
      </c>
    </row>
    <row r="63" spans="1:22" x14ac:dyDescent="0.2">
      <c r="A63" s="2">
        <v>62</v>
      </c>
      <c r="B63" s="3" t="s">
        <v>8488</v>
      </c>
      <c r="C63" s="7">
        <v>42038</v>
      </c>
      <c r="D63" s="28">
        <f>MONTH(Table11[[#This Row],[Order Date]])</f>
        <v>2</v>
      </c>
      <c r="E63" s="3" t="s">
        <v>3027</v>
      </c>
      <c r="F63" s="3" t="s">
        <v>3028</v>
      </c>
      <c r="G63" s="25" t="s">
        <v>41</v>
      </c>
      <c r="H63" s="25" t="s">
        <v>68</v>
      </c>
      <c r="I63" s="3" t="s">
        <v>1330</v>
      </c>
      <c r="J63" s="25" t="s">
        <v>36</v>
      </c>
      <c r="K63" s="28">
        <v>3</v>
      </c>
      <c r="L63" s="7">
        <v>42040</v>
      </c>
      <c r="M63" s="28">
        <f>Table11[[#This Row],[Ship Date]]-Table11[[#This Row],[Order Date]]</f>
        <v>2</v>
      </c>
      <c r="N63" s="25" t="s">
        <v>20</v>
      </c>
      <c r="O63" s="25" t="s">
        <v>23</v>
      </c>
      <c r="P63" s="25" t="s">
        <v>109</v>
      </c>
      <c r="Q63" s="25" t="s">
        <v>39</v>
      </c>
      <c r="R63" s="25" t="s">
        <v>3330</v>
      </c>
      <c r="S63" s="35">
        <v>0.2</v>
      </c>
      <c r="T63" s="16">
        <v>12.144</v>
      </c>
      <c r="U63" s="19">
        <v>4.0986000000000002</v>
      </c>
      <c r="V63" s="56">
        <f>Table11[[#This Row],[Profit]]/Table11[[#This Row],[Sales]]</f>
        <v>0.33750000000000002</v>
      </c>
    </row>
    <row r="64" spans="1:22" x14ac:dyDescent="0.2">
      <c r="A64" s="4">
        <v>63</v>
      </c>
      <c r="B64" s="5" t="s">
        <v>8875</v>
      </c>
      <c r="C64" s="6">
        <v>42038</v>
      </c>
      <c r="D64" s="27">
        <f>MONTH(Table11[[#This Row],[Order Date]])</f>
        <v>2</v>
      </c>
      <c r="E64" s="5" t="s">
        <v>5439</v>
      </c>
      <c r="F64" s="5" t="s">
        <v>591</v>
      </c>
      <c r="G64" s="24" t="s">
        <v>41</v>
      </c>
      <c r="H64" s="24" t="s">
        <v>155</v>
      </c>
      <c r="I64" s="5" t="s">
        <v>2783</v>
      </c>
      <c r="J64" s="24" t="s">
        <v>22</v>
      </c>
      <c r="K64" s="27">
        <v>9</v>
      </c>
      <c r="L64" s="6">
        <v>42042</v>
      </c>
      <c r="M64" s="27">
        <f>Table11[[#This Row],[Ship Date]]-Table11[[#This Row],[Order Date]]</f>
        <v>4</v>
      </c>
      <c r="N64" s="24" t="s">
        <v>45</v>
      </c>
      <c r="O64" s="24" t="s">
        <v>23</v>
      </c>
      <c r="P64" s="24" t="s">
        <v>1125</v>
      </c>
      <c r="Q64" s="24" t="s">
        <v>26</v>
      </c>
      <c r="R64" s="24" t="s">
        <v>440</v>
      </c>
      <c r="S64" s="34">
        <v>0</v>
      </c>
      <c r="T64" s="15">
        <v>74.52</v>
      </c>
      <c r="U64" s="18">
        <v>35.0244</v>
      </c>
      <c r="V64" s="56">
        <f>Table11[[#This Row],[Profit]]/Table11[[#This Row],[Sales]]</f>
        <v>0.47000000000000003</v>
      </c>
    </row>
    <row r="65" spans="1:22" x14ac:dyDescent="0.2">
      <c r="A65" s="4">
        <v>64</v>
      </c>
      <c r="B65" s="3" t="s">
        <v>8909</v>
      </c>
      <c r="C65" s="7">
        <v>42038</v>
      </c>
      <c r="D65" s="28">
        <f>MONTH(Table11[[#This Row],[Order Date]])</f>
        <v>2</v>
      </c>
      <c r="E65" s="3" t="s">
        <v>182</v>
      </c>
      <c r="F65" s="3" t="s">
        <v>183</v>
      </c>
      <c r="G65" s="25" t="s">
        <v>28</v>
      </c>
      <c r="H65" s="25" t="s">
        <v>32</v>
      </c>
      <c r="I65" s="3" t="s">
        <v>3427</v>
      </c>
      <c r="J65" s="25" t="s">
        <v>36</v>
      </c>
      <c r="K65" s="28">
        <v>1</v>
      </c>
      <c r="L65" s="7">
        <v>42042</v>
      </c>
      <c r="M65" s="28">
        <f>Table11[[#This Row],[Ship Date]]-Table11[[#This Row],[Order Date]]</f>
        <v>4</v>
      </c>
      <c r="N65" s="25" t="s">
        <v>45</v>
      </c>
      <c r="O65" s="25" t="s">
        <v>23</v>
      </c>
      <c r="P65" s="25" t="s">
        <v>238</v>
      </c>
      <c r="Q65" s="25" t="s">
        <v>133</v>
      </c>
      <c r="R65" s="25" t="s">
        <v>6828</v>
      </c>
      <c r="S65" s="35">
        <v>0.1</v>
      </c>
      <c r="T65" s="16">
        <v>90.882000000000005</v>
      </c>
      <c r="U65" s="19">
        <v>15.147</v>
      </c>
      <c r="V65" s="56">
        <f>Table11[[#This Row],[Profit]]/Table11[[#This Row],[Sales]]</f>
        <v>0.16666666666666666</v>
      </c>
    </row>
    <row r="66" spans="1:22" x14ac:dyDescent="0.2">
      <c r="A66" s="2">
        <v>65</v>
      </c>
      <c r="B66" s="5" t="s">
        <v>3635</v>
      </c>
      <c r="C66" s="6">
        <v>42041</v>
      </c>
      <c r="D66" s="27">
        <f>MONTH(Table11[[#This Row],[Order Date]])</f>
        <v>2</v>
      </c>
      <c r="E66" s="5" t="s">
        <v>3637</v>
      </c>
      <c r="F66" s="5" t="s">
        <v>3638</v>
      </c>
      <c r="G66" s="24" t="s">
        <v>41</v>
      </c>
      <c r="H66" s="24" t="s">
        <v>61</v>
      </c>
      <c r="I66" s="5" t="s">
        <v>746</v>
      </c>
      <c r="J66" s="24" t="s">
        <v>36</v>
      </c>
      <c r="K66" s="27">
        <v>3</v>
      </c>
      <c r="L66" s="6">
        <v>42048</v>
      </c>
      <c r="M66" s="27">
        <f>Table11[[#This Row],[Ship Date]]-Table11[[#This Row],[Order Date]]</f>
        <v>7</v>
      </c>
      <c r="N66" s="24" t="s">
        <v>45</v>
      </c>
      <c r="O66" s="24" t="s">
        <v>23</v>
      </c>
      <c r="P66" s="24" t="s">
        <v>87</v>
      </c>
      <c r="Q66" s="24" t="s">
        <v>39</v>
      </c>
      <c r="R66" s="24" t="s">
        <v>3636</v>
      </c>
      <c r="S66" s="34">
        <v>0</v>
      </c>
      <c r="T66" s="15">
        <v>5.28</v>
      </c>
      <c r="U66" s="18">
        <v>1.5311999999999999</v>
      </c>
      <c r="V66" s="56">
        <f>Table11[[#This Row],[Profit]]/Table11[[#This Row],[Sales]]</f>
        <v>0.28999999999999998</v>
      </c>
    </row>
    <row r="67" spans="1:22" x14ac:dyDescent="0.2">
      <c r="A67" s="4">
        <v>66</v>
      </c>
      <c r="B67" s="3" t="s">
        <v>7133</v>
      </c>
      <c r="C67" s="7">
        <v>42041</v>
      </c>
      <c r="D67" s="28">
        <f>MONTH(Table11[[#This Row],[Order Date]])</f>
        <v>2</v>
      </c>
      <c r="E67" s="3" t="s">
        <v>3087</v>
      </c>
      <c r="F67" s="3" t="s">
        <v>3088</v>
      </c>
      <c r="G67" s="25" t="s">
        <v>28</v>
      </c>
      <c r="H67" s="25" t="s">
        <v>32</v>
      </c>
      <c r="I67" s="3" t="s">
        <v>4534</v>
      </c>
      <c r="J67" s="25" t="s">
        <v>22</v>
      </c>
      <c r="K67" s="28">
        <v>9</v>
      </c>
      <c r="L67" s="7">
        <v>42048</v>
      </c>
      <c r="M67" s="28">
        <f>Table11[[#This Row],[Ship Date]]-Table11[[#This Row],[Order Date]]</f>
        <v>7</v>
      </c>
      <c r="N67" s="25" t="s">
        <v>45</v>
      </c>
      <c r="O67" s="25" t="s">
        <v>23</v>
      </c>
      <c r="P67" s="25" t="s">
        <v>218</v>
      </c>
      <c r="Q67" s="25" t="s">
        <v>133</v>
      </c>
      <c r="R67" s="25" t="s">
        <v>461</v>
      </c>
      <c r="S67" s="35">
        <v>0</v>
      </c>
      <c r="T67" s="16">
        <v>1268.82</v>
      </c>
      <c r="U67" s="19">
        <v>266.4522</v>
      </c>
      <c r="V67" s="56">
        <f>Table11[[#This Row],[Profit]]/Table11[[#This Row],[Sales]]</f>
        <v>0.21000000000000002</v>
      </c>
    </row>
    <row r="68" spans="1:22" x14ac:dyDescent="0.2">
      <c r="A68" s="4">
        <v>67</v>
      </c>
      <c r="B68" s="5" t="s">
        <v>7133</v>
      </c>
      <c r="C68" s="6">
        <v>42041</v>
      </c>
      <c r="D68" s="27">
        <f>MONTH(Table11[[#This Row],[Order Date]])</f>
        <v>2</v>
      </c>
      <c r="E68" s="5" t="s">
        <v>5879</v>
      </c>
      <c r="F68" s="5" t="s">
        <v>5880</v>
      </c>
      <c r="G68" s="24" t="s">
        <v>28</v>
      </c>
      <c r="H68" s="24" t="s">
        <v>29</v>
      </c>
      <c r="I68" s="5" t="s">
        <v>4534</v>
      </c>
      <c r="J68" s="24" t="s">
        <v>22</v>
      </c>
      <c r="K68" s="27">
        <v>4</v>
      </c>
      <c r="L68" s="6">
        <v>42048</v>
      </c>
      <c r="M68" s="27">
        <f>Table11[[#This Row],[Ship Date]]-Table11[[#This Row],[Order Date]]</f>
        <v>7</v>
      </c>
      <c r="N68" s="24" t="s">
        <v>45</v>
      </c>
      <c r="O68" s="24" t="s">
        <v>23</v>
      </c>
      <c r="P68" s="24" t="s">
        <v>218</v>
      </c>
      <c r="Q68" s="24" t="s">
        <v>133</v>
      </c>
      <c r="R68" s="24" t="s">
        <v>461</v>
      </c>
      <c r="S68" s="34">
        <v>0</v>
      </c>
      <c r="T68" s="15">
        <v>283.92</v>
      </c>
      <c r="U68" s="18">
        <v>82.336799999999997</v>
      </c>
      <c r="V68" s="56">
        <f>Table11[[#This Row],[Profit]]/Table11[[#This Row],[Sales]]</f>
        <v>0.28999999999999998</v>
      </c>
    </row>
    <row r="69" spans="1:22" x14ac:dyDescent="0.2">
      <c r="A69" s="2">
        <v>68</v>
      </c>
      <c r="B69" s="3" t="s">
        <v>7133</v>
      </c>
      <c r="C69" s="7">
        <v>42041</v>
      </c>
      <c r="D69" s="28">
        <f>MONTH(Table11[[#This Row],[Order Date]])</f>
        <v>2</v>
      </c>
      <c r="E69" s="3" t="s">
        <v>3044</v>
      </c>
      <c r="F69" s="3" t="s">
        <v>3045</v>
      </c>
      <c r="G69" s="25" t="s">
        <v>41</v>
      </c>
      <c r="H69" s="25" t="s">
        <v>61</v>
      </c>
      <c r="I69" s="3" t="s">
        <v>4534</v>
      </c>
      <c r="J69" s="25" t="s">
        <v>22</v>
      </c>
      <c r="K69" s="28">
        <v>2</v>
      </c>
      <c r="L69" s="7">
        <v>42048</v>
      </c>
      <c r="M69" s="28">
        <f>Table11[[#This Row],[Ship Date]]-Table11[[#This Row],[Order Date]]</f>
        <v>7</v>
      </c>
      <c r="N69" s="25" t="s">
        <v>45</v>
      </c>
      <c r="O69" s="25" t="s">
        <v>23</v>
      </c>
      <c r="P69" s="25" t="s">
        <v>218</v>
      </c>
      <c r="Q69" s="25" t="s">
        <v>133</v>
      </c>
      <c r="R69" s="25" t="s">
        <v>461</v>
      </c>
      <c r="S69" s="35">
        <v>0</v>
      </c>
      <c r="T69" s="16">
        <v>5.68</v>
      </c>
      <c r="U69" s="19">
        <v>1.7607999999999999</v>
      </c>
      <c r="V69" s="56">
        <f>Table11[[#This Row],[Profit]]/Table11[[#This Row],[Sales]]</f>
        <v>0.31</v>
      </c>
    </row>
    <row r="70" spans="1:22" x14ac:dyDescent="0.2">
      <c r="A70" s="4">
        <v>69</v>
      </c>
      <c r="B70" s="5" t="s">
        <v>9066</v>
      </c>
      <c r="C70" s="6">
        <v>42041</v>
      </c>
      <c r="D70" s="27">
        <f>MONTH(Table11[[#This Row],[Order Date]])</f>
        <v>2</v>
      </c>
      <c r="E70" s="5" t="s">
        <v>2645</v>
      </c>
      <c r="F70" s="5" t="s">
        <v>2646</v>
      </c>
      <c r="G70" s="24" t="s">
        <v>41</v>
      </c>
      <c r="H70" s="24" t="s">
        <v>68</v>
      </c>
      <c r="I70" s="5" t="s">
        <v>7882</v>
      </c>
      <c r="J70" s="24" t="s">
        <v>22</v>
      </c>
      <c r="K70" s="27">
        <v>3</v>
      </c>
      <c r="L70" s="6">
        <v>42048</v>
      </c>
      <c r="M70" s="27">
        <f>Table11[[#This Row],[Ship Date]]-Table11[[#This Row],[Order Date]]</f>
        <v>7</v>
      </c>
      <c r="N70" s="24" t="s">
        <v>45</v>
      </c>
      <c r="O70" s="24" t="s">
        <v>23</v>
      </c>
      <c r="P70" s="24" t="s">
        <v>94</v>
      </c>
      <c r="Q70" s="24" t="s">
        <v>95</v>
      </c>
      <c r="R70" s="24" t="s">
        <v>165</v>
      </c>
      <c r="S70" s="34">
        <v>0.8</v>
      </c>
      <c r="T70" s="15">
        <v>2.9340000000000002</v>
      </c>
      <c r="U70" s="18">
        <v>-4.9878</v>
      </c>
      <c r="V70" s="56">
        <f>Table11[[#This Row],[Profit]]/Table11[[#This Row],[Sales]]</f>
        <v>-1.7</v>
      </c>
    </row>
    <row r="71" spans="1:22" x14ac:dyDescent="0.2">
      <c r="A71" s="4">
        <v>70</v>
      </c>
      <c r="B71" s="3" t="s">
        <v>9066</v>
      </c>
      <c r="C71" s="7">
        <v>42041</v>
      </c>
      <c r="D71" s="28">
        <f>MONTH(Table11[[#This Row],[Order Date]])</f>
        <v>2</v>
      </c>
      <c r="E71" s="3" t="s">
        <v>415</v>
      </c>
      <c r="F71" s="3" t="s">
        <v>416</v>
      </c>
      <c r="G71" s="25" t="s">
        <v>64</v>
      </c>
      <c r="H71" s="25" t="s">
        <v>144</v>
      </c>
      <c r="I71" s="3" t="s">
        <v>7882</v>
      </c>
      <c r="J71" s="25" t="s">
        <v>22</v>
      </c>
      <c r="K71" s="28">
        <v>2</v>
      </c>
      <c r="L71" s="7">
        <v>42048</v>
      </c>
      <c r="M71" s="28">
        <f>Table11[[#This Row],[Ship Date]]-Table11[[#This Row],[Order Date]]</f>
        <v>7</v>
      </c>
      <c r="N71" s="25" t="s">
        <v>45</v>
      </c>
      <c r="O71" s="25" t="s">
        <v>23</v>
      </c>
      <c r="P71" s="25" t="s">
        <v>94</v>
      </c>
      <c r="Q71" s="25" t="s">
        <v>95</v>
      </c>
      <c r="R71" s="25" t="s">
        <v>165</v>
      </c>
      <c r="S71" s="35">
        <v>0.2</v>
      </c>
      <c r="T71" s="16">
        <v>18.527999999999999</v>
      </c>
      <c r="U71" s="19">
        <v>4.4004000000000003</v>
      </c>
      <c r="V71" s="56">
        <f>Table11[[#This Row],[Profit]]/Table11[[#This Row],[Sales]]</f>
        <v>0.23750000000000004</v>
      </c>
    </row>
    <row r="72" spans="1:22" x14ac:dyDescent="0.2">
      <c r="A72" s="2">
        <v>71</v>
      </c>
      <c r="B72" s="5" t="s">
        <v>9066</v>
      </c>
      <c r="C72" s="6">
        <v>42041</v>
      </c>
      <c r="D72" s="27">
        <f>MONTH(Table11[[#This Row],[Order Date]])</f>
        <v>2</v>
      </c>
      <c r="E72" s="5" t="s">
        <v>4978</v>
      </c>
      <c r="F72" s="5" t="s">
        <v>4979</v>
      </c>
      <c r="G72" s="24" t="s">
        <v>41</v>
      </c>
      <c r="H72" s="24" t="s">
        <v>53</v>
      </c>
      <c r="I72" s="5" t="s">
        <v>7882</v>
      </c>
      <c r="J72" s="24" t="s">
        <v>22</v>
      </c>
      <c r="K72" s="27">
        <v>3</v>
      </c>
      <c r="L72" s="6">
        <v>42048</v>
      </c>
      <c r="M72" s="27">
        <f>Table11[[#This Row],[Ship Date]]-Table11[[#This Row],[Order Date]]</f>
        <v>7</v>
      </c>
      <c r="N72" s="24" t="s">
        <v>45</v>
      </c>
      <c r="O72" s="24" t="s">
        <v>23</v>
      </c>
      <c r="P72" s="24" t="s">
        <v>94</v>
      </c>
      <c r="Q72" s="24" t="s">
        <v>95</v>
      </c>
      <c r="R72" s="24" t="s">
        <v>165</v>
      </c>
      <c r="S72" s="34">
        <v>0.2</v>
      </c>
      <c r="T72" s="15">
        <v>670.75199999999995</v>
      </c>
      <c r="U72" s="18">
        <v>-125.76600000000001</v>
      </c>
      <c r="V72" s="56">
        <f>Table11[[#This Row],[Profit]]/Table11[[#This Row],[Sales]]</f>
        <v>-0.18750000000000003</v>
      </c>
    </row>
    <row r="73" spans="1:22" x14ac:dyDescent="0.2">
      <c r="A73" s="4">
        <v>72</v>
      </c>
      <c r="B73" s="3" t="s">
        <v>9634</v>
      </c>
      <c r="C73" s="7">
        <v>42041</v>
      </c>
      <c r="D73" s="28">
        <f>MONTH(Table11[[#This Row],[Order Date]])</f>
        <v>2</v>
      </c>
      <c r="E73" s="3" t="s">
        <v>4124</v>
      </c>
      <c r="F73" s="3" t="s">
        <v>4125</v>
      </c>
      <c r="G73" s="25" t="s">
        <v>41</v>
      </c>
      <c r="H73" s="25" t="s">
        <v>53</v>
      </c>
      <c r="I73" s="3" t="s">
        <v>5001</v>
      </c>
      <c r="J73" s="25" t="s">
        <v>36</v>
      </c>
      <c r="K73" s="28">
        <v>3</v>
      </c>
      <c r="L73" s="7">
        <v>42043</v>
      </c>
      <c r="M73" s="28">
        <f>Table11[[#This Row],[Ship Date]]-Table11[[#This Row],[Order Date]]</f>
        <v>2</v>
      </c>
      <c r="N73" s="25" t="s">
        <v>169</v>
      </c>
      <c r="O73" s="25" t="s">
        <v>23</v>
      </c>
      <c r="P73" s="25" t="s">
        <v>285</v>
      </c>
      <c r="Q73" s="25" t="s">
        <v>26</v>
      </c>
      <c r="R73" s="25" t="s">
        <v>3838</v>
      </c>
      <c r="S73" s="35">
        <v>0</v>
      </c>
      <c r="T73" s="16">
        <v>146.72999999999999</v>
      </c>
      <c r="U73" s="19">
        <v>2.9346000000000001</v>
      </c>
      <c r="V73" s="56">
        <f>Table11[[#This Row],[Profit]]/Table11[[#This Row],[Sales]]</f>
        <v>0.02</v>
      </c>
    </row>
    <row r="74" spans="1:22" x14ac:dyDescent="0.2">
      <c r="A74" s="4">
        <v>73</v>
      </c>
      <c r="B74" s="5" t="s">
        <v>9634</v>
      </c>
      <c r="C74" s="6">
        <v>42041</v>
      </c>
      <c r="D74" s="27">
        <f>MONTH(Table11[[#This Row],[Order Date]])</f>
        <v>2</v>
      </c>
      <c r="E74" s="5" t="s">
        <v>580</v>
      </c>
      <c r="F74" s="5" t="s">
        <v>581</v>
      </c>
      <c r="G74" s="24" t="s">
        <v>41</v>
      </c>
      <c r="H74" s="24" t="s">
        <v>82</v>
      </c>
      <c r="I74" s="5" t="s">
        <v>5001</v>
      </c>
      <c r="J74" s="24" t="s">
        <v>36</v>
      </c>
      <c r="K74" s="27">
        <v>5</v>
      </c>
      <c r="L74" s="6">
        <v>42043</v>
      </c>
      <c r="M74" s="27">
        <f>Table11[[#This Row],[Ship Date]]-Table11[[#This Row],[Order Date]]</f>
        <v>2</v>
      </c>
      <c r="N74" s="24" t="s">
        <v>169</v>
      </c>
      <c r="O74" s="24" t="s">
        <v>23</v>
      </c>
      <c r="P74" s="24" t="s">
        <v>285</v>
      </c>
      <c r="Q74" s="24" t="s">
        <v>26</v>
      </c>
      <c r="R74" s="24" t="s">
        <v>3838</v>
      </c>
      <c r="S74" s="34">
        <v>0</v>
      </c>
      <c r="T74" s="15">
        <v>29.9</v>
      </c>
      <c r="U74" s="18">
        <v>13.455</v>
      </c>
      <c r="V74" s="56">
        <f>Table11[[#This Row],[Profit]]/Table11[[#This Row],[Sales]]</f>
        <v>0.45</v>
      </c>
    </row>
    <row r="75" spans="1:22" x14ac:dyDescent="0.2">
      <c r="A75" s="2">
        <v>74</v>
      </c>
      <c r="B75" s="3" t="s">
        <v>8099</v>
      </c>
      <c r="C75" s="7">
        <v>42042</v>
      </c>
      <c r="D75" s="28">
        <f>MONTH(Table11[[#This Row],[Order Date]])</f>
        <v>2</v>
      </c>
      <c r="E75" s="3" t="s">
        <v>2171</v>
      </c>
      <c r="F75" s="3" t="s">
        <v>2172</v>
      </c>
      <c r="G75" s="25" t="s">
        <v>41</v>
      </c>
      <c r="H75" s="25" t="s">
        <v>155</v>
      </c>
      <c r="I75" s="3" t="s">
        <v>3402</v>
      </c>
      <c r="J75" s="25" t="s">
        <v>36</v>
      </c>
      <c r="K75" s="28">
        <v>5</v>
      </c>
      <c r="L75" s="7">
        <v>42046</v>
      </c>
      <c r="M75" s="28">
        <f>Table11[[#This Row],[Ship Date]]-Table11[[#This Row],[Order Date]]</f>
        <v>4</v>
      </c>
      <c r="N75" s="25" t="s">
        <v>45</v>
      </c>
      <c r="O75" s="25" t="s">
        <v>23</v>
      </c>
      <c r="P75" s="25" t="s">
        <v>285</v>
      </c>
      <c r="Q75" s="25" t="s">
        <v>26</v>
      </c>
      <c r="R75" s="25" t="s">
        <v>284</v>
      </c>
      <c r="S75" s="35">
        <v>0</v>
      </c>
      <c r="T75" s="16">
        <v>311.14999999999998</v>
      </c>
      <c r="U75" s="19">
        <v>146.2405</v>
      </c>
      <c r="V75" s="56">
        <f>Table11[[#This Row],[Profit]]/Table11[[#This Row],[Sales]]</f>
        <v>0.47000000000000003</v>
      </c>
    </row>
    <row r="76" spans="1:22" x14ac:dyDescent="0.2">
      <c r="A76" s="4">
        <v>75</v>
      </c>
      <c r="B76" s="5" t="s">
        <v>8099</v>
      </c>
      <c r="C76" s="6">
        <v>42042</v>
      </c>
      <c r="D76" s="27">
        <f>MONTH(Table11[[#This Row],[Order Date]])</f>
        <v>2</v>
      </c>
      <c r="E76" s="5" t="s">
        <v>809</v>
      </c>
      <c r="F76" s="5" t="s">
        <v>810</v>
      </c>
      <c r="G76" s="24" t="s">
        <v>41</v>
      </c>
      <c r="H76" s="24" t="s">
        <v>82</v>
      </c>
      <c r="I76" s="5" t="s">
        <v>3402</v>
      </c>
      <c r="J76" s="24" t="s">
        <v>36</v>
      </c>
      <c r="K76" s="27">
        <v>2</v>
      </c>
      <c r="L76" s="6">
        <v>42046</v>
      </c>
      <c r="M76" s="27">
        <f>Table11[[#This Row],[Ship Date]]-Table11[[#This Row],[Order Date]]</f>
        <v>4</v>
      </c>
      <c r="N76" s="24" t="s">
        <v>45</v>
      </c>
      <c r="O76" s="24" t="s">
        <v>23</v>
      </c>
      <c r="P76" s="24" t="s">
        <v>285</v>
      </c>
      <c r="Q76" s="24" t="s">
        <v>26</v>
      </c>
      <c r="R76" s="24" t="s">
        <v>284</v>
      </c>
      <c r="S76" s="34">
        <v>0</v>
      </c>
      <c r="T76" s="15">
        <v>12.96</v>
      </c>
      <c r="U76" s="18">
        <v>6.3503999999999996</v>
      </c>
      <c r="V76" s="56">
        <f>Table11[[#This Row],[Profit]]/Table11[[#This Row],[Sales]]</f>
        <v>0.48999999999999994</v>
      </c>
    </row>
    <row r="77" spans="1:22" x14ac:dyDescent="0.2">
      <c r="A77" s="4">
        <v>76</v>
      </c>
      <c r="B77" s="3" t="s">
        <v>2125</v>
      </c>
      <c r="C77" s="7">
        <v>42043</v>
      </c>
      <c r="D77" s="28">
        <f>MONTH(Table11[[#This Row],[Order Date]])</f>
        <v>2</v>
      </c>
      <c r="E77" s="3" t="s">
        <v>612</v>
      </c>
      <c r="F77" s="3" t="s">
        <v>613</v>
      </c>
      <c r="G77" s="25" t="s">
        <v>64</v>
      </c>
      <c r="H77" s="25" t="s">
        <v>65</v>
      </c>
      <c r="I77" s="3" t="s">
        <v>2126</v>
      </c>
      <c r="J77" s="25" t="s">
        <v>22</v>
      </c>
      <c r="K77" s="28">
        <v>3</v>
      </c>
      <c r="L77" s="7">
        <v>42048</v>
      </c>
      <c r="M77" s="28">
        <f>Table11[[#This Row],[Ship Date]]-Table11[[#This Row],[Order Date]]</f>
        <v>5</v>
      </c>
      <c r="N77" s="25" t="s">
        <v>45</v>
      </c>
      <c r="O77" s="25" t="s">
        <v>23</v>
      </c>
      <c r="P77" s="25" t="s">
        <v>441</v>
      </c>
      <c r="Q77" s="25" t="s">
        <v>133</v>
      </c>
      <c r="R77" s="25" t="s">
        <v>440</v>
      </c>
      <c r="S77" s="35">
        <v>0.4</v>
      </c>
      <c r="T77" s="16">
        <v>107.982</v>
      </c>
      <c r="U77" s="19">
        <v>-26.9955</v>
      </c>
      <c r="V77" s="56">
        <f>Table11[[#This Row],[Profit]]/Table11[[#This Row],[Sales]]</f>
        <v>-0.25</v>
      </c>
    </row>
    <row r="78" spans="1:22" x14ac:dyDescent="0.2">
      <c r="A78" s="2">
        <v>77</v>
      </c>
      <c r="B78" s="5" t="s">
        <v>8784</v>
      </c>
      <c r="C78" s="6">
        <v>42043</v>
      </c>
      <c r="D78" s="27">
        <f>MONTH(Table11[[#This Row],[Order Date]])</f>
        <v>2</v>
      </c>
      <c r="E78" s="5" t="s">
        <v>5411</v>
      </c>
      <c r="F78" s="5" t="s">
        <v>5412</v>
      </c>
      <c r="G78" s="24" t="s">
        <v>41</v>
      </c>
      <c r="H78" s="24" t="s">
        <v>82</v>
      </c>
      <c r="I78" s="5" t="s">
        <v>56</v>
      </c>
      <c r="J78" s="24" t="s">
        <v>22</v>
      </c>
      <c r="K78" s="27">
        <v>2</v>
      </c>
      <c r="L78" s="6">
        <v>42046</v>
      </c>
      <c r="M78" s="27">
        <f>Table11[[#This Row],[Ship Date]]-Table11[[#This Row],[Order Date]]</f>
        <v>3</v>
      </c>
      <c r="N78" s="24" t="s">
        <v>169</v>
      </c>
      <c r="O78" s="24" t="s">
        <v>23</v>
      </c>
      <c r="P78" s="24" t="s">
        <v>4001</v>
      </c>
      <c r="Q78" s="24" t="s">
        <v>95</v>
      </c>
      <c r="R78" s="24" t="s">
        <v>8672</v>
      </c>
      <c r="S78" s="34">
        <v>0</v>
      </c>
      <c r="T78" s="15">
        <v>9.5399999999999991</v>
      </c>
      <c r="U78" s="18">
        <v>4.2930000000000001</v>
      </c>
      <c r="V78" s="56">
        <f>Table11[[#This Row],[Profit]]/Table11[[#This Row],[Sales]]</f>
        <v>0.45000000000000007</v>
      </c>
    </row>
    <row r="79" spans="1:22" x14ac:dyDescent="0.2">
      <c r="A79" s="4">
        <v>78</v>
      </c>
      <c r="B79" s="3" t="s">
        <v>8784</v>
      </c>
      <c r="C79" s="7">
        <v>42043</v>
      </c>
      <c r="D79" s="28">
        <f>MONTH(Table11[[#This Row],[Order Date]])</f>
        <v>2</v>
      </c>
      <c r="E79" s="3" t="s">
        <v>737</v>
      </c>
      <c r="F79" s="3" t="s">
        <v>738</v>
      </c>
      <c r="G79" s="25" t="s">
        <v>41</v>
      </c>
      <c r="H79" s="25" t="s">
        <v>240</v>
      </c>
      <c r="I79" s="3" t="s">
        <v>56</v>
      </c>
      <c r="J79" s="25" t="s">
        <v>22</v>
      </c>
      <c r="K79" s="28">
        <v>1</v>
      </c>
      <c r="L79" s="7">
        <v>42046</v>
      </c>
      <c r="M79" s="28">
        <f>Table11[[#This Row],[Ship Date]]-Table11[[#This Row],[Order Date]]</f>
        <v>3</v>
      </c>
      <c r="N79" s="25" t="s">
        <v>169</v>
      </c>
      <c r="O79" s="25" t="s">
        <v>23</v>
      </c>
      <c r="P79" s="25" t="s">
        <v>4001</v>
      </c>
      <c r="Q79" s="25" t="s">
        <v>95</v>
      </c>
      <c r="R79" s="25" t="s">
        <v>8672</v>
      </c>
      <c r="S79" s="35">
        <v>0</v>
      </c>
      <c r="T79" s="16">
        <v>5.81</v>
      </c>
      <c r="U79" s="19">
        <v>1.8010999999999999</v>
      </c>
      <c r="V79" s="56">
        <f>Table11[[#This Row],[Profit]]/Table11[[#This Row],[Sales]]</f>
        <v>0.31</v>
      </c>
    </row>
    <row r="80" spans="1:22" x14ac:dyDescent="0.2">
      <c r="A80" s="4">
        <v>79</v>
      </c>
      <c r="B80" s="5" t="s">
        <v>8784</v>
      </c>
      <c r="C80" s="6">
        <v>42043</v>
      </c>
      <c r="D80" s="27">
        <f>MONTH(Table11[[#This Row],[Order Date]])</f>
        <v>2</v>
      </c>
      <c r="E80" s="5" t="s">
        <v>506</v>
      </c>
      <c r="F80" s="5" t="s">
        <v>507</v>
      </c>
      <c r="G80" s="24" t="s">
        <v>41</v>
      </c>
      <c r="H80" s="24" t="s">
        <v>61</v>
      </c>
      <c r="I80" s="5" t="s">
        <v>56</v>
      </c>
      <c r="J80" s="24" t="s">
        <v>22</v>
      </c>
      <c r="K80" s="27">
        <v>2</v>
      </c>
      <c r="L80" s="6">
        <v>42046</v>
      </c>
      <c r="M80" s="27">
        <f>Table11[[#This Row],[Ship Date]]-Table11[[#This Row],[Order Date]]</f>
        <v>3</v>
      </c>
      <c r="N80" s="24" t="s">
        <v>169</v>
      </c>
      <c r="O80" s="24" t="s">
        <v>23</v>
      </c>
      <c r="P80" s="24" t="s">
        <v>4001</v>
      </c>
      <c r="Q80" s="24" t="s">
        <v>95</v>
      </c>
      <c r="R80" s="24" t="s">
        <v>8672</v>
      </c>
      <c r="S80" s="34">
        <v>0</v>
      </c>
      <c r="T80" s="15">
        <v>5.76</v>
      </c>
      <c r="U80" s="18">
        <v>1.728</v>
      </c>
      <c r="V80" s="56">
        <f>Table11[[#This Row],[Profit]]/Table11[[#This Row],[Sales]]</f>
        <v>0.3</v>
      </c>
    </row>
    <row r="81" spans="1:22" x14ac:dyDescent="0.2">
      <c r="A81" s="2">
        <v>80</v>
      </c>
      <c r="B81" s="3" t="s">
        <v>741</v>
      </c>
      <c r="C81" s="7">
        <v>42044</v>
      </c>
      <c r="D81" s="28">
        <f>MONTH(Table11[[#This Row],[Order Date]])</f>
        <v>2</v>
      </c>
      <c r="E81" s="3" t="s">
        <v>743</v>
      </c>
      <c r="F81" s="3" t="s">
        <v>744</v>
      </c>
      <c r="G81" s="25" t="s">
        <v>64</v>
      </c>
      <c r="H81" s="25" t="s">
        <v>144</v>
      </c>
      <c r="I81" s="3" t="s">
        <v>742</v>
      </c>
      <c r="J81" s="25" t="s">
        <v>36</v>
      </c>
      <c r="K81" s="28">
        <v>2</v>
      </c>
      <c r="L81" s="7">
        <v>42048</v>
      </c>
      <c r="M81" s="28">
        <f>Table11[[#This Row],[Ship Date]]-Table11[[#This Row],[Order Date]]</f>
        <v>4</v>
      </c>
      <c r="N81" s="25" t="s">
        <v>20</v>
      </c>
      <c r="O81" s="25" t="s">
        <v>23</v>
      </c>
      <c r="P81" s="25" t="s">
        <v>94</v>
      </c>
      <c r="Q81" s="25" t="s">
        <v>95</v>
      </c>
      <c r="R81" s="25" t="s">
        <v>718</v>
      </c>
      <c r="S81" s="35">
        <v>0.2</v>
      </c>
      <c r="T81" s="16">
        <v>20.8</v>
      </c>
      <c r="U81" s="19">
        <v>6.5</v>
      </c>
      <c r="V81" s="56">
        <f>Table11[[#This Row],[Profit]]/Table11[[#This Row],[Sales]]</f>
        <v>0.3125</v>
      </c>
    </row>
    <row r="82" spans="1:22" x14ac:dyDescent="0.2">
      <c r="A82" s="4">
        <v>81</v>
      </c>
      <c r="B82" s="5" t="s">
        <v>4084</v>
      </c>
      <c r="C82" s="6">
        <v>42044</v>
      </c>
      <c r="D82" s="27">
        <f>MONTH(Table11[[#This Row],[Order Date]])</f>
        <v>2</v>
      </c>
      <c r="E82" s="5" t="s">
        <v>1058</v>
      </c>
      <c r="F82" s="5" t="s">
        <v>1059</v>
      </c>
      <c r="G82" s="24" t="s">
        <v>41</v>
      </c>
      <c r="H82" s="24" t="s">
        <v>42</v>
      </c>
      <c r="I82" s="5" t="s">
        <v>1036</v>
      </c>
      <c r="J82" s="24" t="s">
        <v>36</v>
      </c>
      <c r="K82" s="27">
        <v>4</v>
      </c>
      <c r="L82" s="6">
        <v>42046</v>
      </c>
      <c r="M82" s="27">
        <f>Table11[[#This Row],[Ship Date]]-Table11[[#This Row],[Order Date]]</f>
        <v>2</v>
      </c>
      <c r="N82" s="24" t="s">
        <v>20</v>
      </c>
      <c r="O82" s="24" t="s">
        <v>23</v>
      </c>
      <c r="P82" s="24" t="s">
        <v>94</v>
      </c>
      <c r="Q82" s="24" t="s">
        <v>95</v>
      </c>
      <c r="R82" s="24" t="s">
        <v>598</v>
      </c>
      <c r="S82" s="34">
        <v>0.2</v>
      </c>
      <c r="T82" s="15">
        <v>40.095999999999997</v>
      </c>
      <c r="U82" s="18">
        <v>13.532400000000001</v>
      </c>
      <c r="V82" s="56">
        <f>Table11[[#This Row],[Profit]]/Table11[[#This Row],[Sales]]</f>
        <v>0.33750000000000008</v>
      </c>
    </row>
    <row r="83" spans="1:22" x14ac:dyDescent="0.2">
      <c r="A83" s="4">
        <v>82</v>
      </c>
      <c r="B83" s="3" t="s">
        <v>4084</v>
      </c>
      <c r="C83" s="7">
        <v>42044</v>
      </c>
      <c r="D83" s="28">
        <f>MONTH(Table11[[#This Row],[Order Date]])</f>
        <v>2</v>
      </c>
      <c r="E83" s="3" t="s">
        <v>4085</v>
      </c>
      <c r="F83" s="3" t="s">
        <v>4086</v>
      </c>
      <c r="G83" s="25" t="s">
        <v>28</v>
      </c>
      <c r="H83" s="25" t="s">
        <v>58</v>
      </c>
      <c r="I83" s="3" t="s">
        <v>1036</v>
      </c>
      <c r="J83" s="25" t="s">
        <v>36</v>
      </c>
      <c r="K83" s="28">
        <v>2</v>
      </c>
      <c r="L83" s="7">
        <v>42046</v>
      </c>
      <c r="M83" s="28">
        <f>Table11[[#This Row],[Ship Date]]-Table11[[#This Row],[Order Date]]</f>
        <v>2</v>
      </c>
      <c r="N83" s="25" t="s">
        <v>20</v>
      </c>
      <c r="O83" s="25" t="s">
        <v>23</v>
      </c>
      <c r="P83" s="25" t="s">
        <v>94</v>
      </c>
      <c r="Q83" s="25" t="s">
        <v>95</v>
      </c>
      <c r="R83" s="25" t="s">
        <v>598</v>
      </c>
      <c r="S83" s="35">
        <v>0.6</v>
      </c>
      <c r="T83" s="16">
        <v>40.783999999999999</v>
      </c>
      <c r="U83" s="19">
        <v>-30.588000000000001</v>
      </c>
      <c r="V83" s="56">
        <f>Table11[[#This Row],[Profit]]/Table11[[#This Row],[Sales]]</f>
        <v>-0.75</v>
      </c>
    </row>
    <row r="84" spans="1:22" x14ac:dyDescent="0.2">
      <c r="A84" s="2">
        <v>83</v>
      </c>
      <c r="B84" s="5" t="s">
        <v>5802</v>
      </c>
      <c r="C84" s="6">
        <v>42044</v>
      </c>
      <c r="D84" s="27">
        <f>MONTH(Table11[[#This Row],[Order Date]])</f>
        <v>2</v>
      </c>
      <c r="E84" s="5" t="s">
        <v>134</v>
      </c>
      <c r="F84" s="5" t="s">
        <v>135</v>
      </c>
      <c r="G84" s="24" t="s">
        <v>28</v>
      </c>
      <c r="H84" s="24" t="s">
        <v>32</v>
      </c>
      <c r="I84" s="5" t="s">
        <v>5771</v>
      </c>
      <c r="J84" s="24" t="s">
        <v>22</v>
      </c>
      <c r="K84" s="27">
        <v>5</v>
      </c>
      <c r="L84" s="6">
        <v>42051</v>
      </c>
      <c r="M84" s="27">
        <f>Table11[[#This Row],[Ship Date]]-Table11[[#This Row],[Order Date]]</f>
        <v>7</v>
      </c>
      <c r="N84" s="24" t="s">
        <v>45</v>
      </c>
      <c r="O84" s="24" t="s">
        <v>23</v>
      </c>
      <c r="P84" s="24" t="s">
        <v>38</v>
      </c>
      <c r="Q84" s="24" t="s">
        <v>39</v>
      </c>
      <c r="R84" s="24" t="s">
        <v>37</v>
      </c>
      <c r="S84" s="34">
        <v>0.2</v>
      </c>
      <c r="T84" s="15">
        <v>203.92</v>
      </c>
      <c r="U84" s="18">
        <v>22.940999999999999</v>
      </c>
      <c r="V84" s="56">
        <f>Table11[[#This Row],[Profit]]/Table11[[#This Row],[Sales]]</f>
        <v>0.1125</v>
      </c>
    </row>
    <row r="85" spans="1:22" x14ac:dyDescent="0.2">
      <c r="A85" s="4">
        <v>84</v>
      </c>
      <c r="B85" s="3" t="s">
        <v>8506</v>
      </c>
      <c r="C85" s="7">
        <v>42044</v>
      </c>
      <c r="D85" s="28">
        <f>MONTH(Table11[[#This Row],[Order Date]])</f>
        <v>2</v>
      </c>
      <c r="E85" s="3" t="s">
        <v>1043</v>
      </c>
      <c r="F85" s="3" t="s">
        <v>1044</v>
      </c>
      <c r="G85" s="25" t="s">
        <v>64</v>
      </c>
      <c r="H85" s="25" t="s">
        <v>144</v>
      </c>
      <c r="I85" s="3" t="s">
        <v>4007</v>
      </c>
      <c r="J85" s="25" t="s">
        <v>22</v>
      </c>
      <c r="K85" s="28">
        <v>6</v>
      </c>
      <c r="L85" s="7">
        <v>42048</v>
      </c>
      <c r="M85" s="28">
        <f>Table11[[#This Row],[Ship Date]]-Table11[[#This Row],[Order Date]]</f>
        <v>4</v>
      </c>
      <c r="N85" s="25" t="s">
        <v>20</v>
      </c>
      <c r="O85" s="25" t="s">
        <v>23</v>
      </c>
      <c r="P85" s="25" t="s">
        <v>189</v>
      </c>
      <c r="Q85" s="25" t="s">
        <v>95</v>
      </c>
      <c r="R85" s="25" t="s">
        <v>319</v>
      </c>
      <c r="S85" s="35">
        <v>0.2</v>
      </c>
      <c r="T85" s="16">
        <v>479.952</v>
      </c>
      <c r="U85" s="19">
        <v>89.991</v>
      </c>
      <c r="V85" s="56">
        <f>Table11[[#This Row],[Profit]]/Table11[[#This Row],[Sales]]</f>
        <v>0.1875</v>
      </c>
    </row>
    <row r="86" spans="1:22" x14ac:dyDescent="0.2">
      <c r="A86" s="4">
        <v>85</v>
      </c>
      <c r="B86" s="5" t="s">
        <v>8628</v>
      </c>
      <c r="C86" s="6">
        <v>42045</v>
      </c>
      <c r="D86" s="27">
        <f>MONTH(Table11[[#This Row],[Order Date]])</f>
        <v>2</v>
      </c>
      <c r="E86" s="5" t="s">
        <v>4334</v>
      </c>
      <c r="F86" s="5" t="s">
        <v>4335</v>
      </c>
      <c r="G86" s="24" t="s">
        <v>41</v>
      </c>
      <c r="H86" s="24" t="s">
        <v>53</v>
      </c>
      <c r="I86" s="5" t="s">
        <v>1785</v>
      </c>
      <c r="J86" s="24" t="s">
        <v>36</v>
      </c>
      <c r="K86" s="27">
        <v>5</v>
      </c>
      <c r="L86" s="6">
        <v>42049</v>
      </c>
      <c r="M86" s="27">
        <f>Table11[[#This Row],[Ship Date]]-Table11[[#This Row],[Order Date]]</f>
        <v>4</v>
      </c>
      <c r="N86" s="24" t="s">
        <v>20</v>
      </c>
      <c r="O86" s="24" t="s">
        <v>23</v>
      </c>
      <c r="P86" s="24" t="s">
        <v>132</v>
      </c>
      <c r="Q86" s="24" t="s">
        <v>133</v>
      </c>
      <c r="R86" s="24" t="s">
        <v>131</v>
      </c>
      <c r="S86" s="34">
        <v>0.2</v>
      </c>
      <c r="T86" s="15">
        <v>77.239999999999995</v>
      </c>
      <c r="U86" s="18">
        <v>7.7240000000000002</v>
      </c>
      <c r="V86" s="56">
        <f>Table11[[#This Row],[Profit]]/Table11[[#This Row],[Sales]]</f>
        <v>0.1</v>
      </c>
    </row>
    <row r="87" spans="1:22" x14ac:dyDescent="0.2">
      <c r="A87" s="2">
        <v>86</v>
      </c>
      <c r="B87" s="3" t="s">
        <v>6673</v>
      </c>
      <c r="C87" s="7">
        <v>42049</v>
      </c>
      <c r="D87" s="28">
        <f>MONTH(Table11[[#This Row],[Order Date]])</f>
        <v>2</v>
      </c>
      <c r="E87" s="3" t="s">
        <v>1526</v>
      </c>
      <c r="F87" s="3" t="s">
        <v>1527</v>
      </c>
      <c r="G87" s="25" t="s">
        <v>41</v>
      </c>
      <c r="H87" s="25" t="s">
        <v>68</v>
      </c>
      <c r="I87" s="3" t="s">
        <v>363</v>
      </c>
      <c r="J87" s="25" t="s">
        <v>22</v>
      </c>
      <c r="K87" s="28">
        <v>2</v>
      </c>
      <c r="L87" s="7">
        <v>42054</v>
      </c>
      <c r="M87" s="28">
        <f>Table11[[#This Row],[Ship Date]]-Table11[[#This Row],[Order Date]]</f>
        <v>5</v>
      </c>
      <c r="N87" s="25" t="s">
        <v>45</v>
      </c>
      <c r="O87" s="25" t="s">
        <v>23</v>
      </c>
      <c r="P87" s="25" t="s">
        <v>441</v>
      </c>
      <c r="Q87" s="25" t="s">
        <v>133</v>
      </c>
      <c r="R87" s="25" t="s">
        <v>706</v>
      </c>
      <c r="S87" s="35">
        <v>0.7</v>
      </c>
      <c r="T87" s="16">
        <v>14.952</v>
      </c>
      <c r="U87" s="19">
        <v>-11.961600000000001</v>
      </c>
      <c r="V87" s="56">
        <f>Table11[[#This Row],[Profit]]/Table11[[#This Row],[Sales]]</f>
        <v>-0.8</v>
      </c>
    </row>
    <row r="88" spans="1:22" x14ac:dyDescent="0.2">
      <c r="A88" s="4">
        <v>87</v>
      </c>
      <c r="B88" s="5" t="s">
        <v>6673</v>
      </c>
      <c r="C88" s="6">
        <v>42049</v>
      </c>
      <c r="D88" s="27">
        <f>MONTH(Table11[[#This Row],[Order Date]])</f>
        <v>2</v>
      </c>
      <c r="E88" s="5" t="s">
        <v>5149</v>
      </c>
      <c r="F88" s="5" t="s">
        <v>5150</v>
      </c>
      <c r="G88" s="24" t="s">
        <v>64</v>
      </c>
      <c r="H88" s="24" t="s">
        <v>65</v>
      </c>
      <c r="I88" s="5" t="s">
        <v>363</v>
      </c>
      <c r="J88" s="24" t="s">
        <v>22</v>
      </c>
      <c r="K88" s="27">
        <v>3</v>
      </c>
      <c r="L88" s="6">
        <v>42054</v>
      </c>
      <c r="M88" s="27">
        <f>Table11[[#This Row],[Ship Date]]-Table11[[#This Row],[Order Date]]</f>
        <v>5</v>
      </c>
      <c r="N88" s="24" t="s">
        <v>45</v>
      </c>
      <c r="O88" s="24" t="s">
        <v>23</v>
      </c>
      <c r="P88" s="24" t="s">
        <v>441</v>
      </c>
      <c r="Q88" s="24" t="s">
        <v>133</v>
      </c>
      <c r="R88" s="24" t="s">
        <v>706</v>
      </c>
      <c r="S88" s="34">
        <v>0.4</v>
      </c>
      <c r="T88" s="15">
        <v>323.98200000000003</v>
      </c>
      <c r="U88" s="18">
        <v>-80.995500000000007</v>
      </c>
      <c r="V88" s="56">
        <f>Table11[[#This Row],[Profit]]/Table11[[#This Row],[Sales]]</f>
        <v>-0.25</v>
      </c>
    </row>
    <row r="89" spans="1:22" x14ac:dyDescent="0.2">
      <c r="A89" s="4">
        <v>88</v>
      </c>
      <c r="B89" s="3" t="s">
        <v>6673</v>
      </c>
      <c r="C89" s="7">
        <v>42049</v>
      </c>
      <c r="D89" s="28">
        <f>MONTH(Table11[[#This Row],[Order Date]])</f>
        <v>2</v>
      </c>
      <c r="E89" s="3" t="s">
        <v>1108</v>
      </c>
      <c r="F89" s="3" t="s">
        <v>1109</v>
      </c>
      <c r="G89" s="25" t="s">
        <v>41</v>
      </c>
      <c r="H89" s="25" t="s">
        <v>68</v>
      </c>
      <c r="I89" s="3" t="s">
        <v>363</v>
      </c>
      <c r="J89" s="25" t="s">
        <v>22</v>
      </c>
      <c r="K89" s="28">
        <v>2</v>
      </c>
      <c r="L89" s="7">
        <v>42054</v>
      </c>
      <c r="M89" s="28">
        <f>Table11[[#This Row],[Ship Date]]-Table11[[#This Row],[Order Date]]</f>
        <v>5</v>
      </c>
      <c r="N89" s="25" t="s">
        <v>45</v>
      </c>
      <c r="O89" s="25" t="s">
        <v>23</v>
      </c>
      <c r="P89" s="25" t="s">
        <v>441</v>
      </c>
      <c r="Q89" s="25" t="s">
        <v>133</v>
      </c>
      <c r="R89" s="25" t="s">
        <v>706</v>
      </c>
      <c r="S89" s="35">
        <v>0.7</v>
      </c>
      <c r="T89" s="16">
        <v>2.286</v>
      </c>
      <c r="U89" s="19">
        <v>-1.6763999999999999</v>
      </c>
      <c r="V89" s="56">
        <f>Table11[[#This Row],[Profit]]/Table11[[#This Row],[Sales]]</f>
        <v>-0.73333333333333328</v>
      </c>
    </row>
    <row r="90" spans="1:22" x14ac:dyDescent="0.2">
      <c r="A90" s="2">
        <v>89</v>
      </c>
      <c r="B90" s="5" t="s">
        <v>6673</v>
      </c>
      <c r="C90" s="6">
        <v>42049</v>
      </c>
      <c r="D90" s="27">
        <f>MONTH(Table11[[#This Row],[Order Date]])</f>
        <v>2</v>
      </c>
      <c r="E90" s="5" t="s">
        <v>3021</v>
      </c>
      <c r="F90" s="5" t="s">
        <v>3022</v>
      </c>
      <c r="G90" s="24" t="s">
        <v>41</v>
      </c>
      <c r="H90" s="24" t="s">
        <v>61</v>
      </c>
      <c r="I90" s="5" t="s">
        <v>363</v>
      </c>
      <c r="J90" s="24" t="s">
        <v>22</v>
      </c>
      <c r="K90" s="27">
        <v>3</v>
      </c>
      <c r="L90" s="6">
        <v>42054</v>
      </c>
      <c r="M90" s="27">
        <f>Table11[[#This Row],[Ship Date]]-Table11[[#This Row],[Order Date]]</f>
        <v>5</v>
      </c>
      <c r="N90" s="24" t="s">
        <v>45</v>
      </c>
      <c r="O90" s="24" t="s">
        <v>23</v>
      </c>
      <c r="P90" s="24" t="s">
        <v>441</v>
      </c>
      <c r="Q90" s="24" t="s">
        <v>133</v>
      </c>
      <c r="R90" s="24" t="s">
        <v>706</v>
      </c>
      <c r="S90" s="34">
        <v>0.2</v>
      </c>
      <c r="T90" s="15">
        <v>14.352</v>
      </c>
      <c r="U90" s="18">
        <v>0.89700000000000002</v>
      </c>
      <c r="V90" s="56">
        <f>Table11[[#This Row],[Profit]]/Table11[[#This Row],[Sales]]</f>
        <v>6.25E-2</v>
      </c>
    </row>
    <row r="91" spans="1:22" x14ac:dyDescent="0.2">
      <c r="A91" s="4">
        <v>90</v>
      </c>
      <c r="B91" s="3" t="s">
        <v>6673</v>
      </c>
      <c r="C91" s="7">
        <v>42049</v>
      </c>
      <c r="D91" s="28">
        <f>MONTH(Table11[[#This Row],[Order Date]])</f>
        <v>2</v>
      </c>
      <c r="E91" s="3" t="s">
        <v>3675</v>
      </c>
      <c r="F91" s="3" t="s">
        <v>3676</v>
      </c>
      <c r="G91" s="25" t="s">
        <v>64</v>
      </c>
      <c r="H91" s="25" t="s">
        <v>144</v>
      </c>
      <c r="I91" s="3" t="s">
        <v>363</v>
      </c>
      <c r="J91" s="25" t="s">
        <v>22</v>
      </c>
      <c r="K91" s="28">
        <v>3</v>
      </c>
      <c r="L91" s="7">
        <v>42054</v>
      </c>
      <c r="M91" s="28">
        <f>Table11[[#This Row],[Ship Date]]-Table11[[#This Row],[Order Date]]</f>
        <v>5</v>
      </c>
      <c r="N91" s="25" t="s">
        <v>45</v>
      </c>
      <c r="O91" s="25" t="s">
        <v>23</v>
      </c>
      <c r="P91" s="25" t="s">
        <v>441</v>
      </c>
      <c r="Q91" s="25" t="s">
        <v>133</v>
      </c>
      <c r="R91" s="25" t="s">
        <v>706</v>
      </c>
      <c r="S91" s="35">
        <v>0.2</v>
      </c>
      <c r="T91" s="16">
        <v>71.975999999999999</v>
      </c>
      <c r="U91" s="19">
        <v>0.89970000000000006</v>
      </c>
      <c r="V91" s="56">
        <f>Table11[[#This Row],[Profit]]/Table11[[#This Row],[Sales]]</f>
        <v>1.2500000000000001E-2</v>
      </c>
    </row>
    <row r="92" spans="1:22" x14ac:dyDescent="0.2">
      <c r="A92" s="4">
        <v>91</v>
      </c>
      <c r="B92" s="5" t="s">
        <v>8822</v>
      </c>
      <c r="C92" s="6">
        <v>42049</v>
      </c>
      <c r="D92" s="27">
        <f>MONTH(Table11[[#This Row],[Order Date]])</f>
        <v>2</v>
      </c>
      <c r="E92" s="5" t="s">
        <v>8486</v>
      </c>
      <c r="F92" s="5" t="s">
        <v>8487</v>
      </c>
      <c r="G92" s="24" t="s">
        <v>41</v>
      </c>
      <c r="H92" s="24" t="s">
        <v>68</v>
      </c>
      <c r="I92" s="5" t="s">
        <v>579</v>
      </c>
      <c r="J92" s="24" t="s">
        <v>22</v>
      </c>
      <c r="K92" s="27">
        <v>9</v>
      </c>
      <c r="L92" s="6">
        <v>42056</v>
      </c>
      <c r="M92" s="27">
        <f>Table11[[#This Row],[Ship Date]]-Table11[[#This Row],[Order Date]]</f>
        <v>7</v>
      </c>
      <c r="N92" s="24" t="s">
        <v>45</v>
      </c>
      <c r="O92" s="24" t="s">
        <v>23</v>
      </c>
      <c r="P92" s="24" t="s">
        <v>238</v>
      </c>
      <c r="Q92" s="24" t="s">
        <v>133</v>
      </c>
      <c r="R92" s="24" t="s">
        <v>347</v>
      </c>
      <c r="S92" s="34">
        <v>0.2</v>
      </c>
      <c r="T92" s="15">
        <v>26.423999999999999</v>
      </c>
      <c r="U92" s="18">
        <v>9.5786999999999995</v>
      </c>
      <c r="V92" s="56">
        <f>Table11[[#This Row],[Profit]]/Table11[[#This Row],[Sales]]</f>
        <v>0.36249999999999999</v>
      </c>
    </row>
    <row r="93" spans="1:22" x14ac:dyDescent="0.2">
      <c r="A93" s="2">
        <v>92</v>
      </c>
      <c r="B93" s="3" t="s">
        <v>8822</v>
      </c>
      <c r="C93" s="7">
        <v>42049</v>
      </c>
      <c r="D93" s="28">
        <f>MONTH(Table11[[#This Row],[Order Date]])</f>
        <v>2</v>
      </c>
      <c r="E93" s="3" t="s">
        <v>7191</v>
      </c>
      <c r="F93" s="3" t="s">
        <v>7192</v>
      </c>
      <c r="G93" s="25" t="s">
        <v>64</v>
      </c>
      <c r="H93" s="25" t="s">
        <v>65</v>
      </c>
      <c r="I93" s="3" t="s">
        <v>579</v>
      </c>
      <c r="J93" s="25" t="s">
        <v>22</v>
      </c>
      <c r="K93" s="28">
        <v>1</v>
      </c>
      <c r="L93" s="7">
        <v>42056</v>
      </c>
      <c r="M93" s="28">
        <f>Table11[[#This Row],[Ship Date]]-Table11[[#This Row],[Order Date]]</f>
        <v>7</v>
      </c>
      <c r="N93" s="25" t="s">
        <v>45</v>
      </c>
      <c r="O93" s="25" t="s">
        <v>23</v>
      </c>
      <c r="P93" s="25" t="s">
        <v>238</v>
      </c>
      <c r="Q93" s="25" t="s">
        <v>133</v>
      </c>
      <c r="R93" s="25" t="s">
        <v>347</v>
      </c>
      <c r="S93" s="35">
        <v>0</v>
      </c>
      <c r="T93" s="16">
        <v>625.99</v>
      </c>
      <c r="U93" s="19">
        <v>187.797</v>
      </c>
      <c r="V93" s="56">
        <f>Table11[[#This Row],[Profit]]/Table11[[#This Row],[Sales]]</f>
        <v>0.3</v>
      </c>
    </row>
    <row r="94" spans="1:22" x14ac:dyDescent="0.2">
      <c r="A94" s="4">
        <v>93</v>
      </c>
      <c r="B94" s="5" t="s">
        <v>3985</v>
      </c>
      <c r="C94" s="6">
        <v>42050</v>
      </c>
      <c r="D94" s="27">
        <f>MONTH(Table11[[#This Row],[Order Date]])</f>
        <v>2</v>
      </c>
      <c r="E94" s="5" t="s">
        <v>2819</v>
      </c>
      <c r="F94" s="5" t="s">
        <v>2820</v>
      </c>
      <c r="G94" s="24" t="s">
        <v>64</v>
      </c>
      <c r="H94" s="24" t="s">
        <v>65</v>
      </c>
      <c r="I94" s="5" t="s">
        <v>3986</v>
      </c>
      <c r="J94" s="24" t="s">
        <v>36</v>
      </c>
      <c r="K94" s="27">
        <v>3</v>
      </c>
      <c r="L94" s="6">
        <v>42054</v>
      </c>
      <c r="M94" s="27">
        <f>Table11[[#This Row],[Ship Date]]-Table11[[#This Row],[Order Date]]</f>
        <v>4</v>
      </c>
      <c r="N94" s="24" t="s">
        <v>45</v>
      </c>
      <c r="O94" s="24" t="s">
        <v>23</v>
      </c>
      <c r="P94" s="24" t="s">
        <v>103</v>
      </c>
      <c r="Q94" s="24" t="s">
        <v>95</v>
      </c>
      <c r="R94" s="24" t="s">
        <v>3987</v>
      </c>
      <c r="S94" s="34">
        <v>0</v>
      </c>
      <c r="T94" s="15">
        <v>134.97</v>
      </c>
      <c r="U94" s="18">
        <v>64.785600000000002</v>
      </c>
      <c r="V94" s="56">
        <f>Table11[[#This Row],[Profit]]/Table11[[#This Row],[Sales]]</f>
        <v>0.48000000000000004</v>
      </c>
    </row>
    <row r="95" spans="1:22" x14ac:dyDescent="0.2">
      <c r="A95" s="4">
        <v>94</v>
      </c>
      <c r="B95" s="3" t="s">
        <v>3985</v>
      </c>
      <c r="C95" s="7">
        <v>42050</v>
      </c>
      <c r="D95" s="28">
        <f>MONTH(Table11[[#This Row],[Order Date]])</f>
        <v>2</v>
      </c>
      <c r="E95" s="3" t="s">
        <v>2598</v>
      </c>
      <c r="F95" s="3" t="s">
        <v>2599</v>
      </c>
      <c r="G95" s="25" t="s">
        <v>64</v>
      </c>
      <c r="H95" s="25" t="s">
        <v>65</v>
      </c>
      <c r="I95" s="3" t="s">
        <v>3986</v>
      </c>
      <c r="J95" s="25" t="s">
        <v>36</v>
      </c>
      <c r="K95" s="28">
        <v>2</v>
      </c>
      <c r="L95" s="7">
        <v>42054</v>
      </c>
      <c r="M95" s="28">
        <f>Table11[[#This Row],[Ship Date]]-Table11[[#This Row],[Order Date]]</f>
        <v>4</v>
      </c>
      <c r="N95" s="25" t="s">
        <v>45</v>
      </c>
      <c r="O95" s="25" t="s">
        <v>23</v>
      </c>
      <c r="P95" s="25" t="s">
        <v>103</v>
      </c>
      <c r="Q95" s="25" t="s">
        <v>95</v>
      </c>
      <c r="R95" s="25" t="s">
        <v>3987</v>
      </c>
      <c r="S95" s="35">
        <v>0</v>
      </c>
      <c r="T95" s="16">
        <v>699.98</v>
      </c>
      <c r="U95" s="19">
        <v>195.99440000000001</v>
      </c>
      <c r="V95" s="56">
        <f>Table11[[#This Row],[Profit]]/Table11[[#This Row],[Sales]]</f>
        <v>0.28000000000000003</v>
      </c>
    </row>
    <row r="96" spans="1:22" x14ac:dyDescent="0.2">
      <c r="A96" s="2">
        <v>95</v>
      </c>
      <c r="B96" s="5" t="s">
        <v>3985</v>
      </c>
      <c r="C96" s="6">
        <v>42050</v>
      </c>
      <c r="D96" s="27">
        <f>MONTH(Table11[[#This Row],[Order Date]])</f>
        <v>2</v>
      </c>
      <c r="E96" s="5" t="s">
        <v>3988</v>
      </c>
      <c r="F96" s="5" t="s">
        <v>3989</v>
      </c>
      <c r="G96" s="24" t="s">
        <v>64</v>
      </c>
      <c r="H96" s="24" t="s">
        <v>144</v>
      </c>
      <c r="I96" s="5" t="s">
        <v>3986</v>
      </c>
      <c r="J96" s="24" t="s">
        <v>36</v>
      </c>
      <c r="K96" s="27">
        <v>5</v>
      </c>
      <c r="L96" s="6">
        <v>42054</v>
      </c>
      <c r="M96" s="27">
        <f>Table11[[#This Row],[Ship Date]]-Table11[[#This Row],[Order Date]]</f>
        <v>4</v>
      </c>
      <c r="N96" s="24" t="s">
        <v>45</v>
      </c>
      <c r="O96" s="24" t="s">
        <v>23</v>
      </c>
      <c r="P96" s="24" t="s">
        <v>103</v>
      </c>
      <c r="Q96" s="24" t="s">
        <v>95</v>
      </c>
      <c r="R96" s="24" t="s">
        <v>3987</v>
      </c>
      <c r="S96" s="34">
        <v>0</v>
      </c>
      <c r="T96" s="15">
        <v>139.94999999999999</v>
      </c>
      <c r="U96" s="18">
        <v>26.590499999999999</v>
      </c>
      <c r="V96" s="56">
        <f>Table11[[#This Row],[Profit]]/Table11[[#This Row],[Sales]]</f>
        <v>0.19</v>
      </c>
    </row>
    <row r="97" spans="1:22" x14ac:dyDescent="0.2">
      <c r="A97" s="4">
        <v>96</v>
      </c>
      <c r="B97" s="3" t="s">
        <v>4634</v>
      </c>
      <c r="C97" s="7">
        <v>42050</v>
      </c>
      <c r="D97" s="28">
        <f>MONTH(Table11[[#This Row],[Order Date]])</f>
        <v>2</v>
      </c>
      <c r="E97" s="3" t="s">
        <v>4636</v>
      </c>
      <c r="F97" s="3" t="s">
        <v>4637</v>
      </c>
      <c r="G97" s="25" t="s">
        <v>41</v>
      </c>
      <c r="H97" s="25" t="s">
        <v>82</v>
      </c>
      <c r="I97" s="3" t="s">
        <v>4635</v>
      </c>
      <c r="J97" s="25" t="s">
        <v>22</v>
      </c>
      <c r="K97" s="28">
        <v>2</v>
      </c>
      <c r="L97" s="7">
        <v>42053</v>
      </c>
      <c r="M97" s="28">
        <f>Table11[[#This Row],[Ship Date]]-Table11[[#This Row],[Order Date]]</f>
        <v>3</v>
      </c>
      <c r="N97" s="25" t="s">
        <v>20</v>
      </c>
      <c r="O97" s="25" t="s">
        <v>23</v>
      </c>
      <c r="P97" s="25" t="s">
        <v>38</v>
      </c>
      <c r="Q97" s="25" t="s">
        <v>39</v>
      </c>
      <c r="R97" s="25" t="s">
        <v>37</v>
      </c>
      <c r="S97" s="35">
        <v>0</v>
      </c>
      <c r="T97" s="16">
        <v>13.36</v>
      </c>
      <c r="U97" s="19">
        <v>6.4127999999999998</v>
      </c>
      <c r="V97" s="56">
        <f>Table11[[#This Row],[Profit]]/Table11[[#This Row],[Sales]]</f>
        <v>0.48</v>
      </c>
    </row>
    <row r="98" spans="1:22" x14ac:dyDescent="0.2">
      <c r="A98" s="4">
        <v>97</v>
      </c>
      <c r="B98" s="5" t="s">
        <v>4634</v>
      </c>
      <c r="C98" s="6">
        <v>42050</v>
      </c>
      <c r="D98" s="27">
        <f>MONTH(Table11[[#This Row],[Order Date]])</f>
        <v>2</v>
      </c>
      <c r="E98" s="5" t="s">
        <v>3968</v>
      </c>
      <c r="F98" s="5" t="s">
        <v>3969</v>
      </c>
      <c r="G98" s="24" t="s">
        <v>41</v>
      </c>
      <c r="H98" s="24" t="s">
        <v>68</v>
      </c>
      <c r="I98" s="5" t="s">
        <v>4635</v>
      </c>
      <c r="J98" s="24" t="s">
        <v>22</v>
      </c>
      <c r="K98" s="27">
        <v>5</v>
      </c>
      <c r="L98" s="6">
        <v>42053</v>
      </c>
      <c r="M98" s="27">
        <f>Table11[[#This Row],[Ship Date]]-Table11[[#This Row],[Order Date]]</f>
        <v>3</v>
      </c>
      <c r="N98" s="24" t="s">
        <v>20</v>
      </c>
      <c r="O98" s="24" t="s">
        <v>23</v>
      </c>
      <c r="P98" s="24" t="s">
        <v>38</v>
      </c>
      <c r="Q98" s="24" t="s">
        <v>39</v>
      </c>
      <c r="R98" s="24" t="s">
        <v>37</v>
      </c>
      <c r="S98" s="34">
        <v>0.2</v>
      </c>
      <c r="T98" s="15">
        <v>41.72</v>
      </c>
      <c r="U98" s="18">
        <v>13.0375</v>
      </c>
      <c r="V98" s="56">
        <f>Table11[[#This Row],[Profit]]/Table11[[#This Row],[Sales]]</f>
        <v>0.3125</v>
      </c>
    </row>
    <row r="99" spans="1:22" x14ac:dyDescent="0.2">
      <c r="A99" s="2">
        <v>98</v>
      </c>
      <c r="B99" s="3" t="s">
        <v>4634</v>
      </c>
      <c r="C99" s="7">
        <v>42050</v>
      </c>
      <c r="D99" s="28">
        <f>MONTH(Table11[[#This Row],[Order Date]])</f>
        <v>2</v>
      </c>
      <c r="E99" s="3" t="s">
        <v>2104</v>
      </c>
      <c r="F99" s="3" t="s">
        <v>2105</v>
      </c>
      <c r="G99" s="25" t="s">
        <v>41</v>
      </c>
      <c r="H99" s="25" t="s">
        <v>68</v>
      </c>
      <c r="I99" s="3" t="s">
        <v>4635</v>
      </c>
      <c r="J99" s="25" t="s">
        <v>22</v>
      </c>
      <c r="K99" s="28">
        <v>5</v>
      </c>
      <c r="L99" s="7">
        <v>42053</v>
      </c>
      <c r="M99" s="28">
        <f>Table11[[#This Row],[Ship Date]]-Table11[[#This Row],[Order Date]]</f>
        <v>3</v>
      </c>
      <c r="N99" s="25" t="s">
        <v>20</v>
      </c>
      <c r="O99" s="25" t="s">
        <v>23</v>
      </c>
      <c r="P99" s="25" t="s">
        <v>38</v>
      </c>
      <c r="Q99" s="25" t="s">
        <v>39</v>
      </c>
      <c r="R99" s="25" t="s">
        <v>37</v>
      </c>
      <c r="S99" s="35">
        <v>0.2</v>
      </c>
      <c r="T99" s="16">
        <v>11.52</v>
      </c>
      <c r="U99" s="19">
        <v>4.1760000000000002</v>
      </c>
      <c r="V99" s="56">
        <f>Table11[[#This Row],[Profit]]/Table11[[#This Row],[Sales]]</f>
        <v>0.36250000000000004</v>
      </c>
    </row>
    <row r="100" spans="1:22" x14ac:dyDescent="0.2">
      <c r="A100" s="4">
        <v>99</v>
      </c>
      <c r="B100" s="5" t="s">
        <v>4634</v>
      </c>
      <c r="C100" s="6">
        <v>42050</v>
      </c>
      <c r="D100" s="27">
        <f>MONTH(Table11[[#This Row],[Order Date]])</f>
        <v>2</v>
      </c>
      <c r="E100" s="5" t="s">
        <v>4638</v>
      </c>
      <c r="F100" s="5" t="s">
        <v>4639</v>
      </c>
      <c r="G100" s="24" t="s">
        <v>41</v>
      </c>
      <c r="H100" s="24" t="s">
        <v>71</v>
      </c>
      <c r="I100" s="5" t="s">
        <v>4635</v>
      </c>
      <c r="J100" s="24" t="s">
        <v>22</v>
      </c>
      <c r="K100" s="27">
        <v>6</v>
      </c>
      <c r="L100" s="6">
        <v>42053</v>
      </c>
      <c r="M100" s="27">
        <f>Table11[[#This Row],[Ship Date]]-Table11[[#This Row],[Order Date]]</f>
        <v>3</v>
      </c>
      <c r="N100" s="24" t="s">
        <v>20</v>
      </c>
      <c r="O100" s="24" t="s">
        <v>23</v>
      </c>
      <c r="P100" s="24" t="s">
        <v>38</v>
      </c>
      <c r="Q100" s="24" t="s">
        <v>39</v>
      </c>
      <c r="R100" s="24" t="s">
        <v>37</v>
      </c>
      <c r="S100" s="34">
        <v>0</v>
      </c>
      <c r="T100" s="15">
        <v>541.44000000000005</v>
      </c>
      <c r="U100" s="18">
        <v>157.01759999999999</v>
      </c>
      <c r="V100" s="56">
        <f>Table11[[#This Row],[Profit]]/Table11[[#This Row],[Sales]]</f>
        <v>0.28999999999999992</v>
      </c>
    </row>
    <row r="101" spans="1:22" x14ac:dyDescent="0.2">
      <c r="A101" s="4">
        <v>100</v>
      </c>
      <c r="B101" s="3" t="s">
        <v>4634</v>
      </c>
      <c r="C101" s="7">
        <v>42050</v>
      </c>
      <c r="D101" s="28">
        <f>MONTH(Table11[[#This Row],[Order Date]])</f>
        <v>2</v>
      </c>
      <c r="E101" s="3" t="s">
        <v>4382</v>
      </c>
      <c r="F101" s="3" t="s">
        <v>4640</v>
      </c>
      <c r="G101" s="25" t="s">
        <v>41</v>
      </c>
      <c r="H101" s="25" t="s">
        <v>82</v>
      </c>
      <c r="I101" s="3" t="s">
        <v>4635</v>
      </c>
      <c r="J101" s="25" t="s">
        <v>22</v>
      </c>
      <c r="K101" s="28">
        <v>3</v>
      </c>
      <c r="L101" s="7">
        <v>42053</v>
      </c>
      <c r="M101" s="28">
        <f>Table11[[#This Row],[Ship Date]]-Table11[[#This Row],[Order Date]]</f>
        <v>3</v>
      </c>
      <c r="N101" s="25" t="s">
        <v>20</v>
      </c>
      <c r="O101" s="25" t="s">
        <v>23</v>
      </c>
      <c r="P101" s="25" t="s">
        <v>38</v>
      </c>
      <c r="Q101" s="25" t="s">
        <v>39</v>
      </c>
      <c r="R101" s="25" t="s">
        <v>37</v>
      </c>
      <c r="S101" s="35">
        <v>0</v>
      </c>
      <c r="T101" s="16">
        <v>19.440000000000001</v>
      </c>
      <c r="U101" s="19">
        <v>9.3312000000000008</v>
      </c>
      <c r="V101" s="56">
        <f>Table11[[#This Row],[Profit]]/Table11[[#This Row],[Sales]]</f>
        <v>0.48000000000000004</v>
      </c>
    </row>
    <row r="102" spans="1:22" x14ac:dyDescent="0.2">
      <c r="A102" s="2">
        <v>101</v>
      </c>
      <c r="B102" s="5" t="s">
        <v>8294</v>
      </c>
      <c r="C102" s="6">
        <v>42051</v>
      </c>
      <c r="D102" s="27">
        <f>MONTH(Table11[[#This Row],[Order Date]])</f>
        <v>2</v>
      </c>
      <c r="E102" s="5" t="s">
        <v>580</v>
      </c>
      <c r="F102" s="5" t="s">
        <v>581</v>
      </c>
      <c r="G102" s="24" t="s">
        <v>41</v>
      </c>
      <c r="H102" s="24" t="s">
        <v>82</v>
      </c>
      <c r="I102" s="5" t="s">
        <v>1024</v>
      </c>
      <c r="J102" s="24" t="s">
        <v>36</v>
      </c>
      <c r="K102" s="27">
        <v>6</v>
      </c>
      <c r="L102" s="6">
        <v>42055</v>
      </c>
      <c r="M102" s="27">
        <f>Table11[[#This Row],[Ship Date]]-Table11[[#This Row],[Order Date]]</f>
        <v>4</v>
      </c>
      <c r="N102" s="24" t="s">
        <v>45</v>
      </c>
      <c r="O102" s="24" t="s">
        <v>23</v>
      </c>
      <c r="P102" s="24" t="s">
        <v>2373</v>
      </c>
      <c r="Q102" s="24" t="s">
        <v>133</v>
      </c>
      <c r="R102" s="24" t="s">
        <v>217</v>
      </c>
      <c r="S102" s="34">
        <v>0</v>
      </c>
      <c r="T102" s="15">
        <v>35.880000000000003</v>
      </c>
      <c r="U102" s="18">
        <v>16.146000000000001</v>
      </c>
      <c r="V102" s="56">
        <f>Table11[[#This Row],[Profit]]/Table11[[#This Row],[Sales]]</f>
        <v>0.45</v>
      </c>
    </row>
    <row r="103" spans="1:22" x14ac:dyDescent="0.2">
      <c r="A103" s="4">
        <v>102</v>
      </c>
      <c r="B103" s="3" t="s">
        <v>9070</v>
      </c>
      <c r="C103" s="7">
        <v>42051</v>
      </c>
      <c r="D103" s="28">
        <f>MONTH(Table11[[#This Row],[Order Date]])</f>
        <v>2</v>
      </c>
      <c r="E103" s="3" t="s">
        <v>1106</v>
      </c>
      <c r="F103" s="3" t="s">
        <v>1107</v>
      </c>
      <c r="G103" s="25" t="s">
        <v>41</v>
      </c>
      <c r="H103" s="25" t="s">
        <v>82</v>
      </c>
      <c r="I103" s="3" t="s">
        <v>2626</v>
      </c>
      <c r="J103" s="25" t="s">
        <v>22</v>
      </c>
      <c r="K103" s="28">
        <v>3</v>
      </c>
      <c r="L103" s="7">
        <v>42056</v>
      </c>
      <c r="M103" s="28">
        <f>Table11[[#This Row],[Ship Date]]-Table11[[#This Row],[Order Date]]</f>
        <v>5</v>
      </c>
      <c r="N103" s="25" t="s">
        <v>45</v>
      </c>
      <c r="O103" s="25" t="s">
        <v>23</v>
      </c>
      <c r="P103" s="25" t="s">
        <v>38</v>
      </c>
      <c r="Q103" s="25" t="s">
        <v>39</v>
      </c>
      <c r="R103" s="25" t="s">
        <v>37</v>
      </c>
      <c r="S103" s="35">
        <v>0</v>
      </c>
      <c r="T103" s="16">
        <v>36.840000000000003</v>
      </c>
      <c r="U103" s="19">
        <v>17.314800000000002</v>
      </c>
      <c r="V103" s="56">
        <f>Table11[[#This Row],[Profit]]/Table11[[#This Row],[Sales]]</f>
        <v>0.47000000000000003</v>
      </c>
    </row>
    <row r="104" spans="1:22" x14ac:dyDescent="0.2">
      <c r="A104" s="4">
        <v>103</v>
      </c>
      <c r="B104" s="5" t="s">
        <v>9070</v>
      </c>
      <c r="C104" s="6">
        <v>42051</v>
      </c>
      <c r="D104" s="27">
        <f>MONTH(Table11[[#This Row],[Order Date]])</f>
        <v>2</v>
      </c>
      <c r="E104" s="5" t="s">
        <v>229</v>
      </c>
      <c r="F104" s="5" t="s">
        <v>230</v>
      </c>
      <c r="G104" s="24" t="s">
        <v>41</v>
      </c>
      <c r="H104" s="24" t="s">
        <v>42</v>
      </c>
      <c r="I104" s="5" t="s">
        <v>2626</v>
      </c>
      <c r="J104" s="24" t="s">
        <v>22</v>
      </c>
      <c r="K104" s="27">
        <v>7</v>
      </c>
      <c r="L104" s="6">
        <v>42056</v>
      </c>
      <c r="M104" s="27">
        <f>Table11[[#This Row],[Ship Date]]-Table11[[#This Row],[Order Date]]</f>
        <v>5</v>
      </c>
      <c r="N104" s="24" t="s">
        <v>45</v>
      </c>
      <c r="O104" s="24" t="s">
        <v>23</v>
      </c>
      <c r="P104" s="24" t="s">
        <v>38</v>
      </c>
      <c r="Q104" s="24" t="s">
        <v>39</v>
      </c>
      <c r="R104" s="24" t="s">
        <v>37</v>
      </c>
      <c r="S104" s="34">
        <v>0</v>
      </c>
      <c r="T104" s="15">
        <v>87.71</v>
      </c>
      <c r="U104" s="18">
        <v>41.223700000000001</v>
      </c>
      <c r="V104" s="56">
        <f>Table11[[#This Row],[Profit]]/Table11[[#This Row],[Sales]]</f>
        <v>0.47000000000000003</v>
      </c>
    </row>
    <row r="105" spans="1:22" x14ac:dyDescent="0.2">
      <c r="A105" s="2">
        <v>104</v>
      </c>
      <c r="B105" s="3" t="s">
        <v>6585</v>
      </c>
      <c r="C105" s="7">
        <v>42053</v>
      </c>
      <c r="D105" s="28">
        <f>MONTH(Table11[[#This Row],[Order Date]])</f>
        <v>2</v>
      </c>
      <c r="E105" s="3" t="s">
        <v>2200</v>
      </c>
      <c r="F105" s="3" t="s">
        <v>2201</v>
      </c>
      <c r="G105" s="25" t="s">
        <v>41</v>
      </c>
      <c r="H105" s="25" t="s">
        <v>42</v>
      </c>
      <c r="I105" s="3" t="s">
        <v>3309</v>
      </c>
      <c r="J105" s="25" t="s">
        <v>36</v>
      </c>
      <c r="K105" s="28">
        <v>3</v>
      </c>
      <c r="L105" s="7">
        <v>42057</v>
      </c>
      <c r="M105" s="28">
        <f>Table11[[#This Row],[Ship Date]]-Table11[[#This Row],[Order Date]]</f>
        <v>4</v>
      </c>
      <c r="N105" s="25" t="s">
        <v>45</v>
      </c>
      <c r="O105" s="25" t="s">
        <v>23</v>
      </c>
      <c r="P105" s="25" t="s">
        <v>38</v>
      </c>
      <c r="Q105" s="25" t="s">
        <v>39</v>
      </c>
      <c r="R105" s="25" t="s">
        <v>37</v>
      </c>
      <c r="S105" s="35">
        <v>0</v>
      </c>
      <c r="T105" s="16">
        <v>9.24</v>
      </c>
      <c r="U105" s="19">
        <v>4.4352</v>
      </c>
      <c r="V105" s="56">
        <f>Table11[[#This Row],[Profit]]/Table11[[#This Row],[Sales]]</f>
        <v>0.48</v>
      </c>
    </row>
    <row r="106" spans="1:22" x14ac:dyDescent="0.2">
      <c r="A106" s="4">
        <v>105</v>
      </c>
      <c r="B106" s="5" t="s">
        <v>6988</v>
      </c>
      <c r="C106" s="6">
        <v>42053</v>
      </c>
      <c r="D106" s="27">
        <f>MONTH(Table11[[#This Row],[Order Date]])</f>
        <v>2</v>
      </c>
      <c r="E106" s="5" t="s">
        <v>1986</v>
      </c>
      <c r="F106" s="5" t="s">
        <v>1987</v>
      </c>
      <c r="G106" s="24" t="s">
        <v>41</v>
      </c>
      <c r="H106" s="24" t="s">
        <v>42</v>
      </c>
      <c r="I106" s="5" t="s">
        <v>1151</v>
      </c>
      <c r="J106" s="24" t="s">
        <v>22</v>
      </c>
      <c r="K106" s="27">
        <v>2</v>
      </c>
      <c r="L106" s="6">
        <v>42059</v>
      </c>
      <c r="M106" s="27">
        <f>Table11[[#This Row],[Ship Date]]-Table11[[#This Row],[Order Date]]</f>
        <v>6</v>
      </c>
      <c r="N106" s="24" t="s">
        <v>45</v>
      </c>
      <c r="O106" s="24" t="s">
        <v>23</v>
      </c>
      <c r="P106" s="24" t="s">
        <v>38</v>
      </c>
      <c r="Q106" s="24" t="s">
        <v>39</v>
      </c>
      <c r="R106" s="24" t="s">
        <v>1037</v>
      </c>
      <c r="S106" s="34">
        <v>0</v>
      </c>
      <c r="T106" s="15">
        <v>61.06</v>
      </c>
      <c r="U106" s="18">
        <v>28.087599999999998</v>
      </c>
      <c r="V106" s="56">
        <f>Table11[[#This Row],[Profit]]/Table11[[#This Row],[Sales]]</f>
        <v>0.45999999999999996</v>
      </c>
    </row>
    <row r="107" spans="1:22" x14ac:dyDescent="0.2">
      <c r="A107" s="4">
        <v>106</v>
      </c>
      <c r="B107" s="3" t="s">
        <v>6988</v>
      </c>
      <c r="C107" s="7">
        <v>42053</v>
      </c>
      <c r="D107" s="28">
        <f>MONTH(Table11[[#This Row],[Order Date]])</f>
        <v>2</v>
      </c>
      <c r="E107" s="3" t="s">
        <v>3358</v>
      </c>
      <c r="F107" s="3" t="s">
        <v>3359</v>
      </c>
      <c r="G107" s="25" t="s">
        <v>28</v>
      </c>
      <c r="H107" s="25" t="s">
        <v>50</v>
      </c>
      <c r="I107" s="3" t="s">
        <v>1151</v>
      </c>
      <c r="J107" s="25" t="s">
        <v>22</v>
      </c>
      <c r="K107" s="28">
        <v>1</v>
      </c>
      <c r="L107" s="7">
        <v>42059</v>
      </c>
      <c r="M107" s="28">
        <f>Table11[[#This Row],[Ship Date]]-Table11[[#This Row],[Order Date]]</f>
        <v>6</v>
      </c>
      <c r="N107" s="25" t="s">
        <v>45</v>
      </c>
      <c r="O107" s="25" t="s">
        <v>23</v>
      </c>
      <c r="P107" s="25" t="s">
        <v>38</v>
      </c>
      <c r="Q107" s="25" t="s">
        <v>39</v>
      </c>
      <c r="R107" s="25" t="s">
        <v>1037</v>
      </c>
      <c r="S107" s="35">
        <v>0.2</v>
      </c>
      <c r="T107" s="16">
        <v>35.543999999999997</v>
      </c>
      <c r="U107" s="19">
        <v>-0.88859999999999995</v>
      </c>
      <c r="V107" s="56">
        <f>Table11[[#This Row],[Profit]]/Table11[[#This Row],[Sales]]</f>
        <v>-2.5000000000000001E-2</v>
      </c>
    </row>
    <row r="108" spans="1:22" x14ac:dyDescent="0.2">
      <c r="A108" s="2">
        <v>107</v>
      </c>
      <c r="B108" s="5" t="s">
        <v>5128</v>
      </c>
      <c r="C108" s="6">
        <v>42055</v>
      </c>
      <c r="D108" s="27">
        <f>MONTH(Table11[[#This Row],[Order Date]])</f>
        <v>2</v>
      </c>
      <c r="E108" s="5" t="s">
        <v>2411</v>
      </c>
      <c r="F108" s="5" t="s">
        <v>2412</v>
      </c>
      <c r="G108" s="24" t="s">
        <v>64</v>
      </c>
      <c r="H108" s="24" t="s">
        <v>144</v>
      </c>
      <c r="I108" s="5" t="s">
        <v>1638</v>
      </c>
      <c r="J108" s="24" t="s">
        <v>22</v>
      </c>
      <c r="K108" s="27">
        <v>1</v>
      </c>
      <c r="L108" s="6">
        <v>42060</v>
      </c>
      <c r="M108" s="27">
        <f>Table11[[#This Row],[Ship Date]]-Table11[[#This Row],[Order Date]]</f>
        <v>5</v>
      </c>
      <c r="N108" s="24" t="s">
        <v>45</v>
      </c>
      <c r="O108" s="24" t="s">
        <v>23</v>
      </c>
      <c r="P108" s="24" t="s">
        <v>1510</v>
      </c>
      <c r="Q108" s="24" t="s">
        <v>26</v>
      </c>
      <c r="R108" s="24" t="s">
        <v>5129</v>
      </c>
      <c r="S108" s="34">
        <v>0</v>
      </c>
      <c r="T108" s="15">
        <v>29.99</v>
      </c>
      <c r="U108" s="18">
        <v>2.9990000000000001</v>
      </c>
      <c r="V108" s="56">
        <f>Table11[[#This Row],[Profit]]/Table11[[#This Row],[Sales]]</f>
        <v>0.1</v>
      </c>
    </row>
    <row r="109" spans="1:22" x14ac:dyDescent="0.2">
      <c r="A109" s="4">
        <v>108</v>
      </c>
      <c r="B109" s="3" t="s">
        <v>5953</v>
      </c>
      <c r="C109" s="7">
        <v>42055</v>
      </c>
      <c r="D109" s="28">
        <f>MONTH(Table11[[#This Row],[Order Date]])</f>
        <v>2</v>
      </c>
      <c r="E109" s="3" t="s">
        <v>3065</v>
      </c>
      <c r="F109" s="3" t="s">
        <v>3066</v>
      </c>
      <c r="G109" s="25" t="s">
        <v>41</v>
      </c>
      <c r="H109" s="25" t="s">
        <v>61</v>
      </c>
      <c r="I109" s="3" t="s">
        <v>4394</v>
      </c>
      <c r="J109" s="25" t="s">
        <v>22</v>
      </c>
      <c r="K109" s="28">
        <v>7</v>
      </c>
      <c r="L109" s="7">
        <v>42058</v>
      </c>
      <c r="M109" s="28">
        <f>Table11[[#This Row],[Ship Date]]-Table11[[#This Row],[Order Date]]</f>
        <v>3</v>
      </c>
      <c r="N109" s="25" t="s">
        <v>20</v>
      </c>
      <c r="O109" s="25" t="s">
        <v>23</v>
      </c>
      <c r="P109" s="25" t="s">
        <v>695</v>
      </c>
      <c r="Q109" s="25" t="s">
        <v>133</v>
      </c>
      <c r="R109" s="25" t="s">
        <v>4366</v>
      </c>
      <c r="S109" s="35">
        <v>0</v>
      </c>
      <c r="T109" s="16">
        <v>286.79000000000002</v>
      </c>
      <c r="U109" s="19">
        <v>74.565399999999997</v>
      </c>
      <c r="V109" s="56">
        <f>Table11[[#This Row],[Profit]]/Table11[[#This Row],[Sales]]</f>
        <v>0.25999999999999995</v>
      </c>
    </row>
    <row r="110" spans="1:22" x14ac:dyDescent="0.2">
      <c r="A110" s="4">
        <v>109</v>
      </c>
      <c r="B110" s="5" t="s">
        <v>5240</v>
      </c>
      <c r="C110" s="6">
        <v>42056</v>
      </c>
      <c r="D110" s="27">
        <f>MONTH(Table11[[#This Row],[Order Date]])</f>
        <v>2</v>
      </c>
      <c r="E110" s="5" t="s">
        <v>166</v>
      </c>
      <c r="F110" s="5" t="s">
        <v>167</v>
      </c>
      <c r="G110" s="24" t="s">
        <v>41</v>
      </c>
      <c r="H110" s="24" t="s">
        <v>82</v>
      </c>
      <c r="I110" s="5" t="s">
        <v>4249</v>
      </c>
      <c r="J110" s="24" t="s">
        <v>22</v>
      </c>
      <c r="K110" s="27">
        <v>4</v>
      </c>
      <c r="L110" s="6">
        <v>42058</v>
      </c>
      <c r="M110" s="27">
        <f>Table11[[#This Row],[Ship Date]]-Table11[[#This Row],[Order Date]]</f>
        <v>2</v>
      </c>
      <c r="N110" s="24" t="s">
        <v>20</v>
      </c>
      <c r="O110" s="24" t="s">
        <v>23</v>
      </c>
      <c r="P110" s="24" t="s">
        <v>589</v>
      </c>
      <c r="Q110" s="24" t="s">
        <v>39</v>
      </c>
      <c r="R110" s="24" t="s">
        <v>5241</v>
      </c>
      <c r="S110" s="34">
        <v>0</v>
      </c>
      <c r="T110" s="15">
        <v>49.12</v>
      </c>
      <c r="U110" s="18">
        <v>23.086400000000001</v>
      </c>
      <c r="V110" s="56">
        <f>Table11[[#This Row],[Profit]]/Table11[[#This Row],[Sales]]</f>
        <v>0.47000000000000003</v>
      </c>
    </row>
    <row r="111" spans="1:22" x14ac:dyDescent="0.2">
      <c r="A111" s="2">
        <v>110</v>
      </c>
      <c r="B111" s="3" t="s">
        <v>8615</v>
      </c>
      <c r="C111" s="7">
        <v>42056</v>
      </c>
      <c r="D111" s="28">
        <f>MONTH(Table11[[#This Row],[Order Date]])</f>
        <v>2</v>
      </c>
      <c r="E111" s="3" t="s">
        <v>1543</v>
      </c>
      <c r="F111" s="3" t="s">
        <v>1544</v>
      </c>
      <c r="G111" s="25" t="s">
        <v>41</v>
      </c>
      <c r="H111" s="25" t="s">
        <v>68</v>
      </c>
      <c r="I111" s="3" t="s">
        <v>4890</v>
      </c>
      <c r="J111" s="25" t="s">
        <v>22</v>
      </c>
      <c r="K111" s="28">
        <v>2</v>
      </c>
      <c r="L111" s="7">
        <v>42062</v>
      </c>
      <c r="M111" s="28">
        <f>Table11[[#This Row],[Ship Date]]-Table11[[#This Row],[Order Date]]</f>
        <v>6</v>
      </c>
      <c r="N111" s="25" t="s">
        <v>45</v>
      </c>
      <c r="O111" s="25" t="s">
        <v>23</v>
      </c>
      <c r="P111" s="25" t="s">
        <v>2408</v>
      </c>
      <c r="Q111" s="25" t="s">
        <v>133</v>
      </c>
      <c r="R111" s="25" t="s">
        <v>341</v>
      </c>
      <c r="S111" s="35">
        <v>0</v>
      </c>
      <c r="T111" s="16">
        <v>2541.98</v>
      </c>
      <c r="U111" s="19">
        <v>1270.99</v>
      </c>
      <c r="V111" s="56">
        <f>Table11[[#This Row],[Profit]]/Table11[[#This Row],[Sales]]</f>
        <v>0.5</v>
      </c>
    </row>
    <row r="112" spans="1:22" x14ac:dyDescent="0.2">
      <c r="A112" s="4">
        <v>111</v>
      </c>
      <c r="B112" s="5" t="s">
        <v>6385</v>
      </c>
      <c r="C112" s="6">
        <v>42057</v>
      </c>
      <c r="D112" s="27">
        <f>MONTH(Table11[[#This Row],[Order Date]])</f>
        <v>2</v>
      </c>
      <c r="E112" s="5" t="s">
        <v>5694</v>
      </c>
      <c r="F112" s="5" t="s">
        <v>5695</v>
      </c>
      <c r="G112" s="24" t="s">
        <v>41</v>
      </c>
      <c r="H112" s="24" t="s">
        <v>61</v>
      </c>
      <c r="I112" s="5" t="s">
        <v>2832</v>
      </c>
      <c r="J112" s="24" t="s">
        <v>92</v>
      </c>
      <c r="K112" s="27">
        <v>4</v>
      </c>
      <c r="L112" s="6">
        <v>42059</v>
      </c>
      <c r="M112" s="27">
        <f>Table11[[#This Row],[Ship Date]]-Table11[[#This Row],[Order Date]]</f>
        <v>2</v>
      </c>
      <c r="N112" s="24" t="s">
        <v>20</v>
      </c>
      <c r="O112" s="24" t="s">
        <v>23</v>
      </c>
      <c r="P112" s="24" t="s">
        <v>212</v>
      </c>
      <c r="Q112" s="24" t="s">
        <v>95</v>
      </c>
      <c r="R112" s="24" t="s">
        <v>5526</v>
      </c>
      <c r="S112" s="34">
        <v>0</v>
      </c>
      <c r="T112" s="15">
        <v>79.36</v>
      </c>
      <c r="U112" s="18">
        <v>20.633600000000001</v>
      </c>
      <c r="V112" s="56">
        <f>Table11[[#This Row],[Profit]]/Table11[[#This Row],[Sales]]</f>
        <v>0.26</v>
      </c>
    </row>
    <row r="113" spans="1:22" x14ac:dyDescent="0.2">
      <c r="A113" s="4">
        <v>112</v>
      </c>
      <c r="B113" s="3" t="s">
        <v>9446</v>
      </c>
      <c r="C113" s="7">
        <v>42058</v>
      </c>
      <c r="D113" s="28">
        <f>MONTH(Table11[[#This Row],[Order Date]])</f>
        <v>2</v>
      </c>
      <c r="E113" s="3" t="s">
        <v>1941</v>
      </c>
      <c r="F113" s="3" t="s">
        <v>1942</v>
      </c>
      <c r="G113" s="25" t="s">
        <v>41</v>
      </c>
      <c r="H113" s="25" t="s">
        <v>71</v>
      </c>
      <c r="I113" s="3" t="s">
        <v>9038</v>
      </c>
      <c r="J113" s="25" t="s">
        <v>92</v>
      </c>
      <c r="K113" s="28">
        <v>6</v>
      </c>
      <c r="L113" s="7">
        <v>42063</v>
      </c>
      <c r="M113" s="28">
        <f>Table11[[#This Row],[Ship Date]]-Table11[[#This Row],[Order Date]]</f>
        <v>5</v>
      </c>
      <c r="N113" s="25" t="s">
        <v>45</v>
      </c>
      <c r="O113" s="25" t="s">
        <v>23</v>
      </c>
      <c r="P113" s="25" t="s">
        <v>238</v>
      </c>
      <c r="Q113" s="25" t="s">
        <v>133</v>
      </c>
      <c r="R113" s="25" t="s">
        <v>237</v>
      </c>
      <c r="S113" s="35">
        <v>0</v>
      </c>
      <c r="T113" s="16">
        <v>26.88</v>
      </c>
      <c r="U113" s="19">
        <v>6.72</v>
      </c>
      <c r="V113" s="56">
        <f>Table11[[#This Row],[Profit]]/Table11[[#This Row],[Sales]]</f>
        <v>0.25</v>
      </c>
    </row>
    <row r="114" spans="1:22" x14ac:dyDescent="0.2">
      <c r="A114" s="2">
        <v>113</v>
      </c>
      <c r="B114" s="5" t="s">
        <v>9446</v>
      </c>
      <c r="C114" s="6">
        <v>42058</v>
      </c>
      <c r="D114" s="27">
        <f>MONTH(Table11[[#This Row],[Order Date]])</f>
        <v>2</v>
      </c>
      <c r="E114" s="5" t="s">
        <v>4629</v>
      </c>
      <c r="F114" s="5" t="s">
        <v>4630</v>
      </c>
      <c r="G114" s="24" t="s">
        <v>41</v>
      </c>
      <c r="H114" s="24" t="s">
        <v>68</v>
      </c>
      <c r="I114" s="5" t="s">
        <v>9038</v>
      </c>
      <c r="J114" s="24" t="s">
        <v>92</v>
      </c>
      <c r="K114" s="27">
        <v>2</v>
      </c>
      <c r="L114" s="6">
        <v>42063</v>
      </c>
      <c r="M114" s="27">
        <f>Table11[[#This Row],[Ship Date]]-Table11[[#This Row],[Order Date]]</f>
        <v>5</v>
      </c>
      <c r="N114" s="24" t="s">
        <v>45</v>
      </c>
      <c r="O114" s="24" t="s">
        <v>23</v>
      </c>
      <c r="P114" s="24" t="s">
        <v>238</v>
      </c>
      <c r="Q114" s="24" t="s">
        <v>133</v>
      </c>
      <c r="R114" s="24" t="s">
        <v>237</v>
      </c>
      <c r="S114" s="34">
        <v>0.2</v>
      </c>
      <c r="T114" s="15">
        <v>10.896000000000001</v>
      </c>
      <c r="U114" s="18">
        <v>3.8136000000000001</v>
      </c>
      <c r="V114" s="56">
        <f>Table11[[#This Row],[Profit]]/Table11[[#This Row],[Sales]]</f>
        <v>0.35</v>
      </c>
    </row>
    <row r="115" spans="1:22" x14ac:dyDescent="0.2">
      <c r="A115" s="4">
        <v>114</v>
      </c>
      <c r="B115" s="3" t="s">
        <v>7712</v>
      </c>
      <c r="C115" s="7">
        <v>42060</v>
      </c>
      <c r="D115" s="28">
        <f>MONTH(Table11[[#This Row],[Order Date]])</f>
        <v>2</v>
      </c>
      <c r="E115" s="3" t="s">
        <v>3650</v>
      </c>
      <c r="F115" s="3" t="s">
        <v>3651</v>
      </c>
      <c r="G115" s="25" t="s">
        <v>41</v>
      </c>
      <c r="H115" s="25" t="s">
        <v>42</v>
      </c>
      <c r="I115" s="3" t="s">
        <v>2086</v>
      </c>
      <c r="J115" s="25" t="s">
        <v>22</v>
      </c>
      <c r="K115" s="28">
        <v>1</v>
      </c>
      <c r="L115" s="7">
        <v>42064</v>
      </c>
      <c r="M115" s="28">
        <f>Table11[[#This Row],[Ship Date]]-Table11[[#This Row],[Order Date]]</f>
        <v>4</v>
      </c>
      <c r="N115" s="25" t="s">
        <v>45</v>
      </c>
      <c r="O115" s="25" t="s">
        <v>23</v>
      </c>
      <c r="P115" s="25" t="s">
        <v>1101</v>
      </c>
      <c r="Q115" s="25" t="s">
        <v>133</v>
      </c>
      <c r="R115" s="25" t="s">
        <v>4348</v>
      </c>
      <c r="S115" s="35">
        <v>0</v>
      </c>
      <c r="T115" s="16">
        <v>3.15</v>
      </c>
      <c r="U115" s="19">
        <v>1.512</v>
      </c>
      <c r="V115" s="56">
        <f>Table11[[#This Row],[Profit]]/Table11[[#This Row],[Sales]]</f>
        <v>0.48000000000000004</v>
      </c>
    </row>
    <row r="116" spans="1:22" x14ac:dyDescent="0.2">
      <c r="A116" s="4">
        <v>115</v>
      </c>
      <c r="B116" s="5" t="s">
        <v>7712</v>
      </c>
      <c r="C116" s="6">
        <v>42060</v>
      </c>
      <c r="D116" s="27">
        <f>MONTH(Table11[[#This Row],[Order Date]])</f>
        <v>2</v>
      </c>
      <c r="E116" s="5" t="s">
        <v>495</v>
      </c>
      <c r="F116" s="5" t="s">
        <v>1928</v>
      </c>
      <c r="G116" s="24" t="s">
        <v>41</v>
      </c>
      <c r="H116" s="24" t="s">
        <v>82</v>
      </c>
      <c r="I116" s="5" t="s">
        <v>2086</v>
      </c>
      <c r="J116" s="24" t="s">
        <v>22</v>
      </c>
      <c r="K116" s="27">
        <v>4</v>
      </c>
      <c r="L116" s="6">
        <v>42064</v>
      </c>
      <c r="M116" s="27">
        <f>Table11[[#This Row],[Ship Date]]-Table11[[#This Row],[Order Date]]</f>
        <v>4</v>
      </c>
      <c r="N116" s="24" t="s">
        <v>45</v>
      </c>
      <c r="O116" s="24" t="s">
        <v>23</v>
      </c>
      <c r="P116" s="24" t="s">
        <v>1101</v>
      </c>
      <c r="Q116" s="24" t="s">
        <v>133</v>
      </c>
      <c r="R116" s="24" t="s">
        <v>4348</v>
      </c>
      <c r="S116" s="34">
        <v>0</v>
      </c>
      <c r="T116" s="15">
        <v>22.72</v>
      </c>
      <c r="U116" s="18">
        <v>10.224</v>
      </c>
      <c r="V116" s="56">
        <f>Table11[[#This Row],[Profit]]/Table11[[#This Row],[Sales]]</f>
        <v>0.45</v>
      </c>
    </row>
    <row r="117" spans="1:22" x14ac:dyDescent="0.2">
      <c r="A117" s="2">
        <v>116</v>
      </c>
      <c r="B117" s="3" t="s">
        <v>6224</v>
      </c>
      <c r="C117" s="7">
        <v>42062</v>
      </c>
      <c r="D117" s="28">
        <f>MONTH(Table11[[#This Row],[Order Date]])</f>
        <v>2</v>
      </c>
      <c r="E117" s="3" t="s">
        <v>700</v>
      </c>
      <c r="F117" s="3" t="s">
        <v>701</v>
      </c>
      <c r="G117" s="25" t="s">
        <v>41</v>
      </c>
      <c r="H117" s="25" t="s">
        <v>68</v>
      </c>
      <c r="I117" s="3" t="s">
        <v>2801</v>
      </c>
      <c r="J117" s="25" t="s">
        <v>36</v>
      </c>
      <c r="K117" s="28">
        <v>3</v>
      </c>
      <c r="L117" s="7">
        <v>42063</v>
      </c>
      <c r="M117" s="28">
        <f>Table11[[#This Row],[Ship Date]]-Table11[[#This Row],[Order Date]]</f>
        <v>1</v>
      </c>
      <c r="N117" s="25" t="s">
        <v>169</v>
      </c>
      <c r="O117" s="25" t="s">
        <v>23</v>
      </c>
      <c r="P117" s="25" t="s">
        <v>132</v>
      </c>
      <c r="Q117" s="25" t="s">
        <v>133</v>
      </c>
      <c r="R117" s="25" t="s">
        <v>6225</v>
      </c>
      <c r="S117" s="35">
        <v>0.7</v>
      </c>
      <c r="T117" s="16">
        <v>4.4189999999999996</v>
      </c>
      <c r="U117" s="19">
        <v>-3.3879000000000001</v>
      </c>
      <c r="V117" s="56">
        <f>Table11[[#This Row],[Profit]]/Table11[[#This Row],[Sales]]</f>
        <v>-0.76666666666666672</v>
      </c>
    </row>
    <row r="118" spans="1:22" x14ac:dyDescent="0.2">
      <c r="A118" s="4">
        <v>117</v>
      </c>
      <c r="B118" s="5" t="s">
        <v>6224</v>
      </c>
      <c r="C118" s="6">
        <v>42062</v>
      </c>
      <c r="D118" s="27">
        <f>MONTH(Table11[[#This Row],[Order Date]])</f>
        <v>2</v>
      </c>
      <c r="E118" s="5" t="s">
        <v>4311</v>
      </c>
      <c r="F118" s="5" t="s">
        <v>4312</v>
      </c>
      <c r="G118" s="24" t="s">
        <v>41</v>
      </c>
      <c r="H118" s="24" t="s">
        <v>61</v>
      </c>
      <c r="I118" s="5" t="s">
        <v>2801</v>
      </c>
      <c r="J118" s="24" t="s">
        <v>36</v>
      </c>
      <c r="K118" s="27">
        <v>6</v>
      </c>
      <c r="L118" s="6">
        <v>42063</v>
      </c>
      <c r="M118" s="27">
        <f>Table11[[#This Row],[Ship Date]]-Table11[[#This Row],[Order Date]]</f>
        <v>1</v>
      </c>
      <c r="N118" s="24" t="s">
        <v>169</v>
      </c>
      <c r="O118" s="24" t="s">
        <v>23</v>
      </c>
      <c r="P118" s="24" t="s">
        <v>132</v>
      </c>
      <c r="Q118" s="24" t="s">
        <v>133</v>
      </c>
      <c r="R118" s="24" t="s">
        <v>6225</v>
      </c>
      <c r="S118" s="34">
        <v>0.2</v>
      </c>
      <c r="T118" s="15">
        <v>16.032</v>
      </c>
      <c r="U118" s="18">
        <v>2.2044000000000001</v>
      </c>
      <c r="V118" s="56">
        <f>Table11[[#This Row],[Profit]]/Table11[[#This Row],[Sales]]</f>
        <v>0.13750000000000001</v>
      </c>
    </row>
    <row r="119" spans="1:22" x14ac:dyDescent="0.2">
      <c r="A119" s="4">
        <v>118</v>
      </c>
      <c r="B119" s="3" t="s">
        <v>6837</v>
      </c>
      <c r="C119" s="7">
        <v>42062</v>
      </c>
      <c r="D119" s="28">
        <f>MONTH(Table11[[#This Row],[Order Date]])</f>
        <v>2</v>
      </c>
      <c r="E119" s="3" t="s">
        <v>1745</v>
      </c>
      <c r="F119" s="3" t="s">
        <v>1746</v>
      </c>
      <c r="G119" s="25" t="s">
        <v>64</v>
      </c>
      <c r="H119" s="25" t="s">
        <v>65</v>
      </c>
      <c r="I119" s="3" t="s">
        <v>197</v>
      </c>
      <c r="J119" s="25" t="s">
        <v>36</v>
      </c>
      <c r="K119" s="28">
        <v>2</v>
      </c>
      <c r="L119" s="7">
        <v>42065</v>
      </c>
      <c r="M119" s="28">
        <f>Table11[[#This Row],[Ship Date]]-Table11[[#This Row],[Order Date]]</f>
        <v>3</v>
      </c>
      <c r="N119" s="25" t="s">
        <v>45</v>
      </c>
      <c r="O119" s="25" t="s">
        <v>23</v>
      </c>
      <c r="P119" s="25" t="s">
        <v>1235</v>
      </c>
      <c r="Q119" s="25" t="s">
        <v>133</v>
      </c>
      <c r="R119" s="25" t="s">
        <v>3161</v>
      </c>
      <c r="S119" s="35">
        <v>0</v>
      </c>
      <c r="T119" s="16">
        <v>105.98</v>
      </c>
      <c r="U119" s="19">
        <v>1.0598000000000001</v>
      </c>
      <c r="V119" s="56">
        <f>Table11[[#This Row],[Profit]]/Table11[[#This Row],[Sales]]</f>
        <v>0.01</v>
      </c>
    </row>
    <row r="120" spans="1:22" x14ac:dyDescent="0.2">
      <c r="A120" s="2">
        <v>119</v>
      </c>
      <c r="B120" s="5" t="s">
        <v>6837</v>
      </c>
      <c r="C120" s="6">
        <v>42062</v>
      </c>
      <c r="D120" s="27">
        <f>MONTH(Table11[[#This Row],[Order Date]])</f>
        <v>2</v>
      </c>
      <c r="E120" s="5" t="s">
        <v>5865</v>
      </c>
      <c r="F120" s="5" t="s">
        <v>5866</v>
      </c>
      <c r="G120" s="24" t="s">
        <v>28</v>
      </c>
      <c r="H120" s="24" t="s">
        <v>50</v>
      </c>
      <c r="I120" s="5" t="s">
        <v>197</v>
      </c>
      <c r="J120" s="24" t="s">
        <v>36</v>
      </c>
      <c r="K120" s="27">
        <v>7</v>
      </c>
      <c r="L120" s="6">
        <v>42065</v>
      </c>
      <c r="M120" s="27">
        <f>Table11[[#This Row],[Ship Date]]-Table11[[#This Row],[Order Date]]</f>
        <v>3</v>
      </c>
      <c r="N120" s="24" t="s">
        <v>45</v>
      </c>
      <c r="O120" s="24" t="s">
        <v>23</v>
      </c>
      <c r="P120" s="24" t="s">
        <v>1235</v>
      </c>
      <c r="Q120" s="24" t="s">
        <v>133</v>
      </c>
      <c r="R120" s="24" t="s">
        <v>3161</v>
      </c>
      <c r="S120" s="34">
        <v>0.3</v>
      </c>
      <c r="T120" s="15">
        <v>493.92</v>
      </c>
      <c r="U120" s="18">
        <v>-28.224</v>
      </c>
      <c r="V120" s="56">
        <f>Table11[[#This Row],[Profit]]/Table11[[#This Row],[Sales]]</f>
        <v>-5.7142857142857141E-2</v>
      </c>
    </row>
    <row r="121" spans="1:22" x14ac:dyDescent="0.2">
      <c r="A121" s="4">
        <v>120</v>
      </c>
      <c r="B121" s="3" t="s">
        <v>8713</v>
      </c>
      <c r="C121" s="7">
        <v>42062</v>
      </c>
      <c r="D121" s="28">
        <f>MONTH(Table11[[#This Row],[Order Date]])</f>
        <v>2</v>
      </c>
      <c r="E121" s="3" t="s">
        <v>1164</v>
      </c>
      <c r="F121" s="3" t="s">
        <v>1165</v>
      </c>
      <c r="G121" s="25" t="s">
        <v>64</v>
      </c>
      <c r="H121" s="25" t="s">
        <v>144</v>
      </c>
      <c r="I121" s="3" t="s">
        <v>571</v>
      </c>
      <c r="J121" s="25" t="s">
        <v>22</v>
      </c>
      <c r="K121" s="28">
        <v>9</v>
      </c>
      <c r="L121" s="7">
        <v>42064</v>
      </c>
      <c r="M121" s="28">
        <f>Table11[[#This Row],[Ship Date]]-Table11[[#This Row],[Order Date]]</f>
        <v>2</v>
      </c>
      <c r="N121" s="25" t="s">
        <v>20</v>
      </c>
      <c r="O121" s="25" t="s">
        <v>23</v>
      </c>
      <c r="P121" s="25" t="s">
        <v>87</v>
      </c>
      <c r="Q121" s="25" t="s">
        <v>39</v>
      </c>
      <c r="R121" s="25" t="s">
        <v>86</v>
      </c>
      <c r="S121" s="35">
        <v>0</v>
      </c>
      <c r="T121" s="16">
        <v>538.91999999999996</v>
      </c>
      <c r="U121" s="19">
        <v>80.837999999999994</v>
      </c>
      <c r="V121" s="56">
        <f>Table11[[#This Row],[Profit]]/Table11[[#This Row],[Sales]]</f>
        <v>0.15</v>
      </c>
    </row>
    <row r="122" spans="1:22" x14ac:dyDescent="0.2">
      <c r="A122" s="4">
        <v>121</v>
      </c>
      <c r="B122" s="5" t="s">
        <v>782</v>
      </c>
      <c r="C122" s="6">
        <v>42063</v>
      </c>
      <c r="D122" s="27">
        <f>MONTH(Table11[[#This Row],[Order Date]])</f>
        <v>2</v>
      </c>
      <c r="E122" s="5" t="s">
        <v>784</v>
      </c>
      <c r="F122" s="5" t="s">
        <v>785</v>
      </c>
      <c r="G122" s="24" t="s">
        <v>28</v>
      </c>
      <c r="H122" s="24" t="s">
        <v>32</v>
      </c>
      <c r="I122" s="5" t="s">
        <v>783</v>
      </c>
      <c r="J122" s="24" t="s">
        <v>22</v>
      </c>
      <c r="K122" s="27">
        <v>2</v>
      </c>
      <c r="L122" s="6">
        <v>42067</v>
      </c>
      <c r="M122" s="27">
        <f>Table11[[#This Row],[Ship Date]]-Table11[[#This Row],[Order Date]]</f>
        <v>4</v>
      </c>
      <c r="N122" s="24" t="s">
        <v>45</v>
      </c>
      <c r="O122" s="24" t="s">
        <v>23</v>
      </c>
      <c r="P122" s="24" t="s">
        <v>299</v>
      </c>
      <c r="Q122" s="24" t="s">
        <v>26</v>
      </c>
      <c r="R122" s="24" t="s">
        <v>341</v>
      </c>
      <c r="S122" s="34">
        <v>0.2</v>
      </c>
      <c r="T122" s="15">
        <v>161.56800000000001</v>
      </c>
      <c r="U122" s="18">
        <v>-28.2744</v>
      </c>
      <c r="V122" s="56">
        <f>Table11[[#This Row],[Profit]]/Table11[[#This Row],[Sales]]</f>
        <v>-0.17499999999999999</v>
      </c>
    </row>
    <row r="123" spans="1:22" x14ac:dyDescent="0.2">
      <c r="A123" s="2">
        <v>122</v>
      </c>
      <c r="B123" s="3" t="s">
        <v>782</v>
      </c>
      <c r="C123" s="7">
        <v>42063</v>
      </c>
      <c r="D123" s="28">
        <f>MONTH(Table11[[#This Row],[Order Date]])</f>
        <v>2</v>
      </c>
      <c r="E123" s="3" t="s">
        <v>786</v>
      </c>
      <c r="F123" s="3" t="s">
        <v>787</v>
      </c>
      <c r="G123" s="25" t="s">
        <v>28</v>
      </c>
      <c r="H123" s="25" t="s">
        <v>32</v>
      </c>
      <c r="I123" s="3" t="s">
        <v>783</v>
      </c>
      <c r="J123" s="25" t="s">
        <v>22</v>
      </c>
      <c r="K123" s="28">
        <v>8</v>
      </c>
      <c r="L123" s="7">
        <v>42067</v>
      </c>
      <c r="M123" s="28">
        <f>Table11[[#This Row],[Ship Date]]-Table11[[#This Row],[Order Date]]</f>
        <v>4</v>
      </c>
      <c r="N123" s="25" t="s">
        <v>45</v>
      </c>
      <c r="O123" s="25" t="s">
        <v>23</v>
      </c>
      <c r="P123" s="25" t="s">
        <v>299</v>
      </c>
      <c r="Q123" s="25" t="s">
        <v>26</v>
      </c>
      <c r="R123" s="25" t="s">
        <v>341</v>
      </c>
      <c r="S123" s="35">
        <v>0.2</v>
      </c>
      <c r="T123" s="16">
        <v>389.69600000000003</v>
      </c>
      <c r="U123" s="19">
        <v>43.840800000000002</v>
      </c>
      <c r="V123" s="56">
        <f>Table11[[#This Row],[Profit]]/Table11[[#This Row],[Sales]]</f>
        <v>0.1125</v>
      </c>
    </row>
    <row r="124" spans="1:22" x14ac:dyDescent="0.2">
      <c r="A124" s="4">
        <v>123</v>
      </c>
      <c r="B124" s="5" t="s">
        <v>5944</v>
      </c>
      <c r="C124" s="6">
        <v>42064</v>
      </c>
      <c r="D124" s="27">
        <f>MONTH(Table11[[#This Row],[Order Date]])</f>
        <v>3</v>
      </c>
      <c r="E124" s="5" t="s">
        <v>3110</v>
      </c>
      <c r="F124" s="5" t="s">
        <v>3111</v>
      </c>
      <c r="G124" s="24" t="s">
        <v>41</v>
      </c>
      <c r="H124" s="24" t="s">
        <v>68</v>
      </c>
      <c r="I124" s="5" t="s">
        <v>3413</v>
      </c>
      <c r="J124" s="24" t="s">
        <v>22</v>
      </c>
      <c r="K124" s="27">
        <v>4</v>
      </c>
      <c r="L124" s="6">
        <v>42065</v>
      </c>
      <c r="M124" s="27">
        <f>Table11[[#This Row],[Ship Date]]-Table11[[#This Row],[Order Date]]</f>
        <v>1</v>
      </c>
      <c r="N124" s="24" t="s">
        <v>20</v>
      </c>
      <c r="O124" s="24" t="s">
        <v>23</v>
      </c>
      <c r="P124" s="24" t="s">
        <v>1125</v>
      </c>
      <c r="Q124" s="24" t="s">
        <v>26</v>
      </c>
      <c r="R124" s="24" t="s">
        <v>3140</v>
      </c>
      <c r="S124" s="34">
        <v>0</v>
      </c>
      <c r="T124" s="15">
        <v>58.72</v>
      </c>
      <c r="U124" s="18">
        <v>27.011199999999999</v>
      </c>
      <c r="V124" s="56">
        <f>Table11[[#This Row],[Profit]]/Table11[[#This Row],[Sales]]</f>
        <v>0.45999999999999996</v>
      </c>
    </row>
    <row r="125" spans="1:22" x14ac:dyDescent="0.2">
      <c r="A125" s="4">
        <v>124</v>
      </c>
      <c r="B125" s="3" t="s">
        <v>9289</v>
      </c>
      <c r="C125" s="7">
        <v>42064</v>
      </c>
      <c r="D125" s="28">
        <f>MONTH(Table11[[#This Row],[Order Date]])</f>
        <v>3</v>
      </c>
      <c r="E125" s="3" t="s">
        <v>1489</v>
      </c>
      <c r="F125" s="3" t="s">
        <v>1490</v>
      </c>
      <c r="G125" s="25" t="s">
        <v>64</v>
      </c>
      <c r="H125" s="25" t="s">
        <v>65</v>
      </c>
      <c r="I125" s="3" t="s">
        <v>5905</v>
      </c>
      <c r="J125" s="25" t="s">
        <v>36</v>
      </c>
      <c r="K125" s="28">
        <v>2</v>
      </c>
      <c r="L125" s="7">
        <v>42066</v>
      </c>
      <c r="M125" s="28">
        <f>Table11[[#This Row],[Ship Date]]-Table11[[#This Row],[Order Date]]</f>
        <v>2</v>
      </c>
      <c r="N125" s="25" t="s">
        <v>20</v>
      </c>
      <c r="O125" s="25" t="s">
        <v>23</v>
      </c>
      <c r="P125" s="25" t="s">
        <v>38</v>
      </c>
      <c r="Q125" s="25" t="s">
        <v>39</v>
      </c>
      <c r="R125" s="25" t="s">
        <v>37</v>
      </c>
      <c r="S125" s="35">
        <v>0.2</v>
      </c>
      <c r="T125" s="16">
        <v>15.984</v>
      </c>
      <c r="U125" s="19">
        <v>1.1988000000000001</v>
      </c>
      <c r="V125" s="56">
        <f>Table11[[#This Row],[Profit]]/Table11[[#This Row],[Sales]]</f>
        <v>7.5000000000000011E-2</v>
      </c>
    </row>
    <row r="126" spans="1:22" x14ac:dyDescent="0.2">
      <c r="A126" s="2">
        <v>125</v>
      </c>
      <c r="B126" s="5" t="s">
        <v>9289</v>
      </c>
      <c r="C126" s="6">
        <v>42064</v>
      </c>
      <c r="D126" s="27">
        <f>MONTH(Table11[[#This Row],[Order Date]])</f>
        <v>3</v>
      </c>
      <c r="E126" s="5" t="s">
        <v>1359</v>
      </c>
      <c r="F126" s="5" t="s">
        <v>1360</v>
      </c>
      <c r="G126" s="24" t="s">
        <v>28</v>
      </c>
      <c r="H126" s="24" t="s">
        <v>32</v>
      </c>
      <c r="I126" s="5" t="s">
        <v>5905</v>
      </c>
      <c r="J126" s="24" t="s">
        <v>36</v>
      </c>
      <c r="K126" s="27">
        <v>3</v>
      </c>
      <c r="L126" s="6">
        <v>42066</v>
      </c>
      <c r="M126" s="27">
        <f>Table11[[#This Row],[Ship Date]]-Table11[[#This Row],[Order Date]]</f>
        <v>2</v>
      </c>
      <c r="N126" s="24" t="s">
        <v>20</v>
      </c>
      <c r="O126" s="24" t="s">
        <v>23</v>
      </c>
      <c r="P126" s="24" t="s">
        <v>38</v>
      </c>
      <c r="Q126" s="24" t="s">
        <v>39</v>
      </c>
      <c r="R126" s="24" t="s">
        <v>37</v>
      </c>
      <c r="S126" s="34">
        <v>0.2</v>
      </c>
      <c r="T126" s="15">
        <v>184.75200000000001</v>
      </c>
      <c r="U126" s="18">
        <v>-20.784600000000001</v>
      </c>
      <c r="V126" s="56">
        <f>Table11[[#This Row],[Profit]]/Table11[[#This Row],[Sales]]</f>
        <v>-0.1125</v>
      </c>
    </row>
    <row r="127" spans="1:22" x14ac:dyDescent="0.2">
      <c r="A127" s="4">
        <v>126</v>
      </c>
      <c r="B127" s="3" t="s">
        <v>9409</v>
      </c>
      <c r="C127" s="7">
        <v>42064</v>
      </c>
      <c r="D127" s="28">
        <f>MONTH(Table11[[#This Row],[Order Date]])</f>
        <v>3</v>
      </c>
      <c r="E127" s="3" t="s">
        <v>3904</v>
      </c>
      <c r="F127" s="3" t="s">
        <v>3905</v>
      </c>
      <c r="G127" s="25" t="s">
        <v>41</v>
      </c>
      <c r="H127" s="25" t="s">
        <v>71</v>
      </c>
      <c r="I127" s="3" t="s">
        <v>1919</v>
      </c>
      <c r="J127" s="25" t="s">
        <v>22</v>
      </c>
      <c r="K127" s="28">
        <v>2</v>
      </c>
      <c r="L127" s="7">
        <v>42068</v>
      </c>
      <c r="M127" s="28">
        <f>Table11[[#This Row],[Ship Date]]-Table11[[#This Row],[Order Date]]</f>
        <v>4</v>
      </c>
      <c r="N127" s="25" t="s">
        <v>45</v>
      </c>
      <c r="O127" s="25" t="s">
        <v>23</v>
      </c>
      <c r="P127" s="25" t="s">
        <v>132</v>
      </c>
      <c r="Q127" s="25" t="s">
        <v>133</v>
      </c>
      <c r="R127" s="25" t="s">
        <v>131</v>
      </c>
      <c r="S127" s="35">
        <v>0.2</v>
      </c>
      <c r="T127" s="16">
        <v>3.552</v>
      </c>
      <c r="U127" s="19">
        <v>0.44400000000000001</v>
      </c>
      <c r="V127" s="56">
        <f>Table11[[#This Row],[Profit]]/Table11[[#This Row],[Sales]]</f>
        <v>0.125</v>
      </c>
    </row>
    <row r="128" spans="1:22" x14ac:dyDescent="0.2">
      <c r="A128" s="4">
        <v>127</v>
      </c>
      <c r="B128" s="5" t="s">
        <v>9451</v>
      </c>
      <c r="C128" s="6">
        <v>42064</v>
      </c>
      <c r="D128" s="27">
        <f>MONTH(Table11[[#This Row],[Order Date]])</f>
        <v>3</v>
      </c>
      <c r="E128" s="5" t="s">
        <v>4521</v>
      </c>
      <c r="F128" s="5" t="s">
        <v>4522</v>
      </c>
      <c r="G128" s="24" t="s">
        <v>41</v>
      </c>
      <c r="H128" s="24" t="s">
        <v>61</v>
      </c>
      <c r="I128" s="5" t="s">
        <v>8751</v>
      </c>
      <c r="J128" s="24" t="s">
        <v>36</v>
      </c>
      <c r="K128" s="27">
        <v>2</v>
      </c>
      <c r="L128" s="6">
        <v>42067</v>
      </c>
      <c r="M128" s="27">
        <f>Table11[[#This Row],[Ship Date]]-Table11[[#This Row],[Order Date]]</f>
        <v>3</v>
      </c>
      <c r="N128" s="24" t="s">
        <v>169</v>
      </c>
      <c r="O128" s="24" t="s">
        <v>23</v>
      </c>
      <c r="P128" s="24" t="s">
        <v>94</v>
      </c>
      <c r="Q128" s="24" t="s">
        <v>95</v>
      </c>
      <c r="R128" s="24" t="s">
        <v>165</v>
      </c>
      <c r="S128" s="34">
        <v>0.2</v>
      </c>
      <c r="T128" s="15">
        <v>55.328000000000003</v>
      </c>
      <c r="U128" s="18">
        <v>6.2244000000000002</v>
      </c>
      <c r="V128" s="56">
        <f>Table11[[#This Row],[Profit]]/Table11[[#This Row],[Sales]]</f>
        <v>0.1125</v>
      </c>
    </row>
    <row r="129" spans="1:22" x14ac:dyDescent="0.2">
      <c r="A129" s="2">
        <v>128</v>
      </c>
      <c r="B129" s="3" t="s">
        <v>9451</v>
      </c>
      <c r="C129" s="7">
        <v>42064</v>
      </c>
      <c r="D129" s="28">
        <f>MONTH(Table11[[#This Row],[Order Date]])</f>
        <v>3</v>
      </c>
      <c r="E129" s="3" t="s">
        <v>2722</v>
      </c>
      <c r="F129" s="3" t="s">
        <v>2723</v>
      </c>
      <c r="G129" s="25" t="s">
        <v>28</v>
      </c>
      <c r="H129" s="25" t="s">
        <v>29</v>
      </c>
      <c r="I129" s="3" t="s">
        <v>8751</v>
      </c>
      <c r="J129" s="25" t="s">
        <v>36</v>
      </c>
      <c r="K129" s="28">
        <v>6</v>
      </c>
      <c r="L129" s="7">
        <v>42067</v>
      </c>
      <c r="M129" s="28">
        <f>Table11[[#This Row],[Ship Date]]-Table11[[#This Row],[Order Date]]</f>
        <v>3</v>
      </c>
      <c r="N129" s="25" t="s">
        <v>169</v>
      </c>
      <c r="O129" s="25" t="s">
        <v>23</v>
      </c>
      <c r="P129" s="25" t="s">
        <v>94</v>
      </c>
      <c r="Q129" s="25" t="s">
        <v>95</v>
      </c>
      <c r="R129" s="25" t="s">
        <v>165</v>
      </c>
      <c r="S129" s="35">
        <v>0.32</v>
      </c>
      <c r="T129" s="16">
        <v>1227.9983999999999</v>
      </c>
      <c r="U129" s="19">
        <v>-36.117600000000003</v>
      </c>
      <c r="V129" s="56">
        <f>Table11[[#This Row],[Profit]]/Table11[[#This Row],[Sales]]</f>
        <v>-2.9411764705882356E-2</v>
      </c>
    </row>
    <row r="130" spans="1:22" x14ac:dyDescent="0.2">
      <c r="A130" s="4">
        <v>129</v>
      </c>
      <c r="B130" s="5" t="s">
        <v>9839</v>
      </c>
      <c r="C130" s="6">
        <v>42064</v>
      </c>
      <c r="D130" s="27">
        <f>MONTH(Table11[[#This Row],[Order Date]])</f>
        <v>3</v>
      </c>
      <c r="E130" s="5" t="s">
        <v>6434</v>
      </c>
      <c r="F130" s="5" t="s">
        <v>6435</v>
      </c>
      <c r="G130" s="24" t="s">
        <v>64</v>
      </c>
      <c r="H130" s="24" t="s">
        <v>65</v>
      </c>
      <c r="I130" s="5" t="s">
        <v>6534</v>
      </c>
      <c r="J130" s="24" t="s">
        <v>36</v>
      </c>
      <c r="K130" s="27">
        <v>4</v>
      </c>
      <c r="L130" s="6">
        <v>42065</v>
      </c>
      <c r="M130" s="27">
        <f>Table11[[#This Row],[Ship Date]]-Table11[[#This Row],[Order Date]]</f>
        <v>1</v>
      </c>
      <c r="N130" s="24" t="s">
        <v>169</v>
      </c>
      <c r="O130" s="24" t="s">
        <v>23</v>
      </c>
      <c r="P130" s="24" t="s">
        <v>94</v>
      </c>
      <c r="Q130" s="24" t="s">
        <v>95</v>
      </c>
      <c r="R130" s="24" t="s">
        <v>3539</v>
      </c>
      <c r="S130" s="34">
        <v>0.2</v>
      </c>
      <c r="T130" s="15">
        <v>95.84</v>
      </c>
      <c r="U130" s="18">
        <v>34.741999999999997</v>
      </c>
      <c r="V130" s="56">
        <f>Table11[[#This Row],[Profit]]/Table11[[#This Row],[Sales]]</f>
        <v>0.36249999999999993</v>
      </c>
    </row>
    <row r="131" spans="1:22" x14ac:dyDescent="0.2">
      <c r="A131" s="4">
        <v>130</v>
      </c>
      <c r="B131" s="3" t="s">
        <v>450</v>
      </c>
      <c r="C131" s="7">
        <v>42065</v>
      </c>
      <c r="D131" s="28">
        <f>MONTH(Table11[[#This Row],[Order Date]])</f>
        <v>3</v>
      </c>
      <c r="E131" s="3" t="s">
        <v>452</v>
      </c>
      <c r="F131" s="3" t="s">
        <v>453</v>
      </c>
      <c r="G131" s="25" t="s">
        <v>28</v>
      </c>
      <c r="H131" s="25" t="s">
        <v>50</v>
      </c>
      <c r="I131" s="3" t="s">
        <v>451</v>
      </c>
      <c r="J131" s="25" t="s">
        <v>22</v>
      </c>
      <c r="K131" s="28">
        <v>3</v>
      </c>
      <c r="L131" s="7">
        <v>42069</v>
      </c>
      <c r="M131" s="28">
        <f>Table11[[#This Row],[Ship Date]]-Table11[[#This Row],[Order Date]]</f>
        <v>4</v>
      </c>
      <c r="N131" s="25" t="s">
        <v>45</v>
      </c>
      <c r="O131" s="25" t="s">
        <v>23</v>
      </c>
      <c r="P131" s="25" t="s">
        <v>87</v>
      </c>
      <c r="Q131" s="25" t="s">
        <v>39</v>
      </c>
      <c r="R131" s="25" t="s">
        <v>86</v>
      </c>
      <c r="S131" s="35">
        <v>0</v>
      </c>
      <c r="T131" s="16">
        <v>787.53</v>
      </c>
      <c r="U131" s="19">
        <v>165.38130000000001</v>
      </c>
      <c r="V131" s="56">
        <f>Table11[[#This Row],[Profit]]/Table11[[#This Row],[Sales]]</f>
        <v>0.21000000000000002</v>
      </c>
    </row>
    <row r="132" spans="1:22" x14ac:dyDescent="0.2">
      <c r="A132" s="2">
        <v>131</v>
      </c>
      <c r="B132" s="5" t="s">
        <v>2881</v>
      </c>
      <c r="C132" s="6">
        <v>42065</v>
      </c>
      <c r="D132" s="27">
        <f>MONTH(Table11[[#This Row],[Order Date]])</f>
        <v>3</v>
      </c>
      <c r="E132" s="5" t="s">
        <v>1387</v>
      </c>
      <c r="F132" s="5" t="s">
        <v>1388</v>
      </c>
      <c r="G132" s="24" t="s">
        <v>41</v>
      </c>
      <c r="H132" s="24" t="s">
        <v>61</v>
      </c>
      <c r="I132" s="5" t="s">
        <v>422</v>
      </c>
      <c r="J132" s="24" t="s">
        <v>92</v>
      </c>
      <c r="K132" s="27">
        <v>1</v>
      </c>
      <c r="L132" s="6">
        <v>42070</v>
      </c>
      <c r="M132" s="27">
        <f>Table11[[#This Row],[Ship Date]]-Table11[[#This Row],[Order Date]]</f>
        <v>5</v>
      </c>
      <c r="N132" s="24" t="s">
        <v>45</v>
      </c>
      <c r="O132" s="24" t="s">
        <v>23</v>
      </c>
      <c r="P132" s="24" t="s">
        <v>226</v>
      </c>
      <c r="Q132" s="24" t="s">
        <v>95</v>
      </c>
      <c r="R132" s="24" t="s">
        <v>1294</v>
      </c>
      <c r="S132" s="34">
        <v>0</v>
      </c>
      <c r="T132" s="15">
        <v>10.16</v>
      </c>
      <c r="U132" s="18">
        <v>2.6415999999999999</v>
      </c>
      <c r="V132" s="56">
        <f>Table11[[#This Row],[Profit]]/Table11[[#This Row],[Sales]]</f>
        <v>0.26</v>
      </c>
    </row>
    <row r="133" spans="1:22" x14ac:dyDescent="0.2">
      <c r="A133" s="4">
        <v>132</v>
      </c>
      <c r="B133" s="3" t="s">
        <v>2881</v>
      </c>
      <c r="C133" s="7">
        <v>42065</v>
      </c>
      <c r="D133" s="28">
        <f>MONTH(Table11[[#This Row],[Order Date]])</f>
        <v>3</v>
      </c>
      <c r="E133" s="3" t="s">
        <v>2130</v>
      </c>
      <c r="F133" s="3" t="s">
        <v>2131</v>
      </c>
      <c r="G133" s="25" t="s">
        <v>41</v>
      </c>
      <c r="H133" s="25" t="s">
        <v>155</v>
      </c>
      <c r="I133" s="3" t="s">
        <v>422</v>
      </c>
      <c r="J133" s="25" t="s">
        <v>92</v>
      </c>
      <c r="K133" s="28">
        <v>6</v>
      </c>
      <c r="L133" s="7">
        <v>42070</v>
      </c>
      <c r="M133" s="28">
        <f>Table11[[#This Row],[Ship Date]]-Table11[[#This Row],[Order Date]]</f>
        <v>5</v>
      </c>
      <c r="N133" s="25" t="s">
        <v>45</v>
      </c>
      <c r="O133" s="25" t="s">
        <v>23</v>
      </c>
      <c r="P133" s="25" t="s">
        <v>226</v>
      </c>
      <c r="Q133" s="25" t="s">
        <v>95</v>
      </c>
      <c r="R133" s="25" t="s">
        <v>1294</v>
      </c>
      <c r="S133" s="35">
        <v>0</v>
      </c>
      <c r="T133" s="16">
        <v>101.88</v>
      </c>
      <c r="U133" s="19">
        <v>50.94</v>
      </c>
      <c r="V133" s="56">
        <f>Table11[[#This Row],[Profit]]/Table11[[#This Row],[Sales]]</f>
        <v>0.5</v>
      </c>
    </row>
    <row r="134" spans="1:22" x14ac:dyDescent="0.2">
      <c r="A134" s="4">
        <v>133</v>
      </c>
      <c r="B134" s="5" t="s">
        <v>4144</v>
      </c>
      <c r="C134" s="6">
        <v>42068</v>
      </c>
      <c r="D134" s="27">
        <f>MONTH(Table11[[#This Row],[Order Date]])</f>
        <v>3</v>
      </c>
      <c r="E134" s="5" t="s">
        <v>4145</v>
      </c>
      <c r="F134" s="5" t="s">
        <v>591</v>
      </c>
      <c r="G134" s="24" t="s">
        <v>41</v>
      </c>
      <c r="H134" s="24" t="s">
        <v>155</v>
      </c>
      <c r="I134" s="5" t="s">
        <v>1252</v>
      </c>
      <c r="J134" s="24" t="s">
        <v>22</v>
      </c>
      <c r="K134" s="27">
        <v>3</v>
      </c>
      <c r="L134" s="6">
        <v>42068</v>
      </c>
      <c r="M134" s="27">
        <f>Table11[[#This Row],[Ship Date]]-Table11[[#This Row],[Order Date]]</f>
        <v>0</v>
      </c>
      <c r="N134" s="24" t="s">
        <v>1141</v>
      </c>
      <c r="O134" s="24" t="s">
        <v>23</v>
      </c>
      <c r="P134" s="24" t="s">
        <v>238</v>
      </c>
      <c r="Q134" s="24" t="s">
        <v>133</v>
      </c>
      <c r="R134" s="24" t="s">
        <v>237</v>
      </c>
      <c r="S134" s="34">
        <v>0</v>
      </c>
      <c r="T134" s="15">
        <v>29.34</v>
      </c>
      <c r="U134" s="18">
        <v>14.67</v>
      </c>
      <c r="V134" s="56">
        <f>Table11[[#This Row],[Profit]]/Table11[[#This Row],[Sales]]</f>
        <v>0.5</v>
      </c>
    </row>
    <row r="135" spans="1:22" x14ac:dyDescent="0.2">
      <c r="A135" s="2">
        <v>134</v>
      </c>
      <c r="B135" s="3" t="s">
        <v>4144</v>
      </c>
      <c r="C135" s="7">
        <v>42068</v>
      </c>
      <c r="D135" s="28">
        <f>MONTH(Table11[[#This Row],[Order Date]])</f>
        <v>3</v>
      </c>
      <c r="E135" s="3" t="s">
        <v>272</v>
      </c>
      <c r="F135" s="3" t="s">
        <v>273</v>
      </c>
      <c r="G135" s="25" t="s">
        <v>28</v>
      </c>
      <c r="H135" s="25" t="s">
        <v>32</v>
      </c>
      <c r="I135" s="3" t="s">
        <v>1252</v>
      </c>
      <c r="J135" s="25" t="s">
        <v>22</v>
      </c>
      <c r="K135" s="28">
        <v>7</v>
      </c>
      <c r="L135" s="7">
        <v>42068</v>
      </c>
      <c r="M135" s="28">
        <f>Table11[[#This Row],[Ship Date]]-Table11[[#This Row],[Order Date]]</f>
        <v>0</v>
      </c>
      <c r="N135" s="25" t="s">
        <v>1141</v>
      </c>
      <c r="O135" s="25" t="s">
        <v>23</v>
      </c>
      <c r="P135" s="25" t="s">
        <v>238</v>
      </c>
      <c r="Q135" s="25" t="s">
        <v>133</v>
      </c>
      <c r="R135" s="25" t="s">
        <v>237</v>
      </c>
      <c r="S135" s="35">
        <v>0.1</v>
      </c>
      <c r="T135" s="16">
        <v>383.60700000000003</v>
      </c>
      <c r="U135" s="19">
        <v>63.9345</v>
      </c>
      <c r="V135" s="56">
        <f>Table11[[#This Row],[Profit]]/Table11[[#This Row],[Sales]]</f>
        <v>0.16666666666666666</v>
      </c>
    </row>
    <row r="136" spans="1:22" x14ac:dyDescent="0.2">
      <c r="A136" s="4">
        <v>135</v>
      </c>
      <c r="B136" s="5" t="s">
        <v>4144</v>
      </c>
      <c r="C136" s="6">
        <v>42068</v>
      </c>
      <c r="D136" s="27">
        <f>MONTH(Table11[[#This Row],[Order Date]])</f>
        <v>3</v>
      </c>
      <c r="E136" s="5" t="s">
        <v>1464</v>
      </c>
      <c r="F136" s="5" t="s">
        <v>1465</v>
      </c>
      <c r="G136" s="24" t="s">
        <v>41</v>
      </c>
      <c r="H136" s="24" t="s">
        <v>53</v>
      </c>
      <c r="I136" s="5" t="s">
        <v>1252</v>
      </c>
      <c r="J136" s="24" t="s">
        <v>22</v>
      </c>
      <c r="K136" s="27">
        <v>4</v>
      </c>
      <c r="L136" s="6">
        <v>42068</v>
      </c>
      <c r="M136" s="27">
        <f>Table11[[#This Row],[Ship Date]]-Table11[[#This Row],[Order Date]]</f>
        <v>0</v>
      </c>
      <c r="N136" s="24" t="s">
        <v>1141</v>
      </c>
      <c r="O136" s="24" t="s">
        <v>23</v>
      </c>
      <c r="P136" s="24" t="s">
        <v>238</v>
      </c>
      <c r="Q136" s="24" t="s">
        <v>133</v>
      </c>
      <c r="R136" s="24" t="s">
        <v>237</v>
      </c>
      <c r="S136" s="34">
        <v>0</v>
      </c>
      <c r="T136" s="15">
        <v>563.4</v>
      </c>
      <c r="U136" s="18">
        <v>67.608000000000004</v>
      </c>
      <c r="V136" s="56">
        <f>Table11[[#This Row],[Profit]]/Table11[[#This Row],[Sales]]</f>
        <v>0.12000000000000001</v>
      </c>
    </row>
    <row r="137" spans="1:22" x14ac:dyDescent="0.2">
      <c r="A137" s="4">
        <v>136</v>
      </c>
      <c r="B137" s="3" t="s">
        <v>4688</v>
      </c>
      <c r="C137" s="7">
        <v>42068</v>
      </c>
      <c r="D137" s="28">
        <f>MONTH(Table11[[#This Row],[Order Date]])</f>
        <v>3</v>
      </c>
      <c r="E137" s="3" t="s">
        <v>676</v>
      </c>
      <c r="F137" s="3" t="s">
        <v>677</v>
      </c>
      <c r="G137" s="25" t="s">
        <v>64</v>
      </c>
      <c r="H137" s="25" t="s">
        <v>65</v>
      </c>
      <c r="I137" s="3" t="s">
        <v>1714</v>
      </c>
      <c r="J137" s="25" t="s">
        <v>22</v>
      </c>
      <c r="K137" s="28">
        <v>2</v>
      </c>
      <c r="L137" s="7">
        <v>42072</v>
      </c>
      <c r="M137" s="28">
        <f>Table11[[#This Row],[Ship Date]]-Table11[[#This Row],[Order Date]]</f>
        <v>4</v>
      </c>
      <c r="N137" s="25" t="s">
        <v>45</v>
      </c>
      <c r="O137" s="25" t="s">
        <v>23</v>
      </c>
      <c r="P137" s="25" t="s">
        <v>226</v>
      </c>
      <c r="Q137" s="25" t="s">
        <v>95</v>
      </c>
      <c r="R137" s="25" t="s">
        <v>4689</v>
      </c>
      <c r="S137" s="35">
        <v>0</v>
      </c>
      <c r="T137" s="16">
        <v>23.92</v>
      </c>
      <c r="U137" s="19">
        <v>6.6976000000000004</v>
      </c>
      <c r="V137" s="56">
        <f>Table11[[#This Row],[Profit]]/Table11[[#This Row],[Sales]]</f>
        <v>0.27999999999999997</v>
      </c>
    </row>
    <row r="138" spans="1:22" x14ac:dyDescent="0.2">
      <c r="A138" s="2">
        <v>137</v>
      </c>
      <c r="B138" s="5" t="s">
        <v>4688</v>
      </c>
      <c r="C138" s="6">
        <v>42068</v>
      </c>
      <c r="D138" s="27">
        <f>MONTH(Table11[[#This Row],[Order Date]])</f>
        <v>3</v>
      </c>
      <c r="E138" s="5" t="s">
        <v>4690</v>
      </c>
      <c r="F138" s="5" t="s">
        <v>1262</v>
      </c>
      <c r="G138" s="24" t="s">
        <v>41</v>
      </c>
      <c r="H138" s="24" t="s">
        <v>71</v>
      </c>
      <c r="I138" s="5" t="s">
        <v>1714</v>
      </c>
      <c r="J138" s="24" t="s">
        <v>22</v>
      </c>
      <c r="K138" s="27">
        <v>7</v>
      </c>
      <c r="L138" s="6">
        <v>42072</v>
      </c>
      <c r="M138" s="27">
        <f>Table11[[#This Row],[Ship Date]]-Table11[[#This Row],[Order Date]]</f>
        <v>4</v>
      </c>
      <c r="N138" s="24" t="s">
        <v>45</v>
      </c>
      <c r="O138" s="24" t="s">
        <v>23</v>
      </c>
      <c r="P138" s="24" t="s">
        <v>226</v>
      </c>
      <c r="Q138" s="24" t="s">
        <v>95</v>
      </c>
      <c r="R138" s="24" t="s">
        <v>4689</v>
      </c>
      <c r="S138" s="34">
        <v>0</v>
      </c>
      <c r="T138" s="15">
        <v>60.69</v>
      </c>
      <c r="U138" s="18">
        <v>16.386299999999999</v>
      </c>
      <c r="V138" s="56">
        <f>Table11[[#This Row],[Profit]]/Table11[[#This Row],[Sales]]</f>
        <v>0.26999999999999996</v>
      </c>
    </row>
    <row r="139" spans="1:22" x14ac:dyDescent="0.2">
      <c r="A139" s="4">
        <v>138</v>
      </c>
      <c r="B139" s="3" t="s">
        <v>7233</v>
      </c>
      <c r="C139" s="7">
        <v>42068</v>
      </c>
      <c r="D139" s="28">
        <f>MONTH(Table11[[#This Row],[Order Date]])</f>
        <v>3</v>
      </c>
      <c r="E139" s="3" t="s">
        <v>7234</v>
      </c>
      <c r="F139" s="3" t="s">
        <v>7235</v>
      </c>
      <c r="G139" s="25" t="s">
        <v>64</v>
      </c>
      <c r="H139" s="25" t="s">
        <v>65</v>
      </c>
      <c r="I139" s="3" t="s">
        <v>3488</v>
      </c>
      <c r="J139" s="25" t="s">
        <v>36</v>
      </c>
      <c r="K139" s="28">
        <v>7</v>
      </c>
      <c r="L139" s="7">
        <v>42072</v>
      </c>
      <c r="M139" s="28">
        <f>Table11[[#This Row],[Ship Date]]-Table11[[#This Row],[Order Date]]</f>
        <v>4</v>
      </c>
      <c r="N139" s="25" t="s">
        <v>45</v>
      </c>
      <c r="O139" s="25" t="s">
        <v>23</v>
      </c>
      <c r="P139" s="25" t="s">
        <v>132</v>
      </c>
      <c r="Q139" s="25" t="s">
        <v>133</v>
      </c>
      <c r="R139" s="25" t="s">
        <v>131</v>
      </c>
      <c r="S139" s="35">
        <v>0.4</v>
      </c>
      <c r="T139" s="16">
        <v>466.15800000000002</v>
      </c>
      <c r="U139" s="19">
        <v>-93.2316</v>
      </c>
      <c r="V139" s="56">
        <f>Table11[[#This Row],[Profit]]/Table11[[#This Row],[Sales]]</f>
        <v>-0.19999999999999998</v>
      </c>
    </row>
    <row r="140" spans="1:22" x14ac:dyDescent="0.2">
      <c r="A140" s="4">
        <v>139</v>
      </c>
      <c r="B140" s="5" t="s">
        <v>7233</v>
      </c>
      <c r="C140" s="6">
        <v>42068</v>
      </c>
      <c r="D140" s="27">
        <f>MONTH(Table11[[#This Row],[Order Date]])</f>
        <v>3</v>
      </c>
      <c r="E140" s="5" t="s">
        <v>1894</v>
      </c>
      <c r="F140" s="5" t="s">
        <v>1895</v>
      </c>
      <c r="G140" s="24" t="s">
        <v>64</v>
      </c>
      <c r="H140" s="24" t="s">
        <v>144</v>
      </c>
      <c r="I140" s="5" t="s">
        <v>3488</v>
      </c>
      <c r="J140" s="24" t="s">
        <v>36</v>
      </c>
      <c r="K140" s="27">
        <v>1</v>
      </c>
      <c r="L140" s="6">
        <v>42072</v>
      </c>
      <c r="M140" s="27">
        <f>Table11[[#This Row],[Ship Date]]-Table11[[#This Row],[Order Date]]</f>
        <v>4</v>
      </c>
      <c r="N140" s="24" t="s">
        <v>45</v>
      </c>
      <c r="O140" s="24" t="s">
        <v>23</v>
      </c>
      <c r="P140" s="24" t="s">
        <v>132</v>
      </c>
      <c r="Q140" s="24" t="s">
        <v>133</v>
      </c>
      <c r="R140" s="24" t="s">
        <v>131</v>
      </c>
      <c r="S140" s="34">
        <v>0.2</v>
      </c>
      <c r="T140" s="15">
        <v>10.311999999999999</v>
      </c>
      <c r="U140" s="18">
        <v>-1.2889999999999999</v>
      </c>
      <c r="V140" s="56">
        <f>Table11[[#This Row],[Profit]]/Table11[[#This Row],[Sales]]</f>
        <v>-0.125</v>
      </c>
    </row>
    <row r="141" spans="1:22" x14ac:dyDescent="0.2">
      <c r="A141" s="2">
        <v>140</v>
      </c>
      <c r="B141" s="3" t="s">
        <v>7233</v>
      </c>
      <c r="C141" s="7">
        <v>42068</v>
      </c>
      <c r="D141" s="28">
        <f>MONTH(Table11[[#This Row],[Order Date]])</f>
        <v>3</v>
      </c>
      <c r="E141" s="3" t="s">
        <v>2750</v>
      </c>
      <c r="F141" s="3" t="s">
        <v>2751</v>
      </c>
      <c r="G141" s="25" t="s">
        <v>41</v>
      </c>
      <c r="H141" s="25" t="s">
        <v>68</v>
      </c>
      <c r="I141" s="3" t="s">
        <v>3488</v>
      </c>
      <c r="J141" s="25" t="s">
        <v>36</v>
      </c>
      <c r="K141" s="28">
        <v>3</v>
      </c>
      <c r="L141" s="7">
        <v>42072</v>
      </c>
      <c r="M141" s="28">
        <f>Table11[[#This Row],[Ship Date]]-Table11[[#This Row],[Order Date]]</f>
        <v>4</v>
      </c>
      <c r="N141" s="25" t="s">
        <v>45</v>
      </c>
      <c r="O141" s="25" t="s">
        <v>23</v>
      </c>
      <c r="P141" s="25" t="s">
        <v>132</v>
      </c>
      <c r="Q141" s="25" t="s">
        <v>133</v>
      </c>
      <c r="R141" s="25" t="s">
        <v>131</v>
      </c>
      <c r="S141" s="35">
        <v>0.7</v>
      </c>
      <c r="T141" s="16">
        <v>2.556</v>
      </c>
      <c r="U141" s="19">
        <v>-1.7891999999999999</v>
      </c>
      <c r="V141" s="56">
        <f>Table11[[#This Row],[Profit]]/Table11[[#This Row],[Sales]]</f>
        <v>-0.7</v>
      </c>
    </row>
    <row r="142" spans="1:22" x14ac:dyDescent="0.2">
      <c r="A142" s="4">
        <v>141</v>
      </c>
      <c r="B142" s="5" t="s">
        <v>7343</v>
      </c>
      <c r="C142" s="6">
        <v>42068</v>
      </c>
      <c r="D142" s="27">
        <f>MONTH(Table11[[#This Row],[Order Date]])</f>
        <v>3</v>
      </c>
      <c r="E142" s="5" t="s">
        <v>1627</v>
      </c>
      <c r="F142" s="5" t="s">
        <v>1628</v>
      </c>
      <c r="G142" s="24" t="s">
        <v>28</v>
      </c>
      <c r="H142" s="24" t="s">
        <v>32</v>
      </c>
      <c r="I142" s="5" t="s">
        <v>936</v>
      </c>
      <c r="J142" s="24" t="s">
        <v>36</v>
      </c>
      <c r="K142" s="27">
        <v>2</v>
      </c>
      <c r="L142" s="6">
        <v>42070</v>
      </c>
      <c r="M142" s="27">
        <f>Table11[[#This Row],[Ship Date]]-Table11[[#This Row],[Order Date]]</f>
        <v>2</v>
      </c>
      <c r="N142" s="24" t="s">
        <v>20</v>
      </c>
      <c r="O142" s="24" t="s">
        <v>23</v>
      </c>
      <c r="P142" s="24" t="s">
        <v>132</v>
      </c>
      <c r="Q142" s="24" t="s">
        <v>133</v>
      </c>
      <c r="R142" s="24" t="s">
        <v>7344</v>
      </c>
      <c r="S142" s="34">
        <v>0.3</v>
      </c>
      <c r="T142" s="15">
        <v>99.372</v>
      </c>
      <c r="U142" s="18">
        <v>-7.0979999999999999</v>
      </c>
      <c r="V142" s="56">
        <f>Table11[[#This Row],[Profit]]/Table11[[#This Row],[Sales]]</f>
        <v>-7.1428571428571425E-2</v>
      </c>
    </row>
    <row r="143" spans="1:22" x14ac:dyDescent="0.2">
      <c r="A143" s="4">
        <v>142</v>
      </c>
      <c r="B143" s="3" t="s">
        <v>7343</v>
      </c>
      <c r="C143" s="7">
        <v>42068</v>
      </c>
      <c r="D143" s="28">
        <f>MONTH(Table11[[#This Row],[Order Date]])</f>
        <v>3</v>
      </c>
      <c r="E143" s="3" t="s">
        <v>5586</v>
      </c>
      <c r="F143" s="3" t="s">
        <v>5587</v>
      </c>
      <c r="G143" s="25" t="s">
        <v>28</v>
      </c>
      <c r="H143" s="25" t="s">
        <v>58</v>
      </c>
      <c r="I143" s="3" t="s">
        <v>936</v>
      </c>
      <c r="J143" s="25" t="s">
        <v>36</v>
      </c>
      <c r="K143" s="28">
        <v>2</v>
      </c>
      <c r="L143" s="7">
        <v>42070</v>
      </c>
      <c r="M143" s="28">
        <f>Table11[[#This Row],[Ship Date]]-Table11[[#This Row],[Order Date]]</f>
        <v>2</v>
      </c>
      <c r="N143" s="25" t="s">
        <v>20</v>
      </c>
      <c r="O143" s="25" t="s">
        <v>23</v>
      </c>
      <c r="P143" s="25" t="s">
        <v>132</v>
      </c>
      <c r="Q143" s="25" t="s">
        <v>133</v>
      </c>
      <c r="R143" s="25" t="s">
        <v>7344</v>
      </c>
      <c r="S143" s="35">
        <v>0.2</v>
      </c>
      <c r="T143" s="16">
        <v>33.567999999999998</v>
      </c>
      <c r="U143" s="19">
        <v>-5.4547999999999996</v>
      </c>
      <c r="V143" s="56">
        <f>Table11[[#This Row],[Profit]]/Table11[[#This Row],[Sales]]</f>
        <v>-0.16250000000000001</v>
      </c>
    </row>
    <row r="144" spans="1:22" x14ac:dyDescent="0.2">
      <c r="A144" s="2">
        <v>143</v>
      </c>
      <c r="B144" s="5" t="s">
        <v>7395</v>
      </c>
      <c r="C144" s="6">
        <v>42068</v>
      </c>
      <c r="D144" s="27">
        <f>MONTH(Table11[[#This Row],[Order Date]])</f>
        <v>3</v>
      </c>
      <c r="E144" s="5" t="s">
        <v>1456</v>
      </c>
      <c r="F144" s="5" t="s">
        <v>1457</v>
      </c>
      <c r="G144" s="24" t="s">
        <v>64</v>
      </c>
      <c r="H144" s="24" t="s">
        <v>65</v>
      </c>
      <c r="I144" s="5" t="s">
        <v>1211</v>
      </c>
      <c r="J144" s="24" t="s">
        <v>22</v>
      </c>
      <c r="K144" s="27">
        <v>2</v>
      </c>
      <c r="L144" s="6">
        <v>42072</v>
      </c>
      <c r="M144" s="27">
        <f>Table11[[#This Row],[Ship Date]]-Table11[[#This Row],[Order Date]]</f>
        <v>4</v>
      </c>
      <c r="N144" s="24" t="s">
        <v>45</v>
      </c>
      <c r="O144" s="24" t="s">
        <v>23</v>
      </c>
      <c r="P144" s="24" t="s">
        <v>94</v>
      </c>
      <c r="Q144" s="24" t="s">
        <v>95</v>
      </c>
      <c r="R144" s="24" t="s">
        <v>165</v>
      </c>
      <c r="S144" s="34">
        <v>0.2</v>
      </c>
      <c r="T144" s="15">
        <v>31.92</v>
      </c>
      <c r="U144" s="18">
        <v>2.3940000000000001</v>
      </c>
      <c r="V144" s="56">
        <f>Table11[[#This Row],[Profit]]/Table11[[#This Row],[Sales]]</f>
        <v>7.4999999999999997E-2</v>
      </c>
    </row>
    <row r="145" spans="1:22" x14ac:dyDescent="0.2">
      <c r="A145" s="4">
        <v>144</v>
      </c>
      <c r="B145" s="3" t="s">
        <v>8130</v>
      </c>
      <c r="C145" s="7">
        <v>42068</v>
      </c>
      <c r="D145" s="28">
        <f>MONTH(Table11[[#This Row],[Order Date]])</f>
        <v>3</v>
      </c>
      <c r="E145" s="3" t="s">
        <v>3806</v>
      </c>
      <c r="F145" s="3" t="s">
        <v>3807</v>
      </c>
      <c r="G145" s="25" t="s">
        <v>41</v>
      </c>
      <c r="H145" s="25" t="s">
        <v>240</v>
      </c>
      <c r="I145" s="3" t="s">
        <v>2707</v>
      </c>
      <c r="J145" s="25" t="s">
        <v>22</v>
      </c>
      <c r="K145" s="28">
        <v>6</v>
      </c>
      <c r="L145" s="7">
        <v>42073</v>
      </c>
      <c r="M145" s="28">
        <f>Table11[[#This Row],[Ship Date]]-Table11[[#This Row],[Order Date]]</f>
        <v>5</v>
      </c>
      <c r="N145" s="25" t="s">
        <v>45</v>
      </c>
      <c r="O145" s="25" t="s">
        <v>23</v>
      </c>
      <c r="P145" s="25" t="s">
        <v>189</v>
      </c>
      <c r="Q145" s="25" t="s">
        <v>95</v>
      </c>
      <c r="R145" s="25" t="s">
        <v>271</v>
      </c>
      <c r="S145" s="35">
        <v>0.2</v>
      </c>
      <c r="T145" s="16">
        <v>7.1040000000000001</v>
      </c>
      <c r="U145" s="19">
        <v>2.4864000000000002</v>
      </c>
      <c r="V145" s="56">
        <f>Table11[[#This Row],[Profit]]/Table11[[#This Row],[Sales]]</f>
        <v>0.35000000000000003</v>
      </c>
    </row>
    <row r="146" spans="1:22" x14ac:dyDescent="0.2">
      <c r="A146" s="4">
        <v>145</v>
      </c>
      <c r="B146" s="5" t="s">
        <v>9134</v>
      </c>
      <c r="C146" s="6">
        <v>42068</v>
      </c>
      <c r="D146" s="27">
        <f>MONTH(Table11[[#This Row],[Order Date]])</f>
        <v>3</v>
      </c>
      <c r="E146" s="5" t="s">
        <v>3128</v>
      </c>
      <c r="F146" s="5" t="s">
        <v>3129</v>
      </c>
      <c r="G146" s="24" t="s">
        <v>41</v>
      </c>
      <c r="H146" s="24" t="s">
        <v>68</v>
      </c>
      <c r="I146" s="5" t="s">
        <v>2428</v>
      </c>
      <c r="J146" s="24" t="s">
        <v>22</v>
      </c>
      <c r="K146" s="27">
        <v>2</v>
      </c>
      <c r="L146" s="6">
        <v>42072</v>
      </c>
      <c r="M146" s="27">
        <f>Table11[[#This Row],[Ship Date]]-Table11[[#This Row],[Order Date]]</f>
        <v>4</v>
      </c>
      <c r="N146" s="24" t="s">
        <v>20</v>
      </c>
      <c r="O146" s="24" t="s">
        <v>23</v>
      </c>
      <c r="P146" s="24" t="s">
        <v>189</v>
      </c>
      <c r="Q146" s="24" t="s">
        <v>95</v>
      </c>
      <c r="R146" s="24" t="s">
        <v>271</v>
      </c>
      <c r="S146" s="34">
        <v>0.8</v>
      </c>
      <c r="T146" s="15">
        <v>11.212</v>
      </c>
      <c r="U146" s="18">
        <v>-16.818000000000001</v>
      </c>
      <c r="V146" s="56">
        <f>Table11[[#This Row],[Profit]]/Table11[[#This Row],[Sales]]</f>
        <v>-1.5000000000000002</v>
      </c>
    </row>
    <row r="147" spans="1:22" x14ac:dyDescent="0.2">
      <c r="A147" s="2">
        <v>146</v>
      </c>
      <c r="B147" s="3" t="s">
        <v>9134</v>
      </c>
      <c r="C147" s="7">
        <v>42068</v>
      </c>
      <c r="D147" s="28">
        <f>MONTH(Table11[[#This Row],[Order Date]])</f>
        <v>3</v>
      </c>
      <c r="E147" s="3" t="s">
        <v>1136</v>
      </c>
      <c r="F147" s="3" t="s">
        <v>1137</v>
      </c>
      <c r="G147" s="25" t="s">
        <v>28</v>
      </c>
      <c r="H147" s="25" t="s">
        <v>58</v>
      </c>
      <c r="I147" s="3" t="s">
        <v>2428</v>
      </c>
      <c r="J147" s="25" t="s">
        <v>22</v>
      </c>
      <c r="K147" s="28">
        <v>2</v>
      </c>
      <c r="L147" s="7">
        <v>42072</v>
      </c>
      <c r="M147" s="28">
        <f>Table11[[#This Row],[Ship Date]]-Table11[[#This Row],[Order Date]]</f>
        <v>4</v>
      </c>
      <c r="N147" s="25" t="s">
        <v>20</v>
      </c>
      <c r="O147" s="25" t="s">
        <v>23</v>
      </c>
      <c r="P147" s="25" t="s">
        <v>189</v>
      </c>
      <c r="Q147" s="25" t="s">
        <v>95</v>
      </c>
      <c r="R147" s="25" t="s">
        <v>271</v>
      </c>
      <c r="S147" s="35">
        <v>0.6</v>
      </c>
      <c r="T147" s="16">
        <v>4.7119999999999997</v>
      </c>
      <c r="U147" s="19">
        <v>-1.8848</v>
      </c>
      <c r="V147" s="56">
        <f>Table11[[#This Row],[Profit]]/Table11[[#This Row],[Sales]]</f>
        <v>-0.4</v>
      </c>
    </row>
    <row r="148" spans="1:22" x14ac:dyDescent="0.2">
      <c r="A148" s="4">
        <v>147</v>
      </c>
      <c r="B148" s="5" t="s">
        <v>9134</v>
      </c>
      <c r="C148" s="6">
        <v>42068</v>
      </c>
      <c r="D148" s="27">
        <f>MONTH(Table11[[#This Row],[Order Date]])</f>
        <v>3</v>
      </c>
      <c r="E148" s="5" t="s">
        <v>3902</v>
      </c>
      <c r="F148" s="5" t="s">
        <v>3903</v>
      </c>
      <c r="G148" s="24" t="s">
        <v>41</v>
      </c>
      <c r="H148" s="24" t="s">
        <v>71</v>
      </c>
      <c r="I148" s="5" t="s">
        <v>2428</v>
      </c>
      <c r="J148" s="24" t="s">
        <v>22</v>
      </c>
      <c r="K148" s="27">
        <v>5</v>
      </c>
      <c r="L148" s="6">
        <v>42072</v>
      </c>
      <c r="M148" s="27">
        <f>Table11[[#This Row],[Ship Date]]-Table11[[#This Row],[Order Date]]</f>
        <v>4</v>
      </c>
      <c r="N148" s="24" t="s">
        <v>20</v>
      </c>
      <c r="O148" s="24" t="s">
        <v>23</v>
      </c>
      <c r="P148" s="24" t="s">
        <v>189</v>
      </c>
      <c r="Q148" s="24" t="s">
        <v>95</v>
      </c>
      <c r="R148" s="24" t="s">
        <v>271</v>
      </c>
      <c r="S148" s="34">
        <v>0.8</v>
      </c>
      <c r="T148" s="15">
        <v>180.98</v>
      </c>
      <c r="U148" s="18">
        <v>-470.548</v>
      </c>
      <c r="V148" s="56">
        <f>Table11[[#This Row],[Profit]]/Table11[[#This Row],[Sales]]</f>
        <v>-2.6</v>
      </c>
    </row>
    <row r="149" spans="1:22" x14ac:dyDescent="0.2">
      <c r="A149" s="4">
        <v>148</v>
      </c>
      <c r="B149" s="3" t="s">
        <v>9134</v>
      </c>
      <c r="C149" s="7">
        <v>42068</v>
      </c>
      <c r="D149" s="28">
        <f>MONTH(Table11[[#This Row],[Order Date]])</f>
        <v>3</v>
      </c>
      <c r="E149" s="3" t="s">
        <v>464</v>
      </c>
      <c r="F149" s="3" t="s">
        <v>465</v>
      </c>
      <c r="G149" s="25" t="s">
        <v>41</v>
      </c>
      <c r="H149" s="25" t="s">
        <v>53</v>
      </c>
      <c r="I149" s="3" t="s">
        <v>2428</v>
      </c>
      <c r="J149" s="25" t="s">
        <v>22</v>
      </c>
      <c r="K149" s="28">
        <v>2</v>
      </c>
      <c r="L149" s="7">
        <v>42072</v>
      </c>
      <c r="M149" s="28">
        <f>Table11[[#This Row],[Ship Date]]-Table11[[#This Row],[Order Date]]</f>
        <v>4</v>
      </c>
      <c r="N149" s="25" t="s">
        <v>20</v>
      </c>
      <c r="O149" s="25" t="s">
        <v>23</v>
      </c>
      <c r="P149" s="25" t="s">
        <v>189</v>
      </c>
      <c r="Q149" s="25" t="s">
        <v>95</v>
      </c>
      <c r="R149" s="25" t="s">
        <v>271</v>
      </c>
      <c r="S149" s="35">
        <v>0.2</v>
      </c>
      <c r="T149" s="16">
        <v>60.415999999999997</v>
      </c>
      <c r="U149" s="19">
        <v>6.0415999999999999</v>
      </c>
      <c r="V149" s="56">
        <f>Table11[[#This Row],[Profit]]/Table11[[#This Row],[Sales]]</f>
        <v>0.1</v>
      </c>
    </row>
    <row r="150" spans="1:22" x14ac:dyDescent="0.2">
      <c r="A150" s="2">
        <v>149</v>
      </c>
      <c r="B150" s="5" t="s">
        <v>4675</v>
      </c>
      <c r="C150" s="6">
        <v>42069</v>
      </c>
      <c r="D150" s="27">
        <f>MONTH(Table11[[#This Row],[Order Date]])</f>
        <v>3</v>
      </c>
      <c r="E150" s="5" t="s">
        <v>4676</v>
      </c>
      <c r="F150" s="5" t="s">
        <v>4677</v>
      </c>
      <c r="G150" s="24" t="s">
        <v>28</v>
      </c>
      <c r="H150" s="24" t="s">
        <v>58</v>
      </c>
      <c r="I150" s="5" t="s">
        <v>1063</v>
      </c>
      <c r="J150" s="24" t="s">
        <v>22</v>
      </c>
      <c r="K150" s="27">
        <v>7</v>
      </c>
      <c r="L150" s="6">
        <v>42074</v>
      </c>
      <c r="M150" s="27">
        <f>Table11[[#This Row],[Ship Date]]-Table11[[#This Row],[Order Date]]</f>
        <v>5</v>
      </c>
      <c r="N150" s="24" t="s">
        <v>45</v>
      </c>
      <c r="O150" s="24" t="s">
        <v>23</v>
      </c>
      <c r="P150" s="24" t="s">
        <v>38</v>
      </c>
      <c r="Q150" s="24" t="s">
        <v>39</v>
      </c>
      <c r="R150" s="24" t="s">
        <v>114</v>
      </c>
      <c r="S150" s="34">
        <v>0</v>
      </c>
      <c r="T150" s="15">
        <v>435.26</v>
      </c>
      <c r="U150" s="18">
        <v>95.757199999999997</v>
      </c>
      <c r="V150" s="56">
        <f>Table11[[#This Row],[Profit]]/Table11[[#This Row],[Sales]]</f>
        <v>0.22</v>
      </c>
    </row>
    <row r="151" spans="1:22" x14ac:dyDescent="0.2">
      <c r="A151" s="4">
        <v>150</v>
      </c>
      <c r="B151" s="3" t="s">
        <v>4675</v>
      </c>
      <c r="C151" s="7">
        <v>42069</v>
      </c>
      <c r="D151" s="28">
        <f>MONTH(Table11[[#This Row],[Order Date]])</f>
        <v>3</v>
      </c>
      <c r="E151" s="3" t="s">
        <v>4678</v>
      </c>
      <c r="F151" s="3" t="s">
        <v>4679</v>
      </c>
      <c r="G151" s="25" t="s">
        <v>64</v>
      </c>
      <c r="H151" s="25" t="s">
        <v>1075</v>
      </c>
      <c r="I151" s="3" t="s">
        <v>1063</v>
      </c>
      <c r="J151" s="25" t="s">
        <v>22</v>
      </c>
      <c r="K151" s="28">
        <v>2</v>
      </c>
      <c r="L151" s="7">
        <v>42074</v>
      </c>
      <c r="M151" s="28">
        <f>Table11[[#This Row],[Ship Date]]-Table11[[#This Row],[Order Date]]</f>
        <v>5</v>
      </c>
      <c r="N151" s="25" t="s">
        <v>45</v>
      </c>
      <c r="O151" s="25" t="s">
        <v>23</v>
      </c>
      <c r="P151" s="25" t="s">
        <v>38</v>
      </c>
      <c r="Q151" s="25" t="s">
        <v>39</v>
      </c>
      <c r="R151" s="25" t="s">
        <v>114</v>
      </c>
      <c r="S151" s="35">
        <v>0.2</v>
      </c>
      <c r="T151" s="16">
        <v>1119.9839999999999</v>
      </c>
      <c r="U151" s="19">
        <v>377.99459999999999</v>
      </c>
      <c r="V151" s="56">
        <f>Table11[[#This Row],[Profit]]/Table11[[#This Row],[Sales]]</f>
        <v>0.33750000000000002</v>
      </c>
    </row>
    <row r="152" spans="1:22" x14ac:dyDescent="0.2">
      <c r="A152" s="4">
        <v>151</v>
      </c>
      <c r="B152" s="5" t="s">
        <v>8069</v>
      </c>
      <c r="C152" s="6">
        <v>42070</v>
      </c>
      <c r="D152" s="27">
        <f>MONTH(Table11[[#This Row],[Order Date]])</f>
        <v>3</v>
      </c>
      <c r="E152" s="5" t="s">
        <v>874</v>
      </c>
      <c r="F152" s="5" t="s">
        <v>875</v>
      </c>
      <c r="G152" s="24" t="s">
        <v>64</v>
      </c>
      <c r="H152" s="24" t="s">
        <v>144</v>
      </c>
      <c r="I152" s="5" t="s">
        <v>5475</v>
      </c>
      <c r="J152" s="24" t="s">
        <v>92</v>
      </c>
      <c r="K152" s="27">
        <v>3</v>
      </c>
      <c r="L152" s="6">
        <v>42073</v>
      </c>
      <c r="M152" s="27">
        <f>Table11[[#This Row],[Ship Date]]-Table11[[#This Row],[Order Date]]</f>
        <v>3</v>
      </c>
      <c r="N152" s="24" t="s">
        <v>169</v>
      </c>
      <c r="O152" s="24" t="s">
        <v>23</v>
      </c>
      <c r="P152" s="24" t="s">
        <v>218</v>
      </c>
      <c r="Q152" s="24" t="s">
        <v>133</v>
      </c>
      <c r="R152" s="24" t="s">
        <v>536</v>
      </c>
      <c r="S152" s="34">
        <v>0</v>
      </c>
      <c r="T152" s="15">
        <v>119.85</v>
      </c>
      <c r="U152" s="18">
        <v>52.734000000000002</v>
      </c>
      <c r="V152" s="56">
        <f>Table11[[#This Row],[Profit]]/Table11[[#This Row],[Sales]]</f>
        <v>0.44000000000000006</v>
      </c>
    </row>
    <row r="153" spans="1:22" x14ac:dyDescent="0.2">
      <c r="A153" s="2">
        <v>152</v>
      </c>
      <c r="B153" s="3" t="s">
        <v>8069</v>
      </c>
      <c r="C153" s="7">
        <v>42070</v>
      </c>
      <c r="D153" s="28">
        <f>MONTH(Table11[[#This Row],[Order Date]])</f>
        <v>3</v>
      </c>
      <c r="E153" s="3" t="s">
        <v>1181</v>
      </c>
      <c r="F153" s="3" t="s">
        <v>1182</v>
      </c>
      <c r="G153" s="25" t="s">
        <v>41</v>
      </c>
      <c r="H153" s="25" t="s">
        <v>68</v>
      </c>
      <c r="I153" s="3" t="s">
        <v>5475</v>
      </c>
      <c r="J153" s="25" t="s">
        <v>92</v>
      </c>
      <c r="K153" s="28">
        <v>2</v>
      </c>
      <c r="L153" s="7">
        <v>42073</v>
      </c>
      <c r="M153" s="28">
        <f>Table11[[#This Row],[Ship Date]]-Table11[[#This Row],[Order Date]]</f>
        <v>3</v>
      </c>
      <c r="N153" s="25" t="s">
        <v>169</v>
      </c>
      <c r="O153" s="25" t="s">
        <v>23</v>
      </c>
      <c r="P153" s="25" t="s">
        <v>218</v>
      </c>
      <c r="Q153" s="25" t="s">
        <v>133</v>
      </c>
      <c r="R153" s="25" t="s">
        <v>536</v>
      </c>
      <c r="S153" s="35">
        <v>0</v>
      </c>
      <c r="T153" s="16">
        <v>30.44</v>
      </c>
      <c r="U153" s="19">
        <v>14.9156</v>
      </c>
      <c r="V153" s="56">
        <f>Table11[[#This Row],[Profit]]/Table11[[#This Row],[Sales]]</f>
        <v>0.49</v>
      </c>
    </row>
    <row r="154" spans="1:22" x14ac:dyDescent="0.2">
      <c r="A154" s="4">
        <v>153</v>
      </c>
      <c r="B154" s="5" t="s">
        <v>8069</v>
      </c>
      <c r="C154" s="6">
        <v>42070</v>
      </c>
      <c r="D154" s="27">
        <f>MONTH(Table11[[#This Row],[Order Date]])</f>
        <v>3</v>
      </c>
      <c r="E154" s="5" t="s">
        <v>3468</v>
      </c>
      <c r="F154" s="5" t="s">
        <v>3469</v>
      </c>
      <c r="G154" s="24" t="s">
        <v>41</v>
      </c>
      <c r="H154" s="24" t="s">
        <v>68</v>
      </c>
      <c r="I154" s="5" t="s">
        <v>5475</v>
      </c>
      <c r="J154" s="24" t="s">
        <v>92</v>
      </c>
      <c r="K154" s="27">
        <v>2</v>
      </c>
      <c r="L154" s="6">
        <v>42073</v>
      </c>
      <c r="M154" s="27">
        <f>Table11[[#This Row],[Ship Date]]-Table11[[#This Row],[Order Date]]</f>
        <v>3</v>
      </c>
      <c r="N154" s="24" t="s">
        <v>169</v>
      </c>
      <c r="O154" s="24" t="s">
        <v>23</v>
      </c>
      <c r="P154" s="24" t="s">
        <v>218</v>
      </c>
      <c r="Q154" s="24" t="s">
        <v>133</v>
      </c>
      <c r="R154" s="24" t="s">
        <v>536</v>
      </c>
      <c r="S154" s="34">
        <v>0</v>
      </c>
      <c r="T154" s="15">
        <v>69.28</v>
      </c>
      <c r="U154" s="18">
        <v>33.254399999999997</v>
      </c>
      <c r="V154" s="56">
        <f>Table11[[#This Row],[Profit]]/Table11[[#This Row],[Sales]]</f>
        <v>0.47999999999999993</v>
      </c>
    </row>
    <row r="155" spans="1:22" x14ac:dyDescent="0.2">
      <c r="A155" s="4">
        <v>154</v>
      </c>
      <c r="B155" s="3" t="s">
        <v>8069</v>
      </c>
      <c r="C155" s="7">
        <v>42070</v>
      </c>
      <c r="D155" s="28">
        <f>MONTH(Table11[[#This Row],[Order Date]])</f>
        <v>3</v>
      </c>
      <c r="E155" s="3" t="s">
        <v>6334</v>
      </c>
      <c r="F155" s="3" t="s">
        <v>6335</v>
      </c>
      <c r="G155" s="25" t="s">
        <v>64</v>
      </c>
      <c r="H155" s="25" t="s">
        <v>65</v>
      </c>
      <c r="I155" s="3" t="s">
        <v>5475</v>
      </c>
      <c r="J155" s="25" t="s">
        <v>92</v>
      </c>
      <c r="K155" s="28">
        <v>3</v>
      </c>
      <c r="L155" s="7">
        <v>42073</v>
      </c>
      <c r="M155" s="28">
        <f>Table11[[#This Row],[Ship Date]]-Table11[[#This Row],[Order Date]]</f>
        <v>3</v>
      </c>
      <c r="N155" s="25" t="s">
        <v>169</v>
      </c>
      <c r="O155" s="25" t="s">
        <v>23</v>
      </c>
      <c r="P155" s="25" t="s">
        <v>218</v>
      </c>
      <c r="Q155" s="25" t="s">
        <v>133</v>
      </c>
      <c r="R155" s="25" t="s">
        <v>536</v>
      </c>
      <c r="S155" s="35">
        <v>0</v>
      </c>
      <c r="T155" s="16">
        <v>587.97</v>
      </c>
      <c r="U155" s="19">
        <v>170.51130000000001</v>
      </c>
      <c r="V155" s="56">
        <f>Table11[[#This Row],[Profit]]/Table11[[#This Row],[Sales]]</f>
        <v>0.28999999999999998</v>
      </c>
    </row>
    <row r="156" spans="1:22" x14ac:dyDescent="0.2">
      <c r="A156" s="2">
        <v>155</v>
      </c>
      <c r="B156" s="5" t="s">
        <v>6406</v>
      </c>
      <c r="C156" s="6">
        <v>42071</v>
      </c>
      <c r="D156" s="27">
        <f>MONTH(Table11[[#This Row],[Order Date]])</f>
        <v>3</v>
      </c>
      <c r="E156" s="5" t="s">
        <v>5862</v>
      </c>
      <c r="F156" s="5" t="s">
        <v>5863</v>
      </c>
      <c r="G156" s="24" t="s">
        <v>28</v>
      </c>
      <c r="H156" s="24" t="s">
        <v>29</v>
      </c>
      <c r="I156" s="5" t="s">
        <v>6407</v>
      </c>
      <c r="J156" s="24" t="s">
        <v>22</v>
      </c>
      <c r="K156" s="27">
        <v>3</v>
      </c>
      <c r="L156" s="6">
        <v>42075</v>
      </c>
      <c r="M156" s="27">
        <f>Table11[[#This Row],[Ship Date]]-Table11[[#This Row],[Order Date]]</f>
        <v>4</v>
      </c>
      <c r="N156" s="24" t="s">
        <v>45</v>
      </c>
      <c r="O156" s="24" t="s">
        <v>23</v>
      </c>
      <c r="P156" s="24" t="s">
        <v>103</v>
      </c>
      <c r="Q156" s="24" t="s">
        <v>95</v>
      </c>
      <c r="R156" s="24" t="s">
        <v>3987</v>
      </c>
      <c r="S156" s="34">
        <v>0</v>
      </c>
      <c r="T156" s="15">
        <v>512.94000000000005</v>
      </c>
      <c r="U156" s="18">
        <v>97.458600000000004</v>
      </c>
      <c r="V156" s="56">
        <f>Table11[[#This Row],[Profit]]/Table11[[#This Row],[Sales]]</f>
        <v>0.18999999999999997</v>
      </c>
    </row>
    <row r="157" spans="1:22" x14ac:dyDescent="0.2">
      <c r="A157" s="4">
        <v>156</v>
      </c>
      <c r="B157" s="3" t="s">
        <v>6406</v>
      </c>
      <c r="C157" s="7">
        <v>42071</v>
      </c>
      <c r="D157" s="28">
        <f>MONTH(Table11[[#This Row],[Order Date]])</f>
        <v>3</v>
      </c>
      <c r="E157" s="3" t="s">
        <v>4545</v>
      </c>
      <c r="F157" s="3" t="s">
        <v>4546</v>
      </c>
      <c r="G157" s="25" t="s">
        <v>28</v>
      </c>
      <c r="H157" s="25" t="s">
        <v>32</v>
      </c>
      <c r="I157" s="3" t="s">
        <v>6407</v>
      </c>
      <c r="J157" s="25" t="s">
        <v>22</v>
      </c>
      <c r="K157" s="28">
        <v>7</v>
      </c>
      <c r="L157" s="7">
        <v>42075</v>
      </c>
      <c r="M157" s="28">
        <f>Table11[[#This Row],[Ship Date]]-Table11[[#This Row],[Order Date]]</f>
        <v>4</v>
      </c>
      <c r="N157" s="25" t="s">
        <v>45</v>
      </c>
      <c r="O157" s="25" t="s">
        <v>23</v>
      </c>
      <c r="P157" s="25" t="s">
        <v>103</v>
      </c>
      <c r="Q157" s="25" t="s">
        <v>95</v>
      </c>
      <c r="R157" s="25" t="s">
        <v>3987</v>
      </c>
      <c r="S157" s="35">
        <v>0</v>
      </c>
      <c r="T157" s="16">
        <v>860.93</v>
      </c>
      <c r="U157" s="19">
        <v>189.40459999999999</v>
      </c>
      <c r="V157" s="56">
        <f>Table11[[#This Row],[Profit]]/Table11[[#This Row],[Sales]]</f>
        <v>0.22</v>
      </c>
    </row>
    <row r="158" spans="1:22" x14ac:dyDescent="0.2">
      <c r="A158" s="4">
        <v>157</v>
      </c>
      <c r="B158" s="5" t="s">
        <v>6406</v>
      </c>
      <c r="C158" s="6">
        <v>42071</v>
      </c>
      <c r="D158" s="27">
        <f>MONTH(Table11[[#This Row],[Order Date]])</f>
        <v>3</v>
      </c>
      <c r="E158" s="5" t="s">
        <v>1217</v>
      </c>
      <c r="F158" s="5" t="s">
        <v>1218</v>
      </c>
      <c r="G158" s="24" t="s">
        <v>64</v>
      </c>
      <c r="H158" s="24" t="s">
        <v>65</v>
      </c>
      <c r="I158" s="5" t="s">
        <v>6407</v>
      </c>
      <c r="J158" s="24" t="s">
        <v>22</v>
      </c>
      <c r="K158" s="27">
        <v>5</v>
      </c>
      <c r="L158" s="6">
        <v>42075</v>
      </c>
      <c r="M158" s="27">
        <f>Table11[[#This Row],[Ship Date]]-Table11[[#This Row],[Order Date]]</f>
        <v>4</v>
      </c>
      <c r="N158" s="24" t="s">
        <v>45</v>
      </c>
      <c r="O158" s="24" t="s">
        <v>23</v>
      </c>
      <c r="P158" s="24" t="s">
        <v>103</v>
      </c>
      <c r="Q158" s="24" t="s">
        <v>95</v>
      </c>
      <c r="R158" s="24" t="s">
        <v>3987</v>
      </c>
      <c r="S158" s="34">
        <v>0</v>
      </c>
      <c r="T158" s="15">
        <v>769.95</v>
      </c>
      <c r="U158" s="18">
        <v>223.28550000000001</v>
      </c>
      <c r="V158" s="56">
        <f>Table11[[#This Row],[Profit]]/Table11[[#This Row],[Sales]]</f>
        <v>0.28999999999999998</v>
      </c>
    </row>
    <row r="159" spans="1:22" x14ac:dyDescent="0.2">
      <c r="A159" s="2">
        <v>158</v>
      </c>
      <c r="B159" s="3" t="s">
        <v>6406</v>
      </c>
      <c r="C159" s="7">
        <v>42071</v>
      </c>
      <c r="D159" s="28">
        <f>MONTH(Table11[[#This Row],[Order Date]])</f>
        <v>3</v>
      </c>
      <c r="E159" s="3" t="s">
        <v>6408</v>
      </c>
      <c r="F159" s="3" t="s">
        <v>6409</v>
      </c>
      <c r="G159" s="25" t="s">
        <v>41</v>
      </c>
      <c r="H159" s="25" t="s">
        <v>61</v>
      </c>
      <c r="I159" s="3" t="s">
        <v>6407</v>
      </c>
      <c r="J159" s="25" t="s">
        <v>22</v>
      </c>
      <c r="K159" s="28">
        <v>1</v>
      </c>
      <c r="L159" s="7">
        <v>42075</v>
      </c>
      <c r="M159" s="28">
        <f>Table11[[#This Row],[Ship Date]]-Table11[[#This Row],[Order Date]]</f>
        <v>4</v>
      </c>
      <c r="N159" s="25" t="s">
        <v>45</v>
      </c>
      <c r="O159" s="25" t="s">
        <v>23</v>
      </c>
      <c r="P159" s="25" t="s">
        <v>103</v>
      </c>
      <c r="Q159" s="25" t="s">
        <v>95</v>
      </c>
      <c r="R159" s="25" t="s">
        <v>3987</v>
      </c>
      <c r="S159" s="35">
        <v>0</v>
      </c>
      <c r="T159" s="16">
        <v>14.98</v>
      </c>
      <c r="U159" s="19">
        <v>4.4939999999999998</v>
      </c>
      <c r="V159" s="56">
        <f>Table11[[#This Row],[Profit]]/Table11[[#This Row],[Sales]]</f>
        <v>0.3</v>
      </c>
    </row>
    <row r="160" spans="1:22" x14ac:dyDescent="0.2">
      <c r="A160" s="4">
        <v>159</v>
      </c>
      <c r="B160" s="5" t="s">
        <v>6406</v>
      </c>
      <c r="C160" s="6">
        <v>42071</v>
      </c>
      <c r="D160" s="27">
        <f>MONTH(Table11[[#This Row],[Order Date]])</f>
        <v>3</v>
      </c>
      <c r="E160" s="5" t="s">
        <v>4676</v>
      </c>
      <c r="F160" s="5" t="s">
        <v>4677</v>
      </c>
      <c r="G160" s="24" t="s">
        <v>28</v>
      </c>
      <c r="H160" s="24" t="s">
        <v>58</v>
      </c>
      <c r="I160" s="5" t="s">
        <v>6407</v>
      </c>
      <c r="J160" s="24" t="s">
        <v>22</v>
      </c>
      <c r="K160" s="27">
        <v>6</v>
      </c>
      <c r="L160" s="6">
        <v>42075</v>
      </c>
      <c r="M160" s="27">
        <f>Table11[[#This Row],[Ship Date]]-Table11[[#This Row],[Order Date]]</f>
        <v>4</v>
      </c>
      <c r="N160" s="24" t="s">
        <v>45</v>
      </c>
      <c r="O160" s="24" t="s">
        <v>23</v>
      </c>
      <c r="P160" s="24" t="s">
        <v>103</v>
      </c>
      <c r="Q160" s="24" t="s">
        <v>95</v>
      </c>
      <c r="R160" s="24" t="s">
        <v>3987</v>
      </c>
      <c r="S160" s="34">
        <v>0</v>
      </c>
      <c r="T160" s="15">
        <v>373.08</v>
      </c>
      <c r="U160" s="18">
        <v>82.077600000000004</v>
      </c>
      <c r="V160" s="56">
        <f>Table11[[#This Row],[Profit]]/Table11[[#This Row],[Sales]]</f>
        <v>0.22000000000000003</v>
      </c>
    </row>
    <row r="161" spans="1:22" x14ac:dyDescent="0.2">
      <c r="A161" s="4">
        <v>160</v>
      </c>
      <c r="B161" s="3" t="s">
        <v>6535</v>
      </c>
      <c r="C161" s="7">
        <v>42071</v>
      </c>
      <c r="D161" s="28">
        <f>MONTH(Table11[[#This Row],[Order Date]])</f>
        <v>3</v>
      </c>
      <c r="E161" s="3" t="s">
        <v>5506</v>
      </c>
      <c r="F161" s="3" t="s">
        <v>5507</v>
      </c>
      <c r="G161" s="25" t="s">
        <v>41</v>
      </c>
      <c r="H161" s="25" t="s">
        <v>82</v>
      </c>
      <c r="I161" s="3" t="s">
        <v>1887</v>
      </c>
      <c r="J161" s="25" t="s">
        <v>36</v>
      </c>
      <c r="K161" s="28">
        <v>3</v>
      </c>
      <c r="L161" s="7">
        <v>42076</v>
      </c>
      <c r="M161" s="28">
        <f>Table11[[#This Row],[Ship Date]]-Table11[[#This Row],[Order Date]]</f>
        <v>5</v>
      </c>
      <c r="N161" s="25" t="s">
        <v>45</v>
      </c>
      <c r="O161" s="25" t="s">
        <v>23</v>
      </c>
      <c r="P161" s="25" t="s">
        <v>238</v>
      </c>
      <c r="Q161" s="25" t="s">
        <v>133</v>
      </c>
      <c r="R161" s="25" t="s">
        <v>1037</v>
      </c>
      <c r="S161" s="35">
        <v>0</v>
      </c>
      <c r="T161" s="16">
        <v>19.440000000000001</v>
      </c>
      <c r="U161" s="19">
        <v>9.3312000000000008</v>
      </c>
      <c r="V161" s="56">
        <f>Table11[[#This Row],[Profit]]/Table11[[#This Row],[Sales]]</f>
        <v>0.48000000000000004</v>
      </c>
    </row>
    <row r="162" spans="1:22" x14ac:dyDescent="0.2">
      <c r="A162" s="2">
        <v>161</v>
      </c>
      <c r="B162" s="5" t="s">
        <v>7288</v>
      </c>
      <c r="C162" s="6">
        <v>42071</v>
      </c>
      <c r="D162" s="27">
        <f>MONTH(Table11[[#This Row],[Order Date]])</f>
        <v>3</v>
      </c>
      <c r="E162" s="5" t="s">
        <v>1118</v>
      </c>
      <c r="F162" s="5" t="s">
        <v>1119</v>
      </c>
      <c r="G162" s="24" t="s">
        <v>41</v>
      </c>
      <c r="H162" s="24" t="s">
        <v>61</v>
      </c>
      <c r="I162" s="5" t="s">
        <v>6044</v>
      </c>
      <c r="J162" s="24" t="s">
        <v>36</v>
      </c>
      <c r="K162" s="27">
        <v>1</v>
      </c>
      <c r="L162" s="6">
        <v>42073</v>
      </c>
      <c r="M162" s="27">
        <f>Table11[[#This Row],[Ship Date]]-Table11[[#This Row],[Order Date]]</f>
        <v>2</v>
      </c>
      <c r="N162" s="24" t="s">
        <v>169</v>
      </c>
      <c r="O162" s="24" t="s">
        <v>23</v>
      </c>
      <c r="P162" s="24" t="s">
        <v>405</v>
      </c>
      <c r="Q162" s="24" t="s">
        <v>39</v>
      </c>
      <c r="R162" s="24" t="s">
        <v>3177</v>
      </c>
      <c r="S162" s="34">
        <v>0.2</v>
      </c>
      <c r="T162" s="15">
        <v>3.4079999999999999</v>
      </c>
      <c r="U162" s="18">
        <v>0.89459999999999995</v>
      </c>
      <c r="V162" s="56">
        <f>Table11[[#This Row],[Profit]]/Table11[[#This Row],[Sales]]</f>
        <v>0.26250000000000001</v>
      </c>
    </row>
    <row r="163" spans="1:22" x14ac:dyDescent="0.2">
      <c r="A163" s="4">
        <v>162</v>
      </c>
      <c r="B163" s="3" t="s">
        <v>8886</v>
      </c>
      <c r="C163" s="7">
        <v>42071</v>
      </c>
      <c r="D163" s="28">
        <f>MONTH(Table11[[#This Row],[Order Date]])</f>
        <v>3</v>
      </c>
      <c r="E163" s="3" t="s">
        <v>975</v>
      </c>
      <c r="F163" s="3" t="s">
        <v>976</v>
      </c>
      <c r="G163" s="25" t="s">
        <v>41</v>
      </c>
      <c r="H163" s="25" t="s">
        <v>68</v>
      </c>
      <c r="I163" s="3" t="s">
        <v>2783</v>
      </c>
      <c r="J163" s="25" t="s">
        <v>22</v>
      </c>
      <c r="K163" s="28">
        <v>3</v>
      </c>
      <c r="L163" s="7">
        <v>42075</v>
      </c>
      <c r="M163" s="28">
        <f>Table11[[#This Row],[Ship Date]]-Table11[[#This Row],[Order Date]]</f>
        <v>4</v>
      </c>
      <c r="N163" s="25" t="s">
        <v>45</v>
      </c>
      <c r="O163" s="25" t="s">
        <v>23</v>
      </c>
      <c r="P163" s="25" t="s">
        <v>189</v>
      </c>
      <c r="Q163" s="25" t="s">
        <v>95</v>
      </c>
      <c r="R163" s="25" t="s">
        <v>271</v>
      </c>
      <c r="S163" s="35">
        <v>0.8</v>
      </c>
      <c r="T163" s="16">
        <v>8.5679999999999996</v>
      </c>
      <c r="U163" s="19">
        <v>-14.5656</v>
      </c>
      <c r="V163" s="56">
        <f>Table11[[#This Row],[Profit]]/Table11[[#This Row],[Sales]]</f>
        <v>-1.7</v>
      </c>
    </row>
    <row r="164" spans="1:22" x14ac:dyDescent="0.2">
      <c r="A164" s="4">
        <v>163</v>
      </c>
      <c r="B164" s="5" t="s">
        <v>7011</v>
      </c>
      <c r="C164" s="6">
        <v>42072</v>
      </c>
      <c r="D164" s="27">
        <f>MONTH(Table11[[#This Row],[Order Date]])</f>
        <v>3</v>
      </c>
      <c r="E164" s="5" t="s">
        <v>2479</v>
      </c>
      <c r="F164" s="5" t="s">
        <v>2480</v>
      </c>
      <c r="G164" s="24" t="s">
        <v>64</v>
      </c>
      <c r="H164" s="24" t="s">
        <v>144</v>
      </c>
      <c r="I164" s="5" t="s">
        <v>2725</v>
      </c>
      <c r="J164" s="24" t="s">
        <v>36</v>
      </c>
      <c r="K164" s="27">
        <v>5</v>
      </c>
      <c r="L164" s="6">
        <v>42075</v>
      </c>
      <c r="M164" s="27">
        <f>Table11[[#This Row],[Ship Date]]-Table11[[#This Row],[Order Date]]</f>
        <v>3</v>
      </c>
      <c r="N164" s="24" t="s">
        <v>169</v>
      </c>
      <c r="O164" s="24" t="s">
        <v>23</v>
      </c>
      <c r="P164" s="24" t="s">
        <v>94</v>
      </c>
      <c r="Q164" s="24" t="s">
        <v>95</v>
      </c>
      <c r="R164" s="24" t="s">
        <v>598</v>
      </c>
      <c r="S164" s="34">
        <v>0.2</v>
      </c>
      <c r="T164" s="15">
        <v>113.52</v>
      </c>
      <c r="U164" s="18">
        <v>29.798999999999999</v>
      </c>
      <c r="V164" s="56">
        <f>Table11[[#This Row],[Profit]]/Table11[[#This Row],[Sales]]</f>
        <v>0.26250000000000001</v>
      </c>
    </row>
    <row r="165" spans="1:22" x14ac:dyDescent="0.2">
      <c r="A165" s="2">
        <v>164</v>
      </c>
      <c r="B165" s="3" t="s">
        <v>7011</v>
      </c>
      <c r="C165" s="7">
        <v>42072</v>
      </c>
      <c r="D165" s="28">
        <f>MONTH(Table11[[#This Row],[Order Date]])</f>
        <v>3</v>
      </c>
      <c r="E165" s="3" t="s">
        <v>4214</v>
      </c>
      <c r="F165" s="3" t="s">
        <v>4215</v>
      </c>
      <c r="G165" s="25" t="s">
        <v>64</v>
      </c>
      <c r="H165" s="25" t="s">
        <v>65</v>
      </c>
      <c r="I165" s="3" t="s">
        <v>2725</v>
      </c>
      <c r="J165" s="25" t="s">
        <v>36</v>
      </c>
      <c r="K165" s="28">
        <v>3</v>
      </c>
      <c r="L165" s="7">
        <v>42075</v>
      </c>
      <c r="M165" s="28">
        <f>Table11[[#This Row],[Ship Date]]-Table11[[#This Row],[Order Date]]</f>
        <v>3</v>
      </c>
      <c r="N165" s="25" t="s">
        <v>169</v>
      </c>
      <c r="O165" s="25" t="s">
        <v>23</v>
      </c>
      <c r="P165" s="25" t="s">
        <v>94</v>
      </c>
      <c r="Q165" s="25" t="s">
        <v>95</v>
      </c>
      <c r="R165" s="25" t="s">
        <v>598</v>
      </c>
      <c r="S165" s="35">
        <v>0.2</v>
      </c>
      <c r="T165" s="16">
        <v>359.88</v>
      </c>
      <c r="U165" s="19">
        <v>22.4925</v>
      </c>
      <c r="V165" s="56">
        <f>Table11[[#This Row],[Profit]]/Table11[[#This Row],[Sales]]</f>
        <v>6.25E-2</v>
      </c>
    </row>
    <row r="166" spans="1:22" x14ac:dyDescent="0.2">
      <c r="A166" s="4">
        <v>165</v>
      </c>
      <c r="B166" s="5" t="s">
        <v>8670</v>
      </c>
      <c r="C166" s="6">
        <v>42072</v>
      </c>
      <c r="D166" s="27">
        <f>MONTH(Table11[[#This Row],[Order Date]])</f>
        <v>3</v>
      </c>
      <c r="E166" s="5" t="s">
        <v>2696</v>
      </c>
      <c r="F166" s="5" t="s">
        <v>2697</v>
      </c>
      <c r="G166" s="24" t="s">
        <v>41</v>
      </c>
      <c r="H166" s="24" t="s">
        <v>42</v>
      </c>
      <c r="I166" s="5" t="s">
        <v>4628</v>
      </c>
      <c r="J166" s="24" t="s">
        <v>22</v>
      </c>
      <c r="K166" s="27">
        <v>2</v>
      </c>
      <c r="L166" s="6">
        <v>42074</v>
      </c>
      <c r="M166" s="27">
        <f>Table11[[#This Row],[Ship Date]]-Table11[[#This Row],[Order Date]]</f>
        <v>2</v>
      </c>
      <c r="N166" s="24" t="s">
        <v>20</v>
      </c>
      <c r="O166" s="24" t="s">
        <v>23</v>
      </c>
      <c r="P166" s="24" t="s">
        <v>80</v>
      </c>
      <c r="Q166" s="24" t="s">
        <v>26</v>
      </c>
      <c r="R166" s="24" t="s">
        <v>4054</v>
      </c>
      <c r="S166" s="34">
        <v>0.2</v>
      </c>
      <c r="T166" s="15">
        <v>4.6079999999999997</v>
      </c>
      <c r="U166" s="18">
        <v>1.6704000000000001</v>
      </c>
      <c r="V166" s="56">
        <f>Table11[[#This Row],[Profit]]/Table11[[#This Row],[Sales]]</f>
        <v>0.36250000000000004</v>
      </c>
    </row>
    <row r="167" spans="1:22" x14ac:dyDescent="0.2">
      <c r="A167" s="4">
        <v>166</v>
      </c>
      <c r="B167" s="3" t="s">
        <v>2606</v>
      </c>
      <c r="C167" s="7">
        <v>42073</v>
      </c>
      <c r="D167" s="28">
        <f>MONTH(Table11[[#This Row],[Order Date]])</f>
        <v>3</v>
      </c>
      <c r="E167" s="3" t="s">
        <v>2608</v>
      </c>
      <c r="F167" s="3" t="s">
        <v>2609</v>
      </c>
      <c r="G167" s="25" t="s">
        <v>41</v>
      </c>
      <c r="H167" s="25" t="s">
        <v>68</v>
      </c>
      <c r="I167" s="3" t="s">
        <v>2607</v>
      </c>
      <c r="J167" s="25" t="s">
        <v>22</v>
      </c>
      <c r="K167" s="28">
        <v>2</v>
      </c>
      <c r="L167" s="7">
        <v>42073</v>
      </c>
      <c r="M167" s="28">
        <f>Table11[[#This Row],[Ship Date]]-Table11[[#This Row],[Order Date]]</f>
        <v>0</v>
      </c>
      <c r="N167" s="25" t="s">
        <v>1141</v>
      </c>
      <c r="O167" s="25" t="s">
        <v>23</v>
      </c>
      <c r="P167" s="25" t="s">
        <v>94</v>
      </c>
      <c r="Q167" s="25" t="s">
        <v>95</v>
      </c>
      <c r="R167" s="25" t="s">
        <v>165</v>
      </c>
      <c r="S167" s="35">
        <v>0.8</v>
      </c>
      <c r="T167" s="16">
        <v>1.1120000000000001</v>
      </c>
      <c r="U167" s="19">
        <v>-1.8904000000000001</v>
      </c>
      <c r="V167" s="56">
        <f>Table11[[#This Row],[Profit]]/Table11[[#This Row],[Sales]]</f>
        <v>-1.7</v>
      </c>
    </row>
    <row r="168" spans="1:22" x14ac:dyDescent="0.2">
      <c r="A168" s="2">
        <v>167</v>
      </c>
      <c r="B168" s="5" t="s">
        <v>8215</v>
      </c>
      <c r="C168" s="6">
        <v>42073</v>
      </c>
      <c r="D168" s="27">
        <f>MONTH(Table11[[#This Row],[Order Date]])</f>
        <v>3</v>
      </c>
      <c r="E168" s="5" t="s">
        <v>1148</v>
      </c>
      <c r="F168" s="5" t="s">
        <v>1149</v>
      </c>
      <c r="G168" s="24" t="s">
        <v>41</v>
      </c>
      <c r="H168" s="24" t="s">
        <v>53</v>
      </c>
      <c r="I168" s="5" t="s">
        <v>122</v>
      </c>
      <c r="J168" s="24" t="s">
        <v>36</v>
      </c>
      <c r="K168" s="27">
        <v>6</v>
      </c>
      <c r="L168" s="6">
        <v>42073</v>
      </c>
      <c r="M168" s="27">
        <f>Table11[[#This Row],[Ship Date]]-Table11[[#This Row],[Order Date]]</f>
        <v>0</v>
      </c>
      <c r="N168" s="24" t="s">
        <v>1141</v>
      </c>
      <c r="O168" s="24" t="s">
        <v>23</v>
      </c>
      <c r="P168" s="24" t="s">
        <v>2408</v>
      </c>
      <c r="Q168" s="24" t="s">
        <v>133</v>
      </c>
      <c r="R168" s="24" t="s">
        <v>2828</v>
      </c>
      <c r="S168" s="34">
        <v>0</v>
      </c>
      <c r="T168" s="15">
        <v>89.82</v>
      </c>
      <c r="U168" s="18">
        <v>25.1496</v>
      </c>
      <c r="V168" s="56">
        <f>Table11[[#This Row],[Profit]]/Table11[[#This Row],[Sales]]</f>
        <v>0.28000000000000003</v>
      </c>
    </row>
    <row r="169" spans="1:22" x14ac:dyDescent="0.2">
      <c r="A169" s="4">
        <v>168</v>
      </c>
      <c r="B169" s="3" t="s">
        <v>6113</v>
      </c>
      <c r="C169" s="7">
        <v>42075</v>
      </c>
      <c r="D169" s="28">
        <f>MONTH(Table11[[#This Row],[Order Date]])</f>
        <v>3</v>
      </c>
      <c r="E169" s="3" t="s">
        <v>521</v>
      </c>
      <c r="F169" s="3" t="s">
        <v>522</v>
      </c>
      <c r="G169" s="25" t="s">
        <v>41</v>
      </c>
      <c r="H169" s="25" t="s">
        <v>155</v>
      </c>
      <c r="I169" s="3" t="s">
        <v>3648</v>
      </c>
      <c r="J169" s="25" t="s">
        <v>36</v>
      </c>
      <c r="K169" s="28">
        <v>3</v>
      </c>
      <c r="L169" s="7">
        <v>42080</v>
      </c>
      <c r="M169" s="28">
        <f>Table11[[#This Row],[Ship Date]]-Table11[[#This Row],[Order Date]]</f>
        <v>5</v>
      </c>
      <c r="N169" s="25" t="s">
        <v>45</v>
      </c>
      <c r="O169" s="25" t="s">
        <v>23</v>
      </c>
      <c r="P169" s="25" t="s">
        <v>48</v>
      </c>
      <c r="Q169" s="25" t="s">
        <v>26</v>
      </c>
      <c r="R169" s="25" t="s">
        <v>6114</v>
      </c>
      <c r="S169" s="35">
        <v>0.2</v>
      </c>
      <c r="T169" s="16">
        <v>8.6880000000000006</v>
      </c>
      <c r="U169" s="19">
        <v>2.9321999999999999</v>
      </c>
      <c r="V169" s="56">
        <f>Table11[[#This Row],[Profit]]/Table11[[#This Row],[Sales]]</f>
        <v>0.33749999999999997</v>
      </c>
    </row>
    <row r="170" spans="1:22" x14ac:dyDescent="0.2">
      <c r="A170" s="4">
        <v>169</v>
      </c>
      <c r="B170" s="5" t="s">
        <v>6113</v>
      </c>
      <c r="C170" s="6">
        <v>42075</v>
      </c>
      <c r="D170" s="27">
        <f>MONTH(Table11[[#This Row],[Order Date]])</f>
        <v>3</v>
      </c>
      <c r="E170" s="5" t="s">
        <v>315</v>
      </c>
      <c r="F170" s="5" t="s">
        <v>316</v>
      </c>
      <c r="G170" s="24" t="s">
        <v>28</v>
      </c>
      <c r="H170" s="24" t="s">
        <v>58</v>
      </c>
      <c r="I170" s="5" t="s">
        <v>3648</v>
      </c>
      <c r="J170" s="24" t="s">
        <v>36</v>
      </c>
      <c r="K170" s="27">
        <v>4</v>
      </c>
      <c r="L170" s="6">
        <v>42080</v>
      </c>
      <c r="M170" s="27">
        <f>Table11[[#This Row],[Ship Date]]-Table11[[#This Row],[Order Date]]</f>
        <v>5</v>
      </c>
      <c r="N170" s="24" t="s">
        <v>45</v>
      </c>
      <c r="O170" s="24" t="s">
        <v>23</v>
      </c>
      <c r="P170" s="24" t="s">
        <v>48</v>
      </c>
      <c r="Q170" s="24" t="s">
        <v>26</v>
      </c>
      <c r="R170" s="24" t="s">
        <v>6114</v>
      </c>
      <c r="S170" s="34">
        <v>0.2</v>
      </c>
      <c r="T170" s="15">
        <v>30.88</v>
      </c>
      <c r="U170" s="18">
        <v>3.86</v>
      </c>
      <c r="V170" s="56">
        <f>Table11[[#This Row],[Profit]]/Table11[[#This Row],[Sales]]</f>
        <v>0.125</v>
      </c>
    </row>
    <row r="171" spans="1:22" x14ac:dyDescent="0.2">
      <c r="A171" s="2">
        <v>170</v>
      </c>
      <c r="B171" s="3" t="s">
        <v>6113</v>
      </c>
      <c r="C171" s="7">
        <v>42075</v>
      </c>
      <c r="D171" s="28">
        <f>MONTH(Table11[[#This Row],[Order Date]])</f>
        <v>3</v>
      </c>
      <c r="E171" s="3" t="s">
        <v>6115</v>
      </c>
      <c r="F171" s="3" t="s">
        <v>6116</v>
      </c>
      <c r="G171" s="25" t="s">
        <v>28</v>
      </c>
      <c r="H171" s="25" t="s">
        <v>58</v>
      </c>
      <c r="I171" s="3" t="s">
        <v>3648</v>
      </c>
      <c r="J171" s="25" t="s">
        <v>36</v>
      </c>
      <c r="K171" s="28">
        <v>3</v>
      </c>
      <c r="L171" s="7">
        <v>42080</v>
      </c>
      <c r="M171" s="28">
        <f>Table11[[#This Row],[Ship Date]]-Table11[[#This Row],[Order Date]]</f>
        <v>5</v>
      </c>
      <c r="N171" s="25" t="s">
        <v>45</v>
      </c>
      <c r="O171" s="25" t="s">
        <v>23</v>
      </c>
      <c r="P171" s="25" t="s">
        <v>48</v>
      </c>
      <c r="Q171" s="25" t="s">
        <v>26</v>
      </c>
      <c r="R171" s="25" t="s">
        <v>6114</v>
      </c>
      <c r="S171" s="35">
        <v>0.2</v>
      </c>
      <c r="T171" s="16">
        <v>6.4080000000000004</v>
      </c>
      <c r="U171" s="19">
        <v>1.4418</v>
      </c>
      <c r="V171" s="56">
        <f>Table11[[#This Row],[Profit]]/Table11[[#This Row],[Sales]]</f>
        <v>0.22499999999999998</v>
      </c>
    </row>
    <row r="172" spans="1:22" x14ac:dyDescent="0.2">
      <c r="A172" s="4">
        <v>171</v>
      </c>
      <c r="B172" s="5" t="s">
        <v>8938</v>
      </c>
      <c r="C172" s="6">
        <v>42075</v>
      </c>
      <c r="D172" s="27">
        <f>MONTH(Table11[[#This Row],[Order Date]])</f>
        <v>3</v>
      </c>
      <c r="E172" s="5" t="s">
        <v>3650</v>
      </c>
      <c r="F172" s="5" t="s">
        <v>3651</v>
      </c>
      <c r="G172" s="24" t="s">
        <v>41</v>
      </c>
      <c r="H172" s="24" t="s">
        <v>42</v>
      </c>
      <c r="I172" s="5" t="s">
        <v>3227</v>
      </c>
      <c r="J172" s="24" t="s">
        <v>22</v>
      </c>
      <c r="K172" s="27">
        <v>2</v>
      </c>
      <c r="L172" s="6">
        <v>42081</v>
      </c>
      <c r="M172" s="27">
        <f>Table11[[#This Row],[Ship Date]]-Table11[[#This Row],[Order Date]]</f>
        <v>6</v>
      </c>
      <c r="N172" s="24" t="s">
        <v>45</v>
      </c>
      <c r="O172" s="24" t="s">
        <v>23</v>
      </c>
      <c r="P172" s="24" t="s">
        <v>80</v>
      </c>
      <c r="Q172" s="24" t="s">
        <v>26</v>
      </c>
      <c r="R172" s="24" t="s">
        <v>414</v>
      </c>
      <c r="S172" s="34">
        <v>0.2</v>
      </c>
      <c r="T172" s="15">
        <v>5.04</v>
      </c>
      <c r="U172" s="18">
        <v>1.764</v>
      </c>
      <c r="V172" s="56">
        <f>Table11[[#This Row],[Profit]]/Table11[[#This Row],[Sales]]</f>
        <v>0.35</v>
      </c>
    </row>
    <row r="173" spans="1:22" x14ac:dyDescent="0.2">
      <c r="A173" s="4">
        <v>172</v>
      </c>
      <c r="B173" s="3" t="s">
        <v>4345</v>
      </c>
      <c r="C173" s="7">
        <v>42076</v>
      </c>
      <c r="D173" s="28">
        <f>MONTH(Table11[[#This Row],[Order Date]])</f>
        <v>3</v>
      </c>
      <c r="E173" s="3" t="s">
        <v>2166</v>
      </c>
      <c r="F173" s="3" t="s">
        <v>2167</v>
      </c>
      <c r="G173" s="25" t="s">
        <v>28</v>
      </c>
      <c r="H173" s="25" t="s">
        <v>29</v>
      </c>
      <c r="I173" s="3" t="s">
        <v>3765</v>
      </c>
      <c r="J173" s="25" t="s">
        <v>22</v>
      </c>
      <c r="K173" s="28">
        <v>2</v>
      </c>
      <c r="L173" s="7">
        <v>42078</v>
      </c>
      <c r="M173" s="28">
        <f>Table11[[#This Row],[Ship Date]]-Table11[[#This Row],[Order Date]]</f>
        <v>2</v>
      </c>
      <c r="N173" s="25" t="s">
        <v>169</v>
      </c>
      <c r="O173" s="25" t="s">
        <v>23</v>
      </c>
      <c r="P173" s="25" t="s">
        <v>87</v>
      </c>
      <c r="Q173" s="25" t="s">
        <v>39</v>
      </c>
      <c r="R173" s="25" t="s">
        <v>86</v>
      </c>
      <c r="S173" s="35">
        <v>0</v>
      </c>
      <c r="T173" s="16">
        <v>141.96</v>
      </c>
      <c r="U173" s="19">
        <v>39.748800000000003</v>
      </c>
      <c r="V173" s="56">
        <f>Table11[[#This Row],[Profit]]/Table11[[#This Row],[Sales]]</f>
        <v>0.28000000000000003</v>
      </c>
    </row>
    <row r="174" spans="1:22" x14ac:dyDescent="0.2">
      <c r="A174" s="2">
        <v>173</v>
      </c>
      <c r="B174" s="5" t="s">
        <v>8038</v>
      </c>
      <c r="C174" s="6">
        <v>42076</v>
      </c>
      <c r="D174" s="27">
        <f>MONTH(Table11[[#This Row],[Order Date]])</f>
        <v>3</v>
      </c>
      <c r="E174" s="5" t="s">
        <v>472</v>
      </c>
      <c r="F174" s="5" t="s">
        <v>473</v>
      </c>
      <c r="G174" s="24" t="s">
        <v>28</v>
      </c>
      <c r="H174" s="24" t="s">
        <v>32</v>
      </c>
      <c r="I174" s="5" t="s">
        <v>2745</v>
      </c>
      <c r="J174" s="24" t="s">
        <v>92</v>
      </c>
      <c r="K174" s="27">
        <v>4</v>
      </c>
      <c r="L174" s="6">
        <v>42081</v>
      </c>
      <c r="M174" s="27">
        <f>Table11[[#This Row],[Ship Date]]-Table11[[#This Row],[Order Date]]</f>
        <v>5</v>
      </c>
      <c r="N174" s="24" t="s">
        <v>20</v>
      </c>
      <c r="O174" s="24" t="s">
        <v>23</v>
      </c>
      <c r="P174" s="24" t="s">
        <v>38</v>
      </c>
      <c r="Q174" s="24" t="s">
        <v>39</v>
      </c>
      <c r="R174" s="24" t="s">
        <v>7724</v>
      </c>
      <c r="S174" s="34">
        <v>0.2</v>
      </c>
      <c r="T174" s="15">
        <v>915.13599999999997</v>
      </c>
      <c r="U174" s="18">
        <v>102.9528</v>
      </c>
      <c r="V174" s="56">
        <f>Table11[[#This Row],[Profit]]/Table11[[#This Row],[Sales]]</f>
        <v>0.1125</v>
      </c>
    </row>
    <row r="175" spans="1:22" x14ac:dyDescent="0.2">
      <c r="A175" s="4">
        <v>174</v>
      </c>
      <c r="B175" s="3" t="s">
        <v>8038</v>
      </c>
      <c r="C175" s="7">
        <v>42076</v>
      </c>
      <c r="D175" s="28">
        <f>MONTH(Table11[[#This Row],[Order Date]])</f>
        <v>3</v>
      </c>
      <c r="E175" s="3" t="s">
        <v>1760</v>
      </c>
      <c r="F175" s="3" t="s">
        <v>1761</v>
      </c>
      <c r="G175" s="25" t="s">
        <v>28</v>
      </c>
      <c r="H175" s="25" t="s">
        <v>58</v>
      </c>
      <c r="I175" s="3" t="s">
        <v>2745</v>
      </c>
      <c r="J175" s="25" t="s">
        <v>92</v>
      </c>
      <c r="K175" s="28">
        <v>8</v>
      </c>
      <c r="L175" s="7">
        <v>42081</v>
      </c>
      <c r="M175" s="28">
        <f>Table11[[#This Row],[Ship Date]]-Table11[[#This Row],[Order Date]]</f>
        <v>5</v>
      </c>
      <c r="N175" s="25" t="s">
        <v>20</v>
      </c>
      <c r="O175" s="25" t="s">
        <v>23</v>
      </c>
      <c r="P175" s="25" t="s">
        <v>38</v>
      </c>
      <c r="Q175" s="25" t="s">
        <v>39</v>
      </c>
      <c r="R175" s="25" t="s">
        <v>7724</v>
      </c>
      <c r="S175" s="35">
        <v>0</v>
      </c>
      <c r="T175" s="16">
        <v>327.76</v>
      </c>
      <c r="U175" s="19">
        <v>91.772800000000004</v>
      </c>
      <c r="V175" s="56">
        <f>Table11[[#This Row],[Profit]]/Table11[[#This Row],[Sales]]</f>
        <v>0.28000000000000003</v>
      </c>
    </row>
    <row r="176" spans="1:22" x14ac:dyDescent="0.2">
      <c r="A176" s="4">
        <v>175</v>
      </c>
      <c r="B176" s="5" t="s">
        <v>6532</v>
      </c>
      <c r="C176" s="6">
        <v>42077</v>
      </c>
      <c r="D176" s="27">
        <f>MONTH(Table11[[#This Row],[Order Date]])</f>
        <v>3</v>
      </c>
      <c r="E176" s="5" t="s">
        <v>2123</v>
      </c>
      <c r="F176" s="5" t="s">
        <v>2124</v>
      </c>
      <c r="G176" s="24" t="s">
        <v>41</v>
      </c>
      <c r="H176" s="24" t="s">
        <v>42</v>
      </c>
      <c r="I176" s="5" t="s">
        <v>1617</v>
      </c>
      <c r="J176" s="24" t="s">
        <v>22</v>
      </c>
      <c r="K176" s="27">
        <v>4</v>
      </c>
      <c r="L176" s="6">
        <v>42081</v>
      </c>
      <c r="M176" s="27">
        <f>Table11[[#This Row],[Ship Date]]-Table11[[#This Row],[Order Date]]</f>
        <v>4</v>
      </c>
      <c r="N176" s="24" t="s">
        <v>45</v>
      </c>
      <c r="O176" s="24" t="s">
        <v>23</v>
      </c>
      <c r="P176" s="24" t="s">
        <v>2373</v>
      </c>
      <c r="Q176" s="24" t="s">
        <v>133</v>
      </c>
      <c r="R176" s="24" t="s">
        <v>217</v>
      </c>
      <c r="S176" s="34">
        <v>0</v>
      </c>
      <c r="T176" s="15">
        <v>16.52</v>
      </c>
      <c r="U176" s="18">
        <v>7.5991999999999997</v>
      </c>
      <c r="V176" s="56">
        <f>Table11[[#This Row],[Profit]]/Table11[[#This Row],[Sales]]</f>
        <v>0.46</v>
      </c>
    </row>
    <row r="177" spans="1:22" x14ac:dyDescent="0.2">
      <c r="A177" s="2">
        <v>176</v>
      </c>
      <c r="B177" s="3" t="s">
        <v>6532</v>
      </c>
      <c r="C177" s="7">
        <v>42077</v>
      </c>
      <c r="D177" s="28">
        <f>MONTH(Table11[[#This Row],[Order Date]])</f>
        <v>3</v>
      </c>
      <c r="E177" s="3" t="s">
        <v>4218</v>
      </c>
      <c r="F177" s="3" t="s">
        <v>4219</v>
      </c>
      <c r="G177" s="25" t="s">
        <v>41</v>
      </c>
      <c r="H177" s="25" t="s">
        <v>68</v>
      </c>
      <c r="I177" s="3" t="s">
        <v>1617</v>
      </c>
      <c r="J177" s="25" t="s">
        <v>22</v>
      </c>
      <c r="K177" s="28">
        <v>3</v>
      </c>
      <c r="L177" s="7">
        <v>42081</v>
      </c>
      <c r="M177" s="28">
        <f>Table11[[#This Row],[Ship Date]]-Table11[[#This Row],[Order Date]]</f>
        <v>4</v>
      </c>
      <c r="N177" s="25" t="s">
        <v>45</v>
      </c>
      <c r="O177" s="25" t="s">
        <v>23</v>
      </c>
      <c r="P177" s="25" t="s">
        <v>2373</v>
      </c>
      <c r="Q177" s="25" t="s">
        <v>133</v>
      </c>
      <c r="R177" s="25" t="s">
        <v>217</v>
      </c>
      <c r="S177" s="35">
        <v>0</v>
      </c>
      <c r="T177" s="16">
        <v>671.94</v>
      </c>
      <c r="U177" s="19">
        <v>315.81180000000001</v>
      </c>
      <c r="V177" s="56">
        <f>Table11[[#This Row],[Profit]]/Table11[[#This Row],[Sales]]</f>
        <v>0.47</v>
      </c>
    </row>
    <row r="178" spans="1:22" x14ac:dyDescent="0.2">
      <c r="A178" s="4">
        <v>177</v>
      </c>
      <c r="B178" s="5" t="s">
        <v>9702</v>
      </c>
      <c r="C178" s="6">
        <v>42077</v>
      </c>
      <c r="D178" s="27">
        <f>MONTH(Table11[[#This Row],[Order Date]])</f>
        <v>3</v>
      </c>
      <c r="E178" s="5" t="s">
        <v>967</v>
      </c>
      <c r="F178" s="5" t="s">
        <v>968</v>
      </c>
      <c r="G178" s="24" t="s">
        <v>41</v>
      </c>
      <c r="H178" s="24" t="s">
        <v>82</v>
      </c>
      <c r="I178" s="5" t="s">
        <v>3566</v>
      </c>
      <c r="J178" s="24" t="s">
        <v>22</v>
      </c>
      <c r="K178" s="27">
        <v>3</v>
      </c>
      <c r="L178" s="6">
        <v>42082</v>
      </c>
      <c r="M178" s="27">
        <f>Table11[[#This Row],[Ship Date]]-Table11[[#This Row],[Order Date]]</f>
        <v>5</v>
      </c>
      <c r="N178" s="24" t="s">
        <v>45</v>
      </c>
      <c r="O178" s="24" t="s">
        <v>23</v>
      </c>
      <c r="P178" s="24" t="s">
        <v>38</v>
      </c>
      <c r="Q178" s="24" t="s">
        <v>39</v>
      </c>
      <c r="R178" s="24" t="s">
        <v>501</v>
      </c>
      <c r="S178" s="34">
        <v>0</v>
      </c>
      <c r="T178" s="15">
        <v>19.440000000000001</v>
      </c>
      <c r="U178" s="18">
        <v>9.3312000000000008</v>
      </c>
      <c r="V178" s="56">
        <f>Table11[[#This Row],[Profit]]/Table11[[#This Row],[Sales]]</f>
        <v>0.48000000000000004</v>
      </c>
    </row>
    <row r="179" spans="1:22" x14ac:dyDescent="0.2">
      <c r="A179" s="4">
        <v>178</v>
      </c>
      <c r="B179" s="3" t="s">
        <v>7125</v>
      </c>
      <c r="C179" s="7">
        <v>42078</v>
      </c>
      <c r="D179" s="28">
        <f>MONTH(Table11[[#This Row],[Order Date]])</f>
        <v>3</v>
      </c>
      <c r="E179" s="3" t="s">
        <v>7128</v>
      </c>
      <c r="F179" s="3" t="s">
        <v>7129</v>
      </c>
      <c r="G179" s="25" t="s">
        <v>64</v>
      </c>
      <c r="H179" s="25" t="s">
        <v>65</v>
      </c>
      <c r="I179" s="3" t="s">
        <v>7126</v>
      </c>
      <c r="J179" s="25" t="s">
        <v>36</v>
      </c>
      <c r="K179" s="28">
        <v>3</v>
      </c>
      <c r="L179" s="7">
        <v>42084</v>
      </c>
      <c r="M179" s="28">
        <f>Table11[[#This Row],[Ship Date]]-Table11[[#This Row],[Order Date]]</f>
        <v>6</v>
      </c>
      <c r="N179" s="25" t="s">
        <v>45</v>
      </c>
      <c r="O179" s="25" t="s">
        <v>23</v>
      </c>
      <c r="P179" s="25" t="s">
        <v>109</v>
      </c>
      <c r="Q179" s="25" t="s">
        <v>39</v>
      </c>
      <c r="R179" s="25" t="s">
        <v>7127</v>
      </c>
      <c r="S179" s="35">
        <v>0.2</v>
      </c>
      <c r="T179" s="16">
        <v>16.776</v>
      </c>
      <c r="U179" s="19">
        <v>1.6776</v>
      </c>
      <c r="V179" s="56">
        <f>Table11[[#This Row],[Profit]]/Table11[[#This Row],[Sales]]</f>
        <v>0.1</v>
      </c>
    </row>
    <row r="180" spans="1:22" x14ac:dyDescent="0.2">
      <c r="A180" s="2">
        <v>179</v>
      </c>
      <c r="B180" s="5" t="s">
        <v>1535</v>
      </c>
      <c r="C180" s="6">
        <v>42079</v>
      </c>
      <c r="D180" s="27">
        <f>MONTH(Table11[[#This Row],[Order Date]])</f>
        <v>3</v>
      </c>
      <c r="E180" s="5" t="s">
        <v>1538</v>
      </c>
      <c r="F180" s="5" t="s">
        <v>1539</v>
      </c>
      <c r="G180" s="24" t="s">
        <v>41</v>
      </c>
      <c r="H180" s="24" t="s">
        <v>61</v>
      </c>
      <c r="I180" s="5" t="s">
        <v>1536</v>
      </c>
      <c r="J180" s="24" t="s">
        <v>22</v>
      </c>
      <c r="K180" s="27">
        <v>1</v>
      </c>
      <c r="L180" s="6">
        <v>42085</v>
      </c>
      <c r="M180" s="27">
        <f>Table11[[#This Row],[Ship Date]]-Table11[[#This Row],[Order Date]]</f>
        <v>6</v>
      </c>
      <c r="N180" s="24" t="s">
        <v>45</v>
      </c>
      <c r="O180" s="24" t="s">
        <v>23</v>
      </c>
      <c r="P180" s="24" t="s">
        <v>1125</v>
      </c>
      <c r="Q180" s="24" t="s">
        <v>26</v>
      </c>
      <c r="R180" s="24" t="s">
        <v>1537</v>
      </c>
      <c r="S180" s="34">
        <v>0</v>
      </c>
      <c r="T180" s="15">
        <v>2.74</v>
      </c>
      <c r="U180" s="18">
        <v>0.73980000000000001</v>
      </c>
      <c r="V180" s="56">
        <f>Table11[[#This Row],[Profit]]/Table11[[#This Row],[Sales]]</f>
        <v>0.26999999999999996</v>
      </c>
    </row>
    <row r="181" spans="1:22" x14ac:dyDescent="0.2">
      <c r="A181" s="4">
        <v>180</v>
      </c>
      <c r="B181" s="3" t="s">
        <v>1535</v>
      </c>
      <c r="C181" s="7">
        <v>42079</v>
      </c>
      <c r="D181" s="28">
        <f>MONTH(Table11[[#This Row],[Order Date]])</f>
        <v>3</v>
      </c>
      <c r="E181" s="3" t="s">
        <v>1540</v>
      </c>
      <c r="F181" s="3" t="s">
        <v>1541</v>
      </c>
      <c r="G181" s="25" t="s">
        <v>41</v>
      </c>
      <c r="H181" s="25" t="s">
        <v>61</v>
      </c>
      <c r="I181" s="3" t="s">
        <v>1536</v>
      </c>
      <c r="J181" s="25" t="s">
        <v>22</v>
      </c>
      <c r="K181" s="28">
        <v>3</v>
      </c>
      <c r="L181" s="7">
        <v>42085</v>
      </c>
      <c r="M181" s="28">
        <f>Table11[[#This Row],[Ship Date]]-Table11[[#This Row],[Order Date]]</f>
        <v>6</v>
      </c>
      <c r="N181" s="25" t="s">
        <v>45</v>
      </c>
      <c r="O181" s="25" t="s">
        <v>23</v>
      </c>
      <c r="P181" s="25" t="s">
        <v>1125</v>
      </c>
      <c r="Q181" s="25" t="s">
        <v>26</v>
      </c>
      <c r="R181" s="25" t="s">
        <v>1537</v>
      </c>
      <c r="S181" s="35">
        <v>0</v>
      </c>
      <c r="T181" s="16">
        <v>8.34</v>
      </c>
      <c r="U181" s="19">
        <v>2.1684000000000001</v>
      </c>
      <c r="V181" s="56">
        <f>Table11[[#This Row],[Profit]]/Table11[[#This Row],[Sales]]</f>
        <v>0.26</v>
      </c>
    </row>
    <row r="182" spans="1:22" x14ac:dyDescent="0.2">
      <c r="A182" s="4">
        <v>181</v>
      </c>
      <c r="B182" s="5" t="s">
        <v>1535</v>
      </c>
      <c r="C182" s="6">
        <v>42079</v>
      </c>
      <c r="D182" s="27">
        <f>MONTH(Table11[[#This Row],[Order Date]])</f>
        <v>3</v>
      </c>
      <c r="E182" s="5" t="s">
        <v>841</v>
      </c>
      <c r="F182" s="5" t="s">
        <v>1542</v>
      </c>
      <c r="G182" s="24" t="s">
        <v>41</v>
      </c>
      <c r="H182" s="24" t="s">
        <v>53</v>
      </c>
      <c r="I182" s="5" t="s">
        <v>1536</v>
      </c>
      <c r="J182" s="24" t="s">
        <v>22</v>
      </c>
      <c r="K182" s="27">
        <v>3</v>
      </c>
      <c r="L182" s="6">
        <v>42085</v>
      </c>
      <c r="M182" s="27">
        <f>Table11[[#This Row],[Ship Date]]-Table11[[#This Row],[Order Date]]</f>
        <v>6</v>
      </c>
      <c r="N182" s="24" t="s">
        <v>45</v>
      </c>
      <c r="O182" s="24" t="s">
        <v>23</v>
      </c>
      <c r="P182" s="24" t="s">
        <v>1125</v>
      </c>
      <c r="Q182" s="24" t="s">
        <v>26</v>
      </c>
      <c r="R182" s="24" t="s">
        <v>1537</v>
      </c>
      <c r="S182" s="34">
        <v>0</v>
      </c>
      <c r="T182" s="15">
        <v>46.74</v>
      </c>
      <c r="U182" s="18">
        <v>11.685</v>
      </c>
      <c r="V182" s="56">
        <f>Table11[[#This Row],[Profit]]/Table11[[#This Row],[Sales]]</f>
        <v>0.25</v>
      </c>
    </row>
    <row r="183" spans="1:22" x14ac:dyDescent="0.2">
      <c r="A183" s="2">
        <v>182</v>
      </c>
      <c r="B183" s="3" t="s">
        <v>1535</v>
      </c>
      <c r="C183" s="7">
        <v>42079</v>
      </c>
      <c r="D183" s="28">
        <f>MONTH(Table11[[#This Row],[Order Date]])</f>
        <v>3</v>
      </c>
      <c r="E183" s="3" t="s">
        <v>1543</v>
      </c>
      <c r="F183" s="3" t="s">
        <v>1544</v>
      </c>
      <c r="G183" s="25" t="s">
        <v>41</v>
      </c>
      <c r="H183" s="25" t="s">
        <v>68</v>
      </c>
      <c r="I183" s="3" t="s">
        <v>1536</v>
      </c>
      <c r="J183" s="25" t="s">
        <v>22</v>
      </c>
      <c r="K183" s="28">
        <v>5</v>
      </c>
      <c r="L183" s="7">
        <v>42085</v>
      </c>
      <c r="M183" s="28">
        <f>Table11[[#This Row],[Ship Date]]-Table11[[#This Row],[Order Date]]</f>
        <v>6</v>
      </c>
      <c r="N183" s="25" t="s">
        <v>45</v>
      </c>
      <c r="O183" s="25" t="s">
        <v>23</v>
      </c>
      <c r="P183" s="25" t="s">
        <v>1125</v>
      </c>
      <c r="Q183" s="25" t="s">
        <v>26</v>
      </c>
      <c r="R183" s="25" t="s">
        <v>1537</v>
      </c>
      <c r="S183" s="35">
        <v>0</v>
      </c>
      <c r="T183" s="16">
        <v>6354.95</v>
      </c>
      <c r="U183" s="19">
        <v>3177.4749999999999</v>
      </c>
      <c r="V183" s="56">
        <f>Table11[[#This Row],[Profit]]/Table11[[#This Row],[Sales]]</f>
        <v>0.5</v>
      </c>
    </row>
    <row r="184" spans="1:22" x14ac:dyDescent="0.2">
      <c r="A184" s="4">
        <v>183</v>
      </c>
      <c r="B184" s="5" t="s">
        <v>3646</v>
      </c>
      <c r="C184" s="6">
        <v>42079</v>
      </c>
      <c r="D184" s="27">
        <f>MONTH(Table11[[#This Row],[Order Date]])</f>
        <v>3</v>
      </c>
      <c r="E184" s="5" t="s">
        <v>3373</v>
      </c>
      <c r="F184" s="5" t="s">
        <v>2884</v>
      </c>
      <c r="G184" s="24" t="s">
        <v>28</v>
      </c>
      <c r="H184" s="24" t="s">
        <v>50</v>
      </c>
      <c r="I184" s="5" t="s">
        <v>1459</v>
      </c>
      <c r="J184" s="24" t="s">
        <v>22</v>
      </c>
      <c r="K184" s="27">
        <v>2</v>
      </c>
      <c r="L184" s="6">
        <v>42081</v>
      </c>
      <c r="M184" s="27">
        <f>Table11[[#This Row],[Ship Date]]-Table11[[#This Row],[Order Date]]</f>
        <v>2</v>
      </c>
      <c r="N184" s="24" t="s">
        <v>20</v>
      </c>
      <c r="O184" s="24" t="s">
        <v>23</v>
      </c>
      <c r="P184" s="24" t="s">
        <v>87</v>
      </c>
      <c r="Q184" s="24" t="s">
        <v>39</v>
      </c>
      <c r="R184" s="24" t="s">
        <v>86</v>
      </c>
      <c r="S184" s="34">
        <v>0</v>
      </c>
      <c r="T184" s="15">
        <v>171.96</v>
      </c>
      <c r="U184" s="18">
        <v>44.709600000000002</v>
      </c>
      <c r="V184" s="56">
        <f>Table11[[#This Row],[Profit]]/Table11[[#This Row],[Sales]]</f>
        <v>0.26</v>
      </c>
    </row>
    <row r="185" spans="1:22" x14ac:dyDescent="0.2">
      <c r="A185" s="4">
        <v>184</v>
      </c>
      <c r="B185" s="3" t="s">
        <v>7033</v>
      </c>
      <c r="C185" s="7">
        <v>42079</v>
      </c>
      <c r="D185" s="28">
        <f>MONTH(Table11[[#This Row],[Order Date]])</f>
        <v>3</v>
      </c>
      <c r="E185" s="3" t="s">
        <v>6423</v>
      </c>
      <c r="F185" s="3" t="s">
        <v>6424</v>
      </c>
      <c r="G185" s="25" t="s">
        <v>28</v>
      </c>
      <c r="H185" s="25" t="s">
        <v>58</v>
      </c>
      <c r="I185" s="3" t="s">
        <v>7034</v>
      </c>
      <c r="J185" s="25" t="s">
        <v>36</v>
      </c>
      <c r="K185" s="28">
        <v>1</v>
      </c>
      <c r="L185" s="7">
        <v>42086</v>
      </c>
      <c r="M185" s="28">
        <f>Table11[[#This Row],[Ship Date]]-Table11[[#This Row],[Order Date]]</f>
        <v>7</v>
      </c>
      <c r="N185" s="25" t="s">
        <v>45</v>
      </c>
      <c r="O185" s="25" t="s">
        <v>23</v>
      </c>
      <c r="P185" s="25" t="s">
        <v>38</v>
      </c>
      <c r="Q185" s="25" t="s">
        <v>39</v>
      </c>
      <c r="R185" s="25" t="s">
        <v>37</v>
      </c>
      <c r="S185" s="35">
        <v>0</v>
      </c>
      <c r="T185" s="16">
        <v>43.13</v>
      </c>
      <c r="U185" s="19">
        <v>18.114599999999999</v>
      </c>
      <c r="V185" s="56">
        <f>Table11[[#This Row],[Profit]]/Table11[[#This Row],[Sales]]</f>
        <v>0.42</v>
      </c>
    </row>
    <row r="186" spans="1:22" x14ac:dyDescent="0.2">
      <c r="A186" s="2">
        <v>185</v>
      </c>
      <c r="B186" s="5" t="s">
        <v>7143</v>
      </c>
      <c r="C186" s="6">
        <v>42079</v>
      </c>
      <c r="D186" s="27">
        <f>MONTH(Table11[[#This Row],[Order Date]])</f>
        <v>3</v>
      </c>
      <c r="E186" s="5" t="s">
        <v>4710</v>
      </c>
      <c r="F186" s="5" t="s">
        <v>4711</v>
      </c>
      <c r="G186" s="24" t="s">
        <v>64</v>
      </c>
      <c r="H186" s="24" t="s">
        <v>65</v>
      </c>
      <c r="I186" s="5" t="s">
        <v>742</v>
      </c>
      <c r="J186" s="24" t="s">
        <v>36</v>
      </c>
      <c r="K186" s="27">
        <v>2</v>
      </c>
      <c r="L186" s="6">
        <v>42083</v>
      </c>
      <c r="M186" s="27">
        <f>Table11[[#This Row],[Ship Date]]-Table11[[#This Row],[Order Date]]</f>
        <v>4</v>
      </c>
      <c r="N186" s="24" t="s">
        <v>45</v>
      </c>
      <c r="O186" s="24" t="s">
        <v>23</v>
      </c>
      <c r="P186" s="24" t="s">
        <v>238</v>
      </c>
      <c r="Q186" s="24" t="s">
        <v>133</v>
      </c>
      <c r="R186" s="24" t="s">
        <v>237</v>
      </c>
      <c r="S186" s="34">
        <v>0</v>
      </c>
      <c r="T186" s="15">
        <v>85.9</v>
      </c>
      <c r="U186" s="18">
        <v>2.577</v>
      </c>
      <c r="V186" s="56">
        <f>Table11[[#This Row],[Profit]]/Table11[[#This Row],[Sales]]</f>
        <v>0.03</v>
      </c>
    </row>
    <row r="187" spans="1:22" x14ac:dyDescent="0.2">
      <c r="A187" s="4">
        <v>186</v>
      </c>
      <c r="B187" s="3" t="s">
        <v>8402</v>
      </c>
      <c r="C187" s="7">
        <v>42079</v>
      </c>
      <c r="D187" s="28">
        <f>MONTH(Table11[[#This Row],[Order Date]])</f>
        <v>3</v>
      </c>
      <c r="E187" s="3" t="s">
        <v>1740</v>
      </c>
      <c r="F187" s="3" t="s">
        <v>1741</v>
      </c>
      <c r="G187" s="25" t="s">
        <v>41</v>
      </c>
      <c r="H187" s="25" t="s">
        <v>42</v>
      </c>
      <c r="I187" s="3" t="s">
        <v>2787</v>
      </c>
      <c r="J187" s="25" t="s">
        <v>22</v>
      </c>
      <c r="K187" s="28">
        <v>5</v>
      </c>
      <c r="L187" s="7">
        <v>42082</v>
      </c>
      <c r="M187" s="28">
        <f>Table11[[#This Row],[Ship Date]]-Table11[[#This Row],[Order Date]]</f>
        <v>3</v>
      </c>
      <c r="N187" s="25" t="s">
        <v>20</v>
      </c>
      <c r="O187" s="25" t="s">
        <v>23</v>
      </c>
      <c r="P187" s="25" t="s">
        <v>320</v>
      </c>
      <c r="Q187" s="25" t="s">
        <v>26</v>
      </c>
      <c r="R187" s="25" t="s">
        <v>1380</v>
      </c>
      <c r="S187" s="35">
        <v>0</v>
      </c>
      <c r="T187" s="16">
        <v>491.55</v>
      </c>
      <c r="U187" s="19">
        <v>240.8595</v>
      </c>
      <c r="V187" s="56">
        <f>Table11[[#This Row],[Profit]]/Table11[[#This Row],[Sales]]</f>
        <v>0.49</v>
      </c>
    </row>
    <row r="188" spans="1:22" x14ac:dyDescent="0.2">
      <c r="A188" s="4">
        <v>187</v>
      </c>
      <c r="B188" s="5" t="s">
        <v>8402</v>
      </c>
      <c r="C188" s="6">
        <v>42079</v>
      </c>
      <c r="D188" s="27">
        <f>MONTH(Table11[[#This Row],[Order Date]])</f>
        <v>3</v>
      </c>
      <c r="E188" s="5" t="s">
        <v>1497</v>
      </c>
      <c r="F188" s="5" t="s">
        <v>1498</v>
      </c>
      <c r="G188" s="24" t="s">
        <v>41</v>
      </c>
      <c r="H188" s="24" t="s">
        <v>155</v>
      </c>
      <c r="I188" s="5" t="s">
        <v>2787</v>
      </c>
      <c r="J188" s="24" t="s">
        <v>22</v>
      </c>
      <c r="K188" s="27">
        <v>2</v>
      </c>
      <c r="L188" s="6">
        <v>42082</v>
      </c>
      <c r="M188" s="27">
        <f>Table11[[#This Row],[Ship Date]]-Table11[[#This Row],[Order Date]]</f>
        <v>3</v>
      </c>
      <c r="N188" s="24" t="s">
        <v>20</v>
      </c>
      <c r="O188" s="24" t="s">
        <v>23</v>
      </c>
      <c r="P188" s="24" t="s">
        <v>320</v>
      </c>
      <c r="Q188" s="24" t="s">
        <v>26</v>
      </c>
      <c r="R188" s="24" t="s">
        <v>1380</v>
      </c>
      <c r="S188" s="34">
        <v>0</v>
      </c>
      <c r="T188" s="15">
        <v>7.38</v>
      </c>
      <c r="U188" s="18">
        <v>3.3948</v>
      </c>
      <c r="V188" s="56">
        <f>Table11[[#This Row],[Profit]]/Table11[[#This Row],[Sales]]</f>
        <v>0.46</v>
      </c>
    </row>
    <row r="189" spans="1:22" x14ac:dyDescent="0.2">
      <c r="A189" s="2">
        <v>188</v>
      </c>
      <c r="B189" s="3" t="s">
        <v>8846</v>
      </c>
      <c r="C189" s="7">
        <v>42079</v>
      </c>
      <c r="D189" s="28">
        <f>MONTH(Table11[[#This Row],[Order Date]])</f>
        <v>3</v>
      </c>
      <c r="E189" s="3" t="s">
        <v>6767</v>
      </c>
      <c r="F189" s="3" t="s">
        <v>6768</v>
      </c>
      <c r="G189" s="25" t="s">
        <v>41</v>
      </c>
      <c r="H189" s="25" t="s">
        <v>61</v>
      </c>
      <c r="I189" s="3" t="s">
        <v>638</v>
      </c>
      <c r="J189" s="25" t="s">
        <v>92</v>
      </c>
      <c r="K189" s="28">
        <v>3</v>
      </c>
      <c r="L189" s="7">
        <v>42083</v>
      </c>
      <c r="M189" s="28">
        <f>Table11[[#This Row],[Ship Date]]-Table11[[#This Row],[Order Date]]</f>
        <v>4</v>
      </c>
      <c r="N189" s="25" t="s">
        <v>20</v>
      </c>
      <c r="O189" s="25" t="s">
        <v>23</v>
      </c>
      <c r="P189" s="25" t="s">
        <v>238</v>
      </c>
      <c r="Q189" s="25" t="s">
        <v>133</v>
      </c>
      <c r="R189" s="25" t="s">
        <v>237</v>
      </c>
      <c r="S189" s="35">
        <v>0</v>
      </c>
      <c r="T189" s="16">
        <v>17.52</v>
      </c>
      <c r="U189" s="19">
        <v>6.3071999999999999</v>
      </c>
      <c r="V189" s="56">
        <f>Table11[[#This Row],[Profit]]/Table11[[#This Row],[Sales]]</f>
        <v>0.36</v>
      </c>
    </row>
    <row r="190" spans="1:22" x14ac:dyDescent="0.2">
      <c r="A190" s="4">
        <v>189</v>
      </c>
      <c r="B190" s="5" t="s">
        <v>5036</v>
      </c>
      <c r="C190" s="6">
        <v>42080</v>
      </c>
      <c r="D190" s="27">
        <f>MONTH(Table11[[#This Row],[Order Date]])</f>
        <v>3</v>
      </c>
      <c r="E190" s="5" t="s">
        <v>5037</v>
      </c>
      <c r="F190" s="5" t="s">
        <v>5038</v>
      </c>
      <c r="G190" s="24" t="s">
        <v>64</v>
      </c>
      <c r="H190" s="24" t="s">
        <v>144</v>
      </c>
      <c r="I190" s="5" t="s">
        <v>2992</v>
      </c>
      <c r="J190" s="24" t="s">
        <v>36</v>
      </c>
      <c r="K190" s="27">
        <v>1</v>
      </c>
      <c r="L190" s="6">
        <v>42085</v>
      </c>
      <c r="M190" s="27">
        <f>Table11[[#This Row],[Ship Date]]-Table11[[#This Row],[Order Date]]</f>
        <v>5</v>
      </c>
      <c r="N190" s="24" t="s">
        <v>20</v>
      </c>
      <c r="O190" s="24" t="s">
        <v>23</v>
      </c>
      <c r="P190" s="24" t="s">
        <v>238</v>
      </c>
      <c r="Q190" s="24" t="s">
        <v>133</v>
      </c>
      <c r="R190" s="24" t="s">
        <v>237</v>
      </c>
      <c r="S190" s="34">
        <v>0</v>
      </c>
      <c r="T190" s="15">
        <v>15.02</v>
      </c>
      <c r="U190" s="18">
        <v>2.7035999999999998</v>
      </c>
      <c r="V190" s="56">
        <f>Table11[[#This Row],[Profit]]/Table11[[#This Row],[Sales]]</f>
        <v>0.18</v>
      </c>
    </row>
    <row r="191" spans="1:22" x14ac:dyDescent="0.2">
      <c r="A191" s="4">
        <v>190</v>
      </c>
      <c r="B191" s="3" t="s">
        <v>5036</v>
      </c>
      <c r="C191" s="7">
        <v>42080</v>
      </c>
      <c r="D191" s="28">
        <f>MONTH(Table11[[#This Row],[Order Date]])</f>
        <v>3</v>
      </c>
      <c r="E191" s="3" t="s">
        <v>3621</v>
      </c>
      <c r="F191" s="3" t="s">
        <v>3622</v>
      </c>
      <c r="G191" s="25" t="s">
        <v>41</v>
      </c>
      <c r="H191" s="25" t="s">
        <v>53</v>
      </c>
      <c r="I191" s="3" t="s">
        <v>2992</v>
      </c>
      <c r="J191" s="25" t="s">
        <v>36</v>
      </c>
      <c r="K191" s="28">
        <v>2</v>
      </c>
      <c r="L191" s="7">
        <v>42085</v>
      </c>
      <c r="M191" s="28">
        <f>Table11[[#This Row],[Ship Date]]-Table11[[#This Row],[Order Date]]</f>
        <v>5</v>
      </c>
      <c r="N191" s="25" t="s">
        <v>20</v>
      </c>
      <c r="O191" s="25" t="s">
        <v>23</v>
      </c>
      <c r="P191" s="25" t="s">
        <v>238</v>
      </c>
      <c r="Q191" s="25" t="s">
        <v>133</v>
      </c>
      <c r="R191" s="25" t="s">
        <v>237</v>
      </c>
      <c r="S191" s="35">
        <v>0</v>
      </c>
      <c r="T191" s="16">
        <v>33.82</v>
      </c>
      <c r="U191" s="19">
        <v>9.1313999999999993</v>
      </c>
      <c r="V191" s="56">
        <f>Table11[[#This Row],[Profit]]/Table11[[#This Row],[Sales]]</f>
        <v>0.26999999999999996</v>
      </c>
    </row>
    <row r="192" spans="1:22" x14ac:dyDescent="0.2">
      <c r="A192" s="2">
        <v>191</v>
      </c>
      <c r="B192" s="5" t="s">
        <v>3660</v>
      </c>
      <c r="C192" s="6">
        <v>42082</v>
      </c>
      <c r="D192" s="27">
        <f>MONTH(Table11[[#This Row],[Order Date]])</f>
        <v>3</v>
      </c>
      <c r="E192" s="5" t="s">
        <v>2984</v>
      </c>
      <c r="F192" s="5" t="s">
        <v>2985</v>
      </c>
      <c r="G192" s="24" t="s">
        <v>64</v>
      </c>
      <c r="H192" s="24" t="s">
        <v>65</v>
      </c>
      <c r="I192" s="5" t="s">
        <v>1982</v>
      </c>
      <c r="J192" s="24" t="s">
        <v>92</v>
      </c>
      <c r="K192" s="27">
        <v>3</v>
      </c>
      <c r="L192" s="6">
        <v>42088</v>
      </c>
      <c r="M192" s="27">
        <f>Table11[[#This Row],[Ship Date]]-Table11[[#This Row],[Order Date]]</f>
        <v>6</v>
      </c>
      <c r="N192" s="24" t="s">
        <v>45</v>
      </c>
      <c r="O192" s="24" t="s">
        <v>23</v>
      </c>
      <c r="P192" s="24" t="s">
        <v>87</v>
      </c>
      <c r="Q192" s="24" t="s">
        <v>39</v>
      </c>
      <c r="R192" s="24" t="s">
        <v>86</v>
      </c>
      <c r="S192" s="34">
        <v>0.2</v>
      </c>
      <c r="T192" s="15">
        <v>453.57600000000002</v>
      </c>
      <c r="U192" s="18">
        <v>39.687899999999999</v>
      </c>
      <c r="V192" s="56">
        <f>Table11[[#This Row],[Profit]]/Table11[[#This Row],[Sales]]</f>
        <v>8.7499999999999994E-2</v>
      </c>
    </row>
    <row r="193" spans="1:22" x14ac:dyDescent="0.2">
      <c r="A193" s="4">
        <v>192</v>
      </c>
      <c r="B193" s="3" t="s">
        <v>3785</v>
      </c>
      <c r="C193" s="7">
        <v>42082</v>
      </c>
      <c r="D193" s="28">
        <f>MONTH(Table11[[#This Row],[Order Date]])</f>
        <v>3</v>
      </c>
      <c r="E193" s="3" t="s">
        <v>1395</v>
      </c>
      <c r="F193" s="3" t="s">
        <v>1396</v>
      </c>
      <c r="G193" s="25" t="s">
        <v>41</v>
      </c>
      <c r="H193" s="25" t="s">
        <v>53</v>
      </c>
      <c r="I193" s="3" t="s">
        <v>699</v>
      </c>
      <c r="J193" s="25" t="s">
        <v>36</v>
      </c>
      <c r="K193" s="28">
        <v>3</v>
      </c>
      <c r="L193" s="7">
        <v>42083</v>
      </c>
      <c r="M193" s="28">
        <f>Table11[[#This Row],[Ship Date]]-Table11[[#This Row],[Order Date]]</f>
        <v>1</v>
      </c>
      <c r="N193" s="25" t="s">
        <v>169</v>
      </c>
      <c r="O193" s="25" t="s">
        <v>23</v>
      </c>
      <c r="P193" s="25" t="s">
        <v>87</v>
      </c>
      <c r="Q193" s="25" t="s">
        <v>39</v>
      </c>
      <c r="R193" s="25" t="s">
        <v>86</v>
      </c>
      <c r="S193" s="35">
        <v>0</v>
      </c>
      <c r="T193" s="16">
        <v>1247.6400000000001</v>
      </c>
      <c r="U193" s="19">
        <v>349.33920000000001</v>
      </c>
      <c r="V193" s="56">
        <f>Table11[[#This Row],[Profit]]/Table11[[#This Row],[Sales]]</f>
        <v>0.27999999999999997</v>
      </c>
    </row>
    <row r="194" spans="1:22" x14ac:dyDescent="0.2">
      <c r="A194" s="4">
        <v>193</v>
      </c>
      <c r="B194" s="5" t="s">
        <v>3785</v>
      </c>
      <c r="C194" s="6">
        <v>42082</v>
      </c>
      <c r="D194" s="27">
        <f>MONTH(Table11[[#This Row],[Order Date]])</f>
        <v>3</v>
      </c>
      <c r="E194" s="5" t="s">
        <v>3786</v>
      </c>
      <c r="F194" s="5" t="s">
        <v>3787</v>
      </c>
      <c r="G194" s="24" t="s">
        <v>64</v>
      </c>
      <c r="H194" s="24" t="s">
        <v>1075</v>
      </c>
      <c r="I194" s="5" t="s">
        <v>699</v>
      </c>
      <c r="J194" s="24" t="s">
        <v>36</v>
      </c>
      <c r="K194" s="27">
        <v>7</v>
      </c>
      <c r="L194" s="6">
        <v>42083</v>
      </c>
      <c r="M194" s="27">
        <f>Table11[[#This Row],[Ship Date]]-Table11[[#This Row],[Order Date]]</f>
        <v>1</v>
      </c>
      <c r="N194" s="24" t="s">
        <v>169</v>
      </c>
      <c r="O194" s="24" t="s">
        <v>23</v>
      </c>
      <c r="P194" s="24" t="s">
        <v>87</v>
      </c>
      <c r="Q194" s="24" t="s">
        <v>39</v>
      </c>
      <c r="R194" s="24" t="s">
        <v>86</v>
      </c>
      <c r="S194" s="34">
        <v>0</v>
      </c>
      <c r="T194" s="15">
        <v>3149.93</v>
      </c>
      <c r="U194" s="18">
        <v>1480.4671000000001</v>
      </c>
      <c r="V194" s="56">
        <f>Table11[[#This Row],[Profit]]/Table11[[#This Row],[Sales]]</f>
        <v>0.47000000000000003</v>
      </c>
    </row>
    <row r="195" spans="1:22" x14ac:dyDescent="0.2">
      <c r="A195" s="2">
        <v>194</v>
      </c>
      <c r="B195" s="3" t="s">
        <v>3785</v>
      </c>
      <c r="C195" s="7">
        <v>42082</v>
      </c>
      <c r="D195" s="28">
        <f>MONTH(Table11[[#This Row],[Order Date]])</f>
        <v>3</v>
      </c>
      <c r="E195" s="3" t="s">
        <v>3788</v>
      </c>
      <c r="F195" s="3" t="s">
        <v>3789</v>
      </c>
      <c r="G195" s="25" t="s">
        <v>41</v>
      </c>
      <c r="H195" s="25" t="s">
        <v>82</v>
      </c>
      <c r="I195" s="3" t="s">
        <v>699</v>
      </c>
      <c r="J195" s="25" t="s">
        <v>36</v>
      </c>
      <c r="K195" s="28">
        <v>2</v>
      </c>
      <c r="L195" s="7">
        <v>42083</v>
      </c>
      <c r="M195" s="28">
        <f>Table11[[#This Row],[Ship Date]]-Table11[[#This Row],[Order Date]]</f>
        <v>1</v>
      </c>
      <c r="N195" s="25" t="s">
        <v>169</v>
      </c>
      <c r="O195" s="25" t="s">
        <v>23</v>
      </c>
      <c r="P195" s="25" t="s">
        <v>87</v>
      </c>
      <c r="Q195" s="25" t="s">
        <v>39</v>
      </c>
      <c r="R195" s="25" t="s">
        <v>86</v>
      </c>
      <c r="S195" s="35">
        <v>0</v>
      </c>
      <c r="T195" s="16">
        <v>209.7</v>
      </c>
      <c r="U195" s="19">
        <v>100.65600000000001</v>
      </c>
      <c r="V195" s="56">
        <f>Table11[[#This Row],[Profit]]/Table11[[#This Row],[Sales]]</f>
        <v>0.48000000000000004</v>
      </c>
    </row>
    <row r="196" spans="1:22" x14ac:dyDescent="0.2">
      <c r="A196" s="4">
        <v>195</v>
      </c>
      <c r="B196" s="5" t="s">
        <v>4340</v>
      </c>
      <c r="C196" s="6">
        <v>42082</v>
      </c>
      <c r="D196" s="27">
        <f>MONTH(Table11[[#This Row],[Order Date]])</f>
        <v>3</v>
      </c>
      <c r="E196" s="5" t="s">
        <v>3666</v>
      </c>
      <c r="F196" s="5" t="s">
        <v>3667</v>
      </c>
      <c r="G196" s="24" t="s">
        <v>41</v>
      </c>
      <c r="H196" s="24" t="s">
        <v>68</v>
      </c>
      <c r="I196" s="5" t="s">
        <v>2333</v>
      </c>
      <c r="J196" s="24" t="s">
        <v>22</v>
      </c>
      <c r="K196" s="27">
        <v>2</v>
      </c>
      <c r="L196" s="6">
        <v>42086</v>
      </c>
      <c r="M196" s="27">
        <f>Table11[[#This Row],[Ship Date]]-Table11[[#This Row],[Order Date]]</f>
        <v>4</v>
      </c>
      <c r="N196" s="24" t="s">
        <v>45</v>
      </c>
      <c r="O196" s="24" t="s">
        <v>23</v>
      </c>
      <c r="P196" s="24" t="s">
        <v>38</v>
      </c>
      <c r="Q196" s="24" t="s">
        <v>39</v>
      </c>
      <c r="R196" s="24" t="s">
        <v>4341</v>
      </c>
      <c r="S196" s="34">
        <v>0.2</v>
      </c>
      <c r="T196" s="15">
        <v>17.568000000000001</v>
      </c>
      <c r="U196" s="18">
        <v>6.3684000000000003</v>
      </c>
      <c r="V196" s="56">
        <f>Table11[[#This Row],[Profit]]/Table11[[#This Row],[Sales]]</f>
        <v>0.36249999999999999</v>
      </c>
    </row>
    <row r="197" spans="1:22" x14ac:dyDescent="0.2">
      <c r="A197" s="4">
        <v>196</v>
      </c>
      <c r="B197" s="3" t="s">
        <v>4340</v>
      </c>
      <c r="C197" s="7">
        <v>42082</v>
      </c>
      <c r="D197" s="28">
        <f>MONTH(Table11[[#This Row],[Order Date]])</f>
        <v>3</v>
      </c>
      <c r="E197" s="3" t="s">
        <v>40</v>
      </c>
      <c r="F197" s="3" t="s">
        <v>43</v>
      </c>
      <c r="G197" s="25" t="s">
        <v>41</v>
      </c>
      <c r="H197" s="25" t="s">
        <v>42</v>
      </c>
      <c r="I197" s="3" t="s">
        <v>2333</v>
      </c>
      <c r="J197" s="25" t="s">
        <v>22</v>
      </c>
      <c r="K197" s="28">
        <v>2</v>
      </c>
      <c r="L197" s="7">
        <v>42086</v>
      </c>
      <c r="M197" s="28">
        <f>Table11[[#This Row],[Ship Date]]-Table11[[#This Row],[Order Date]]</f>
        <v>4</v>
      </c>
      <c r="N197" s="25" t="s">
        <v>45</v>
      </c>
      <c r="O197" s="25" t="s">
        <v>23</v>
      </c>
      <c r="P197" s="25" t="s">
        <v>38</v>
      </c>
      <c r="Q197" s="25" t="s">
        <v>39</v>
      </c>
      <c r="R197" s="25" t="s">
        <v>4341</v>
      </c>
      <c r="S197" s="35">
        <v>0</v>
      </c>
      <c r="T197" s="16">
        <v>14.62</v>
      </c>
      <c r="U197" s="19">
        <v>6.8714000000000004</v>
      </c>
      <c r="V197" s="56">
        <f>Table11[[#This Row],[Profit]]/Table11[[#This Row],[Sales]]</f>
        <v>0.47000000000000003</v>
      </c>
    </row>
    <row r="198" spans="1:22" x14ac:dyDescent="0.2">
      <c r="A198" s="2">
        <v>197</v>
      </c>
      <c r="B198" s="5" t="s">
        <v>4340</v>
      </c>
      <c r="C198" s="6">
        <v>42082</v>
      </c>
      <c r="D198" s="27">
        <f>MONTH(Table11[[#This Row],[Order Date]])</f>
        <v>3</v>
      </c>
      <c r="E198" s="5" t="s">
        <v>3719</v>
      </c>
      <c r="F198" s="5" t="s">
        <v>3720</v>
      </c>
      <c r="G198" s="24" t="s">
        <v>41</v>
      </c>
      <c r="H198" s="24" t="s">
        <v>513</v>
      </c>
      <c r="I198" s="5" t="s">
        <v>2333</v>
      </c>
      <c r="J198" s="24" t="s">
        <v>22</v>
      </c>
      <c r="K198" s="27">
        <v>4</v>
      </c>
      <c r="L198" s="6">
        <v>42086</v>
      </c>
      <c r="M198" s="27">
        <f>Table11[[#This Row],[Ship Date]]-Table11[[#This Row],[Order Date]]</f>
        <v>4</v>
      </c>
      <c r="N198" s="24" t="s">
        <v>45</v>
      </c>
      <c r="O198" s="24" t="s">
        <v>23</v>
      </c>
      <c r="P198" s="24" t="s">
        <v>38</v>
      </c>
      <c r="Q198" s="24" t="s">
        <v>39</v>
      </c>
      <c r="R198" s="24" t="s">
        <v>4341</v>
      </c>
      <c r="S198" s="34">
        <v>0</v>
      </c>
      <c r="T198" s="15">
        <v>33.36</v>
      </c>
      <c r="U198" s="18">
        <v>8.6736000000000004</v>
      </c>
      <c r="V198" s="56">
        <f>Table11[[#This Row],[Profit]]/Table11[[#This Row],[Sales]]</f>
        <v>0.26</v>
      </c>
    </row>
    <row r="199" spans="1:22" x14ac:dyDescent="0.2">
      <c r="A199" s="4">
        <v>198</v>
      </c>
      <c r="B199" s="3" t="s">
        <v>4340</v>
      </c>
      <c r="C199" s="7">
        <v>42082</v>
      </c>
      <c r="D199" s="28">
        <f>MONTH(Table11[[#This Row],[Order Date]])</f>
        <v>3</v>
      </c>
      <c r="E199" s="3" t="s">
        <v>702</v>
      </c>
      <c r="F199" s="3" t="s">
        <v>703</v>
      </c>
      <c r="G199" s="25" t="s">
        <v>41</v>
      </c>
      <c r="H199" s="25" t="s">
        <v>82</v>
      </c>
      <c r="I199" s="3" t="s">
        <v>2333</v>
      </c>
      <c r="J199" s="25" t="s">
        <v>22</v>
      </c>
      <c r="K199" s="28">
        <v>6</v>
      </c>
      <c r="L199" s="7">
        <v>42086</v>
      </c>
      <c r="M199" s="28">
        <f>Table11[[#This Row],[Ship Date]]-Table11[[#This Row],[Order Date]]</f>
        <v>4</v>
      </c>
      <c r="N199" s="25" t="s">
        <v>45</v>
      </c>
      <c r="O199" s="25" t="s">
        <v>23</v>
      </c>
      <c r="P199" s="25" t="s">
        <v>38</v>
      </c>
      <c r="Q199" s="25" t="s">
        <v>39</v>
      </c>
      <c r="R199" s="25" t="s">
        <v>4341</v>
      </c>
      <c r="S199" s="35">
        <v>0</v>
      </c>
      <c r="T199" s="16">
        <v>40.14</v>
      </c>
      <c r="U199" s="19">
        <v>19.668600000000001</v>
      </c>
      <c r="V199" s="56">
        <f>Table11[[#This Row],[Profit]]/Table11[[#This Row],[Sales]]</f>
        <v>0.49000000000000005</v>
      </c>
    </row>
    <row r="200" spans="1:22" x14ac:dyDescent="0.2">
      <c r="A200" s="4">
        <v>199</v>
      </c>
      <c r="B200" s="5" t="s">
        <v>6047</v>
      </c>
      <c r="C200" s="6">
        <v>42082</v>
      </c>
      <c r="D200" s="27">
        <f>MONTH(Table11[[#This Row],[Order Date]])</f>
        <v>3</v>
      </c>
      <c r="E200" s="5" t="s">
        <v>2292</v>
      </c>
      <c r="F200" s="5" t="s">
        <v>2293</v>
      </c>
      <c r="G200" s="24" t="s">
        <v>41</v>
      </c>
      <c r="H200" s="24" t="s">
        <v>82</v>
      </c>
      <c r="I200" s="5" t="s">
        <v>3122</v>
      </c>
      <c r="J200" s="24" t="s">
        <v>22</v>
      </c>
      <c r="K200" s="27">
        <v>3</v>
      </c>
      <c r="L200" s="6">
        <v>42087</v>
      </c>
      <c r="M200" s="27">
        <f>Table11[[#This Row],[Ship Date]]-Table11[[#This Row],[Order Date]]</f>
        <v>5</v>
      </c>
      <c r="N200" s="24" t="s">
        <v>45</v>
      </c>
      <c r="O200" s="24" t="s">
        <v>23</v>
      </c>
      <c r="P200" s="24" t="s">
        <v>48</v>
      </c>
      <c r="Q200" s="24" t="s">
        <v>26</v>
      </c>
      <c r="R200" s="24" t="s">
        <v>6048</v>
      </c>
      <c r="S200" s="34">
        <v>0.2</v>
      </c>
      <c r="T200" s="15">
        <v>14.496</v>
      </c>
      <c r="U200" s="18">
        <v>4.8924000000000003</v>
      </c>
      <c r="V200" s="56">
        <f>Table11[[#This Row],[Profit]]/Table11[[#This Row],[Sales]]</f>
        <v>0.33750000000000002</v>
      </c>
    </row>
    <row r="201" spans="1:22" x14ac:dyDescent="0.2">
      <c r="A201" s="2">
        <v>200</v>
      </c>
      <c r="B201" s="3" t="s">
        <v>6835</v>
      </c>
      <c r="C201" s="7">
        <v>42082</v>
      </c>
      <c r="D201" s="28">
        <f>MONTH(Table11[[#This Row],[Order Date]])</f>
        <v>3</v>
      </c>
      <c r="E201" s="3" t="s">
        <v>1254</v>
      </c>
      <c r="F201" s="3" t="s">
        <v>1255</v>
      </c>
      <c r="G201" s="25" t="s">
        <v>41</v>
      </c>
      <c r="H201" s="25" t="s">
        <v>82</v>
      </c>
      <c r="I201" s="3" t="s">
        <v>2213</v>
      </c>
      <c r="J201" s="25" t="s">
        <v>36</v>
      </c>
      <c r="K201" s="28">
        <v>2</v>
      </c>
      <c r="L201" s="7">
        <v>42089</v>
      </c>
      <c r="M201" s="28">
        <f>Table11[[#This Row],[Ship Date]]-Table11[[#This Row],[Order Date]]</f>
        <v>7</v>
      </c>
      <c r="N201" s="25" t="s">
        <v>45</v>
      </c>
      <c r="O201" s="25" t="s">
        <v>23</v>
      </c>
      <c r="P201" s="25" t="s">
        <v>38</v>
      </c>
      <c r="Q201" s="25" t="s">
        <v>39</v>
      </c>
      <c r="R201" s="25" t="s">
        <v>37</v>
      </c>
      <c r="S201" s="35">
        <v>0</v>
      </c>
      <c r="T201" s="16">
        <v>11.96</v>
      </c>
      <c r="U201" s="19">
        <v>5.8604000000000003</v>
      </c>
      <c r="V201" s="56">
        <f>Table11[[#This Row],[Profit]]/Table11[[#This Row],[Sales]]</f>
        <v>0.49</v>
      </c>
    </row>
    <row r="202" spans="1:22" x14ac:dyDescent="0.2">
      <c r="A202" s="4">
        <v>201</v>
      </c>
      <c r="B202" s="5" t="s">
        <v>7586</v>
      </c>
      <c r="C202" s="6">
        <v>42082</v>
      </c>
      <c r="D202" s="27">
        <f>MONTH(Table11[[#This Row],[Order Date]])</f>
        <v>3</v>
      </c>
      <c r="E202" s="5" t="s">
        <v>2906</v>
      </c>
      <c r="F202" s="5" t="s">
        <v>2907</v>
      </c>
      <c r="G202" s="24" t="s">
        <v>41</v>
      </c>
      <c r="H202" s="24" t="s">
        <v>240</v>
      </c>
      <c r="I202" s="5" t="s">
        <v>2314</v>
      </c>
      <c r="J202" s="24" t="s">
        <v>22</v>
      </c>
      <c r="K202" s="27">
        <v>5</v>
      </c>
      <c r="L202" s="6">
        <v>42083</v>
      </c>
      <c r="M202" s="27">
        <f>Table11[[#This Row],[Ship Date]]-Table11[[#This Row],[Order Date]]</f>
        <v>1</v>
      </c>
      <c r="N202" s="24" t="s">
        <v>169</v>
      </c>
      <c r="O202" s="24" t="s">
        <v>23</v>
      </c>
      <c r="P202" s="24" t="s">
        <v>38</v>
      </c>
      <c r="Q202" s="24" t="s">
        <v>39</v>
      </c>
      <c r="R202" s="24" t="s">
        <v>2174</v>
      </c>
      <c r="S202" s="34">
        <v>0</v>
      </c>
      <c r="T202" s="15">
        <v>10.9</v>
      </c>
      <c r="U202" s="18">
        <v>3.597</v>
      </c>
      <c r="V202" s="56">
        <f>Table11[[#This Row],[Profit]]/Table11[[#This Row],[Sales]]</f>
        <v>0.32999999999999996</v>
      </c>
    </row>
    <row r="203" spans="1:22" x14ac:dyDescent="0.2">
      <c r="A203" s="4">
        <v>202</v>
      </c>
      <c r="B203" s="3" t="s">
        <v>10128</v>
      </c>
      <c r="C203" s="7">
        <v>42082</v>
      </c>
      <c r="D203" s="28">
        <f>MONTH(Table11[[#This Row],[Order Date]])</f>
        <v>3</v>
      </c>
      <c r="E203" s="3" t="s">
        <v>3975</v>
      </c>
      <c r="F203" s="3" t="s">
        <v>3976</v>
      </c>
      <c r="G203" s="25" t="s">
        <v>41</v>
      </c>
      <c r="H203" s="25" t="s">
        <v>82</v>
      </c>
      <c r="I203" s="3" t="s">
        <v>3522</v>
      </c>
      <c r="J203" s="25" t="s">
        <v>92</v>
      </c>
      <c r="K203" s="28">
        <v>2</v>
      </c>
      <c r="L203" s="7">
        <v>42085</v>
      </c>
      <c r="M203" s="28">
        <f>Table11[[#This Row],[Ship Date]]-Table11[[#This Row],[Order Date]]</f>
        <v>3</v>
      </c>
      <c r="N203" s="25" t="s">
        <v>169</v>
      </c>
      <c r="O203" s="25" t="s">
        <v>23</v>
      </c>
      <c r="P203" s="25" t="s">
        <v>94</v>
      </c>
      <c r="Q203" s="25" t="s">
        <v>95</v>
      </c>
      <c r="R203" s="25" t="s">
        <v>165</v>
      </c>
      <c r="S203" s="35">
        <v>0.2</v>
      </c>
      <c r="T203" s="16">
        <v>65.584000000000003</v>
      </c>
      <c r="U203" s="19">
        <v>23.7742</v>
      </c>
      <c r="V203" s="56">
        <f>Table11[[#This Row],[Profit]]/Table11[[#This Row],[Sales]]</f>
        <v>0.36249999999999999</v>
      </c>
    </row>
    <row r="204" spans="1:22" x14ac:dyDescent="0.2">
      <c r="A204" s="2">
        <v>203</v>
      </c>
      <c r="B204" s="5" t="s">
        <v>10128</v>
      </c>
      <c r="C204" s="6">
        <v>42082</v>
      </c>
      <c r="D204" s="27">
        <f>MONTH(Table11[[#This Row],[Order Date]])</f>
        <v>3</v>
      </c>
      <c r="E204" s="5" t="s">
        <v>6331</v>
      </c>
      <c r="F204" s="5" t="s">
        <v>6332</v>
      </c>
      <c r="G204" s="24" t="s">
        <v>28</v>
      </c>
      <c r="H204" s="24" t="s">
        <v>29</v>
      </c>
      <c r="I204" s="5" t="s">
        <v>3522</v>
      </c>
      <c r="J204" s="24" t="s">
        <v>92</v>
      </c>
      <c r="K204" s="27">
        <v>4</v>
      </c>
      <c r="L204" s="6">
        <v>42085</v>
      </c>
      <c r="M204" s="27">
        <f>Table11[[#This Row],[Ship Date]]-Table11[[#This Row],[Order Date]]</f>
        <v>3</v>
      </c>
      <c r="N204" s="24" t="s">
        <v>169</v>
      </c>
      <c r="O204" s="24" t="s">
        <v>23</v>
      </c>
      <c r="P204" s="24" t="s">
        <v>94</v>
      </c>
      <c r="Q204" s="24" t="s">
        <v>95</v>
      </c>
      <c r="R204" s="24" t="s">
        <v>165</v>
      </c>
      <c r="S204" s="34">
        <v>0.32</v>
      </c>
      <c r="T204" s="15">
        <v>383.46559999999999</v>
      </c>
      <c r="U204" s="18">
        <v>-67.670400000000001</v>
      </c>
      <c r="V204" s="56">
        <f>Table11[[#This Row],[Profit]]/Table11[[#This Row],[Sales]]</f>
        <v>-0.17647058823529413</v>
      </c>
    </row>
    <row r="205" spans="1:22" x14ac:dyDescent="0.2">
      <c r="A205" s="4">
        <v>204</v>
      </c>
      <c r="B205" s="3" t="s">
        <v>2240</v>
      </c>
      <c r="C205" s="7">
        <v>42083</v>
      </c>
      <c r="D205" s="28">
        <f>MONTH(Table11[[#This Row],[Order Date]])</f>
        <v>3</v>
      </c>
      <c r="E205" s="3" t="s">
        <v>678</v>
      </c>
      <c r="F205" s="3" t="s">
        <v>679</v>
      </c>
      <c r="G205" s="25" t="s">
        <v>41</v>
      </c>
      <c r="H205" s="25" t="s">
        <v>82</v>
      </c>
      <c r="I205" s="3" t="s">
        <v>2241</v>
      </c>
      <c r="J205" s="25" t="s">
        <v>36</v>
      </c>
      <c r="K205" s="28">
        <v>8</v>
      </c>
      <c r="L205" s="7">
        <v>42086</v>
      </c>
      <c r="M205" s="28">
        <f>Table11[[#This Row],[Ship Date]]-Table11[[#This Row],[Order Date]]</f>
        <v>3</v>
      </c>
      <c r="N205" s="25" t="s">
        <v>169</v>
      </c>
      <c r="O205" s="25" t="s">
        <v>23</v>
      </c>
      <c r="P205" s="25" t="s">
        <v>103</v>
      </c>
      <c r="Q205" s="25" t="s">
        <v>95</v>
      </c>
      <c r="R205" s="25" t="s">
        <v>2242</v>
      </c>
      <c r="S205" s="35">
        <v>0</v>
      </c>
      <c r="T205" s="16">
        <v>51.84</v>
      </c>
      <c r="U205" s="19">
        <v>24.883199999999999</v>
      </c>
      <c r="V205" s="56">
        <f>Table11[[#This Row],[Profit]]/Table11[[#This Row],[Sales]]</f>
        <v>0.47999999999999993</v>
      </c>
    </row>
    <row r="206" spans="1:22" x14ac:dyDescent="0.2">
      <c r="A206" s="4">
        <v>205</v>
      </c>
      <c r="B206" s="5" t="s">
        <v>7145</v>
      </c>
      <c r="C206" s="6">
        <v>42083</v>
      </c>
      <c r="D206" s="27">
        <f>MONTH(Table11[[#This Row],[Order Date]])</f>
        <v>3</v>
      </c>
      <c r="E206" s="5" t="s">
        <v>5043</v>
      </c>
      <c r="F206" s="5" t="s">
        <v>5044</v>
      </c>
      <c r="G206" s="24" t="s">
        <v>41</v>
      </c>
      <c r="H206" s="24" t="s">
        <v>68</v>
      </c>
      <c r="I206" s="5" t="s">
        <v>2187</v>
      </c>
      <c r="J206" s="24" t="s">
        <v>22</v>
      </c>
      <c r="K206" s="27">
        <v>2</v>
      </c>
      <c r="L206" s="6">
        <v>42089</v>
      </c>
      <c r="M206" s="27">
        <f>Table11[[#This Row],[Ship Date]]-Table11[[#This Row],[Order Date]]</f>
        <v>6</v>
      </c>
      <c r="N206" s="24" t="s">
        <v>45</v>
      </c>
      <c r="O206" s="24" t="s">
        <v>23</v>
      </c>
      <c r="P206" s="24" t="s">
        <v>94</v>
      </c>
      <c r="Q206" s="24" t="s">
        <v>95</v>
      </c>
      <c r="R206" s="24" t="s">
        <v>3716</v>
      </c>
      <c r="S206" s="34">
        <v>0.8</v>
      </c>
      <c r="T206" s="15">
        <v>2.512</v>
      </c>
      <c r="U206" s="18">
        <v>-4.3959999999999999</v>
      </c>
      <c r="V206" s="56">
        <f>Table11[[#This Row],[Profit]]/Table11[[#This Row],[Sales]]</f>
        <v>-1.75</v>
      </c>
    </row>
    <row r="207" spans="1:22" x14ac:dyDescent="0.2">
      <c r="A207" s="2">
        <v>206</v>
      </c>
      <c r="B207" s="3" t="s">
        <v>7145</v>
      </c>
      <c r="C207" s="7">
        <v>42083</v>
      </c>
      <c r="D207" s="28">
        <f>MONTH(Table11[[#This Row],[Order Date]])</f>
        <v>3</v>
      </c>
      <c r="E207" s="3" t="s">
        <v>7146</v>
      </c>
      <c r="F207" s="3" t="s">
        <v>498</v>
      </c>
      <c r="G207" s="25" t="s">
        <v>41</v>
      </c>
      <c r="H207" s="25" t="s">
        <v>240</v>
      </c>
      <c r="I207" s="3" t="s">
        <v>2187</v>
      </c>
      <c r="J207" s="25" t="s">
        <v>22</v>
      </c>
      <c r="K207" s="28">
        <v>9</v>
      </c>
      <c r="L207" s="7">
        <v>42089</v>
      </c>
      <c r="M207" s="28">
        <f>Table11[[#This Row],[Ship Date]]-Table11[[#This Row],[Order Date]]</f>
        <v>6</v>
      </c>
      <c r="N207" s="25" t="s">
        <v>45</v>
      </c>
      <c r="O207" s="25" t="s">
        <v>23</v>
      </c>
      <c r="P207" s="25" t="s">
        <v>94</v>
      </c>
      <c r="Q207" s="25" t="s">
        <v>95</v>
      </c>
      <c r="R207" s="25" t="s">
        <v>3716</v>
      </c>
      <c r="S207" s="35">
        <v>0.2</v>
      </c>
      <c r="T207" s="16">
        <v>18.864000000000001</v>
      </c>
      <c r="U207" s="19">
        <v>6.1307999999999998</v>
      </c>
      <c r="V207" s="56">
        <f>Table11[[#This Row],[Profit]]/Table11[[#This Row],[Sales]]</f>
        <v>0.32499999999999996</v>
      </c>
    </row>
    <row r="208" spans="1:22" x14ac:dyDescent="0.2">
      <c r="A208" s="4">
        <v>207</v>
      </c>
      <c r="B208" s="5" t="s">
        <v>9450</v>
      </c>
      <c r="C208" s="6">
        <v>42083</v>
      </c>
      <c r="D208" s="27">
        <f>MONTH(Table11[[#This Row],[Order Date]])</f>
        <v>3</v>
      </c>
      <c r="E208" s="5" t="s">
        <v>2629</v>
      </c>
      <c r="F208" s="5" t="s">
        <v>2630</v>
      </c>
      <c r="G208" s="24" t="s">
        <v>41</v>
      </c>
      <c r="H208" s="24" t="s">
        <v>53</v>
      </c>
      <c r="I208" s="5" t="s">
        <v>2165</v>
      </c>
      <c r="J208" s="24" t="s">
        <v>22</v>
      </c>
      <c r="K208" s="27">
        <v>3</v>
      </c>
      <c r="L208" s="6">
        <v>42085</v>
      </c>
      <c r="M208" s="27">
        <f>Table11[[#This Row],[Ship Date]]-Table11[[#This Row],[Order Date]]</f>
        <v>2</v>
      </c>
      <c r="N208" s="24" t="s">
        <v>20</v>
      </c>
      <c r="O208" s="24" t="s">
        <v>23</v>
      </c>
      <c r="P208" s="24" t="s">
        <v>374</v>
      </c>
      <c r="Q208" s="24" t="s">
        <v>39</v>
      </c>
      <c r="R208" s="24" t="s">
        <v>1744</v>
      </c>
      <c r="S208" s="34">
        <v>0.2</v>
      </c>
      <c r="T208" s="15">
        <v>29.303999999999998</v>
      </c>
      <c r="U208" s="18">
        <v>2.5640999999999998</v>
      </c>
      <c r="V208" s="56">
        <f>Table11[[#This Row],[Profit]]/Table11[[#This Row],[Sales]]</f>
        <v>8.7499999999999994E-2</v>
      </c>
    </row>
    <row r="209" spans="1:22" x14ac:dyDescent="0.2">
      <c r="A209" s="4">
        <v>208</v>
      </c>
      <c r="B209" s="3" t="s">
        <v>10109</v>
      </c>
      <c r="C209" s="7">
        <v>42083</v>
      </c>
      <c r="D209" s="28">
        <f>MONTH(Table11[[#This Row],[Order Date]])</f>
        <v>3</v>
      </c>
      <c r="E209" s="3" t="s">
        <v>1224</v>
      </c>
      <c r="F209" s="3" t="s">
        <v>1225</v>
      </c>
      <c r="G209" s="25" t="s">
        <v>41</v>
      </c>
      <c r="H209" s="25" t="s">
        <v>68</v>
      </c>
      <c r="I209" s="3" t="s">
        <v>5905</v>
      </c>
      <c r="J209" s="25" t="s">
        <v>36</v>
      </c>
      <c r="K209" s="28">
        <v>3</v>
      </c>
      <c r="L209" s="7">
        <v>42086</v>
      </c>
      <c r="M209" s="28">
        <f>Table11[[#This Row],[Ship Date]]-Table11[[#This Row],[Order Date]]</f>
        <v>3</v>
      </c>
      <c r="N209" s="25" t="s">
        <v>169</v>
      </c>
      <c r="O209" s="25" t="s">
        <v>23</v>
      </c>
      <c r="P209" s="25" t="s">
        <v>238</v>
      </c>
      <c r="Q209" s="25" t="s">
        <v>133</v>
      </c>
      <c r="R209" s="25" t="s">
        <v>237</v>
      </c>
      <c r="S209" s="35">
        <v>0.2</v>
      </c>
      <c r="T209" s="16">
        <v>49.847999999999999</v>
      </c>
      <c r="U209" s="19">
        <v>16.823699999999999</v>
      </c>
      <c r="V209" s="56">
        <f>Table11[[#This Row],[Profit]]/Table11[[#This Row],[Sales]]</f>
        <v>0.33749999999999997</v>
      </c>
    </row>
    <row r="210" spans="1:22" x14ac:dyDescent="0.2">
      <c r="A210" s="2">
        <v>209</v>
      </c>
      <c r="B210" s="5" t="s">
        <v>10109</v>
      </c>
      <c r="C210" s="6">
        <v>42083</v>
      </c>
      <c r="D210" s="27">
        <f>MONTH(Table11[[#This Row],[Order Date]])</f>
        <v>3</v>
      </c>
      <c r="E210" s="5" t="s">
        <v>890</v>
      </c>
      <c r="F210" s="5" t="s">
        <v>891</v>
      </c>
      <c r="G210" s="24" t="s">
        <v>41</v>
      </c>
      <c r="H210" s="24" t="s">
        <v>155</v>
      </c>
      <c r="I210" s="5" t="s">
        <v>5905</v>
      </c>
      <c r="J210" s="24" t="s">
        <v>36</v>
      </c>
      <c r="K210" s="27">
        <v>1</v>
      </c>
      <c r="L210" s="6">
        <v>42086</v>
      </c>
      <c r="M210" s="27">
        <f>Table11[[#This Row],[Ship Date]]-Table11[[#This Row],[Order Date]]</f>
        <v>3</v>
      </c>
      <c r="N210" s="24" t="s">
        <v>169</v>
      </c>
      <c r="O210" s="24" t="s">
        <v>23</v>
      </c>
      <c r="P210" s="24" t="s">
        <v>238</v>
      </c>
      <c r="Q210" s="24" t="s">
        <v>133</v>
      </c>
      <c r="R210" s="24" t="s">
        <v>237</v>
      </c>
      <c r="S210" s="34">
        <v>0</v>
      </c>
      <c r="T210" s="15">
        <v>23.99</v>
      </c>
      <c r="U210" s="18">
        <v>11.994999999999999</v>
      </c>
      <c r="V210" s="56">
        <f>Table11[[#This Row],[Profit]]/Table11[[#This Row],[Sales]]</f>
        <v>0.5</v>
      </c>
    </row>
    <row r="211" spans="1:22" x14ac:dyDescent="0.2">
      <c r="A211" s="4">
        <v>210</v>
      </c>
      <c r="B211" s="3" t="s">
        <v>10109</v>
      </c>
      <c r="C211" s="7">
        <v>42083</v>
      </c>
      <c r="D211" s="28">
        <f>MONTH(Table11[[#This Row],[Order Date]])</f>
        <v>3</v>
      </c>
      <c r="E211" s="3" t="s">
        <v>88</v>
      </c>
      <c r="F211" s="3" t="s">
        <v>89</v>
      </c>
      <c r="G211" s="25" t="s">
        <v>41</v>
      </c>
      <c r="H211" s="25" t="s">
        <v>68</v>
      </c>
      <c r="I211" s="3" t="s">
        <v>5905</v>
      </c>
      <c r="J211" s="25" t="s">
        <v>36</v>
      </c>
      <c r="K211" s="28">
        <v>8</v>
      </c>
      <c r="L211" s="7">
        <v>42086</v>
      </c>
      <c r="M211" s="28">
        <f>Table11[[#This Row],[Ship Date]]-Table11[[#This Row],[Order Date]]</f>
        <v>3</v>
      </c>
      <c r="N211" s="25" t="s">
        <v>169</v>
      </c>
      <c r="O211" s="25" t="s">
        <v>23</v>
      </c>
      <c r="P211" s="25" t="s">
        <v>238</v>
      </c>
      <c r="Q211" s="25" t="s">
        <v>133</v>
      </c>
      <c r="R211" s="25" t="s">
        <v>237</v>
      </c>
      <c r="S211" s="35">
        <v>0.2</v>
      </c>
      <c r="T211" s="16">
        <v>1087.9359999999999</v>
      </c>
      <c r="U211" s="19">
        <v>353.57920000000001</v>
      </c>
      <c r="V211" s="56">
        <f>Table11[[#This Row],[Profit]]/Table11[[#This Row],[Sales]]</f>
        <v>0.32500000000000001</v>
      </c>
    </row>
    <row r="212" spans="1:22" x14ac:dyDescent="0.2">
      <c r="A212" s="4">
        <v>211</v>
      </c>
      <c r="B212" s="5" t="s">
        <v>10109</v>
      </c>
      <c r="C212" s="6">
        <v>42083</v>
      </c>
      <c r="D212" s="27">
        <f>MONTH(Table11[[#This Row],[Order Date]])</f>
        <v>3</v>
      </c>
      <c r="E212" s="5" t="s">
        <v>3337</v>
      </c>
      <c r="F212" s="5" t="s">
        <v>3338</v>
      </c>
      <c r="G212" s="24" t="s">
        <v>64</v>
      </c>
      <c r="H212" s="24" t="s">
        <v>65</v>
      </c>
      <c r="I212" s="5" t="s">
        <v>5905</v>
      </c>
      <c r="J212" s="24" t="s">
        <v>36</v>
      </c>
      <c r="K212" s="27">
        <v>2</v>
      </c>
      <c r="L212" s="6">
        <v>42086</v>
      </c>
      <c r="M212" s="27">
        <f>Table11[[#This Row],[Ship Date]]-Table11[[#This Row],[Order Date]]</f>
        <v>3</v>
      </c>
      <c r="N212" s="24" t="s">
        <v>169</v>
      </c>
      <c r="O212" s="24" t="s">
        <v>23</v>
      </c>
      <c r="P212" s="24" t="s">
        <v>238</v>
      </c>
      <c r="Q212" s="24" t="s">
        <v>133</v>
      </c>
      <c r="R212" s="24" t="s">
        <v>237</v>
      </c>
      <c r="S212" s="34">
        <v>0</v>
      </c>
      <c r="T212" s="15">
        <v>199.98</v>
      </c>
      <c r="U212" s="18">
        <v>53.994599999999998</v>
      </c>
      <c r="V212" s="56">
        <f>Table11[[#This Row],[Profit]]/Table11[[#This Row],[Sales]]</f>
        <v>0.27</v>
      </c>
    </row>
    <row r="213" spans="1:22" x14ac:dyDescent="0.2">
      <c r="A213" s="2">
        <v>212</v>
      </c>
      <c r="B213" s="3" t="s">
        <v>10109</v>
      </c>
      <c r="C213" s="7">
        <v>42083</v>
      </c>
      <c r="D213" s="28">
        <f>MONTH(Table11[[#This Row],[Order Date]])</f>
        <v>3</v>
      </c>
      <c r="E213" s="3" t="s">
        <v>4349</v>
      </c>
      <c r="F213" s="3" t="s">
        <v>4350</v>
      </c>
      <c r="G213" s="25" t="s">
        <v>41</v>
      </c>
      <c r="H213" s="25" t="s">
        <v>53</v>
      </c>
      <c r="I213" s="3" t="s">
        <v>5905</v>
      </c>
      <c r="J213" s="25" t="s">
        <v>36</v>
      </c>
      <c r="K213" s="28">
        <v>4</v>
      </c>
      <c r="L213" s="7">
        <v>42086</v>
      </c>
      <c r="M213" s="28">
        <f>Table11[[#This Row],[Ship Date]]-Table11[[#This Row],[Order Date]]</f>
        <v>3</v>
      </c>
      <c r="N213" s="25" t="s">
        <v>169</v>
      </c>
      <c r="O213" s="25" t="s">
        <v>23</v>
      </c>
      <c r="P213" s="25" t="s">
        <v>238</v>
      </c>
      <c r="Q213" s="25" t="s">
        <v>133</v>
      </c>
      <c r="R213" s="25" t="s">
        <v>237</v>
      </c>
      <c r="S213" s="35">
        <v>0</v>
      </c>
      <c r="T213" s="16">
        <v>83.92</v>
      </c>
      <c r="U213" s="19">
        <v>20.140799999999999</v>
      </c>
      <c r="V213" s="56">
        <f>Table11[[#This Row],[Profit]]/Table11[[#This Row],[Sales]]</f>
        <v>0.24</v>
      </c>
    </row>
    <row r="214" spans="1:22" x14ac:dyDescent="0.2">
      <c r="A214" s="4">
        <v>213</v>
      </c>
      <c r="B214" s="5" t="s">
        <v>8149</v>
      </c>
      <c r="C214" s="6">
        <v>42084</v>
      </c>
      <c r="D214" s="27">
        <f>MONTH(Table11[[#This Row],[Order Date]])</f>
        <v>3</v>
      </c>
      <c r="E214" s="5" t="s">
        <v>828</v>
      </c>
      <c r="F214" s="5" t="s">
        <v>829</v>
      </c>
      <c r="G214" s="24" t="s">
        <v>41</v>
      </c>
      <c r="H214" s="24" t="s">
        <v>71</v>
      </c>
      <c r="I214" s="5" t="s">
        <v>3642</v>
      </c>
      <c r="J214" s="24" t="s">
        <v>22</v>
      </c>
      <c r="K214" s="27">
        <v>4</v>
      </c>
      <c r="L214" s="6">
        <v>42089</v>
      </c>
      <c r="M214" s="27">
        <f>Table11[[#This Row],[Ship Date]]-Table11[[#This Row],[Order Date]]</f>
        <v>5</v>
      </c>
      <c r="N214" s="24" t="s">
        <v>45</v>
      </c>
      <c r="O214" s="24" t="s">
        <v>23</v>
      </c>
      <c r="P214" s="24" t="s">
        <v>80</v>
      </c>
      <c r="Q214" s="24" t="s">
        <v>26</v>
      </c>
      <c r="R214" s="24" t="s">
        <v>1345</v>
      </c>
      <c r="S214" s="34">
        <v>0.2</v>
      </c>
      <c r="T214" s="15">
        <v>962.08</v>
      </c>
      <c r="U214" s="18">
        <v>156.33799999999999</v>
      </c>
      <c r="V214" s="56">
        <f>Table11[[#This Row],[Profit]]/Table11[[#This Row],[Sales]]</f>
        <v>0.16249999999999998</v>
      </c>
    </row>
    <row r="215" spans="1:22" x14ac:dyDescent="0.2">
      <c r="A215" s="4">
        <v>214</v>
      </c>
      <c r="B215" s="3" t="s">
        <v>8149</v>
      </c>
      <c r="C215" s="7">
        <v>42084</v>
      </c>
      <c r="D215" s="28">
        <f>MONTH(Table11[[#This Row],[Order Date]])</f>
        <v>3</v>
      </c>
      <c r="E215" s="3" t="s">
        <v>5134</v>
      </c>
      <c r="F215" s="3" t="s">
        <v>5135</v>
      </c>
      <c r="G215" s="25" t="s">
        <v>41</v>
      </c>
      <c r="H215" s="25" t="s">
        <v>68</v>
      </c>
      <c r="I215" s="3" t="s">
        <v>3642</v>
      </c>
      <c r="J215" s="25" t="s">
        <v>22</v>
      </c>
      <c r="K215" s="28">
        <v>3</v>
      </c>
      <c r="L215" s="7">
        <v>42089</v>
      </c>
      <c r="M215" s="28">
        <f>Table11[[#This Row],[Ship Date]]-Table11[[#This Row],[Order Date]]</f>
        <v>5</v>
      </c>
      <c r="N215" s="25" t="s">
        <v>45</v>
      </c>
      <c r="O215" s="25" t="s">
        <v>23</v>
      </c>
      <c r="P215" s="25" t="s">
        <v>80</v>
      </c>
      <c r="Q215" s="25" t="s">
        <v>26</v>
      </c>
      <c r="R215" s="25" t="s">
        <v>1345</v>
      </c>
      <c r="S215" s="35">
        <v>0.7</v>
      </c>
      <c r="T215" s="16">
        <v>12.843</v>
      </c>
      <c r="U215" s="19">
        <v>-9.8462999999999994</v>
      </c>
      <c r="V215" s="56">
        <f>Table11[[#This Row],[Profit]]/Table11[[#This Row],[Sales]]</f>
        <v>-0.76666666666666661</v>
      </c>
    </row>
    <row r="216" spans="1:22" x14ac:dyDescent="0.2">
      <c r="A216" s="2">
        <v>215</v>
      </c>
      <c r="B216" s="5" t="s">
        <v>8149</v>
      </c>
      <c r="C216" s="6">
        <v>42084</v>
      </c>
      <c r="D216" s="27">
        <f>MONTH(Table11[[#This Row],[Order Date]])</f>
        <v>3</v>
      </c>
      <c r="E216" s="5" t="s">
        <v>560</v>
      </c>
      <c r="F216" s="5" t="s">
        <v>561</v>
      </c>
      <c r="G216" s="24" t="s">
        <v>41</v>
      </c>
      <c r="H216" s="24" t="s">
        <v>82</v>
      </c>
      <c r="I216" s="5" t="s">
        <v>3642</v>
      </c>
      <c r="J216" s="24" t="s">
        <v>22</v>
      </c>
      <c r="K216" s="27">
        <v>14</v>
      </c>
      <c r="L216" s="6">
        <v>42089</v>
      </c>
      <c r="M216" s="27">
        <f>Table11[[#This Row],[Ship Date]]-Table11[[#This Row],[Order Date]]</f>
        <v>5</v>
      </c>
      <c r="N216" s="24" t="s">
        <v>45</v>
      </c>
      <c r="O216" s="24" t="s">
        <v>23</v>
      </c>
      <c r="P216" s="24" t="s">
        <v>80</v>
      </c>
      <c r="Q216" s="24" t="s">
        <v>26</v>
      </c>
      <c r="R216" s="24" t="s">
        <v>1345</v>
      </c>
      <c r="S216" s="34">
        <v>0.2</v>
      </c>
      <c r="T216" s="15">
        <v>295.45600000000002</v>
      </c>
      <c r="U216" s="18">
        <v>96.023200000000003</v>
      </c>
      <c r="V216" s="56">
        <f>Table11[[#This Row],[Profit]]/Table11[[#This Row],[Sales]]</f>
        <v>0.32500000000000001</v>
      </c>
    </row>
    <row r="217" spans="1:22" x14ac:dyDescent="0.2">
      <c r="A217" s="4">
        <v>216</v>
      </c>
      <c r="B217" s="3" t="s">
        <v>1570</v>
      </c>
      <c r="C217" s="7">
        <v>42085</v>
      </c>
      <c r="D217" s="28">
        <f>MONTH(Table11[[#This Row],[Order Date]])</f>
        <v>3</v>
      </c>
      <c r="E217" s="3" t="s">
        <v>205</v>
      </c>
      <c r="F217" s="3" t="s">
        <v>206</v>
      </c>
      <c r="G217" s="25" t="s">
        <v>64</v>
      </c>
      <c r="H217" s="25" t="s">
        <v>144</v>
      </c>
      <c r="I217" s="3" t="s">
        <v>1571</v>
      </c>
      <c r="J217" s="25" t="s">
        <v>22</v>
      </c>
      <c r="K217" s="28">
        <v>1</v>
      </c>
      <c r="L217" s="7">
        <v>42089</v>
      </c>
      <c r="M217" s="28">
        <f>Table11[[#This Row],[Ship Date]]-Table11[[#This Row],[Order Date]]</f>
        <v>4</v>
      </c>
      <c r="N217" s="25" t="s">
        <v>45</v>
      </c>
      <c r="O217" s="25" t="s">
        <v>23</v>
      </c>
      <c r="P217" s="25" t="s">
        <v>94</v>
      </c>
      <c r="Q217" s="25" t="s">
        <v>95</v>
      </c>
      <c r="R217" s="25" t="s">
        <v>165</v>
      </c>
      <c r="S217" s="35">
        <v>0.2</v>
      </c>
      <c r="T217" s="16">
        <v>18.391999999999999</v>
      </c>
      <c r="U217" s="19">
        <v>5.2877000000000001</v>
      </c>
      <c r="V217" s="56">
        <f>Table11[[#This Row],[Profit]]/Table11[[#This Row],[Sales]]</f>
        <v>0.28750000000000003</v>
      </c>
    </row>
    <row r="218" spans="1:22" x14ac:dyDescent="0.2">
      <c r="A218" s="4">
        <v>217</v>
      </c>
      <c r="B218" s="5" t="s">
        <v>1570</v>
      </c>
      <c r="C218" s="6">
        <v>42085</v>
      </c>
      <c r="D218" s="27">
        <f>MONTH(Table11[[#This Row],[Order Date]])</f>
        <v>3</v>
      </c>
      <c r="E218" s="5" t="s">
        <v>1572</v>
      </c>
      <c r="F218" s="5" t="s">
        <v>1573</v>
      </c>
      <c r="G218" s="24" t="s">
        <v>41</v>
      </c>
      <c r="H218" s="24" t="s">
        <v>53</v>
      </c>
      <c r="I218" s="5" t="s">
        <v>1571</v>
      </c>
      <c r="J218" s="24" t="s">
        <v>22</v>
      </c>
      <c r="K218" s="27">
        <v>2</v>
      </c>
      <c r="L218" s="6">
        <v>42089</v>
      </c>
      <c r="M218" s="27">
        <f>Table11[[#This Row],[Ship Date]]-Table11[[#This Row],[Order Date]]</f>
        <v>4</v>
      </c>
      <c r="N218" s="24" t="s">
        <v>45</v>
      </c>
      <c r="O218" s="24" t="s">
        <v>23</v>
      </c>
      <c r="P218" s="24" t="s">
        <v>94</v>
      </c>
      <c r="Q218" s="24" t="s">
        <v>95</v>
      </c>
      <c r="R218" s="24" t="s">
        <v>165</v>
      </c>
      <c r="S218" s="34">
        <v>0.2</v>
      </c>
      <c r="T218" s="15">
        <v>129.56800000000001</v>
      </c>
      <c r="U218" s="18">
        <v>-25.913599999999999</v>
      </c>
      <c r="V218" s="56">
        <f>Table11[[#This Row],[Profit]]/Table11[[#This Row],[Sales]]</f>
        <v>-0.19999999999999998</v>
      </c>
    </row>
    <row r="219" spans="1:22" x14ac:dyDescent="0.2">
      <c r="A219" s="2">
        <v>218</v>
      </c>
      <c r="B219" s="3" t="s">
        <v>1570</v>
      </c>
      <c r="C219" s="7">
        <v>42085</v>
      </c>
      <c r="D219" s="28">
        <f>MONTH(Table11[[#This Row],[Order Date]])</f>
        <v>3</v>
      </c>
      <c r="E219" s="3" t="s">
        <v>1574</v>
      </c>
      <c r="F219" s="3" t="s">
        <v>1575</v>
      </c>
      <c r="G219" s="25" t="s">
        <v>41</v>
      </c>
      <c r="H219" s="25" t="s">
        <v>68</v>
      </c>
      <c r="I219" s="3" t="s">
        <v>1571</v>
      </c>
      <c r="J219" s="25" t="s">
        <v>22</v>
      </c>
      <c r="K219" s="28">
        <v>9</v>
      </c>
      <c r="L219" s="7">
        <v>42089</v>
      </c>
      <c r="M219" s="28">
        <f>Table11[[#This Row],[Ship Date]]-Table11[[#This Row],[Order Date]]</f>
        <v>4</v>
      </c>
      <c r="N219" s="25" t="s">
        <v>45</v>
      </c>
      <c r="O219" s="25" t="s">
        <v>23</v>
      </c>
      <c r="P219" s="25" t="s">
        <v>94</v>
      </c>
      <c r="Q219" s="25" t="s">
        <v>95</v>
      </c>
      <c r="R219" s="25" t="s">
        <v>165</v>
      </c>
      <c r="S219" s="35">
        <v>0.8</v>
      </c>
      <c r="T219" s="16">
        <v>14.112</v>
      </c>
      <c r="U219" s="19">
        <v>-21.167999999999999</v>
      </c>
      <c r="V219" s="56">
        <f>Table11[[#This Row],[Profit]]/Table11[[#This Row],[Sales]]</f>
        <v>-1.5</v>
      </c>
    </row>
    <row r="220" spans="1:22" x14ac:dyDescent="0.2">
      <c r="A220" s="4">
        <v>219</v>
      </c>
      <c r="B220" s="5" t="s">
        <v>7732</v>
      </c>
      <c r="C220" s="6">
        <v>42085</v>
      </c>
      <c r="D220" s="27">
        <f>MONTH(Table11[[#This Row],[Order Date]])</f>
        <v>3</v>
      </c>
      <c r="E220" s="5" t="s">
        <v>1489</v>
      </c>
      <c r="F220" s="5" t="s">
        <v>1490</v>
      </c>
      <c r="G220" s="24" t="s">
        <v>64</v>
      </c>
      <c r="H220" s="24" t="s">
        <v>65</v>
      </c>
      <c r="I220" s="5" t="s">
        <v>587</v>
      </c>
      <c r="J220" s="24" t="s">
        <v>22</v>
      </c>
      <c r="K220" s="27">
        <v>2</v>
      </c>
      <c r="L220" s="6">
        <v>42087</v>
      </c>
      <c r="M220" s="27">
        <f>Table11[[#This Row],[Ship Date]]-Table11[[#This Row],[Order Date]]</f>
        <v>2</v>
      </c>
      <c r="N220" s="24" t="s">
        <v>169</v>
      </c>
      <c r="O220" s="24" t="s">
        <v>23</v>
      </c>
      <c r="P220" s="24" t="s">
        <v>38</v>
      </c>
      <c r="Q220" s="24" t="s">
        <v>39</v>
      </c>
      <c r="R220" s="24" t="s">
        <v>4808</v>
      </c>
      <c r="S220" s="34">
        <v>0.2</v>
      </c>
      <c r="T220" s="15">
        <v>15.984</v>
      </c>
      <c r="U220" s="18">
        <v>1.1988000000000001</v>
      </c>
      <c r="V220" s="56">
        <f>Table11[[#This Row],[Profit]]/Table11[[#This Row],[Sales]]</f>
        <v>7.5000000000000011E-2</v>
      </c>
    </row>
    <row r="221" spans="1:22" x14ac:dyDescent="0.2">
      <c r="A221" s="4">
        <v>220</v>
      </c>
      <c r="B221" s="3" t="s">
        <v>7737</v>
      </c>
      <c r="C221" s="7">
        <v>42085</v>
      </c>
      <c r="D221" s="28">
        <f>MONTH(Table11[[#This Row],[Order Date]])</f>
        <v>3</v>
      </c>
      <c r="E221" s="3" t="s">
        <v>2807</v>
      </c>
      <c r="F221" s="3" t="s">
        <v>167</v>
      </c>
      <c r="G221" s="25" t="s">
        <v>41</v>
      </c>
      <c r="H221" s="25" t="s">
        <v>82</v>
      </c>
      <c r="I221" s="3" t="s">
        <v>1860</v>
      </c>
      <c r="J221" s="25" t="s">
        <v>36</v>
      </c>
      <c r="K221" s="28">
        <v>4</v>
      </c>
      <c r="L221" s="7">
        <v>42089</v>
      </c>
      <c r="M221" s="28">
        <f>Table11[[#This Row],[Ship Date]]-Table11[[#This Row],[Order Date]]</f>
        <v>4</v>
      </c>
      <c r="N221" s="25" t="s">
        <v>45</v>
      </c>
      <c r="O221" s="25" t="s">
        <v>23</v>
      </c>
      <c r="P221" s="25" t="s">
        <v>38</v>
      </c>
      <c r="Q221" s="25" t="s">
        <v>39</v>
      </c>
      <c r="R221" s="25" t="s">
        <v>836</v>
      </c>
      <c r="S221" s="35">
        <v>0</v>
      </c>
      <c r="T221" s="16">
        <v>105.52</v>
      </c>
      <c r="U221" s="19">
        <v>48.539200000000001</v>
      </c>
      <c r="V221" s="56">
        <f>Table11[[#This Row],[Profit]]/Table11[[#This Row],[Sales]]</f>
        <v>0.46</v>
      </c>
    </row>
    <row r="222" spans="1:22" x14ac:dyDescent="0.2">
      <c r="A222" s="2">
        <v>221</v>
      </c>
      <c r="B222" s="5" t="s">
        <v>7737</v>
      </c>
      <c r="C222" s="6">
        <v>42085</v>
      </c>
      <c r="D222" s="27">
        <f>MONTH(Table11[[#This Row],[Order Date]])</f>
        <v>3</v>
      </c>
      <c r="E222" s="5" t="s">
        <v>7738</v>
      </c>
      <c r="F222" s="5" t="s">
        <v>7739</v>
      </c>
      <c r="G222" s="24" t="s">
        <v>28</v>
      </c>
      <c r="H222" s="24" t="s">
        <v>58</v>
      </c>
      <c r="I222" s="5" t="s">
        <v>1860</v>
      </c>
      <c r="J222" s="24" t="s">
        <v>36</v>
      </c>
      <c r="K222" s="27">
        <v>2</v>
      </c>
      <c r="L222" s="6">
        <v>42089</v>
      </c>
      <c r="M222" s="27">
        <f>Table11[[#This Row],[Ship Date]]-Table11[[#This Row],[Order Date]]</f>
        <v>4</v>
      </c>
      <c r="N222" s="24" t="s">
        <v>45</v>
      </c>
      <c r="O222" s="24" t="s">
        <v>23</v>
      </c>
      <c r="P222" s="24" t="s">
        <v>38</v>
      </c>
      <c r="Q222" s="24" t="s">
        <v>39</v>
      </c>
      <c r="R222" s="24" t="s">
        <v>836</v>
      </c>
      <c r="S222" s="34">
        <v>0</v>
      </c>
      <c r="T222" s="15">
        <v>91.96</v>
      </c>
      <c r="U222" s="18">
        <v>15.6332</v>
      </c>
      <c r="V222" s="56">
        <f>Table11[[#This Row],[Profit]]/Table11[[#This Row],[Sales]]</f>
        <v>0.17</v>
      </c>
    </row>
    <row r="223" spans="1:22" x14ac:dyDescent="0.2">
      <c r="A223" s="4">
        <v>222</v>
      </c>
      <c r="B223" s="3" t="s">
        <v>7737</v>
      </c>
      <c r="C223" s="7">
        <v>42085</v>
      </c>
      <c r="D223" s="28">
        <f>MONTH(Table11[[#This Row],[Order Date]])</f>
        <v>3</v>
      </c>
      <c r="E223" s="3" t="s">
        <v>2223</v>
      </c>
      <c r="F223" s="3" t="s">
        <v>2224</v>
      </c>
      <c r="G223" s="25" t="s">
        <v>64</v>
      </c>
      <c r="H223" s="25" t="s">
        <v>65</v>
      </c>
      <c r="I223" s="3" t="s">
        <v>1860</v>
      </c>
      <c r="J223" s="25" t="s">
        <v>36</v>
      </c>
      <c r="K223" s="28">
        <v>3</v>
      </c>
      <c r="L223" s="7">
        <v>42089</v>
      </c>
      <c r="M223" s="28">
        <f>Table11[[#This Row],[Ship Date]]-Table11[[#This Row],[Order Date]]</f>
        <v>4</v>
      </c>
      <c r="N223" s="25" t="s">
        <v>45</v>
      </c>
      <c r="O223" s="25" t="s">
        <v>23</v>
      </c>
      <c r="P223" s="25" t="s">
        <v>38</v>
      </c>
      <c r="Q223" s="25" t="s">
        <v>39</v>
      </c>
      <c r="R223" s="25" t="s">
        <v>836</v>
      </c>
      <c r="S223" s="35">
        <v>0.2</v>
      </c>
      <c r="T223" s="16">
        <v>1487.9760000000001</v>
      </c>
      <c r="U223" s="19">
        <v>185.99700000000001</v>
      </c>
      <c r="V223" s="56">
        <f>Table11[[#This Row],[Profit]]/Table11[[#This Row],[Sales]]</f>
        <v>0.125</v>
      </c>
    </row>
    <row r="224" spans="1:22" x14ac:dyDescent="0.2">
      <c r="A224" s="4">
        <v>223</v>
      </c>
      <c r="B224" s="5" t="s">
        <v>8804</v>
      </c>
      <c r="C224" s="6">
        <v>42085</v>
      </c>
      <c r="D224" s="27">
        <f>MONTH(Table11[[#This Row],[Order Date]])</f>
        <v>3</v>
      </c>
      <c r="E224" s="5" t="s">
        <v>6761</v>
      </c>
      <c r="F224" s="5" t="s">
        <v>6762</v>
      </c>
      <c r="G224" s="24" t="s">
        <v>41</v>
      </c>
      <c r="H224" s="24" t="s">
        <v>61</v>
      </c>
      <c r="I224" s="5" t="s">
        <v>8805</v>
      </c>
      <c r="J224" s="24" t="s">
        <v>36</v>
      </c>
      <c r="K224" s="27">
        <v>4</v>
      </c>
      <c r="L224" s="6">
        <v>42090</v>
      </c>
      <c r="M224" s="27">
        <f>Table11[[#This Row],[Ship Date]]-Table11[[#This Row],[Order Date]]</f>
        <v>5</v>
      </c>
      <c r="N224" s="24" t="s">
        <v>45</v>
      </c>
      <c r="O224" s="24" t="s">
        <v>23</v>
      </c>
      <c r="P224" s="24" t="s">
        <v>320</v>
      </c>
      <c r="Q224" s="24" t="s">
        <v>26</v>
      </c>
      <c r="R224" s="24" t="s">
        <v>1488</v>
      </c>
      <c r="S224" s="34">
        <v>0</v>
      </c>
      <c r="T224" s="15">
        <v>19.559999999999999</v>
      </c>
      <c r="U224" s="18">
        <v>5.4767999999999999</v>
      </c>
      <c r="V224" s="56">
        <f>Table11[[#This Row],[Profit]]/Table11[[#This Row],[Sales]]</f>
        <v>0.28000000000000003</v>
      </c>
    </row>
    <row r="225" spans="1:22" x14ac:dyDescent="0.2">
      <c r="A225" s="2">
        <v>224</v>
      </c>
      <c r="B225" s="3" t="s">
        <v>9321</v>
      </c>
      <c r="C225" s="7">
        <v>42085</v>
      </c>
      <c r="D225" s="28">
        <f>MONTH(Table11[[#This Row],[Order Date]])</f>
        <v>3</v>
      </c>
      <c r="E225" s="3" t="s">
        <v>1472</v>
      </c>
      <c r="F225" s="3" t="s">
        <v>1473</v>
      </c>
      <c r="G225" s="25" t="s">
        <v>64</v>
      </c>
      <c r="H225" s="25" t="s">
        <v>144</v>
      </c>
      <c r="I225" s="3" t="s">
        <v>2115</v>
      </c>
      <c r="J225" s="25" t="s">
        <v>22</v>
      </c>
      <c r="K225" s="28">
        <v>7</v>
      </c>
      <c r="L225" s="7">
        <v>42085</v>
      </c>
      <c r="M225" s="28">
        <f>Table11[[#This Row],[Ship Date]]-Table11[[#This Row],[Order Date]]</f>
        <v>0</v>
      </c>
      <c r="N225" s="25" t="s">
        <v>1141</v>
      </c>
      <c r="O225" s="25" t="s">
        <v>23</v>
      </c>
      <c r="P225" s="25" t="s">
        <v>48</v>
      </c>
      <c r="Q225" s="25" t="s">
        <v>26</v>
      </c>
      <c r="R225" s="25" t="s">
        <v>6114</v>
      </c>
      <c r="S225" s="35">
        <v>0.2</v>
      </c>
      <c r="T225" s="16">
        <v>447.94400000000002</v>
      </c>
      <c r="U225" s="19">
        <v>89.588800000000006</v>
      </c>
      <c r="V225" s="56">
        <f>Table11[[#This Row],[Profit]]/Table11[[#This Row],[Sales]]</f>
        <v>0.2</v>
      </c>
    </row>
    <row r="226" spans="1:22" x14ac:dyDescent="0.2">
      <c r="A226" s="4">
        <v>225</v>
      </c>
      <c r="B226" s="5" t="s">
        <v>9321</v>
      </c>
      <c r="C226" s="6">
        <v>42085</v>
      </c>
      <c r="D226" s="27">
        <f>MONTH(Table11[[#This Row],[Order Date]])</f>
        <v>3</v>
      </c>
      <c r="E226" s="5" t="s">
        <v>7582</v>
      </c>
      <c r="F226" s="5" t="s">
        <v>7583</v>
      </c>
      <c r="G226" s="24" t="s">
        <v>41</v>
      </c>
      <c r="H226" s="24" t="s">
        <v>53</v>
      </c>
      <c r="I226" s="5" t="s">
        <v>2115</v>
      </c>
      <c r="J226" s="24" t="s">
        <v>22</v>
      </c>
      <c r="K226" s="27">
        <v>9</v>
      </c>
      <c r="L226" s="6">
        <v>42085</v>
      </c>
      <c r="M226" s="27">
        <f>Table11[[#This Row],[Ship Date]]-Table11[[#This Row],[Order Date]]</f>
        <v>0</v>
      </c>
      <c r="N226" s="24" t="s">
        <v>1141</v>
      </c>
      <c r="O226" s="24" t="s">
        <v>23</v>
      </c>
      <c r="P226" s="24" t="s">
        <v>48</v>
      </c>
      <c r="Q226" s="24" t="s">
        <v>26</v>
      </c>
      <c r="R226" s="24" t="s">
        <v>6114</v>
      </c>
      <c r="S226" s="34">
        <v>0.2</v>
      </c>
      <c r="T226" s="15">
        <v>150.40799999999999</v>
      </c>
      <c r="U226" s="18">
        <v>-33.841799999999999</v>
      </c>
      <c r="V226" s="56">
        <f>Table11[[#This Row],[Profit]]/Table11[[#This Row],[Sales]]</f>
        <v>-0.22500000000000001</v>
      </c>
    </row>
    <row r="227" spans="1:22" x14ac:dyDescent="0.2">
      <c r="A227" s="4">
        <v>226</v>
      </c>
      <c r="B227" s="3" t="s">
        <v>2761</v>
      </c>
      <c r="C227" s="7">
        <v>42086</v>
      </c>
      <c r="D227" s="28">
        <f>MONTH(Table11[[#This Row],[Order Date]])</f>
        <v>3</v>
      </c>
      <c r="E227" s="3" t="s">
        <v>1359</v>
      </c>
      <c r="F227" s="3" t="s">
        <v>1360</v>
      </c>
      <c r="G227" s="25" t="s">
        <v>28</v>
      </c>
      <c r="H227" s="25" t="s">
        <v>32</v>
      </c>
      <c r="I227" s="3" t="s">
        <v>1139</v>
      </c>
      <c r="J227" s="25" t="s">
        <v>22</v>
      </c>
      <c r="K227" s="28">
        <v>2</v>
      </c>
      <c r="L227" s="7">
        <v>42092</v>
      </c>
      <c r="M227" s="28">
        <f>Table11[[#This Row],[Ship Date]]-Table11[[#This Row],[Order Date]]</f>
        <v>6</v>
      </c>
      <c r="N227" s="25" t="s">
        <v>45</v>
      </c>
      <c r="O227" s="25" t="s">
        <v>23</v>
      </c>
      <c r="P227" s="25" t="s">
        <v>94</v>
      </c>
      <c r="Q227" s="25" t="s">
        <v>95</v>
      </c>
      <c r="R227" s="25" t="s">
        <v>165</v>
      </c>
      <c r="S227" s="35">
        <v>0.3</v>
      </c>
      <c r="T227" s="16">
        <v>107.77200000000001</v>
      </c>
      <c r="U227" s="19">
        <v>-29.252400000000002</v>
      </c>
      <c r="V227" s="56">
        <f>Table11[[#This Row],[Profit]]/Table11[[#This Row],[Sales]]</f>
        <v>-0.27142857142857141</v>
      </c>
    </row>
    <row r="228" spans="1:22" x14ac:dyDescent="0.2">
      <c r="A228" s="2">
        <v>227</v>
      </c>
      <c r="B228" s="5" t="s">
        <v>6851</v>
      </c>
      <c r="C228" s="6">
        <v>42086</v>
      </c>
      <c r="D228" s="27">
        <f>MONTH(Table11[[#This Row],[Order Date]])</f>
        <v>3</v>
      </c>
      <c r="E228" s="5" t="s">
        <v>1883</v>
      </c>
      <c r="F228" s="5" t="s">
        <v>498</v>
      </c>
      <c r="G228" s="24" t="s">
        <v>41</v>
      </c>
      <c r="H228" s="24" t="s">
        <v>240</v>
      </c>
      <c r="I228" s="5" t="s">
        <v>3654</v>
      </c>
      <c r="J228" s="24" t="s">
        <v>22</v>
      </c>
      <c r="K228" s="27">
        <v>4</v>
      </c>
      <c r="L228" s="6">
        <v>42089</v>
      </c>
      <c r="M228" s="27">
        <f>Table11[[#This Row],[Ship Date]]-Table11[[#This Row],[Order Date]]</f>
        <v>3</v>
      </c>
      <c r="N228" s="24" t="s">
        <v>169</v>
      </c>
      <c r="O228" s="24" t="s">
        <v>23</v>
      </c>
      <c r="P228" s="24" t="s">
        <v>342</v>
      </c>
      <c r="Q228" s="24" t="s">
        <v>26</v>
      </c>
      <c r="R228" s="24" t="s">
        <v>2271</v>
      </c>
      <c r="S228" s="34">
        <v>0</v>
      </c>
      <c r="T228" s="15">
        <v>31.56</v>
      </c>
      <c r="U228" s="18">
        <v>14.202</v>
      </c>
      <c r="V228" s="56">
        <f>Table11[[#This Row],[Profit]]/Table11[[#This Row],[Sales]]</f>
        <v>0.45</v>
      </c>
    </row>
    <row r="229" spans="1:22" x14ac:dyDescent="0.2">
      <c r="A229" s="4">
        <v>228</v>
      </c>
      <c r="B229" s="3" t="s">
        <v>6851</v>
      </c>
      <c r="C229" s="7">
        <v>42086</v>
      </c>
      <c r="D229" s="28">
        <f>MONTH(Table11[[#This Row],[Order Date]])</f>
        <v>3</v>
      </c>
      <c r="E229" s="3" t="s">
        <v>2404</v>
      </c>
      <c r="F229" s="3" t="s">
        <v>2405</v>
      </c>
      <c r="G229" s="25" t="s">
        <v>41</v>
      </c>
      <c r="H229" s="25" t="s">
        <v>53</v>
      </c>
      <c r="I229" s="3" t="s">
        <v>3654</v>
      </c>
      <c r="J229" s="25" t="s">
        <v>22</v>
      </c>
      <c r="K229" s="28">
        <v>4</v>
      </c>
      <c r="L229" s="7">
        <v>42089</v>
      </c>
      <c r="M229" s="28">
        <f>Table11[[#This Row],[Ship Date]]-Table11[[#This Row],[Order Date]]</f>
        <v>3</v>
      </c>
      <c r="N229" s="25" t="s">
        <v>169</v>
      </c>
      <c r="O229" s="25" t="s">
        <v>23</v>
      </c>
      <c r="P229" s="25" t="s">
        <v>342</v>
      </c>
      <c r="Q229" s="25" t="s">
        <v>26</v>
      </c>
      <c r="R229" s="25" t="s">
        <v>2271</v>
      </c>
      <c r="S229" s="35">
        <v>0</v>
      </c>
      <c r="T229" s="16">
        <v>27.92</v>
      </c>
      <c r="U229" s="19">
        <v>0.55840000000000001</v>
      </c>
      <c r="V229" s="56">
        <f>Table11[[#This Row],[Profit]]/Table11[[#This Row],[Sales]]</f>
        <v>0.02</v>
      </c>
    </row>
    <row r="230" spans="1:22" x14ac:dyDescent="0.2">
      <c r="A230" s="4">
        <v>229</v>
      </c>
      <c r="B230" s="5" t="s">
        <v>8978</v>
      </c>
      <c r="C230" s="6">
        <v>42086</v>
      </c>
      <c r="D230" s="27">
        <f>MONTH(Table11[[#This Row],[Order Date]])</f>
        <v>3</v>
      </c>
      <c r="E230" s="5" t="s">
        <v>4744</v>
      </c>
      <c r="F230" s="5" t="s">
        <v>4745</v>
      </c>
      <c r="G230" s="24" t="s">
        <v>41</v>
      </c>
      <c r="H230" s="24" t="s">
        <v>82</v>
      </c>
      <c r="I230" s="5" t="s">
        <v>1222</v>
      </c>
      <c r="J230" s="24" t="s">
        <v>36</v>
      </c>
      <c r="K230" s="27">
        <v>4</v>
      </c>
      <c r="L230" s="6">
        <v>42093</v>
      </c>
      <c r="M230" s="27">
        <f>Table11[[#This Row],[Ship Date]]-Table11[[#This Row],[Order Date]]</f>
        <v>7</v>
      </c>
      <c r="N230" s="24" t="s">
        <v>45</v>
      </c>
      <c r="O230" s="24" t="s">
        <v>23</v>
      </c>
      <c r="P230" s="24" t="s">
        <v>38</v>
      </c>
      <c r="Q230" s="24" t="s">
        <v>39</v>
      </c>
      <c r="R230" s="24" t="s">
        <v>37</v>
      </c>
      <c r="S230" s="34">
        <v>0</v>
      </c>
      <c r="T230" s="15">
        <v>33.36</v>
      </c>
      <c r="U230" s="18">
        <v>16.68</v>
      </c>
      <c r="V230" s="56">
        <f>Table11[[#This Row],[Profit]]/Table11[[#This Row],[Sales]]</f>
        <v>0.5</v>
      </c>
    </row>
    <row r="231" spans="1:22" x14ac:dyDescent="0.2">
      <c r="A231" s="2">
        <v>230</v>
      </c>
      <c r="B231" s="3" t="s">
        <v>9509</v>
      </c>
      <c r="C231" s="7">
        <v>42086</v>
      </c>
      <c r="D231" s="28">
        <f>MONTH(Table11[[#This Row],[Order Date]])</f>
        <v>3</v>
      </c>
      <c r="E231" s="3" t="s">
        <v>616</v>
      </c>
      <c r="F231" s="3" t="s">
        <v>4766</v>
      </c>
      <c r="G231" s="25" t="s">
        <v>41</v>
      </c>
      <c r="H231" s="25" t="s">
        <v>82</v>
      </c>
      <c r="I231" s="3" t="s">
        <v>668</v>
      </c>
      <c r="J231" s="25" t="s">
        <v>36</v>
      </c>
      <c r="K231" s="28">
        <v>11</v>
      </c>
      <c r="L231" s="7">
        <v>42088</v>
      </c>
      <c r="M231" s="28">
        <f>Table11[[#This Row],[Ship Date]]-Table11[[#This Row],[Order Date]]</f>
        <v>2</v>
      </c>
      <c r="N231" s="25" t="s">
        <v>169</v>
      </c>
      <c r="O231" s="25" t="s">
        <v>23</v>
      </c>
      <c r="P231" s="25" t="s">
        <v>38</v>
      </c>
      <c r="Q231" s="25" t="s">
        <v>39</v>
      </c>
      <c r="R231" s="25" t="s">
        <v>37</v>
      </c>
      <c r="S231" s="35">
        <v>0</v>
      </c>
      <c r="T231" s="16">
        <v>192.72</v>
      </c>
      <c r="U231" s="19">
        <v>92.505600000000001</v>
      </c>
      <c r="V231" s="56">
        <f>Table11[[#This Row],[Profit]]/Table11[[#This Row],[Sales]]</f>
        <v>0.48</v>
      </c>
    </row>
    <row r="232" spans="1:22" x14ac:dyDescent="0.2">
      <c r="A232" s="4">
        <v>231</v>
      </c>
      <c r="B232" s="5" t="s">
        <v>9509</v>
      </c>
      <c r="C232" s="6">
        <v>42086</v>
      </c>
      <c r="D232" s="27">
        <f>MONTH(Table11[[#This Row],[Order Date]])</f>
        <v>3</v>
      </c>
      <c r="E232" s="5" t="s">
        <v>3897</v>
      </c>
      <c r="F232" s="5" t="s">
        <v>3898</v>
      </c>
      <c r="G232" s="24" t="s">
        <v>64</v>
      </c>
      <c r="H232" s="24" t="s">
        <v>144</v>
      </c>
      <c r="I232" s="5" t="s">
        <v>668</v>
      </c>
      <c r="J232" s="24" t="s">
        <v>36</v>
      </c>
      <c r="K232" s="27">
        <v>3</v>
      </c>
      <c r="L232" s="6">
        <v>42088</v>
      </c>
      <c r="M232" s="27">
        <f>Table11[[#This Row],[Ship Date]]-Table11[[#This Row],[Order Date]]</f>
        <v>2</v>
      </c>
      <c r="N232" s="24" t="s">
        <v>169</v>
      </c>
      <c r="O232" s="24" t="s">
        <v>23</v>
      </c>
      <c r="P232" s="24" t="s">
        <v>38</v>
      </c>
      <c r="Q232" s="24" t="s">
        <v>39</v>
      </c>
      <c r="R232" s="24" t="s">
        <v>37</v>
      </c>
      <c r="S232" s="34">
        <v>0</v>
      </c>
      <c r="T232" s="15">
        <v>239.97</v>
      </c>
      <c r="U232" s="18">
        <v>86.389200000000002</v>
      </c>
      <c r="V232" s="56">
        <f>Table11[[#This Row],[Profit]]/Table11[[#This Row],[Sales]]</f>
        <v>0.36</v>
      </c>
    </row>
    <row r="233" spans="1:22" x14ac:dyDescent="0.2">
      <c r="A233" s="4">
        <v>232</v>
      </c>
      <c r="B233" s="3" t="s">
        <v>3709</v>
      </c>
      <c r="C233" s="7">
        <v>42087</v>
      </c>
      <c r="D233" s="28">
        <f>MONTH(Table11[[#This Row],[Order Date]])</f>
        <v>3</v>
      </c>
      <c r="E233" s="3" t="s">
        <v>3711</v>
      </c>
      <c r="F233" s="3" t="s">
        <v>3712</v>
      </c>
      <c r="G233" s="25" t="s">
        <v>28</v>
      </c>
      <c r="H233" s="25" t="s">
        <v>29</v>
      </c>
      <c r="I233" s="3" t="s">
        <v>3710</v>
      </c>
      <c r="J233" s="25" t="s">
        <v>92</v>
      </c>
      <c r="K233" s="28">
        <v>3</v>
      </c>
      <c r="L233" s="7">
        <v>42090</v>
      </c>
      <c r="M233" s="28">
        <f>Table11[[#This Row],[Ship Date]]-Table11[[#This Row],[Order Date]]</f>
        <v>3</v>
      </c>
      <c r="N233" s="25" t="s">
        <v>169</v>
      </c>
      <c r="O233" s="25" t="s">
        <v>23</v>
      </c>
      <c r="P233" s="25" t="s">
        <v>189</v>
      </c>
      <c r="Q233" s="25" t="s">
        <v>95</v>
      </c>
      <c r="R233" s="25" t="s">
        <v>1223</v>
      </c>
      <c r="S233" s="35">
        <v>0.3</v>
      </c>
      <c r="T233" s="16">
        <v>359.05799999999999</v>
      </c>
      <c r="U233" s="19">
        <v>-35.905799999999999</v>
      </c>
      <c r="V233" s="56">
        <f>Table11[[#This Row],[Profit]]/Table11[[#This Row],[Sales]]</f>
        <v>-0.1</v>
      </c>
    </row>
    <row r="234" spans="1:22" x14ac:dyDescent="0.2">
      <c r="A234" s="2">
        <v>233</v>
      </c>
      <c r="B234" s="5" t="s">
        <v>5030</v>
      </c>
      <c r="C234" s="6">
        <v>42087</v>
      </c>
      <c r="D234" s="27">
        <f>MONTH(Table11[[#This Row],[Order Date]])</f>
        <v>3</v>
      </c>
      <c r="E234" s="5" t="s">
        <v>4699</v>
      </c>
      <c r="F234" s="5" t="s">
        <v>4700</v>
      </c>
      <c r="G234" s="24" t="s">
        <v>41</v>
      </c>
      <c r="H234" s="24" t="s">
        <v>71</v>
      </c>
      <c r="I234" s="5" t="s">
        <v>1001</v>
      </c>
      <c r="J234" s="24" t="s">
        <v>36</v>
      </c>
      <c r="K234" s="27">
        <v>2</v>
      </c>
      <c r="L234" s="6">
        <v>42093</v>
      </c>
      <c r="M234" s="27">
        <f>Table11[[#This Row],[Ship Date]]-Table11[[#This Row],[Order Date]]</f>
        <v>6</v>
      </c>
      <c r="N234" s="24" t="s">
        <v>45</v>
      </c>
      <c r="O234" s="24" t="s">
        <v>23</v>
      </c>
      <c r="P234" s="24" t="s">
        <v>48</v>
      </c>
      <c r="Q234" s="24" t="s">
        <v>26</v>
      </c>
      <c r="R234" s="24" t="s">
        <v>3006</v>
      </c>
      <c r="S234" s="34">
        <v>0.2</v>
      </c>
      <c r="T234" s="15">
        <v>6.992</v>
      </c>
      <c r="U234" s="18">
        <v>0.52439999999999998</v>
      </c>
      <c r="V234" s="56">
        <f>Table11[[#This Row],[Profit]]/Table11[[#This Row],[Sales]]</f>
        <v>7.4999999999999997E-2</v>
      </c>
    </row>
    <row r="235" spans="1:22" x14ac:dyDescent="0.2">
      <c r="A235" s="4">
        <v>234</v>
      </c>
      <c r="B235" s="3" t="s">
        <v>8702</v>
      </c>
      <c r="C235" s="7">
        <v>42087</v>
      </c>
      <c r="D235" s="28">
        <f>MONTH(Table11[[#This Row],[Order Date]])</f>
        <v>3</v>
      </c>
      <c r="E235" s="3" t="s">
        <v>5371</v>
      </c>
      <c r="F235" s="3" t="s">
        <v>5372</v>
      </c>
      <c r="G235" s="25" t="s">
        <v>28</v>
      </c>
      <c r="H235" s="25" t="s">
        <v>58</v>
      </c>
      <c r="I235" s="3" t="s">
        <v>3237</v>
      </c>
      <c r="J235" s="25" t="s">
        <v>36</v>
      </c>
      <c r="K235" s="28">
        <v>5</v>
      </c>
      <c r="L235" s="7">
        <v>42090</v>
      </c>
      <c r="M235" s="28">
        <f>Table11[[#This Row],[Ship Date]]-Table11[[#This Row],[Order Date]]</f>
        <v>3</v>
      </c>
      <c r="N235" s="25" t="s">
        <v>20</v>
      </c>
      <c r="O235" s="25" t="s">
        <v>23</v>
      </c>
      <c r="P235" s="25" t="s">
        <v>87</v>
      </c>
      <c r="Q235" s="25" t="s">
        <v>39</v>
      </c>
      <c r="R235" s="25" t="s">
        <v>6440</v>
      </c>
      <c r="S235" s="35">
        <v>0</v>
      </c>
      <c r="T235" s="16">
        <v>46.9</v>
      </c>
      <c r="U235" s="19">
        <v>13.132</v>
      </c>
      <c r="V235" s="56">
        <f>Table11[[#This Row],[Profit]]/Table11[[#This Row],[Sales]]</f>
        <v>0.28000000000000003</v>
      </c>
    </row>
    <row r="236" spans="1:22" x14ac:dyDescent="0.2">
      <c r="A236" s="4">
        <v>235</v>
      </c>
      <c r="B236" s="5" t="s">
        <v>3591</v>
      </c>
      <c r="C236" s="6">
        <v>42089</v>
      </c>
      <c r="D236" s="27">
        <f>MONTH(Table11[[#This Row],[Order Date]])</f>
        <v>3</v>
      </c>
      <c r="E236" s="5" t="s">
        <v>3592</v>
      </c>
      <c r="F236" s="5" t="s">
        <v>3593</v>
      </c>
      <c r="G236" s="24" t="s">
        <v>41</v>
      </c>
      <c r="H236" s="24" t="s">
        <v>82</v>
      </c>
      <c r="I236" s="5" t="s">
        <v>2146</v>
      </c>
      <c r="J236" s="24" t="s">
        <v>36</v>
      </c>
      <c r="K236" s="27">
        <v>3</v>
      </c>
      <c r="L236" s="6">
        <v>42094</v>
      </c>
      <c r="M236" s="27">
        <f>Table11[[#This Row],[Ship Date]]-Table11[[#This Row],[Order Date]]</f>
        <v>5</v>
      </c>
      <c r="N236" s="24" t="s">
        <v>45</v>
      </c>
      <c r="O236" s="24" t="s">
        <v>23</v>
      </c>
      <c r="P236" s="24" t="s">
        <v>48</v>
      </c>
      <c r="Q236" s="24" t="s">
        <v>26</v>
      </c>
      <c r="R236" s="24" t="s">
        <v>1253</v>
      </c>
      <c r="S236" s="34">
        <v>0.2</v>
      </c>
      <c r="T236" s="15">
        <v>74.352000000000004</v>
      </c>
      <c r="U236" s="18">
        <v>23.234999999999999</v>
      </c>
      <c r="V236" s="56">
        <f>Table11[[#This Row],[Profit]]/Table11[[#This Row],[Sales]]</f>
        <v>0.3125</v>
      </c>
    </row>
    <row r="237" spans="1:22" x14ac:dyDescent="0.2">
      <c r="A237" s="2">
        <v>236</v>
      </c>
      <c r="B237" s="3" t="s">
        <v>7243</v>
      </c>
      <c r="C237" s="7">
        <v>42089</v>
      </c>
      <c r="D237" s="28">
        <f>MONTH(Table11[[#This Row],[Order Date]])</f>
        <v>3</v>
      </c>
      <c r="E237" s="3" t="s">
        <v>558</v>
      </c>
      <c r="F237" s="3" t="s">
        <v>559</v>
      </c>
      <c r="G237" s="25" t="s">
        <v>41</v>
      </c>
      <c r="H237" s="25" t="s">
        <v>82</v>
      </c>
      <c r="I237" s="3" t="s">
        <v>3160</v>
      </c>
      <c r="J237" s="25" t="s">
        <v>22</v>
      </c>
      <c r="K237" s="28">
        <v>6</v>
      </c>
      <c r="L237" s="7">
        <v>42093</v>
      </c>
      <c r="M237" s="28">
        <f>Table11[[#This Row],[Ship Date]]-Table11[[#This Row],[Order Date]]</f>
        <v>4</v>
      </c>
      <c r="N237" s="25" t="s">
        <v>20</v>
      </c>
      <c r="O237" s="25" t="s">
        <v>23</v>
      </c>
      <c r="P237" s="25" t="s">
        <v>132</v>
      </c>
      <c r="Q237" s="25" t="s">
        <v>133</v>
      </c>
      <c r="R237" s="25" t="s">
        <v>131</v>
      </c>
      <c r="S237" s="35">
        <v>0.2</v>
      </c>
      <c r="T237" s="16">
        <v>40.031999999999996</v>
      </c>
      <c r="U237" s="19">
        <v>12.51</v>
      </c>
      <c r="V237" s="56">
        <f>Table11[[#This Row],[Profit]]/Table11[[#This Row],[Sales]]</f>
        <v>0.3125</v>
      </c>
    </row>
    <row r="238" spans="1:22" x14ac:dyDescent="0.2">
      <c r="A238" s="4">
        <v>237</v>
      </c>
      <c r="B238" s="5" t="s">
        <v>7243</v>
      </c>
      <c r="C238" s="6">
        <v>42089</v>
      </c>
      <c r="D238" s="27">
        <f>MONTH(Table11[[#This Row],[Order Date]])</f>
        <v>3</v>
      </c>
      <c r="E238" s="5" t="s">
        <v>261</v>
      </c>
      <c r="F238" s="5" t="s">
        <v>262</v>
      </c>
      <c r="G238" s="24" t="s">
        <v>64</v>
      </c>
      <c r="H238" s="24" t="s">
        <v>144</v>
      </c>
      <c r="I238" s="5" t="s">
        <v>3160</v>
      </c>
      <c r="J238" s="24" t="s">
        <v>22</v>
      </c>
      <c r="K238" s="27">
        <v>3</v>
      </c>
      <c r="L238" s="6">
        <v>42093</v>
      </c>
      <c r="M238" s="27">
        <f>Table11[[#This Row],[Ship Date]]-Table11[[#This Row],[Order Date]]</f>
        <v>4</v>
      </c>
      <c r="N238" s="24" t="s">
        <v>20</v>
      </c>
      <c r="O238" s="24" t="s">
        <v>23</v>
      </c>
      <c r="P238" s="24" t="s">
        <v>132</v>
      </c>
      <c r="Q238" s="24" t="s">
        <v>133</v>
      </c>
      <c r="R238" s="24" t="s">
        <v>131</v>
      </c>
      <c r="S238" s="34">
        <v>0.2</v>
      </c>
      <c r="T238" s="15">
        <v>16.776</v>
      </c>
      <c r="U238" s="18">
        <v>5.0327999999999999</v>
      </c>
      <c r="V238" s="56">
        <f>Table11[[#This Row],[Profit]]/Table11[[#This Row],[Sales]]</f>
        <v>0.3</v>
      </c>
    </row>
    <row r="239" spans="1:22" x14ac:dyDescent="0.2">
      <c r="A239" s="4">
        <v>238</v>
      </c>
      <c r="B239" s="3" t="s">
        <v>10076</v>
      </c>
      <c r="C239" s="7">
        <v>42089</v>
      </c>
      <c r="D239" s="28">
        <f>MONTH(Table11[[#This Row],[Order Date]])</f>
        <v>3</v>
      </c>
      <c r="E239" s="3" t="s">
        <v>1418</v>
      </c>
      <c r="F239" s="3" t="s">
        <v>1419</v>
      </c>
      <c r="G239" s="25" t="s">
        <v>28</v>
      </c>
      <c r="H239" s="25" t="s">
        <v>50</v>
      </c>
      <c r="I239" s="3" t="s">
        <v>1700</v>
      </c>
      <c r="J239" s="25" t="s">
        <v>36</v>
      </c>
      <c r="K239" s="28">
        <v>8</v>
      </c>
      <c r="L239" s="7">
        <v>42093</v>
      </c>
      <c r="M239" s="28">
        <f>Table11[[#This Row],[Ship Date]]-Table11[[#This Row],[Order Date]]</f>
        <v>4</v>
      </c>
      <c r="N239" s="25" t="s">
        <v>45</v>
      </c>
      <c r="O239" s="25" t="s">
        <v>23</v>
      </c>
      <c r="P239" s="25" t="s">
        <v>87</v>
      </c>
      <c r="Q239" s="25" t="s">
        <v>39</v>
      </c>
      <c r="R239" s="25" t="s">
        <v>86</v>
      </c>
      <c r="S239" s="35">
        <v>0</v>
      </c>
      <c r="T239" s="16">
        <v>3393.68</v>
      </c>
      <c r="U239" s="19">
        <v>610.86239999999998</v>
      </c>
      <c r="V239" s="56">
        <f>Table11[[#This Row],[Profit]]/Table11[[#This Row],[Sales]]</f>
        <v>0.18</v>
      </c>
    </row>
    <row r="240" spans="1:22" x14ac:dyDescent="0.2">
      <c r="A240" s="2">
        <v>239</v>
      </c>
      <c r="B240" s="5" t="s">
        <v>10078</v>
      </c>
      <c r="C240" s="6">
        <v>42089</v>
      </c>
      <c r="D240" s="27">
        <f>MONTH(Table11[[#This Row],[Order Date]])</f>
        <v>3</v>
      </c>
      <c r="E240" s="5" t="s">
        <v>5430</v>
      </c>
      <c r="F240" s="5" t="s">
        <v>5431</v>
      </c>
      <c r="G240" s="24" t="s">
        <v>41</v>
      </c>
      <c r="H240" s="24" t="s">
        <v>53</v>
      </c>
      <c r="I240" s="5" t="s">
        <v>3108</v>
      </c>
      <c r="J240" s="24" t="s">
        <v>36</v>
      </c>
      <c r="K240" s="27">
        <v>7</v>
      </c>
      <c r="L240" s="6">
        <v>42091</v>
      </c>
      <c r="M240" s="27">
        <f>Table11[[#This Row],[Ship Date]]-Table11[[#This Row],[Order Date]]</f>
        <v>2</v>
      </c>
      <c r="N240" s="24" t="s">
        <v>20</v>
      </c>
      <c r="O240" s="24" t="s">
        <v>23</v>
      </c>
      <c r="P240" s="24" t="s">
        <v>238</v>
      </c>
      <c r="Q240" s="24" t="s">
        <v>133</v>
      </c>
      <c r="R240" s="24" t="s">
        <v>237</v>
      </c>
      <c r="S240" s="34">
        <v>0</v>
      </c>
      <c r="T240" s="15">
        <v>1085.42</v>
      </c>
      <c r="U240" s="18">
        <v>282.20920000000001</v>
      </c>
      <c r="V240" s="56">
        <f>Table11[[#This Row],[Profit]]/Table11[[#This Row],[Sales]]</f>
        <v>0.26</v>
      </c>
    </row>
    <row r="241" spans="1:22" x14ac:dyDescent="0.2">
      <c r="A241" s="4">
        <v>240</v>
      </c>
      <c r="B241" s="3" t="s">
        <v>10078</v>
      </c>
      <c r="C241" s="7">
        <v>42089</v>
      </c>
      <c r="D241" s="28">
        <f>MONTH(Table11[[#This Row],[Order Date]])</f>
        <v>3</v>
      </c>
      <c r="E241" s="3" t="s">
        <v>5811</v>
      </c>
      <c r="F241" s="3" t="s">
        <v>5812</v>
      </c>
      <c r="G241" s="25" t="s">
        <v>41</v>
      </c>
      <c r="H241" s="25" t="s">
        <v>71</v>
      </c>
      <c r="I241" s="3" t="s">
        <v>3108</v>
      </c>
      <c r="J241" s="25" t="s">
        <v>36</v>
      </c>
      <c r="K241" s="28">
        <v>3</v>
      </c>
      <c r="L241" s="7">
        <v>42091</v>
      </c>
      <c r="M241" s="28">
        <f>Table11[[#This Row],[Ship Date]]-Table11[[#This Row],[Order Date]]</f>
        <v>2</v>
      </c>
      <c r="N241" s="25" t="s">
        <v>20</v>
      </c>
      <c r="O241" s="25" t="s">
        <v>23</v>
      </c>
      <c r="P241" s="25" t="s">
        <v>238</v>
      </c>
      <c r="Q241" s="25" t="s">
        <v>133</v>
      </c>
      <c r="R241" s="25" t="s">
        <v>237</v>
      </c>
      <c r="S241" s="35">
        <v>0</v>
      </c>
      <c r="T241" s="16">
        <v>13.11</v>
      </c>
      <c r="U241" s="19">
        <v>3.4085999999999999</v>
      </c>
      <c r="V241" s="56">
        <f>Table11[[#This Row],[Profit]]/Table11[[#This Row],[Sales]]</f>
        <v>0.26</v>
      </c>
    </row>
    <row r="242" spans="1:22" x14ac:dyDescent="0.2">
      <c r="A242" s="4">
        <v>241</v>
      </c>
      <c r="B242" s="5" t="s">
        <v>7755</v>
      </c>
      <c r="C242" s="6">
        <v>42090</v>
      </c>
      <c r="D242" s="27">
        <f>MONTH(Table11[[#This Row],[Order Date]])</f>
        <v>3</v>
      </c>
      <c r="E242" s="5" t="s">
        <v>7756</v>
      </c>
      <c r="F242" s="5" t="s">
        <v>7757</v>
      </c>
      <c r="G242" s="24" t="s">
        <v>41</v>
      </c>
      <c r="H242" s="24" t="s">
        <v>53</v>
      </c>
      <c r="I242" s="5" t="s">
        <v>4656</v>
      </c>
      <c r="J242" s="24" t="s">
        <v>22</v>
      </c>
      <c r="K242" s="27">
        <v>5</v>
      </c>
      <c r="L242" s="6">
        <v>42097</v>
      </c>
      <c r="M242" s="27">
        <f>Table11[[#This Row],[Ship Date]]-Table11[[#This Row],[Order Date]]</f>
        <v>7</v>
      </c>
      <c r="N242" s="24" t="s">
        <v>45</v>
      </c>
      <c r="O242" s="24" t="s">
        <v>23</v>
      </c>
      <c r="P242" s="24" t="s">
        <v>87</v>
      </c>
      <c r="Q242" s="24" t="s">
        <v>39</v>
      </c>
      <c r="R242" s="24" t="s">
        <v>86</v>
      </c>
      <c r="S242" s="34">
        <v>0</v>
      </c>
      <c r="T242" s="15">
        <v>83.7</v>
      </c>
      <c r="U242" s="18">
        <v>3.3479999999999999</v>
      </c>
      <c r="V242" s="56">
        <f>Table11[[#This Row],[Profit]]/Table11[[#This Row],[Sales]]</f>
        <v>3.9999999999999994E-2</v>
      </c>
    </row>
    <row r="243" spans="1:22" x14ac:dyDescent="0.2">
      <c r="A243" s="2">
        <v>242</v>
      </c>
      <c r="B243" s="3" t="s">
        <v>1975</v>
      </c>
      <c r="C243" s="7">
        <v>42091</v>
      </c>
      <c r="D243" s="28">
        <f>MONTH(Table11[[#This Row],[Order Date]])</f>
        <v>3</v>
      </c>
      <c r="E243" s="3" t="s">
        <v>1977</v>
      </c>
      <c r="F243" s="3" t="s">
        <v>1978</v>
      </c>
      <c r="G243" s="25" t="s">
        <v>64</v>
      </c>
      <c r="H243" s="25" t="s">
        <v>144</v>
      </c>
      <c r="I243" s="3" t="s">
        <v>1976</v>
      </c>
      <c r="J243" s="25" t="s">
        <v>22</v>
      </c>
      <c r="K243" s="28">
        <v>1</v>
      </c>
      <c r="L243" s="7">
        <v>42096</v>
      </c>
      <c r="M243" s="28">
        <f>Table11[[#This Row],[Ship Date]]-Table11[[#This Row],[Order Date]]</f>
        <v>5</v>
      </c>
      <c r="N243" s="25" t="s">
        <v>45</v>
      </c>
      <c r="O243" s="25" t="s">
        <v>23</v>
      </c>
      <c r="P243" s="25" t="s">
        <v>38</v>
      </c>
      <c r="Q243" s="25" t="s">
        <v>39</v>
      </c>
      <c r="R243" s="25" t="s">
        <v>37</v>
      </c>
      <c r="S243" s="35">
        <v>0</v>
      </c>
      <c r="T243" s="16">
        <v>166.24</v>
      </c>
      <c r="U243" s="19">
        <v>24.936</v>
      </c>
      <c r="V243" s="56">
        <f>Table11[[#This Row],[Profit]]/Table11[[#This Row],[Sales]]</f>
        <v>0.15</v>
      </c>
    </row>
    <row r="244" spans="1:22" x14ac:dyDescent="0.2">
      <c r="A244" s="4">
        <v>243</v>
      </c>
      <c r="B244" s="5" t="s">
        <v>1975</v>
      </c>
      <c r="C244" s="6">
        <v>42091</v>
      </c>
      <c r="D244" s="27">
        <f>MONTH(Table11[[#This Row],[Order Date]])</f>
        <v>3</v>
      </c>
      <c r="E244" s="5" t="s">
        <v>1979</v>
      </c>
      <c r="F244" s="5" t="s">
        <v>1980</v>
      </c>
      <c r="G244" s="24" t="s">
        <v>41</v>
      </c>
      <c r="H244" s="24" t="s">
        <v>82</v>
      </c>
      <c r="I244" s="5" t="s">
        <v>1976</v>
      </c>
      <c r="J244" s="24" t="s">
        <v>22</v>
      </c>
      <c r="K244" s="27">
        <v>5</v>
      </c>
      <c r="L244" s="6">
        <v>42096</v>
      </c>
      <c r="M244" s="27">
        <f>Table11[[#This Row],[Ship Date]]-Table11[[#This Row],[Order Date]]</f>
        <v>5</v>
      </c>
      <c r="N244" s="24" t="s">
        <v>45</v>
      </c>
      <c r="O244" s="24" t="s">
        <v>23</v>
      </c>
      <c r="P244" s="24" t="s">
        <v>38</v>
      </c>
      <c r="Q244" s="24" t="s">
        <v>39</v>
      </c>
      <c r="R244" s="24" t="s">
        <v>37</v>
      </c>
      <c r="S244" s="34">
        <v>0</v>
      </c>
      <c r="T244" s="15">
        <v>33.4</v>
      </c>
      <c r="U244" s="18">
        <v>16.032</v>
      </c>
      <c r="V244" s="56">
        <f>Table11[[#This Row],[Profit]]/Table11[[#This Row],[Sales]]</f>
        <v>0.48000000000000004</v>
      </c>
    </row>
    <row r="245" spans="1:22" x14ac:dyDescent="0.2">
      <c r="A245" s="4">
        <v>244</v>
      </c>
      <c r="B245" s="3" t="s">
        <v>4560</v>
      </c>
      <c r="C245" s="7">
        <v>42091</v>
      </c>
      <c r="D245" s="28">
        <f>MONTH(Table11[[#This Row],[Order Date]])</f>
        <v>3</v>
      </c>
      <c r="E245" s="3" t="s">
        <v>365</v>
      </c>
      <c r="F245" s="3" t="s">
        <v>366</v>
      </c>
      <c r="G245" s="25" t="s">
        <v>41</v>
      </c>
      <c r="H245" s="25" t="s">
        <v>82</v>
      </c>
      <c r="I245" s="3" t="s">
        <v>1767</v>
      </c>
      <c r="J245" s="25" t="s">
        <v>22</v>
      </c>
      <c r="K245" s="28">
        <v>3</v>
      </c>
      <c r="L245" s="7">
        <v>42096</v>
      </c>
      <c r="M245" s="28">
        <f>Table11[[#This Row],[Ship Date]]-Table11[[#This Row],[Order Date]]</f>
        <v>5</v>
      </c>
      <c r="N245" s="25" t="s">
        <v>45</v>
      </c>
      <c r="O245" s="25" t="s">
        <v>23</v>
      </c>
      <c r="P245" s="25" t="s">
        <v>132</v>
      </c>
      <c r="Q245" s="25" t="s">
        <v>133</v>
      </c>
      <c r="R245" s="25" t="s">
        <v>131</v>
      </c>
      <c r="S245" s="35">
        <v>0.2</v>
      </c>
      <c r="T245" s="16">
        <v>15.552</v>
      </c>
      <c r="U245" s="19">
        <v>5.4432</v>
      </c>
      <c r="V245" s="56">
        <f>Table11[[#This Row],[Profit]]/Table11[[#This Row],[Sales]]</f>
        <v>0.35000000000000003</v>
      </c>
    </row>
    <row r="246" spans="1:22" x14ac:dyDescent="0.2">
      <c r="A246" s="2">
        <v>245</v>
      </c>
      <c r="B246" s="5" t="s">
        <v>4560</v>
      </c>
      <c r="C246" s="6">
        <v>42091</v>
      </c>
      <c r="D246" s="27">
        <f>MONTH(Table11[[#This Row],[Order Date]])</f>
        <v>3</v>
      </c>
      <c r="E246" s="5" t="s">
        <v>4338</v>
      </c>
      <c r="F246" s="5" t="s">
        <v>4339</v>
      </c>
      <c r="G246" s="24" t="s">
        <v>41</v>
      </c>
      <c r="H246" s="24" t="s">
        <v>82</v>
      </c>
      <c r="I246" s="5" t="s">
        <v>1767</v>
      </c>
      <c r="J246" s="24" t="s">
        <v>22</v>
      </c>
      <c r="K246" s="27">
        <v>1</v>
      </c>
      <c r="L246" s="6">
        <v>42096</v>
      </c>
      <c r="M246" s="27">
        <f>Table11[[#This Row],[Ship Date]]-Table11[[#This Row],[Order Date]]</f>
        <v>5</v>
      </c>
      <c r="N246" s="24" t="s">
        <v>45</v>
      </c>
      <c r="O246" s="24" t="s">
        <v>23</v>
      </c>
      <c r="P246" s="24" t="s">
        <v>132</v>
      </c>
      <c r="Q246" s="24" t="s">
        <v>133</v>
      </c>
      <c r="R246" s="24" t="s">
        <v>131</v>
      </c>
      <c r="S246" s="34">
        <v>0.2</v>
      </c>
      <c r="T246" s="15">
        <v>5.2320000000000002</v>
      </c>
      <c r="U246" s="18">
        <v>1.7003999999999999</v>
      </c>
      <c r="V246" s="56">
        <f>Table11[[#This Row],[Profit]]/Table11[[#This Row],[Sales]]</f>
        <v>0.32499999999999996</v>
      </c>
    </row>
    <row r="247" spans="1:22" x14ac:dyDescent="0.2">
      <c r="A247" s="4">
        <v>246</v>
      </c>
      <c r="B247" s="3" t="s">
        <v>8014</v>
      </c>
      <c r="C247" s="7">
        <v>42091</v>
      </c>
      <c r="D247" s="28">
        <f>MONTH(Table11[[#This Row],[Order Date]])</f>
        <v>3</v>
      </c>
      <c r="E247" s="3" t="s">
        <v>2268</v>
      </c>
      <c r="F247" s="3" t="s">
        <v>2269</v>
      </c>
      <c r="G247" s="25" t="s">
        <v>41</v>
      </c>
      <c r="H247" s="25" t="s">
        <v>155</v>
      </c>
      <c r="I247" s="3" t="s">
        <v>4530</v>
      </c>
      <c r="J247" s="25" t="s">
        <v>22</v>
      </c>
      <c r="K247" s="28">
        <v>3</v>
      </c>
      <c r="L247" s="7">
        <v>42093</v>
      </c>
      <c r="M247" s="28">
        <f>Table11[[#This Row],[Ship Date]]-Table11[[#This Row],[Order Date]]</f>
        <v>2</v>
      </c>
      <c r="N247" s="25" t="s">
        <v>20</v>
      </c>
      <c r="O247" s="25" t="s">
        <v>23</v>
      </c>
      <c r="P247" s="25" t="s">
        <v>238</v>
      </c>
      <c r="Q247" s="25" t="s">
        <v>133</v>
      </c>
      <c r="R247" s="25" t="s">
        <v>237</v>
      </c>
      <c r="S247" s="35">
        <v>0</v>
      </c>
      <c r="T247" s="16">
        <v>22.92</v>
      </c>
      <c r="U247" s="19">
        <v>11.2308</v>
      </c>
      <c r="V247" s="56">
        <f>Table11[[#This Row],[Profit]]/Table11[[#This Row],[Sales]]</f>
        <v>0.49</v>
      </c>
    </row>
    <row r="248" spans="1:22" x14ac:dyDescent="0.2">
      <c r="A248" s="4">
        <v>247</v>
      </c>
      <c r="B248" s="5" t="s">
        <v>2613</v>
      </c>
      <c r="C248" s="6">
        <v>42092</v>
      </c>
      <c r="D248" s="27">
        <f>MONTH(Table11[[#This Row],[Order Date]])</f>
        <v>3</v>
      </c>
      <c r="E248" s="5" t="s">
        <v>1005</v>
      </c>
      <c r="F248" s="5" t="s">
        <v>1006</v>
      </c>
      <c r="G248" s="24" t="s">
        <v>28</v>
      </c>
      <c r="H248" s="24" t="s">
        <v>32</v>
      </c>
      <c r="I248" s="5" t="s">
        <v>2614</v>
      </c>
      <c r="J248" s="24" t="s">
        <v>92</v>
      </c>
      <c r="K248" s="27">
        <v>5</v>
      </c>
      <c r="L248" s="6">
        <v>42094</v>
      </c>
      <c r="M248" s="27">
        <f>Table11[[#This Row],[Ship Date]]-Table11[[#This Row],[Order Date]]</f>
        <v>2</v>
      </c>
      <c r="N248" s="24" t="s">
        <v>20</v>
      </c>
      <c r="O248" s="24" t="s">
        <v>23</v>
      </c>
      <c r="P248" s="24" t="s">
        <v>48</v>
      </c>
      <c r="Q248" s="24" t="s">
        <v>26</v>
      </c>
      <c r="R248" s="24" t="s">
        <v>1345</v>
      </c>
      <c r="S248" s="34">
        <v>0.2</v>
      </c>
      <c r="T248" s="15">
        <v>1166.92</v>
      </c>
      <c r="U248" s="18">
        <v>131.27850000000001</v>
      </c>
      <c r="V248" s="56">
        <f>Table11[[#This Row],[Profit]]/Table11[[#This Row],[Sales]]</f>
        <v>0.1125</v>
      </c>
    </row>
    <row r="249" spans="1:22" x14ac:dyDescent="0.2">
      <c r="A249" s="2">
        <v>248</v>
      </c>
      <c r="B249" s="3" t="s">
        <v>6507</v>
      </c>
      <c r="C249" s="7">
        <v>42092</v>
      </c>
      <c r="D249" s="28">
        <f>MONTH(Table11[[#This Row],[Order Date]])</f>
        <v>3</v>
      </c>
      <c r="E249" s="3" t="s">
        <v>6021</v>
      </c>
      <c r="F249" s="3" t="s">
        <v>6022</v>
      </c>
      <c r="G249" s="25" t="s">
        <v>41</v>
      </c>
      <c r="H249" s="25" t="s">
        <v>71</v>
      </c>
      <c r="I249" s="3" t="s">
        <v>1194</v>
      </c>
      <c r="J249" s="25" t="s">
        <v>22</v>
      </c>
      <c r="K249" s="28">
        <v>4</v>
      </c>
      <c r="L249" s="7">
        <v>42098</v>
      </c>
      <c r="M249" s="28">
        <f>Table11[[#This Row],[Ship Date]]-Table11[[#This Row],[Order Date]]</f>
        <v>6</v>
      </c>
      <c r="N249" s="25" t="s">
        <v>45</v>
      </c>
      <c r="O249" s="25" t="s">
        <v>23</v>
      </c>
      <c r="P249" s="25" t="s">
        <v>87</v>
      </c>
      <c r="Q249" s="25" t="s">
        <v>39</v>
      </c>
      <c r="R249" s="25" t="s">
        <v>86</v>
      </c>
      <c r="S249" s="35">
        <v>0</v>
      </c>
      <c r="T249" s="16">
        <v>73.28</v>
      </c>
      <c r="U249" s="19">
        <v>21.251200000000001</v>
      </c>
      <c r="V249" s="56">
        <f>Table11[[#This Row],[Profit]]/Table11[[#This Row],[Sales]]</f>
        <v>0.28999999999999998</v>
      </c>
    </row>
    <row r="250" spans="1:22" x14ac:dyDescent="0.2">
      <c r="A250" s="4">
        <v>249</v>
      </c>
      <c r="B250" s="5" t="s">
        <v>6985</v>
      </c>
      <c r="C250" s="6">
        <v>42092</v>
      </c>
      <c r="D250" s="27">
        <f>MONTH(Table11[[#This Row],[Order Date]])</f>
        <v>3</v>
      </c>
      <c r="E250" s="5" t="s">
        <v>504</v>
      </c>
      <c r="F250" s="5" t="s">
        <v>505</v>
      </c>
      <c r="G250" s="24" t="s">
        <v>41</v>
      </c>
      <c r="H250" s="24" t="s">
        <v>82</v>
      </c>
      <c r="I250" s="5" t="s">
        <v>4508</v>
      </c>
      <c r="J250" s="24" t="s">
        <v>22</v>
      </c>
      <c r="K250" s="27">
        <v>6</v>
      </c>
      <c r="L250" s="6">
        <v>42094</v>
      </c>
      <c r="M250" s="27">
        <f>Table11[[#This Row],[Ship Date]]-Table11[[#This Row],[Order Date]]</f>
        <v>2</v>
      </c>
      <c r="N250" s="24" t="s">
        <v>20</v>
      </c>
      <c r="O250" s="24" t="s">
        <v>23</v>
      </c>
      <c r="P250" s="24" t="s">
        <v>38</v>
      </c>
      <c r="Q250" s="24" t="s">
        <v>39</v>
      </c>
      <c r="R250" s="24" t="s">
        <v>836</v>
      </c>
      <c r="S250" s="34">
        <v>0</v>
      </c>
      <c r="T250" s="15">
        <v>212.64</v>
      </c>
      <c r="U250" s="18">
        <v>99.940799999999996</v>
      </c>
      <c r="V250" s="56">
        <f>Table11[[#This Row],[Profit]]/Table11[[#This Row],[Sales]]</f>
        <v>0.47000000000000003</v>
      </c>
    </row>
    <row r="251" spans="1:22" x14ac:dyDescent="0.2">
      <c r="A251" s="4">
        <v>250</v>
      </c>
      <c r="B251" s="3" t="s">
        <v>6985</v>
      </c>
      <c r="C251" s="7">
        <v>42092</v>
      </c>
      <c r="D251" s="28">
        <f>MONTH(Table11[[#This Row],[Order Date]])</f>
        <v>3</v>
      </c>
      <c r="E251" s="3" t="s">
        <v>3979</v>
      </c>
      <c r="F251" s="3" t="s">
        <v>3980</v>
      </c>
      <c r="G251" s="25" t="s">
        <v>41</v>
      </c>
      <c r="H251" s="25" t="s">
        <v>82</v>
      </c>
      <c r="I251" s="3" t="s">
        <v>4508</v>
      </c>
      <c r="J251" s="25" t="s">
        <v>22</v>
      </c>
      <c r="K251" s="28">
        <v>3</v>
      </c>
      <c r="L251" s="7">
        <v>42094</v>
      </c>
      <c r="M251" s="28">
        <f>Table11[[#This Row],[Ship Date]]-Table11[[#This Row],[Order Date]]</f>
        <v>2</v>
      </c>
      <c r="N251" s="25" t="s">
        <v>20</v>
      </c>
      <c r="O251" s="25" t="s">
        <v>23</v>
      </c>
      <c r="P251" s="25" t="s">
        <v>38</v>
      </c>
      <c r="Q251" s="25" t="s">
        <v>39</v>
      </c>
      <c r="R251" s="25" t="s">
        <v>836</v>
      </c>
      <c r="S251" s="35">
        <v>0</v>
      </c>
      <c r="T251" s="16">
        <v>9.8699999999999992</v>
      </c>
      <c r="U251" s="19">
        <v>4.5401999999999996</v>
      </c>
      <c r="V251" s="56">
        <f>Table11[[#This Row],[Profit]]/Table11[[#This Row],[Sales]]</f>
        <v>0.46</v>
      </c>
    </row>
    <row r="252" spans="1:22" x14ac:dyDescent="0.2">
      <c r="A252" s="2">
        <v>251</v>
      </c>
      <c r="B252" s="5" t="s">
        <v>6985</v>
      </c>
      <c r="C252" s="6">
        <v>42092</v>
      </c>
      <c r="D252" s="27">
        <f>MONTH(Table11[[#This Row],[Order Date]])</f>
        <v>3</v>
      </c>
      <c r="E252" s="5" t="s">
        <v>3214</v>
      </c>
      <c r="F252" s="5" t="s">
        <v>3215</v>
      </c>
      <c r="G252" s="24" t="s">
        <v>64</v>
      </c>
      <c r="H252" s="24" t="s">
        <v>144</v>
      </c>
      <c r="I252" s="5" t="s">
        <v>4508</v>
      </c>
      <c r="J252" s="24" t="s">
        <v>22</v>
      </c>
      <c r="K252" s="27">
        <v>3</v>
      </c>
      <c r="L252" s="6">
        <v>42094</v>
      </c>
      <c r="M252" s="27">
        <f>Table11[[#This Row],[Ship Date]]-Table11[[#This Row],[Order Date]]</f>
        <v>2</v>
      </c>
      <c r="N252" s="24" t="s">
        <v>20</v>
      </c>
      <c r="O252" s="24" t="s">
        <v>23</v>
      </c>
      <c r="P252" s="24" t="s">
        <v>38</v>
      </c>
      <c r="Q252" s="24" t="s">
        <v>39</v>
      </c>
      <c r="R252" s="24" t="s">
        <v>836</v>
      </c>
      <c r="S252" s="34">
        <v>0</v>
      </c>
      <c r="T252" s="15">
        <v>53.25</v>
      </c>
      <c r="U252" s="18">
        <v>20.767499999999998</v>
      </c>
      <c r="V252" s="56">
        <f>Table11[[#This Row],[Profit]]/Table11[[#This Row],[Sales]]</f>
        <v>0.38999999999999996</v>
      </c>
    </row>
    <row r="253" spans="1:22" x14ac:dyDescent="0.2">
      <c r="A253" s="4">
        <v>252</v>
      </c>
      <c r="B253" s="3" t="s">
        <v>6985</v>
      </c>
      <c r="C253" s="7">
        <v>42092</v>
      </c>
      <c r="D253" s="28">
        <f>MONTH(Table11[[#This Row],[Order Date]])</f>
        <v>3</v>
      </c>
      <c r="E253" s="3" t="s">
        <v>5662</v>
      </c>
      <c r="F253" s="3" t="s">
        <v>5663</v>
      </c>
      <c r="G253" s="25" t="s">
        <v>28</v>
      </c>
      <c r="H253" s="25" t="s">
        <v>58</v>
      </c>
      <c r="I253" s="3" t="s">
        <v>4508</v>
      </c>
      <c r="J253" s="25" t="s">
        <v>22</v>
      </c>
      <c r="K253" s="28">
        <v>3</v>
      </c>
      <c r="L253" s="7">
        <v>42094</v>
      </c>
      <c r="M253" s="28">
        <f>Table11[[#This Row],[Ship Date]]-Table11[[#This Row],[Order Date]]</f>
        <v>2</v>
      </c>
      <c r="N253" s="25" t="s">
        <v>20</v>
      </c>
      <c r="O253" s="25" t="s">
        <v>23</v>
      </c>
      <c r="P253" s="25" t="s">
        <v>38</v>
      </c>
      <c r="Q253" s="25" t="s">
        <v>39</v>
      </c>
      <c r="R253" s="25" t="s">
        <v>836</v>
      </c>
      <c r="S253" s="35">
        <v>0</v>
      </c>
      <c r="T253" s="16">
        <v>19.920000000000002</v>
      </c>
      <c r="U253" s="19">
        <v>9.5616000000000003</v>
      </c>
      <c r="V253" s="56">
        <f>Table11[[#This Row],[Profit]]/Table11[[#This Row],[Sales]]</f>
        <v>0.48</v>
      </c>
    </row>
    <row r="254" spans="1:22" x14ac:dyDescent="0.2">
      <c r="A254" s="4">
        <v>253</v>
      </c>
      <c r="B254" s="5" t="s">
        <v>7698</v>
      </c>
      <c r="C254" s="6">
        <v>42092</v>
      </c>
      <c r="D254" s="27">
        <f>MONTH(Table11[[#This Row],[Order Date]])</f>
        <v>3</v>
      </c>
      <c r="E254" s="5" t="s">
        <v>1134</v>
      </c>
      <c r="F254" s="5" t="s">
        <v>1135</v>
      </c>
      <c r="G254" s="24" t="s">
        <v>41</v>
      </c>
      <c r="H254" s="24" t="s">
        <v>61</v>
      </c>
      <c r="I254" s="5" t="s">
        <v>1773</v>
      </c>
      <c r="J254" s="24" t="s">
        <v>22</v>
      </c>
      <c r="K254" s="27">
        <v>2</v>
      </c>
      <c r="L254" s="6">
        <v>42097</v>
      </c>
      <c r="M254" s="27">
        <f>Table11[[#This Row],[Ship Date]]-Table11[[#This Row],[Order Date]]</f>
        <v>5</v>
      </c>
      <c r="N254" s="24" t="s">
        <v>20</v>
      </c>
      <c r="O254" s="24" t="s">
        <v>23</v>
      </c>
      <c r="P254" s="24" t="s">
        <v>285</v>
      </c>
      <c r="Q254" s="24" t="s">
        <v>26</v>
      </c>
      <c r="R254" s="24" t="s">
        <v>284</v>
      </c>
      <c r="S254" s="34">
        <v>0</v>
      </c>
      <c r="T254" s="15">
        <v>5.56</v>
      </c>
      <c r="U254" s="18">
        <v>1.4456</v>
      </c>
      <c r="V254" s="56">
        <f>Table11[[#This Row],[Profit]]/Table11[[#This Row],[Sales]]</f>
        <v>0.26</v>
      </c>
    </row>
    <row r="255" spans="1:22" x14ac:dyDescent="0.2">
      <c r="A255" s="2">
        <v>254</v>
      </c>
      <c r="B255" s="3" t="s">
        <v>8314</v>
      </c>
      <c r="C255" s="7">
        <v>42092</v>
      </c>
      <c r="D255" s="28">
        <f>MONTH(Table11[[#This Row],[Order Date]])</f>
        <v>3</v>
      </c>
      <c r="E255" s="3" t="s">
        <v>906</v>
      </c>
      <c r="F255" s="3" t="s">
        <v>907</v>
      </c>
      <c r="G255" s="25" t="s">
        <v>41</v>
      </c>
      <c r="H255" s="25" t="s">
        <v>82</v>
      </c>
      <c r="I255" s="3" t="s">
        <v>3259</v>
      </c>
      <c r="J255" s="25" t="s">
        <v>22</v>
      </c>
      <c r="K255" s="28">
        <v>4</v>
      </c>
      <c r="L255" s="7">
        <v>42098</v>
      </c>
      <c r="M255" s="28">
        <f>Table11[[#This Row],[Ship Date]]-Table11[[#This Row],[Order Date]]</f>
        <v>6</v>
      </c>
      <c r="N255" s="25" t="s">
        <v>45</v>
      </c>
      <c r="O255" s="25" t="s">
        <v>23</v>
      </c>
      <c r="P255" s="25" t="s">
        <v>238</v>
      </c>
      <c r="Q255" s="25" t="s">
        <v>133</v>
      </c>
      <c r="R255" s="25" t="s">
        <v>237</v>
      </c>
      <c r="S255" s="35">
        <v>0</v>
      </c>
      <c r="T255" s="16">
        <v>17.64</v>
      </c>
      <c r="U255" s="19">
        <v>8.1143999999999998</v>
      </c>
      <c r="V255" s="56">
        <f>Table11[[#This Row],[Profit]]/Table11[[#This Row],[Sales]]</f>
        <v>0.45999999999999996</v>
      </c>
    </row>
    <row r="256" spans="1:22" x14ac:dyDescent="0.2">
      <c r="A256" s="4">
        <v>255</v>
      </c>
      <c r="B256" s="5" t="s">
        <v>8125</v>
      </c>
      <c r="C256" s="6">
        <v>42093</v>
      </c>
      <c r="D256" s="27">
        <f>MONTH(Table11[[#This Row],[Order Date]])</f>
        <v>3</v>
      </c>
      <c r="E256" s="5" t="s">
        <v>3532</v>
      </c>
      <c r="F256" s="5" t="s">
        <v>3533</v>
      </c>
      <c r="G256" s="24" t="s">
        <v>41</v>
      </c>
      <c r="H256" s="24" t="s">
        <v>82</v>
      </c>
      <c r="I256" s="5" t="s">
        <v>6044</v>
      </c>
      <c r="J256" s="24" t="s">
        <v>36</v>
      </c>
      <c r="K256" s="27">
        <v>5</v>
      </c>
      <c r="L256" s="6">
        <v>42098</v>
      </c>
      <c r="M256" s="27">
        <f>Table11[[#This Row],[Ship Date]]-Table11[[#This Row],[Order Date]]</f>
        <v>5</v>
      </c>
      <c r="N256" s="24" t="s">
        <v>45</v>
      </c>
      <c r="O256" s="24" t="s">
        <v>23</v>
      </c>
      <c r="P256" s="24" t="s">
        <v>189</v>
      </c>
      <c r="Q256" s="24" t="s">
        <v>95</v>
      </c>
      <c r="R256" s="24" t="s">
        <v>271</v>
      </c>
      <c r="S256" s="34">
        <v>0.2</v>
      </c>
      <c r="T256" s="15">
        <v>23.52</v>
      </c>
      <c r="U256" s="18">
        <v>8.5259999999999998</v>
      </c>
      <c r="V256" s="56">
        <f>Table11[[#This Row],[Profit]]/Table11[[#This Row],[Sales]]</f>
        <v>0.36249999999999999</v>
      </c>
    </row>
    <row r="257" spans="1:22" x14ac:dyDescent="0.2">
      <c r="A257" s="4">
        <v>256</v>
      </c>
      <c r="B257" s="3" t="s">
        <v>8125</v>
      </c>
      <c r="C257" s="7">
        <v>42093</v>
      </c>
      <c r="D257" s="28">
        <f>MONTH(Table11[[#This Row],[Order Date]])</f>
        <v>3</v>
      </c>
      <c r="E257" s="3" t="s">
        <v>5190</v>
      </c>
      <c r="F257" s="3" t="s">
        <v>5191</v>
      </c>
      <c r="G257" s="25" t="s">
        <v>64</v>
      </c>
      <c r="H257" s="25" t="s">
        <v>65</v>
      </c>
      <c r="I257" s="3" t="s">
        <v>6044</v>
      </c>
      <c r="J257" s="25" t="s">
        <v>36</v>
      </c>
      <c r="K257" s="28">
        <v>5</v>
      </c>
      <c r="L257" s="7">
        <v>42098</v>
      </c>
      <c r="M257" s="28">
        <f>Table11[[#This Row],[Ship Date]]-Table11[[#This Row],[Order Date]]</f>
        <v>5</v>
      </c>
      <c r="N257" s="25" t="s">
        <v>45</v>
      </c>
      <c r="O257" s="25" t="s">
        <v>23</v>
      </c>
      <c r="P257" s="25" t="s">
        <v>189</v>
      </c>
      <c r="Q257" s="25" t="s">
        <v>95</v>
      </c>
      <c r="R257" s="25" t="s">
        <v>271</v>
      </c>
      <c r="S257" s="35">
        <v>0.2</v>
      </c>
      <c r="T257" s="16">
        <v>180.96</v>
      </c>
      <c r="U257" s="19">
        <v>13.571999999999999</v>
      </c>
      <c r="V257" s="56">
        <f>Table11[[#This Row],[Profit]]/Table11[[#This Row],[Sales]]</f>
        <v>7.4999999999999997E-2</v>
      </c>
    </row>
    <row r="258" spans="1:22" x14ac:dyDescent="0.2">
      <c r="A258" s="2">
        <v>257</v>
      </c>
      <c r="B258" s="5" t="s">
        <v>8456</v>
      </c>
      <c r="C258" s="6">
        <v>42093</v>
      </c>
      <c r="D258" s="27">
        <f>MONTH(Table11[[#This Row],[Order Date]])</f>
        <v>3</v>
      </c>
      <c r="E258" s="5" t="s">
        <v>6240</v>
      </c>
      <c r="F258" s="5" t="s">
        <v>6241</v>
      </c>
      <c r="G258" s="24" t="s">
        <v>28</v>
      </c>
      <c r="H258" s="24" t="s">
        <v>32</v>
      </c>
      <c r="I258" s="5" t="s">
        <v>5338</v>
      </c>
      <c r="J258" s="24" t="s">
        <v>92</v>
      </c>
      <c r="K258" s="27">
        <v>4</v>
      </c>
      <c r="L258" s="6">
        <v>42097</v>
      </c>
      <c r="M258" s="27">
        <f>Table11[[#This Row],[Ship Date]]-Table11[[#This Row],[Order Date]]</f>
        <v>4</v>
      </c>
      <c r="N258" s="24" t="s">
        <v>45</v>
      </c>
      <c r="O258" s="24" t="s">
        <v>23</v>
      </c>
      <c r="P258" s="24" t="s">
        <v>189</v>
      </c>
      <c r="Q258" s="24" t="s">
        <v>95</v>
      </c>
      <c r="R258" s="24" t="s">
        <v>8457</v>
      </c>
      <c r="S258" s="34">
        <v>0.3</v>
      </c>
      <c r="T258" s="15">
        <v>366.74400000000003</v>
      </c>
      <c r="U258" s="18">
        <v>-110.0232</v>
      </c>
      <c r="V258" s="56">
        <f>Table11[[#This Row],[Profit]]/Table11[[#This Row],[Sales]]</f>
        <v>-0.3</v>
      </c>
    </row>
    <row r="259" spans="1:22" x14ac:dyDescent="0.2">
      <c r="A259" s="4">
        <v>258</v>
      </c>
      <c r="B259" s="3" t="s">
        <v>7545</v>
      </c>
      <c r="C259" s="7">
        <v>42094</v>
      </c>
      <c r="D259" s="28">
        <f>MONTH(Table11[[#This Row],[Order Date]])</f>
        <v>3</v>
      </c>
      <c r="E259" s="3" t="s">
        <v>815</v>
      </c>
      <c r="F259" s="3" t="s">
        <v>816</v>
      </c>
      <c r="G259" s="25" t="s">
        <v>64</v>
      </c>
      <c r="H259" s="25" t="s">
        <v>65</v>
      </c>
      <c r="I259" s="3" t="s">
        <v>4773</v>
      </c>
      <c r="J259" s="25" t="s">
        <v>36</v>
      </c>
      <c r="K259" s="28">
        <v>5</v>
      </c>
      <c r="L259" s="7">
        <v>42098</v>
      </c>
      <c r="M259" s="28">
        <f>Table11[[#This Row],[Ship Date]]-Table11[[#This Row],[Order Date]]</f>
        <v>4</v>
      </c>
      <c r="N259" s="25" t="s">
        <v>45</v>
      </c>
      <c r="O259" s="25" t="s">
        <v>23</v>
      </c>
      <c r="P259" s="25" t="s">
        <v>48</v>
      </c>
      <c r="Q259" s="25" t="s">
        <v>26</v>
      </c>
      <c r="R259" s="25" t="s">
        <v>1345</v>
      </c>
      <c r="S259" s="35">
        <v>0.2</v>
      </c>
      <c r="T259" s="16">
        <v>79.959999999999994</v>
      </c>
      <c r="U259" s="19">
        <v>27.986000000000001</v>
      </c>
      <c r="V259" s="56">
        <f>Table11[[#This Row],[Profit]]/Table11[[#This Row],[Sales]]</f>
        <v>0.35000000000000003</v>
      </c>
    </row>
    <row r="260" spans="1:22" x14ac:dyDescent="0.2">
      <c r="A260" s="4">
        <v>259</v>
      </c>
      <c r="B260" s="5" t="s">
        <v>8335</v>
      </c>
      <c r="C260" s="6">
        <v>42094</v>
      </c>
      <c r="D260" s="27">
        <f>MONTH(Table11[[#This Row],[Order Date]])</f>
        <v>3</v>
      </c>
      <c r="E260" s="5" t="s">
        <v>1532</v>
      </c>
      <c r="F260" s="5" t="s">
        <v>1533</v>
      </c>
      <c r="G260" s="24" t="s">
        <v>41</v>
      </c>
      <c r="H260" s="24" t="s">
        <v>82</v>
      </c>
      <c r="I260" s="5" t="s">
        <v>1394</v>
      </c>
      <c r="J260" s="24" t="s">
        <v>36</v>
      </c>
      <c r="K260" s="27">
        <v>3</v>
      </c>
      <c r="L260" s="6">
        <v>42099</v>
      </c>
      <c r="M260" s="27">
        <f>Table11[[#This Row],[Ship Date]]-Table11[[#This Row],[Order Date]]</f>
        <v>5</v>
      </c>
      <c r="N260" s="24" t="s">
        <v>45</v>
      </c>
      <c r="O260" s="24" t="s">
        <v>23</v>
      </c>
      <c r="P260" s="24" t="s">
        <v>94</v>
      </c>
      <c r="Q260" s="24" t="s">
        <v>95</v>
      </c>
      <c r="R260" s="24" t="s">
        <v>165</v>
      </c>
      <c r="S260" s="34">
        <v>0.2</v>
      </c>
      <c r="T260" s="15">
        <v>98.376000000000005</v>
      </c>
      <c r="U260" s="18">
        <v>35.661299999999997</v>
      </c>
      <c r="V260" s="56">
        <f>Table11[[#This Row],[Profit]]/Table11[[#This Row],[Sales]]</f>
        <v>0.36249999999999993</v>
      </c>
    </row>
    <row r="261" spans="1:22" x14ac:dyDescent="0.2">
      <c r="A261" s="2">
        <v>260</v>
      </c>
      <c r="B261" s="3" t="s">
        <v>8335</v>
      </c>
      <c r="C261" s="7">
        <v>42094</v>
      </c>
      <c r="D261" s="28">
        <f>MONTH(Table11[[#This Row],[Order Date]])</f>
        <v>3</v>
      </c>
      <c r="E261" s="3" t="s">
        <v>6370</v>
      </c>
      <c r="F261" s="3" t="s">
        <v>6371</v>
      </c>
      <c r="G261" s="25" t="s">
        <v>28</v>
      </c>
      <c r="H261" s="25" t="s">
        <v>58</v>
      </c>
      <c r="I261" s="3" t="s">
        <v>1394</v>
      </c>
      <c r="J261" s="25" t="s">
        <v>36</v>
      </c>
      <c r="K261" s="28">
        <v>3</v>
      </c>
      <c r="L261" s="7">
        <v>42099</v>
      </c>
      <c r="M261" s="28">
        <f>Table11[[#This Row],[Ship Date]]-Table11[[#This Row],[Order Date]]</f>
        <v>5</v>
      </c>
      <c r="N261" s="25" t="s">
        <v>45</v>
      </c>
      <c r="O261" s="25" t="s">
        <v>23</v>
      </c>
      <c r="P261" s="25" t="s">
        <v>94</v>
      </c>
      <c r="Q261" s="25" t="s">
        <v>95</v>
      </c>
      <c r="R261" s="25" t="s">
        <v>165</v>
      </c>
      <c r="S261" s="35">
        <v>0.6</v>
      </c>
      <c r="T261" s="16">
        <v>22.38</v>
      </c>
      <c r="U261" s="19">
        <v>-7.8330000000000002</v>
      </c>
      <c r="V261" s="56">
        <f>Table11[[#This Row],[Profit]]/Table11[[#This Row],[Sales]]</f>
        <v>-0.35000000000000003</v>
      </c>
    </row>
    <row r="262" spans="1:22" x14ac:dyDescent="0.2">
      <c r="A262" s="4">
        <v>261</v>
      </c>
      <c r="B262" s="5" t="s">
        <v>5289</v>
      </c>
      <c r="C262" s="6">
        <v>42096</v>
      </c>
      <c r="D262" s="27">
        <f>MONTH(Table11[[#This Row],[Order Date]])</f>
        <v>4</v>
      </c>
      <c r="E262" s="5" t="s">
        <v>5291</v>
      </c>
      <c r="F262" s="5" t="s">
        <v>5292</v>
      </c>
      <c r="G262" s="24" t="s">
        <v>41</v>
      </c>
      <c r="H262" s="24" t="s">
        <v>71</v>
      </c>
      <c r="I262" s="5" t="s">
        <v>5290</v>
      </c>
      <c r="J262" s="24" t="s">
        <v>22</v>
      </c>
      <c r="K262" s="27">
        <v>2</v>
      </c>
      <c r="L262" s="6">
        <v>42101</v>
      </c>
      <c r="M262" s="27">
        <f>Table11[[#This Row],[Ship Date]]-Table11[[#This Row],[Order Date]]</f>
        <v>5</v>
      </c>
      <c r="N262" s="24" t="s">
        <v>45</v>
      </c>
      <c r="O262" s="24" t="s">
        <v>23</v>
      </c>
      <c r="P262" s="24" t="s">
        <v>94</v>
      </c>
      <c r="Q262" s="24" t="s">
        <v>95</v>
      </c>
      <c r="R262" s="24" t="s">
        <v>718</v>
      </c>
      <c r="S262" s="34">
        <v>0.8</v>
      </c>
      <c r="T262" s="15">
        <v>32.192</v>
      </c>
      <c r="U262" s="18">
        <v>-80.48</v>
      </c>
      <c r="V262" s="56">
        <f>Table11[[#This Row],[Profit]]/Table11[[#This Row],[Sales]]</f>
        <v>-2.5</v>
      </c>
    </row>
    <row r="263" spans="1:22" x14ac:dyDescent="0.2">
      <c r="A263" s="4">
        <v>262</v>
      </c>
      <c r="B263" s="3" t="s">
        <v>5289</v>
      </c>
      <c r="C263" s="7">
        <v>42096</v>
      </c>
      <c r="D263" s="28">
        <f>MONTH(Table11[[#This Row],[Order Date]])</f>
        <v>4</v>
      </c>
      <c r="E263" s="3" t="s">
        <v>3664</v>
      </c>
      <c r="F263" s="3" t="s">
        <v>3665</v>
      </c>
      <c r="G263" s="25" t="s">
        <v>64</v>
      </c>
      <c r="H263" s="25" t="s">
        <v>144</v>
      </c>
      <c r="I263" s="3" t="s">
        <v>5290</v>
      </c>
      <c r="J263" s="25" t="s">
        <v>22</v>
      </c>
      <c r="K263" s="28">
        <v>7</v>
      </c>
      <c r="L263" s="7">
        <v>42101</v>
      </c>
      <c r="M263" s="28">
        <f>Table11[[#This Row],[Ship Date]]-Table11[[#This Row],[Order Date]]</f>
        <v>5</v>
      </c>
      <c r="N263" s="25" t="s">
        <v>45</v>
      </c>
      <c r="O263" s="25" t="s">
        <v>23</v>
      </c>
      <c r="P263" s="25" t="s">
        <v>94</v>
      </c>
      <c r="Q263" s="25" t="s">
        <v>95</v>
      </c>
      <c r="R263" s="25" t="s">
        <v>718</v>
      </c>
      <c r="S263" s="35">
        <v>0.2</v>
      </c>
      <c r="T263" s="16">
        <v>50.12</v>
      </c>
      <c r="U263" s="19">
        <v>-0.62649999999999995</v>
      </c>
      <c r="V263" s="56">
        <f>Table11[[#This Row],[Profit]]/Table11[[#This Row],[Sales]]</f>
        <v>-1.2499999999999999E-2</v>
      </c>
    </row>
    <row r="264" spans="1:22" x14ac:dyDescent="0.2">
      <c r="A264" s="2">
        <v>263</v>
      </c>
      <c r="B264" s="5" t="s">
        <v>5289</v>
      </c>
      <c r="C264" s="6">
        <v>42096</v>
      </c>
      <c r="D264" s="27">
        <f>MONTH(Table11[[#This Row],[Order Date]])</f>
        <v>4</v>
      </c>
      <c r="E264" s="5" t="s">
        <v>4399</v>
      </c>
      <c r="F264" s="5" t="s">
        <v>4400</v>
      </c>
      <c r="G264" s="24" t="s">
        <v>64</v>
      </c>
      <c r="H264" s="24" t="s">
        <v>144</v>
      </c>
      <c r="I264" s="5" t="s">
        <v>5290</v>
      </c>
      <c r="J264" s="24" t="s">
        <v>22</v>
      </c>
      <c r="K264" s="27">
        <v>3</v>
      </c>
      <c r="L264" s="6">
        <v>42101</v>
      </c>
      <c r="M264" s="27">
        <f>Table11[[#This Row],[Ship Date]]-Table11[[#This Row],[Order Date]]</f>
        <v>5</v>
      </c>
      <c r="N264" s="24" t="s">
        <v>45</v>
      </c>
      <c r="O264" s="24" t="s">
        <v>23</v>
      </c>
      <c r="P264" s="24" t="s">
        <v>94</v>
      </c>
      <c r="Q264" s="24" t="s">
        <v>95</v>
      </c>
      <c r="R264" s="24" t="s">
        <v>718</v>
      </c>
      <c r="S264" s="34">
        <v>0.2</v>
      </c>
      <c r="T264" s="15">
        <v>47.975999999999999</v>
      </c>
      <c r="U264" s="18">
        <v>1.7990999999999999</v>
      </c>
      <c r="V264" s="56">
        <f>Table11[[#This Row],[Profit]]/Table11[[#This Row],[Sales]]</f>
        <v>3.7499999999999999E-2</v>
      </c>
    </row>
    <row r="265" spans="1:22" x14ac:dyDescent="0.2">
      <c r="A265" s="4">
        <v>264</v>
      </c>
      <c r="B265" s="3" t="s">
        <v>6445</v>
      </c>
      <c r="C265" s="7">
        <v>42096</v>
      </c>
      <c r="D265" s="28">
        <f>MONTH(Table11[[#This Row],[Order Date]])</f>
        <v>4</v>
      </c>
      <c r="E265" s="3" t="s">
        <v>2708</v>
      </c>
      <c r="F265" s="3" t="s">
        <v>2709</v>
      </c>
      <c r="G265" s="25" t="s">
        <v>41</v>
      </c>
      <c r="H265" s="25" t="s">
        <v>68</v>
      </c>
      <c r="I265" s="3" t="s">
        <v>5672</v>
      </c>
      <c r="J265" s="25" t="s">
        <v>36</v>
      </c>
      <c r="K265" s="28">
        <v>3</v>
      </c>
      <c r="L265" s="7">
        <v>42101</v>
      </c>
      <c r="M265" s="28">
        <f>Table11[[#This Row],[Ship Date]]-Table11[[#This Row],[Order Date]]</f>
        <v>5</v>
      </c>
      <c r="N265" s="25" t="s">
        <v>45</v>
      </c>
      <c r="O265" s="25" t="s">
        <v>23</v>
      </c>
      <c r="P265" s="25" t="s">
        <v>94</v>
      </c>
      <c r="Q265" s="25" t="s">
        <v>95</v>
      </c>
      <c r="R265" s="25" t="s">
        <v>165</v>
      </c>
      <c r="S265" s="35">
        <v>0.8</v>
      </c>
      <c r="T265" s="16">
        <v>9.1560000000000006</v>
      </c>
      <c r="U265" s="19">
        <v>-13.734</v>
      </c>
      <c r="V265" s="56">
        <f>Table11[[#This Row],[Profit]]/Table11[[#This Row],[Sales]]</f>
        <v>-1.5</v>
      </c>
    </row>
    <row r="266" spans="1:22" x14ac:dyDescent="0.2">
      <c r="A266" s="4">
        <v>265</v>
      </c>
      <c r="B266" s="5" t="s">
        <v>7720</v>
      </c>
      <c r="C266" s="6">
        <v>42096</v>
      </c>
      <c r="D266" s="27">
        <f>MONTH(Table11[[#This Row],[Order Date]])</f>
        <v>4</v>
      </c>
      <c r="E266" s="5" t="s">
        <v>7721</v>
      </c>
      <c r="F266" s="5" t="s">
        <v>7722</v>
      </c>
      <c r="G266" s="24" t="s">
        <v>64</v>
      </c>
      <c r="H266" s="24" t="s">
        <v>602</v>
      </c>
      <c r="I266" s="5" t="s">
        <v>3538</v>
      </c>
      <c r="J266" s="24" t="s">
        <v>22</v>
      </c>
      <c r="K266" s="27">
        <v>3</v>
      </c>
      <c r="L266" s="6">
        <v>42103</v>
      </c>
      <c r="M266" s="27">
        <f>Table11[[#This Row],[Ship Date]]-Table11[[#This Row],[Order Date]]</f>
        <v>7</v>
      </c>
      <c r="N266" s="24" t="s">
        <v>45</v>
      </c>
      <c r="O266" s="24" t="s">
        <v>23</v>
      </c>
      <c r="P266" s="24" t="s">
        <v>38</v>
      </c>
      <c r="Q266" s="24" t="s">
        <v>39</v>
      </c>
      <c r="R266" s="24" t="s">
        <v>37</v>
      </c>
      <c r="S266" s="34">
        <v>0.2</v>
      </c>
      <c r="T266" s="15">
        <v>71.975999999999999</v>
      </c>
      <c r="U266" s="18">
        <v>24.291899999999998</v>
      </c>
      <c r="V266" s="56">
        <f>Table11[[#This Row],[Profit]]/Table11[[#This Row],[Sales]]</f>
        <v>0.33749999999999997</v>
      </c>
    </row>
    <row r="267" spans="1:22" x14ac:dyDescent="0.2">
      <c r="A267" s="2">
        <v>266</v>
      </c>
      <c r="B267" s="3" t="s">
        <v>8834</v>
      </c>
      <c r="C267" s="7">
        <v>42096</v>
      </c>
      <c r="D267" s="28">
        <f>MONTH(Table11[[#This Row],[Order Date]])</f>
        <v>4</v>
      </c>
      <c r="E267" s="3" t="s">
        <v>5766</v>
      </c>
      <c r="F267" s="3" t="s">
        <v>5767</v>
      </c>
      <c r="G267" s="25" t="s">
        <v>64</v>
      </c>
      <c r="H267" s="25" t="s">
        <v>65</v>
      </c>
      <c r="I267" s="3" t="s">
        <v>1063</v>
      </c>
      <c r="J267" s="25" t="s">
        <v>22</v>
      </c>
      <c r="K267" s="28">
        <v>5</v>
      </c>
      <c r="L267" s="7">
        <v>42101</v>
      </c>
      <c r="M267" s="28">
        <f>Table11[[#This Row],[Ship Date]]-Table11[[#This Row],[Order Date]]</f>
        <v>5</v>
      </c>
      <c r="N267" s="25" t="s">
        <v>45</v>
      </c>
      <c r="O267" s="25" t="s">
        <v>23</v>
      </c>
      <c r="P267" s="25" t="s">
        <v>277</v>
      </c>
      <c r="Q267" s="25" t="s">
        <v>39</v>
      </c>
      <c r="R267" s="25" t="s">
        <v>1613</v>
      </c>
      <c r="S267" s="35">
        <v>0.2</v>
      </c>
      <c r="T267" s="16">
        <v>87.8</v>
      </c>
      <c r="U267" s="19">
        <v>32.924999999999997</v>
      </c>
      <c r="V267" s="56">
        <f>Table11[[#This Row],[Profit]]/Table11[[#This Row],[Sales]]</f>
        <v>0.375</v>
      </c>
    </row>
    <row r="268" spans="1:22" x14ac:dyDescent="0.2">
      <c r="A268" s="4">
        <v>267</v>
      </c>
      <c r="B268" s="5" t="s">
        <v>2744</v>
      </c>
      <c r="C268" s="6">
        <v>42098</v>
      </c>
      <c r="D268" s="27">
        <f>MONTH(Table11[[#This Row],[Order Date]])</f>
        <v>4</v>
      </c>
      <c r="E268" s="5" t="s">
        <v>2746</v>
      </c>
      <c r="F268" s="5" t="s">
        <v>2747</v>
      </c>
      <c r="G268" s="24" t="s">
        <v>41</v>
      </c>
      <c r="H268" s="24" t="s">
        <v>61</v>
      </c>
      <c r="I268" s="5" t="s">
        <v>2745</v>
      </c>
      <c r="J268" s="24" t="s">
        <v>92</v>
      </c>
      <c r="K268" s="27">
        <v>2</v>
      </c>
      <c r="L268" s="6">
        <v>42102</v>
      </c>
      <c r="M268" s="27">
        <f>Table11[[#This Row],[Ship Date]]-Table11[[#This Row],[Order Date]]</f>
        <v>4</v>
      </c>
      <c r="N268" s="24" t="s">
        <v>45</v>
      </c>
      <c r="O268" s="24" t="s">
        <v>23</v>
      </c>
      <c r="P268" s="24" t="s">
        <v>238</v>
      </c>
      <c r="Q268" s="24" t="s">
        <v>133</v>
      </c>
      <c r="R268" s="24" t="s">
        <v>237</v>
      </c>
      <c r="S268" s="34">
        <v>0</v>
      </c>
      <c r="T268" s="15">
        <v>11.16</v>
      </c>
      <c r="U268" s="18">
        <v>4.3524000000000003</v>
      </c>
      <c r="V268" s="56">
        <f>Table11[[#This Row],[Profit]]/Table11[[#This Row],[Sales]]</f>
        <v>0.39</v>
      </c>
    </row>
    <row r="269" spans="1:22" x14ac:dyDescent="0.2">
      <c r="A269" s="4">
        <v>268</v>
      </c>
      <c r="B269" s="3" t="s">
        <v>2744</v>
      </c>
      <c r="C269" s="7">
        <v>42098</v>
      </c>
      <c r="D269" s="28">
        <f>MONTH(Table11[[#This Row],[Order Date]])</f>
        <v>4</v>
      </c>
      <c r="E269" s="3" t="s">
        <v>2748</v>
      </c>
      <c r="F269" s="3" t="s">
        <v>2749</v>
      </c>
      <c r="G269" s="25" t="s">
        <v>28</v>
      </c>
      <c r="H269" s="25" t="s">
        <v>58</v>
      </c>
      <c r="I269" s="3" t="s">
        <v>2745</v>
      </c>
      <c r="J269" s="25" t="s">
        <v>92</v>
      </c>
      <c r="K269" s="28">
        <v>2</v>
      </c>
      <c r="L269" s="7">
        <v>42102</v>
      </c>
      <c r="M269" s="28">
        <f>Table11[[#This Row],[Ship Date]]-Table11[[#This Row],[Order Date]]</f>
        <v>4</v>
      </c>
      <c r="N269" s="25" t="s">
        <v>45</v>
      </c>
      <c r="O269" s="25" t="s">
        <v>23</v>
      </c>
      <c r="P269" s="25" t="s">
        <v>238</v>
      </c>
      <c r="Q269" s="25" t="s">
        <v>133</v>
      </c>
      <c r="R269" s="25" t="s">
        <v>237</v>
      </c>
      <c r="S269" s="35">
        <v>0</v>
      </c>
      <c r="T269" s="16">
        <v>108.4</v>
      </c>
      <c r="U269" s="19">
        <v>22.763999999999999</v>
      </c>
      <c r="V269" s="56">
        <f>Table11[[#This Row],[Profit]]/Table11[[#This Row],[Sales]]</f>
        <v>0.21</v>
      </c>
    </row>
    <row r="270" spans="1:22" x14ac:dyDescent="0.2">
      <c r="A270" s="2">
        <v>269</v>
      </c>
      <c r="B270" s="5" t="s">
        <v>2744</v>
      </c>
      <c r="C270" s="6">
        <v>42098</v>
      </c>
      <c r="D270" s="27">
        <f>MONTH(Table11[[#This Row],[Order Date]])</f>
        <v>4</v>
      </c>
      <c r="E270" s="5" t="s">
        <v>546</v>
      </c>
      <c r="F270" s="5" t="s">
        <v>547</v>
      </c>
      <c r="G270" s="24" t="s">
        <v>41</v>
      </c>
      <c r="H270" s="24" t="s">
        <v>68</v>
      </c>
      <c r="I270" s="5" t="s">
        <v>2745</v>
      </c>
      <c r="J270" s="24" t="s">
        <v>92</v>
      </c>
      <c r="K270" s="27">
        <v>3</v>
      </c>
      <c r="L270" s="6">
        <v>42102</v>
      </c>
      <c r="M270" s="27">
        <f>Table11[[#This Row],[Ship Date]]-Table11[[#This Row],[Order Date]]</f>
        <v>4</v>
      </c>
      <c r="N270" s="24" t="s">
        <v>45</v>
      </c>
      <c r="O270" s="24" t="s">
        <v>23</v>
      </c>
      <c r="P270" s="24" t="s">
        <v>238</v>
      </c>
      <c r="Q270" s="24" t="s">
        <v>133</v>
      </c>
      <c r="R270" s="24" t="s">
        <v>237</v>
      </c>
      <c r="S270" s="34">
        <v>0.2</v>
      </c>
      <c r="T270" s="15">
        <v>82.343999999999994</v>
      </c>
      <c r="U270" s="18">
        <v>27.7911</v>
      </c>
      <c r="V270" s="56">
        <f>Table11[[#This Row],[Profit]]/Table11[[#This Row],[Sales]]</f>
        <v>0.33750000000000002</v>
      </c>
    </row>
    <row r="271" spans="1:22" x14ac:dyDescent="0.2">
      <c r="A271" s="4">
        <v>270</v>
      </c>
      <c r="B271" s="3" t="s">
        <v>2744</v>
      </c>
      <c r="C271" s="7">
        <v>42098</v>
      </c>
      <c r="D271" s="28">
        <f>MONTH(Table11[[#This Row],[Order Date]])</f>
        <v>4</v>
      </c>
      <c r="E271" s="3" t="s">
        <v>2750</v>
      </c>
      <c r="F271" s="3" t="s">
        <v>2751</v>
      </c>
      <c r="G271" s="25" t="s">
        <v>41</v>
      </c>
      <c r="H271" s="25" t="s">
        <v>68</v>
      </c>
      <c r="I271" s="3" t="s">
        <v>2745</v>
      </c>
      <c r="J271" s="25" t="s">
        <v>92</v>
      </c>
      <c r="K271" s="28">
        <v>4</v>
      </c>
      <c r="L271" s="7">
        <v>42102</v>
      </c>
      <c r="M271" s="28">
        <f>Table11[[#This Row],[Ship Date]]-Table11[[#This Row],[Order Date]]</f>
        <v>4</v>
      </c>
      <c r="N271" s="25" t="s">
        <v>45</v>
      </c>
      <c r="O271" s="25" t="s">
        <v>23</v>
      </c>
      <c r="P271" s="25" t="s">
        <v>238</v>
      </c>
      <c r="Q271" s="25" t="s">
        <v>133</v>
      </c>
      <c r="R271" s="25" t="s">
        <v>237</v>
      </c>
      <c r="S271" s="35">
        <v>0.2</v>
      </c>
      <c r="T271" s="16">
        <v>9.0879999999999992</v>
      </c>
      <c r="U271" s="19">
        <v>3.2944</v>
      </c>
      <c r="V271" s="56">
        <f>Table11[[#This Row],[Profit]]/Table11[[#This Row],[Sales]]</f>
        <v>0.36250000000000004</v>
      </c>
    </row>
    <row r="272" spans="1:22" x14ac:dyDescent="0.2">
      <c r="A272" s="4">
        <v>271</v>
      </c>
      <c r="B272" s="5" t="s">
        <v>2910</v>
      </c>
      <c r="C272" s="6">
        <v>42098</v>
      </c>
      <c r="D272" s="27">
        <f>MONTH(Table11[[#This Row],[Order Date]])</f>
        <v>4</v>
      </c>
      <c r="E272" s="5" t="s">
        <v>2913</v>
      </c>
      <c r="F272" s="5" t="s">
        <v>2914</v>
      </c>
      <c r="G272" s="24" t="s">
        <v>41</v>
      </c>
      <c r="H272" s="24" t="s">
        <v>71</v>
      </c>
      <c r="I272" s="5" t="s">
        <v>2911</v>
      </c>
      <c r="J272" s="24" t="s">
        <v>22</v>
      </c>
      <c r="K272" s="27">
        <v>2</v>
      </c>
      <c r="L272" s="6">
        <v>42098</v>
      </c>
      <c r="M272" s="27">
        <f>Table11[[#This Row],[Ship Date]]-Table11[[#This Row],[Order Date]]</f>
        <v>0</v>
      </c>
      <c r="N272" s="24" t="s">
        <v>1141</v>
      </c>
      <c r="O272" s="24" t="s">
        <v>23</v>
      </c>
      <c r="P272" s="24" t="s">
        <v>212</v>
      </c>
      <c r="Q272" s="24" t="s">
        <v>95</v>
      </c>
      <c r="R272" s="24" t="s">
        <v>2912</v>
      </c>
      <c r="S272" s="34">
        <v>0.1</v>
      </c>
      <c r="T272" s="15">
        <v>644.07600000000002</v>
      </c>
      <c r="U272" s="18">
        <v>107.346</v>
      </c>
      <c r="V272" s="56">
        <f>Table11[[#This Row],[Profit]]/Table11[[#This Row],[Sales]]</f>
        <v>0.16666666666666666</v>
      </c>
    </row>
    <row r="273" spans="1:22" x14ac:dyDescent="0.2">
      <c r="A273" s="2">
        <v>272</v>
      </c>
      <c r="B273" s="3" t="s">
        <v>2910</v>
      </c>
      <c r="C273" s="7">
        <v>42098</v>
      </c>
      <c r="D273" s="28">
        <f>MONTH(Table11[[#This Row],[Order Date]])</f>
        <v>4</v>
      </c>
      <c r="E273" s="3" t="s">
        <v>2915</v>
      </c>
      <c r="F273" s="3" t="s">
        <v>498</v>
      </c>
      <c r="G273" s="25" t="s">
        <v>41</v>
      </c>
      <c r="H273" s="25" t="s">
        <v>240</v>
      </c>
      <c r="I273" s="3" t="s">
        <v>2911</v>
      </c>
      <c r="J273" s="25" t="s">
        <v>22</v>
      </c>
      <c r="K273" s="28">
        <v>2</v>
      </c>
      <c r="L273" s="7">
        <v>42098</v>
      </c>
      <c r="M273" s="28">
        <f>Table11[[#This Row],[Ship Date]]-Table11[[#This Row],[Order Date]]</f>
        <v>0</v>
      </c>
      <c r="N273" s="25" t="s">
        <v>1141</v>
      </c>
      <c r="O273" s="25" t="s">
        <v>23</v>
      </c>
      <c r="P273" s="25" t="s">
        <v>212</v>
      </c>
      <c r="Q273" s="25" t="s">
        <v>95</v>
      </c>
      <c r="R273" s="25" t="s">
        <v>2912</v>
      </c>
      <c r="S273" s="35">
        <v>0</v>
      </c>
      <c r="T273" s="16">
        <v>5.84</v>
      </c>
      <c r="U273" s="19">
        <v>2.6280000000000001</v>
      </c>
      <c r="V273" s="56">
        <f>Table11[[#This Row],[Profit]]/Table11[[#This Row],[Sales]]</f>
        <v>0.45</v>
      </c>
    </row>
    <row r="274" spans="1:22" x14ac:dyDescent="0.2">
      <c r="A274" s="4">
        <v>273</v>
      </c>
      <c r="B274" s="5" t="s">
        <v>2910</v>
      </c>
      <c r="C274" s="6">
        <v>42098</v>
      </c>
      <c r="D274" s="27">
        <f>MONTH(Table11[[#This Row],[Order Date]])</f>
        <v>4</v>
      </c>
      <c r="E274" s="5" t="s">
        <v>2916</v>
      </c>
      <c r="F274" s="5" t="s">
        <v>2917</v>
      </c>
      <c r="G274" s="24" t="s">
        <v>41</v>
      </c>
      <c r="H274" s="24" t="s">
        <v>68</v>
      </c>
      <c r="I274" s="5" t="s">
        <v>2911</v>
      </c>
      <c r="J274" s="24" t="s">
        <v>22</v>
      </c>
      <c r="K274" s="27">
        <v>2</v>
      </c>
      <c r="L274" s="6">
        <v>42098</v>
      </c>
      <c r="M274" s="27">
        <f>Table11[[#This Row],[Ship Date]]-Table11[[#This Row],[Order Date]]</f>
        <v>0</v>
      </c>
      <c r="N274" s="24" t="s">
        <v>1141</v>
      </c>
      <c r="O274" s="24" t="s">
        <v>23</v>
      </c>
      <c r="P274" s="24" t="s">
        <v>212</v>
      </c>
      <c r="Q274" s="24" t="s">
        <v>95</v>
      </c>
      <c r="R274" s="24" t="s">
        <v>2912</v>
      </c>
      <c r="S274" s="34">
        <v>0</v>
      </c>
      <c r="T274" s="15">
        <v>12.76</v>
      </c>
      <c r="U274" s="18">
        <v>5.8696000000000002</v>
      </c>
      <c r="V274" s="56">
        <f>Table11[[#This Row],[Profit]]/Table11[[#This Row],[Sales]]</f>
        <v>0.46</v>
      </c>
    </row>
    <row r="275" spans="1:22" x14ac:dyDescent="0.2">
      <c r="A275" s="4">
        <v>274</v>
      </c>
      <c r="B275" s="3" t="s">
        <v>2910</v>
      </c>
      <c r="C275" s="7">
        <v>42098</v>
      </c>
      <c r="D275" s="28">
        <f>MONTH(Table11[[#This Row],[Order Date]])</f>
        <v>4</v>
      </c>
      <c r="E275" s="3" t="s">
        <v>2918</v>
      </c>
      <c r="F275" s="3" t="s">
        <v>2919</v>
      </c>
      <c r="G275" s="25" t="s">
        <v>64</v>
      </c>
      <c r="H275" s="25" t="s">
        <v>65</v>
      </c>
      <c r="I275" s="3" t="s">
        <v>2911</v>
      </c>
      <c r="J275" s="25" t="s">
        <v>22</v>
      </c>
      <c r="K275" s="28">
        <v>1</v>
      </c>
      <c r="L275" s="7">
        <v>42098</v>
      </c>
      <c r="M275" s="28">
        <f>Table11[[#This Row],[Ship Date]]-Table11[[#This Row],[Order Date]]</f>
        <v>0</v>
      </c>
      <c r="N275" s="25" t="s">
        <v>1141</v>
      </c>
      <c r="O275" s="25" t="s">
        <v>23</v>
      </c>
      <c r="P275" s="25" t="s">
        <v>212</v>
      </c>
      <c r="Q275" s="25" t="s">
        <v>95</v>
      </c>
      <c r="R275" s="25" t="s">
        <v>2912</v>
      </c>
      <c r="S275" s="35">
        <v>0</v>
      </c>
      <c r="T275" s="16">
        <v>10.95</v>
      </c>
      <c r="U275" s="19">
        <v>0.438</v>
      </c>
      <c r="V275" s="56">
        <f>Table11[[#This Row],[Profit]]/Table11[[#This Row],[Sales]]</f>
        <v>0.04</v>
      </c>
    </row>
    <row r="276" spans="1:22" x14ac:dyDescent="0.2">
      <c r="A276" s="2">
        <v>275</v>
      </c>
      <c r="B276" s="5" t="s">
        <v>2910</v>
      </c>
      <c r="C276" s="6">
        <v>42098</v>
      </c>
      <c r="D276" s="27">
        <f>MONTH(Table11[[#This Row],[Order Date]])</f>
        <v>4</v>
      </c>
      <c r="E276" s="5" t="s">
        <v>2920</v>
      </c>
      <c r="F276" s="5" t="s">
        <v>2921</v>
      </c>
      <c r="G276" s="24" t="s">
        <v>64</v>
      </c>
      <c r="H276" s="24" t="s">
        <v>1075</v>
      </c>
      <c r="I276" s="5" t="s">
        <v>2911</v>
      </c>
      <c r="J276" s="24" t="s">
        <v>22</v>
      </c>
      <c r="K276" s="27">
        <v>2</v>
      </c>
      <c r="L276" s="6">
        <v>42098</v>
      </c>
      <c r="M276" s="27">
        <f>Table11[[#This Row],[Ship Date]]-Table11[[#This Row],[Order Date]]</f>
        <v>0</v>
      </c>
      <c r="N276" s="24" t="s">
        <v>1141</v>
      </c>
      <c r="O276" s="24" t="s">
        <v>23</v>
      </c>
      <c r="P276" s="24" t="s">
        <v>212</v>
      </c>
      <c r="Q276" s="24" t="s">
        <v>95</v>
      </c>
      <c r="R276" s="24" t="s">
        <v>2912</v>
      </c>
      <c r="S276" s="34">
        <v>0</v>
      </c>
      <c r="T276" s="15">
        <v>599.98</v>
      </c>
      <c r="U276" s="18">
        <v>209.99299999999999</v>
      </c>
      <c r="V276" s="56">
        <f>Table11[[#This Row],[Profit]]/Table11[[#This Row],[Sales]]</f>
        <v>0.35</v>
      </c>
    </row>
    <row r="277" spans="1:22" x14ac:dyDescent="0.2">
      <c r="A277" s="4">
        <v>276</v>
      </c>
      <c r="B277" s="3" t="s">
        <v>454</v>
      </c>
      <c r="C277" s="7">
        <v>42099</v>
      </c>
      <c r="D277" s="28">
        <f>MONTH(Table11[[#This Row],[Order Date]])</f>
        <v>4</v>
      </c>
      <c r="E277" s="3" t="s">
        <v>457</v>
      </c>
      <c r="F277" s="3" t="s">
        <v>458</v>
      </c>
      <c r="G277" s="25" t="s">
        <v>41</v>
      </c>
      <c r="H277" s="25" t="s">
        <v>68</v>
      </c>
      <c r="I277" s="3" t="s">
        <v>455</v>
      </c>
      <c r="J277" s="25" t="s">
        <v>36</v>
      </c>
      <c r="K277" s="28">
        <v>1</v>
      </c>
      <c r="L277" s="7">
        <v>42104</v>
      </c>
      <c r="M277" s="28">
        <f>Table11[[#This Row],[Ship Date]]-Table11[[#This Row],[Order Date]]</f>
        <v>5</v>
      </c>
      <c r="N277" s="25" t="s">
        <v>45</v>
      </c>
      <c r="O277" s="25" t="s">
        <v>23</v>
      </c>
      <c r="P277" s="25" t="s">
        <v>299</v>
      </c>
      <c r="Q277" s="25" t="s">
        <v>26</v>
      </c>
      <c r="R277" s="25" t="s">
        <v>456</v>
      </c>
      <c r="S277" s="35">
        <v>0.7</v>
      </c>
      <c r="T277" s="16">
        <v>157.79400000000001</v>
      </c>
      <c r="U277" s="19">
        <v>-115.71559999999999</v>
      </c>
      <c r="V277" s="56">
        <f>Table11[[#This Row],[Profit]]/Table11[[#This Row],[Sales]]</f>
        <v>-0.73333333333333328</v>
      </c>
    </row>
    <row r="278" spans="1:22" x14ac:dyDescent="0.2">
      <c r="A278" s="4">
        <v>277</v>
      </c>
      <c r="B278" s="5" t="s">
        <v>6329</v>
      </c>
      <c r="C278" s="6">
        <v>42099</v>
      </c>
      <c r="D278" s="27">
        <f>MONTH(Table11[[#This Row],[Order Date]])</f>
        <v>4</v>
      </c>
      <c r="E278" s="5" t="s">
        <v>4696</v>
      </c>
      <c r="F278" s="5" t="s">
        <v>4697</v>
      </c>
      <c r="G278" s="24" t="s">
        <v>41</v>
      </c>
      <c r="H278" s="24" t="s">
        <v>71</v>
      </c>
      <c r="I278" s="5" t="s">
        <v>6330</v>
      </c>
      <c r="J278" s="24" t="s">
        <v>92</v>
      </c>
      <c r="K278" s="27">
        <v>7</v>
      </c>
      <c r="L278" s="6">
        <v>42104</v>
      </c>
      <c r="M278" s="27">
        <f>Table11[[#This Row],[Ship Date]]-Table11[[#This Row],[Order Date]]</f>
        <v>5</v>
      </c>
      <c r="N278" s="24" t="s">
        <v>45</v>
      </c>
      <c r="O278" s="24" t="s">
        <v>23</v>
      </c>
      <c r="P278" s="24" t="s">
        <v>132</v>
      </c>
      <c r="Q278" s="24" t="s">
        <v>133</v>
      </c>
      <c r="R278" s="24" t="s">
        <v>131</v>
      </c>
      <c r="S278" s="34">
        <v>0.2</v>
      </c>
      <c r="T278" s="15">
        <v>98.111999999999995</v>
      </c>
      <c r="U278" s="18">
        <v>18.396000000000001</v>
      </c>
      <c r="V278" s="56">
        <f>Table11[[#This Row],[Profit]]/Table11[[#This Row],[Sales]]</f>
        <v>0.18750000000000003</v>
      </c>
    </row>
    <row r="279" spans="1:22" x14ac:dyDescent="0.2">
      <c r="A279" s="2">
        <v>278</v>
      </c>
      <c r="B279" s="3" t="s">
        <v>6329</v>
      </c>
      <c r="C279" s="7">
        <v>42099</v>
      </c>
      <c r="D279" s="28">
        <f>MONTH(Table11[[#This Row],[Order Date]])</f>
        <v>4</v>
      </c>
      <c r="E279" s="3" t="s">
        <v>2462</v>
      </c>
      <c r="F279" s="3" t="s">
        <v>2463</v>
      </c>
      <c r="G279" s="25" t="s">
        <v>41</v>
      </c>
      <c r="H279" s="25" t="s">
        <v>53</v>
      </c>
      <c r="I279" s="3" t="s">
        <v>6330</v>
      </c>
      <c r="J279" s="25" t="s">
        <v>92</v>
      </c>
      <c r="K279" s="28">
        <v>4</v>
      </c>
      <c r="L279" s="7">
        <v>42104</v>
      </c>
      <c r="M279" s="28">
        <f>Table11[[#This Row],[Ship Date]]-Table11[[#This Row],[Order Date]]</f>
        <v>5</v>
      </c>
      <c r="N279" s="25" t="s">
        <v>45</v>
      </c>
      <c r="O279" s="25" t="s">
        <v>23</v>
      </c>
      <c r="P279" s="25" t="s">
        <v>132</v>
      </c>
      <c r="Q279" s="25" t="s">
        <v>133</v>
      </c>
      <c r="R279" s="25" t="s">
        <v>131</v>
      </c>
      <c r="S279" s="35">
        <v>0.2</v>
      </c>
      <c r="T279" s="16">
        <v>563.80799999999999</v>
      </c>
      <c r="U279" s="19">
        <v>21.142800000000001</v>
      </c>
      <c r="V279" s="56">
        <f>Table11[[#This Row],[Profit]]/Table11[[#This Row],[Sales]]</f>
        <v>3.7500000000000006E-2</v>
      </c>
    </row>
    <row r="280" spans="1:22" x14ac:dyDescent="0.2">
      <c r="A280" s="4">
        <v>279</v>
      </c>
      <c r="B280" s="5" t="s">
        <v>6329</v>
      </c>
      <c r="C280" s="6">
        <v>42099</v>
      </c>
      <c r="D280" s="27">
        <f>MONTH(Table11[[#This Row],[Order Date]])</f>
        <v>4</v>
      </c>
      <c r="E280" s="5" t="s">
        <v>2903</v>
      </c>
      <c r="F280" s="5" t="s">
        <v>2904</v>
      </c>
      <c r="G280" s="24" t="s">
        <v>41</v>
      </c>
      <c r="H280" s="24" t="s">
        <v>68</v>
      </c>
      <c r="I280" s="5" t="s">
        <v>6330</v>
      </c>
      <c r="J280" s="24" t="s">
        <v>92</v>
      </c>
      <c r="K280" s="27">
        <v>4</v>
      </c>
      <c r="L280" s="6">
        <v>42104</v>
      </c>
      <c r="M280" s="27">
        <f>Table11[[#This Row],[Ship Date]]-Table11[[#This Row],[Order Date]]</f>
        <v>5</v>
      </c>
      <c r="N280" s="24" t="s">
        <v>45</v>
      </c>
      <c r="O280" s="24" t="s">
        <v>23</v>
      </c>
      <c r="P280" s="24" t="s">
        <v>132</v>
      </c>
      <c r="Q280" s="24" t="s">
        <v>133</v>
      </c>
      <c r="R280" s="24" t="s">
        <v>131</v>
      </c>
      <c r="S280" s="34">
        <v>0.7</v>
      </c>
      <c r="T280" s="15">
        <v>10.428000000000001</v>
      </c>
      <c r="U280" s="18">
        <v>-6.952</v>
      </c>
      <c r="V280" s="56">
        <f>Table11[[#This Row],[Profit]]/Table11[[#This Row],[Sales]]</f>
        <v>-0.66666666666666663</v>
      </c>
    </row>
    <row r="281" spans="1:22" x14ac:dyDescent="0.2">
      <c r="A281" s="4">
        <v>280</v>
      </c>
      <c r="B281" s="3" t="s">
        <v>6329</v>
      </c>
      <c r="C281" s="7">
        <v>42099</v>
      </c>
      <c r="D281" s="28">
        <f>MONTH(Table11[[#This Row],[Order Date]])</f>
        <v>4</v>
      </c>
      <c r="E281" s="3" t="s">
        <v>4741</v>
      </c>
      <c r="F281" s="3" t="s">
        <v>4742</v>
      </c>
      <c r="G281" s="25" t="s">
        <v>28</v>
      </c>
      <c r="H281" s="25" t="s">
        <v>58</v>
      </c>
      <c r="I281" s="3" t="s">
        <v>6330</v>
      </c>
      <c r="J281" s="25" t="s">
        <v>92</v>
      </c>
      <c r="K281" s="28">
        <v>4</v>
      </c>
      <c r="L281" s="7">
        <v>42104</v>
      </c>
      <c r="M281" s="28">
        <f>Table11[[#This Row],[Ship Date]]-Table11[[#This Row],[Order Date]]</f>
        <v>5</v>
      </c>
      <c r="N281" s="25" t="s">
        <v>45</v>
      </c>
      <c r="O281" s="25" t="s">
        <v>23</v>
      </c>
      <c r="P281" s="25" t="s">
        <v>132</v>
      </c>
      <c r="Q281" s="25" t="s">
        <v>133</v>
      </c>
      <c r="R281" s="25" t="s">
        <v>131</v>
      </c>
      <c r="S281" s="35">
        <v>0.2</v>
      </c>
      <c r="T281" s="16">
        <v>547.13599999999997</v>
      </c>
      <c r="U281" s="19">
        <v>-68.391999999999996</v>
      </c>
      <c r="V281" s="56">
        <f>Table11[[#This Row],[Profit]]/Table11[[#This Row],[Sales]]</f>
        <v>-0.125</v>
      </c>
    </row>
    <row r="282" spans="1:22" x14ac:dyDescent="0.2">
      <c r="A282" s="2">
        <v>281</v>
      </c>
      <c r="B282" s="5" t="s">
        <v>6329</v>
      </c>
      <c r="C282" s="6">
        <v>42099</v>
      </c>
      <c r="D282" s="27">
        <f>MONTH(Table11[[#This Row],[Order Date]])</f>
        <v>4</v>
      </c>
      <c r="E282" s="5" t="s">
        <v>1711</v>
      </c>
      <c r="F282" s="5" t="s">
        <v>1712</v>
      </c>
      <c r="G282" s="24" t="s">
        <v>64</v>
      </c>
      <c r="H282" s="24" t="s">
        <v>65</v>
      </c>
      <c r="I282" s="5" t="s">
        <v>6330</v>
      </c>
      <c r="J282" s="24" t="s">
        <v>92</v>
      </c>
      <c r="K282" s="27">
        <v>5</v>
      </c>
      <c r="L282" s="6">
        <v>42104</v>
      </c>
      <c r="M282" s="27">
        <f>Table11[[#This Row],[Ship Date]]-Table11[[#This Row],[Order Date]]</f>
        <v>5</v>
      </c>
      <c r="N282" s="24" t="s">
        <v>45</v>
      </c>
      <c r="O282" s="24" t="s">
        <v>23</v>
      </c>
      <c r="P282" s="24" t="s">
        <v>132</v>
      </c>
      <c r="Q282" s="24" t="s">
        <v>133</v>
      </c>
      <c r="R282" s="24" t="s">
        <v>131</v>
      </c>
      <c r="S282" s="34">
        <v>0.4</v>
      </c>
      <c r="T282" s="15">
        <v>14.85</v>
      </c>
      <c r="U282" s="18">
        <v>-3.2174999999999998</v>
      </c>
      <c r="V282" s="56">
        <f>Table11[[#This Row],[Profit]]/Table11[[#This Row],[Sales]]</f>
        <v>-0.21666666666666665</v>
      </c>
    </row>
    <row r="283" spans="1:22" x14ac:dyDescent="0.2">
      <c r="A283" s="4">
        <v>282</v>
      </c>
      <c r="B283" s="3" t="s">
        <v>6329</v>
      </c>
      <c r="C283" s="7">
        <v>42099</v>
      </c>
      <c r="D283" s="28">
        <f>MONTH(Table11[[#This Row],[Order Date]])</f>
        <v>4</v>
      </c>
      <c r="E283" s="3" t="s">
        <v>417</v>
      </c>
      <c r="F283" s="3" t="s">
        <v>418</v>
      </c>
      <c r="G283" s="25" t="s">
        <v>64</v>
      </c>
      <c r="H283" s="25" t="s">
        <v>65</v>
      </c>
      <c r="I283" s="3" t="s">
        <v>6330</v>
      </c>
      <c r="J283" s="25" t="s">
        <v>92</v>
      </c>
      <c r="K283" s="28">
        <v>2</v>
      </c>
      <c r="L283" s="7">
        <v>42104</v>
      </c>
      <c r="M283" s="28">
        <f>Table11[[#This Row],[Ship Date]]-Table11[[#This Row],[Order Date]]</f>
        <v>5</v>
      </c>
      <c r="N283" s="25" t="s">
        <v>45</v>
      </c>
      <c r="O283" s="25" t="s">
        <v>23</v>
      </c>
      <c r="P283" s="25" t="s">
        <v>132</v>
      </c>
      <c r="Q283" s="25" t="s">
        <v>133</v>
      </c>
      <c r="R283" s="25" t="s">
        <v>131</v>
      </c>
      <c r="S283" s="35">
        <v>0.4</v>
      </c>
      <c r="T283" s="16">
        <v>41.988</v>
      </c>
      <c r="U283" s="19">
        <v>-9.7972000000000001</v>
      </c>
      <c r="V283" s="56">
        <f>Table11[[#This Row],[Profit]]/Table11[[#This Row],[Sales]]</f>
        <v>-0.23333333333333334</v>
      </c>
    </row>
    <row r="284" spans="1:22" x14ac:dyDescent="0.2">
      <c r="A284" s="4">
        <v>283</v>
      </c>
      <c r="B284" s="5" t="s">
        <v>6329</v>
      </c>
      <c r="C284" s="6">
        <v>42099</v>
      </c>
      <c r="D284" s="27">
        <f>MONTH(Table11[[#This Row],[Order Date]])</f>
        <v>4</v>
      </c>
      <c r="E284" s="5" t="s">
        <v>4199</v>
      </c>
      <c r="F284" s="5" t="s">
        <v>4200</v>
      </c>
      <c r="G284" s="24" t="s">
        <v>28</v>
      </c>
      <c r="H284" s="24" t="s">
        <v>58</v>
      </c>
      <c r="I284" s="5" t="s">
        <v>6330</v>
      </c>
      <c r="J284" s="24" t="s">
        <v>92</v>
      </c>
      <c r="K284" s="27">
        <v>1</v>
      </c>
      <c r="L284" s="6">
        <v>42104</v>
      </c>
      <c r="M284" s="27">
        <f>Table11[[#This Row],[Ship Date]]-Table11[[#This Row],[Order Date]]</f>
        <v>5</v>
      </c>
      <c r="N284" s="24" t="s">
        <v>45</v>
      </c>
      <c r="O284" s="24" t="s">
        <v>23</v>
      </c>
      <c r="P284" s="24" t="s">
        <v>132</v>
      </c>
      <c r="Q284" s="24" t="s">
        <v>133</v>
      </c>
      <c r="R284" s="24" t="s">
        <v>131</v>
      </c>
      <c r="S284" s="34">
        <v>0.2</v>
      </c>
      <c r="T284" s="15">
        <v>7.5839999999999996</v>
      </c>
      <c r="U284" s="18">
        <v>2.37</v>
      </c>
      <c r="V284" s="56">
        <f>Table11[[#This Row],[Profit]]/Table11[[#This Row],[Sales]]</f>
        <v>0.31250000000000006</v>
      </c>
    </row>
    <row r="285" spans="1:22" x14ac:dyDescent="0.2">
      <c r="A285" s="2">
        <v>284</v>
      </c>
      <c r="B285" s="3" t="s">
        <v>6329</v>
      </c>
      <c r="C285" s="7">
        <v>42099</v>
      </c>
      <c r="D285" s="28">
        <f>MONTH(Table11[[#This Row],[Order Date]])</f>
        <v>4</v>
      </c>
      <c r="E285" s="3" t="s">
        <v>6331</v>
      </c>
      <c r="F285" s="3" t="s">
        <v>6332</v>
      </c>
      <c r="G285" s="25" t="s">
        <v>28</v>
      </c>
      <c r="H285" s="25" t="s">
        <v>29</v>
      </c>
      <c r="I285" s="3" t="s">
        <v>6330</v>
      </c>
      <c r="J285" s="25" t="s">
        <v>92</v>
      </c>
      <c r="K285" s="28">
        <v>5</v>
      </c>
      <c r="L285" s="7">
        <v>42104</v>
      </c>
      <c r="M285" s="28">
        <f>Table11[[#This Row],[Ship Date]]-Table11[[#This Row],[Order Date]]</f>
        <v>5</v>
      </c>
      <c r="N285" s="25" t="s">
        <v>45</v>
      </c>
      <c r="O285" s="25" t="s">
        <v>23</v>
      </c>
      <c r="P285" s="25" t="s">
        <v>132</v>
      </c>
      <c r="Q285" s="25" t="s">
        <v>133</v>
      </c>
      <c r="R285" s="25" t="s">
        <v>131</v>
      </c>
      <c r="S285" s="35">
        <v>0.5</v>
      </c>
      <c r="T285" s="16">
        <v>352.45</v>
      </c>
      <c r="U285" s="19">
        <v>-211.47</v>
      </c>
      <c r="V285" s="56">
        <f>Table11[[#This Row],[Profit]]/Table11[[#This Row],[Sales]]</f>
        <v>-0.6</v>
      </c>
    </row>
    <row r="286" spans="1:22" x14ac:dyDescent="0.2">
      <c r="A286" s="4">
        <v>285</v>
      </c>
      <c r="B286" s="5" t="s">
        <v>7889</v>
      </c>
      <c r="C286" s="6">
        <v>42099</v>
      </c>
      <c r="D286" s="27">
        <f>MONTH(Table11[[#This Row],[Order Date]])</f>
        <v>4</v>
      </c>
      <c r="E286" s="5" t="s">
        <v>2193</v>
      </c>
      <c r="F286" s="5" t="s">
        <v>2194</v>
      </c>
      <c r="G286" s="24" t="s">
        <v>41</v>
      </c>
      <c r="H286" s="24" t="s">
        <v>42</v>
      </c>
      <c r="I286" s="5" t="s">
        <v>579</v>
      </c>
      <c r="J286" s="24" t="s">
        <v>22</v>
      </c>
      <c r="K286" s="27">
        <v>6</v>
      </c>
      <c r="L286" s="6">
        <v>42101</v>
      </c>
      <c r="M286" s="27">
        <f>Table11[[#This Row],[Ship Date]]-Table11[[#This Row],[Order Date]]</f>
        <v>2</v>
      </c>
      <c r="N286" s="24" t="s">
        <v>169</v>
      </c>
      <c r="O286" s="24" t="s">
        <v>23</v>
      </c>
      <c r="P286" s="24" t="s">
        <v>132</v>
      </c>
      <c r="Q286" s="24" t="s">
        <v>133</v>
      </c>
      <c r="R286" s="24" t="s">
        <v>131</v>
      </c>
      <c r="S286" s="34">
        <v>0.2</v>
      </c>
      <c r="T286" s="15">
        <v>23.904</v>
      </c>
      <c r="U286" s="18">
        <v>7.7687999999999997</v>
      </c>
      <c r="V286" s="56">
        <f>Table11[[#This Row],[Profit]]/Table11[[#This Row],[Sales]]</f>
        <v>0.32500000000000001</v>
      </c>
    </row>
    <row r="287" spans="1:22" x14ac:dyDescent="0.2">
      <c r="A287" s="4">
        <v>286</v>
      </c>
      <c r="B287" s="3" t="s">
        <v>8799</v>
      </c>
      <c r="C287" s="7">
        <v>42099</v>
      </c>
      <c r="D287" s="28">
        <f>MONTH(Table11[[#This Row],[Order Date]])</f>
        <v>4</v>
      </c>
      <c r="E287" s="3" t="s">
        <v>3001</v>
      </c>
      <c r="F287" s="3" t="s">
        <v>3002</v>
      </c>
      <c r="G287" s="25" t="s">
        <v>28</v>
      </c>
      <c r="H287" s="25" t="s">
        <v>32</v>
      </c>
      <c r="I287" s="3" t="s">
        <v>5355</v>
      </c>
      <c r="J287" s="25" t="s">
        <v>36</v>
      </c>
      <c r="K287" s="28">
        <v>3</v>
      </c>
      <c r="L287" s="7">
        <v>42105</v>
      </c>
      <c r="M287" s="28">
        <f>Table11[[#This Row],[Ship Date]]-Table11[[#This Row],[Order Date]]</f>
        <v>6</v>
      </c>
      <c r="N287" s="25" t="s">
        <v>45</v>
      </c>
      <c r="O287" s="25" t="s">
        <v>23</v>
      </c>
      <c r="P287" s="25" t="s">
        <v>38</v>
      </c>
      <c r="Q287" s="25" t="s">
        <v>39</v>
      </c>
      <c r="R287" s="25" t="s">
        <v>37</v>
      </c>
      <c r="S287" s="35">
        <v>0.2</v>
      </c>
      <c r="T287" s="16">
        <v>892.22400000000005</v>
      </c>
      <c r="U287" s="19">
        <v>89.222399999999993</v>
      </c>
      <c r="V287" s="56">
        <f>Table11[[#This Row],[Profit]]/Table11[[#This Row],[Sales]]</f>
        <v>9.9999999999999992E-2</v>
      </c>
    </row>
    <row r="288" spans="1:22" x14ac:dyDescent="0.2">
      <c r="A288" s="2">
        <v>287</v>
      </c>
      <c r="B288" s="5" t="s">
        <v>9582</v>
      </c>
      <c r="C288" s="6">
        <v>42099</v>
      </c>
      <c r="D288" s="27">
        <f>MONTH(Table11[[#This Row],[Order Date]])</f>
        <v>4</v>
      </c>
      <c r="E288" s="5" t="s">
        <v>394</v>
      </c>
      <c r="F288" s="5" t="s">
        <v>395</v>
      </c>
      <c r="G288" s="24" t="s">
        <v>64</v>
      </c>
      <c r="H288" s="24" t="s">
        <v>144</v>
      </c>
      <c r="I288" s="5" t="s">
        <v>1710</v>
      </c>
      <c r="J288" s="24" t="s">
        <v>22</v>
      </c>
      <c r="K288" s="27">
        <v>6</v>
      </c>
      <c r="L288" s="6">
        <v>42100</v>
      </c>
      <c r="M288" s="27">
        <f>Table11[[#This Row],[Ship Date]]-Table11[[#This Row],[Order Date]]</f>
        <v>1</v>
      </c>
      <c r="N288" s="24" t="s">
        <v>1141</v>
      </c>
      <c r="O288" s="24" t="s">
        <v>23</v>
      </c>
      <c r="P288" s="24" t="s">
        <v>87</v>
      </c>
      <c r="Q288" s="24" t="s">
        <v>39</v>
      </c>
      <c r="R288" s="24" t="s">
        <v>4135</v>
      </c>
      <c r="S288" s="34">
        <v>0</v>
      </c>
      <c r="T288" s="15">
        <v>239.94</v>
      </c>
      <c r="U288" s="18">
        <v>26.3934</v>
      </c>
      <c r="V288" s="56">
        <f>Table11[[#This Row],[Profit]]/Table11[[#This Row],[Sales]]</f>
        <v>0.11</v>
      </c>
    </row>
    <row r="289" spans="1:22" x14ac:dyDescent="0.2">
      <c r="A289" s="4">
        <v>288</v>
      </c>
      <c r="B289" s="3" t="s">
        <v>9582</v>
      </c>
      <c r="C289" s="7">
        <v>42099</v>
      </c>
      <c r="D289" s="28">
        <f>MONTH(Table11[[#This Row],[Order Date]])</f>
        <v>4</v>
      </c>
      <c r="E289" s="3" t="s">
        <v>7038</v>
      </c>
      <c r="F289" s="3" t="s">
        <v>7039</v>
      </c>
      <c r="G289" s="25" t="s">
        <v>41</v>
      </c>
      <c r="H289" s="25" t="s">
        <v>61</v>
      </c>
      <c r="I289" s="3" t="s">
        <v>1710</v>
      </c>
      <c r="J289" s="25" t="s">
        <v>22</v>
      </c>
      <c r="K289" s="28">
        <v>8</v>
      </c>
      <c r="L289" s="7">
        <v>42100</v>
      </c>
      <c r="M289" s="28">
        <f>Table11[[#This Row],[Ship Date]]-Table11[[#This Row],[Order Date]]</f>
        <v>1</v>
      </c>
      <c r="N289" s="25" t="s">
        <v>1141</v>
      </c>
      <c r="O289" s="25" t="s">
        <v>23</v>
      </c>
      <c r="P289" s="25" t="s">
        <v>87</v>
      </c>
      <c r="Q289" s="25" t="s">
        <v>39</v>
      </c>
      <c r="R289" s="25" t="s">
        <v>4135</v>
      </c>
      <c r="S289" s="35">
        <v>0</v>
      </c>
      <c r="T289" s="16">
        <v>23.84</v>
      </c>
      <c r="U289" s="19">
        <v>6.4367999999999999</v>
      </c>
      <c r="V289" s="56">
        <f>Table11[[#This Row],[Profit]]/Table11[[#This Row],[Sales]]</f>
        <v>0.27</v>
      </c>
    </row>
    <row r="290" spans="1:22" x14ac:dyDescent="0.2">
      <c r="A290" s="4">
        <v>289</v>
      </c>
      <c r="B290" s="5" t="s">
        <v>4992</v>
      </c>
      <c r="C290" s="6">
        <v>42100</v>
      </c>
      <c r="D290" s="27">
        <f>MONTH(Table11[[#This Row],[Order Date]])</f>
        <v>4</v>
      </c>
      <c r="E290" s="5" t="s">
        <v>1754</v>
      </c>
      <c r="F290" s="5" t="s">
        <v>1755</v>
      </c>
      <c r="G290" s="24" t="s">
        <v>41</v>
      </c>
      <c r="H290" s="24" t="s">
        <v>61</v>
      </c>
      <c r="I290" s="5" t="s">
        <v>4993</v>
      </c>
      <c r="J290" s="24" t="s">
        <v>22</v>
      </c>
      <c r="K290" s="27">
        <v>9</v>
      </c>
      <c r="L290" s="6">
        <v>42104</v>
      </c>
      <c r="M290" s="27">
        <f>Table11[[#This Row],[Ship Date]]-Table11[[#This Row],[Order Date]]</f>
        <v>4</v>
      </c>
      <c r="N290" s="24" t="s">
        <v>45</v>
      </c>
      <c r="O290" s="24" t="s">
        <v>23</v>
      </c>
      <c r="P290" s="24" t="s">
        <v>94</v>
      </c>
      <c r="Q290" s="24" t="s">
        <v>95</v>
      </c>
      <c r="R290" s="24" t="s">
        <v>165</v>
      </c>
      <c r="S290" s="34">
        <v>0.2</v>
      </c>
      <c r="T290" s="15">
        <v>42.048000000000002</v>
      </c>
      <c r="U290" s="18">
        <v>5.2560000000000002</v>
      </c>
      <c r="V290" s="56">
        <f>Table11[[#This Row],[Profit]]/Table11[[#This Row],[Sales]]</f>
        <v>0.125</v>
      </c>
    </row>
    <row r="291" spans="1:22" x14ac:dyDescent="0.2">
      <c r="A291" s="2">
        <v>290</v>
      </c>
      <c r="B291" s="3" t="s">
        <v>4992</v>
      </c>
      <c r="C291" s="7">
        <v>42100</v>
      </c>
      <c r="D291" s="28">
        <f>MONTH(Table11[[#This Row],[Order Date]])</f>
        <v>4</v>
      </c>
      <c r="E291" s="3" t="s">
        <v>4994</v>
      </c>
      <c r="F291" s="3" t="s">
        <v>4995</v>
      </c>
      <c r="G291" s="25" t="s">
        <v>64</v>
      </c>
      <c r="H291" s="25" t="s">
        <v>144</v>
      </c>
      <c r="I291" s="3" t="s">
        <v>4993</v>
      </c>
      <c r="J291" s="25" t="s">
        <v>22</v>
      </c>
      <c r="K291" s="28">
        <v>2</v>
      </c>
      <c r="L291" s="7">
        <v>42104</v>
      </c>
      <c r="M291" s="28">
        <f>Table11[[#This Row],[Ship Date]]-Table11[[#This Row],[Order Date]]</f>
        <v>4</v>
      </c>
      <c r="N291" s="25" t="s">
        <v>45</v>
      </c>
      <c r="O291" s="25" t="s">
        <v>23</v>
      </c>
      <c r="P291" s="25" t="s">
        <v>94</v>
      </c>
      <c r="Q291" s="25" t="s">
        <v>95</v>
      </c>
      <c r="R291" s="25" t="s">
        <v>165</v>
      </c>
      <c r="S291" s="35">
        <v>0.2</v>
      </c>
      <c r="T291" s="16">
        <v>25.488</v>
      </c>
      <c r="U291" s="19">
        <v>4.4603999999999999</v>
      </c>
      <c r="V291" s="56">
        <f>Table11[[#This Row],[Profit]]/Table11[[#This Row],[Sales]]</f>
        <v>0.17499999999999999</v>
      </c>
    </row>
    <row r="292" spans="1:22" x14ac:dyDescent="0.2">
      <c r="A292" s="4">
        <v>291</v>
      </c>
      <c r="B292" s="5" t="s">
        <v>4992</v>
      </c>
      <c r="C292" s="6">
        <v>42100</v>
      </c>
      <c r="D292" s="27">
        <f>MONTH(Table11[[#This Row],[Order Date]])</f>
        <v>4</v>
      </c>
      <c r="E292" s="5" t="s">
        <v>3559</v>
      </c>
      <c r="F292" s="5" t="s">
        <v>3560</v>
      </c>
      <c r="G292" s="24" t="s">
        <v>41</v>
      </c>
      <c r="H292" s="24" t="s">
        <v>68</v>
      </c>
      <c r="I292" s="5" t="s">
        <v>4993</v>
      </c>
      <c r="J292" s="24" t="s">
        <v>22</v>
      </c>
      <c r="K292" s="27">
        <v>3</v>
      </c>
      <c r="L292" s="6">
        <v>42104</v>
      </c>
      <c r="M292" s="27">
        <f>Table11[[#This Row],[Ship Date]]-Table11[[#This Row],[Order Date]]</f>
        <v>4</v>
      </c>
      <c r="N292" s="24" t="s">
        <v>45</v>
      </c>
      <c r="O292" s="24" t="s">
        <v>23</v>
      </c>
      <c r="P292" s="24" t="s">
        <v>94</v>
      </c>
      <c r="Q292" s="24" t="s">
        <v>95</v>
      </c>
      <c r="R292" s="24" t="s">
        <v>165</v>
      </c>
      <c r="S292" s="34">
        <v>0.8</v>
      </c>
      <c r="T292" s="15">
        <v>6.9</v>
      </c>
      <c r="U292" s="18">
        <v>-12.074999999999999</v>
      </c>
      <c r="V292" s="56">
        <f>Table11[[#This Row],[Profit]]/Table11[[#This Row],[Sales]]</f>
        <v>-1.7499999999999998</v>
      </c>
    </row>
    <row r="293" spans="1:22" x14ac:dyDescent="0.2">
      <c r="A293" s="4">
        <v>292</v>
      </c>
      <c r="B293" s="3" t="s">
        <v>4992</v>
      </c>
      <c r="C293" s="7">
        <v>42100</v>
      </c>
      <c r="D293" s="28">
        <f>MONTH(Table11[[#This Row],[Order Date]])</f>
        <v>4</v>
      </c>
      <c r="E293" s="3" t="s">
        <v>4384</v>
      </c>
      <c r="F293" s="3" t="s">
        <v>4385</v>
      </c>
      <c r="G293" s="25" t="s">
        <v>41</v>
      </c>
      <c r="H293" s="25" t="s">
        <v>68</v>
      </c>
      <c r="I293" s="3" t="s">
        <v>4993</v>
      </c>
      <c r="J293" s="25" t="s">
        <v>22</v>
      </c>
      <c r="K293" s="28">
        <v>6</v>
      </c>
      <c r="L293" s="7">
        <v>42104</v>
      </c>
      <c r="M293" s="28">
        <f>Table11[[#This Row],[Ship Date]]-Table11[[#This Row],[Order Date]]</f>
        <v>4</v>
      </c>
      <c r="N293" s="25" t="s">
        <v>45</v>
      </c>
      <c r="O293" s="25" t="s">
        <v>23</v>
      </c>
      <c r="P293" s="25" t="s">
        <v>94</v>
      </c>
      <c r="Q293" s="25" t="s">
        <v>95</v>
      </c>
      <c r="R293" s="25" t="s">
        <v>165</v>
      </c>
      <c r="S293" s="35">
        <v>0.8</v>
      </c>
      <c r="T293" s="16">
        <v>9.6479999999999997</v>
      </c>
      <c r="U293" s="19">
        <v>-16.884</v>
      </c>
      <c r="V293" s="56">
        <f>Table11[[#This Row],[Profit]]/Table11[[#This Row],[Sales]]</f>
        <v>-1.75</v>
      </c>
    </row>
    <row r="294" spans="1:22" x14ac:dyDescent="0.2">
      <c r="A294" s="2">
        <v>293</v>
      </c>
      <c r="B294" s="5" t="s">
        <v>4992</v>
      </c>
      <c r="C294" s="6">
        <v>42100</v>
      </c>
      <c r="D294" s="27">
        <f>MONTH(Table11[[#This Row],[Order Date]])</f>
        <v>4</v>
      </c>
      <c r="E294" s="5" t="s">
        <v>3685</v>
      </c>
      <c r="F294" s="5" t="s">
        <v>3686</v>
      </c>
      <c r="G294" s="24" t="s">
        <v>41</v>
      </c>
      <c r="H294" s="24" t="s">
        <v>82</v>
      </c>
      <c r="I294" s="5" t="s">
        <v>4993</v>
      </c>
      <c r="J294" s="24" t="s">
        <v>22</v>
      </c>
      <c r="K294" s="27">
        <v>2</v>
      </c>
      <c r="L294" s="6">
        <v>42104</v>
      </c>
      <c r="M294" s="27">
        <f>Table11[[#This Row],[Ship Date]]-Table11[[#This Row],[Order Date]]</f>
        <v>4</v>
      </c>
      <c r="N294" s="24" t="s">
        <v>45</v>
      </c>
      <c r="O294" s="24" t="s">
        <v>23</v>
      </c>
      <c r="P294" s="24" t="s">
        <v>94</v>
      </c>
      <c r="Q294" s="24" t="s">
        <v>95</v>
      </c>
      <c r="R294" s="24" t="s">
        <v>165</v>
      </c>
      <c r="S294" s="34">
        <v>0.2</v>
      </c>
      <c r="T294" s="15">
        <v>7.968</v>
      </c>
      <c r="U294" s="18">
        <v>2.8883999999999999</v>
      </c>
      <c r="V294" s="56">
        <f>Table11[[#This Row],[Profit]]/Table11[[#This Row],[Sales]]</f>
        <v>0.36249999999999999</v>
      </c>
    </row>
    <row r="295" spans="1:22" x14ac:dyDescent="0.2">
      <c r="A295" s="4">
        <v>294</v>
      </c>
      <c r="B295" s="3" t="s">
        <v>5959</v>
      </c>
      <c r="C295" s="7">
        <v>42100</v>
      </c>
      <c r="D295" s="28">
        <f>MONTH(Table11[[#This Row],[Order Date]])</f>
        <v>4</v>
      </c>
      <c r="E295" s="3" t="s">
        <v>2334</v>
      </c>
      <c r="F295" s="3" t="s">
        <v>2335</v>
      </c>
      <c r="G295" s="25" t="s">
        <v>41</v>
      </c>
      <c r="H295" s="25" t="s">
        <v>82</v>
      </c>
      <c r="I295" s="3" t="s">
        <v>5960</v>
      </c>
      <c r="J295" s="25" t="s">
        <v>22</v>
      </c>
      <c r="K295" s="28">
        <v>3</v>
      </c>
      <c r="L295" s="7">
        <v>42104</v>
      </c>
      <c r="M295" s="28">
        <f>Table11[[#This Row],[Ship Date]]-Table11[[#This Row],[Order Date]]</f>
        <v>4</v>
      </c>
      <c r="N295" s="25" t="s">
        <v>45</v>
      </c>
      <c r="O295" s="25" t="s">
        <v>23</v>
      </c>
      <c r="P295" s="25" t="s">
        <v>80</v>
      </c>
      <c r="Q295" s="25" t="s">
        <v>26</v>
      </c>
      <c r="R295" s="25" t="s">
        <v>1345</v>
      </c>
      <c r="S295" s="35">
        <v>0.2</v>
      </c>
      <c r="T295" s="16">
        <v>47.951999999999998</v>
      </c>
      <c r="U295" s="19">
        <v>16.183800000000002</v>
      </c>
      <c r="V295" s="56">
        <f>Table11[[#This Row],[Profit]]/Table11[[#This Row],[Sales]]</f>
        <v>0.33750000000000002</v>
      </c>
    </row>
    <row r="296" spans="1:22" x14ac:dyDescent="0.2">
      <c r="A296" s="4">
        <v>295</v>
      </c>
      <c r="B296" s="5" t="s">
        <v>7051</v>
      </c>
      <c r="C296" s="6">
        <v>42101</v>
      </c>
      <c r="D296" s="27">
        <f>MONTH(Table11[[#This Row],[Order Date]])</f>
        <v>4</v>
      </c>
      <c r="E296" s="5" t="s">
        <v>4990</v>
      </c>
      <c r="F296" s="5" t="s">
        <v>4991</v>
      </c>
      <c r="G296" s="24" t="s">
        <v>41</v>
      </c>
      <c r="H296" s="24" t="s">
        <v>71</v>
      </c>
      <c r="I296" s="5" t="s">
        <v>6305</v>
      </c>
      <c r="J296" s="24" t="s">
        <v>22</v>
      </c>
      <c r="K296" s="27">
        <v>8</v>
      </c>
      <c r="L296" s="6">
        <v>42105</v>
      </c>
      <c r="M296" s="27">
        <f>Table11[[#This Row],[Ship Date]]-Table11[[#This Row],[Order Date]]</f>
        <v>4</v>
      </c>
      <c r="N296" s="24" t="s">
        <v>45</v>
      </c>
      <c r="O296" s="24" t="s">
        <v>23</v>
      </c>
      <c r="P296" s="24" t="s">
        <v>94</v>
      </c>
      <c r="Q296" s="24" t="s">
        <v>95</v>
      </c>
      <c r="R296" s="24" t="s">
        <v>598</v>
      </c>
      <c r="S296" s="34">
        <v>0.8</v>
      </c>
      <c r="T296" s="15">
        <v>463.24799999999999</v>
      </c>
      <c r="U296" s="18">
        <v>-1181.2824000000001</v>
      </c>
      <c r="V296" s="56">
        <f>Table11[[#This Row],[Profit]]/Table11[[#This Row],[Sales]]</f>
        <v>-2.5500000000000003</v>
      </c>
    </row>
    <row r="297" spans="1:22" x14ac:dyDescent="0.2">
      <c r="A297" s="2">
        <v>296</v>
      </c>
      <c r="B297" s="3" t="s">
        <v>7051</v>
      </c>
      <c r="C297" s="7">
        <v>42101</v>
      </c>
      <c r="D297" s="28">
        <f>MONTH(Table11[[#This Row],[Order Date]])</f>
        <v>4</v>
      </c>
      <c r="E297" s="3" t="s">
        <v>2257</v>
      </c>
      <c r="F297" s="3" t="s">
        <v>2258</v>
      </c>
      <c r="G297" s="25" t="s">
        <v>64</v>
      </c>
      <c r="H297" s="25" t="s">
        <v>144</v>
      </c>
      <c r="I297" s="3" t="s">
        <v>6305</v>
      </c>
      <c r="J297" s="25" t="s">
        <v>22</v>
      </c>
      <c r="K297" s="28">
        <v>6</v>
      </c>
      <c r="L297" s="7">
        <v>42105</v>
      </c>
      <c r="M297" s="28">
        <f>Table11[[#This Row],[Ship Date]]-Table11[[#This Row],[Order Date]]</f>
        <v>4</v>
      </c>
      <c r="N297" s="25" t="s">
        <v>45</v>
      </c>
      <c r="O297" s="25" t="s">
        <v>23</v>
      </c>
      <c r="P297" s="25" t="s">
        <v>94</v>
      </c>
      <c r="Q297" s="25" t="s">
        <v>95</v>
      </c>
      <c r="R297" s="25" t="s">
        <v>598</v>
      </c>
      <c r="S297" s="35">
        <v>0.2</v>
      </c>
      <c r="T297" s="16">
        <v>383.952</v>
      </c>
      <c r="U297" s="19">
        <v>47.994</v>
      </c>
      <c r="V297" s="56">
        <f>Table11[[#This Row],[Profit]]/Table11[[#This Row],[Sales]]</f>
        <v>0.125</v>
      </c>
    </row>
    <row r="298" spans="1:22" x14ac:dyDescent="0.2">
      <c r="A298" s="4">
        <v>297</v>
      </c>
      <c r="B298" s="5" t="s">
        <v>7781</v>
      </c>
      <c r="C298" s="6">
        <v>42101</v>
      </c>
      <c r="D298" s="27">
        <f>MONTH(Table11[[#This Row],[Order Date]])</f>
        <v>4</v>
      </c>
      <c r="E298" s="5" t="s">
        <v>1930</v>
      </c>
      <c r="F298" s="5" t="s">
        <v>1931</v>
      </c>
      <c r="G298" s="24" t="s">
        <v>41</v>
      </c>
      <c r="H298" s="24" t="s">
        <v>61</v>
      </c>
      <c r="I298" s="5" t="s">
        <v>664</v>
      </c>
      <c r="J298" s="24" t="s">
        <v>92</v>
      </c>
      <c r="K298" s="27">
        <v>3</v>
      </c>
      <c r="L298" s="6">
        <v>42103</v>
      </c>
      <c r="M298" s="27">
        <f>Table11[[#This Row],[Ship Date]]-Table11[[#This Row],[Order Date]]</f>
        <v>2</v>
      </c>
      <c r="N298" s="24" t="s">
        <v>169</v>
      </c>
      <c r="O298" s="24" t="s">
        <v>23</v>
      </c>
      <c r="P298" s="24" t="s">
        <v>132</v>
      </c>
      <c r="Q298" s="24" t="s">
        <v>133</v>
      </c>
      <c r="R298" s="24" t="s">
        <v>131</v>
      </c>
      <c r="S298" s="34">
        <v>0.2</v>
      </c>
      <c r="T298" s="15">
        <v>11.736000000000001</v>
      </c>
      <c r="U298" s="18">
        <v>1.0268999999999999</v>
      </c>
      <c r="V298" s="56">
        <f>Table11[[#This Row],[Profit]]/Table11[[#This Row],[Sales]]</f>
        <v>8.7499999999999994E-2</v>
      </c>
    </row>
    <row r="299" spans="1:22" x14ac:dyDescent="0.2">
      <c r="A299" s="4">
        <v>298</v>
      </c>
      <c r="B299" s="3" t="s">
        <v>9603</v>
      </c>
      <c r="C299" s="7">
        <v>42101</v>
      </c>
      <c r="D299" s="28">
        <f>MONTH(Table11[[#This Row],[Order Date]])</f>
        <v>4</v>
      </c>
      <c r="E299" s="3" t="s">
        <v>3506</v>
      </c>
      <c r="F299" s="3" t="s">
        <v>3507</v>
      </c>
      <c r="G299" s="25" t="s">
        <v>41</v>
      </c>
      <c r="H299" s="25" t="s">
        <v>82</v>
      </c>
      <c r="I299" s="3" t="s">
        <v>1919</v>
      </c>
      <c r="J299" s="25" t="s">
        <v>22</v>
      </c>
      <c r="K299" s="28">
        <v>4</v>
      </c>
      <c r="L299" s="7">
        <v>42104</v>
      </c>
      <c r="M299" s="28">
        <f>Table11[[#This Row],[Ship Date]]-Table11[[#This Row],[Order Date]]</f>
        <v>3</v>
      </c>
      <c r="N299" s="25" t="s">
        <v>169</v>
      </c>
      <c r="O299" s="25" t="s">
        <v>23</v>
      </c>
      <c r="P299" s="25" t="s">
        <v>238</v>
      </c>
      <c r="Q299" s="25" t="s">
        <v>133</v>
      </c>
      <c r="R299" s="25" t="s">
        <v>237</v>
      </c>
      <c r="S299" s="35">
        <v>0</v>
      </c>
      <c r="T299" s="16">
        <v>25.92</v>
      </c>
      <c r="U299" s="19">
        <v>12.441599999999999</v>
      </c>
      <c r="V299" s="56">
        <f>Table11[[#This Row],[Profit]]/Table11[[#This Row],[Sales]]</f>
        <v>0.47999999999999993</v>
      </c>
    </row>
    <row r="300" spans="1:22" x14ac:dyDescent="0.2">
      <c r="A300" s="2">
        <v>299</v>
      </c>
      <c r="B300" s="5" t="s">
        <v>9603</v>
      </c>
      <c r="C300" s="6">
        <v>42101</v>
      </c>
      <c r="D300" s="27">
        <f>MONTH(Table11[[#This Row],[Order Date]])</f>
        <v>4</v>
      </c>
      <c r="E300" s="5" t="s">
        <v>3510</v>
      </c>
      <c r="F300" s="5" t="s">
        <v>3511</v>
      </c>
      <c r="G300" s="24" t="s">
        <v>41</v>
      </c>
      <c r="H300" s="24" t="s">
        <v>53</v>
      </c>
      <c r="I300" s="5" t="s">
        <v>1919</v>
      </c>
      <c r="J300" s="24" t="s">
        <v>22</v>
      </c>
      <c r="K300" s="27">
        <v>2</v>
      </c>
      <c r="L300" s="6">
        <v>42104</v>
      </c>
      <c r="M300" s="27">
        <f>Table11[[#This Row],[Ship Date]]-Table11[[#This Row],[Order Date]]</f>
        <v>3</v>
      </c>
      <c r="N300" s="24" t="s">
        <v>169</v>
      </c>
      <c r="O300" s="24" t="s">
        <v>23</v>
      </c>
      <c r="P300" s="24" t="s">
        <v>238</v>
      </c>
      <c r="Q300" s="24" t="s">
        <v>133</v>
      </c>
      <c r="R300" s="24" t="s">
        <v>237</v>
      </c>
      <c r="S300" s="34">
        <v>0</v>
      </c>
      <c r="T300" s="15">
        <v>22.58</v>
      </c>
      <c r="U300" s="18">
        <v>5.8708</v>
      </c>
      <c r="V300" s="56">
        <f>Table11[[#This Row],[Profit]]/Table11[[#This Row],[Sales]]</f>
        <v>0.26</v>
      </c>
    </row>
    <row r="301" spans="1:22" x14ac:dyDescent="0.2">
      <c r="A301" s="4">
        <v>300</v>
      </c>
      <c r="B301" s="3" t="s">
        <v>1996</v>
      </c>
      <c r="C301" s="7">
        <v>42103</v>
      </c>
      <c r="D301" s="28">
        <f>MONTH(Table11[[#This Row],[Order Date]])</f>
        <v>4</v>
      </c>
      <c r="E301" s="3" t="s">
        <v>1998</v>
      </c>
      <c r="F301" s="3" t="s">
        <v>1999</v>
      </c>
      <c r="G301" s="25" t="s">
        <v>28</v>
      </c>
      <c r="H301" s="25" t="s">
        <v>50</v>
      </c>
      <c r="I301" s="3" t="s">
        <v>1997</v>
      </c>
      <c r="J301" s="25" t="s">
        <v>22</v>
      </c>
      <c r="K301" s="28">
        <v>3</v>
      </c>
      <c r="L301" s="7">
        <v>42108</v>
      </c>
      <c r="M301" s="28">
        <f>Table11[[#This Row],[Ship Date]]-Table11[[#This Row],[Order Date]]</f>
        <v>5</v>
      </c>
      <c r="N301" s="25" t="s">
        <v>45</v>
      </c>
      <c r="O301" s="25" t="s">
        <v>23</v>
      </c>
      <c r="P301" s="25" t="s">
        <v>38</v>
      </c>
      <c r="Q301" s="25" t="s">
        <v>39</v>
      </c>
      <c r="R301" s="25" t="s">
        <v>1037</v>
      </c>
      <c r="S301" s="35">
        <v>0.2</v>
      </c>
      <c r="T301" s="16">
        <v>369.91199999999998</v>
      </c>
      <c r="U301" s="19">
        <v>-13.871700000000001</v>
      </c>
      <c r="V301" s="56">
        <f>Table11[[#This Row],[Profit]]/Table11[[#This Row],[Sales]]</f>
        <v>-3.7500000000000006E-2</v>
      </c>
    </row>
    <row r="302" spans="1:22" x14ac:dyDescent="0.2">
      <c r="A302" s="4">
        <v>301</v>
      </c>
      <c r="B302" s="5" t="s">
        <v>9264</v>
      </c>
      <c r="C302" s="6">
        <v>42103</v>
      </c>
      <c r="D302" s="27">
        <f>MONTH(Table11[[#This Row],[Order Date]])</f>
        <v>4</v>
      </c>
      <c r="E302" s="5" t="s">
        <v>4253</v>
      </c>
      <c r="F302" s="5" t="s">
        <v>4254</v>
      </c>
      <c r="G302" s="24" t="s">
        <v>41</v>
      </c>
      <c r="H302" s="24" t="s">
        <v>53</v>
      </c>
      <c r="I302" s="5" t="s">
        <v>3678</v>
      </c>
      <c r="J302" s="24" t="s">
        <v>22</v>
      </c>
      <c r="K302" s="27">
        <v>3</v>
      </c>
      <c r="L302" s="6">
        <v>42108</v>
      </c>
      <c r="M302" s="27">
        <f>Table11[[#This Row],[Ship Date]]-Table11[[#This Row],[Order Date]]</f>
        <v>5</v>
      </c>
      <c r="N302" s="24" t="s">
        <v>45</v>
      </c>
      <c r="O302" s="24" t="s">
        <v>23</v>
      </c>
      <c r="P302" s="24" t="s">
        <v>238</v>
      </c>
      <c r="Q302" s="24" t="s">
        <v>133</v>
      </c>
      <c r="R302" s="24" t="s">
        <v>237</v>
      </c>
      <c r="S302" s="34">
        <v>0</v>
      </c>
      <c r="T302" s="15">
        <v>17.940000000000001</v>
      </c>
      <c r="U302" s="18">
        <v>3.0497999999999998</v>
      </c>
      <c r="V302" s="56">
        <f>Table11[[#This Row],[Profit]]/Table11[[#This Row],[Sales]]</f>
        <v>0.16999999999999998</v>
      </c>
    </row>
    <row r="303" spans="1:22" x14ac:dyDescent="0.2">
      <c r="A303" s="2">
        <v>302</v>
      </c>
      <c r="B303" s="3" t="s">
        <v>9265</v>
      </c>
      <c r="C303" s="7">
        <v>42103</v>
      </c>
      <c r="D303" s="28">
        <f>MONTH(Table11[[#This Row],[Order Date]])</f>
        <v>4</v>
      </c>
      <c r="E303" s="3" t="s">
        <v>1818</v>
      </c>
      <c r="F303" s="3" t="s">
        <v>1819</v>
      </c>
      <c r="G303" s="25" t="s">
        <v>41</v>
      </c>
      <c r="H303" s="25" t="s">
        <v>71</v>
      </c>
      <c r="I303" s="3" t="s">
        <v>3628</v>
      </c>
      <c r="J303" s="25" t="s">
        <v>22</v>
      </c>
      <c r="K303" s="28">
        <v>3</v>
      </c>
      <c r="L303" s="7">
        <v>42108</v>
      </c>
      <c r="M303" s="28">
        <f>Table11[[#This Row],[Ship Date]]-Table11[[#This Row],[Order Date]]</f>
        <v>5</v>
      </c>
      <c r="N303" s="25" t="s">
        <v>45</v>
      </c>
      <c r="O303" s="25" t="s">
        <v>23</v>
      </c>
      <c r="P303" s="25" t="s">
        <v>660</v>
      </c>
      <c r="Q303" s="25" t="s">
        <v>133</v>
      </c>
      <c r="R303" s="25" t="s">
        <v>2466</v>
      </c>
      <c r="S303" s="35">
        <v>0</v>
      </c>
      <c r="T303" s="16">
        <v>370.14</v>
      </c>
      <c r="U303" s="19">
        <v>144.3546</v>
      </c>
      <c r="V303" s="56">
        <f>Table11[[#This Row],[Profit]]/Table11[[#This Row],[Sales]]</f>
        <v>0.39</v>
      </c>
    </row>
    <row r="304" spans="1:22" x14ac:dyDescent="0.2">
      <c r="A304" s="4">
        <v>303</v>
      </c>
      <c r="B304" s="5" t="s">
        <v>6000</v>
      </c>
      <c r="C304" s="6">
        <v>42104</v>
      </c>
      <c r="D304" s="27">
        <f>MONTH(Table11[[#This Row],[Order Date]])</f>
        <v>4</v>
      </c>
      <c r="E304" s="5" t="s">
        <v>1346</v>
      </c>
      <c r="F304" s="5" t="s">
        <v>1347</v>
      </c>
      <c r="G304" s="24" t="s">
        <v>41</v>
      </c>
      <c r="H304" s="24" t="s">
        <v>68</v>
      </c>
      <c r="I304" s="5" t="s">
        <v>5560</v>
      </c>
      <c r="J304" s="24" t="s">
        <v>36</v>
      </c>
      <c r="K304" s="27">
        <v>2</v>
      </c>
      <c r="L304" s="6">
        <v>42109</v>
      </c>
      <c r="M304" s="27">
        <f>Table11[[#This Row],[Ship Date]]-Table11[[#This Row],[Order Date]]</f>
        <v>5</v>
      </c>
      <c r="N304" s="24" t="s">
        <v>45</v>
      </c>
      <c r="O304" s="24" t="s">
        <v>23</v>
      </c>
      <c r="P304" s="24" t="s">
        <v>38</v>
      </c>
      <c r="Q304" s="24" t="s">
        <v>39</v>
      </c>
      <c r="R304" s="24" t="s">
        <v>4790</v>
      </c>
      <c r="S304" s="34">
        <v>0.2</v>
      </c>
      <c r="T304" s="15">
        <v>12.832000000000001</v>
      </c>
      <c r="U304" s="18">
        <v>4.3308</v>
      </c>
      <c r="V304" s="56">
        <f>Table11[[#This Row],[Profit]]/Table11[[#This Row],[Sales]]</f>
        <v>0.33749999999999997</v>
      </c>
    </row>
    <row r="305" spans="1:22" x14ac:dyDescent="0.2">
      <c r="A305" s="4">
        <v>304</v>
      </c>
      <c r="B305" s="3" t="s">
        <v>7887</v>
      </c>
      <c r="C305" s="7">
        <v>42104</v>
      </c>
      <c r="D305" s="28">
        <f>MONTH(Table11[[#This Row],[Order Date]])</f>
        <v>4</v>
      </c>
      <c r="E305" s="3" t="s">
        <v>2894</v>
      </c>
      <c r="F305" s="3" t="s">
        <v>2895</v>
      </c>
      <c r="G305" s="25" t="s">
        <v>41</v>
      </c>
      <c r="H305" s="25" t="s">
        <v>53</v>
      </c>
      <c r="I305" s="3" t="s">
        <v>1905</v>
      </c>
      <c r="J305" s="25" t="s">
        <v>92</v>
      </c>
      <c r="K305" s="28">
        <v>4</v>
      </c>
      <c r="L305" s="7">
        <v>42110</v>
      </c>
      <c r="M305" s="28">
        <f>Table11[[#This Row],[Ship Date]]-Table11[[#This Row],[Order Date]]</f>
        <v>6</v>
      </c>
      <c r="N305" s="25" t="s">
        <v>45</v>
      </c>
      <c r="O305" s="25" t="s">
        <v>23</v>
      </c>
      <c r="P305" s="25" t="s">
        <v>238</v>
      </c>
      <c r="Q305" s="25" t="s">
        <v>133</v>
      </c>
      <c r="R305" s="25" t="s">
        <v>347</v>
      </c>
      <c r="S305" s="35">
        <v>0</v>
      </c>
      <c r="T305" s="16">
        <v>142.04</v>
      </c>
      <c r="U305" s="19">
        <v>38.3508</v>
      </c>
      <c r="V305" s="56">
        <f>Table11[[#This Row],[Profit]]/Table11[[#This Row],[Sales]]</f>
        <v>0.27</v>
      </c>
    </row>
    <row r="306" spans="1:22" x14ac:dyDescent="0.2">
      <c r="A306" s="2">
        <v>305</v>
      </c>
      <c r="B306" s="5" t="s">
        <v>7887</v>
      </c>
      <c r="C306" s="6">
        <v>42104</v>
      </c>
      <c r="D306" s="27">
        <f>MONTH(Table11[[#This Row],[Order Date]])</f>
        <v>4</v>
      </c>
      <c r="E306" s="5" t="s">
        <v>998</v>
      </c>
      <c r="F306" s="5" t="s">
        <v>999</v>
      </c>
      <c r="G306" s="24" t="s">
        <v>41</v>
      </c>
      <c r="H306" s="24" t="s">
        <v>61</v>
      </c>
      <c r="I306" s="5" t="s">
        <v>1905</v>
      </c>
      <c r="J306" s="24" t="s">
        <v>92</v>
      </c>
      <c r="K306" s="27">
        <v>3</v>
      </c>
      <c r="L306" s="6">
        <v>42110</v>
      </c>
      <c r="M306" s="27">
        <f>Table11[[#This Row],[Ship Date]]-Table11[[#This Row],[Order Date]]</f>
        <v>6</v>
      </c>
      <c r="N306" s="24" t="s">
        <v>45</v>
      </c>
      <c r="O306" s="24" t="s">
        <v>23</v>
      </c>
      <c r="P306" s="24" t="s">
        <v>238</v>
      </c>
      <c r="Q306" s="24" t="s">
        <v>133</v>
      </c>
      <c r="R306" s="24" t="s">
        <v>347</v>
      </c>
      <c r="S306" s="34">
        <v>0</v>
      </c>
      <c r="T306" s="15">
        <v>14.67</v>
      </c>
      <c r="U306" s="18">
        <v>6.0147000000000004</v>
      </c>
      <c r="V306" s="56">
        <f>Table11[[#This Row],[Profit]]/Table11[[#This Row],[Sales]]</f>
        <v>0.41000000000000003</v>
      </c>
    </row>
    <row r="307" spans="1:22" x14ac:dyDescent="0.2">
      <c r="A307" s="4">
        <v>306</v>
      </c>
      <c r="B307" s="3" t="s">
        <v>2477</v>
      </c>
      <c r="C307" s="7">
        <v>42105</v>
      </c>
      <c r="D307" s="28">
        <f>MONTH(Table11[[#This Row],[Order Date]])</f>
        <v>4</v>
      </c>
      <c r="E307" s="3" t="s">
        <v>2479</v>
      </c>
      <c r="F307" s="3" t="s">
        <v>2480</v>
      </c>
      <c r="G307" s="25" t="s">
        <v>64</v>
      </c>
      <c r="H307" s="25" t="s">
        <v>144</v>
      </c>
      <c r="I307" s="3" t="s">
        <v>2478</v>
      </c>
      <c r="J307" s="25" t="s">
        <v>22</v>
      </c>
      <c r="K307" s="28">
        <v>3</v>
      </c>
      <c r="L307" s="7">
        <v>42109</v>
      </c>
      <c r="M307" s="28">
        <f>Table11[[#This Row],[Ship Date]]-Table11[[#This Row],[Order Date]]</f>
        <v>4</v>
      </c>
      <c r="N307" s="25" t="s">
        <v>45</v>
      </c>
      <c r="O307" s="25" t="s">
        <v>23</v>
      </c>
      <c r="P307" s="25" t="s">
        <v>238</v>
      </c>
      <c r="Q307" s="25" t="s">
        <v>133</v>
      </c>
      <c r="R307" s="25" t="s">
        <v>237</v>
      </c>
      <c r="S307" s="35">
        <v>0</v>
      </c>
      <c r="T307" s="16">
        <v>85.14</v>
      </c>
      <c r="U307" s="19">
        <v>34.907400000000003</v>
      </c>
      <c r="V307" s="56">
        <f>Table11[[#This Row],[Profit]]/Table11[[#This Row],[Sales]]</f>
        <v>0.41000000000000003</v>
      </c>
    </row>
    <row r="308" spans="1:22" x14ac:dyDescent="0.2">
      <c r="A308" s="4">
        <v>307</v>
      </c>
      <c r="B308" s="5" t="s">
        <v>2477</v>
      </c>
      <c r="C308" s="6">
        <v>42105</v>
      </c>
      <c r="D308" s="27">
        <f>MONTH(Table11[[#This Row],[Order Date]])</f>
        <v>4</v>
      </c>
      <c r="E308" s="5" t="s">
        <v>2481</v>
      </c>
      <c r="F308" s="5" t="s">
        <v>2482</v>
      </c>
      <c r="G308" s="24" t="s">
        <v>64</v>
      </c>
      <c r="H308" s="24" t="s">
        <v>65</v>
      </c>
      <c r="I308" s="5" t="s">
        <v>2478</v>
      </c>
      <c r="J308" s="24" t="s">
        <v>22</v>
      </c>
      <c r="K308" s="27">
        <v>1</v>
      </c>
      <c r="L308" s="6">
        <v>42109</v>
      </c>
      <c r="M308" s="27">
        <f>Table11[[#This Row],[Ship Date]]-Table11[[#This Row],[Order Date]]</f>
        <v>4</v>
      </c>
      <c r="N308" s="24" t="s">
        <v>45</v>
      </c>
      <c r="O308" s="24" t="s">
        <v>23</v>
      </c>
      <c r="P308" s="24" t="s">
        <v>238</v>
      </c>
      <c r="Q308" s="24" t="s">
        <v>133</v>
      </c>
      <c r="R308" s="24" t="s">
        <v>237</v>
      </c>
      <c r="S308" s="34">
        <v>0</v>
      </c>
      <c r="T308" s="15">
        <v>21.99</v>
      </c>
      <c r="U308" s="18">
        <v>10.555199999999999</v>
      </c>
      <c r="V308" s="56">
        <f>Table11[[#This Row],[Profit]]/Table11[[#This Row],[Sales]]</f>
        <v>0.48</v>
      </c>
    </row>
    <row r="309" spans="1:22" x14ac:dyDescent="0.2">
      <c r="A309" s="2">
        <v>308</v>
      </c>
      <c r="B309" s="3" t="s">
        <v>2477</v>
      </c>
      <c r="C309" s="7">
        <v>42105</v>
      </c>
      <c r="D309" s="28">
        <f>MONTH(Table11[[#This Row],[Order Date]])</f>
        <v>4</v>
      </c>
      <c r="E309" s="3" t="s">
        <v>2483</v>
      </c>
      <c r="F309" s="3" t="s">
        <v>2484</v>
      </c>
      <c r="G309" s="25" t="s">
        <v>41</v>
      </c>
      <c r="H309" s="25" t="s">
        <v>71</v>
      </c>
      <c r="I309" s="3" t="s">
        <v>2478</v>
      </c>
      <c r="J309" s="25" t="s">
        <v>22</v>
      </c>
      <c r="K309" s="28">
        <v>5</v>
      </c>
      <c r="L309" s="7">
        <v>42109</v>
      </c>
      <c r="M309" s="28">
        <f>Table11[[#This Row],[Ship Date]]-Table11[[#This Row],[Order Date]]</f>
        <v>4</v>
      </c>
      <c r="N309" s="25" t="s">
        <v>45</v>
      </c>
      <c r="O309" s="25" t="s">
        <v>23</v>
      </c>
      <c r="P309" s="25" t="s">
        <v>238</v>
      </c>
      <c r="Q309" s="25" t="s">
        <v>133</v>
      </c>
      <c r="R309" s="25" t="s">
        <v>237</v>
      </c>
      <c r="S309" s="35">
        <v>0</v>
      </c>
      <c r="T309" s="16">
        <v>406.6</v>
      </c>
      <c r="U309" s="19">
        <v>113.848</v>
      </c>
      <c r="V309" s="56">
        <f>Table11[[#This Row],[Profit]]/Table11[[#This Row],[Sales]]</f>
        <v>0.27999999999999997</v>
      </c>
    </row>
    <row r="310" spans="1:22" x14ac:dyDescent="0.2">
      <c r="A310" s="4">
        <v>309</v>
      </c>
      <c r="B310" s="5" t="s">
        <v>8649</v>
      </c>
      <c r="C310" s="6">
        <v>42105</v>
      </c>
      <c r="D310" s="27">
        <f>MONTH(Table11[[#This Row],[Order Date]])</f>
        <v>4</v>
      </c>
      <c r="E310" s="5" t="s">
        <v>1548</v>
      </c>
      <c r="F310" s="5" t="s">
        <v>1549</v>
      </c>
      <c r="G310" s="24" t="s">
        <v>28</v>
      </c>
      <c r="H310" s="24" t="s">
        <v>58</v>
      </c>
      <c r="I310" s="5" t="s">
        <v>5848</v>
      </c>
      <c r="J310" s="24" t="s">
        <v>22</v>
      </c>
      <c r="K310" s="27">
        <v>2</v>
      </c>
      <c r="L310" s="6">
        <v>42111</v>
      </c>
      <c r="M310" s="27">
        <f>Table11[[#This Row],[Ship Date]]-Table11[[#This Row],[Order Date]]</f>
        <v>6</v>
      </c>
      <c r="N310" s="24" t="s">
        <v>45</v>
      </c>
      <c r="O310" s="24" t="s">
        <v>23</v>
      </c>
      <c r="P310" s="24" t="s">
        <v>48</v>
      </c>
      <c r="Q310" s="24" t="s">
        <v>26</v>
      </c>
      <c r="R310" s="24" t="s">
        <v>793</v>
      </c>
      <c r="S310" s="34">
        <v>0.2</v>
      </c>
      <c r="T310" s="15">
        <v>67.36</v>
      </c>
      <c r="U310" s="18">
        <v>10.103999999999999</v>
      </c>
      <c r="V310" s="56">
        <f>Table11[[#This Row],[Profit]]/Table11[[#This Row],[Sales]]</f>
        <v>0.15</v>
      </c>
    </row>
    <row r="311" spans="1:22" x14ac:dyDescent="0.2">
      <c r="A311" s="4">
        <v>310</v>
      </c>
      <c r="B311" s="3" t="s">
        <v>8649</v>
      </c>
      <c r="C311" s="7">
        <v>42105</v>
      </c>
      <c r="D311" s="28">
        <f>MONTH(Table11[[#This Row],[Order Date]])</f>
        <v>4</v>
      </c>
      <c r="E311" s="3" t="s">
        <v>767</v>
      </c>
      <c r="F311" s="3" t="s">
        <v>768</v>
      </c>
      <c r="G311" s="25" t="s">
        <v>28</v>
      </c>
      <c r="H311" s="25" t="s">
        <v>58</v>
      </c>
      <c r="I311" s="3" t="s">
        <v>5848</v>
      </c>
      <c r="J311" s="25" t="s">
        <v>22</v>
      </c>
      <c r="K311" s="28">
        <v>3</v>
      </c>
      <c r="L311" s="7">
        <v>42111</v>
      </c>
      <c r="M311" s="28">
        <f>Table11[[#This Row],[Ship Date]]-Table11[[#This Row],[Order Date]]</f>
        <v>6</v>
      </c>
      <c r="N311" s="25" t="s">
        <v>45</v>
      </c>
      <c r="O311" s="25" t="s">
        <v>23</v>
      </c>
      <c r="P311" s="25" t="s">
        <v>48</v>
      </c>
      <c r="Q311" s="25" t="s">
        <v>26</v>
      </c>
      <c r="R311" s="25" t="s">
        <v>793</v>
      </c>
      <c r="S311" s="35">
        <v>0.2</v>
      </c>
      <c r="T311" s="16">
        <v>54.527999999999999</v>
      </c>
      <c r="U311" s="19">
        <v>14.313599999999999</v>
      </c>
      <c r="V311" s="56">
        <f>Table11[[#This Row],[Profit]]/Table11[[#This Row],[Sales]]</f>
        <v>0.26250000000000001</v>
      </c>
    </row>
    <row r="312" spans="1:22" x14ac:dyDescent="0.2">
      <c r="A312" s="2">
        <v>311</v>
      </c>
      <c r="B312" s="5" t="s">
        <v>8712</v>
      </c>
      <c r="C312" s="6">
        <v>42105</v>
      </c>
      <c r="D312" s="27">
        <f>MONTH(Table11[[#This Row],[Order Date]])</f>
        <v>4</v>
      </c>
      <c r="E312" s="5" t="s">
        <v>6920</v>
      </c>
      <c r="F312" s="5" t="s">
        <v>6921</v>
      </c>
      <c r="G312" s="24" t="s">
        <v>64</v>
      </c>
      <c r="H312" s="24" t="s">
        <v>1075</v>
      </c>
      <c r="I312" s="5" t="s">
        <v>3554</v>
      </c>
      <c r="J312" s="24" t="s">
        <v>22</v>
      </c>
      <c r="K312" s="27">
        <v>4</v>
      </c>
      <c r="L312" s="6">
        <v>42108</v>
      </c>
      <c r="M312" s="27">
        <f>Table11[[#This Row],[Ship Date]]-Table11[[#This Row],[Order Date]]</f>
        <v>3</v>
      </c>
      <c r="N312" s="24" t="s">
        <v>20</v>
      </c>
      <c r="O312" s="24" t="s">
        <v>23</v>
      </c>
      <c r="P312" s="24" t="s">
        <v>38</v>
      </c>
      <c r="Q312" s="24" t="s">
        <v>39</v>
      </c>
      <c r="R312" s="24" t="s">
        <v>37</v>
      </c>
      <c r="S312" s="34">
        <v>0.2</v>
      </c>
      <c r="T312" s="15">
        <v>639.96799999999996</v>
      </c>
      <c r="U312" s="18">
        <v>215.98920000000001</v>
      </c>
      <c r="V312" s="56">
        <f>Table11[[#This Row],[Profit]]/Table11[[#This Row],[Sales]]</f>
        <v>0.33750000000000002</v>
      </c>
    </row>
    <row r="313" spans="1:22" x14ac:dyDescent="0.2">
      <c r="A313" s="4">
        <v>312</v>
      </c>
      <c r="B313" s="3" t="s">
        <v>8712</v>
      </c>
      <c r="C313" s="7">
        <v>42105</v>
      </c>
      <c r="D313" s="28">
        <f>MONTH(Table11[[#This Row],[Order Date]])</f>
        <v>4</v>
      </c>
      <c r="E313" s="3" t="s">
        <v>2807</v>
      </c>
      <c r="F313" s="3" t="s">
        <v>167</v>
      </c>
      <c r="G313" s="25" t="s">
        <v>41</v>
      </c>
      <c r="H313" s="25" t="s">
        <v>82</v>
      </c>
      <c r="I313" s="3" t="s">
        <v>3554</v>
      </c>
      <c r="J313" s="25" t="s">
        <v>22</v>
      </c>
      <c r="K313" s="28">
        <v>2</v>
      </c>
      <c r="L313" s="7">
        <v>42108</v>
      </c>
      <c r="M313" s="28">
        <f>Table11[[#This Row],[Ship Date]]-Table11[[#This Row],[Order Date]]</f>
        <v>3</v>
      </c>
      <c r="N313" s="25" t="s">
        <v>20</v>
      </c>
      <c r="O313" s="25" t="s">
        <v>23</v>
      </c>
      <c r="P313" s="25" t="s">
        <v>38</v>
      </c>
      <c r="Q313" s="25" t="s">
        <v>39</v>
      </c>
      <c r="R313" s="25" t="s">
        <v>37</v>
      </c>
      <c r="S313" s="35">
        <v>0</v>
      </c>
      <c r="T313" s="16">
        <v>52.76</v>
      </c>
      <c r="U313" s="19">
        <v>24.269600000000001</v>
      </c>
      <c r="V313" s="56">
        <f>Table11[[#This Row],[Profit]]/Table11[[#This Row],[Sales]]</f>
        <v>0.46</v>
      </c>
    </row>
    <row r="314" spans="1:22" x14ac:dyDescent="0.2">
      <c r="A314" s="4">
        <v>313</v>
      </c>
      <c r="B314" s="5" t="s">
        <v>10121</v>
      </c>
      <c r="C314" s="6">
        <v>42106</v>
      </c>
      <c r="D314" s="27">
        <f>MONTH(Table11[[#This Row],[Order Date]])</f>
        <v>4</v>
      </c>
      <c r="E314" s="5" t="s">
        <v>3607</v>
      </c>
      <c r="F314" s="5" t="s">
        <v>3608</v>
      </c>
      <c r="G314" s="24" t="s">
        <v>41</v>
      </c>
      <c r="H314" s="24" t="s">
        <v>53</v>
      </c>
      <c r="I314" s="5" t="s">
        <v>2716</v>
      </c>
      <c r="J314" s="24" t="s">
        <v>92</v>
      </c>
      <c r="K314" s="27">
        <v>3</v>
      </c>
      <c r="L314" s="6">
        <v>42111</v>
      </c>
      <c r="M314" s="27">
        <f>Table11[[#This Row],[Ship Date]]-Table11[[#This Row],[Order Date]]</f>
        <v>5</v>
      </c>
      <c r="N314" s="24" t="s">
        <v>20</v>
      </c>
      <c r="O314" s="24" t="s">
        <v>23</v>
      </c>
      <c r="P314" s="24" t="s">
        <v>87</v>
      </c>
      <c r="Q314" s="24" t="s">
        <v>39</v>
      </c>
      <c r="R314" s="24" t="s">
        <v>86</v>
      </c>
      <c r="S314" s="34">
        <v>0</v>
      </c>
      <c r="T314" s="15">
        <v>40.74</v>
      </c>
      <c r="U314" s="18">
        <v>0.40739999999999998</v>
      </c>
      <c r="V314" s="56">
        <f>Table11[[#This Row],[Profit]]/Table11[[#This Row],[Sales]]</f>
        <v>9.9999999999999985E-3</v>
      </c>
    </row>
    <row r="315" spans="1:22" x14ac:dyDescent="0.2">
      <c r="A315" s="2">
        <v>314</v>
      </c>
      <c r="B315" s="3" t="s">
        <v>4386</v>
      </c>
      <c r="C315" s="7">
        <v>42107</v>
      </c>
      <c r="D315" s="28">
        <f>MONTH(Table11[[#This Row],[Order Date]])</f>
        <v>4</v>
      </c>
      <c r="E315" s="3" t="s">
        <v>4387</v>
      </c>
      <c r="F315" s="3" t="s">
        <v>4388</v>
      </c>
      <c r="G315" s="25" t="s">
        <v>64</v>
      </c>
      <c r="H315" s="25" t="s">
        <v>144</v>
      </c>
      <c r="I315" s="3" t="s">
        <v>1743</v>
      </c>
      <c r="J315" s="25" t="s">
        <v>22</v>
      </c>
      <c r="K315" s="28">
        <v>4</v>
      </c>
      <c r="L315" s="7">
        <v>42113</v>
      </c>
      <c r="M315" s="28">
        <f>Table11[[#This Row],[Ship Date]]-Table11[[#This Row],[Order Date]]</f>
        <v>6</v>
      </c>
      <c r="N315" s="25" t="s">
        <v>45</v>
      </c>
      <c r="O315" s="25" t="s">
        <v>23</v>
      </c>
      <c r="P315" s="25" t="s">
        <v>38</v>
      </c>
      <c r="Q315" s="25" t="s">
        <v>39</v>
      </c>
      <c r="R315" s="25" t="s">
        <v>3563</v>
      </c>
      <c r="S315" s="35">
        <v>0</v>
      </c>
      <c r="T315" s="16">
        <v>199.96</v>
      </c>
      <c r="U315" s="19">
        <v>69.986000000000004</v>
      </c>
      <c r="V315" s="56">
        <f>Table11[[#This Row],[Profit]]/Table11[[#This Row],[Sales]]</f>
        <v>0.35000000000000003</v>
      </c>
    </row>
    <row r="316" spans="1:22" x14ac:dyDescent="0.2">
      <c r="A316" s="4">
        <v>315</v>
      </c>
      <c r="B316" s="5" t="s">
        <v>4386</v>
      </c>
      <c r="C316" s="6">
        <v>42107</v>
      </c>
      <c r="D316" s="27">
        <f>MONTH(Table11[[#This Row],[Order Date]])</f>
        <v>4</v>
      </c>
      <c r="E316" s="5" t="s">
        <v>4389</v>
      </c>
      <c r="F316" s="5" t="s">
        <v>4390</v>
      </c>
      <c r="G316" s="24" t="s">
        <v>28</v>
      </c>
      <c r="H316" s="24" t="s">
        <v>50</v>
      </c>
      <c r="I316" s="5" t="s">
        <v>1743</v>
      </c>
      <c r="J316" s="24" t="s">
        <v>22</v>
      </c>
      <c r="K316" s="27">
        <v>3</v>
      </c>
      <c r="L316" s="6">
        <v>42113</v>
      </c>
      <c r="M316" s="27">
        <f>Table11[[#This Row],[Ship Date]]-Table11[[#This Row],[Order Date]]</f>
        <v>6</v>
      </c>
      <c r="N316" s="24" t="s">
        <v>45</v>
      </c>
      <c r="O316" s="24" t="s">
        <v>23</v>
      </c>
      <c r="P316" s="24" t="s">
        <v>38</v>
      </c>
      <c r="Q316" s="24" t="s">
        <v>39</v>
      </c>
      <c r="R316" s="24" t="s">
        <v>3563</v>
      </c>
      <c r="S316" s="34">
        <v>0.2</v>
      </c>
      <c r="T316" s="15">
        <v>710.83199999999999</v>
      </c>
      <c r="U316" s="18">
        <v>-97.739400000000003</v>
      </c>
      <c r="V316" s="56">
        <f>Table11[[#This Row],[Profit]]/Table11[[#This Row],[Sales]]</f>
        <v>-0.13750000000000001</v>
      </c>
    </row>
    <row r="317" spans="1:22" x14ac:dyDescent="0.2">
      <c r="A317" s="4">
        <v>316</v>
      </c>
      <c r="B317" s="3" t="s">
        <v>4424</v>
      </c>
      <c r="C317" s="7">
        <v>42107</v>
      </c>
      <c r="D317" s="28">
        <f>MONTH(Table11[[#This Row],[Order Date]])</f>
        <v>4</v>
      </c>
      <c r="E317" s="3" t="s">
        <v>1730</v>
      </c>
      <c r="F317" s="3" t="s">
        <v>1731</v>
      </c>
      <c r="G317" s="25" t="s">
        <v>41</v>
      </c>
      <c r="H317" s="25" t="s">
        <v>513</v>
      </c>
      <c r="I317" s="3" t="s">
        <v>3662</v>
      </c>
      <c r="J317" s="25" t="s">
        <v>22</v>
      </c>
      <c r="K317" s="28">
        <v>1</v>
      </c>
      <c r="L317" s="7">
        <v>42109</v>
      </c>
      <c r="M317" s="28">
        <f>Table11[[#This Row],[Ship Date]]-Table11[[#This Row],[Order Date]]</f>
        <v>2</v>
      </c>
      <c r="N317" s="25" t="s">
        <v>20</v>
      </c>
      <c r="O317" s="25" t="s">
        <v>23</v>
      </c>
      <c r="P317" s="25" t="s">
        <v>589</v>
      </c>
      <c r="Q317" s="25" t="s">
        <v>39</v>
      </c>
      <c r="R317" s="25" t="s">
        <v>2510</v>
      </c>
      <c r="S317" s="35">
        <v>0</v>
      </c>
      <c r="T317" s="16">
        <v>12.88</v>
      </c>
      <c r="U317" s="19">
        <v>0.38640000000000002</v>
      </c>
      <c r="V317" s="56">
        <f>Table11[[#This Row],[Profit]]/Table11[[#This Row],[Sales]]</f>
        <v>0.03</v>
      </c>
    </row>
    <row r="318" spans="1:22" x14ac:dyDescent="0.2">
      <c r="A318" s="2">
        <v>317</v>
      </c>
      <c r="B318" s="5" t="s">
        <v>6539</v>
      </c>
      <c r="C318" s="6">
        <v>42107</v>
      </c>
      <c r="D318" s="27">
        <f>MONTH(Table11[[#This Row],[Order Date]])</f>
        <v>4</v>
      </c>
      <c r="E318" s="5" t="s">
        <v>2539</v>
      </c>
      <c r="F318" s="5" t="s">
        <v>2540</v>
      </c>
      <c r="G318" s="24" t="s">
        <v>41</v>
      </c>
      <c r="H318" s="24" t="s">
        <v>82</v>
      </c>
      <c r="I318" s="5" t="s">
        <v>5955</v>
      </c>
      <c r="J318" s="24" t="s">
        <v>92</v>
      </c>
      <c r="K318" s="27">
        <v>6</v>
      </c>
      <c r="L318" s="6">
        <v>42108</v>
      </c>
      <c r="M318" s="27">
        <f>Table11[[#This Row],[Ship Date]]-Table11[[#This Row],[Order Date]]</f>
        <v>1</v>
      </c>
      <c r="N318" s="24" t="s">
        <v>169</v>
      </c>
      <c r="O318" s="24" t="s">
        <v>23</v>
      </c>
      <c r="P318" s="24" t="s">
        <v>277</v>
      </c>
      <c r="Q318" s="24" t="s">
        <v>39</v>
      </c>
      <c r="R318" s="24" t="s">
        <v>1613</v>
      </c>
      <c r="S318" s="34">
        <v>0.2</v>
      </c>
      <c r="T318" s="15">
        <v>31.103999999999999</v>
      </c>
      <c r="U318" s="18">
        <v>10.8864</v>
      </c>
      <c r="V318" s="56">
        <f>Table11[[#This Row],[Profit]]/Table11[[#This Row],[Sales]]</f>
        <v>0.35000000000000003</v>
      </c>
    </row>
    <row r="319" spans="1:22" x14ac:dyDescent="0.2">
      <c r="A319" s="4">
        <v>318</v>
      </c>
      <c r="B319" s="3" t="s">
        <v>6539</v>
      </c>
      <c r="C319" s="7">
        <v>42107</v>
      </c>
      <c r="D319" s="28">
        <f>MONTH(Table11[[#This Row],[Order Date]])</f>
        <v>4</v>
      </c>
      <c r="E319" s="3" t="s">
        <v>3173</v>
      </c>
      <c r="F319" s="3" t="s">
        <v>3174</v>
      </c>
      <c r="G319" s="25" t="s">
        <v>41</v>
      </c>
      <c r="H319" s="25" t="s">
        <v>82</v>
      </c>
      <c r="I319" s="3" t="s">
        <v>5955</v>
      </c>
      <c r="J319" s="25" t="s">
        <v>92</v>
      </c>
      <c r="K319" s="28">
        <v>3</v>
      </c>
      <c r="L319" s="7">
        <v>42108</v>
      </c>
      <c r="M319" s="28">
        <f>Table11[[#This Row],[Ship Date]]-Table11[[#This Row],[Order Date]]</f>
        <v>1</v>
      </c>
      <c r="N319" s="25" t="s">
        <v>169</v>
      </c>
      <c r="O319" s="25" t="s">
        <v>23</v>
      </c>
      <c r="P319" s="25" t="s">
        <v>277</v>
      </c>
      <c r="Q319" s="25" t="s">
        <v>39</v>
      </c>
      <c r="R319" s="25" t="s">
        <v>1613</v>
      </c>
      <c r="S319" s="35">
        <v>0.2</v>
      </c>
      <c r="T319" s="16">
        <v>54.816000000000003</v>
      </c>
      <c r="U319" s="19">
        <v>17.815200000000001</v>
      </c>
      <c r="V319" s="56">
        <f>Table11[[#This Row],[Profit]]/Table11[[#This Row],[Sales]]</f>
        <v>0.32500000000000001</v>
      </c>
    </row>
    <row r="320" spans="1:22" x14ac:dyDescent="0.2">
      <c r="A320" s="4">
        <v>319</v>
      </c>
      <c r="B320" s="5" t="s">
        <v>7293</v>
      </c>
      <c r="C320" s="6">
        <v>42107</v>
      </c>
      <c r="D320" s="27">
        <f>MONTH(Table11[[#This Row],[Order Date]])</f>
        <v>4</v>
      </c>
      <c r="E320" s="5" t="s">
        <v>4090</v>
      </c>
      <c r="F320" s="5" t="s">
        <v>4091</v>
      </c>
      <c r="G320" s="24" t="s">
        <v>28</v>
      </c>
      <c r="H320" s="24" t="s">
        <v>58</v>
      </c>
      <c r="I320" s="5" t="s">
        <v>2801</v>
      </c>
      <c r="J320" s="24" t="s">
        <v>36</v>
      </c>
      <c r="K320" s="27">
        <v>2</v>
      </c>
      <c r="L320" s="6">
        <v>42113</v>
      </c>
      <c r="M320" s="27">
        <f>Table11[[#This Row],[Ship Date]]-Table11[[#This Row],[Order Date]]</f>
        <v>6</v>
      </c>
      <c r="N320" s="24" t="s">
        <v>45</v>
      </c>
      <c r="O320" s="24" t="s">
        <v>23</v>
      </c>
      <c r="P320" s="24" t="s">
        <v>38</v>
      </c>
      <c r="Q320" s="24" t="s">
        <v>39</v>
      </c>
      <c r="R320" s="24" t="s">
        <v>37</v>
      </c>
      <c r="S320" s="34">
        <v>0</v>
      </c>
      <c r="T320" s="15">
        <v>37.68</v>
      </c>
      <c r="U320" s="18">
        <v>15.8256</v>
      </c>
      <c r="V320" s="56">
        <f>Table11[[#This Row],[Profit]]/Table11[[#This Row],[Sales]]</f>
        <v>0.42</v>
      </c>
    </row>
    <row r="321" spans="1:22" x14ac:dyDescent="0.2">
      <c r="A321" s="2">
        <v>320</v>
      </c>
      <c r="B321" s="3" t="s">
        <v>7293</v>
      </c>
      <c r="C321" s="7">
        <v>42107</v>
      </c>
      <c r="D321" s="28">
        <f>MONTH(Table11[[#This Row],[Order Date]])</f>
        <v>4</v>
      </c>
      <c r="E321" s="3" t="s">
        <v>1052</v>
      </c>
      <c r="F321" s="3" t="s">
        <v>1053</v>
      </c>
      <c r="G321" s="25" t="s">
        <v>64</v>
      </c>
      <c r="H321" s="25" t="s">
        <v>65</v>
      </c>
      <c r="I321" s="3" t="s">
        <v>2801</v>
      </c>
      <c r="J321" s="25" t="s">
        <v>36</v>
      </c>
      <c r="K321" s="28">
        <v>2</v>
      </c>
      <c r="L321" s="7">
        <v>42113</v>
      </c>
      <c r="M321" s="28">
        <f>Table11[[#This Row],[Ship Date]]-Table11[[#This Row],[Order Date]]</f>
        <v>6</v>
      </c>
      <c r="N321" s="25" t="s">
        <v>45</v>
      </c>
      <c r="O321" s="25" t="s">
        <v>23</v>
      </c>
      <c r="P321" s="25" t="s">
        <v>38</v>
      </c>
      <c r="Q321" s="25" t="s">
        <v>39</v>
      </c>
      <c r="R321" s="25" t="s">
        <v>37</v>
      </c>
      <c r="S321" s="35">
        <v>0.2</v>
      </c>
      <c r="T321" s="16">
        <v>258.57600000000002</v>
      </c>
      <c r="U321" s="19">
        <v>19.3932</v>
      </c>
      <c r="V321" s="56">
        <f>Table11[[#This Row],[Profit]]/Table11[[#This Row],[Sales]]</f>
        <v>7.4999999999999997E-2</v>
      </c>
    </row>
    <row r="322" spans="1:22" x14ac:dyDescent="0.2">
      <c r="A322" s="4">
        <v>321</v>
      </c>
      <c r="B322" s="5" t="s">
        <v>7293</v>
      </c>
      <c r="C322" s="6">
        <v>42107</v>
      </c>
      <c r="D322" s="27">
        <f>MONTH(Table11[[#This Row],[Order Date]])</f>
        <v>4</v>
      </c>
      <c r="E322" s="5" t="s">
        <v>3397</v>
      </c>
      <c r="F322" s="5" t="s">
        <v>3398</v>
      </c>
      <c r="G322" s="24" t="s">
        <v>41</v>
      </c>
      <c r="H322" s="24" t="s">
        <v>71</v>
      </c>
      <c r="I322" s="5" t="s">
        <v>2801</v>
      </c>
      <c r="J322" s="24" t="s">
        <v>36</v>
      </c>
      <c r="K322" s="27">
        <v>2</v>
      </c>
      <c r="L322" s="6">
        <v>42113</v>
      </c>
      <c r="M322" s="27">
        <f>Table11[[#This Row],[Ship Date]]-Table11[[#This Row],[Order Date]]</f>
        <v>6</v>
      </c>
      <c r="N322" s="24" t="s">
        <v>45</v>
      </c>
      <c r="O322" s="24" t="s">
        <v>23</v>
      </c>
      <c r="P322" s="24" t="s">
        <v>38</v>
      </c>
      <c r="Q322" s="24" t="s">
        <v>39</v>
      </c>
      <c r="R322" s="24" t="s">
        <v>37</v>
      </c>
      <c r="S322" s="34">
        <v>0</v>
      </c>
      <c r="T322" s="15">
        <v>75.84</v>
      </c>
      <c r="U322" s="18">
        <v>29.5776</v>
      </c>
      <c r="V322" s="56">
        <f>Table11[[#This Row],[Profit]]/Table11[[#This Row],[Sales]]</f>
        <v>0.39</v>
      </c>
    </row>
    <row r="323" spans="1:22" x14ac:dyDescent="0.2">
      <c r="A323" s="4">
        <v>322</v>
      </c>
      <c r="B323" s="3" t="s">
        <v>7551</v>
      </c>
      <c r="C323" s="7">
        <v>42107</v>
      </c>
      <c r="D323" s="28">
        <f>MONTH(Table11[[#This Row],[Order Date]])</f>
        <v>4</v>
      </c>
      <c r="E323" s="3" t="s">
        <v>2401</v>
      </c>
      <c r="F323" s="3" t="s">
        <v>2402</v>
      </c>
      <c r="G323" s="25" t="s">
        <v>41</v>
      </c>
      <c r="H323" s="25" t="s">
        <v>68</v>
      </c>
      <c r="I323" s="3" t="s">
        <v>1500</v>
      </c>
      <c r="J323" s="25" t="s">
        <v>22</v>
      </c>
      <c r="K323" s="28">
        <v>3</v>
      </c>
      <c r="L323" s="7">
        <v>42114</v>
      </c>
      <c r="M323" s="28">
        <f>Table11[[#This Row],[Ship Date]]-Table11[[#This Row],[Order Date]]</f>
        <v>7</v>
      </c>
      <c r="N323" s="25" t="s">
        <v>45</v>
      </c>
      <c r="O323" s="25" t="s">
        <v>23</v>
      </c>
      <c r="P323" s="25" t="s">
        <v>124</v>
      </c>
      <c r="Q323" s="25" t="s">
        <v>95</v>
      </c>
      <c r="R323" s="25" t="s">
        <v>7552</v>
      </c>
      <c r="S323" s="35">
        <v>0</v>
      </c>
      <c r="T323" s="16">
        <v>17.43</v>
      </c>
      <c r="U323" s="19">
        <v>8.0177999999999994</v>
      </c>
      <c r="V323" s="56">
        <f>Table11[[#This Row],[Profit]]/Table11[[#This Row],[Sales]]</f>
        <v>0.45999999999999996</v>
      </c>
    </row>
    <row r="324" spans="1:22" x14ac:dyDescent="0.2">
      <c r="A324" s="2">
        <v>323</v>
      </c>
      <c r="B324" s="5" t="s">
        <v>8914</v>
      </c>
      <c r="C324" s="6">
        <v>42107</v>
      </c>
      <c r="D324" s="27">
        <f>MONTH(Table11[[#This Row],[Order Date]])</f>
        <v>4</v>
      </c>
      <c r="E324" s="5" t="s">
        <v>3457</v>
      </c>
      <c r="F324" s="5" t="s">
        <v>3458</v>
      </c>
      <c r="G324" s="24" t="s">
        <v>28</v>
      </c>
      <c r="H324" s="24" t="s">
        <v>50</v>
      </c>
      <c r="I324" s="5" t="s">
        <v>5654</v>
      </c>
      <c r="J324" s="24" t="s">
        <v>22</v>
      </c>
      <c r="K324" s="27">
        <v>2</v>
      </c>
      <c r="L324" s="6">
        <v>42111</v>
      </c>
      <c r="M324" s="27">
        <f>Table11[[#This Row],[Ship Date]]-Table11[[#This Row],[Order Date]]</f>
        <v>4</v>
      </c>
      <c r="N324" s="24" t="s">
        <v>20</v>
      </c>
      <c r="O324" s="24" t="s">
        <v>23</v>
      </c>
      <c r="P324" s="24" t="s">
        <v>38</v>
      </c>
      <c r="Q324" s="24" t="s">
        <v>39</v>
      </c>
      <c r="R324" s="24" t="s">
        <v>37</v>
      </c>
      <c r="S324" s="34">
        <v>0.2</v>
      </c>
      <c r="T324" s="15">
        <v>241.56800000000001</v>
      </c>
      <c r="U324" s="18">
        <v>-15.098000000000001</v>
      </c>
      <c r="V324" s="56">
        <f>Table11[[#This Row],[Profit]]/Table11[[#This Row],[Sales]]</f>
        <v>-6.25E-2</v>
      </c>
    </row>
    <row r="325" spans="1:22" x14ac:dyDescent="0.2">
      <c r="A325" s="4">
        <v>324</v>
      </c>
      <c r="B325" s="3" t="s">
        <v>8914</v>
      </c>
      <c r="C325" s="7">
        <v>42107</v>
      </c>
      <c r="D325" s="28">
        <f>MONTH(Table11[[#This Row],[Order Date]])</f>
        <v>4</v>
      </c>
      <c r="E325" s="3" t="s">
        <v>2458</v>
      </c>
      <c r="F325" s="3" t="s">
        <v>2459</v>
      </c>
      <c r="G325" s="25" t="s">
        <v>64</v>
      </c>
      <c r="H325" s="25" t="s">
        <v>65</v>
      </c>
      <c r="I325" s="3" t="s">
        <v>5654</v>
      </c>
      <c r="J325" s="25" t="s">
        <v>22</v>
      </c>
      <c r="K325" s="28">
        <v>2</v>
      </c>
      <c r="L325" s="7">
        <v>42111</v>
      </c>
      <c r="M325" s="28">
        <f>Table11[[#This Row],[Ship Date]]-Table11[[#This Row],[Order Date]]</f>
        <v>4</v>
      </c>
      <c r="N325" s="25" t="s">
        <v>20</v>
      </c>
      <c r="O325" s="25" t="s">
        <v>23</v>
      </c>
      <c r="P325" s="25" t="s">
        <v>38</v>
      </c>
      <c r="Q325" s="25" t="s">
        <v>39</v>
      </c>
      <c r="R325" s="25" t="s">
        <v>37</v>
      </c>
      <c r="S325" s="35">
        <v>0.2</v>
      </c>
      <c r="T325" s="16">
        <v>479.92</v>
      </c>
      <c r="U325" s="19">
        <v>41.993000000000002</v>
      </c>
      <c r="V325" s="56">
        <f>Table11[[#This Row],[Profit]]/Table11[[#This Row],[Sales]]</f>
        <v>8.7500000000000008E-2</v>
      </c>
    </row>
    <row r="326" spans="1:22" x14ac:dyDescent="0.2">
      <c r="A326" s="4">
        <v>325</v>
      </c>
      <c r="B326" s="5" t="s">
        <v>9227</v>
      </c>
      <c r="C326" s="6">
        <v>42107</v>
      </c>
      <c r="D326" s="27">
        <f>MONTH(Table11[[#This Row],[Order Date]])</f>
        <v>4</v>
      </c>
      <c r="E326" s="5" t="s">
        <v>3596</v>
      </c>
      <c r="F326" s="5" t="s">
        <v>3597</v>
      </c>
      <c r="G326" s="24" t="s">
        <v>41</v>
      </c>
      <c r="H326" s="24" t="s">
        <v>53</v>
      </c>
      <c r="I326" s="5" t="s">
        <v>3812</v>
      </c>
      <c r="J326" s="24" t="s">
        <v>22</v>
      </c>
      <c r="K326" s="27">
        <v>1</v>
      </c>
      <c r="L326" s="6">
        <v>42112</v>
      </c>
      <c r="M326" s="27">
        <f>Table11[[#This Row],[Ship Date]]-Table11[[#This Row],[Order Date]]</f>
        <v>5</v>
      </c>
      <c r="N326" s="24" t="s">
        <v>45</v>
      </c>
      <c r="O326" s="24" t="s">
        <v>23</v>
      </c>
      <c r="P326" s="24" t="s">
        <v>277</v>
      </c>
      <c r="Q326" s="24" t="s">
        <v>39</v>
      </c>
      <c r="R326" s="24" t="s">
        <v>3477</v>
      </c>
      <c r="S326" s="34">
        <v>0.2</v>
      </c>
      <c r="T326" s="15">
        <v>10.744</v>
      </c>
      <c r="U326" s="18">
        <v>0.80579999999999996</v>
      </c>
      <c r="V326" s="56">
        <f>Table11[[#This Row],[Profit]]/Table11[[#This Row],[Sales]]</f>
        <v>7.4999999999999997E-2</v>
      </c>
    </row>
    <row r="327" spans="1:22" x14ac:dyDescent="0.2">
      <c r="A327" s="2">
        <v>326</v>
      </c>
      <c r="B327" s="3" t="s">
        <v>9537</v>
      </c>
      <c r="C327" s="7">
        <v>42107</v>
      </c>
      <c r="D327" s="28">
        <f>MONTH(Table11[[#This Row],[Order Date]])</f>
        <v>4</v>
      </c>
      <c r="E327" s="3" t="s">
        <v>1926</v>
      </c>
      <c r="F327" s="3" t="s">
        <v>1927</v>
      </c>
      <c r="G327" s="25" t="s">
        <v>28</v>
      </c>
      <c r="H327" s="25" t="s">
        <v>50</v>
      </c>
      <c r="I327" s="3" t="s">
        <v>1696</v>
      </c>
      <c r="J327" s="25" t="s">
        <v>22</v>
      </c>
      <c r="K327" s="28">
        <v>4</v>
      </c>
      <c r="L327" s="7">
        <v>42111</v>
      </c>
      <c r="M327" s="28">
        <f>Table11[[#This Row],[Ship Date]]-Table11[[#This Row],[Order Date]]</f>
        <v>4</v>
      </c>
      <c r="N327" s="25" t="s">
        <v>45</v>
      </c>
      <c r="O327" s="25" t="s">
        <v>23</v>
      </c>
      <c r="P327" s="25" t="s">
        <v>94</v>
      </c>
      <c r="Q327" s="25" t="s">
        <v>95</v>
      </c>
      <c r="R327" s="25" t="s">
        <v>1488</v>
      </c>
      <c r="S327" s="35">
        <v>0.3</v>
      </c>
      <c r="T327" s="16">
        <v>609.98</v>
      </c>
      <c r="U327" s="19">
        <v>-113.282</v>
      </c>
      <c r="V327" s="56">
        <f>Table11[[#This Row],[Profit]]/Table11[[#This Row],[Sales]]</f>
        <v>-0.18571428571428569</v>
      </c>
    </row>
    <row r="328" spans="1:22" x14ac:dyDescent="0.2">
      <c r="A328" s="4">
        <v>327</v>
      </c>
      <c r="B328" s="5" t="s">
        <v>9537</v>
      </c>
      <c r="C328" s="6">
        <v>42107</v>
      </c>
      <c r="D328" s="27">
        <f>MONTH(Table11[[#This Row],[Order Date]])</f>
        <v>4</v>
      </c>
      <c r="E328" s="5" t="s">
        <v>3457</v>
      </c>
      <c r="F328" s="5" t="s">
        <v>3458</v>
      </c>
      <c r="G328" s="24" t="s">
        <v>28</v>
      </c>
      <c r="H328" s="24" t="s">
        <v>50</v>
      </c>
      <c r="I328" s="5" t="s">
        <v>1696</v>
      </c>
      <c r="J328" s="24" t="s">
        <v>22</v>
      </c>
      <c r="K328" s="27">
        <v>2</v>
      </c>
      <c r="L328" s="6">
        <v>42111</v>
      </c>
      <c r="M328" s="27">
        <f>Table11[[#This Row],[Ship Date]]-Table11[[#This Row],[Order Date]]</f>
        <v>4</v>
      </c>
      <c r="N328" s="24" t="s">
        <v>45</v>
      </c>
      <c r="O328" s="24" t="s">
        <v>23</v>
      </c>
      <c r="P328" s="24" t="s">
        <v>94</v>
      </c>
      <c r="Q328" s="24" t="s">
        <v>95</v>
      </c>
      <c r="R328" s="24" t="s">
        <v>1488</v>
      </c>
      <c r="S328" s="34">
        <v>0.3</v>
      </c>
      <c r="T328" s="15">
        <v>211.37200000000001</v>
      </c>
      <c r="U328" s="18">
        <v>-45.293999999999997</v>
      </c>
      <c r="V328" s="56">
        <f>Table11[[#This Row],[Profit]]/Table11[[#This Row],[Sales]]</f>
        <v>-0.21428571428571425</v>
      </c>
    </row>
    <row r="329" spans="1:22" x14ac:dyDescent="0.2">
      <c r="A329" s="4">
        <v>328</v>
      </c>
      <c r="B329" s="3" t="s">
        <v>9537</v>
      </c>
      <c r="C329" s="7">
        <v>42107</v>
      </c>
      <c r="D329" s="28">
        <f>MONTH(Table11[[#This Row],[Order Date]])</f>
        <v>4</v>
      </c>
      <c r="E329" s="3" t="s">
        <v>2876</v>
      </c>
      <c r="F329" s="3" t="s">
        <v>2877</v>
      </c>
      <c r="G329" s="25" t="s">
        <v>64</v>
      </c>
      <c r="H329" s="25" t="s">
        <v>65</v>
      </c>
      <c r="I329" s="3" t="s">
        <v>1696</v>
      </c>
      <c r="J329" s="25" t="s">
        <v>22</v>
      </c>
      <c r="K329" s="28">
        <v>3</v>
      </c>
      <c r="L329" s="7">
        <v>42111</v>
      </c>
      <c r="M329" s="28">
        <f>Table11[[#This Row],[Ship Date]]-Table11[[#This Row],[Order Date]]</f>
        <v>4</v>
      </c>
      <c r="N329" s="25" t="s">
        <v>45</v>
      </c>
      <c r="O329" s="25" t="s">
        <v>23</v>
      </c>
      <c r="P329" s="25" t="s">
        <v>94</v>
      </c>
      <c r="Q329" s="25" t="s">
        <v>95</v>
      </c>
      <c r="R329" s="25" t="s">
        <v>1488</v>
      </c>
      <c r="S329" s="35">
        <v>0.2</v>
      </c>
      <c r="T329" s="16">
        <v>239.976</v>
      </c>
      <c r="U329" s="19">
        <v>17.998200000000001</v>
      </c>
      <c r="V329" s="56">
        <f>Table11[[#This Row],[Profit]]/Table11[[#This Row],[Sales]]</f>
        <v>7.4999999999999997E-2</v>
      </c>
    </row>
    <row r="330" spans="1:22" x14ac:dyDescent="0.2">
      <c r="A330" s="2">
        <v>329</v>
      </c>
      <c r="B330" s="5" t="s">
        <v>9936</v>
      </c>
      <c r="C330" s="6">
        <v>42108</v>
      </c>
      <c r="D330" s="27">
        <f>MONTH(Table11[[#This Row],[Order Date]])</f>
        <v>4</v>
      </c>
      <c r="E330" s="5" t="s">
        <v>4815</v>
      </c>
      <c r="F330" s="5" t="s">
        <v>4816</v>
      </c>
      <c r="G330" s="24" t="s">
        <v>41</v>
      </c>
      <c r="H330" s="24" t="s">
        <v>71</v>
      </c>
      <c r="I330" s="5" t="s">
        <v>1763</v>
      </c>
      <c r="J330" s="24" t="s">
        <v>22</v>
      </c>
      <c r="K330" s="27">
        <v>1</v>
      </c>
      <c r="L330" s="6">
        <v>42112</v>
      </c>
      <c r="M330" s="27">
        <f>Table11[[#This Row],[Ship Date]]-Table11[[#This Row],[Order Date]]</f>
        <v>4</v>
      </c>
      <c r="N330" s="24" t="s">
        <v>45</v>
      </c>
      <c r="O330" s="24" t="s">
        <v>23</v>
      </c>
      <c r="P330" s="24" t="s">
        <v>374</v>
      </c>
      <c r="Q330" s="24" t="s">
        <v>39</v>
      </c>
      <c r="R330" s="24" t="s">
        <v>284</v>
      </c>
      <c r="S330" s="34">
        <v>0.2</v>
      </c>
      <c r="T330" s="15">
        <v>35.207999999999998</v>
      </c>
      <c r="U330" s="18">
        <v>2.6406000000000001</v>
      </c>
      <c r="V330" s="56">
        <f>Table11[[#This Row],[Profit]]/Table11[[#This Row],[Sales]]</f>
        <v>7.5000000000000011E-2</v>
      </c>
    </row>
    <row r="331" spans="1:22" x14ac:dyDescent="0.2">
      <c r="A331" s="4">
        <v>330</v>
      </c>
      <c r="B331" s="3" t="s">
        <v>2762</v>
      </c>
      <c r="C331" s="7">
        <v>42110</v>
      </c>
      <c r="D331" s="28">
        <f>MONTH(Table11[[#This Row],[Order Date]])</f>
        <v>4</v>
      </c>
      <c r="E331" s="3" t="s">
        <v>1884</v>
      </c>
      <c r="F331" s="3" t="s">
        <v>1885</v>
      </c>
      <c r="G331" s="25" t="s">
        <v>41</v>
      </c>
      <c r="H331" s="25" t="s">
        <v>71</v>
      </c>
      <c r="I331" s="3" t="s">
        <v>2763</v>
      </c>
      <c r="J331" s="25" t="s">
        <v>36</v>
      </c>
      <c r="K331" s="28">
        <v>3</v>
      </c>
      <c r="L331" s="7">
        <v>42115</v>
      </c>
      <c r="M331" s="28">
        <f>Table11[[#This Row],[Ship Date]]-Table11[[#This Row],[Order Date]]</f>
        <v>5</v>
      </c>
      <c r="N331" s="25" t="s">
        <v>45</v>
      </c>
      <c r="O331" s="25" t="s">
        <v>23</v>
      </c>
      <c r="P331" s="25" t="s">
        <v>441</v>
      </c>
      <c r="Q331" s="25" t="s">
        <v>133</v>
      </c>
      <c r="R331" s="25" t="s">
        <v>2496</v>
      </c>
      <c r="S331" s="35">
        <v>0.2</v>
      </c>
      <c r="T331" s="16">
        <v>45.216000000000001</v>
      </c>
      <c r="U331" s="19">
        <v>4.5216000000000003</v>
      </c>
      <c r="V331" s="56">
        <f>Table11[[#This Row],[Profit]]/Table11[[#This Row],[Sales]]</f>
        <v>0.1</v>
      </c>
    </row>
    <row r="332" spans="1:22" x14ac:dyDescent="0.2">
      <c r="A332" s="4">
        <v>331</v>
      </c>
      <c r="B332" s="5" t="s">
        <v>2762</v>
      </c>
      <c r="C332" s="6">
        <v>42110</v>
      </c>
      <c r="D332" s="27">
        <f>MONTH(Table11[[#This Row],[Order Date]])</f>
        <v>4</v>
      </c>
      <c r="E332" s="5" t="s">
        <v>2764</v>
      </c>
      <c r="F332" s="5" t="s">
        <v>2765</v>
      </c>
      <c r="G332" s="24" t="s">
        <v>41</v>
      </c>
      <c r="H332" s="24" t="s">
        <v>240</v>
      </c>
      <c r="I332" s="5" t="s">
        <v>2763</v>
      </c>
      <c r="J332" s="24" t="s">
        <v>36</v>
      </c>
      <c r="K332" s="27">
        <v>7</v>
      </c>
      <c r="L332" s="6">
        <v>42115</v>
      </c>
      <c r="M332" s="27">
        <f>Table11[[#This Row],[Ship Date]]-Table11[[#This Row],[Order Date]]</f>
        <v>5</v>
      </c>
      <c r="N332" s="24" t="s">
        <v>45</v>
      </c>
      <c r="O332" s="24" t="s">
        <v>23</v>
      </c>
      <c r="P332" s="24" t="s">
        <v>441</v>
      </c>
      <c r="Q332" s="24" t="s">
        <v>133</v>
      </c>
      <c r="R332" s="24" t="s">
        <v>2496</v>
      </c>
      <c r="S332" s="34">
        <v>0.2</v>
      </c>
      <c r="T332" s="15">
        <v>10.416</v>
      </c>
      <c r="U332" s="18">
        <v>-2.2134</v>
      </c>
      <c r="V332" s="56">
        <f>Table11[[#This Row],[Profit]]/Table11[[#This Row],[Sales]]</f>
        <v>-0.21249999999999999</v>
      </c>
    </row>
    <row r="333" spans="1:22" x14ac:dyDescent="0.2">
      <c r="A333" s="2">
        <v>332</v>
      </c>
      <c r="B333" s="3" t="s">
        <v>2762</v>
      </c>
      <c r="C333" s="7">
        <v>42110</v>
      </c>
      <c r="D333" s="28">
        <f>MONTH(Table11[[#This Row],[Order Date]])</f>
        <v>4</v>
      </c>
      <c r="E333" s="3" t="s">
        <v>1208</v>
      </c>
      <c r="F333" s="3" t="s">
        <v>1209</v>
      </c>
      <c r="G333" s="25" t="s">
        <v>41</v>
      </c>
      <c r="H333" s="25" t="s">
        <v>61</v>
      </c>
      <c r="I333" s="3" t="s">
        <v>2763</v>
      </c>
      <c r="J333" s="25" t="s">
        <v>36</v>
      </c>
      <c r="K333" s="28">
        <v>3</v>
      </c>
      <c r="L333" s="7">
        <v>42115</v>
      </c>
      <c r="M333" s="28">
        <f>Table11[[#This Row],[Ship Date]]-Table11[[#This Row],[Order Date]]</f>
        <v>5</v>
      </c>
      <c r="N333" s="25" t="s">
        <v>45</v>
      </c>
      <c r="O333" s="25" t="s">
        <v>23</v>
      </c>
      <c r="P333" s="25" t="s">
        <v>441</v>
      </c>
      <c r="Q333" s="25" t="s">
        <v>133</v>
      </c>
      <c r="R333" s="25" t="s">
        <v>2496</v>
      </c>
      <c r="S333" s="35">
        <v>0.2</v>
      </c>
      <c r="T333" s="16">
        <v>7.8719999999999999</v>
      </c>
      <c r="U333" s="19">
        <v>1.2791999999999999</v>
      </c>
      <c r="V333" s="56">
        <f>Table11[[#This Row],[Profit]]/Table11[[#This Row],[Sales]]</f>
        <v>0.16249999999999998</v>
      </c>
    </row>
    <row r="334" spans="1:22" x14ac:dyDescent="0.2">
      <c r="A334" s="4">
        <v>333</v>
      </c>
      <c r="B334" s="5" t="s">
        <v>2762</v>
      </c>
      <c r="C334" s="6">
        <v>42110</v>
      </c>
      <c r="D334" s="27">
        <f>MONTH(Table11[[#This Row],[Order Date]])</f>
        <v>4</v>
      </c>
      <c r="E334" s="5" t="s">
        <v>2766</v>
      </c>
      <c r="F334" s="5" t="s">
        <v>2767</v>
      </c>
      <c r="G334" s="24" t="s">
        <v>64</v>
      </c>
      <c r="H334" s="24" t="s">
        <v>65</v>
      </c>
      <c r="I334" s="5" t="s">
        <v>2763</v>
      </c>
      <c r="J334" s="24" t="s">
        <v>36</v>
      </c>
      <c r="K334" s="27">
        <v>3</v>
      </c>
      <c r="L334" s="6">
        <v>42115</v>
      </c>
      <c r="M334" s="27">
        <f>Table11[[#This Row],[Ship Date]]-Table11[[#This Row],[Order Date]]</f>
        <v>5</v>
      </c>
      <c r="N334" s="24" t="s">
        <v>45</v>
      </c>
      <c r="O334" s="24" t="s">
        <v>23</v>
      </c>
      <c r="P334" s="24" t="s">
        <v>441</v>
      </c>
      <c r="Q334" s="24" t="s">
        <v>133</v>
      </c>
      <c r="R334" s="24" t="s">
        <v>2496</v>
      </c>
      <c r="S334" s="34">
        <v>0.4</v>
      </c>
      <c r="T334" s="15">
        <v>118.782</v>
      </c>
      <c r="U334" s="18">
        <v>-27.715800000000002</v>
      </c>
      <c r="V334" s="56">
        <f>Table11[[#This Row],[Profit]]/Table11[[#This Row],[Sales]]</f>
        <v>-0.23333333333333336</v>
      </c>
    </row>
    <row r="335" spans="1:22" x14ac:dyDescent="0.2">
      <c r="A335" s="4">
        <v>334</v>
      </c>
      <c r="B335" s="3" t="s">
        <v>2762</v>
      </c>
      <c r="C335" s="7">
        <v>42110</v>
      </c>
      <c r="D335" s="28">
        <f>MONTH(Table11[[#This Row],[Order Date]])</f>
        <v>4</v>
      </c>
      <c r="E335" s="3" t="s">
        <v>2768</v>
      </c>
      <c r="F335" s="3" t="s">
        <v>2769</v>
      </c>
      <c r="G335" s="25" t="s">
        <v>41</v>
      </c>
      <c r="H335" s="25" t="s">
        <v>240</v>
      </c>
      <c r="I335" s="3" t="s">
        <v>2763</v>
      </c>
      <c r="J335" s="25" t="s">
        <v>36</v>
      </c>
      <c r="K335" s="28">
        <v>1</v>
      </c>
      <c r="L335" s="7">
        <v>42115</v>
      </c>
      <c r="M335" s="28">
        <f>Table11[[#This Row],[Ship Date]]-Table11[[#This Row],[Order Date]]</f>
        <v>5</v>
      </c>
      <c r="N335" s="25" t="s">
        <v>45</v>
      </c>
      <c r="O335" s="25" t="s">
        <v>23</v>
      </c>
      <c r="P335" s="25" t="s">
        <v>441</v>
      </c>
      <c r="Q335" s="25" t="s">
        <v>133</v>
      </c>
      <c r="R335" s="25" t="s">
        <v>2496</v>
      </c>
      <c r="S335" s="35">
        <v>0.2</v>
      </c>
      <c r="T335" s="16">
        <v>1.448</v>
      </c>
      <c r="U335" s="19">
        <v>0.23530000000000001</v>
      </c>
      <c r="V335" s="56">
        <f>Table11[[#This Row],[Profit]]/Table11[[#This Row],[Sales]]</f>
        <v>0.16250000000000001</v>
      </c>
    </row>
    <row r="336" spans="1:22" x14ac:dyDescent="0.2">
      <c r="A336" s="2">
        <v>335</v>
      </c>
      <c r="B336" s="5" t="s">
        <v>2762</v>
      </c>
      <c r="C336" s="6">
        <v>42110</v>
      </c>
      <c r="D336" s="27">
        <f>MONTH(Table11[[#This Row],[Order Date]])</f>
        <v>4</v>
      </c>
      <c r="E336" s="5" t="s">
        <v>2770</v>
      </c>
      <c r="F336" s="5" t="s">
        <v>2771</v>
      </c>
      <c r="G336" s="24" t="s">
        <v>41</v>
      </c>
      <c r="H336" s="24" t="s">
        <v>68</v>
      </c>
      <c r="I336" s="5" t="s">
        <v>2763</v>
      </c>
      <c r="J336" s="24" t="s">
        <v>36</v>
      </c>
      <c r="K336" s="27">
        <v>5</v>
      </c>
      <c r="L336" s="6">
        <v>42115</v>
      </c>
      <c r="M336" s="27">
        <f>Table11[[#This Row],[Ship Date]]-Table11[[#This Row],[Order Date]]</f>
        <v>5</v>
      </c>
      <c r="N336" s="24" t="s">
        <v>45</v>
      </c>
      <c r="O336" s="24" t="s">
        <v>23</v>
      </c>
      <c r="P336" s="24" t="s">
        <v>441</v>
      </c>
      <c r="Q336" s="24" t="s">
        <v>133</v>
      </c>
      <c r="R336" s="24" t="s">
        <v>2496</v>
      </c>
      <c r="S336" s="34">
        <v>0.7</v>
      </c>
      <c r="T336" s="15">
        <v>55.47</v>
      </c>
      <c r="U336" s="18">
        <v>-46.225000000000001</v>
      </c>
      <c r="V336" s="56">
        <f>Table11[[#This Row],[Profit]]/Table11[[#This Row],[Sales]]</f>
        <v>-0.83333333333333337</v>
      </c>
    </row>
    <row r="337" spans="1:22" x14ac:dyDescent="0.2">
      <c r="A337" s="4">
        <v>336</v>
      </c>
      <c r="B337" s="3" t="s">
        <v>7339</v>
      </c>
      <c r="C337" s="7">
        <v>42110</v>
      </c>
      <c r="D337" s="28">
        <f>MONTH(Table11[[#This Row],[Order Date]])</f>
        <v>4</v>
      </c>
      <c r="E337" s="3" t="s">
        <v>4823</v>
      </c>
      <c r="F337" s="3" t="s">
        <v>498</v>
      </c>
      <c r="G337" s="25" t="s">
        <v>41</v>
      </c>
      <c r="H337" s="25" t="s">
        <v>240</v>
      </c>
      <c r="I337" s="3" t="s">
        <v>2001</v>
      </c>
      <c r="J337" s="25" t="s">
        <v>36</v>
      </c>
      <c r="K337" s="28">
        <v>4</v>
      </c>
      <c r="L337" s="7">
        <v>42115</v>
      </c>
      <c r="M337" s="28">
        <f>Table11[[#This Row],[Ship Date]]-Table11[[#This Row],[Order Date]]</f>
        <v>5</v>
      </c>
      <c r="N337" s="25" t="s">
        <v>45</v>
      </c>
      <c r="O337" s="25" t="s">
        <v>23</v>
      </c>
      <c r="P337" s="25" t="s">
        <v>132</v>
      </c>
      <c r="Q337" s="25" t="s">
        <v>133</v>
      </c>
      <c r="R337" s="25" t="s">
        <v>131</v>
      </c>
      <c r="S337" s="35">
        <v>0.2</v>
      </c>
      <c r="T337" s="16">
        <v>12.576000000000001</v>
      </c>
      <c r="U337" s="19">
        <v>4.0872000000000002</v>
      </c>
      <c r="V337" s="56">
        <f>Table11[[#This Row],[Profit]]/Table11[[#This Row],[Sales]]</f>
        <v>0.32500000000000001</v>
      </c>
    </row>
    <row r="338" spans="1:22" x14ac:dyDescent="0.2">
      <c r="A338" s="4">
        <v>337</v>
      </c>
      <c r="B338" s="5" t="s">
        <v>7973</v>
      </c>
      <c r="C338" s="6">
        <v>42110</v>
      </c>
      <c r="D338" s="27">
        <f>MONTH(Table11[[#This Row],[Order Date]])</f>
        <v>4</v>
      </c>
      <c r="E338" s="5" t="s">
        <v>3786</v>
      </c>
      <c r="F338" s="5" t="s">
        <v>3787</v>
      </c>
      <c r="G338" s="24" t="s">
        <v>64</v>
      </c>
      <c r="H338" s="24" t="s">
        <v>1075</v>
      </c>
      <c r="I338" s="5" t="s">
        <v>7593</v>
      </c>
      <c r="J338" s="24" t="s">
        <v>22</v>
      </c>
      <c r="K338" s="27">
        <v>4</v>
      </c>
      <c r="L338" s="6">
        <v>42114</v>
      </c>
      <c r="M338" s="27">
        <f>Table11[[#This Row],[Ship Date]]-Table11[[#This Row],[Order Date]]</f>
        <v>4</v>
      </c>
      <c r="N338" s="24" t="s">
        <v>45</v>
      </c>
      <c r="O338" s="24" t="s">
        <v>23</v>
      </c>
      <c r="P338" s="24" t="s">
        <v>189</v>
      </c>
      <c r="Q338" s="24" t="s">
        <v>95</v>
      </c>
      <c r="R338" s="24" t="s">
        <v>2094</v>
      </c>
      <c r="S338" s="34">
        <v>0.2</v>
      </c>
      <c r="T338" s="15">
        <v>1439.9680000000001</v>
      </c>
      <c r="U338" s="18">
        <v>485.98919999999998</v>
      </c>
      <c r="V338" s="56">
        <f>Table11[[#This Row],[Profit]]/Table11[[#This Row],[Sales]]</f>
        <v>0.33749999999999997</v>
      </c>
    </row>
    <row r="339" spans="1:22" x14ac:dyDescent="0.2">
      <c r="A339" s="2">
        <v>338</v>
      </c>
      <c r="B339" s="3" t="s">
        <v>7973</v>
      </c>
      <c r="C339" s="7">
        <v>42110</v>
      </c>
      <c r="D339" s="28">
        <f>MONTH(Table11[[#This Row],[Order Date]])</f>
        <v>4</v>
      </c>
      <c r="E339" s="3" t="s">
        <v>7029</v>
      </c>
      <c r="F339" s="3" t="s">
        <v>7030</v>
      </c>
      <c r="G339" s="25" t="s">
        <v>64</v>
      </c>
      <c r="H339" s="25" t="s">
        <v>144</v>
      </c>
      <c r="I339" s="3" t="s">
        <v>7593</v>
      </c>
      <c r="J339" s="25" t="s">
        <v>22</v>
      </c>
      <c r="K339" s="28">
        <v>3</v>
      </c>
      <c r="L339" s="7">
        <v>42114</v>
      </c>
      <c r="M339" s="28">
        <f>Table11[[#This Row],[Ship Date]]-Table11[[#This Row],[Order Date]]</f>
        <v>4</v>
      </c>
      <c r="N339" s="25" t="s">
        <v>45</v>
      </c>
      <c r="O339" s="25" t="s">
        <v>23</v>
      </c>
      <c r="P339" s="25" t="s">
        <v>189</v>
      </c>
      <c r="Q339" s="25" t="s">
        <v>95</v>
      </c>
      <c r="R339" s="25" t="s">
        <v>2094</v>
      </c>
      <c r="S339" s="35">
        <v>0.2</v>
      </c>
      <c r="T339" s="16">
        <v>43.56</v>
      </c>
      <c r="U339" s="19">
        <v>-4.9005000000000001</v>
      </c>
      <c r="V339" s="56">
        <f>Table11[[#This Row],[Profit]]/Table11[[#This Row],[Sales]]</f>
        <v>-0.1125</v>
      </c>
    </row>
    <row r="340" spans="1:22" x14ac:dyDescent="0.2">
      <c r="A340" s="4">
        <v>339</v>
      </c>
      <c r="B340" s="5" t="s">
        <v>8711</v>
      </c>
      <c r="C340" s="6">
        <v>42110</v>
      </c>
      <c r="D340" s="27">
        <f>MONTH(Table11[[#This Row],[Order Date]])</f>
        <v>4</v>
      </c>
      <c r="E340" s="5" t="s">
        <v>75</v>
      </c>
      <c r="F340" s="5" t="s">
        <v>76</v>
      </c>
      <c r="G340" s="24" t="s">
        <v>64</v>
      </c>
      <c r="H340" s="24" t="s">
        <v>65</v>
      </c>
      <c r="I340" s="5" t="s">
        <v>2396</v>
      </c>
      <c r="J340" s="24" t="s">
        <v>22</v>
      </c>
      <c r="K340" s="27">
        <v>2</v>
      </c>
      <c r="L340" s="6">
        <v>42112</v>
      </c>
      <c r="M340" s="27">
        <f>Table11[[#This Row],[Ship Date]]-Table11[[#This Row],[Order Date]]</f>
        <v>2</v>
      </c>
      <c r="N340" s="24" t="s">
        <v>169</v>
      </c>
      <c r="O340" s="24" t="s">
        <v>23</v>
      </c>
      <c r="P340" s="24" t="s">
        <v>285</v>
      </c>
      <c r="Q340" s="24" t="s">
        <v>26</v>
      </c>
      <c r="R340" s="24" t="s">
        <v>1970</v>
      </c>
      <c r="S340" s="34">
        <v>0</v>
      </c>
      <c r="T340" s="15">
        <v>569.64</v>
      </c>
      <c r="U340" s="18">
        <v>148.10640000000001</v>
      </c>
      <c r="V340" s="56">
        <f>Table11[[#This Row],[Profit]]/Table11[[#This Row],[Sales]]</f>
        <v>0.26</v>
      </c>
    </row>
    <row r="341" spans="1:22" x14ac:dyDescent="0.2">
      <c r="A341" s="4">
        <v>340</v>
      </c>
      <c r="B341" s="3" t="s">
        <v>8711</v>
      </c>
      <c r="C341" s="7">
        <v>42110</v>
      </c>
      <c r="D341" s="28">
        <f>MONTH(Table11[[#This Row],[Order Date]])</f>
        <v>4</v>
      </c>
      <c r="E341" s="3" t="s">
        <v>2147</v>
      </c>
      <c r="F341" s="3" t="s">
        <v>2148</v>
      </c>
      <c r="G341" s="25" t="s">
        <v>41</v>
      </c>
      <c r="H341" s="25" t="s">
        <v>68</v>
      </c>
      <c r="I341" s="3" t="s">
        <v>2396</v>
      </c>
      <c r="J341" s="25" t="s">
        <v>22</v>
      </c>
      <c r="K341" s="28">
        <v>1</v>
      </c>
      <c r="L341" s="7">
        <v>42112</v>
      </c>
      <c r="M341" s="28">
        <f>Table11[[#This Row],[Ship Date]]-Table11[[#This Row],[Order Date]]</f>
        <v>2</v>
      </c>
      <c r="N341" s="25" t="s">
        <v>169</v>
      </c>
      <c r="O341" s="25" t="s">
        <v>23</v>
      </c>
      <c r="P341" s="25" t="s">
        <v>285</v>
      </c>
      <c r="Q341" s="25" t="s">
        <v>26</v>
      </c>
      <c r="R341" s="25" t="s">
        <v>1970</v>
      </c>
      <c r="S341" s="35">
        <v>0</v>
      </c>
      <c r="T341" s="16">
        <v>9.14</v>
      </c>
      <c r="U341" s="19">
        <v>4.57</v>
      </c>
      <c r="V341" s="56">
        <f>Table11[[#This Row],[Profit]]/Table11[[#This Row],[Sales]]</f>
        <v>0.5</v>
      </c>
    </row>
    <row r="342" spans="1:22" x14ac:dyDescent="0.2">
      <c r="A342" s="2">
        <v>341</v>
      </c>
      <c r="B342" s="5" t="s">
        <v>8711</v>
      </c>
      <c r="C342" s="6">
        <v>42110</v>
      </c>
      <c r="D342" s="27">
        <f>MONTH(Table11[[#This Row],[Order Date]])</f>
        <v>4</v>
      </c>
      <c r="E342" s="5" t="s">
        <v>4741</v>
      </c>
      <c r="F342" s="5" t="s">
        <v>4742</v>
      </c>
      <c r="G342" s="24" t="s">
        <v>28</v>
      </c>
      <c r="H342" s="24" t="s">
        <v>58</v>
      </c>
      <c r="I342" s="5" t="s">
        <v>2396</v>
      </c>
      <c r="J342" s="24" t="s">
        <v>22</v>
      </c>
      <c r="K342" s="27">
        <v>7</v>
      </c>
      <c r="L342" s="6">
        <v>42112</v>
      </c>
      <c r="M342" s="27">
        <f>Table11[[#This Row],[Ship Date]]-Table11[[#This Row],[Order Date]]</f>
        <v>2</v>
      </c>
      <c r="N342" s="24" t="s">
        <v>169</v>
      </c>
      <c r="O342" s="24" t="s">
        <v>23</v>
      </c>
      <c r="P342" s="24" t="s">
        <v>285</v>
      </c>
      <c r="Q342" s="24" t="s">
        <v>26</v>
      </c>
      <c r="R342" s="24" t="s">
        <v>1970</v>
      </c>
      <c r="S342" s="34">
        <v>0</v>
      </c>
      <c r="T342" s="15">
        <v>1196.8599999999999</v>
      </c>
      <c r="U342" s="18">
        <v>119.68600000000001</v>
      </c>
      <c r="V342" s="56">
        <f>Table11[[#This Row],[Profit]]/Table11[[#This Row],[Sales]]</f>
        <v>0.10000000000000002</v>
      </c>
    </row>
    <row r="343" spans="1:22" x14ac:dyDescent="0.2">
      <c r="A343" s="4">
        <v>342</v>
      </c>
      <c r="B343" s="3" t="s">
        <v>8711</v>
      </c>
      <c r="C343" s="7">
        <v>42110</v>
      </c>
      <c r="D343" s="28">
        <f>MONTH(Table11[[#This Row],[Order Date]])</f>
        <v>4</v>
      </c>
      <c r="E343" s="3" t="s">
        <v>2299</v>
      </c>
      <c r="F343" s="3" t="s">
        <v>2300</v>
      </c>
      <c r="G343" s="25" t="s">
        <v>28</v>
      </c>
      <c r="H343" s="25" t="s">
        <v>29</v>
      </c>
      <c r="I343" s="3" t="s">
        <v>2396</v>
      </c>
      <c r="J343" s="25" t="s">
        <v>22</v>
      </c>
      <c r="K343" s="28">
        <v>9</v>
      </c>
      <c r="L343" s="7">
        <v>42112</v>
      </c>
      <c r="M343" s="28">
        <f>Table11[[#This Row],[Ship Date]]-Table11[[#This Row],[Order Date]]</f>
        <v>2</v>
      </c>
      <c r="N343" s="25" t="s">
        <v>169</v>
      </c>
      <c r="O343" s="25" t="s">
        <v>23</v>
      </c>
      <c r="P343" s="25" t="s">
        <v>285</v>
      </c>
      <c r="Q343" s="25" t="s">
        <v>26</v>
      </c>
      <c r="R343" s="25" t="s">
        <v>1970</v>
      </c>
      <c r="S343" s="35">
        <v>0</v>
      </c>
      <c r="T343" s="16">
        <v>523.26</v>
      </c>
      <c r="U343" s="19">
        <v>125.58240000000001</v>
      </c>
      <c r="V343" s="56">
        <f>Table11[[#This Row],[Profit]]/Table11[[#This Row],[Sales]]</f>
        <v>0.24000000000000002</v>
      </c>
    </row>
    <row r="344" spans="1:22" x14ac:dyDescent="0.2">
      <c r="A344" s="4">
        <v>343</v>
      </c>
      <c r="B344" s="5" t="s">
        <v>8769</v>
      </c>
      <c r="C344" s="6">
        <v>42110</v>
      </c>
      <c r="D344" s="27">
        <f>MONTH(Table11[[#This Row],[Order Date]])</f>
        <v>4</v>
      </c>
      <c r="E344" s="5" t="s">
        <v>251</v>
      </c>
      <c r="F344" s="5" t="s">
        <v>252</v>
      </c>
      <c r="G344" s="24" t="s">
        <v>28</v>
      </c>
      <c r="H344" s="24" t="s">
        <v>32</v>
      </c>
      <c r="I344" s="5" t="s">
        <v>5370</v>
      </c>
      <c r="J344" s="24" t="s">
        <v>36</v>
      </c>
      <c r="K344" s="27">
        <v>2</v>
      </c>
      <c r="L344" s="6">
        <v>42115</v>
      </c>
      <c r="M344" s="27">
        <f>Table11[[#This Row],[Ship Date]]-Table11[[#This Row],[Order Date]]</f>
        <v>5</v>
      </c>
      <c r="N344" s="24" t="s">
        <v>45</v>
      </c>
      <c r="O344" s="24" t="s">
        <v>23</v>
      </c>
      <c r="P344" s="24" t="s">
        <v>238</v>
      </c>
      <c r="Q344" s="24" t="s">
        <v>133</v>
      </c>
      <c r="R344" s="24" t="s">
        <v>237</v>
      </c>
      <c r="S344" s="34">
        <v>0.1</v>
      </c>
      <c r="T344" s="15">
        <v>127.764</v>
      </c>
      <c r="U344" s="18">
        <v>2.8391999999999999</v>
      </c>
      <c r="V344" s="56">
        <f>Table11[[#This Row],[Profit]]/Table11[[#This Row],[Sales]]</f>
        <v>2.2222222222222223E-2</v>
      </c>
    </row>
    <row r="345" spans="1:22" x14ac:dyDescent="0.2">
      <c r="A345" s="2">
        <v>344</v>
      </c>
      <c r="B345" s="3" t="s">
        <v>5271</v>
      </c>
      <c r="C345" s="7">
        <v>42111</v>
      </c>
      <c r="D345" s="28">
        <f>MONTH(Table11[[#This Row],[Order Date]])</f>
        <v>4</v>
      </c>
      <c r="E345" s="3" t="s">
        <v>3725</v>
      </c>
      <c r="F345" s="3" t="s">
        <v>3726</v>
      </c>
      <c r="G345" s="25" t="s">
        <v>41</v>
      </c>
      <c r="H345" s="25" t="s">
        <v>61</v>
      </c>
      <c r="I345" s="3" t="s">
        <v>5272</v>
      </c>
      <c r="J345" s="25" t="s">
        <v>22</v>
      </c>
      <c r="K345" s="28">
        <v>2</v>
      </c>
      <c r="L345" s="7">
        <v>42115</v>
      </c>
      <c r="M345" s="28">
        <f>Table11[[#This Row],[Ship Date]]-Table11[[#This Row],[Order Date]]</f>
        <v>4</v>
      </c>
      <c r="N345" s="25" t="s">
        <v>45</v>
      </c>
      <c r="O345" s="25" t="s">
        <v>23</v>
      </c>
      <c r="P345" s="25" t="s">
        <v>38</v>
      </c>
      <c r="Q345" s="25" t="s">
        <v>39</v>
      </c>
      <c r="R345" s="25" t="s">
        <v>114</v>
      </c>
      <c r="S345" s="35">
        <v>0</v>
      </c>
      <c r="T345" s="16">
        <v>5.56</v>
      </c>
      <c r="U345" s="19">
        <v>2.2240000000000002</v>
      </c>
      <c r="V345" s="56">
        <f>Table11[[#This Row],[Profit]]/Table11[[#This Row],[Sales]]</f>
        <v>0.40000000000000008</v>
      </c>
    </row>
    <row r="346" spans="1:22" x14ac:dyDescent="0.2">
      <c r="A346" s="4">
        <v>345</v>
      </c>
      <c r="B346" s="5" t="s">
        <v>5271</v>
      </c>
      <c r="C346" s="6">
        <v>42111</v>
      </c>
      <c r="D346" s="27">
        <f>MONTH(Table11[[#This Row],[Order Date]])</f>
        <v>4</v>
      </c>
      <c r="E346" s="5" t="s">
        <v>2132</v>
      </c>
      <c r="F346" s="5" t="s">
        <v>2133</v>
      </c>
      <c r="G346" s="24" t="s">
        <v>64</v>
      </c>
      <c r="H346" s="24" t="s">
        <v>144</v>
      </c>
      <c r="I346" s="5" t="s">
        <v>5272</v>
      </c>
      <c r="J346" s="24" t="s">
        <v>22</v>
      </c>
      <c r="K346" s="27">
        <v>3</v>
      </c>
      <c r="L346" s="6">
        <v>42115</v>
      </c>
      <c r="M346" s="27">
        <f>Table11[[#This Row],[Ship Date]]-Table11[[#This Row],[Order Date]]</f>
        <v>4</v>
      </c>
      <c r="N346" s="24" t="s">
        <v>45</v>
      </c>
      <c r="O346" s="24" t="s">
        <v>23</v>
      </c>
      <c r="P346" s="24" t="s">
        <v>38</v>
      </c>
      <c r="Q346" s="24" t="s">
        <v>39</v>
      </c>
      <c r="R346" s="24" t="s">
        <v>114</v>
      </c>
      <c r="S346" s="34">
        <v>0</v>
      </c>
      <c r="T346" s="15">
        <v>323.37</v>
      </c>
      <c r="U346" s="18">
        <v>129.34800000000001</v>
      </c>
      <c r="V346" s="56">
        <f>Table11[[#This Row],[Profit]]/Table11[[#This Row],[Sales]]</f>
        <v>0.4</v>
      </c>
    </row>
    <row r="347" spans="1:22" x14ac:dyDescent="0.2">
      <c r="A347" s="4">
        <v>346</v>
      </c>
      <c r="B347" s="3" t="s">
        <v>5271</v>
      </c>
      <c r="C347" s="7">
        <v>42111</v>
      </c>
      <c r="D347" s="28">
        <f>MONTH(Table11[[#This Row],[Order Date]])</f>
        <v>4</v>
      </c>
      <c r="E347" s="3" t="s">
        <v>3337</v>
      </c>
      <c r="F347" s="3" t="s">
        <v>5077</v>
      </c>
      <c r="G347" s="25" t="s">
        <v>64</v>
      </c>
      <c r="H347" s="25" t="s">
        <v>65</v>
      </c>
      <c r="I347" s="3" t="s">
        <v>5272</v>
      </c>
      <c r="J347" s="25" t="s">
        <v>22</v>
      </c>
      <c r="K347" s="28">
        <v>5</v>
      </c>
      <c r="L347" s="7">
        <v>42115</v>
      </c>
      <c r="M347" s="28">
        <f>Table11[[#This Row],[Ship Date]]-Table11[[#This Row],[Order Date]]</f>
        <v>4</v>
      </c>
      <c r="N347" s="25" t="s">
        <v>45</v>
      </c>
      <c r="O347" s="25" t="s">
        <v>23</v>
      </c>
      <c r="P347" s="25" t="s">
        <v>38</v>
      </c>
      <c r="Q347" s="25" t="s">
        <v>39</v>
      </c>
      <c r="R347" s="25" t="s">
        <v>114</v>
      </c>
      <c r="S347" s="35">
        <v>0.2</v>
      </c>
      <c r="T347" s="16">
        <v>783.96</v>
      </c>
      <c r="U347" s="19">
        <v>68.596500000000006</v>
      </c>
      <c r="V347" s="56">
        <f>Table11[[#This Row],[Profit]]/Table11[[#This Row],[Sales]]</f>
        <v>8.7500000000000008E-2</v>
      </c>
    </row>
    <row r="348" spans="1:22" x14ac:dyDescent="0.2">
      <c r="A348" s="2">
        <v>347</v>
      </c>
      <c r="B348" s="5" t="s">
        <v>5271</v>
      </c>
      <c r="C348" s="6">
        <v>42111</v>
      </c>
      <c r="D348" s="27">
        <f>MONTH(Table11[[#This Row],[Order Date]])</f>
        <v>4</v>
      </c>
      <c r="E348" s="5" t="s">
        <v>4990</v>
      </c>
      <c r="F348" s="5" t="s">
        <v>4991</v>
      </c>
      <c r="G348" s="24" t="s">
        <v>41</v>
      </c>
      <c r="H348" s="24" t="s">
        <v>71</v>
      </c>
      <c r="I348" s="5" t="s">
        <v>5272</v>
      </c>
      <c r="J348" s="24" t="s">
        <v>22</v>
      </c>
      <c r="K348" s="27">
        <v>5</v>
      </c>
      <c r="L348" s="6">
        <v>42115</v>
      </c>
      <c r="M348" s="27">
        <f>Table11[[#This Row],[Ship Date]]-Table11[[#This Row],[Order Date]]</f>
        <v>4</v>
      </c>
      <c r="N348" s="24" t="s">
        <v>45</v>
      </c>
      <c r="O348" s="24" t="s">
        <v>23</v>
      </c>
      <c r="P348" s="24" t="s">
        <v>38</v>
      </c>
      <c r="Q348" s="24" t="s">
        <v>39</v>
      </c>
      <c r="R348" s="24" t="s">
        <v>114</v>
      </c>
      <c r="S348" s="34">
        <v>0</v>
      </c>
      <c r="T348" s="15">
        <v>1447.65</v>
      </c>
      <c r="U348" s="18">
        <v>419.81849999999997</v>
      </c>
      <c r="V348" s="56">
        <f>Table11[[#This Row],[Profit]]/Table11[[#This Row],[Sales]]</f>
        <v>0.28999999999999998</v>
      </c>
    </row>
    <row r="349" spans="1:22" x14ac:dyDescent="0.2">
      <c r="A349" s="4">
        <v>348</v>
      </c>
      <c r="B349" s="3" t="s">
        <v>5271</v>
      </c>
      <c r="C349" s="7">
        <v>42111</v>
      </c>
      <c r="D349" s="28">
        <f>MONTH(Table11[[#This Row],[Order Date]])</f>
        <v>4</v>
      </c>
      <c r="E349" s="3" t="s">
        <v>4830</v>
      </c>
      <c r="F349" s="3" t="s">
        <v>4831</v>
      </c>
      <c r="G349" s="25" t="s">
        <v>41</v>
      </c>
      <c r="H349" s="25" t="s">
        <v>82</v>
      </c>
      <c r="I349" s="3" t="s">
        <v>5272</v>
      </c>
      <c r="J349" s="25" t="s">
        <v>22</v>
      </c>
      <c r="K349" s="28">
        <v>2</v>
      </c>
      <c r="L349" s="7">
        <v>42115</v>
      </c>
      <c r="M349" s="28">
        <f>Table11[[#This Row],[Ship Date]]-Table11[[#This Row],[Order Date]]</f>
        <v>4</v>
      </c>
      <c r="N349" s="25" t="s">
        <v>45</v>
      </c>
      <c r="O349" s="25" t="s">
        <v>23</v>
      </c>
      <c r="P349" s="25" t="s">
        <v>38</v>
      </c>
      <c r="Q349" s="25" t="s">
        <v>39</v>
      </c>
      <c r="R349" s="25" t="s">
        <v>114</v>
      </c>
      <c r="S349" s="35">
        <v>0</v>
      </c>
      <c r="T349" s="16">
        <v>11.96</v>
      </c>
      <c r="U349" s="19">
        <v>5.8604000000000003</v>
      </c>
      <c r="V349" s="56">
        <f>Table11[[#This Row],[Profit]]/Table11[[#This Row],[Sales]]</f>
        <v>0.49</v>
      </c>
    </row>
    <row r="350" spans="1:22" x14ac:dyDescent="0.2">
      <c r="A350" s="4">
        <v>349</v>
      </c>
      <c r="B350" s="5" t="s">
        <v>7489</v>
      </c>
      <c r="C350" s="6">
        <v>42111</v>
      </c>
      <c r="D350" s="27">
        <f>MONTH(Table11[[#This Row],[Order Date]])</f>
        <v>4</v>
      </c>
      <c r="E350" s="5" t="s">
        <v>2659</v>
      </c>
      <c r="F350" s="5" t="s">
        <v>2660</v>
      </c>
      <c r="G350" s="24" t="s">
        <v>64</v>
      </c>
      <c r="H350" s="24" t="s">
        <v>144</v>
      </c>
      <c r="I350" s="5" t="s">
        <v>2488</v>
      </c>
      <c r="J350" s="24" t="s">
        <v>22</v>
      </c>
      <c r="K350" s="27">
        <v>1</v>
      </c>
      <c r="L350" s="6">
        <v>42117</v>
      </c>
      <c r="M350" s="27">
        <f>Table11[[#This Row],[Ship Date]]-Table11[[#This Row],[Order Date]]</f>
        <v>6</v>
      </c>
      <c r="N350" s="24" t="s">
        <v>45</v>
      </c>
      <c r="O350" s="24" t="s">
        <v>23</v>
      </c>
      <c r="P350" s="24" t="s">
        <v>238</v>
      </c>
      <c r="Q350" s="24" t="s">
        <v>133</v>
      </c>
      <c r="R350" s="24" t="s">
        <v>237</v>
      </c>
      <c r="S350" s="34">
        <v>0</v>
      </c>
      <c r="T350" s="15">
        <v>99.6</v>
      </c>
      <c r="U350" s="18">
        <v>36.851999999999997</v>
      </c>
      <c r="V350" s="56">
        <f>Table11[[#This Row],[Profit]]/Table11[[#This Row],[Sales]]</f>
        <v>0.37</v>
      </c>
    </row>
    <row r="351" spans="1:22" x14ac:dyDescent="0.2">
      <c r="A351" s="2">
        <v>350</v>
      </c>
      <c r="B351" s="3" t="s">
        <v>7489</v>
      </c>
      <c r="C351" s="7">
        <v>42111</v>
      </c>
      <c r="D351" s="28">
        <f>MONTH(Table11[[#This Row],[Order Date]])</f>
        <v>4</v>
      </c>
      <c r="E351" s="3" t="s">
        <v>3951</v>
      </c>
      <c r="F351" s="3" t="s">
        <v>3952</v>
      </c>
      <c r="G351" s="25" t="s">
        <v>41</v>
      </c>
      <c r="H351" s="25" t="s">
        <v>68</v>
      </c>
      <c r="I351" s="3" t="s">
        <v>2488</v>
      </c>
      <c r="J351" s="25" t="s">
        <v>22</v>
      </c>
      <c r="K351" s="28">
        <v>13</v>
      </c>
      <c r="L351" s="7">
        <v>42117</v>
      </c>
      <c r="M351" s="28">
        <f>Table11[[#This Row],[Ship Date]]-Table11[[#This Row],[Order Date]]</f>
        <v>6</v>
      </c>
      <c r="N351" s="25" t="s">
        <v>45</v>
      </c>
      <c r="O351" s="25" t="s">
        <v>23</v>
      </c>
      <c r="P351" s="25" t="s">
        <v>238</v>
      </c>
      <c r="Q351" s="25" t="s">
        <v>133</v>
      </c>
      <c r="R351" s="25" t="s">
        <v>237</v>
      </c>
      <c r="S351" s="35">
        <v>0.2</v>
      </c>
      <c r="T351" s="16">
        <v>62.295999999999999</v>
      </c>
      <c r="U351" s="19">
        <v>21.024899999999999</v>
      </c>
      <c r="V351" s="56">
        <f>Table11[[#This Row],[Profit]]/Table11[[#This Row],[Sales]]</f>
        <v>0.33749999999999997</v>
      </c>
    </row>
    <row r="352" spans="1:22" x14ac:dyDescent="0.2">
      <c r="A352" s="4">
        <v>351</v>
      </c>
      <c r="B352" s="5" t="s">
        <v>7489</v>
      </c>
      <c r="C352" s="6">
        <v>42111</v>
      </c>
      <c r="D352" s="27">
        <f>MONTH(Table11[[#This Row],[Order Date]])</f>
        <v>4</v>
      </c>
      <c r="E352" s="5" t="s">
        <v>7490</v>
      </c>
      <c r="F352" s="5" t="s">
        <v>7491</v>
      </c>
      <c r="G352" s="24" t="s">
        <v>41</v>
      </c>
      <c r="H352" s="24" t="s">
        <v>61</v>
      </c>
      <c r="I352" s="5" t="s">
        <v>2488</v>
      </c>
      <c r="J352" s="24" t="s">
        <v>22</v>
      </c>
      <c r="K352" s="27">
        <v>3</v>
      </c>
      <c r="L352" s="6">
        <v>42117</v>
      </c>
      <c r="M352" s="27">
        <f>Table11[[#This Row],[Ship Date]]-Table11[[#This Row],[Order Date]]</f>
        <v>6</v>
      </c>
      <c r="N352" s="24" t="s">
        <v>45</v>
      </c>
      <c r="O352" s="24" t="s">
        <v>23</v>
      </c>
      <c r="P352" s="24" t="s">
        <v>238</v>
      </c>
      <c r="Q352" s="24" t="s">
        <v>133</v>
      </c>
      <c r="R352" s="24" t="s">
        <v>237</v>
      </c>
      <c r="S352" s="34">
        <v>0</v>
      </c>
      <c r="T352" s="15">
        <v>10.71</v>
      </c>
      <c r="U352" s="18">
        <v>2.7846000000000002</v>
      </c>
      <c r="V352" s="56">
        <f>Table11[[#This Row],[Profit]]/Table11[[#This Row],[Sales]]</f>
        <v>0.26</v>
      </c>
    </row>
    <row r="353" spans="1:22" x14ac:dyDescent="0.2">
      <c r="A353" s="4">
        <v>352</v>
      </c>
      <c r="B353" s="3" t="s">
        <v>223</v>
      </c>
      <c r="C353" s="7">
        <v>42112</v>
      </c>
      <c r="D353" s="28">
        <f>MONTH(Table11[[#This Row],[Order Date]])</f>
        <v>4</v>
      </c>
      <c r="E353" s="3" t="s">
        <v>227</v>
      </c>
      <c r="F353" s="3" t="s">
        <v>228</v>
      </c>
      <c r="G353" s="25" t="s">
        <v>41</v>
      </c>
      <c r="H353" s="25" t="s">
        <v>68</v>
      </c>
      <c r="I353" s="3" t="s">
        <v>224</v>
      </c>
      <c r="J353" s="25" t="s">
        <v>22</v>
      </c>
      <c r="K353" s="28">
        <v>6</v>
      </c>
      <c r="L353" s="7">
        <v>42116</v>
      </c>
      <c r="M353" s="28">
        <f>Table11[[#This Row],[Ship Date]]-Table11[[#This Row],[Order Date]]</f>
        <v>4</v>
      </c>
      <c r="N353" s="25" t="s">
        <v>45</v>
      </c>
      <c r="O353" s="25" t="s">
        <v>23</v>
      </c>
      <c r="P353" s="25" t="s">
        <v>226</v>
      </c>
      <c r="Q353" s="25" t="s">
        <v>95</v>
      </c>
      <c r="R353" s="25" t="s">
        <v>225</v>
      </c>
      <c r="S353" s="35">
        <v>0</v>
      </c>
      <c r="T353" s="16">
        <v>38.22</v>
      </c>
      <c r="U353" s="19">
        <v>17.9634</v>
      </c>
      <c r="V353" s="56">
        <f>Table11[[#This Row],[Profit]]/Table11[[#This Row],[Sales]]</f>
        <v>0.47000000000000003</v>
      </c>
    </row>
    <row r="354" spans="1:22" x14ac:dyDescent="0.2">
      <c r="A354" s="2">
        <v>353</v>
      </c>
      <c r="B354" s="5" t="s">
        <v>223</v>
      </c>
      <c r="C354" s="6">
        <v>42112</v>
      </c>
      <c r="D354" s="27">
        <f>MONTH(Table11[[#This Row],[Order Date]])</f>
        <v>4</v>
      </c>
      <c r="E354" s="5" t="s">
        <v>229</v>
      </c>
      <c r="F354" s="5" t="s">
        <v>230</v>
      </c>
      <c r="G354" s="24" t="s">
        <v>41</v>
      </c>
      <c r="H354" s="24" t="s">
        <v>42</v>
      </c>
      <c r="I354" s="5" t="s">
        <v>224</v>
      </c>
      <c r="J354" s="24" t="s">
        <v>22</v>
      </c>
      <c r="K354" s="27">
        <v>6</v>
      </c>
      <c r="L354" s="6">
        <v>42116</v>
      </c>
      <c r="M354" s="27">
        <f>Table11[[#This Row],[Ship Date]]-Table11[[#This Row],[Order Date]]</f>
        <v>4</v>
      </c>
      <c r="N354" s="24" t="s">
        <v>45</v>
      </c>
      <c r="O354" s="24" t="s">
        <v>23</v>
      </c>
      <c r="P354" s="24" t="s">
        <v>226</v>
      </c>
      <c r="Q354" s="24" t="s">
        <v>95</v>
      </c>
      <c r="R354" s="24" t="s">
        <v>225</v>
      </c>
      <c r="S354" s="34">
        <v>0</v>
      </c>
      <c r="T354" s="15">
        <v>75.180000000000007</v>
      </c>
      <c r="U354" s="18">
        <v>35.334600000000002</v>
      </c>
      <c r="V354" s="56">
        <f>Table11[[#This Row],[Profit]]/Table11[[#This Row],[Sales]]</f>
        <v>0.47</v>
      </c>
    </row>
    <row r="355" spans="1:22" x14ac:dyDescent="0.2">
      <c r="A355" s="4">
        <v>354</v>
      </c>
      <c r="B355" s="3" t="s">
        <v>223</v>
      </c>
      <c r="C355" s="7">
        <v>42112</v>
      </c>
      <c r="D355" s="28">
        <f>MONTH(Table11[[#This Row],[Order Date]])</f>
        <v>4</v>
      </c>
      <c r="E355" s="3" t="s">
        <v>231</v>
      </c>
      <c r="F355" s="3" t="s">
        <v>232</v>
      </c>
      <c r="G355" s="25" t="s">
        <v>28</v>
      </c>
      <c r="H355" s="25" t="s">
        <v>58</v>
      </c>
      <c r="I355" s="3" t="s">
        <v>224</v>
      </c>
      <c r="J355" s="25" t="s">
        <v>22</v>
      </c>
      <c r="K355" s="28">
        <v>2</v>
      </c>
      <c r="L355" s="7">
        <v>42116</v>
      </c>
      <c r="M355" s="28">
        <f>Table11[[#This Row],[Ship Date]]-Table11[[#This Row],[Order Date]]</f>
        <v>4</v>
      </c>
      <c r="N355" s="25" t="s">
        <v>45</v>
      </c>
      <c r="O355" s="25" t="s">
        <v>23</v>
      </c>
      <c r="P355" s="25" t="s">
        <v>226</v>
      </c>
      <c r="Q355" s="25" t="s">
        <v>95</v>
      </c>
      <c r="R355" s="25" t="s">
        <v>225</v>
      </c>
      <c r="S355" s="35">
        <v>0</v>
      </c>
      <c r="T355" s="16">
        <v>6.16</v>
      </c>
      <c r="U355" s="19">
        <v>2.9567999999999999</v>
      </c>
      <c r="V355" s="56">
        <f>Table11[[#This Row],[Profit]]/Table11[[#This Row],[Sales]]</f>
        <v>0.48</v>
      </c>
    </row>
    <row r="356" spans="1:22" x14ac:dyDescent="0.2">
      <c r="A356" s="4">
        <v>355</v>
      </c>
      <c r="B356" s="5" t="s">
        <v>223</v>
      </c>
      <c r="C356" s="6">
        <v>42112</v>
      </c>
      <c r="D356" s="27">
        <f>MONTH(Table11[[#This Row],[Order Date]])</f>
        <v>4</v>
      </c>
      <c r="E356" s="5" t="s">
        <v>233</v>
      </c>
      <c r="F356" s="5" t="s">
        <v>234</v>
      </c>
      <c r="G356" s="24" t="s">
        <v>28</v>
      </c>
      <c r="H356" s="24" t="s">
        <v>32</v>
      </c>
      <c r="I356" s="5" t="s">
        <v>224</v>
      </c>
      <c r="J356" s="24" t="s">
        <v>22</v>
      </c>
      <c r="K356" s="27">
        <v>1</v>
      </c>
      <c r="L356" s="6">
        <v>42116</v>
      </c>
      <c r="M356" s="27">
        <f>Table11[[#This Row],[Ship Date]]-Table11[[#This Row],[Order Date]]</f>
        <v>4</v>
      </c>
      <c r="N356" s="24" t="s">
        <v>45</v>
      </c>
      <c r="O356" s="24" t="s">
        <v>23</v>
      </c>
      <c r="P356" s="24" t="s">
        <v>226</v>
      </c>
      <c r="Q356" s="24" t="s">
        <v>95</v>
      </c>
      <c r="R356" s="24" t="s">
        <v>225</v>
      </c>
      <c r="S356" s="34">
        <v>0</v>
      </c>
      <c r="T356" s="15">
        <v>89.99</v>
      </c>
      <c r="U356" s="18">
        <v>17.098099999999999</v>
      </c>
      <c r="V356" s="56">
        <f>Table11[[#This Row],[Profit]]/Table11[[#This Row],[Sales]]</f>
        <v>0.19</v>
      </c>
    </row>
    <row r="357" spans="1:22" x14ac:dyDescent="0.2">
      <c r="A357" s="2">
        <v>356</v>
      </c>
      <c r="B357" s="3" t="s">
        <v>4980</v>
      </c>
      <c r="C357" s="7">
        <v>42112</v>
      </c>
      <c r="D357" s="28">
        <f>MONTH(Table11[[#This Row],[Order Date]])</f>
        <v>4</v>
      </c>
      <c r="E357" s="3" t="s">
        <v>3214</v>
      </c>
      <c r="F357" s="3" t="s">
        <v>3215</v>
      </c>
      <c r="G357" s="25" t="s">
        <v>64</v>
      </c>
      <c r="H357" s="25" t="s">
        <v>144</v>
      </c>
      <c r="I357" s="3" t="s">
        <v>4748</v>
      </c>
      <c r="J357" s="25" t="s">
        <v>22</v>
      </c>
      <c r="K357" s="28">
        <v>6</v>
      </c>
      <c r="L357" s="7">
        <v>42113</v>
      </c>
      <c r="M357" s="28">
        <f>Table11[[#This Row],[Ship Date]]-Table11[[#This Row],[Order Date]]</f>
        <v>1</v>
      </c>
      <c r="N357" s="25" t="s">
        <v>169</v>
      </c>
      <c r="O357" s="25" t="s">
        <v>23</v>
      </c>
      <c r="P357" s="25" t="s">
        <v>650</v>
      </c>
      <c r="Q357" s="25" t="s">
        <v>26</v>
      </c>
      <c r="R357" s="25" t="s">
        <v>649</v>
      </c>
      <c r="S357" s="35">
        <v>0</v>
      </c>
      <c r="T357" s="16">
        <v>106.5</v>
      </c>
      <c r="U357" s="19">
        <v>41.534999999999997</v>
      </c>
      <c r="V357" s="56">
        <f>Table11[[#This Row],[Profit]]/Table11[[#This Row],[Sales]]</f>
        <v>0.38999999999999996</v>
      </c>
    </row>
    <row r="358" spans="1:22" x14ac:dyDescent="0.2">
      <c r="A358" s="4">
        <v>357</v>
      </c>
      <c r="B358" s="5" t="s">
        <v>6569</v>
      </c>
      <c r="C358" s="6">
        <v>42112</v>
      </c>
      <c r="D358" s="27">
        <f>MONTH(Table11[[#This Row],[Order Date]])</f>
        <v>4</v>
      </c>
      <c r="E358" s="5" t="s">
        <v>2309</v>
      </c>
      <c r="F358" s="5" t="s">
        <v>2310</v>
      </c>
      <c r="G358" s="24" t="s">
        <v>41</v>
      </c>
      <c r="H358" s="24" t="s">
        <v>42</v>
      </c>
      <c r="I358" s="5" t="s">
        <v>2098</v>
      </c>
      <c r="J358" s="24" t="s">
        <v>22</v>
      </c>
      <c r="K358" s="27">
        <v>3</v>
      </c>
      <c r="L358" s="6">
        <v>42117</v>
      </c>
      <c r="M358" s="27">
        <f>Table11[[#This Row],[Ship Date]]-Table11[[#This Row],[Order Date]]</f>
        <v>5</v>
      </c>
      <c r="N358" s="24" t="s">
        <v>20</v>
      </c>
      <c r="O358" s="24" t="s">
        <v>23</v>
      </c>
      <c r="P358" s="24" t="s">
        <v>238</v>
      </c>
      <c r="Q358" s="24" t="s">
        <v>133</v>
      </c>
      <c r="R358" s="24" t="s">
        <v>237</v>
      </c>
      <c r="S358" s="34">
        <v>0</v>
      </c>
      <c r="T358" s="15">
        <v>21.93</v>
      </c>
      <c r="U358" s="18">
        <v>10.3071</v>
      </c>
      <c r="V358" s="56">
        <f>Table11[[#This Row],[Profit]]/Table11[[#This Row],[Sales]]</f>
        <v>0.47000000000000003</v>
      </c>
    </row>
    <row r="359" spans="1:22" x14ac:dyDescent="0.2">
      <c r="A359" s="4">
        <v>358</v>
      </c>
      <c r="B359" s="3" t="s">
        <v>6971</v>
      </c>
      <c r="C359" s="7">
        <v>42112</v>
      </c>
      <c r="D359" s="28">
        <f>MONTH(Table11[[#This Row],[Order Date]])</f>
        <v>4</v>
      </c>
      <c r="E359" s="3" t="s">
        <v>969</v>
      </c>
      <c r="F359" s="3" t="s">
        <v>970</v>
      </c>
      <c r="G359" s="25" t="s">
        <v>41</v>
      </c>
      <c r="H359" s="25" t="s">
        <v>53</v>
      </c>
      <c r="I359" s="3" t="s">
        <v>2686</v>
      </c>
      <c r="J359" s="25" t="s">
        <v>92</v>
      </c>
      <c r="K359" s="28">
        <v>7</v>
      </c>
      <c r="L359" s="7">
        <v>42114</v>
      </c>
      <c r="M359" s="28">
        <f>Table11[[#This Row],[Ship Date]]-Table11[[#This Row],[Order Date]]</f>
        <v>2</v>
      </c>
      <c r="N359" s="25" t="s">
        <v>20</v>
      </c>
      <c r="O359" s="25" t="s">
        <v>23</v>
      </c>
      <c r="P359" s="25" t="s">
        <v>38</v>
      </c>
      <c r="Q359" s="25" t="s">
        <v>39</v>
      </c>
      <c r="R359" s="25" t="s">
        <v>37</v>
      </c>
      <c r="S359" s="35">
        <v>0</v>
      </c>
      <c r="T359" s="16">
        <v>947.17</v>
      </c>
      <c r="U359" s="19">
        <v>9.4717000000000002</v>
      </c>
      <c r="V359" s="56">
        <f>Table11[[#This Row],[Profit]]/Table11[[#This Row],[Sales]]</f>
        <v>0.01</v>
      </c>
    </row>
    <row r="360" spans="1:22" x14ac:dyDescent="0.2">
      <c r="A360" s="2">
        <v>359</v>
      </c>
      <c r="B360" s="5" t="s">
        <v>6971</v>
      </c>
      <c r="C360" s="6">
        <v>42112</v>
      </c>
      <c r="D360" s="27">
        <f>MONTH(Table11[[#This Row],[Order Date]])</f>
        <v>4</v>
      </c>
      <c r="E360" s="5" t="s">
        <v>6972</v>
      </c>
      <c r="F360" s="5" t="s">
        <v>6973</v>
      </c>
      <c r="G360" s="24" t="s">
        <v>41</v>
      </c>
      <c r="H360" s="24" t="s">
        <v>82</v>
      </c>
      <c r="I360" s="5" t="s">
        <v>2686</v>
      </c>
      <c r="J360" s="24" t="s">
        <v>92</v>
      </c>
      <c r="K360" s="27">
        <v>2</v>
      </c>
      <c r="L360" s="6">
        <v>42114</v>
      </c>
      <c r="M360" s="27">
        <f>Table11[[#This Row],[Ship Date]]-Table11[[#This Row],[Order Date]]</f>
        <v>2</v>
      </c>
      <c r="N360" s="24" t="s">
        <v>20</v>
      </c>
      <c r="O360" s="24" t="s">
        <v>23</v>
      </c>
      <c r="P360" s="24" t="s">
        <v>38</v>
      </c>
      <c r="Q360" s="24" t="s">
        <v>39</v>
      </c>
      <c r="R360" s="24" t="s">
        <v>37</v>
      </c>
      <c r="S360" s="34">
        <v>0</v>
      </c>
      <c r="T360" s="15">
        <v>61.96</v>
      </c>
      <c r="U360" s="18">
        <v>27.882000000000001</v>
      </c>
      <c r="V360" s="56">
        <f>Table11[[#This Row],[Profit]]/Table11[[#This Row],[Sales]]</f>
        <v>0.45</v>
      </c>
    </row>
    <row r="361" spans="1:22" x14ac:dyDescent="0.2">
      <c r="A361" s="4">
        <v>360</v>
      </c>
      <c r="B361" s="3" t="s">
        <v>7937</v>
      </c>
      <c r="C361" s="7">
        <v>42112</v>
      </c>
      <c r="D361" s="28">
        <f>MONTH(Table11[[#This Row],[Order Date]])</f>
        <v>4</v>
      </c>
      <c r="E361" s="3" t="s">
        <v>5268</v>
      </c>
      <c r="F361" s="3" t="s">
        <v>5269</v>
      </c>
      <c r="G361" s="25" t="s">
        <v>41</v>
      </c>
      <c r="H361" s="25" t="s">
        <v>53</v>
      </c>
      <c r="I361" s="3" t="s">
        <v>6236</v>
      </c>
      <c r="J361" s="25" t="s">
        <v>22</v>
      </c>
      <c r="K361" s="28">
        <v>3</v>
      </c>
      <c r="L361" s="7">
        <v>42114</v>
      </c>
      <c r="M361" s="28">
        <f>Table11[[#This Row],[Ship Date]]-Table11[[#This Row],[Order Date]]</f>
        <v>2</v>
      </c>
      <c r="N361" s="25" t="s">
        <v>169</v>
      </c>
      <c r="O361" s="25" t="s">
        <v>23</v>
      </c>
      <c r="P361" s="25" t="s">
        <v>38</v>
      </c>
      <c r="Q361" s="25" t="s">
        <v>39</v>
      </c>
      <c r="R361" s="25" t="s">
        <v>7938</v>
      </c>
      <c r="S361" s="35">
        <v>0</v>
      </c>
      <c r="T361" s="16">
        <v>115.44</v>
      </c>
      <c r="U361" s="19">
        <v>30.014399999999998</v>
      </c>
      <c r="V361" s="56">
        <f>Table11[[#This Row],[Profit]]/Table11[[#This Row],[Sales]]</f>
        <v>0.26</v>
      </c>
    </row>
    <row r="362" spans="1:22" x14ac:dyDescent="0.2">
      <c r="A362" s="4">
        <v>361</v>
      </c>
      <c r="B362" s="5" t="s">
        <v>9756</v>
      </c>
      <c r="C362" s="6">
        <v>42112</v>
      </c>
      <c r="D362" s="27">
        <f>MONTH(Table11[[#This Row],[Order Date]])</f>
        <v>4</v>
      </c>
      <c r="E362" s="5" t="s">
        <v>3921</v>
      </c>
      <c r="F362" s="5" t="s">
        <v>3922</v>
      </c>
      <c r="G362" s="24" t="s">
        <v>64</v>
      </c>
      <c r="H362" s="24" t="s">
        <v>144</v>
      </c>
      <c r="I362" s="5" t="s">
        <v>1307</v>
      </c>
      <c r="J362" s="24" t="s">
        <v>36</v>
      </c>
      <c r="K362" s="27">
        <v>2</v>
      </c>
      <c r="L362" s="6">
        <v>42116</v>
      </c>
      <c r="M362" s="27">
        <f>Table11[[#This Row],[Ship Date]]-Table11[[#This Row],[Order Date]]</f>
        <v>4</v>
      </c>
      <c r="N362" s="24" t="s">
        <v>20</v>
      </c>
      <c r="O362" s="24" t="s">
        <v>23</v>
      </c>
      <c r="P362" s="24" t="s">
        <v>94</v>
      </c>
      <c r="Q362" s="24" t="s">
        <v>95</v>
      </c>
      <c r="R362" s="24" t="s">
        <v>6556</v>
      </c>
      <c r="S362" s="34">
        <v>0.2</v>
      </c>
      <c r="T362" s="15">
        <v>41.423999999999999</v>
      </c>
      <c r="U362" s="18">
        <v>8.2848000000000006</v>
      </c>
      <c r="V362" s="56">
        <f>Table11[[#This Row],[Profit]]/Table11[[#This Row],[Sales]]</f>
        <v>0.2</v>
      </c>
    </row>
    <row r="363" spans="1:22" x14ac:dyDescent="0.2">
      <c r="A363" s="2">
        <v>362</v>
      </c>
      <c r="B363" s="3" t="s">
        <v>9756</v>
      </c>
      <c r="C363" s="7">
        <v>42112</v>
      </c>
      <c r="D363" s="28">
        <f>MONTH(Table11[[#This Row],[Order Date]])</f>
        <v>4</v>
      </c>
      <c r="E363" s="3" t="s">
        <v>3796</v>
      </c>
      <c r="F363" s="3" t="s">
        <v>3797</v>
      </c>
      <c r="G363" s="25" t="s">
        <v>64</v>
      </c>
      <c r="H363" s="25" t="s">
        <v>65</v>
      </c>
      <c r="I363" s="3" t="s">
        <v>1307</v>
      </c>
      <c r="J363" s="25" t="s">
        <v>36</v>
      </c>
      <c r="K363" s="28">
        <v>4</v>
      </c>
      <c r="L363" s="7">
        <v>42116</v>
      </c>
      <c r="M363" s="28">
        <f>Table11[[#This Row],[Ship Date]]-Table11[[#This Row],[Order Date]]</f>
        <v>4</v>
      </c>
      <c r="N363" s="25" t="s">
        <v>20</v>
      </c>
      <c r="O363" s="25" t="s">
        <v>23</v>
      </c>
      <c r="P363" s="25" t="s">
        <v>94</v>
      </c>
      <c r="Q363" s="25" t="s">
        <v>95</v>
      </c>
      <c r="R363" s="25" t="s">
        <v>6556</v>
      </c>
      <c r="S363" s="35">
        <v>0.2</v>
      </c>
      <c r="T363" s="16">
        <v>244.768</v>
      </c>
      <c r="U363" s="19">
        <v>24.476800000000001</v>
      </c>
      <c r="V363" s="56">
        <f>Table11[[#This Row],[Profit]]/Table11[[#This Row],[Sales]]</f>
        <v>0.1</v>
      </c>
    </row>
    <row r="364" spans="1:22" x14ac:dyDescent="0.2">
      <c r="A364" s="4">
        <v>363</v>
      </c>
      <c r="B364" s="5" t="s">
        <v>9756</v>
      </c>
      <c r="C364" s="6">
        <v>42112</v>
      </c>
      <c r="D364" s="27">
        <f>MONTH(Table11[[#This Row],[Order Date]])</f>
        <v>4</v>
      </c>
      <c r="E364" s="5" t="s">
        <v>1025</v>
      </c>
      <c r="F364" s="5" t="s">
        <v>1026</v>
      </c>
      <c r="G364" s="24" t="s">
        <v>41</v>
      </c>
      <c r="H364" s="24" t="s">
        <v>61</v>
      </c>
      <c r="I364" s="5" t="s">
        <v>1307</v>
      </c>
      <c r="J364" s="24" t="s">
        <v>36</v>
      </c>
      <c r="K364" s="27">
        <v>3</v>
      </c>
      <c r="L364" s="6">
        <v>42116</v>
      </c>
      <c r="M364" s="27">
        <f>Table11[[#This Row],[Ship Date]]-Table11[[#This Row],[Order Date]]</f>
        <v>4</v>
      </c>
      <c r="N364" s="24" t="s">
        <v>20</v>
      </c>
      <c r="O364" s="24" t="s">
        <v>23</v>
      </c>
      <c r="P364" s="24" t="s">
        <v>94</v>
      </c>
      <c r="Q364" s="24" t="s">
        <v>95</v>
      </c>
      <c r="R364" s="24" t="s">
        <v>6556</v>
      </c>
      <c r="S364" s="34">
        <v>0.2</v>
      </c>
      <c r="T364" s="15">
        <v>74.352000000000004</v>
      </c>
      <c r="U364" s="18">
        <v>6.5057999999999998</v>
      </c>
      <c r="V364" s="56">
        <f>Table11[[#This Row],[Profit]]/Table11[[#This Row],[Sales]]</f>
        <v>8.7499999999999994E-2</v>
      </c>
    </row>
    <row r="365" spans="1:22" x14ac:dyDescent="0.2">
      <c r="A365" s="4">
        <v>364</v>
      </c>
      <c r="B365" s="3" t="s">
        <v>9756</v>
      </c>
      <c r="C365" s="7">
        <v>42112</v>
      </c>
      <c r="D365" s="28">
        <f>MONTH(Table11[[#This Row],[Order Date]])</f>
        <v>4</v>
      </c>
      <c r="E365" s="3" t="s">
        <v>2854</v>
      </c>
      <c r="F365" s="3" t="s">
        <v>2855</v>
      </c>
      <c r="G365" s="25" t="s">
        <v>41</v>
      </c>
      <c r="H365" s="25" t="s">
        <v>68</v>
      </c>
      <c r="I365" s="3" t="s">
        <v>1307</v>
      </c>
      <c r="J365" s="25" t="s">
        <v>36</v>
      </c>
      <c r="K365" s="28">
        <v>2</v>
      </c>
      <c r="L365" s="7">
        <v>42116</v>
      </c>
      <c r="M365" s="28">
        <f>Table11[[#This Row],[Ship Date]]-Table11[[#This Row],[Order Date]]</f>
        <v>4</v>
      </c>
      <c r="N365" s="25" t="s">
        <v>20</v>
      </c>
      <c r="O365" s="25" t="s">
        <v>23</v>
      </c>
      <c r="P365" s="25" t="s">
        <v>94</v>
      </c>
      <c r="Q365" s="25" t="s">
        <v>95</v>
      </c>
      <c r="R365" s="25" t="s">
        <v>6556</v>
      </c>
      <c r="S365" s="35">
        <v>0.8</v>
      </c>
      <c r="T365" s="16">
        <v>4.3120000000000003</v>
      </c>
      <c r="U365" s="19">
        <v>-6.8992000000000004</v>
      </c>
      <c r="V365" s="56">
        <f>Table11[[#This Row],[Profit]]/Table11[[#This Row],[Sales]]</f>
        <v>-1.6</v>
      </c>
    </row>
    <row r="366" spans="1:22" x14ac:dyDescent="0.2">
      <c r="A366" s="2">
        <v>365</v>
      </c>
      <c r="B366" s="5" t="s">
        <v>9756</v>
      </c>
      <c r="C366" s="6">
        <v>42112</v>
      </c>
      <c r="D366" s="27">
        <f>MONTH(Table11[[#This Row],[Order Date]])</f>
        <v>4</v>
      </c>
      <c r="E366" s="5" t="s">
        <v>1403</v>
      </c>
      <c r="F366" s="5" t="s">
        <v>1404</v>
      </c>
      <c r="G366" s="24" t="s">
        <v>28</v>
      </c>
      <c r="H366" s="24" t="s">
        <v>32</v>
      </c>
      <c r="I366" s="5" t="s">
        <v>1307</v>
      </c>
      <c r="J366" s="24" t="s">
        <v>36</v>
      </c>
      <c r="K366" s="27">
        <v>1</v>
      </c>
      <c r="L366" s="6">
        <v>42116</v>
      </c>
      <c r="M366" s="27">
        <f>Table11[[#This Row],[Ship Date]]-Table11[[#This Row],[Order Date]]</f>
        <v>4</v>
      </c>
      <c r="N366" s="24" t="s">
        <v>20</v>
      </c>
      <c r="O366" s="24" t="s">
        <v>23</v>
      </c>
      <c r="P366" s="24" t="s">
        <v>94</v>
      </c>
      <c r="Q366" s="24" t="s">
        <v>95</v>
      </c>
      <c r="R366" s="24" t="s">
        <v>6556</v>
      </c>
      <c r="S366" s="34">
        <v>0.3</v>
      </c>
      <c r="T366" s="15">
        <v>56.686</v>
      </c>
      <c r="U366" s="18">
        <v>-20.245000000000001</v>
      </c>
      <c r="V366" s="56">
        <f>Table11[[#This Row],[Profit]]/Table11[[#This Row],[Sales]]</f>
        <v>-0.35714285714285715</v>
      </c>
    </row>
    <row r="367" spans="1:22" x14ac:dyDescent="0.2">
      <c r="A367" s="4">
        <v>366</v>
      </c>
      <c r="B367" s="3" t="s">
        <v>9756</v>
      </c>
      <c r="C367" s="7">
        <v>42112</v>
      </c>
      <c r="D367" s="28">
        <f>MONTH(Table11[[#This Row],[Order Date]])</f>
        <v>4</v>
      </c>
      <c r="E367" s="3" t="s">
        <v>7574</v>
      </c>
      <c r="F367" s="3" t="s">
        <v>7575</v>
      </c>
      <c r="G367" s="25" t="s">
        <v>64</v>
      </c>
      <c r="H367" s="25" t="s">
        <v>65</v>
      </c>
      <c r="I367" s="3" t="s">
        <v>1307</v>
      </c>
      <c r="J367" s="25" t="s">
        <v>36</v>
      </c>
      <c r="K367" s="28">
        <v>2</v>
      </c>
      <c r="L367" s="7">
        <v>42116</v>
      </c>
      <c r="M367" s="28">
        <f>Table11[[#This Row],[Ship Date]]-Table11[[#This Row],[Order Date]]</f>
        <v>4</v>
      </c>
      <c r="N367" s="25" t="s">
        <v>20</v>
      </c>
      <c r="O367" s="25" t="s">
        <v>23</v>
      </c>
      <c r="P367" s="25" t="s">
        <v>94</v>
      </c>
      <c r="Q367" s="25" t="s">
        <v>95</v>
      </c>
      <c r="R367" s="25" t="s">
        <v>6556</v>
      </c>
      <c r="S367" s="35">
        <v>0.2</v>
      </c>
      <c r="T367" s="16">
        <v>97.968000000000004</v>
      </c>
      <c r="U367" s="19">
        <v>6.1230000000000002</v>
      </c>
      <c r="V367" s="56">
        <f>Table11[[#This Row],[Profit]]/Table11[[#This Row],[Sales]]</f>
        <v>6.25E-2</v>
      </c>
    </row>
    <row r="368" spans="1:22" x14ac:dyDescent="0.2">
      <c r="A368" s="4">
        <v>367</v>
      </c>
      <c r="B368" s="5" t="s">
        <v>9756</v>
      </c>
      <c r="C368" s="6">
        <v>42112</v>
      </c>
      <c r="D368" s="27">
        <f>MONTH(Table11[[#This Row],[Order Date]])</f>
        <v>4</v>
      </c>
      <c r="E368" s="5" t="s">
        <v>6375</v>
      </c>
      <c r="F368" s="5" t="s">
        <v>6376</v>
      </c>
      <c r="G368" s="24" t="s">
        <v>41</v>
      </c>
      <c r="H368" s="24" t="s">
        <v>61</v>
      </c>
      <c r="I368" s="5" t="s">
        <v>1307</v>
      </c>
      <c r="J368" s="24" t="s">
        <v>36</v>
      </c>
      <c r="K368" s="27">
        <v>3</v>
      </c>
      <c r="L368" s="6">
        <v>42116</v>
      </c>
      <c r="M368" s="27">
        <f>Table11[[#This Row],[Ship Date]]-Table11[[#This Row],[Order Date]]</f>
        <v>4</v>
      </c>
      <c r="N368" s="24" t="s">
        <v>20</v>
      </c>
      <c r="O368" s="24" t="s">
        <v>23</v>
      </c>
      <c r="P368" s="24" t="s">
        <v>94</v>
      </c>
      <c r="Q368" s="24" t="s">
        <v>95</v>
      </c>
      <c r="R368" s="24" t="s">
        <v>6556</v>
      </c>
      <c r="S368" s="34">
        <v>0.2</v>
      </c>
      <c r="T368" s="15">
        <v>7.8719999999999999</v>
      </c>
      <c r="U368" s="18">
        <v>0.88560000000000005</v>
      </c>
      <c r="V368" s="56">
        <f>Table11[[#This Row],[Profit]]/Table11[[#This Row],[Sales]]</f>
        <v>0.1125</v>
      </c>
    </row>
    <row r="369" spans="1:22" x14ac:dyDescent="0.2">
      <c r="A369" s="2">
        <v>368</v>
      </c>
      <c r="B369" s="3" t="s">
        <v>9756</v>
      </c>
      <c r="C369" s="7">
        <v>42112</v>
      </c>
      <c r="D369" s="28">
        <f>MONTH(Table11[[#This Row],[Order Date]])</f>
        <v>4</v>
      </c>
      <c r="E369" s="3" t="s">
        <v>4754</v>
      </c>
      <c r="F369" s="3" t="s">
        <v>4755</v>
      </c>
      <c r="G369" s="25" t="s">
        <v>41</v>
      </c>
      <c r="H369" s="25" t="s">
        <v>82</v>
      </c>
      <c r="I369" s="3" t="s">
        <v>1307</v>
      </c>
      <c r="J369" s="25" t="s">
        <v>36</v>
      </c>
      <c r="K369" s="28">
        <v>3</v>
      </c>
      <c r="L369" s="7">
        <v>42116</v>
      </c>
      <c r="M369" s="28">
        <f>Table11[[#This Row],[Ship Date]]-Table11[[#This Row],[Order Date]]</f>
        <v>4</v>
      </c>
      <c r="N369" s="25" t="s">
        <v>20</v>
      </c>
      <c r="O369" s="25" t="s">
        <v>23</v>
      </c>
      <c r="P369" s="25" t="s">
        <v>94</v>
      </c>
      <c r="Q369" s="25" t="s">
        <v>95</v>
      </c>
      <c r="R369" s="25" t="s">
        <v>6556</v>
      </c>
      <c r="S369" s="35">
        <v>0.2</v>
      </c>
      <c r="T369" s="16">
        <v>15.552</v>
      </c>
      <c r="U369" s="19">
        <v>5.4432</v>
      </c>
      <c r="V369" s="56">
        <f>Table11[[#This Row],[Profit]]/Table11[[#This Row],[Sales]]</f>
        <v>0.35000000000000003</v>
      </c>
    </row>
    <row r="370" spans="1:22" x14ac:dyDescent="0.2">
      <c r="A370" s="4">
        <v>369</v>
      </c>
      <c r="B370" s="5" t="s">
        <v>9756</v>
      </c>
      <c r="C370" s="6">
        <v>42112</v>
      </c>
      <c r="D370" s="27">
        <f>MONTH(Table11[[#This Row],[Order Date]])</f>
        <v>4</v>
      </c>
      <c r="E370" s="5" t="s">
        <v>2683</v>
      </c>
      <c r="F370" s="5" t="s">
        <v>2684</v>
      </c>
      <c r="G370" s="24" t="s">
        <v>41</v>
      </c>
      <c r="H370" s="24" t="s">
        <v>68</v>
      </c>
      <c r="I370" s="5" t="s">
        <v>1307</v>
      </c>
      <c r="J370" s="24" t="s">
        <v>36</v>
      </c>
      <c r="K370" s="27">
        <v>1</v>
      </c>
      <c r="L370" s="6">
        <v>42116</v>
      </c>
      <c r="M370" s="27">
        <f>Table11[[#This Row],[Ship Date]]-Table11[[#This Row],[Order Date]]</f>
        <v>4</v>
      </c>
      <c r="N370" s="24" t="s">
        <v>20</v>
      </c>
      <c r="O370" s="24" t="s">
        <v>23</v>
      </c>
      <c r="P370" s="24" t="s">
        <v>94</v>
      </c>
      <c r="Q370" s="24" t="s">
        <v>95</v>
      </c>
      <c r="R370" s="24" t="s">
        <v>6556</v>
      </c>
      <c r="S370" s="34">
        <v>0.8</v>
      </c>
      <c r="T370" s="15">
        <v>1.476</v>
      </c>
      <c r="U370" s="18">
        <v>-2.2877999999999998</v>
      </c>
      <c r="V370" s="56">
        <f>Table11[[#This Row],[Profit]]/Table11[[#This Row],[Sales]]</f>
        <v>-1.5499999999999998</v>
      </c>
    </row>
    <row r="371" spans="1:22" x14ac:dyDescent="0.2">
      <c r="A371" s="4">
        <v>370</v>
      </c>
      <c r="B371" s="3" t="s">
        <v>7870</v>
      </c>
      <c r="C371" s="7">
        <v>42113</v>
      </c>
      <c r="D371" s="28">
        <f>MONTH(Table11[[#This Row],[Order Date]])</f>
        <v>4</v>
      </c>
      <c r="E371" s="3" t="s">
        <v>1424</v>
      </c>
      <c r="F371" s="3" t="s">
        <v>1425</v>
      </c>
      <c r="G371" s="25" t="s">
        <v>41</v>
      </c>
      <c r="H371" s="25" t="s">
        <v>71</v>
      </c>
      <c r="I371" s="3" t="s">
        <v>2260</v>
      </c>
      <c r="J371" s="25" t="s">
        <v>22</v>
      </c>
      <c r="K371" s="28">
        <v>2</v>
      </c>
      <c r="L371" s="7">
        <v>42119</v>
      </c>
      <c r="M371" s="28">
        <f>Table11[[#This Row],[Ship Date]]-Table11[[#This Row],[Order Date]]</f>
        <v>6</v>
      </c>
      <c r="N371" s="25" t="s">
        <v>45</v>
      </c>
      <c r="O371" s="25" t="s">
        <v>23</v>
      </c>
      <c r="P371" s="25" t="s">
        <v>94</v>
      </c>
      <c r="Q371" s="25" t="s">
        <v>95</v>
      </c>
      <c r="R371" s="25" t="s">
        <v>3716</v>
      </c>
      <c r="S371" s="35">
        <v>0.8</v>
      </c>
      <c r="T371" s="16">
        <v>19.568000000000001</v>
      </c>
      <c r="U371" s="19">
        <v>-52.833599999999997</v>
      </c>
      <c r="V371" s="56">
        <f>Table11[[#This Row],[Profit]]/Table11[[#This Row],[Sales]]</f>
        <v>-2.6999999999999997</v>
      </c>
    </row>
    <row r="372" spans="1:22" x14ac:dyDescent="0.2">
      <c r="A372" s="2">
        <v>371</v>
      </c>
      <c r="B372" s="5" t="s">
        <v>7870</v>
      </c>
      <c r="C372" s="6">
        <v>42113</v>
      </c>
      <c r="D372" s="27">
        <f>MONTH(Table11[[#This Row],[Order Date]])</f>
        <v>4</v>
      </c>
      <c r="E372" s="5" t="s">
        <v>2622</v>
      </c>
      <c r="F372" s="5" t="s">
        <v>2623</v>
      </c>
      <c r="G372" s="24" t="s">
        <v>41</v>
      </c>
      <c r="H372" s="24" t="s">
        <v>68</v>
      </c>
      <c r="I372" s="5" t="s">
        <v>2260</v>
      </c>
      <c r="J372" s="24" t="s">
        <v>22</v>
      </c>
      <c r="K372" s="27">
        <v>4</v>
      </c>
      <c r="L372" s="6">
        <v>42119</v>
      </c>
      <c r="M372" s="27">
        <f>Table11[[#This Row],[Ship Date]]-Table11[[#This Row],[Order Date]]</f>
        <v>6</v>
      </c>
      <c r="N372" s="24" t="s">
        <v>45</v>
      </c>
      <c r="O372" s="24" t="s">
        <v>23</v>
      </c>
      <c r="P372" s="24" t="s">
        <v>94</v>
      </c>
      <c r="Q372" s="24" t="s">
        <v>95</v>
      </c>
      <c r="R372" s="24" t="s">
        <v>3716</v>
      </c>
      <c r="S372" s="34">
        <v>0.8</v>
      </c>
      <c r="T372" s="15">
        <v>310.392</v>
      </c>
      <c r="U372" s="18">
        <v>-512.14679999999998</v>
      </c>
      <c r="V372" s="56">
        <f>Table11[[#This Row],[Profit]]/Table11[[#This Row],[Sales]]</f>
        <v>-1.65</v>
      </c>
    </row>
    <row r="373" spans="1:22" x14ac:dyDescent="0.2">
      <c r="A373" s="4">
        <v>372</v>
      </c>
      <c r="B373" s="3" t="s">
        <v>4706</v>
      </c>
      <c r="C373" s="7">
        <v>42114</v>
      </c>
      <c r="D373" s="28">
        <f>MONTH(Table11[[#This Row],[Order Date]])</f>
        <v>4</v>
      </c>
      <c r="E373" s="3" t="s">
        <v>2276</v>
      </c>
      <c r="F373" s="3" t="s">
        <v>2277</v>
      </c>
      <c r="G373" s="25" t="s">
        <v>64</v>
      </c>
      <c r="H373" s="25" t="s">
        <v>65</v>
      </c>
      <c r="I373" s="3" t="s">
        <v>2763</v>
      </c>
      <c r="J373" s="25" t="s">
        <v>36</v>
      </c>
      <c r="K373" s="28">
        <v>3</v>
      </c>
      <c r="L373" s="7">
        <v>42119</v>
      </c>
      <c r="M373" s="28">
        <f>Table11[[#This Row],[Ship Date]]-Table11[[#This Row],[Order Date]]</f>
        <v>5</v>
      </c>
      <c r="N373" s="25" t="s">
        <v>45</v>
      </c>
      <c r="O373" s="25" t="s">
        <v>23</v>
      </c>
      <c r="P373" s="25" t="s">
        <v>1125</v>
      </c>
      <c r="Q373" s="25" t="s">
        <v>26</v>
      </c>
      <c r="R373" s="25" t="s">
        <v>440</v>
      </c>
      <c r="S373" s="35">
        <v>0</v>
      </c>
      <c r="T373" s="16">
        <v>287.97000000000003</v>
      </c>
      <c r="U373" s="19">
        <v>77.751900000000006</v>
      </c>
      <c r="V373" s="56">
        <f>Table11[[#This Row],[Profit]]/Table11[[#This Row],[Sales]]</f>
        <v>0.27</v>
      </c>
    </row>
    <row r="374" spans="1:22" x14ac:dyDescent="0.2">
      <c r="A374" s="4">
        <v>373</v>
      </c>
      <c r="B374" s="5" t="s">
        <v>4706</v>
      </c>
      <c r="C374" s="6">
        <v>42114</v>
      </c>
      <c r="D374" s="27">
        <f>MONTH(Table11[[#This Row],[Order Date]])</f>
        <v>4</v>
      </c>
      <c r="E374" s="5" t="s">
        <v>3756</v>
      </c>
      <c r="F374" s="5" t="s">
        <v>3757</v>
      </c>
      <c r="G374" s="24" t="s">
        <v>28</v>
      </c>
      <c r="H374" s="24" t="s">
        <v>58</v>
      </c>
      <c r="I374" s="5" t="s">
        <v>2763</v>
      </c>
      <c r="J374" s="24" t="s">
        <v>36</v>
      </c>
      <c r="K374" s="27">
        <v>6</v>
      </c>
      <c r="L374" s="6">
        <v>42119</v>
      </c>
      <c r="M374" s="27">
        <f>Table11[[#This Row],[Ship Date]]-Table11[[#This Row],[Order Date]]</f>
        <v>5</v>
      </c>
      <c r="N374" s="24" t="s">
        <v>45</v>
      </c>
      <c r="O374" s="24" t="s">
        <v>23</v>
      </c>
      <c r="P374" s="24" t="s">
        <v>1125</v>
      </c>
      <c r="Q374" s="24" t="s">
        <v>26</v>
      </c>
      <c r="R374" s="24" t="s">
        <v>440</v>
      </c>
      <c r="S374" s="34">
        <v>0</v>
      </c>
      <c r="T374" s="15">
        <v>595.38</v>
      </c>
      <c r="U374" s="18">
        <v>297.69</v>
      </c>
      <c r="V374" s="56">
        <f>Table11[[#This Row],[Profit]]/Table11[[#This Row],[Sales]]</f>
        <v>0.5</v>
      </c>
    </row>
    <row r="375" spans="1:22" x14ac:dyDescent="0.2">
      <c r="A375" s="2">
        <v>374</v>
      </c>
      <c r="B375" s="3" t="s">
        <v>4706</v>
      </c>
      <c r="C375" s="7">
        <v>42114</v>
      </c>
      <c r="D375" s="28">
        <f>MONTH(Table11[[#This Row],[Order Date]])</f>
        <v>4</v>
      </c>
      <c r="E375" s="3" t="s">
        <v>2687</v>
      </c>
      <c r="F375" s="3" t="s">
        <v>2688</v>
      </c>
      <c r="G375" s="25" t="s">
        <v>41</v>
      </c>
      <c r="H375" s="25" t="s">
        <v>82</v>
      </c>
      <c r="I375" s="3" t="s">
        <v>2763</v>
      </c>
      <c r="J375" s="25" t="s">
        <v>36</v>
      </c>
      <c r="K375" s="28">
        <v>2</v>
      </c>
      <c r="L375" s="7">
        <v>42119</v>
      </c>
      <c r="M375" s="28">
        <f>Table11[[#This Row],[Ship Date]]-Table11[[#This Row],[Order Date]]</f>
        <v>5</v>
      </c>
      <c r="N375" s="25" t="s">
        <v>45</v>
      </c>
      <c r="O375" s="25" t="s">
        <v>23</v>
      </c>
      <c r="P375" s="25" t="s">
        <v>1125</v>
      </c>
      <c r="Q375" s="25" t="s">
        <v>26</v>
      </c>
      <c r="R375" s="25" t="s">
        <v>440</v>
      </c>
      <c r="S375" s="35">
        <v>0</v>
      </c>
      <c r="T375" s="16">
        <v>12.96</v>
      </c>
      <c r="U375" s="19">
        <v>6.2207999999999997</v>
      </c>
      <c r="V375" s="56">
        <f>Table11[[#This Row],[Profit]]/Table11[[#This Row],[Sales]]</f>
        <v>0.47999999999999993</v>
      </c>
    </row>
    <row r="376" spans="1:22" x14ac:dyDescent="0.2">
      <c r="A376" s="4">
        <v>375</v>
      </c>
      <c r="B376" s="5" t="s">
        <v>7954</v>
      </c>
      <c r="C376" s="6">
        <v>42114</v>
      </c>
      <c r="D376" s="27">
        <f>MONTH(Table11[[#This Row],[Order Date]])</f>
        <v>4</v>
      </c>
      <c r="E376" s="5" t="s">
        <v>495</v>
      </c>
      <c r="F376" s="5" t="s">
        <v>496</v>
      </c>
      <c r="G376" s="24" t="s">
        <v>41</v>
      </c>
      <c r="H376" s="24" t="s">
        <v>82</v>
      </c>
      <c r="I376" s="5" t="s">
        <v>2192</v>
      </c>
      <c r="J376" s="24" t="s">
        <v>22</v>
      </c>
      <c r="K376" s="27">
        <v>3</v>
      </c>
      <c r="L376" s="6">
        <v>42119</v>
      </c>
      <c r="M376" s="27">
        <f>Table11[[#This Row],[Ship Date]]-Table11[[#This Row],[Order Date]]</f>
        <v>5</v>
      </c>
      <c r="N376" s="24" t="s">
        <v>45</v>
      </c>
      <c r="O376" s="24" t="s">
        <v>23</v>
      </c>
      <c r="P376" s="24" t="s">
        <v>94</v>
      </c>
      <c r="Q376" s="24" t="s">
        <v>95</v>
      </c>
      <c r="R376" s="24" t="s">
        <v>165</v>
      </c>
      <c r="S376" s="34">
        <v>0.2</v>
      </c>
      <c r="T376" s="15">
        <v>117.456</v>
      </c>
      <c r="U376" s="18">
        <v>44.045999999999999</v>
      </c>
      <c r="V376" s="56">
        <f>Table11[[#This Row],[Profit]]/Table11[[#This Row],[Sales]]</f>
        <v>0.375</v>
      </c>
    </row>
    <row r="377" spans="1:22" x14ac:dyDescent="0.2">
      <c r="A377" s="4">
        <v>376</v>
      </c>
      <c r="B377" s="3" t="s">
        <v>9160</v>
      </c>
      <c r="C377" s="7">
        <v>42114</v>
      </c>
      <c r="D377" s="28">
        <f>MONTH(Table11[[#This Row],[Order Date]])</f>
        <v>4</v>
      </c>
      <c r="E377" s="3" t="s">
        <v>843</v>
      </c>
      <c r="F377" s="3" t="s">
        <v>844</v>
      </c>
      <c r="G377" s="25" t="s">
        <v>41</v>
      </c>
      <c r="H377" s="25" t="s">
        <v>155</v>
      </c>
      <c r="I377" s="3" t="s">
        <v>1674</v>
      </c>
      <c r="J377" s="25" t="s">
        <v>22</v>
      </c>
      <c r="K377" s="28">
        <v>2</v>
      </c>
      <c r="L377" s="7">
        <v>42118</v>
      </c>
      <c r="M377" s="28">
        <f>Table11[[#This Row],[Ship Date]]-Table11[[#This Row],[Order Date]]</f>
        <v>4</v>
      </c>
      <c r="N377" s="25" t="s">
        <v>45</v>
      </c>
      <c r="O377" s="25" t="s">
        <v>23</v>
      </c>
      <c r="P377" s="25" t="s">
        <v>212</v>
      </c>
      <c r="Q377" s="25" t="s">
        <v>95</v>
      </c>
      <c r="R377" s="25" t="s">
        <v>775</v>
      </c>
      <c r="S377" s="35">
        <v>0</v>
      </c>
      <c r="T377" s="16">
        <v>180.96</v>
      </c>
      <c r="U377" s="19">
        <v>81.432000000000002</v>
      </c>
      <c r="V377" s="56">
        <f>Table11[[#This Row],[Profit]]/Table11[[#This Row],[Sales]]</f>
        <v>0.45</v>
      </c>
    </row>
    <row r="378" spans="1:22" x14ac:dyDescent="0.2">
      <c r="A378" s="2">
        <v>377</v>
      </c>
      <c r="B378" s="5" t="s">
        <v>8217</v>
      </c>
      <c r="C378" s="6">
        <v>42115</v>
      </c>
      <c r="D378" s="27">
        <f>MONTH(Table11[[#This Row],[Order Date]])</f>
        <v>4</v>
      </c>
      <c r="E378" s="5" t="s">
        <v>957</v>
      </c>
      <c r="F378" s="5" t="s">
        <v>958</v>
      </c>
      <c r="G378" s="24" t="s">
        <v>28</v>
      </c>
      <c r="H378" s="24" t="s">
        <v>32</v>
      </c>
      <c r="I378" s="5" t="s">
        <v>7549</v>
      </c>
      <c r="J378" s="24" t="s">
        <v>22</v>
      </c>
      <c r="K378" s="27">
        <v>2</v>
      </c>
      <c r="L378" s="6">
        <v>42122</v>
      </c>
      <c r="M378" s="27">
        <f>Table11[[#This Row],[Ship Date]]-Table11[[#This Row],[Order Date]]</f>
        <v>7</v>
      </c>
      <c r="N378" s="24" t="s">
        <v>45</v>
      </c>
      <c r="O378" s="24" t="s">
        <v>23</v>
      </c>
      <c r="P378" s="24" t="s">
        <v>25</v>
      </c>
      <c r="Q378" s="24" t="s">
        <v>26</v>
      </c>
      <c r="R378" s="24" t="s">
        <v>1303</v>
      </c>
      <c r="S378" s="34">
        <v>0</v>
      </c>
      <c r="T378" s="15">
        <v>191.96</v>
      </c>
      <c r="U378" s="18">
        <v>51.8292</v>
      </c>
      <c r="V378" s="56">
        <f>Table11[[#This Row],[Profit]]/Table11[[#This Row],[Sales]]</f>
        <v>0.26999999999999996</v>
      </c>
    </row>
    <row r="379" spans="1:22" x14ac:dyDescent="0.2">
      <c r="A379" s="4">
        <v>378</v>
      </c>
      <c r="B379" s="3" t="s">
        <v>8217</v>
      </c>
      <c r="C379" s="7">
        <v>42115</v>
      </c>
      <c r="D379" s="28">
        <f>MONTH(Table11[[#This Row],[Order Date]])</f>
        <v>4</v>
      </c>
      <c r="E379" s="3" t="s">
        <v>119</v>
      </c>
      <c r="F379" s="3" t="s">
        <v>120</v>
      </c>
      <c r="G379" s="25" t="s">
        <v>41</v>
      </c>
      <c r="H379" s="25" t="s">
        <v>68</v>
      </c>
      <c r="I379" s="3" t="s">
        <v>7549</v>
      </c>
      <c r="J379" s="25" t="s">
        <v>22</v>
      </c>
      <c r="K379" s="28">
        <v>3</v>
      </c>
      <c r="L379" s="7">
        <v>42122</v>
      </c>
      <c r="M379" s="28">
        <f>Table11[[#This Row],[Ship Date]]-Table11[[#This Row],[Order Date]]</f>
        <v>7</v>
      </c>
      <c r="N379" s="25" t="s">
        <v>45</v>
      </c>
      <c r="O379" s="25" t="s">
        <v>23</v>
      </c>
      <c r="P379" s="25" t="s">
        <v>25</v>
      </c>
      <c r="Q379" s="25" t="s">
        <v>26</v>
      </c>
      <c r="R379" s="25" t="s">
        <v>1303</v>
      </c>
      <c r="S379" s="35">
        <v>0</v>
      </c>
      <c r="T379" s="16">
        <v>21.3</v>
      </c>
      <c r="U379" s="19">
        <v>9.798</v>
      </c>
      <c r="V379" s="56">
        <f>Table11[[#This Row],[Profit]]/Table11[[#This Row],[Sales]]</f>
        <v>0.45999999999999996</v>
      </c>
    </row>
    <row r="380" spans="1:22" x14ac:dyDescent="0.2">
      <c r="A380" s="4">
        <v>379</v>
      </c>
      <c r="B380" s="5" t="s">
        <v>8217</v>
      </c>
      <c r="C380" s="6">
        <v>42115</v>
      </c>
      <c r="D380" s="27">
        <f>MONTH(Table11[[#This Row],[Order Date]])</f>
        <v>4</v>
      </c>
      <c r="E380" s="5" t="s">
        <v>1839</v>
      </c>
      <c r="F380" s="5" t="s">
        <v>1840</v>
      </c>
      <c r="G380" s="24" t="s">
        <v>64</v>
      </c>
      <c r="H380" s="24" t="s">
        <v>65</v>
      </c>
      <c r="I380" s="5" t="s">
        <v>7549</v>
      </c>
      <c r="J380" s="24" t="s">
        <v>22</v>
      </c>
      <c r="K380" s="27">
        <v>5</v>
      </c>
      <c r="L380" s="6">
        <v>42122</v>
      </c>
      <c r="M380" s="27">
        <f>Table11[[#This Row],[Ship Date]]-Table11[[#This Row],[Order Date]]</f>
        <v>7</v>
      </c>
      <c r="N380" s="24" t="s">
        <v>45</v>
      </c>
      <c r="O380" s="24" t="s">
        <v>23</v>
      </c>
      <c r="P380" s="24" t="s">
        <v>25</v>
      </c>
      <c r="Q380" s="24" t="s">
        <v>26</v>
      </c>
      <c r="R380" s="24" t="s">
        <v>1303</v>
      </c>
      <c r="S380" s="34">
        <v>0</v>
      </c>
      <c r="T380" s="15">
        <v>469.95</v>
      </c>
      <c r="U380" s="18">
        <v>131.58600000000001</v>
      </c>
      <c r="V380" s="56">
        <f>Table11[[#This Row],[Profit]]/Table11[[#This Row],[Sales]]</f>
        <v>0.28000000000000003</v>
      </c>
    </row>
    <row r="381" spans="1:22" x14ac:dyDescent="0.2">
      <c r="A381" s="2">
        <v>380</v>
      </c>
      <c r="B381" s="3" t="s">
        <v>8217</v>
      </c>
      <c r="C381" s="7">
        <v>42115</v>
      </c>
      <c r="D381" s="28">
        <f>MONTH(Table11[[#This Row],[Order Date]])</f>
        <v>4</v>
      </c>
      <c r="E381" s="3" t="s">
        <v>1994</v>
      </c>
      <c r="F381" s="3" t="s">
        <v>1995</v>
      </c>
      <c r="G381" s="25" t="s">
        <v>28</v>
      </c>
      <c r="H381" s="25" t="s">
        <v>58</v>
      </c>
      <c r="I381" s="3" t="s">
        <v>7549</v>
      </c>
      <c r="J381" s="25" t="s">
        <v>22</v>
      </c>
      <c r="K381" s="28">
        <v>3</v>
      </c>
      <c r="L381" s="7">
        <v>42122</v>
      </c>
      <c r="M381" s="28">
        <f>Table11[[#This Row],[Ship Date]]-Table11[[#This Row],[Order Date]]</f>
        <v>7</v>
      </c>
      <c r="N381" s="25" t="s">
        <v>45</v>
      </c>
      <c r="O381" s="25" t="s">
        <v>23</v>
      </c>
      <c r="P381" s="25" t="s">
        <v>25</v>
      </c>
      <c r="Q381" s="25" t="s">
        <v>26</v>
      </c>
      <c r="R381" s="25" t="s">
        <v>1303</v>
      </c>
      <c r="S381" s="35">
        <v>0</v>
      </c>
      <c r="T381" s="16">
        <v>209.88</v>
      </c>
      <c r="U381" s="19">
        <v>35.679600000000001</v>
      </c>
      <c r="V381" s="56">
        <f>Table11[[#This Row],[Profit]]/Table11[[#This Row],[Sales]]</f>
        <v>0.17</v>
      </c>
    </row>
    <row r="382" spans="1:22" x14ac:dyDescent="0.2">
      <c r="A382" s="4">
        <v>381</v>
      </c>
      <c r="B382" s="5" t="s">
        <v>8040</v>
      </c>
      <c r="C382" s="6">
        <v>42116</v>
      </c>
      <c r="D382" s="27">
        <f>MONTH(Table11[[#This Row],[Order Date]])</f>
        <v>4</v>
      </c>
      <c r="E382" s="5" t="s">
        <v>2352</v>
      </c>
      <c r="F382" s="5" t="s">
        <v>2353</v>
      </c>
      <c r="G382" s="24" t="s">
        <v>64</v>
      </c>
      <c r="H382" s="24" t="s">
        <v>65</v>
      </c>
      <c r="I382" s="5" t="s">
        <v>4881</v>
      </c>
      <c r="J382" s="24" t="s">
        <v>22</v>
      </c>
      <c r="K382" s="27">
        <v>3</v>
      </c>
      <c r="L382" s="6">
        <v>42120</v>
      </c>
      <c r="M382" s="27">
        <f>Table11[[#This Row],[Ship Date]]-Table11[[#This Row],[Order Date]]</f>
        <v>4</v>
      </c>
      <c r="N382" s="24" t="s">
        <v>45</v>
      </c>
      <c r="O382" s="24" t="s">
        <v>23</v>
      </c>
      <c r="P382" s="24" t="s">
        <v>38</v>
      </c>
      <c r="Q382" s="24" t="s">
        <v>39</v>
      </c>
      <c r="R382" s="24" t="s">
        <v>37</v>
      </c>
      <c r="S382" s="34">
        <v>0.2</v>
      </c>
      <c r="T382" s="15">
        <v>88.775999999999996</v>
      </c>
      <c r="U382" s="18">
        <v>7.7679</v>
      </c>
      <c r="V382" s="56">
        <f>Table11[[#This Row],[Profit]]/Table11[[#This Row],[Sales]]</f>
        <v>8.7500000000000008E-2</v>
      </c>
    </row>
    <row r="383" spans="1:22" x14ac:dyDescent="0.2">
      <c r="A383" s="4">
        <v>382</v>
      </c>
      <c r="B383" s="3" t="s">
        <v>8040</v>
      </c>
      <c r="C383" s="7">
        <v>42116</v>
      </c>
      <c r="D383" s="28">
        <f>MONTH(Table11[[#This Row],[Order Date]])</f>
        <v>4</v>
      </c>
      <c r="E383" s="3" t="s">
        <v>5126</v>
      </c>
      <c r="F383" s="3" t="s">
        <v>5127</v>
      </c>
      <c r="G383" s="25" t="s">
        <v>41</v>
      </c>
      <c r="H383" s="25" t="s">
        <v>61</v>
      </c>
      <c r="I383" s="3" t="s">
        <v>4881</v>
      </c>
      <c r="J383" s="25" t="s">
        <v>22</v>
      </c>
      <c r="K383" s="28">
        <v>3</v>
      </c>
      <c r="L383" s="7">
        <v>42120</v>
      </c>
      <c r="M383" s="28">
        <f>Table11[[#This Row],[Ship Date]]-Table11[[#This Row],[Order Date]]</f>
        <v>4</v>
      </c>
      <c r="N383" s="25" t="s">
        <v>45</v>
      </c>
      <c r="O383" s="25" t="s">
        <v>23</v>
      </c>
      <c r="P383" s="25" t="s">
        <v>38</v>
      </c>
      <c r="Q383" s="25" t="s">
        <v>39</v>
      </c>
      <c r="R383" s="25" t="s">
        <v>37</v>
      </c>
      <c r="S383" s="35">
        <v>0</v>
      </c>
      <c r="T383" s="16">
        <v>64.14</v>
      </c>
      <c r="U383" s="19">
        <v>16.676400000000001</v>
      </c>
      <c r="V383" s="56">
        <f>Table11[[#This Row],[Profit]]/Table11[[#This Row],[Sales]]</f>
        <v>0.26</v>
      </c>
    </row>
    <row r="384" spans="1:22" x14ac:dyDescent="0.2">
      <c r="A384" s="2">
        <v>383</v>
      </c>
      <c r="B384" s="5" t="s">
        <v>7010</v>
      </c>
      <c r="C384" s="6">
        <v>42118</v>
      </c>
      <c r="D384" s="27">
        <f>MONTH(Table11[[#This Row],[Order Date]])</f>
        <v>4</v>
      </c>
      <c r="E384" s="5" t="s">
        <v>3728</v>
      </c>
      <c r="F384" s="5" t="s">
        <v>3729</v>
      </c>
      <c r="G384" s="24" t="s">
        <v>41</v>
      </c>
      <c r="H384" s="24" t="s">
        <v>61</v>
      </c>
      <c r="I384" s="5" t="s">
        <v>3617</v>
      </c>
      <c r="J384" s="24" t="s">
        <v>92</v>
      </c>
      <c r="K384" s="27">
        <v>1</v>
      </c>
      <c r="L384" s="6">
        <v>42122</v>
      </c>
      <c r="M384" s="27">
        <f>Table11[[#This Row],[Ship Date]]-Table11[[#This Row],[Order Date]]</f>
        <v>4</v>
      </c>
      <c r="N384" s="24" t="s">
        <v>45</v>
      </c>
      <c r="O384" s="24" t="s">
        <v>23</v>
      </c>
      <c r="P384" s="24" t="s">
        <v>238</v>
      </c>
      <c r="Q384" s="24" t="s">
        <v>133</v>
      </c>
      <c r="R384" s="24" t="s">
        <v>237</v>
      </c>
      <c r="S384" s="34">
        <v>0</v>
      </c>
      <c r="T384" s="15">
        <v>25.99</v>
      </c>
      <c r="U384" s="18">
        <v>7.5370999999999997</v>
      </c>
      <c r="V384" s="56">
        <f>Table11[[#This Row],[Profit]]/Table11[[#This Row],[Sales]]</f>
        <v>0.28999999999999998</v>
      </c>
    </row>
    <row r="385" spans="1:22" x14ac:dyDescent="0.2">
      <c r="A385" s="4">
        <v>384</v>
      </c>
      <c r="B385" s="3" t="s">
        <v>2399</v>
      </c>
      <c r="C385" s="7">
        <v>42119</v>
      </c>
      <c r="D385" s="28">
        <f>MONTH(Table11[[#This Row],[Order Date]])</f>
        <v>4</v>
      </c>
      <c r="E385" s="3" t="s">
        <v>2401</v>
      </c>
      <c r="F385" s="3" t="s">
        <v>2402</v>
      </c>
      <c r="G385" s="25" t="s">
        <v>41</v>
      </c>
      <c r="H385" s="25" t="s">
        <v>68</v>
      </c>
      <c r="I385" s="3" t="s">
        <v>2400</v>
      </c>
      <c r="J385" s="25" t="s">
        <v>36</v>
      </c>
      <c r="K385" s="28">
        <v>3</v>
      </c>
      <c r="L385" s="7">
        <v>42122</v>
      </c>
      <c r="M385" s="28">
        <f>Table11[[#This Row],[Ship Date]]-Table11[[#This Row],[Order Date]]</f>
        <v>3</v>
      </c>
      <c r="N385" s="25" t="s">
        <v>20</v>
      </c>
      <c r="O385" s="25" t="s">
        <v>23</v>
      </c>
      <c r="P385" s="25" t="s">
        <v>38</v>
      </c>
      <c r="Q385" s="25" t="s">
        <v>39</v>
      </c>
      <c r="R385" s="25" t="s">
        <v>37</v>
      </c>
      <c r="S385" s="35">
        <v>0.2</v>
      </c>
      <c r="T385" s="16">
        <v>13.944000000000001</v>
      </c>
      <c r="U385" s="19">
        <v>4.5317999999999996</v>
      </c>
      <c r="V385" s="56">
        <f>Table11[[#This Row],[Profit]]/Table11[[#This Row],[Sales]]</f>
        <v>0.32499999999999996</v>
      </c>
    </row>
    <row r="386" spans="1:22" x14ac:dyDescent="0.2">
      <c r="A386" s="4">
        <v>385</v>
      </c>
      <c r="B386" s="5" t="s">
        <v>5667</v>
      </c>
      <c r="C386" s="6">
        <v>42119</v>
      </c>
      <c r="D386" s="27">
        <f>MONTH(Table11[[#This Row],[Order Date]])</f>
        <v>4</v>
      </c>
      <c r="E386" s="5" t="s">
        <v>96</v>
      </c>
      <c r="F386" s="5" t="s">
        <v>97</v>
      </c>
      <c r="G386" s="24" t="s">
        <v>41</v>
      </c>
      <c r="H386" s="24" t="s">
        <v>71</v>
      </c>
      <c r="I386" s="5" t="s">
        <v>1063</v>
      </c>
      <c r="J386" s="24" t="s">
        <v>22</v>
      </c>
      <c r="K386" s="27">
        <v>3</v>
      </c>
      <c r="L386" s="6">
        <v>42122</v>
      </c>
      <c r="M386" s="27">
        <f>Table11[[#This Row],[Ship Date]]-Table11[[#This Row],[Order Date]]</f>
        <v>3</v>
      </c>
      <c r="N386" s="24" t="s">
        <v>169</v>
      </c>
      <c r="O386" s="24" t="s">
        <v>23</v>
      </c>
      <c r="P386" s="24" t="s">
        <v>238</v>
      </c>
      <c r="Q386" s="24" t="s">
        <v>133</v>
      </c>
      <c r="R386" s="24" t="s">
        <v>237</v>
      </c>
      <c r="S386" s="34">
        <v>0</v>
      </c>
      <c r="T386" s="15">
        <v>206.43</v>
      </c>
      <c r="U386" s="18">
        <v>90.8292</v>
      </c>
      <c r="V386" s="56">
        <f>Table11[[#This Row],[Profit]]/Table11[[#This Row],[Sales]]</f>
        <v>0.44</v>
      </c>
    </row>
    <row r="387" spans="1:22" x14ac:dyDescent="0.2">
      <c r="A387" s="2">
        <v>386</v>
      </c>
      <c r="B387" s="3" t="s">
        <v>7881</v>
      </c>
      <c r="C387" s="7">
        <v>42119</v>
      </c>
      <c r="D387" s="28">
        <f>MONTH(Table11[[#This Row],[Order Date]])</f>
        <v>4</v>
      </c>
      <c r="E387" s="3" t="s">
        <v>1162</v>
      </c>
      <c r="F387" s="3" t="s">
        <v>1163</v>
      </c>
      <c r="G387" s="25" t="s">
        <v>41</v>
      </c>
      <c r="H387" s="25" t="s">
        <v>61</v>
      </c>
      <c r="I387" s="3" t="s">
        <v>7882</v>
      </c>
      <c r="J387" s="25" t="s">
        <v>22</v>
      </c>
      <c r="K387" s="28">
        <v>5</v>
      </c>
      <c r="L387" s="7">
        <v>42124</v>
      </c>
      <c r="M387" s="28">
        <f>Table11[[#This Row],[Ship Date]]-Table11[[#This Row],[Order Date]]</f>
        <v>5</v>
      </c>
      <c r="N387" s="25" t="s">
        <v>45</v>
      </c>
      <c r="O387" s="25" t="s">
        <v>23</v>
      </c>
      <c r="P387" s="25" t="s">
        <v>103</v>
      </c>
      <c r="Q387" s="25" t="s">
        <v>95</v>
      </c>
      <c r="R387" s="25" t="s">
        <v>2242</v>
      </c>
      <c r="S387" s="35">
        <v>0</v>
      </c>
      <c r="T387" s="16">
        <v>57.75</v>
      </c>
      <c r="U387" s="19">
        <v>16.170000000000002</v>
      </c>
      <c r="V387" s="56">
        <f>Table11[[#This Row],[Profit]]/Table11[[#This Row],[Sales]]</f>
        <v>0.28000000000000003</v>
      </c>
    </row>
    <row r="388" spans="1:22" x14ac:dyDescent="0.2">
      <c r="A388" s="4">
        <v>387</v>
      </c>
      <c r="B388" s="5" t="s">
        <v>7881</v>
      </c>
      <c r="C388" s="6">
        <v>42119</v>
      </c>
      <c r="D388" s="27">
        <f>MONTH(Table11[[#This Row],[Order Date]])</f>
        <v>4</v>
      </c>
      <c r="E388" s="5" t="s">
        <v>4763</v>
      </c>
      <c r="F388" s="5" t="s">
        <v>4764</v>
      </c>
      <c r="G388" s="24" t="s">
        <v>41</v>
      </c>
      <c r="H388" s="24" t="s">
        <v>71</v>
      </c>
      <c r="I388" s="5" t="s">
        <v>7882</v>
      </c>
      <c r="J388" s="24" t="s">
        <v>22</v>
      </c>
      <c r="K388" s="27">
        <v>5</v>
      </c>
      <c r="L388" s="6">
        <v>42124</v>
      </c>
      <c r="M388" s="27">
        <f>Table11[[#This Row],[Ship Date]]-Table11[[#This Row],[Order Date]]</f>
        <v>5</v>
      </c>
      <c r="N388" s="24" t="s">
        <v>45</v>
      </c>
      <c r="O388" s="24" t="s">
        <v>23</v>
      </c>
      <c r="P388" s="24" t="s">
        <v>103</v>
      </c>
      <c r="Q388" s="24" t="s">
        <v>95</v>
      </c>
      <c r="R388" s="24" t="s">
        <v>2242</v>
      </c>
      <c r="S388" s="34">
        <v>0</v>
      </c>
      <c r="T388" s="15">
        <v>272.39999999999998</v>
      </c>
      <c r="U388" s="18">
        <v>76.272000000000006</v>
      </c>
      <c r="V388" s="56">
        <f>Table11[[#This Row],[Profit]]/Table11[[#This Row],[Sales]]</f>
        <v>0.28000000000000003</v>
      </c>
    </row>
    <row r="389" spans="1:22" x14ac:dyDescent="0.2">
      <c r="A389" s="4">
        <v>388</v>
      </c>
      <c r="B389" s="3" t="s">
        <v>8424</v>
      </c>
      <c r="C389" s="7">
        <v>42119</v>
      </c>
      <c r="D389" s="28">
        <f>MONTH(Table11[[#This Row],[Order Date]])</f>
        <v>4</v>
      </c>
      <c r="E389" s="3" t="s">
        <v>3254</v>
      </c>
      <c r="F389" s="3" t="s">
        <v>3255</v>
      </c>
      <c r="G389" s="25" t="s">
        <v>41</v>
      </c>
      <c r="H389" s="25" t="s">
        <v>53</v>
      </c>
      <c r="I389" s="3" t="s">
        <v>1743</v>
      </c>
      <c r="J389" s="25" t="s">
        <v>22</v>
      </c>
      <c r="K389" s="28">
        <v>2</v>
      </c>
      <c r="L389" s="7">
        <v>42123</v>
      </c>
      <c r="M389" s="28">
        <f>Table11[[#This Row],[Ship Date]]-Table11[[#This Row],[Order Date]]</f>
        <v>4</v>
      </c>
      <c r="N389" s="25" t="s">
        <v>45</v>
      </c>
      <c r="O389" s="25" t="s">
        <v>23</v>
      </c>
      <c r="P389" s="25" t="s">
        <v>189</v>
      </c>
      <c r="Q389" s="25" t="s">
        <v>95</v>
      </c>
      <c r="R389" s="25" t="s">
        <v>404</v>
      </c>
      <c r="S389" s="35">
        <v>0.2</v>
      </c>
      <c r="T389" s="16">
        <v>221.024</v>
      </c>
      <c r="U389" s="19">
        <v>-55.256</v>
      </c>
      <c r="V389" s="56">
        <f>Table11[[#This Row],[Profit]]/Table11[[#This Row],[Sales]]</f>
        <v>-0.25</v>
      </c>
    </row>
    <row r="390" spans="1:22" x14ac:dyDescent="0.2">
      <c r="A390" s="2">
        <v>389</v>
      </c>
      <c r="B390" s="5" t="s">
        <v>8424</v>
      </c>
      <c r="C390" s="6">
        <v>42119</v>
      </c>
      <c r="D390" s="27">
        <f>MONTH(Table11[[#This Row],[Order Date]])</f>
        <v>4</v>
      </c>
      <c r="E390" s="5" t="s">
        <v>5896</v>
      </c>
      <c r="F390" s="5" t="s">
        <v>5897</v>
      </c>
      <c r="G390" s="24" t="s">
        <v>28</v>
      </c>
      <c r="H390" s="24" t="s">
        <v>32</v>
      </c>
      <c r="I390" s="5" t="s">
        <v>1743</v>
      </c>
      <c r="J390" s="24" t="s">
        <v>22</v>
      </c>
      <c r="K390" s="27">
        <v>3</v>
      </c>
      <c r="L390" s="6">
        <v>42123</v>
      </c>
      <c r="M390" s="27">
        <f>Table11[[#This Row],[Ship Date]]-Table11[[#This Row],[Order Date]]</f>
        <v>4</v>
      </c>
      <c r="N390" s="24" t="s">
        <v>45</v>
      </c>
      <c r="O390" s="24" t="s">
        <v>23</v>
      </c>
      <c r="P390" s="24" t="s">
        <v>189</v>
      </c>
      <c r="Q390" s="24" t="s">
        <v>95</v>
      </c>
      <c r="R390" s="24" t="s">
        <v>404</v>
      </c>
      <c r="S390" s="34">
        <v>0.3</v>
      </c>
      <c r="T390" s="15">
        <v>128.05799999999999</v>
      </c>
      <c r="U390" s="18">
        <v>-23.7822</v>
      </c>
      <c r="V390" s="56">
        <f>Table11[[#This Row],[Profit]]/Table11[[#This Row],[Sales]]</f>
        <v>-0.18571428571428572</v>
      </c>
    </row>
    <row r="391" spans="1:22" x14ac:dyDescent="0.2">
      <c r="A391" s="4">
        <v>390</v>
      </c>
      <c r="B391" s="3" t="s">
        <v>8430</v>
      </c>
      <c r="C391" s="7">
        <v>42119</v>
      </c>
      <c r="D391" s="28">
        <f>MONTH(Table11[[#This Row],[Order Date]])</f>
        <v>4</v>
      </c>
      <c r="E391" s="3" t="s">
        <v>2627</v>
      </c>
      <c r="F391" s="3" t="s">
        <v>2628</v>
      </c>
      <c r="G391" s="25" t="s">
        <v>41</v>
      </c>
      <c r="H391" s="25" t="s">
        <v>155</v>
      </c>
      <c r="I391" s="3" t="s">
        <v>2361</v>
      </c>
      <c r="J391" s="25" t="s">
        <v>36</v>
      </c>
      <c r="K391" s="28">
        <v>2</v>
      </c>
      <c r="L391" s="7">
        <v>42126</v>
      </c>
      <c r="M391" s="28">
        <f>Table11[[#This Row],[Ship Date]]-Table11[[#This Row],[Order Date]]</f>
        <v>7</v>
      </c>
      <c r="N391" s="25" t="s">
        <v>45</v>
      </c>
      <c r="O391" s="25" t="s">
        <v>23</v>
      </c>
      <c r="P391" s="25" t="s">
        <v>38</v>
      </c>
      <c r="Q391" s="25" t="s">
        <v>39</v>
      </c>
      <c r="R391" s="25" t="s">
        <v>37</v>
      </c>
      <c r="S391" s="35">
        <v>0</v>
      </c>
      <c r="T391" s="16">
        <v>21.34</v>
      </c>
      <c r="U391" s="19">
        <v>9.8163999999999998</v>
      </c>
      <c r="V391" s="56">
        <f>Table11[[#This Row],[Profit]]/Table11[[#This Row],[Sales]]</f>
        <v>0.46</v>
      </c>
    </row>
    <row r="392" spans="1:22" x14ac:dyDescent="0.2">
      <c r="A392" s="4">
        <v>391</v>
      </c>
      <c r="B392" s="5" t="s">
        <v>296</v>
      </c>
      <c r="C392" s="6">
        <v>42120</v>
      </c>
      <c r="D392" s="27">
        <f>MONTH(Table11[[#This Row],[Order Date]])</f>
        <v>4</v>
      </c>
      <c r="E392" s="5" t="s">
        <v>300</v>
      </c>
      <c r="F392" s="5" t="s">
        <v>301</v>
      </c>
      <c r="G392" s="24" t="s">
        <v>28</v>
      </c>
      <c r="H392" s="24" t="s">
        <v>32</v>
      </c>
      <c r="I392" s="5" t="s">
        <v>297</v>
      </c>
      <c r="J392" s="24" t="s">
        <v>22</v>
      </c>
      <c r="K392" s="27">
        <v>8</v>
      </c>
      <c r="L392" s="6">
        <v>42126</v>
      </c>
      <c r="M392" s="27">
        <f>Table11[[#This Row],[Ship Date]]-Table11[[#This Row],[Order Date]]</f>
        <v>6</v>
      </c>
      <c r="N392" s="24" t="s">
        <v>45</v>
      </c>
      <c r="O392" s="24" t="s">
        <v>23</v>
      </c>
      <c r="P392" s="24" t="s">
        <v>299</v>
      </c>
      <c r="Q392" s="24" t="s">
        <v>26</v>
      </c>
      <c r="R392" s="24" t="s">
        <v>298</v>
      </c>
      <c r="S392" s="34">
        <v>0.2</v>
      </c>
      <c r="T392" s="15">
        <v>831.93600000000004</v>
      </c>
      <c r="U392" s="18">
        <v>-114.3912</v>
      </c>
      <c r="V392" s="56">
        <f>Table11[[#This Row],[Profit]]/Table11[[#This Row],[Sales]]</f>
        <v>-0.13749999999999998</v>
      </c>
    </row>
    <row r="393" spans="1:22" x14ac:dyDescent="0.2">
      <c r="A393" s="2">
        <v>392</v>
      </c>
      <c r="B393" s="3" t="s">
        <v>296</v>
      </c>
      <c r="C393" s="7">
        <v>42120</v>
      </c>
      <c r="D393" s="28">
        <f>MONTH(Table11[[#This Row],[Order Date]])</f>
        <v>4</v>
      </c>
      <c r="E393" s="3" t="s">
        <v>302</v>
      </c>
      <c r="F393" s="3" t="s">
        <v>303</v>
      </c>
      <c r="G393" s="25" t="s">
        <v>28</v>
      </c>
      <c r="H393" s="25" t="s">
        <v>58</v>
      </c>
      <c r="I393" s="3" t="s">
        <v>297</v>
      </c>
      <c r="J393" s="25" t="s">
        <v>22</v>
      </c>
      <c r="K393" s="28">
        <v>2</v>
      </c>
      <c r="L393" s="7">
        <v>42126</v>
      </c>
      <c r="M393" s="28">
        <f>Table11[[#This Row],[Ship Date]]-Table11[[#This Row],[Order Date]]</f>
        <v>6</v>
      </c>
      <c r="N393" s="25" t="s">
        <v>45</v>
      </c>
      <c r="O393" s="25" t="s">
        <v>23</v>
      </c>
      <c r="P393" s="25" t="s">
        <v>299</v>
      </c>
      <c r="Q393" s="25" t="s">
        <v>26</v>
      </c>
      <c r="R393" s="25" t="s">
        <v>298</v>
      </c>
      <c r="S393" s="35">
        <v>0.2</v>
      </c>
      <c r="T393" s="16">
        <v>97.04</v>
      </c>
      <c r="U393" s="19">
        <v>1.2130000000000001</v>
      </c>
      <c r="V393" s="56">
        <f>Table11[[#This Row],[Profit]]/Table11[[#This Row],[Sales]]</f>
        <v>1.2500000000000001E-2</v>
      </c>
    </row>
    <row r="394" spans="1:22" x14ac:dyDescent="0.2">
      <c r="A394" s="4">
        <v>393</v>
      </c>
      <c r="B394" s="5" t="s">
        <v>296</v>
      </c>
      <c r="C394" s="6">
        <v>42120</v>
      </c>
      <c r="D394" s="27">
        <f>MONTH(Table11[[#This Row],[Order Date]])</f>
        <v>4</v>
      </c>
      <c r="E394" s="5" t="s">
        <v>304</v>
      </c>
      <c r="F394" s="5" t="s">
        <v>305</v>
      </c>
      <c r="G394" s="24" t="s">
        <v>41</v>
      </c>
      <c r="H394" s="24" t="s">
        <v>53</v>
      </c>
      <c r="I394" s="5" t="s">
        <v>297</v>
      </c>
      <c r="J394" s="24" t="s">
        <v>22</v>
      </c>
      <c r="K394" s="27">
        <v>1</v>
      </c>
      <c r="L394" s="6">
        <v>42126</v>
      </c>
      <c r="M394" s="27">
        <f>Table11[[#This Row],[Ship Date]]-Table11[[#This Row],[Order Date]]</f>
        <v>6</v>
      </c>
      <c r="N394" s="24" t="s">
        <v>45</v>
      </c>
      <c r="O394" s="24" t="s">
        <v>23</v>
      </c>
      <c r="P394" s="24" t="s">
        <v>299</v>
      </c>
      <c r="Q394" s="24" t="s">
        <v>26</v>
      </c>
      <c r="R394" s="24" t="s">
        <v>298</v>
      </c>
      <c r="S394" s="34">
        <v>0.2</v>
      </c>
      <c r="T394" s="15">
        <v>72.784000000000006</v>
      </c>
      <c r="U394" s="18">
        <v>-18.196000000000002</v>
      </c>
      <c r="V394" s="56">
        <f>Table11[[#This Row],[Profit]]/Table11[[#This Row],[Sales]]</f>
        <v>-0.25</v>
      </c>
    </row>
    <row r="395" spans="1:22" x14ac:dyDescent="0.2">
      <c r="A395" s="4">
        <v>394</v>
      </c>
      <c r="B395" s="3" t="s">
        <v>5423</v>
      </c>
      <c r="C395" s="7">
        <v>42120</v>
      </c>
      <c r="D395" s="28">
        <f>MONTH(Table11[[#This Row],[Order Date]])</f>
        <v>4</v>
      </c>
      <c r="E395" s="3" t="s">
        <v>1005</v>
      </c>
      <c r="F395" s="3" t="s">
        <v>1006</v>
      </c>
      <c r="G395" s="25" t="s">
        <v>28</v>
      </c>
      <c r="H395" s="25" t="s">
        <v>32</v>
      </c>
      <c r="I395" s="3" t="s">
        <v>4890</v>
      </c>
      <c r="J395" s="25" t="s">
        <v>22</v>
      </c>
      <c r="K395" s="28">
        <v>2</v>
      </c>
      <c r="L395" s="7">
        <v>42124</v>
      </c>
      <c r="M395" s="28">
        <f>Table11[[#This Row],[Ship Date]]-Table11[[#This Row],[Order Date]]</f>
        <v>4</v>
      </c>
      <c r="N395" s="25" t="s">
        <v>45</v>
      </c>
      <c r="O395" s="25" t="s">
        <v>23</v>
      </c>
      <c r="P395" s="25" t="s">
        <v>94</v>
      </c>
      <c r="Q395" s="25" t="s">
        <v>95</v>
      </c>
      <c r="R395" s="25" t="s">
        <v>165</v>
      </c>
      <c r="S395" s="35">
        <v>0.3</v>
      </c>
      <c r="T395" s="16">
        <v>408.42200000000003</v>
      </c>
      <c r="U395" s="19">
        <v>-5.8346</v>
      </c>
      <c r="V395" s="56">
        <f>Table11[[#This Row],[Profit]]/Table11[[#This Row],[Sales]]</f>
        <v>-1.4285714285714285E-2</v>
      </c>
    </row>
    <row r="396" spans="1:22" x14ac:dyDescent="0.2">
      <c r="A396" s="2">
        <v>395</v>
      </c>
      <c r="B396" s="5" t="s">
        <v>8911</v>
      </c>
      <c r="C396" s="6">
        <v>42120</v>
      </c>
      <c r="D396" s="27">
        <f>MONTH(Table11[[#This Row],[Order Date]])</f>
        <v>4</v>
      </c>
      <c r="E396" s="5" t="s">
        <v>5115</v>
      </c>
      <c r="F396" s="5" t="s">
        <v>5116</v>
      </c>
      <c r="G396" s="24" t="s">
        <v>28</v>
      </c>
      <c r="H396" s="24" t="s">
        <v>32</v>
      </c>
      <c r="I396" s="5" t="s">
        <v>2241</v>
      </c>
      <c r="J396" s="24" t="s">
        <v>36</v>
      </c>
      <c r="K396" s="27">
        <v>3</v>
      </c>
      <c r="L396" s="6">
        <v>42125</v>
      </c>
      <c r="M396" s="27">
        <f>Table11[[#This Row],[Ship Date]]-Table11[[#This Row],[Order Date]]</f>
        <v>5</v>
      </c>
      <c r="N396" s="24" t="s">
        <v>45</v>
      </c>
      <c r="O396" s="24" t="s">
        <v>23</v>
      </c>
      <c r="P396" s="24" t="s">
        <v>38</v>
      </c>
      <c r="Q396" s="24" t="s">
        <v>39</v>
      </c>
      <c r="R396" s="24" t="s">
        <v>836</v>
      </c>
      <c r="S396" s="34">
        <v>0.2</v>
      </c>
      <c r="T396" s="15">
        <v>63.936</v>
      </c>
      <c r="U396" s="18">
        <v>6.3936000000000002</v>
      </c>
      <c r="V396" s="56">
        <f>Table11[[#This Row],[Profit]]/Table11[[#This Row],[Sales]]</f>
        <v>0.1</v>
      </c>
    </row>
    <row r="397" spans="1:22" x14ac:dyDescent="0.2">
      <c r="A397" s="4">
        <v>396</v>
      </c>
      <c r="B397" s="3" t="s">
        <v>8911</v>
      </c>
      <c r="C397" s="7">
        <v>42120</v>
      </c>
      <c r="D397" s="28">
        <f>MONTH(Table11[[#This Row],[Order Date]])</f>
        <v>4</v>
      </c>
      <c r="E397" s="3" t="s">
        <v>1381</v>
      </c>
      <c r="F397" s="3" t="s">
        <v>1382</v>
      </c>
      <c r="G397" s="25" t="s">
        <v>41</v>
      </c>
      <c r="H397" s="25" t="s">
        <v>61</v>
      </c>
      <c r="I397" s="3" t="s">
        <v>2241</v>
      </c>
      <c r="J397" s="25" t="s">
        <v>36</v>
      </c>
      <c r="K397" s="28">
        <v>3</v>
      </c>
      <c r="L397" s="7">
        <v>42125</v>
      </c>
      <c r="M397" s="28">
        <f>Table11[[#This Row],[Ship Date]]-Table11[[#This Row],[Order Date]]</f>
        <v>5</v>
      </c>
      <c r="N397" s="25" t="s">
        <v>45</v>
      </c>
      <c r="O397" s="25" t="s">
        <v>23</v>
      </c>
      <c r="P397" s="25" t="s">
        <v>38</v>
      </c>
      <c r="Q397" s="25" t="s">
        <v>39</v>
      </c>
      <c r="R397" s="25" t="s">
        <v>836</v>
      </c>
      <c r="S397" s="35">
        <v>0</v>
      </c>
      <c r="T397" s="16">
        <v>59.52</v>
      </c>
      <c r="U397" s="19">
        <v>15.475199999999999</v>
      </c>
      <c r="V397" s="56">
        <f>Table11[[#This Row],[Profit]]/Table11[[#This Row],[Sales]]</f>
        <v>0.25999999999999995</v>
      </c>
    </row>
    <row r="398" spans="1:22" x14ac:dyDescent="0.2">
      <c r="A398" s="4">
        <v>397</v>
      </c>
      <c r="B398" s="5" t="s">
        <v>8911</v>
      </c>
      <c r="C398" s="6">
        <v>42120</v>
      </c>
      <c r="D398" s="27">
        <f>MONTH(Table11[[#This Row],[Order Date]])</f>
        <v>4</v>
      </c>
      <c r="E398" s="5" t="s">
        <v>7760</v>
      </c>
      <c r="F398" s="5" t="s">
        <v>7761</v>
      </c>
      <c r="G398" s="24" t="s">
        <v>64</v>
      </c>
      <c r="H398" s="24" t="s">
        <v>65</v>
      </c>
      <c r="I398" s="5" t="s">
        <v>2241</v>
      </c>
      <c r="J398" s="24" t="s">
        <v>36</v>
      </c>
      <c r="K398" s="27">
        <v>3</v>
      </c>
      <c r="L398" s="6">
        <v>42125</v>
      </c>
      <c r="M398" s="27">
        <f>Table11[[#This Row],[Ship Date]]-Table11[[#This Row],[Order Date]]</f>
        <v>5</v>
      </c>
      <c r="N398" s="24" t="s">
        <v>45</v>
      </c>
      <c r="O398" s="24" t="s">
        <v>23</v>
      </c>
      <c r="P398" s="24" t="s">
        <v>38</v>
      </c>
      <c r="Q398" s="24" t="s">
        <v>39</v>
      </c>
      <c r="R398" s="24" t="s">
        <v>836</v>
      </c>
      <c r="S398" s="34">
        <v>0.2</v>
      </c>
      <c r="T398" s="15">
        <v>311.976</v>
      </c>
      <c r="U398" s="18">
        <v>38.997</v>
      </c>
      <c r="V398" s="56">
        <f>Table11[[#This Row],[Profit]]/Table11[[#This Row],[Sales]]</f>
        <v>0.125</v>
      </c>
    </row>
    <row r="399" spans="1:22" x14ac:dyDescent="0.2">
      <c r="A399" s="2">
        <v>398</v>
      </c>
      <c r="B399" s="3" t="s">
        <v>8911</v>
      </c>
      <c r="C399" s="7">
        <v>42120</v>
      </c>
      <c r="D399" s="28">
        <f>MONTH(Table11[[#This Row],[Order Date]])</f>
        <v>4</v>
      </c>
      <c r="E399" s="3" t="s">
        <v>1060</v>
      </c>
      <c r="F399" s="3" t="s">
        <v>1061</v>
      </c>
      <c r="G399" s="25" t="s">
        <v>41</v>
      </c>
      <c r="H399" s="25" t="s">
        <v>68</v>
      </c>
      <c r="I399" s="3" t="s">
        <v>2241</v>
      </c>
      <c r="J399" s="25" t="s">
        <v>36</v>
      </c>
      <c r="K399" s="28">
        <v>3</v>
      </c>
      <c r="L399" s="7">
        <v>42125</v>
      </c>
      <c r="M399" s="28">
        <f>Table11[[#This Row],[Ship Date]]-Table11[[#This Row],[Order Date]]</f>
        <v>5</v>
      </c>
      <c r="N399" s="25" t="s">
        <v>45</v>
      </c>
      <c r="O399" s="25" t="s">
        <v>23</v>
      </c>
      <c r="P399" s="25" t="s">
        <v>38</v>
      </c>
      <c r="Q399" s="25" t="s">
        <v>39</v>
      </c>
      <c r="R399" s="25" t="s">
        <v>836</v>
      </c>
      <c r="S399" s="35">
        <v>0.2</v>
      </c>
      <c r="T399" s="16">
        <v>50.351999999999997</v>
      </c>
      <c r="U399" s="19">
        <v>17.623200000000001</v>
      </c>
      <c r="V399" s="56">
        <f>Table11[[#This Row],[Profit]]/Table11[[#This Row],[Sales]]</f>
        <v>0.35000000000000003</v>
      </c>
    </row>
    <row r="400" spans="1:22" x14ac:dyDescent="0.2">
      <c r="A400" s="4">
        <v>399</v>
      </c>
      <c r="B400" s="5" t="s">
        <v>9111</v>
      </c>
      <c r="C400" s="6">
        <v>42120</v>
      </c>
      <c r="D400" s="27">
        <f>MONTH(Table11[[#This Row],[Order Date]])</f>
        <v>4</v>
      </c>
      <c r="E400" s="5" t="s">
        <v>49</v>
      </c>
      <c r="F400" s="5" t="s">
        <v>51</v>
      </c>
      <c r="G400" s="24" t="s">
        <v>28</v>
      </c>
      <c r="H400" s="24" t="s">
        <v>50</v>
      </c>
      <c r="I400" s="5" t="s">
        <v>1483</v>
      </c>
      <c r="J400" s="24" t="s">
        <v>22</v>
      </c>
      <c r="K400" s="27">
        <v>1</v>
      </c>
      <c r="L400" s="6">
        <v>42124</v>
      </c>
      <c r="M400" s="27">
        <f>Table11[[#This Row],[Ship Date]]-Table11[[#This Row],[Order Date]]</f>
        <v>4</v>
      </c>
      <c r="N400" s="24" t="s">
        <v>45</v>
      </c>
      <c r="O400" s="24" t="s">
        <v>23</v>
      </c>
      <c r="P400" s="24" t="s">
        <v>48</v>
      </c>
      <c r="Q400" s="24" t="s">
        <v>26</v>
      </c>
      <c r="R400" s="24" t="s">
        <v>6682</v>
      </c>
      <c r="S400" s="34">
        <v>0.45</v>
      </c>
      <c r="T400" s="15">
        <v>191.5155</v>
      </c>
      <c r="U400" s="18">
        <v>-76.606200000000001</v>
      </c>
      <c r="V400" s="56">
        <f>Table11[[#This Row],[Profit]]/Table11[[#This Row],[Sales]]</f>
        <v>-0.4</v>
      </c>
    </row>
    <row r="401" spans="1:22" x14ac:dyDescent="0.2">
      <c r="A401" s="4">
        <v>400</v>
      </c>
      <c r="B401" s="3" t="s">
        <v>9111</v>
      </c>
      <c r="C401" s="7">
        <v>42120</v>
      </c>
      <c r="D401" s="28">
        <f>MONTH(Table11[[#This Row],[Order Date]])</f>
        <v>4</v>
      </c>
      <c r="E401" s="3" t="s">
        <v>1208</v>
      </c>
      <c r="F401" s="3" t="s">
        <v>1209</v>
      </c>
      <c r="G401" s="25" t="s">
        <v>41</v>
      </c>
      <c r="H401" s="25" t="s">
        <v>61</v>
      </c>
      <c r="I401" s="3" t="s">
        <v>1483</v>
      </c>
      <c r="J401" s="25" t="s">
        <v>22</v>
      </c>
      <c r="K401" s="28">
        <v>1</v>
      </c>
      <c r="L401" s="7">
        <v>42124</v>
      </c>
      <c r="M401" s="28">
        <f>Table11[[#This Row],[Ship Date]]-Table11[[#This Row],[Order Date]]</f>
        <v>4</v>
      </c>
      <c r="N401" s="25" t="s">
        <v>45</v>
      </c>
      <c r="O401" s="25" t="s">
        <v>23</v>
      </c>
      <c r="P401" s="25" t="s">
        <v>48</v>
      </c>
      <c r="Q401" s="25" t="s">
        <v>26</v>
      </c>
      <c r="R401" s="25" t="s">
        <v>6682</v>
      </c>
      <c r="S401" s="35">
        <v>0.2</v>
      </c>
      <c r="T401" s="16">
        <v>2.6240000000000001</v>
      </c>
      <c r="U401" s="19">
        <v>0.4264</v>
      </c>
      <c r="V401" s="56">
        <f>Table11[[#This Row],[Profit]]/Table11[[#This Row],[Sales]]</f>
        <v>0.16250000000000001</v>
      </c>
    </row>
    <row r="402" spans="1:22" x14ac:dyDescent="0.2">
      <c r="A402" s="2">
        <v>401</v>
      </c>
      <c r="B402" s="5" t="s">
        <v>2670</v>
      </c>
      <c r="C402" s="6">
        <v>42121</v>
      </c>
      <c r="D402" s="27">
        <f>MONTH(Table11[[#This Row],[Order Date]])</f>
        <v>4</v>
      </c>
      <c r="E402" s="5" t="s">
        <v>2672</v>
      </c>
      <c r="F402" s="5" t="s">
        <v>2673</v>
      </c>
      <c r="G402" s="24" t="s">
        <v>41</v>
      </c>
      <c r="H402" s="24" t="s">
        <v>61</v>
      </c>
      <c r="I402" s="5" t="s">
        <v>1662</v>
      </c>
      <c r="J402" s="24" t="s">
        <v>22</v>
      </c>
      <c r="K402" s="27">
        <v>3</v>
      </c>
      <c r="L402" s="6">
        <v>42127</v>
      </c>
      <c r="M402" s="27">
        <f>Table11[[#This Row],[Ship Date]]-Table11[[#This Row],[Order Date]]</f>
        <v>6</v>
      </c>
      <c r="N402" s="24" t="s">
        <v>45</v>
      </c>
      <c r="O402" s="24" t="s">
        <v>23</v>
      </c>
      <c r="P402" s="24" t="s">
        <v>2671</v>
      </c>
      <c r="Q402" s="24" t="s">
        <v>133</v>
      </c>
      <c r="R402" s="24" t="s">
        <v>87</v>
      </c>
      <c r="S402" s="34">
        <v>0</v>
      </c>
      <c r="T402" s="15">
        <v>22.74</v>
      </c>
      <c r="U402" s="18">
        <v>8.8686000000000007</v>
      </c>
      <c r="V402" s="56">
        <f>Table11[[#This Row],[Profit]]/Table11[[#This Row],[Sales]]</f>
        <v>0.39000000000000007</v>
      </c>
    </row>
    <row r="403" spans="1:22" x14ac:dyDescent="0.2">
      <c r="A403" s="4">
        <v>402</v>
      </c>
      <c r="B403" s="3" t="s">
        <v>2670</v>
      </c>
      <c r="C403" s="7">
        <v>42121</v>
      </c>
      <c r="D403" s="28">
        <f>MONTH(Table11[[#This Row],[Order Date]])</f>
        <v>4</v>
      </c>
      <c r="E403" s="3" t="s">
        <v>2674</v>
      </c>
      <c r="F403" s="3" t="s">
        <v>2675</v>
      </c>
      <c r="G403" s="25" t="s">
        <v>28</v>
      </c>
      <c r="H403" s="25" t="s">
        <v>32</v>
      </c>
      <c r="I403" s="3" t="s">
        <v>1662</v>
      </c>
      <c r="J403" s="25" t="s">
        <v>22</v>
      </c>
      <c r="K403" s="28">
        <v>3</v>
      </c>
      <c r="L403" s="7">
        <v>42127</v>
      </c>
      <c r="M403" s="28">
        <f>Table11[[#This Row],[Ship Date]]-Table11[[#This Row],[Order Date]]</f>
        <v>6</v>
      </c>
      <c r="N403" s="25" t="s">
        <v>45</v>
      </c>
      <c r="O403" s="25" t="s">
        <v>23</v>
      </c>
      <c r="P403" s="25" t="s">
        <v>2671</v>
      </c>
      <c r="Q403" s="25" t="s">
        <v>133</v>
      </c>
      <c r="R403" s="25" t="s">
        <v>87</v>
      </c>
      <c r="S403" s="35">
        <v>0</v>
      </c>
      <c r="T403" s="16">
        <v>1267.53</v>
      </c>
      <c r="U403" s="19">
        <v>316.88249999999999</v>
      </c>
      <c r="V403" s="56">
        <f>Table11[[#This Row],[Profit]]/Table11[[#This Row],[Sales]]</f>
        <v>0.25</v>
      </c>
    </row>
    <row r="404" spans="1:22" x14ac:dyDescent="0.2">
      <c r="A404" s="4">
        <v>403</v>
      </c>
      <c r="B404" s="5" t="s">
        <v>2670</v>
      </c>
      <c r="C404" s="6">
        <v>42121</v>
      </c>
      <c r="D404" s="27">
        <f>MONTH(Table11[[#This Row],[Order Date]])</f>
        <v>4</v>
      </c>
      <c r="E404" s="5" t="s">
        <v>2676</v>
      </c>
      <c r="F404" s="5" t="s">
        <v>2677</v>
      </c>
      <c r="G404" s="24" t="s">
        <v>64</v>
      </c>
      <c r="H404" s="24" t="s">
        <v>602</v>
      </c>
      <c r="I404" s="5" t="s">
        <v>1662</v>
      </c>
      <c r="J404" s="24" t="s">
        <v>22</v>
      </c>
      <c r="K404" s="27">
        <v>8</v>
      </c>
      <c r="L404" s="6">
        <v>42127</v>
      </c>
      <c r="M404" s="27">
        <f>Table11[[#This Row],[Ship Date]]-Table11[[#This Row],[Order Date]]</f>
        <v>6</v>
      </c>
      <c r="N404" s="24" t="s">
        <v>45</v>
      </c>
      <c r="O404" s="24" t="s">
        <v>23</v>
      </c>
      <c r="P404" s="24" t="s">
        <v>2671</v>
      </c>
      <c r="Q404" s="24" t="s">
        <v>133</v>
      </c>
      <c r="R404" s="24" t="s">
        <v>87</v>
      </c>
      <c r="S404" s="34">
        <v>0</v>
      </c>
      <c r="T404" s="15">
        <v>1379.92</v>
      </c>
      <c r="U404" s="18">
        <v>648.56240000000003</v>
      </c>
      <c r="V404" s="56">
        <f>Table11[[#This Row],[Profit]]/Table11[[#This Row],[Sales]]</f>
        <v>0.47</v>
      </c>
    </row>
    <row r="405" spans="1:22" x14ac:dyDescent="0.2">
      <c r="A405" s="2">
        <v>404</v>
      </c>
      <c r="B405" s="3" t="s">
        <v>5916</v>
      </c>
      <c r="C405" s="7">
        <v>42121</v>
      </c>
      <c r="D405" s="28">
        <f>MONTH(Table11[[#This Row],[Order Date]])</f>
        <v>4</v>
      </c>
      <c r="E405" s="3" t="s">
        <v>3197</v>
      </c>
      <c r="F405" s="3" t="s">
        <v>3198</v>
      </c>
      <c r="G405" s="25" t="s">
        <v>41</v>
      </c>
      <c r="H405" s="25" t="s">
        <v>71</v>
      </c>
      <c r="I405" s="3" t="s">
        <v>5582</v>
      </c>
      <c r="J405" s="25" t="s">
        <v>92</v>
      </c>
      <c r="K405" s="28">
        <v>5</v>
      </c>
      <c r="L405" s="7">
        <v>42126</v>
      </c>
      <c r="M405" s="28">
        <f>Table11[[#This Row],[Ship Date]]-Table11[[#This Row],[Order Date]]</f>
        <v>5</v>
      </c>
      <c r="N405" s="25" t="s">
        <v>45</v>
      </c>
      <c r="O405" s="25" t="s">
        <v>23</v>
      </c>
      <c r="P405" s="25" t="s">
        <v>405</v>
      </c>
      <c r="Q405" s="25" t="s">
        <v>39</v>
      </c>
      <c r="R405" s="25" t="s">
        <v>404</v>
      </c>
      <c r="S405" s="35">
        <v>0.2</v>
      </c>
      <c r="T405" s="16">
        <v>43.56</v>
      </c>
      <c r="U405" s="19">
        <v>3.2669999999999999</v>
      </c>
      <c r="V405" s="56">
        <f>Table11[[#This Row],[Profit]]/Table11[[#This Row],[Sales]]</f>
        <v>7.4999999999999997E-2</v>
      </c>
    </row>
    <row r="406" spans="1:22" x14ac:dyDescent="0.2">
      <c r="A406" s="4">
        <v>405</v>
      </c>
      <c r="B406" s="5" t="s">
        <v>5916</v>
      </c>
      <c r="C406" s="6">
        <v>42121</v>
      </c>
      <c r="D406" s="27">
        <f>MONTH(Table11[[#This Row],[Order Date]])</f>
        <v>4</v>
      </c>
      <c r="E406" s="5" t="s">
        <v>1722</v>
      </c>
      <c r="F406" s="5" t="s">
        <v>1723</v>
      </c>
      <c r="G406" s="24" t="s">
        <v>41</v>
      </c>
      <c r="H406" s="24" t="s">
        <v>513</v>
      </c>
      <c r="I406" s="5" t="s">
        <v>5582</v>
      </c>
      <c r="J406" s="24" t="s">
        <v>92</v>
      </c>
      <c r="K406" s="27">
        <v>2</v>
      </c>
      <c r="L406" s="6">
        <v>42126</v>
      </c>
      <c r="M406" s="27">
        <f>Table11[[#This Row],[Ship Date]]-Table11[[#This Row],[Order Date]]</f>
        <v>5</v>
      </c>
      <c r="N406" s="24" t="s">
        <v>45</v>
      </c>
      <c r="O406" s="24" t="s">
        <v>23</v>
      </c>
      <c r="P406" s="24" t="s">
        <v>405</v>
      </c>
      <c r="Q406" s="24" t="s">
        <v>39</v>
      </c>
      <c r="R406" s="24" t="s">
        <v>404</v>
      </c>
      <c r="S406" s="34">
        <v>0.2</v>
      </c>
      <c r="T406" s="15">
        <v>5.84</v>
      </c>
      <c r="U406" s="18">
        <v>0.73</v>
      </c>
      <c r="V406" s="56">
        <f>Table11[[#This Row],[Profit]]/Table11[[#This Row],[Sales]]</f>
        <v>0.125</v>
      </c>
    </row>
    <row r="407" spans="1:22" x14ac:dyDescent="0.2">
      <c r="A407" s="4">
        <v>406</v>
      </c>
      <c r="B407" s="3" t="s">
        <v>1175</v>
      </c>
      <c r="C407" s="7">
        <v>42122</v>
      </c>
      <c r="D407" s="28">
        <f>MONTH(Table11[[#This Row],[Order Date]])</f>
        <v>4</v>
      </c>
      <c r="E407" s="3" t="s">
        <v>1177</v>
      </c>
      <c r="F407" s="3" t="s">
        <v>1178</v>
      </c>
      <c r="G407" s="25" t="s">
        <v>41</v>
      </c>
      <c r="H407" s="25" t="s">
        <v>71</v>
      </c>
      <c r="I407" s="3" t="s">
        <v>1176</v>
      </c>
      <c r="J407" s="25" t="s">
        <v>22</v>
      </c>
      <c r="K407" s="28">
        <v>3</v>
      </c>
      <c r="L407" s="7">
        <v>42129</v>
      </c>
      <c r="M407" s="28">
        <f>Table11[[#This Row],[Ship Date]]-Table11[[#This Row],[Order Date]]</f>
        <v>7</v>
      </c>
      <c r="N407" s="25" t="s">
        <v>45</v>
      </c>
      <c r="O407" s="25" t="s">
        <v>23</v>
      </c>
      <c r="P407" s="25" t="s">
        <v>94</v>
      </c>
      <c r="Q407" s="25" t="s">
        <v>95</v>
      </c>
      <c r="R407" s="25" t="s">
        <v>165</v>
      </c>
      <c r="S407" s="35">
        <v>0.8</v>
      </c>
      <c r="T407" s="16">
        <v>8.6519999999999992</v>
      </c>
      <c r="U407" s="19">
        <v>-20.3322</v>
      </c>
      <c r="V407" s="56">
        <f>Table11[[#This Row],[Profit]]/Table11[[#This Row],[Sales]]</f>
        <v>-2.35</v>
      </c>
    </row>
    <row r="408" spans="1:22" x14ac:dyDescent="0.2">
      <c r="A408" s="2">
        <v>407</v>
      </c>
      <c r="B408" s="5" t="s">
        <v>1175</v>
      </c>
      <c r="C408" s="6">
        <v>42122</v>
      </c>
      <c r="D408" s="27">
        <f>MONTH(Table11[[#This Row],[Order Date]])</f>
        <v>4</v>
      </c>
      <c r="E408" s="5" t="s">
        <v>1179</v>
      </c>
      <c r="F408" s="5" t="s">
        <v>1180</v>
      </c>
      <c r="G408" s="24" t="s">
        <v>41</v>
      </c>
      <c r="H408" s="24" t="s">
        <v>53</v>
      </c>
      <c r="I408" s="5" t="s">
        <v>1176</v>
      </c>
      <c r="J408" s="24" t="s">
        <v>22</v>
      </c>
      <c r="K408" s="27">
        <v>3</v>
      </c>
      <c r="L408" s="6">
        <v>42129</v>
      </c>
      <c r="M408" s="27">
        <f>Table11[[#This Row],[Ship Date]]-Table11[[#This Row],[Order Date]]</f>
        <v>7</v>
      </c>
      <c r="N408" s="24" t="s">
        <v>45</v>
      </c>
      <c r="O408" s="24" t="s">
        <v>23</v>
      </c>
      <c r="P408" s="24" t="s">
        <v>94</v>
      </c>
      <c r="Q408" s="24" t="s">
        <v>95</v>
      </c>
      <c r="R408" s="24" t="s">
        <v>165</v>
      </c>
      <c r="S408" s="34">
        <v>0.2</v>
      </c>
      <c r="T408" s="15">
        <v>23.832000000000001</v>
      </c>
      <c r="U408" s="18">
        <v>2.6810999999999998</v>
      </c>
      <c r="V408" s="56">
        <f>Table11[[#This Row],[Profit]]/Table11[[#This Row],[Sales]]</f>
        <v>0.11249999999999999</v>
      </c>
    </row>
    <row r="409" spans="1:22" x14ac:dyDescent="0.2">
      <c r="A409" s="4">
        <v>408</v>
      </c>
      <c r="B409" s="3" t="s">
        <v>1175</v>
      </c>
      <c r="C409" s="7">
        <v>42122</v>
      </c>
      <c r="D409" s="28">
        <f>MONTH(Table11[[#This Row],[Order Date]])</f>
        <v>4</v>
      </c>
      <c r="E409" s="3" t="s">
        <v>1181</v>
      </c>
      <c r="F409" s="3" t="s">
        <v>1182</v>
      </c>
      <c r="G409" s="25" t="s">
        <v>41</v>
      </c>
      <c r="H409" s="25" t="s">
        <v>68</v>
      </c>
      <c r="I409" s="3" t="s">
        <v>1176</v>
      </c>
      <c r="J409" s="25" t="s">
        <v>22</v>
      </c>
      <c r="K409" s="28">
        <v>4</v>
      </c>
      <c r="L409" s="7">
        <v>42129</v>
      </c>
      <c r="M409" s="28">
        <f>Table11[[#This Row],[Ship Date]]-Table11[[#This Row],[Order Date]]</f>
        <v>7</v>
      </c>
      <c r="N409" s="25" t="s">
        <v>45</v>
      </c>
      <c r="O409" s="25" t="s">
        <v>23</v>
      </c>
      <c r="P409" s="25" t="s">
        <v>94</v>
      </c>
      <c r="Q409" s="25" t="s">
        <v>95</v>
      </c>
      <c r="R409" s="25" t="s">
        <v>165</v>
      </c>
      <c r="S409" s="35">
        <v>0.8</v>
      </c>
      <c r="T409" s="16">
        <v>12.176</v>
      </c>
      <c r="U409" s="19">
        <v>-18.872800000000002</v>
      </c>
      <c r="V409" s="56">
        <f>Table11[[#This Row],[Profit]]/Table11[[#This Row],[Sales]]</f>
        <v>-1.55</v>
      </c>
    </row>
    <row r="410" spans="1:22" x14ac:dyDescent="0.2">
      <c r="A410" s="4">
        <v>409</v>
      </c>
      <c r="B410" s="5" t="s">
        <v>8821</v>
      </c>
      <c r="C410" s="6">
        <v>42122</v>
      </c>
      <c r="D410" s="27">
        <f>MONTH(Table11[[#This Row],[Order Date]])</f>
        <v>4</v>
      </c>
      <c r="E410" s="5" t="s">
        <v>5532</v>
      </c>
      <c r="F410" s="5" t="s">
        <v>5533</v>
      </c>
      <c r="G410" s="24" t="s">
        <v>41</v>
      </c>
      <c r="H410" s="24" t="s">
        <v>71</v>
      </c>
      <c r="I410" s="5" t="s">
        <v>1325</v>
      </c>
      <c r="J410" s="24" t="s">
        <v>92</v>
      </c>
      <c r="K410" s="27">
        <v>1</v>
      </c>
      <c r="L410" s="6">
        <v>42125</v>
      </c>
      <c r="M410" s="27">
        <f>Table11[[#This Row],[Ship Date]]-Table11[[#This Row],[Order Date]]</f>
        <v>3</v>
      </c>
      <c r="N410" s="24" t="s">
        <v>169</v>
      </c>
      <c r="O410" s="24" t="s">
        <v>23</v>
      </c>
      <c r="P410" s="24" t="s">
        <v>212</v>
      </c>
      <c r="Q410" s="24" t="s">
        <v>95</v>
      </c>
      <c r="R410" s="24" t="s">
        <v>4713</v>
      </c>
      <c r="S410" s="34">
        <v>0.1</v>
      </c>
      <c r="T410" s="15">
        <v>186.732</v>
      </c>
      <c r="U410" s="18">
        <v>41.496000000000002</v>
      </c>
      <c r="V410" s="56">
        <f>Table11[[#This Row],[Profit]]/Table11[[#This Row],[Sales]]</f>
        <v>0.22222222222222224</v>
      </c>
    </row>
    <row r="411" spans="1:22" x14ac:dyDescent="0.2">
      <c r="A411" s="2">
        <v>410</v>
      </c>
      <c r="B411" s="3" t="s">
        <v>8821</v>
      </c>
      <c r="C411" s="7">
        <v>42122</v>
      </c>
      <c r="D411" s="28">
        <f>MONTH(Table11[[#This Row],[Order Date]])</f>
        <v>4</v>
      </c>
      <c r="E411" s="3" t="s">
        <v>1543</v>
      </c>
      <c r="F411" s="3" t="s">
        <v>1544</v>
      </c>
      <c r="G411" s="25" t="s">
        <v>41</v>
      </c>
      <c r="H411" s="25" t="s">
        <v>68</v>
      </c>
      <c r="I411" s="3" t="s">
        <v>1325</v>
      </c>
      <c r="J411" s="25" t="s">
        <v>92</v>
      </c>
      <c r="K411" s="28">
        <v>3</v>
      </c>
      <c r="L411" s="7">
        <v>42125</v>
      </c>
      <c r="M411" s="28">
        <f>Table11[[#This Row],[Ship Date]]-Table11[[#This Row],[Order Date]]</f>
        <v>3</v>
      </c>
      <c r="N411" s="25" t="s">
        <v>169</v>
      </c>
      <c r="O411" s="25" t="s">
        <v>23</v>
      </c>
      <c r="P411" s="25" t="s">
        <v>212</v>
      </c>
      <c r="Q411" s="25" t="s">
        <v>95</v>
      </c>
      <c r="R411" s="25" t="s">
        <v>4713</v>
      </c>
      <c r="S411" s="35">
        <v>0</v>
      </c>
      <c r="T411" s="16">
        <v>3812.97</v>
      </c>
      <c r="U411" s="19">
        <v>1906.4849999999999</v>
      </c>
      <c r="V411" s="56">
        <f>Table11[[#This Row],[Profit]]/Table11[[#This Row],[Sales]]</f>
        <v>0.5</v>
      </c>
    </row>
    <row r="412" spans="1:22" x14ac:dyDescent="0.2">
      <c r="A412" s="4">
        <v>411</v>
      </c>
      <c r="B412" s="5" t="s">
        <v>7768</v>
      </c>
      <c r="C412" s="6">
        <v>42123</v>
      </c>
      <c r="D412" s="27">
        <f>MONTH(Table11[[#This Row],[Order Date]])</f>
        <v>4</v>
      </c>
      <c r="E412" s="5" t="s">
        <v>3685</v>
      </c>
      <c r="F412" s="5" t="s">
        <v>3686</v>
      </c>
      <c r="G412" s="24" t="s">
        <v>41</v>
      </c>
      <c r="H412" s="24" t="s">
        <v>82</v>
      </c>
      <c r="I412" s="5" t="s">
        <v>638</v>
      </c>
      <c r="J412" s="24" t="s">
        <v>92</v>
      </c>
      <c r="K412" s="27">
        <v>2</v>
      </c>
      <c r="L412" s="6">
        <v>42128</v>
      </c>
      <c r="M412" s="27">
        <f>Table11[[#This Row],[Ship Date]]-Table11[[#This Row],[Order Date]]</f>
        <v>5</v>
      </c>
      <c r="N412" s="24" t="s">
        <v>20</v>
      </c>
      <c r="O412" s="24" t="s">
        <v>23</v>
      </c>
      <c r="P412" s="24" t="s">
        <v>132</v>
      </c>
      <c r="Q412" s="24" t="s">
        <v>133</v>
      </c>
      <c r="R412" s="24" t="s">
        <v>131</v>
      </c>
      <c r="S412" s="34">
        <v>0.2</v>
      </c>
      <c r="T412" s="15">
        <v>7.968</v>
      </c>
      <c r="U412" s="18">
        <v>2.8883999999999999</v>
      </c>
      <c r="V412" s="56">
        <f>Table11[[#This Row],[Profit]]/Table11[[#This Row],[Sales]]</f>
        <v>0.36249999999999999</v>
      </c>
    </row>
    <row r="413" spans="1:22" x14ac:dyDescent="0.2">
      <c r="A413" s="4">
        <v>412</v>
      </c>
      <c r="B413" s="3" t="s">
        <v>269</v>
      </c>
      <c r="C413" s="7">
        <v>42124</v>
      </c>
      <c r="D413" s="28">
        <f>MONTH(Table11[[#This Row],[Order Date]])</f>
        <v>4</v>
      </c>
      <c r="E413" s="3" t="s">
        <v>272</v>
      </c>
      <c r="F413" s="3" t="s">
        <v>273</v>
      </c>
      <c r="G413" s="25" t="s">
        <v>28</v>
      </c>
      <c r="H413" s="25" t="s">
        <v>32</v>
      </c>
      <c r="I413" s="3" t="s">
        <v>270</v>
      </c>
      <c r="J413" s="25" t="s">
        <v>92</v>
      </c>
      <c r="K413" s="28">
        <v>5</v>
      </c>
      <c r="L413" s="7">
        <v>42129</v>
      </c>
      <c r="M413" s="28">
        <f>Table11[[#This Row],[Ship Date]]-Table11[[#This Row],[Order Date]]</f>
        <v>5</v>
      </c>
      <c r="N413" s="25" t="s">
        <v>45</v>
      </c>
      <c r="O413" s="25" t="s">
        <v>23</v>
      </c>
      <c r="P413" s="25" t="s">
        <v>189</v>
      </c>
      <c r="Q413" s="25" t="s">
        <v>95</v>
      </c>
      <c r="R413" s="25" t="s">
        <v>271</v>
      </c>
      <c r="S413" s="35">
        <v>0.3</v>
      </c>
      <c r="T413" s="16">
        <v>213.11500000000001</v>
      </c>
      <c r="U413" s="19">
        <v>-15.2225</v>
      </c>
      <c r="V413" s="56">
        <f>Table11[[#This Row],[Profit]]/Table11[[#This Row],[Sales]]</f>
        <v>-7.1428571428571425E-2</v>
      </c>
    </row>
    <row r="414" spans="1:22" x14ac:dyDescent="0.2">
      <c r="A414" s="2">
        <v>413</v>
      </c>
      <c r="B414" s="5" t="s">
        <v>5576</v>
      </c>
      <c r="C414" s="6">
        <v>42124</v>
      </c>
      <c r="D414" s="27">
        <f>MONTH(Table11[[#This Row],[Order Date]])</f>
        <v>4</v>
      </c>
      <c r="E414" s="5" t="s">
        <v>2189</v>
      </c>
      <c r="F414" s="5" t="s">
        <v>2190</v>
      </c>
      <c r="G414" s="24" t="s">
        <v>64</v>
      </c>
      <c r="H414" s="24" t="s">
        <v>65</v>
      </c>
      <c r="I414" s="5" t="s">
        <v>4134</v>
      </c>
      <c r="J414" s="24" t="s">
        <v>22</v>
      </c>
      <c r="K414" s="27">
        <v>5</v>
      </c>
      <c r="L414" s="6">
        <v>42126</v>
      </c>
      <c r="M414" s="27">
        <f>Table11[[#This Row],[Ship Date]]-Table11[[#This Row],[Order Date]]</f>
        <v>2</v>
      </c>
      <c r="N414" s="24" t="s">
        <v>20</v>
      </c>
      <c r="O414" s="24" t="s">
        <v>23</v>
      </c>
      <c r="P414" s="24" t="s">
        <v>441</v>
      </c>
      <c r="Q414" s="24" t="s">
        <v>133</v>
      </c>
      <c r="R414" s="24" t="s">
        <v>246</v>
      </c>
      <c r="S414" s="34">
        <v>0.4</v>
      </c>
      <c r="T414" s="15">
        <v>1022.97</v>
      </c>
      <c r="U414" s="18">
        <v>-255.74250000000001</v>
      </c>
      <c r="V414" s="56">
        <f>Table11[[#This Row],[Profit]]/Table11[[#This Row],[Sales]]</f>
        <v>-0.25</v>
      </c>
    </row>
    <row r="415" spans="1:22" x14ac:dyDescent="0.2">
      <c r="A415" s="4">
        <v>414</v>
      </c>
      <c r="B415" s="3" t="s">
        <v>8206</v>
      </c>
      <c r="C415" s="7">
        <v>42124</v>
      </c>
      <c r="D415" s="28">
        <f>MONTH(Table11[[#This Row],[Order Date]])</f>
        <v>4</v>
      </c>
      <c r="E415" s="3" t="s">
        <v>1162</v>
      </c>
      <c r="F415" s="3" t="s">
        <v>1163</v>
      </c>
      <c r="G415" s="25" t="s">
        <v>41</v>
      </c>
      <c r="H415" s="25" t="s">
        <v>61</v>
      </c>
      <c r="I415" s="3" t="s">
        <v>122</v>
      </c>
      <c r="J415" s="25" t="s">
        <v>36</v>
      </c>
      <c r="K415" s="28">
        <v>3</v>
      </c>
      <c r="L415" s="7">
        <v>42130</v>
      </c>
      <c r="M415" s="28">
        <f>Table11[[#This Row],[Ship Date]]-Table11[[#This Row],[Order Date]]</f>
        <v>6</v>
      </c>
      <c r="N415" s="25" t="s">
        <v>45</v>
      </c>
      <c r="O415" s="25" t="s">
        <v>23</v>
      </c>
      <c r="P415" s="25" t="s">
        <v>38</v>
      </c>
      <c r="Q415" s="25" t="s">
        <v>39</v>
      </c>
      <c r="R415" s="25" t="s">
        <v>114</v>
      </c>
      <c r="S415" s="35">
        <v>0</v>
      </c>
      <c r="T415" s="16">
        <v>34.65</v>
      </c>
      <c r="U415" s="19">
        <v>9.702</v>
      </c>
      <c r="V415" s="56">
        <f>Table11[[#This Row],[Profit]]/Table11[[#This Row],[Sales]]</f>
        <v>0.28000000000000003</v>
      </c>
    </row>
    <row r="416" spans="1:22" x14ac:dyDescent="0.2">
      <c r="A416" s="4">
        <v>415</v>
      </c>
      <c r="B416" s="5" t="s">
        <v>8206</v>
      </c>
      <c r="C416" s="6">
        <v>42124</v>
      </c>
      <c r="D416" s="27">
        <f>MONTH(Table11[[#This Row],[Order Date]])</f>
        <v>4</v>
      </c>
      <c r="E416" s="5" t="s">
        <v>1711</v>
      </c>
      <c r="F416" s="5" t="s">
        <v>1712</v>
      </c>
      <c r="G416" s="24" t="s">
        <v>64</v>
      </c>
      <c r="H416" s="24" t="s">
        <v>65</v>
      </c>
      <c r="I416" s="5" t="s">
        <v>122</v>
      </c>
      <c r="J416" s="24" t="s">
        <v>36</v>
      </c>
      <c r="K416" s="27">
        <v>5</v>
      </c>
      <c r="L416" s="6">
        <v>42130</v>
      </c>
      <c r="M416" s="27">
        <f>Table11[[#This Row],[Ship Date]]-Table11[[#This Row],[Order Date]]</f>
        <v>6</v>
      </c>
      <c r="N416" s="24" t="s">
        <v>45</v>
      </c>
      <c r="O416" s="24" t="s">
        <v>23</v>
      </c>
      <c r="P416" s="24" t="s">
        <v>38</v>
      </c>
      <c r="Q416" s="24" t="s">
        <v>39</v>
      </c>
      <c r="R416" s="24" t="s">
        <v>114</v>
      </c>
      <c r="S416" s="34">
        <v>0.2</v>
      </c>
      <c r="T416" s="15">
        <v>19.8</v>
      </c>
      <c r="U416" s="18">
        <v>1.7324999999999999</v>
      </c>
      <c r="V416" s="56">
        <f>Table11[[#This Row],[Profit]]/Table11[[#This Row],[Sales]]</f>
        <v>8.7499999999999994E-2</v>
      </c>
    </row>
    <row r="417" spans="1:22" x14ac:dyDescent="0.2">
      <c r="A417" s="2">
        <v>416</v>
      </c>
      <c r="B417" s="3" t="s">
        <v>9192</v>
      </c>
      <c r="C417" s="7">
        <v>42124</v>
      </c>
      <c r="D417" s="28">
        <f>MONTH(Table11[[#This Row],[Order Date]])</f>
        <v>4</v>
      </c>
      <c r="E417" s="3" t="s">
        <v>723</v>
      </c>
      <c r="F417" s="3" t="s">
        <v>724</v>
      </c>
      <c r="G417" s="25" t="s">
        <v>28</v>
      </c>
      <c r="H417" s="25" t="s">
        <v>58</v>
      </c>
      <c r="I417" s="3" t="s">
        <v>3535</v>
      </c>
      <c r="J417" s="25" t="s">
        <v>36</v>
      </c>
      <c r="K417" s="28">
        <v>5</v>
      </c>
      <c r="L417" s="7">
        <v>42128</v>
      </c>
      <c r="M417" s="28">
        <f>Table11[[#This Row],[Ship Date]]-Table11[[#This Row],[Order Date]]</f>
        <v>4</v>
      </c>
      <c r="N417" s="25" t="s">
        <v>45</v>
      </c>
      <c r="O417" s="25" t="s">
        <v>23</v>
      </c>
      <c r="P417" s="25" t="s">
        <v>1101</v>
      </c>
      <c r="Q417" s="25" t="s">
        <v>133</v>
      </c>
      <c r="R417" s="25" t="s">
        <v>1308</v>
      </c>
      <c r="S417" s="35">
        <v>0</v>
      </c>
      <c r="T417" s="16">
        <v>31.4</v>
      </c>
      <c r="U417" s="19">
        <v>13.188000000000001</v>
      </c>
      <c r="V417" s="56">
        <f>Table11[[#This Row],[Profit]]/Table11[[#This Row],[Sales]]</f>
        <v>0.42000000000000004</v>
      </c>
    </row>
    <row r="418" spans="1:22" x14ac:dyDescent="0.2">
      <c r="A418" s="4">
        <v>417</v>
      </c>
      <c r="B418" s="5" t="s">
        <v>9192</v>
      </c>
      <c r="C418" s="6">
        <v>42124</v>
      </c>
      <c r="D418" s="27">
        <f>MONTH(Table11[[#This Row],[Order Date]])</f>
        <v>4</v>
      </c>
      <c r="E418" s="5" t="s">
        <v>5490</v>
      </c>
      <c r="F418" s="5" t="s">
        <v>5491</v>
      </c>
      <c r="G418" s="24" t="s">
        <v>28</v>
      </c>
      <c r="H418" s="24" t="s">
        <v>58</v>
      </c>
      <c r="I418" s="5" t="s">
        <v>3535</v>
      </c>
      <c r="J418" s="24" t="s">
        <v>36</v>
      </c>
      <c r="K418" s="27">
        <v>1</v>
      </c>
      <c r="L418" s="6">
        <v>42128</v>
      </c>
      <c r="M418" s="27">
        <f>Table11[[#This Row],[Ship Date]]-Table11[[#This Row],[Order Date]]</f>
        <v>4</v>
      </c>
      <c r="N418" s="24" t="s">
        <v>45</v>
      </c>
      <c r="O418" s="24" t="s">
        <v>23</v>
      </c>
      <c r="P418" s="24" t="s">
        <v>1101</v>
      </c>
      <c r="Q418" s="24" t="s">
        <v>133</v>
      </c>
      <c r="R418" s="24" t="s">
        <v>1308</v>
      </c>
      <c r="S418" s="34">
        <v>0</v>
      </c>
      <c r="T418" s="15">
        <v>9.48</v>
      </c>
      <c r="U418" s="18">
        <v>3.7919999999999998</v>
      </c>
      <c r="V418" s="56">
        <f>Table11[[#This Row],[Profit]]/Table11[[#This Row],[Sales]]</f>
        <v>0.39999999999999997</v>
      </c>
    </row>
    <row r="419" spans="1:22" x14ac:dyDescent="0.2">
      <c r="A419" s="4">
        <v>418</v>
      </c>
      <c r="B419" s="3" t="s">
        <v>9192</v>
      </c>
      <c r="C419" s="7">
        <v>42124</v>
      </c>
      <c r="D419" s="28">
        <f>MONTH(Table11[[#This Row],[Order Date]])</f>
        <v>4</v>
      </c>
      <c r="E419" s="3" t="s">
        <v>3547</v>
      </c>
      <c r="F419" s="3" t="s">
        <v>3548</v>
      </c>
      <c r="G419" s="25" t="s">
        <v>64</v>
      </c>
      <c r="H419" s="25" t="s">
        <v>65</v>
      </c>
      <c r="I419" s="3" t="s">
        <v>3535</v>
      </c>
      <c r="J419" s="25" t="s">
        <v>36</v>
      </c>
      <c r="K419" s="28">
        <v>10</v>
      </c>
      <c r="L419" s="7">
        <v>42128</v>
      </c>
      <c r="M419" s="28">
        <f>Table11[[#This Row],[Ship Date]]-Table11[[#This Row],[Order Date]]</f>
        <v>4</v>
      </c>
      <c r="N419" s="25" t="s">
        <v>45</v>
      </c>
      <c r="O419" s="25" t="s">
        <v>23</v>
      </c>
      <c r="P419" s="25" t="s">
        <v>1101</v>
      </c>
      <c r="Q419" s="25" t="s">
        <v>133</v>
      </c>
      <c r="R419" s="25" t="s">
        <v>1308</v>
      </c>
      <c r="S419" s="35">
        <v>0</v>
      </c>
      <c r="T419" s="16">
        <v>209.5</v>
      </c>
      <c r="U419" s="19">
        <v>58.66</v>
      </c>
      <c r="V419" s="56">
        <f>Table11[[#This Row],[Profit]]/Table11[[#This Row],[Sales]]</f>
        <v>0.27999999999999997</v>
      </c>
    </row>
    <row r="420" spans="1:22" x14ac:dyDescent="0.2">
      <c r="A420" s="2">
        <v>419</v>
      </c>
      <c r="B420" s="5" t="s">
        <v>9192</v>
      </c>
      <c r="C420" s="6">
        <v>42124</v>
      </c>
      <c r="D420" s="27">
        <f>MONTH(Table11[[#This Row],[Order Date]])</f>
        <v>4</v>
      </c>
      <c r="E420" s="5" t="s">
        <v>7249</v>
      </c>
      <c r="F420" s="5" t="s">
        <v>7250</v>
      </c>
      <c r="G420" s="24" t="s">
        <v>28</v>
      </c>
      <c r="H420" s="24" t="s">
        <v>58</v>
      </c>
      <c r="I420" s="5" t="s">
        <v>3535</v>
      </c>
      <c r="J420" s="24" t="s">
        <v>36</v>
      </c>
      <c r="K420" s="27">
        <v>5</v>
      </c>
      <c r="L420" s="6">
        <v>42128</v>
      </c>
      <c r="M420" s="27">
        <f>Table11[[#This Row],[Ship Date]]-Table11[[#This Row],[Order Date]]</f>
        <v>4</v>
      </c>
      <c r="N420" s="24" t="s">
        <v>45</v>
      </c>
      <c r="O420" s="24" t="s">
        <v>23</v>
      </c>
      <c r="P420" s="24" t="s">
        <v>1101</v>
      </c>
      <c r="Q420" s="24" t="s">
        <v>133</v>
      </c>
      <c r="R420" s="24" t="s">
        <v>1308</v>
      </c>
      <c r="S420" s="34">
        <v>0</v>
      </c>
      <c r="T420" s="15">
        <v>24.3</v>
      </c>
      <c r="U420" s="18">
        <v>10.449</v>
      </c>
      <c r="V420" s="56">
        <f>Table11[[#This Row],[Profit]]/Table11[[#This Row],[Sales]]</f>
        <v>0.43</v>
      </c>
    </row>
    <row r="421" spans="1:22" x14ac:dyDescent="0.2">
      <c r="A421" s="4">
        <v>420</v>
      </c>
      <c r="B421" s="3" t="s">
        <v>9192</v>
      </c>
      <c r="C421" s="7">
        <v>42124</v>
      </c>
      <c r="D421" s="28">
        <f>MONTH(Table11[[#This Row],[Order Date]])</f>
        <v>4</v>
      </c>
      <c r="E421" s="3" t="s">
        <v>3780</v>
      </c>
      <c r="F421" s="3" t="s">
        <v>3781</v>
      </c>
      <c r="G421" s="25" t="s">
        <v>41</v>
      </c>
      <c r="H421" s="25" t="s">
        <v>82</v>
      </c>
      <c r="I421" s="3" t="s">
        <v>3535</v>
      </c>
      <c r="J421" s="25" t="s">
        <v>36</v>
      </c>
      <c r="K421" s="28">
        <v>1</v>
      </c>
      <c r="L421" s="7">
        <v>42128</v>
      </c>
      <c r="M421" s="28">
        <f>Table11[[#This Row],[Ship Date]]-Table11[[#This Row],[Order Date]]</f>
        <v>4</v>
      </c>
      <c r="N421" s="25" t="s">
        <v>45</v>
      </c>
      <c r="O421" s="25" t="s">
        <v>23</v>
      </c>
      <c r="P421" s="25" t="s">
        <v>1101</v>
      </c>
      <c r="Q421" s="25" t="s">
        <v>133</v>
      </c>
      <c r="R421" s="25" t="s">
        <v>1308</v>
      </c>
      <c r="S421" s="35">
        <v>0</v>
      </c>
      <c r="T421" s="16">
        <v>6.48</v>
      </c>
      <c r="U421" s="19">
        <v>3.1103999999999998</v>
      </c>
      <c r="V421" s="56">
        <f>Table11[[#This Row],[Profit]]/Table11[[#This Row],[Sales]]</f>
        <v>0.47999999999999993</v>
      </c>
    </row>
    <row r="422" spans="1:22" x14ac:dyDescent="0.2">
      <c r="A422" s="4">
        <v>421</v>
      </c>
      <c r="B422" s="5" t="s">
        <v>3439</v>
      </c>
      <c r="C422" s="6">
        <v>42125</v>
      </c>
      <c r="D422" s="27">
        <f>MONTH(Table11[[#This Row],[Order Date]])</f>
        <v>5</v>
      </c>
      <c r="E422" s="5" t="s">
        <v>3440</v>
      </c>
      <c r="F422" s="5" t="s">
        <v>3441</v>
      </c>
      <c r="G422" s="24" t="s">
        <v>64</v>
      </c>
      <c r="H422" s="24" t="s">
        <v>65</v>
      </c>
      <c r="I422" s="5" t="s">
        <v>623</v>
      </c>
      <c r="J422" s="24" t="s">
        <v>36</v>
      </c>
      <c r="K422" s="27">
        <v>3</v>
      </c>
      <c r="L422" s="6">
        <v>42131</v>
      </c>
      <c r="M422" s="27">
        <f>Table11[[#This Row],[Ship Date]]-Table11[[#This Row],[Order Date]]</f>
        <v>6</v>
      </c>
      <c r="N422" s="24" t="s">
        <v>45</v>
      </c>
      <c r="O422" s="24" t="s">
        <v>23</v>
      </c>
      <c r="P422" s="24" t="s">
        <v>38</v>
      </c>
      <c r="Q422" s="24" t="s">
        <v>39</v>
      </c>
      <c r="R422" s="24" t="s">
        <v>37</v>
      </c>
      <c r="S422" s="34">
        <v>0.2</v>
      </c>
      <c r="T422" s="15">
        <v>88.751999999999995</v>
      </c>
      <c r="U422" s="18">
        <v>11.093999999999999</v>
      </c>
      <c r="V422" s="56">
        <f>Table11[[#This Row],[Profit]]/Table11[[#This Row],[Sales]]</f>
        <v>0.125</v>
      </c>
    </row>
    <row r="423" spans="1:22" x14ac:dyDescent="0.2">
      <c r="A423" s="2">
        <v>422</v>
      </c>
      <c r="B423" s="3" t="s">
        <v>6405</v>
      </c>
      <c r="C423" s="7">
        <v>42125</v>
      </c>
      <c r="D423" s="28">
        <f>MONTH(Table11[[#This Row],[Order Date]])</f>
        <v>5</v>
      </c>
      <c r="E423" s="3" t="s">
        <v>2581</v>
      </c>
      <c r="F423" s="3" t="s">
        <v>2582</v>
      </c>
      <c r="G423" s="25" t="s">
        <v>28</v>
      </c>
      <c r="H423" s="25" t="s">
        <v>58</v>
      </c>
      <c r="I423" s="3" t="s">
        <v>803</v>
      </c>
      <c r="J423" s="25" t="s">
        <v>36</v>
      </c>
      <c r="K423" s="28">
        <v>3</v>
      </c>
      <c r="L423" s="7">
        <v>42129</v>
      </c>
      <c r="M423" s="28">
        <f>Table11[[#This Row],[Ship Date]]-Table11[[#This Row],[Order Date]]</f>
        <v>4</v>
      </c>
      <c r="N423" s="25" t="s">
        <v>45</v>
      </c>
      <c r="O423" s="25" t="s">
        <v>23</v>
      </c>
      <c r="P423" s="25" t="s">
        <v>48</v>
      </c>
      <c r="Q423" s="25" t="s">
        <v>26</v>
      </c>
      <c r="R423" s="25" t="s">
        <v>793</v>
      </c>
      <c r="S423" s="35">
        <v>0.2</v>
      </c>
      <c r="T423" s="16">
        <v>63.552</v>
      </c>
      <c r="U423" s="19">
        <v>14.299200000000001</v>
      </c>
      <c r="V423" s="56">
        <f>Table11[[#This Row],[Profit]]/Table11[[#This Row],[Sales]]</f>
        <v>0.22500000000000001</v>
      </c>
    </row>
    <row r="424" spans="1:22" x14ac:dyDescent="0.2">
      <c r="A424" s="4">
        <v>423</v>
      </c>
      <c r="B424" s="5" t="s">
        <v>6405</v>
      </c>
      <c r="C424" s="6">
        <v>42125</v>
      </c>
      <c r="D424" s="27">
        <f>MONTH(Table11[[#This Row],[Order Date]])</f>
        <v>5</v>
      </c>
      <c r="E424" s="5" t="s">
        <v>2089</v>
      </c>
      <c r="F424" s="5" t="s">
        <v>2090</v>
      </c>
      <c r="G424" s="24" t="s">
        <v>41</v>
      </c>
      <c r="H424" s="24" t="s">
        <v>513</v>
      </c>
      <c r="I424" s="5" t="s">
        <v>803</v>
      </c>
      <c r="J424" s="24" t="s">
        <v>36</v>
      </c>
      <c r="K424" s="27">
        <v>3</v>
      </c>
      <c r="L424" s="6">
        <v>42129</v>
      </c>
      <c r="M424" s="27">
        <f>Table11[[#This Row],[Ship Date]]-Table11[[#This Row],[Order Date]]</f>
        <v>4</v>
      </c>
      <c r="N424" s="24" t="s">
        <v>45</v>
      </c>
      <c r="O424" s="24" t="s">
        <v>23</v>
      </c>
      <c r="P424" s="24" t="s">
        <v>48</v>
      </c>
      <c r="Q424" s="24" t="s">
        <v>26</v>
      </c>
      <c r="R424" s="24" t="s">
        <v>793</v>
      </c>
      <c r="S424" s="34">
        <v>0.2</v>
      </c>
      <c r="T424" s="15">
        <v>41.375999999999998</v>
      </c>
      <c r="U424" s="18">
        <v>4.6547999999999998</v>
      </c>
      <c r="V424" s="56">
        <f>Table11[[#This Row],[Profit]]/Table11[[#This Row],[Sales]]</f>
        <v>0.1125</v>
      </c>
    </row>
    <row r="425" spans="1:22" x14ac:dyDescent="0.2">
      <c r="A425" s="4">
        <v>424</v>
      </c>
      <c r="B425" s="3" t="s">
        <v>6405</v>
      </c>
      <c r="C425" s="7">
        <v>42125</v>
      </c>
      <c r="D425" s="28">
        <f>MONTH(Table11[[#This Row],[Order Date]])</f>
        <v>5</v>
      </c>
      <c r="E425" s="3" t="s">
        <v>3137</v>
      </c>
      <c r="F425" s="3" t="s">
        <v>3138</v>
      </c>
      <c r="G425" s="25" t="s">
        <v>41</v>
      </c>
      <c r="H425" s="25" t="s">
        <v>61</v>
      </c>
      <c r="I425" s="3" t="s">
        <v>803</v>
      </c>
      <c r="J425" s="25" t="s">
        <v>36</v>
      </c>
      <c r="K425" s="28">
        <v>6</v>
      </c>
      <c r="L425" s="7">
        <v>42129</v>
      </c>
      <c r="M425" s="28">
        <f>Table11[[#This Row],[Ship Date]]-Table11[[#This Row],[Order Date]]</f>
        <v>4</v>
      </c>
      <c r="N425" s="25" t="s">
        <v>45</v>
      </c>
      <c r="O425" s="25" t="s">
        <v>23</v>
      </c>
      <c r="P425" s="25" t="s">
        <v>48</v>
      </c>
      <c r="Q425" s="25" t="s">
        <v>26</v>
      </c>
      <c r="R425" s="25" t="s">
        <v>793</v>
      </c>
      <c r="S425" s="35">
        <v>0.2</v>
      </c>
      <c r="T425" s="16">
        <v>172.70400000000001</v>
      </c>
      <c r="U425" s="19">
        <v>10.794</v>
      </c>
      <c r="V425" s="56">
        <f>Table11[[#This Row],[Profit]]/Table11[[#This Row],[Sales]]</f>
        <v>6.25E-2</v>
      </c>
    </row>
    <row r="426" spans="1:22" x14ac:dyDescent="0.2">
      <c r="A426" s="2">
        <v>425</v>
      </c>
      <c r="B426" s="5" t="s">
        <v>8071</v>
      </c>
      <c r="C426" s="6">
        <v>42125</v>
      </c>
      <c r="D426" s="27">
        <f>MONTH(Table11[[#This Row],[Order Date]])</f>
        <v>5</v>
      </c>
      <c r="E426" s="5" t="s">
        <v>1181</v>
      </c>
      <c r="F426" s="5" t="s">
        <v>1182</v>
      </c>
      <c r="G426" s="24" t="s">
        <v>41</v>
      </c>
      <c r="H426" s="24" t="s">
        <v>68</v>
      </c>
      <c r="I426" s="5" t="s">
        <v>1051</v>
      </c>
      <c r="J426" s="24" t="s">
        <v>22</v>
      </c>
      <c r="K426" s="27">
        <v>1</v>
      </c>
      <c r="L426" s="6">
        <v>42130</v>
      </c>
      <c r="M426" s="27">
        <f>Table11[[#This Row],[Ship Date]]-Table11[[#This Row],[Order Date]]</f>
        <v>5</v>
      </c>
      <c r="N426" s="24" t="s">
        <v>45</v>
      </c>
      <c r="O426" s="24" t="s">
        <v>23</v>
      </c>
      <c r="P426" s="24" t="s">
        <v>38</v>
      </c>
      <c r="Q426" s="24" t="s">
        <v>39</v>
      </c>
      <c r="R426" s="24" t="s">
        <v>114</v>
      </c>
      <c r="S426" s="34">
        <v>0.2</v>
      </c>
      <c r="T426" s="15">
        <v>12.176</v>
      </c>
      <c r="U426" s="18">
        <v>4.4138000000000002</v>
      </c>
      <c r="V426" s="56">
        <f>Table11[[#This Row],[Profit]]/Table11[[#This Row],[Sales]]</f>
        <v>0.36249999999999999</v>
      </c>
    </row>
    <row r="427" spans="1:22" x14ac:dyDescent="0.2">
      <c r="A427" s="4">
        <v>426</v>
      </c>
      <c r="B427" s="3" t="s">
        <v>8071</v>
      </c>
      <c r="C427" s="7">
        <v>42125</v>
      </c>
      <c r="D427" s="28">
        <f>MONTH(Table11[[#This Row],[Order Date]])</f>
        <v>5</v>
      </c>
      <c r="E427" s="3" t="s">
        <v>916</v>
      </c>
      <c r="F427" s="3" t="s">
        <v>917</v>
      </c>
      <c r="G427" s="25" t="s">
        <v>41</v>
      </c>
      <c r="H427" s="25" t="s">
        <v>53</v>
      </c>
      <c r="I427" s="3" t="s">
        <v>1051</v>
      </c>
      <c r="J427" s="25" t="s">
        <v>22</v>
      </c>
      <c r="K427" s="28">
        <v>3</v>
      </c>
      <c r="L427" s="7">
        <v>42130</v>
      </c>
      <c r="M427" s="28">
        <f>Table11[[#This Row],[Ship Date]]-Table11[[#This Row],[Order Date]]</f>
        <v>5</v>
      </c>
      <c r="N427" s="25" t="s">
        <v>45</v>
      </c>
      <c r="O427" s="25" t="s">
        <v>23</v>
      </c>
      <c r="P427" s="25" t="s">
        <v>38</v>
      </c>
      <c r="Q427" s="25" t="s">
        <v>39</v>
      </c>
      <c r="R427" s="25" t="s">
        <v>114</v>
      </c>
      <c r="S427" s="35">
        <v>0</v>
      </c>
      <c r="T427" s="16">
        <v>37.32</v>
      </c>
      <c r="U427" s="19">
        <v>10.4496</v>
      </c>
      <c r="V427" s="56">
        <f>Table11[[#This Row],[Profit]]/Table11[[#This Row],[Sales]]</f>
        <v>0.28000000000000003</v>
      </c>
    </row>
    <row r="428" spans="1:22" x14ac:dyDescent="0.2">
      <c r="A428" s="4">
        <v>427</v>
      </c>
      <c r="B428" s="5" t="s">
        <v>8071</v>
      </c>
      <c r="C428" s="6">
        <v>42125</v>
      </c>
      <c r="D428" s="27">
        <f>MONTH(Table11[[#This Row],[Order Date]])</f>
        <v>5</v>
      </c>
      <c r="E428" s="5" t="s">
        <v>1241</v>
      </c>
      <c r="F428" s="5" t="s">
        <v>1242</v>
      </c>
      <c r="G428" s="24" t="s">
        <v>41</v>
      </c>
      <c r="H428" s="24" t="s">
        <v>513</v>
      </c>
      <c r="I428" s="5" t="s">
        <v>1051</v>
      </c>
      <c r="J428" s="24" t="s">
        <v>22</v>
      </c>
      <c r="K428" s="27">
        <v>2</v>
      </c>
      <c r="L428" s="6">
        <v>42130</v>
      </c>
      <c r="M428" s="27">
        <f>Table11[[#This Row],[Ship Date]]-Table11[[#This Row],[Order Date]]</f>
        <v>5</v>
      </c>
      <c r="N428" s="24" t="s">
        <v>45</v>
      </c>
      <c r="O428" s="24" t="s">
        <v>23</v>
      </c>
      <c r="P428" s="24" t="s">
        <v>38</v>
      </c>
      <c r="Q428" s="24" t="s">
        <v>39</v>
      </c>
      <c r="R428" s="24" t="s">
        <v>114</v>
      </c>
      <c r="S428" s="34">
        <v>0</v>
      </c>
      <c r="T428" s="15">
        <v>35.06</v>
      </c>
      <c r="U428" s="18">
        <v>10.518000000000001</v>
      </c>
      <c r="V428" s="56">
        <f>Table11[[#This Row],[Profit]]/Table11[[#This Row],[Sales]]</f>
        <v>0.3</v>
      </c>
    </row>
    <row r="429" spans="1:22" x14ac:dyDescent="0.2">
      <c r="A429" s="2">
        <v>428</v>
      </c>
      <c r="B429" s="3" t="s">
        <v>6494</v>
      </c>
      <c r="C429" s="7">
        <v>42126</v>
      </c>
      <c r="D429" s="28">
        <f>MONTH(Table11[[#This Row],[Order Date]])</f>
        <v>5</v>
      </c>
      <c r="E429" s="3" t="s">
        <v>4030</v>
      </c>
      <c r="F429" s="3" t="s">
        <v>4031</v>
      </c>
      <c r="G429" s="25" t="s">
        <v>41</v>
      </c>
      <c r="H429" s="25" t="s">
        <v>42</v>
      </c>
      <c r="I429" s="3" t="s">
        <v>4114</v>
      </c>
      <c r="J429" s="25" t="s">
        <v>36</v>
      </c>
      <c r="K429" s="28">
        <v>3</v>
      </c>
      <c r="L429" s="7">
        <v>42131</v>
      </c>
      <c r="M429" s="28">
        <f>Table11[[#This Row],[Ship Date]]-Table11[[#This Row],[Order Date]]</f>
        <v>5</v>
      </c>
      <c r="N429" s="25" t="s">
        <v>45</v>
      </c>
      <c r="O429" s="25" t="s">
        <v>23</v>
      </c>
      <c r="P429" s="25" t="s">
        <v>94</v>
      </c>
      <c r="Q429" s="25" t="s">
        <v>95</v>
      </c>
      <c r="R429" s="25" t="s">
        <v>165</v>
      </c>
      <c r="S429" s="35">
        <v>0.2</v>
      </c>
      <c r="T429" s="16">
        <v>8.8559999999999999</v>
      </c>
      <c r="U429" s="19">
        <v>2.9889000000000001</v>
      </c>
      <c r="V429" s="56">
        <f>Table11[[#This Row],[Profit]]/Table11[[#This Row],[Sales]]</f>
        <v>0.33750000000000002</v>
      </c>
    </row>
    <row r="430" spans="1:22" x14ac:dyDescent="0.2">
      <c r="A430" s="4">
        <v>429</v>
      </c>
      <c r="B430" s="5" t="s">
        <v>6494</v>
      </c>
      <c r="C430" s="6">
        <v>42126</v>
      </c>
      <c r="D430" s="27">
        <f>MONTH(Table11[[#This Row],[Order Date]])</f>
        <v>5</v>
      </c>
      <c r="E430" s="5" t="s">
        <v>3399</v>
      </c>
      <c r="F430" s="5" t="s">
        <v>3400</v>
      </c>
      <c r="G430" s="24" t="s">
        <v>64</v>
      </c>
      <c r="H430" s="24" t="s">
        <v>65</v>
      </c>
      <c r="I430" s="5" t="s">
        <v>4114</v>
      </c>
      <c r="J430" s="24" t="s">
        <v>36</v>
      </c>
      <c r="K430" s="27">
        <v>3</v>
      </c>
      <c r="L430" s="6">
        <v>42131</v>
      </c>
      <c r="M430" s="27">
        <f>Table11[[#This Row],[Ship Date]]-Table11[[#This Row],[Order Date]]</f>
        <v>5</v>
      </c>
      <c r="N430" s="24" t="s">
        <v>45</v>
      </c>
      <c r="O430" s="24" t="s">
        <v>23</v>
      </c>
      <c r="P430" s="24" t="s">
        <v>94</v>
      </c>
      <c r="Q430" s="24" t="s">
        <v>95</v>
      </c>
      <c r="R430" s="24" t="s">
        <v>165</v>
      </c>
      <c r="S430" s="34">
        <v>0.2</v>
      </c>
      <c r="T430" s="15">
        <v>158.376</v>
      </c>
      <c r="U430" s="18">
        <v>13.857900000000001</v>
      </c>
      <c r="V430" s="56">
        <f>Table11[[#This Row],[Profit]]/Table11[[#This Row],[Sales]]</f>
        <v>8.7500000000000008E-2</v>
      </c>
    </row>
    <row r="431" spans="1:22" x14ac:dyDescent="0.2">
      <c r="A431" s="4">
        <v>430</v>
      </c>
      <c r="B431" s="3" t="s">
        <v>6208</v>
      </c>
      <c r="C431" s="7">
        <v>42127</v>
      </c>
      <c r="D431" s="28">
        <f>MONTH(Table11[[#This Row],[Order Date]])</f>
        <v>5</v>
      </c>
      <c r="E431" s="3" t="s">
        <v>4795</v>
      </c>
      <c r="F431" s="3" t="s">
        <v>4796</v>
      </c>
      <c r="G431" s="25" t="s">
        <v>28</v>
      </c>
      <c r="H431" s="25" t="s">
        <v>58</v>
      </c>
      <c r="I431" s="3" t="s">
        <v>5511</v>
      </c>
      <c r="J431" s="25" t="s">
        <v>92</v>
      </c>
      <c r="K431" s="28">
        <v>6</v>
      </c>
      <c r="L431" s="7">
        <v>42132</v>
      </c>
      <c r="M431" s="28">
        <f>Table11[[#This Row],[Ship Date]]-Table11[[#This Row],[Order Date]]</f>
        <v>5</v>
      </c>
      <c r="N431" s="25" t="s">
        <v>45</v>
      </c>
      <c r="O431" s="25" t="s">
        <v>23</v>
      </c>
      <c r="P431" s="25" t="s">
        <v>38</v>
      </c>
      <c r="Q431" s="25" t="s">
        <v>39</v>
      </c>
      <c r="R431" s="25" t="s">
        <v>6209</v>
      </c>
      <c r="S431" s="35">
        <v>0</v>
      </c>
      <c r="T431" s="16">
        <v>665.88</v>
      </c>
      <c r="U431" s="19">
        <v>106.5408</v>
      </c>
      <c r="V431" s="56">
        <f>Table11[[#This Row],[Profit]]/Table11[[#This Row],[Sales]]</f>
        <v>0.16</v>
      </c>
    </row>
    <row r="432" spans="1:22" x14ac:dyDescent="0.2">
      <c r="A432" s="2">
        <v>431</v>
      </c>
      <c r="B432" s="5" t="s">
        <v>6937</v>
      </c>
      <c r="C432" s="6">
        <v>42127</v>
      </c>
      <c r="D432" s="27">
        <f>MONTH(Table11[[#This Row],[Order Date]])</f>
        <v>5</v>
      </c>
      <c r="E432" s="5" t="s">
        <v>2497</v>
      </c>
      <c r="F432" s="5" t="s">
        <v>2498</v>
      </c>
      <c r="G432" s="24" t="s">
        <v>41</v>
      </c>
      <c r="H432" s="24" t="s">
        <v>61</v>
      </c>
      <c r="I432" s="5" t="s">
        <v>5168</v>
      </c>
      <c r="J432" s="24" t="s">
        <v>22</v>
      </c>
      <c r="K432" s="27">
        <v>2</v>
      </c>
      <c r="L432" s="6">
        <v>42131</v>
      </c>
      <c r="M432" s="27">
        <f>Table11[[#This Row],[Ship Date]]-Table11[[#This Row],[Order Date]]</f>
        <v>4</v>
      </c>
      <c r="N432" s="24" t="s">
        <v>45</v>
      </c>
      <c r="O432" s="24" t="s">
        <v>23</v>
      </c>
      <c r="P432" s="24" t="s">
        <v>132</v>
      </c>
      <c r="Q432" s="24" t="s">
        <v>133</v>
      </c>
      <c r="R432" s="24" t="s">
        <v>131</v>
      </c>
      <c r="S432" s="34">
        <v>0.2</v>
      </c>
      <c r="T432" s="15">
        <v>59.904000000000003</v>
      </c>
      <c r="U432" s="18">
        <v>14.2272</v>
      </c>
      <c r="V432" s="56">
        <f>Table11[[#This Row],[Profit]]/Table11[[#This Row],[Sales]]</f>
        <v>0.23749999999999999</v>
      </c>
    </row>
    <row r="433" spans="1:22" x14ac:dyDescent="0.2">
      <c r="A433" s="4">
        <v>432</v>
      </c>
      <c r="B433" s="3" t="s">
        <v>6937</v>
      </c>
      <c r="C433" s="7">
        <v>42127</v>
      </c>
      <c r="D433" s="28">
        <f>MONTH(Table11[[#This Row],[Order Date]])</f>
        <v>5</v>
      </c>
      <c r="E433" s="3" t="s">
        <v>2283</v>
      </c>
      <c r="F433" s="3" t="s">
        <v>2284</v>
      </c>
      <c r="G433" s="25" t="s">
        <v>41</v>
      </c>
      <c r="H433" s="25" t="s">
        <v>71</v>
      </c>
      <c r="I433" s="3" t="s">
        <v>5168</v>
      </c>
      <c r="J433" s="25" t="s">
        <v>22</v>
      </c>
      <c r="K433" s="28">
        <v>2</v>
      </c>
      <c r="L433" s="7">
        <v>42131</v>
      </c>
      <c r="M433" s="28">
        <f>Table11[[#This Row],[Ship Date]]-Table11[[#This Row],[Order Date]]</f>
        <v>4</v>
      </c>
      <c r="N433" s="25" t="s">
        <v>45</v>
      </c>
      <c r="O433" s="25" t="s">
        <v>23</v>
      </c>
      <c r="P433" s="25" t="s">
        <v>132</v>
      </c>
      <c r="Q433" s="25" t="s">
        <v>133</v>
      </c>
      <c r="R433" s="25" t="s">
        <v>131</v>
      </c>
      <c r="S433" s="35">
        <v>0.2</v>
      </c>
      <c r="T433" s="16">
        <v>23.696000000000002</v>
      </c>
      <c r="U433" s="19">
        <v>6.5164</v>
      </c>
      <c r="V433" s="56">
        <f>Table11[[#This Row],[Profit]]/Table11[[#This Row],[Sales]]</f>
        <v>0.27499999999999997</v>
      </c>
    </row>
    <row r="434" spans="1:22" x14ac:dyDescent="0.2">
      <c r="A434" s="4">
        <v>433</v>
      </c>
      <c r="B434" s="5" t="s">
        <v>6937</v>
      </c>
      <c r="C434" s="6">
        <v>42127</v>
      </c>
      <c r="D434" s="27">
        <f>MONTH(Table11[[#This Row],[Order Date]])</f>
        <v>5</v>
      </c>
      <c r="E434" s="5" t="s">
        <v>1356</v>
      </c>
      <c r="F434" s="5" t="s">
        <v>1357</v>
      </c>
      <c r="G434" s="24" t="s">
        <v>41</v>
      </c>
      <c r="H434" s="24" t="s">
        <v>82</v>
      </c>
      <c r="I434" s="5" t="s">
        <v>5168</v>
      </c>
      <c r="J434" s="24" t="s">
        <v>22</v>
      </c>
      <c r="K434" s="27">
        <v>2</v>
      </c>
      <c r="L434" s="6">
        <v>42131</v>
      </c>
      <c r="M434" s="27">
        <f>Table11[[#This Row],[Ship Date]]-Table11[[#This Row],[Order Date]]</f>
        <v>4</v>
      </c>
      <c r="N434" s="24" t="s">
        <v>45</v>
      </c>
      <c r="O434" s="24" t="s">
        <v>23</v>
      </c>
      <c r="P434" s="24" t="s">
        <v>132</v>
      </c>
      <c r="Q434" s="24" t="s">
        <v>133</v>
      </c>
      <c r="R434" s="24" t="s">
        <v>131</v>
      </c>
      <c r="S434" s="34">
        <v>0.2</v>
      </c>
      <c r="T434" s="15">
        <v>7.968</v>
      </c>
      <c r="U434" s="18">
        <v>2.8883999999999999</v>
      </c>
      <c r="V434" s="56">
        <f>Table11[[#This Row],[Profit]]/Table11[[#This Row],[Sales]]</f>
        <v>0.36249999999999999</v>
      </c>
    </row>
    <row r="435" spans="1:22" x14ac:dyDescent="0.2">
      <c r="A435" s="2">
        <v>434</v>
      </c>
      <c r="B435" s="3" t="s">
        <v>6937</v>
      </c>
      <c r="C435" s="7">
        <v>42127</v>
      </c>
      <c r="D435" s="28">
        <f>MONTH(Table11[[#This Row],[Order Date]])</f>
        <v>5</v>
      </c>
      <c r="E435" s="3" t="s">
        <v>714</v>
      </c>
      <c r="F435" s="3" t="s">
        <v>715</v>
      </c>
      <c r="G435" s="25" t="s">
        <v>41</v>
      </c>
      <c r="H435" s="25" t="s">
        <v>71</v>
      </c>
      <c r="I435" s="3" t="s">
        <v>5168</v>
      </c>
      <c r="J435" s="25" t="s">
        <v>22</v>
      </c>
      <c r="K435" s="28">
        <v>7</v>
      </c>
      <c r="L435" s="7">
        <v>42131</v>
      </c>
      <c r="M435" s="28">
        <f>Table11[[#This Row],[Ship Date]]-Table11[[#This Row],[Order Date]]</f>
        <v>4</v>
      </c>
      <c r="N435" s="25" t="s">
        <v>45</v>
      </c>
      <c r="O435" s="25" t="s">
        <v>23</v>
      </c>
      <c r="P435" s="25" t="s">
        <v>132</v>
      </c>
      <c r="Q435" s="25" t="s">
        <v>133</v>
      </c>
      <c r="R435" s="25" t="s">
        <v>131</v>
      </c>
      <c r="S435" s="35">
        <v>0.2</v>
      </c>
      <c r="T435" s="16">
        <v>18.2</v>
      </c>
      <c r="U435" s="19">
        <v>2.0474999999999999</v>
      </c>
      <c r="V435" s="56">
        <f>Table11[[#This Row],[Profit]]/Table11[[#This Row],[Sales]]</f>
        <v>0.1125</v>
      </c>
    </row>
    <row r="436" spans="1:22" x14ac:dyDescent="0.2">
      <c r="A436" s="4">
        <v>435</v>
      </c>
      <c r="B436" s="5" t="s">
        <v>6937</v>
      </c>
      <c r="C436" s="6">
        <v>42127</v>
      </c>
      <c r="D436" s="27">
        <f>MONTH(Table11[[#This Row],[Order Date]])</f>
        <v>5</v>
      </c>
      <c r="E436" s="5" t="s">
        <v>6938</v>
      </c>
      <c r="F436" s="5" t="s">
        <v>6939</v>
      </c>
      <c r="G436" s="24" t="s">
        <v>64</v>
      </c>
      <c r="H436" s="24" t="s">
        <v>144</v>
      </c>
      <c r="I436" s="5" t="s">
        <v>5168</v>
      </c>
      <c r="J436" s="24" t="s">
        <v>22</v>
      </c>
      <c r="K436" s="27">
        <v>3</v>
      </c>
      <c r="L436" s="6">
        <v>42131</v>
      </c>
      <c r="M436" s="27">
        <f>Table11[[#This Row],[Ship Date]]-Table11[[#This Row],[Order Date]]</f>
        <v>4</v>
      </c>
      <c r="N436" s="24" t="s">
        <v>45</v>
      </c>
      <c r="O436" s="24" t="s">
        <v>23</v>
      </c>
      <c r="P436" s="24" t="s">
        <v>132</v>
      </c>
      <c r="Q436" s="24" t="s">
        <v>133</v>
      </c>
      <c r="R436" s="24" t="s">
        <v>131</v>
      </c>
      <c r="S436" s="34">
        <v>0.2</v>
      </c>
      <c r="T436" s="15">
        <v>27.552</v>
      </c>
      <c r="U436" s="18">
        <v>-0.34439999999999998</v>
      </c>
      <c r="V436" s="56">
        <f>Table11[[#This Row],[Profit]]/Table11[[#This Row],[Sales]]</f>
        <v>-1.2499999999999999E-2</v>
      </c>
    </row>
    <row r="437" spans="1:22" x14ac:dyDescent="0.2">
      <c r="A437" s="4">
        <v>436</v>
      </c>
      <c r="B437" s="3" t="s">
        <v>6937</v>
      </c>
      <c r="C437" s="7">
        <v>42127</v>
      </c>
      <c r="D437" s="28">
        <f>MONTH(Table11[[#This Row],[Order Date]])</f>
        <v>5</v>
      </c>
      <c r="E437" s="3" t="s">
        <v>832</v>
      </c>
      <c r="F437" s="3" t="s">
        <v>833</v>
      </c>
      <c r="G437" s="25" t="s">
        <v>28</v>
      </c>
      <c r="H437" s="25" t="s">
        <v>32</v>
      </c>
      <c r="I437" s="3" t="s">
        <v>5168</v>
      </c>
      <c r="J437" s="25" t="s">
        <v>22</v>
      </c>
      <c r="K437" s="28">
        <v>6</v>
      </c>
      <c r="L437" s="7">
        <v>42131</v>
      </c>
      <c r="M437" s="28">
        <f>Table11[[#This Row],[Ship Date]]-Table11[[#This Row],[Order Date]]</f>
        <v>4</v>
      </c>
      <c r="N437" s="25" t="s">
        <v>45</v>
      </c>
      <c r="O437" s="25" t="s">
        <v>23</v>
      </c>
      <c r="P437" s="25" t="s">
        <v>132</v>
      </c>
      <c r="Q437" s="25" t="s">
        <v>133</v>
      </c>
      <c r="R437" s="25" t="s">
        <v>131</v>
      </c>
      <c r="S437" s="35">
        <v>0.3</v>
      </c>
      <c r="T437" s="16">
        <v>844.11599999999999</v>
      </c>
      <c r="U437" s="19">
        <v>-36.176400000000001</v>
      </c>
      <c r="V437" s="56">
        <f>Table11[[#This Row],[Profit]]/Table11[[#This Row],[Sales]]</f>
        <v>-4.2857142857142858E-2</v>
      </c>
    </row>
    <row r="438" spans="1:22" x14ac:dyDescent="0.2">
      <c r="A438" s="2">
        <v>437</v>
      </c>
      <c r="B438" s="5" t="s">
        <v>6937</v>
      </c>
      <c r="C438" s="6">
        <v>42127</v>
      </c>
      <c r="D438" s="27">
        <f>MONTH(Table11[[#This Row],[Order Date]])</f>
        <v>5</v>
      </c>
      <c r="E438" s="5" t="s">
        <v>3126</v>
      </c>
      <c r="F438" s="5" t="s">
        <v>3127</v>
      </c>
      <c r="G438" s="24" t="s">
        <v>41</v>
      </c>
      <c r="H438" s="24" t="s">
        <v>53</v>
      </c>
      <c r="I438" s="5" t="s">
        <v>5168</v>
      </c>
      <c r="J438" s="24" t="s">
        <v>22</v>
      </c>
      <c r="K438" s="27">
        <v>3</v>
      </c>
      <c r="L438" s="6">
        <v>42131</v>
      </c>
      <c r="M438" s="27">
        <f>Table11[[#This Row],[Ship Date]]-Table11[[#This Row],[Order Date]]</f>
        <v>4</v>
      </c>
      <c r="N438" s="24" t="s">
        <v>45</v>
      </c>
      <c r="O438" s="24" t="s">
        <v>23</v>
      </c>
      <c r="P438" s="24" t="s">
        <v>132</v>
      </c>
      <c r="Q438" s="24" t="s">
        <v>133</v>
      </c>
      <c r="R438" s="24" t="s">
        <v>131</v>
      </c>
      <c r="S438" s="34">
        <v>0.2</v>
      </c>
      <c r="T438" s="15">
        <v>76.751999999999995</v>
      </c>
      <c r="U438" s="18">
        <v>-9.5939999999999994</v>
      </c>
      <c r="V438" s="56">
        <f>Table11[[#This Row],[Profit]]/Table11[[#This Row],[Sales]]</f>
        <v>-0.125</v>
      </c>
    </row>
    <row r="439" spans="1:22" x14ac:dyDescent="0.2">
      <c r="A439" s="4">
        <v>438</v>
      </c>
      <c r="B439" s="3" t="s">
        <v>8576</v>
      </c>
      <c r="C439" s="7">
        <v>42127</v>
      </c>
      <c r="D439" s="28">
        <f>MONTH(Table11[[#This Row],[Order Date]])</f>
        <v>5</v>
      </c>
      <c r="E439" s="3" t="s">
        <v>1557</v>
      </c>
      <c r="F439" s="3" t="s">
        <v>1558</v>
      </c>
      <c r="G439" s="25" t="s">
        <v>41</v>
      </c>
      <c r="H439" s="25" t="s">
        <v>61</v>
      </c>
      <c r="I439" s="3" t="s">
        <v>403</v>
      </c>
      <c r="J439" s="25" t="s">
        <v>22</v>
      </c>
      <c r="K439" s="28">
        <v>3</v>
      </c>
      <c r="L439" s="7">
        <v>42130</v>
      </c>
      <c r="M439" s="28">
        <f>Table11[[#This Row],[Ship Date]]-Table11[[#This Row],[Order Date]]</f>
        <v>3</v>
      </c>
      <c r="N439" s="25" t="s">
        <v>169</v>
      </c>
      <c r="O439" s="25" t="s">
        <v>23</v>
      </c>
      <c r="P439" s="25" t="s">
        <v>38</v>
      </c>
      <c r="Q439" s="25" t="s">
        <v>39</v>
      </c>
      <c r="R439" s="25" t="s">
        <v>114</v>
      </c>
      <c r="S439" s="35">
        <v>0</v>
      </c>
      <c r="T439" s="16">
        <v>8.82</v>
      </c>
      <c r="U439" s="19">
        <v>2.5577999999999999</v>
      </c>
      <c r="V439" s="56">
        <f>Table11[[#This Row],[Profit]]/Table11[[#This Row],[Sales]]</f>
        <v>0.28999999999999998</v>
      </c>
    </row>
    <row r="440" spans="1:22" x14ac:dyDescent="0.2">
      <c r="A440" s="4">
        <v>439</v>
      </c>
      <c r="B440" s="5" t="s">
        <v>8576</v>
      </c>
      <c r="C440" s="6">
        <v>42127</v>
      </c>
      <c r="D440" s="27">
        <f>MONTH(Table11[[#This Row],[Order Date]])</f>
        <v>5</v>
      </c>
      <c r="E440" s="5" t="s">
        <v>3152</v>
      </c>
      <c r="F440" s="5" t="s">
        <v>7822</v>
      </c>
      <c r="G440" s="24" t="s">
        <v>41</v>
      </c>
      <c r="H440" s="24" t="s">
        <v>68</v>
      </c>
      <c r="I440" s="5" t="s">
        <v>403</v>
      </c>
      <c r="J440" s="24" t="s">
        <v>22</v>
      </c>
      <c r="K440" s="27">
        <v>2</v>
      </c>
      <c r="L440" s="6">
        <v>42130</v>
      </c>
      <c r="M440" s="27">
        <f>Table11[[#This Row],[Ship Date]]-Table11[[#This Row],[Order Date]]</f>
        <v>3</v>
      </c>
      <c r="N440" s="24" t="s">
        <v>169</v>
      </c>
      <c r="O440" s="24" t="s">
        <v>23</v>
      </c>
      <c r="P440" s="24" t="s">
        <v>38</v>
      </c>
      <c r="Q440" s="24" t="s">
        <v>39</v>
      </c>
      <c r="R440" s="24" t="s">
        <v>114</v>
      </c>
      <c r="S440" s="34">
        <v>0.2</v>
      </c>
      <c r="T440" s="15">
        <v>62.496000000000002</v>
      </c>
      <c r="U440" s="18">
        <v>21.8736</v>
      </c>
      <c r="V440" s="56">
        <f>Table11[[#This Row],[Profit]]/Table11[[#This Row],[Sales]]</f>
        <v>0.35</v>
      </c>
    </row>
    <row r="441" spans="1:22" x14ac:dyDescent="0.2">
      <c r="A441" s="2">
        <v>440</v>
      </c>
      <c r="B441" s="3" t="s">
        <v>8576</v>
      </c>
      <c r="C441" s="7">
        <v>42127</v>
      </c>
      <c r="D441" s="28">
        <f>MONTH(Table11[[#This Row],[Order Date]])</f>
        <v>5</v>
      </c>
      <c r="E441" s="3" t="s">
        <v>424</v>
      </c>
      <c r="F441" s="3" t="s">
        <v>425</v>
      </c>
      <c r="G441" s="25" t="s">
        <v>64</v>
      </c>
      <c r="H441" s="25" t="s">
        <v>144</v>
      </c>
      <c r="I441" s="3" t="s">
        <v>403</v>
      </c>
      <c r="J441" s="25" t="s">
        <v>22</v>
      </c>
      <c r="K441" s="28">
        <v>4</v>
      </c>
      <c r="L441" s="7">
        <v>42130</v>
      </c>
      <c r="M441" s="28">
        <f>Table11[[#This Row],[Ship Date]]-Table11[[#This Row],[Order Date]]</f>
        <v>3</v>
      </c>
      <c r="N441" s="25" t="s">
        <v>169</v>
      </c>
      <c r="O441" s="25" t="s">
        <v>23</v>
      </c>
      <c r="P441" s="25" t="s">
        <v>38</v>
      </c>
      <c r="Q441" s="25" t="s">
        <v>39</v>
      </c>
      <c r="R441" s="25" t="s">
        <v>114</v>
      </c>
      <c r="S441" s="35">
        <v>0</v>
      </c>
      <c r="T441" s="16">
        <v>339.96</v>
      </c>
      <c r="U441" s="19">
        <v>122.3856</v>
      </c>
      <c r="V441" s="56">
        <f>Table11[[#This Row],[Profit]]/Table11[[#This Row],[Sales]]</f>
        <v>0.36</v>
      </c>
    </row>
    <row r="442" spans="1:22" x14ac:dyDescent="0.2">
      <c r="A442" s="4">
        <v>441</v>
      </c>
      <c r="B442" s="5" t="s">
        <v>8576</v>
      </c>
      <c r="C442" s="6">
        <v>42127</v>
      </c>
      <c r="D442" s="27">
        <f>MONTH(Table11[[#This Row],[Order Date]])</f>
        <v>5</v>
      </c>
      <c r="E442" s="5" t="s">
        <v>1990</v>
      </c>
      <c r="F442" s="5" t="s">
        <v>1991</v>
      </c>
      <c r="G442" s="24" t="s">
        <v>41</v>
      </c>
      <c r="H442" s="24" t="s">
        <v>68</v>
      </c>
      <c r="I442" s="5" t="s">
        <v>403</v>
      </c>
      <c r="J442" s="24" t="s">
        <v>22</v>
      </c>
      <c r="K442" s="27">
        <v>2</v>
      </c>
      <c r="L442" s="6">
        <v>42130</v>
      </c>
      <c r="M442" s="27">
        <f>Table11[[#This Row],[Ship Date]]-Table11[[#This Row],[Order Date]]</f>
        <v>3</v>
      </c>
      <c r="N442" s="24" t="s">
        <v>169</v>
      </c>
      <c r="O442" s="24" t="s">
        <v>23</v>
      </c>
      <c r="P442" s="24" t="s">
        <v>38</v>
      </c>
      <c r="Q442" s="24" t="s">
        <v>39</v>
      </c>
      <c r="R442" s="24" t="s">
        <v>114</v>
      </c>
      <c r="S442" s="34">
        <v>0.2</v>
      </c>
      <c r="T442" s="15">
        <v>49.567999999999998</v>
      </c>
      <c r="U442" s="18">
        <v>17.348800000000001</v>
      </c>
      <c r="V442" s="56">
        <f>Table11[[#This Row],[Profit]]/Table11[[#This Row],[Sales]]</f>
        <v>0.35000000000000003</v>
      </c>
    </row>
    <row r="443" spans="1:22" x14ac:dyDescent="0.2">
      <c r="A443" s="4">
        <v>442</v>
      </c>
      <c r="B443" s="3" t="s">
        <v>9906</v>
      </c>
      <c r="C443" s="7">
        <v>42127</v>
      </c>
      <c r="D443" s="28">
        <f>MONTH(Table11[[#This Row],[Order Date]])</f>
        <v>5</v>
      </c>
      <c r="E443" s="3" t="s">
        <v>290</v>
      </c>
      <c r="F443" s="3" t="s">
        <v>291</v>
      </c>
      <c r="G443" s="25" t="s">
        <v>41</v>
      </c>
      <c r="H443" s="25" t="s">
        <v>68</v>
      </c>
      <c r="I443" s="3" t="s">
        <v>2745</v>
      </c>
      <c r="J443" s="25" t="s">
        <v>92</v>
      </c>
      <c r="K443" s="28">
        <v>3</v>
      </c>
      <c r="L443" s="7">
        <v>42130</v>
      </c>
      <c r="M443" s="28">
        <f>Table11[[#This Row],[Ship Date]]-Table11[[#This Row],[Order Date]]</f>
        <v>3</v>
      </c>
      <c r="N443" s="25" t="s">
        <v>169</v>
      </c>
      <c r="O443" s="25" t="s">
        <v>23</v>
      </c>
      <c r="P443" s="25" t="s">
        <v>38</v>
      </c>
      <c r="Q443" s="25" t="s">
        <v>39</v>
      </c>
      <c r="R443" s="25" t="s">
        <v>557</v>
      </c>
      <c r="S443" s="35">
        <v>0.2</v>
      </c>
      <c r="T443" s="16">
        <v>13.848000000000001</v>
      </c>
      <c r="U443" s="19">
        <v>5.1929999999999996</v>
      </c>
      <c r="V443" s="56">
        <f>Table11[[#This Row],[Profit]]/Table11[[#This Row],[Sales]]</f>
        <v>0.37499999999999994</v>
      </c>
    </row>
    <row r="444" spans="1:22" x14ac:dyDescent="0.2">
      <c r="A444" s="2">
        <v>443</v>
      </c>
      <c r="B444" s="5" t="s">
        <v>980</v>
      </c>
      <c r="C444" s="6">
        <v>42128</v>
      </c>
      <c r="D444" s="27">
        <f>MONTH(Table11[[#This Row],[Order Date]])</f>
        <v>5</v>
      </c>
      <c r="E444" s="5" t="s">
        <v>982</v>
      </c>
      <c r="F444" s="5" t="s">
        <v>983</v>
      </c>
      <c r="G444" s="24" t="s">
        <v>28</v>
      </c>
      <c r="H444" s="24" t="s">
        <v>58</v>
      </c>
      <c r="I444" s="5" t="s">
        <v>981</v>
      </c>
      <c r="J444" s="24" t="s">
        <v>36</v>
      </c>
      <c r="K444" s="27">
        <v>2</v>
      </c>
      <c r="L444" s="6">
        <v>42133</v>
      </c>
      <c r="M444" s="27">
        <f>Table11[[#This Row],[Ship Date]]-Table11[[#This Row],[Order Date]]</f>
        <v>5</v>
      </c>
      <c r="N444" s="24" t="s">
        <v>20</v>
      </c>
      <c r="O444" s="24" t="s">
        <v>23</v>
      </c>
      <c r="P444" s="24" t="s">
        <v>238</v>
      </c>
      <c r="Q444" s="24" t="s">
        <v>133</v>
      </c>
      <c r="R444" s="24" t="s">
        <v>237</v>
      </c>
      <c r="S444" s="34">
        <v>0</v>
      </c>
      <c r="T444" s="15">
        <v>26.8</v>
      </c>
      <c r="U444" s="18">
        <v>12.864000000000001</v>
      </c>
      <c r="V444" s="56">
        <f>Table11[[#This Row],[Profit]]/Table11[[#This Row],[Sales]]</f>
        <v>0.48000000000000004</v>
      </c>
    </row>
    <row r="445" spans="1:22" x14ac:dyDescent="0.2">
      <c r="A445" s="4">
        <v>444</v>
      </c>
      <c r="B445" s="3" t="s">
        <v>5906</v>
      </c>
      <c r="C445" s="7">
        <v>42128</v>
      </c>
      <c r="D445" s="28">
        <f>MONTH(Table11[[#This Row],[Order Date]])</f>
        <v>5</v>
      </c>
      <c r="E445" s="3" t="s">
        <v>2543</v>
      </c>
      <c r="F445" s="3" t="s">
        <v>814</v>
      </c>
      <c r="G445" s="25" t="s">
        <v>28</v>
      </c>
      <c r="H445" s="25" t="s">
        <v>58</v>
      </c>
      <c r="I445" s="3" t="s">
        <v>1190</v>
      </c>
      <c r="J445" s="25" t="s">
        <v>36</v>
      </c>
      <c r="K445" s="28">
        <v>7</v>
      </c>
      <c r="L445" s="7">
        <v>42129</v>
      </c>
      <c r="M445" s="28">
        <f>Table11[[#This Row],[Ship Date]]-Table11[[#This Row],[Order Date]]</f>
        <v>1</v>
      </c>
      <c r="N445" s="25" t="s">
        <v>169</v>
      </c>
      <c r="O445" s="25" t="s">
        <v>23</v>
      </c>
      <c r="P445" s="25" t="s">
        <v>189</v>
      </c>
      <c r="Q445" s="25" t="s">
        <v>95</v>
      </c>
      <c r="R445" s="25" t="s">
        <v>5907</v>
      </c>
      <c r="S445" s="35">
        <v>0.6</v>
      </c>
      <c r="T445" s="16">
        <v>22.288</v>
      </c>
      <c r="U445" s="19">
        <v>-8.9152000000000005</v>
      </c>
      <c r="V445" s="56">
        <f>Table11[[#This Row],[Profit]]/Table11[[#This Row],[Sales]]</f>
        <v>-0.4</v>
      </c>
    </row>
    <row r="446" spans="1:22" x14ac:dyDescent="0.2">
      <c r="A446" s="4">
        <v>445</v>
      </c>
      <c r="B446" s="5" t="s">
        <v>7682</v>
      </c>
      <c r="C446" s="6">
        <v>42128</v>
      </c>
      <c r="D446" s="27">
        <f>MONTH(Table11[[#This Row],[Order Date]])</f>
        <v>5</v>
      </c>
      <c r="E446" s="5" t="s">
        <v>3391</v>
      </c>
      <c r="F446" s="5" t="s">
        <v>3392</v>
      </c>
      <c r="G446" s="24" t="s">
        <v>64</v>
      </c>
      <c r="H446" s="24" t="s">
        <v>65</v>
      </c>
      <c r="I446" s="5" t="s">
        <v>5937</v>
      </c>
      <c r="J446" s="24" t="s">
        <v>36</v>
      </c>
      <c r="K446" s="27">
        <v>7</v>
      </c>
      <c r="L446" s="6">
        <v>42132</v>
      </c>
      <c r="M446" s="27">
        <f>Table11[[#This Row],[Ship Date]]-Table11[[#This Row],[Order Date]]</f>
        <v>4</v>
      </c>
      <c r="N446" s="24" t="s">
        <v>45</v>
      </c>
      <c r="O446" s="24" t="s">
        <v>23</v>
      </c>
      <c r="P446" s="24" t="s">
        <v>94</v>
      </c>
      <c r="Q446" s="24" t="s">
        <v>95</v>
      </c>
      <c r="R446" s="24" t="s">
        <v>165</v>
      </c>
      <c r="S446" s="34">
        <v>0.2</v>
      </c>
      <c r="T446" s="15">
        <v>946.34400000000005</v>
      </c>
      <c r="U446" s="18">
        <v>118.29300000000001</v>
      </c>
      <c r="V446" s="56">
        <f>Table11[[#This Row],[Profit]]/Table11[[#This Row],[Sales]]</f>
        <v>0.125</v>
      </c>
    </row>
    <row r="447" spans="1:22" x14ac:dyDescent="0.2">
      <c r="A447" s="2">
        <v>446</v>
      </c>
      <c r="B447" s="3" t="s">
        <v>8208</v>
      </c>
      <c r="C447" s="7">
        <v>42128</v>
      </c>
      <c r="D447" s="28">
        <f>MONTH(Table11[[#This Row],[Order Date]])</f>
        <v>5</v>
      </c>
      <c r="E447" s="3" t="s">
        <v>2221</v>
      </c>
      <c r="F447" s="3" t="s">
        <v>2222</v>
      </c>
      <c r="G447" s="25" t="s">
        <v>41</v>
      </c>
      <c r="H447" s="25" t="s">
        <v>61</v>
      </c>
      <c r="I447" s="3" t="s">
        <v>3390</v>
      </c>
      <c r="J447" s="25" t="s">
        <v>36</v>
      </c>
      <c r="K447" s="28">
        <v>7</v>
      </c>
      <c r="L447" s="7">
        <v>42135</v>
      </c>
      <c r="M447" s="28">
        <f>Table11[[#This Row],[Ship Date]]-Table11[[#This Row],[Order Date]]</f>
        <v>7</v>
      </c>
      <c r="N447" s="25" t="s">
        <v>45</v>
      </c>
      <c r="O447" s="25" t="s">
        <v>23</v>
      </c>
      <c r="P447" s="25" t="s">
        <v>226</v>
      </c>
      <c r="Q447" s="25" t="s">
        <v>95</v>
      </c>
      <c r="R447" s="25" t="s">
        <v>3859</v>
      </c>
      <c r="S447" s="35">
        <v>0</v>
      </c>
      <c r="T447" s="16">
        <v>125.93</v>
      </c>
      <c r="U447" s="19">
        <v>35.260399999999997</v>
      </c>
      <c r="V447" s="56">
        <f>Table11[[#This Row],[Profit]]/Table11[[#This Row],[Sales]]</f>
        <v>0.27999999999999997</v>
      </c>
    </row>
    <row r="448" spans="1:22" x14ac:dyDescent="0.2">
      <c r="A448" s="4">
        <v>447</v>
      </c>
      <c r="B448" s="5" t="s">
        <v>5495</v>
      </c>
      <c r="C448" s="6">
        <v>42131</v>
      </c>
      <c r="D448" s="27">
        <f>MONTH(Table11[[#This Row],[Order Date]])</f>
        <v>5</v>
      </c>
      <c r="E448" s="5" t="s">
        <v>2112</v>
      </c>
      <c r="F448" s="5" t="s">
        <v>2113</v>
      </c>
      <c r="G448" s="24" t="s">
        <v>28</v>
      </c>
      <c r="H448" s="24" t="s">
        <v>50</v>
      </c>
      <c r="I448" s="5" t="s">
        <v>1244</v>
      </c>
      <c r="J448" s="24" t="s">
        <v>22</v>
      </c>
      <c r="K448" s="27">
        <v>2</v>
      </c>
      <c r="L448" s="6">
        <v>42136</v>
      </c>
      <c r="M448" s="27">
        <f>Table11[[#This Row],[Ship Date]]-Table11[[#This Row],[Order Date]]</f>
        <v>5</v>
      </c>
      <c r="N448" s="24" t="s">
        <v>45</v>
      </c>
      <c r="O448" s="24" t="s">
        <v>23</v>
      </c>
      <c r="P448" s="24" t="s">
        <v>94</v>
      </c>
      <c r="Q448" s="24" t="s">
        <v>95</v>
      </c>
      <c r="R448" s="24" t="s">
        <v>3663</v>
      </c>
      <c r="S448" s="34">
        <v>0.3</v>
      </c>
      <c r="T448" s="15">
        <v>244.006</v>
      </c>
      <c r="U448" s="18">
        <v>-31.372199999999999</v>
      </c>
      <c r="V448" s="56">
        <f>Table11[[#This Row],[Profit]]/Table11[[#This Row],[Sales]]</f>
        <v>-0.12857142857142856</v>
      </c>
    </row>
    <row r="449" spans="1:22" x14ac:dyDescent="0.2">
      <c r="A449" s="4">
        <v>448</v>
      </c>
      <c r="B449" s="3" t="s">
        <v>5495</v>
      </c>
      <c r="C449" s="7">
        <v>42131</v>
      </c>
      <c r="D449" s="28">
        <f>MONTH(Table11[[#This Row],[Order Date]])</f>
        <v>5</v>
      </c>
      <c r="E449" s="3" t="s">
        <v>5496</v>
      </c>
      <c r="F449" s="3" t="s">
        <v>5497</v>
      </c>
      <c r="G449" s="25" t="s">
        <v>41</v>
      </c>
      <c r="H449" s="25" t="s">
        <v>82</v>
      </c>
      <c r="I449" s="3" t="s">
        <v>1244</v>
      </c>
      <c r="J449" s="25" t="s">
        <v>22</v>
      </c>
      <c r="K449" s="28">
        <v>4</v>
      </c>
      <c r="L449" s="7">
        <v>42136</v>
      </c>
      <c r="M449" s="28">
        <f>Table11[[#This Row],[Ship Date]]-Table11[[#This Row],[Order Date]]</f>
        <v>5</v>
      </c>
      <c r="N449" s="25" t="s">
        <v>45</v>
      </c>
      <c r="O449" s="25" t="s">
        <v>23</v>
      </c>
      <c r="P449" s="25" t="s">
        <v>94</v>
      </c>
      <c r="Q449" s="25" t="s">
        <v>95</v>
      </c>
      <c r="R449" s="25" t="s">
        <v>3663</v>
      </c>
      <c r="S449" s="35">
        <v>0.2</v>
      </c>
      <c r="T449" s="16">
        <v>15.936</v>
      </c>
      <c r="U449" s="19">
        <v>5.3784000000000001</v>
      </c>
      <c r="V449" s="56">
        <f>Table11[[#This Row],[Profit]]/Table11[[#This Row],[Sales]]</f>
        <v>0.33750000000000002</v>
      </c>
    </row>
    <row r="450" spans="1:22" x14ac:dyDescent="0.2">
      <c r="A450" s="2">
        <v>449</v>
      </c>
      <c r="B450" s="5" t="s">
        <v>7789</v>
      </c>
      <c r="C450" s="6">
        <v>42131</v>
      </c>
      <c r="D450" s="27">
        <f>MONTH(Table11[[#This Row],[Order Date]])</f>
        <v>5</v>
      </c>
      <c r="E450" s="5" t="s">
        <v>7791</v>
      </c>
      <c r="F450" s="5" t="s">
        <v>7792</v>
      </c>
      <c r="G450" s="24" t="s">
        <v>41</v>
      </c>
      <c r="H450" s="24" t="s">
        <v>82</v>
      </c>
      <c r="I450" s="5" t="s">
        <v>3114</v>
      </c>
      <c r="J450" s="24" t="s">
        <v>22</v>
      </c>
      <c r="K450" s="27">
        <v>2</v>
      </c>
      <c r="L450" s="6">
        <v>42136</v>
      </c>
      <c r="M450" s="27">
        <f>Table11[[#This Row],[Ship Date]]-Table11[[#This Row],[Order Date]]</f>
        <v>5</v>
      </c>
      <c r="N450" s="24" t="s">
        <v>45</v>
      </c>
      <c r="O450" s="24" t="s">
        <v>23</v>
      </c>
      <c r="P450" s="24" t="s">
        <v>25</v>
      </c>
      <c r="Q450" s="24" t="s">
        <v>26</v>
      </c>
      <c r="R450" s="24" t="s">
        <v>7790</v>
      </c>
      <c r="S450" s="34">
        <v>0</v>
      </c>
      <c r="T450" s="15">
        <v>45.68</v>
      </c>
      <c r="U450" s="18">
        <v>21.012799999999999</v>
      </c>
      <c r="V450" s="56">
        <f>Table11[[#This Row],[Profit]]/Table11[[#This Row],[Sales]]</f>
        <v>0.45999999999999996</v>
      </c>
    </row>
    <row r="451" spans="1:22" x14ac:dyDescent="0.2">
      <c r="A451" s="4">
        <v>450</v>
      </c>
      <c r="B451" s="3" t="s">
        <v>2922</v>
      </c>
      <c r="C451" s="7">
        <v>42132</v>
      </c>
      <c r="D451" s="28">
        <f>MONTH(Table11[[#This Row],[Order Date]])</f>
        <v>5</v>
      </c>
      <c r="E451" s="3" t="s">
        <v>2924</v>
      </c>
      <c r="F451" s="3" t="s">
        <v>2925</v>
      </c>
      <c r="G451" s="25" t="s">
        <v>28</v>
      </c>
      <c r="H451" s="25" t="s">
        <v>58</v>
      </c>
      <c r="I451" s="3" t="s">
        <v>877</v>
      </c>
      <c r="J451" s="25" t="s">
        <v>36</v>
      </c>
      <c r="K451" s="28">
        <v>6</v>
      </c>
      <c r="L451" s="7">
        <v>42138</v>
      </c>
      <c r="M451" s="28">
        <f>Table11[[#This Row],[Ship Date]]-Table11[[#This Row],[Order Date]]</f>
        <v>6</v>
      </c>
      <c r="N451" s="25" t="s">
        <v>45</v>
      </c>
      <c r="O451" s="25" t="s">
        <v>23</v>
      </c>
      <c r="P451" s="25" t="s">
        <v>441</v>
      </c>
      <c r="Q451" s="25" t="s">
        <v>133</v>
      </c>
      <c r="R451" s="25" t="s">
        <v>2923</v>
      </c>
      <c r="S451" s="35">
        <v>0.2</v>
      </c>
      <c r="T451" s="16">
        <v>8.3520000000000003</v>
      </c>
      <c r="U451" s="19">
        <v>1.2527999999999999</v>
      </c>
      <c r="V451" s="56">
        <f>Table11[[#This Row],[Profit]]/Table11[[#This Row],[Sales]]</f>
        <v>0.15</v>
      </c>
    </row>
    <row r="452" spans="1:22" x14ac:dyDescent="0.2">
      <c r="A452" s="4">
        <v>451</v>
      </c>
      <c r="B452" s="5" t="s">
        <v>4289</v>
      </c>
      <c r="C452" s="6">
        <v>42132</v>
      </c>
      <c r="D452" s="27">
        <f>MONTH(Table11[[#This Row],[Order Date]])</f>
        <v>5</v>
      </c>
      <c r="E452" s="5" t="s">
        <v>4290</v>
      </c>
      <c r="F452" s="5" t="s">
        <v>4291</v>
      </c>
      <c r="G452" s="24" t="s">
        <v>41</v>
      </c>
      <c r="H452" s="24" t="s">
        <v>61</v>
      </c>
      <c r="I452" s="5" t="s">
        <v>1612</v>
      </c>
      <c r="J452" s="24" t="s">
        <v>22</v>
      </c>
      <c r="K452" s="27">
        <v>2</v>
      </c>
      <c r="L452" s="6">
        <v>42136</v>
      </c>
      <c r="M452" s="27">
        <f>Table11[[#This Row],[Ship Date]]-Table11[[#This Row],[Order Date]]</f>
        <v>4</v>
      </c>
      <c r="N452" s="24" t="s">
        <v>45</v>
      </c>
      <c r="O452" s="24" t="s">
        <v>23</v>
      </c>
      <c r="P452" s="24" t="s">
        <v>374</v>
      </c>
      <c r="Q452" s="24" t="s">
        <v>39</v>
      </c>
      <c r="R452" s="24" t="s">
        <v>1744</v>
      </c>
      <c r="S452" s="34">
        <v>0.2</v>
      </c>
      <c r="T452" s="15">
        <v>5.2480000000000002</v>
      </c>
      <c r="U452" s="18">
        <v>0.59040000000000004</v>
      </c>
      <c r="V452" s="56">
        <f>Table11[[#This Row],[Profit]]/Table11[[#This Row],[Sales]]</f>
        <v>0.1125</v>
      </c>
    </row>
    <row r="453" spans="1:22" x14ac:dyDescent="0.2">
      <c r="A453" s="2">
        <v>452</v>
      </c>
      <c r="B453" s="3" t="s">
        <v>7218</v>
      </c>
      <c r="C453" s="7">
        <v>42132</v>
      </c>
      <c r="D453" s="28">
        <f>MONTH(Table11[[#This Row],[Order Date]])</f>
        <v>5</v>
      </c>
      <c r="E453" s="3" t="s">
        <v>2454</v>
      </c>
      <c r="F453" s="3" t="s">
        <v>2455</v>
      </c>
      <c r="G453" s="25" t="s">
        <v>41</v>
      </c>
      <c r="H453" s="25" t="s">
        <v>68</v>
      </c>
      <c r="I453" s="3" t="s">
        <v>2556</v>
      </c>
      <c r="J453" s="25" t="s">
        <v>22</v>
      </c>
      <c r="K453" s="28">
        <v>2</v>
      </c>
      <c r="L453" s="7">
        <v>42136</v>
      </c>
      <c r="M453" s="28">
        <f>Table11[[#This Row],[Ship Date]]-Table11[[#This Row],[Order Date]]</f>
        <v>4</v>
      </c>
      <c r="N453" s="25" t="s">
        <v>45</v>
      </c>
      <c r="O453" s="25" t="s">
        <v>23</v>
      </c>
      <c r="P453" s="25" t="s">
        <v>204</v>
      </c>
      <c r="Q453" s="25" t="s">
        <v>95</v>
      </c>
      <c r="R453" s="25" t="s">
        <v>364</v>
      </c>
      <c r="S453" s="35">
        <v>0</v>
      </c>
      <c r="T453" s="16">
        <v>43.98</v>
      </c>
      <c r="U453" s="19">
        <v>21.99</v>
      </c>
      <c r="V453" s="56">
        <f>Table11[[#This Row],[Profit]]/Table11[[#This Row],[Sales]]</f>
        <v>0.5</v>
      </c>
    </row>
    <row r="454" spans="1:22" x14ac:dyDescent="0.2">
      <c r="A454" s="4">
        <v>453</v>
      </c>
      <c r="B454" s="5" t="s">
        <v>7218</v>
      </c>
      <c r="C454" s="6">
        <v>42132</v>
      </c>
      <c r="D454" s="27">
        <f>MONTH(Table11[[#This Row],[Order Date]])</f>
        <v>5</v>
      </c>
      <c r="E454" s="5" t="s">
        <v>3739</v>
      </c>
      <c r="F454" s="5" t="s">
        <v>3740</v>
      </c>
      <c r="G454" s="24" t="s">
        <v>64</v>
      </c>
      <c r="H454" s="24" t="s">
        <v>65</v>
      </c>
      <c r="I454" s="5" t="s">
        <v>2556</v>
      </c>
      <c r="J454" s="24" t="s">
        <v>22</v>
      </c>
      <c r="K454" s="27">
        <v>3</v>
      </c>
      <c r="L454" s="6">
        <v>42136</v>
      </c>
      <c r="M454" s="27">
        <f>Table11[[#This Row],[Ship Date]]-Table11[[#This Row],[Order Date]]</f>
        <v>4</v>
      </c>
      <c r="N454" s="24" t="s">
        <v>45</v>
      </c>
      <c r="O454" s="24" t="s">
        <v>23</v>
      </c>
      <c r="P454" s="24" t="s">
        <v>204</v>
      </c>
      <c r="Q454" s="24" t="s">
        <v>95</v>
      </c>
      <c r="R454" s="24" t="s">
        <v>364</v>
      </c>
      <c r="S454" s="34">
        <v>0</v>
      </c>
      <c r="T454" s="15">
        <v>377.97</v>
      </c>
      <c r="U454" s="18">
        <v>105.83159999999999</v>
      </c>
      <c r="V454" s="56">
        <f>Table11[[#This Row],[Profit]]/Table11[[#This Row],[Sales]]</f>
        <v>0.27999999999999997</v>
      </c>
    </row>
    <row r="455" spans="1:22" x14ac:dyDescent="0.2">
      <c r="A455" s="4">
        <v>454</v>
      </c>
      <c r="B455" s="3" t="s">
        <v>7218</v>
      </c>
      <c r="C455" s="7">
        <v>42132</v>
      </c>
      <c r="D455" s="28">
        <f>MONTH(Table11[[#This Row],[Order Date]])</f>
        <v>5</v>
      </c>
      <c r="E455" s="3" t="s">
        <v>1644</v>
      </c>
      <c r="F455" s="3" t="s">
        <v>1645</v>
      </c>
      <c r="G455" s="25" t="s">
        <v>28</v>
      </c>
      <c r="H455" s="25" t="s">
        <v>58</v>
      </c>
      <c r="I455" s="3" t="s">
        <v>2556</v>
      </c>
      <c r="J455" s="25" t="s">
        <v>22</v>
      </c>
      <c r="K455" s="28">
        <v>3</v>
      </c>
      <c r="L455" s="7">
        <v>42136</v>
      </c>
      <c r="M455" s="28">
        <f>Table11[[#This Row],[Ship Date]]-Table11[[#This Row],[Order Date]]</f>
        <v>4</v>
      </c>
      <c r="N455" s="25" t="s">
        <v>45</v>
      </c>
      <c r="O455" s="25" t="s">
        <v>23</v>
      </c>
      <c r="P455" s="25" t="s">
        <v>204</v>
      </c>
      <c r="Q455" s="25" t="s">
        <v>95</v>
      </c>
      <c r="R455" s="25" t="s">
        <v>364</v>
      </c>
      <c r="S455" s="35">
        <v>0</v>
      </c>
      <c r="T455" s="16">
        <v>123.96</v>
      </c>
      <c r="U455" s="19">
        <v>11.1564</v>
      </c>
      <c r="V455" s="56">
        <f>Table11[[#This Row],[Profit]]/Table11[[#This Row],[Sales]]</f>
        <v>0.09</v>
      </c>
    </row>
    <row r="456" spans="1:22" x14ac:dyDescent="0.2">
      <c r="A456" s="2">
        <v>455</v>
      </c>
      <c r="B456" s="5" t="s">
        <v>7544</v>
      </c>
      <c r="C456" s="6">
        <v>42132</v>
      </c>
      <c r="D456" s="27">
        <f>MONTH(Table11[[#This Row],[Order Date]])</f>
        <v>5</v>
      </c>
      <c r="E456" s="5" t="s">
        <v>1453</v>
      </c>
      <c r="F456" s="5" t="s">
        <v>1454</v>
      </c>
      <c r="G456" s="24" t="s">
        <v>41</v>
      </c>
      <c r="H456" s="24" t="s">
        <v>82</v>
      </c>
      <c r="I456" s="5" t="s">
        <v>3245</v>
      </c>
      <c r="J456" s="24" t="s">
        <v>92</v>
      </c>
      <c r="K456" s="27">
        <v>2</v>
      </c>
      <c r="L456" s="6">
        <v>42134</v>
      </c>
      <c r="M456" s="27">
        <f>Table11[[#This Row],[Ship Date]]-Table11[[#This Row],[Order Date]]</f>
        <v>2</v>
      </c>
      <c r="N456" s="24" t="s">
        <v>169</v>
      </c>
      <c r="O456" s="24" t="s">
        <v>23</v>
      </c>
      <c r="P456" s="24" t="s">
        <v>238</v>
      </c>
      <c r="Q456" s="24" t="s">
        <v>133</v>
      </c>
      <c r="R456" s="24" t="s">
        <v>237</v>
      </c>
      <c r="S456" s="34">
        <v>0</v>
      </c>
      <c r="T456" s="15">
        <v>37.94</v>
      </c>
      <c r="U456" s="18">
        <v>18.211200000000002</v>
      </c>
      <c r="V456" s="56">
        <f>Table11[[#This Row],[Profit]]/Table11[[#This Row],[Sales]]</f>
        <v>0.48000000000000009</v>
      </c>
    </row>
    <row r="457" spans="1:22" x14ac:dyDescent="0.2">
      <c r="A457" s="4">
        <v>456</v>
      </c>
      <c r="B457" s="3" t="s">
        <v>7672</v>
      </c>
      <c r="C457" s="7">
        <v>42132</v>
      </c>
      <c r="D457" s="28">
        <f>MONTH(Table11[[#This Row],[Order Date]])</f>
        <v>5</v>
      </c>
      <c r="E457" s="3" t="s">
        <v>2581</v>
      </c>
      <c r="F457" s="3" t="s">
        <v>2582</v>
      </c>
      <c r="G457" s="25" t="s">
        <v>28</v>
      </c>
      <c r="H457" s="25" t="s">
        <v>58</v>
      </c>
      <c r="I457" s="3" t="s">
        <v>3774</v>
      </c>
      <c r="J457" s="25" t="s">
        <v>22</v>
      </c>
      <c r="K457" s="28">
        <v>3</v>
      </c>
      <c r="L457" s="7">
        <v>42139</v>
      </c>
      <c r="M457" s="28">
        <f>Table11[[#This Row],[Ship Date]]-Table11[[#This Row],[Order Date]]</f>
        <v>7</v>
      </c>
      <c r="N457" s="25" t="s">
        <v>45</v>
      </c>
      <c r="O457" s="25" t="s">
        <v>23</v>
      </c>
      <c r="P457" s="25" t="s">
        <v>238</v>
      </c>
      <c r="Q457" s="25" t="s">
        <v>133</v>
      </c>
      <c r="R457" s="25" t="s">
        <v>237</v>
      </c>
      <c r="S457" s="35">
        <v>0</v>
      </c>
      <c r="T457" s="16">
        <v>79.44</v>
      </c>
      <c r="U457" s="19">
        <v>30.187200000000001</v>
      </c>
      <c r="V457" s="56">
        <f>Table11[[#This Row],[Profit]]/Table11[[#This Row],[Sales]]</f>
        <v>0.38</v>
      </c>
    </row>
    <row r="458" spans="1:22" x14ac:dyDescent="0.2">
      <c r="A458" s="4">
        <v>457</v>
      </c>
      <c r="B458" s="5" t="s">
        <v>7672</v>
      </c>
      <c r="C458" s="6">
        <v>42132</v>
      </c>
      <c r="D458" s="27">
        <f>MONTH(Table11[[#This Row],[Order Date]])</f>
        <v>5</v>
      </c>
      <c r="E458" s="5" t="s">
        <v>5247</v>
      </c>
      <c r="F458" s="5" t="s">
        <v>5248</v>
      </c>
      <c r="G458" s="24" t="s">
        <v>41</v>
      </c>
      <c r="H458" s="24" t="s">
        <v>513</v>
      </c>
      <c r="I458" s="5" t="s">
        <v>3774</v>
      </c>
      <c r="J458" s="24" t="s">
        <v>22</v>
      </c>
      <c r="K458" s="27">
        <v>3</v>
      </c>
      <c r="L458" s="6">
        <v>42139</v>
      </c>
      <c r="M458" s="27">
        <f>Table11[[#This Row],[Ship Date]]-Table11[[#This Row],[Order Date]]</f>
        <v>7</v>
      </c>
      <c r="N458" s="24" t="s">
        <v>45</v>
      </c>
      <c r="O458" s="24" t="s">
        <v>23</v>
      </c>
      <c r="P458" s="24" t="s">
        <v>238</v>
      </c>
      <c r="Q458" s="24" t="s">
        <v>133</v>
      </c>
      <c r="R458" s="24" t="s">
        <v>237</v>
      </c>
      <c r="S458" s="34">
        <v>0</v>
      </c>
      <c r="T458" s="15">
        <v>357.93</v>
      </c>
      <c r="U458" s="18">
        <v>7.1585999999999999</v>
      </c>
      <c r="V458" s="56">
        <f>Table11[[#This Row],[Profit]]/Table11[[#This Row],[Sales]]</f>
        <v>0.02</v>
      </c>
    </row>
    <row r="459" spans="1:22" x14ac:dyDescent="0.2">
      <c r="A459" s="2">
        <v>458</v>
      </c>
      <c r="B459" s="3" t="s">
        <v>7672</v>
      </c>
      <c r="C459" s="7">
        <v>42132</v>
      </c>
      <c r="D459" s="28">
        <f>MONTH(Table11[[#This Row],[Order Date]])</f>
        <v>5</v>
      </c>
      <c r="E459" s="3" t="s">
        <v>1627</v>
      </c>
      <c r="F459" s="3" t="s">
        <v>1628</v>
      </c>
      <c r="G459" s="25" t="s">
        <v>28</v>
      </c>
      <c r="H459" s="25" t="s">
        <v>32</v>
      </c>
      <c r="I459" s="3" t="s">
        <v>3774</v>
      </c>
      <c r="J459" s="25" t="s">
        <v>22</v>
      </c>
      <c r="K459" s="28">
        <v>2</v>
      </c>
      <c r="L459" s="7">
        <v>42139</v>
      </c>
      <c r="M459" s="28">
        <f>Table11[[#This Row],[Ship Date]]-Table11[[#This Row],[Order Date]]</f>
        <v>7</v>
      </c>
      <c r="N459" s="25" t="s">
        <v>45</v>
      </c>
      <c r="O459" s="25" t="s">
        <v>23</v>
      </c>
      <c r="P459" s="25" t="s">
        <v>238</v>
      </c>
      <c r="Q459" s="25" t="s">
        <v>133</v>
      </c>
      <c r="R459" s="25" t="s">
        <v>237</v>
      </c>
      <c r="S459" s="35">
        <v>0.1</v>
      </c>
      <c r="T459" s="16">
        <v>127.764</v>
      </c>
      <c r="U459" s="19">
        <v>21.294</v>
      </c>
      <c r="V459" s="56">
        <f>Table11[[#This Row],[Profit]]/Table11[[#This Row],[Sales]]</f>
        <v>0.16666666666666669</v>
      </c>
    </row>
    <row r="460" spans="1:22" x14ac:dyDescent="0.2">
      <c r="A460" s="4">
        <v>459</v>
      </c>
      <c r="B460" s="5" t="s">
        <v>7672</v>
      </c>
      <c r="C460" s="6">
        <v>42132</v>
      </c>
      <c r="D460" s="27">
        <f>MONTH(Table11[[#This Row],[Order Date]])</f>
        <v>5</v>
      </c>
      <c r="E460" s="5" t="s">
        <v>1265</v>
      </c>
      <c r="F460" s="5" t="s">
        <v>1266</v>
      </c>
      <c r="G460" s="24" t="s">
        <v>64</v>
      </c>
      <c r="H460" s="24" t="s">
        <v>1075</v>
      </c>
      <c r="I460" s="5" t="s">
        <v>3774</v>
      </c>
      <c r="J460" s="24" t="s">
        <v>22</v>
      </c>
      <c r="K460" s="27">
        <v>7</v>
      </c>
      <c r="L460" s="6">
        <v>42139</v>
      </c>
      <c r="M460" s="27">
        <f>Table11[[#This Row],[Ship Date]]-Table11[[#This Row],[Order Date]]</f>
        <v>7</v>
      </c>
      <c r="N460" s="24" t="s">
        <v>45</v>
      </c>
      <c r="O460" s="24" t="s">
        <v>23</v>
      </c>
      <c r="P460" s="24" t="s">
        <v>238</v>
      </c>
      <c r="Q460" s="24" t="s">
        <v>133</v>
      </c>
      <c r="R460" s="24" t="s">
        <v>237</v>
      </c>
      <c r="S460" s="34">
        <v>0.2</v>
      </c>
      <c r="T460" s="15">
        <v>2799.944</v>
      </c>
      <c r="U460" s="18">
        <v>1014.9797</v>
      </c>
      <c r="V460" s="56">
        <f>Table11[[#This Row],[Profit]]/Table11[[#This Row],[Sales]]</f>
        <v>0.36249999999999999</v>
      </c>
    </row>
    <row r="461" spans="1:22" x14ac:dyDescent="0.2">
      <c r="A461" s="4">
        <v>460</v>
      </c>
      <c r="B461" s="3" t="s">
        <v>7672</v>
      </c>
      <c r="C461" s="7">
        <v>42132</v>
      </c>
      <c r="D461" s="28">
        <f>MONTH(Table11[[#This Row],[Order Date]])</f>
        <v>5</v>
      </c>
      <c r="E461" s="3" t="s">
        <v>5969</v>
      </c>
      <c r="F461" s="3" t="s">
        <v>5970</v>
      </c>
      <c r="G461" s="25" t="s">
        <v>41</v>
      </c>
      <c r="H461" s="25" t="s">
        <v>82</v>
      </c>
      <c r="I461" s="3" t="s">
        <v>3774</v>
      </c>
      <c r="J461" s="25" t="s">
        <v>22</v>
      </c>
      <c r="K461" s="28">
        <v>3</v>
      </c>
      <c r="L461" s="7">
        <v>42139</v>
      </c>
      <c r="M461" s="28">
        <f>Table11[[#This Row],[Ship Date]]-Table11[[#This Row],[Order Date]]</f>
        <v>7</v>
      </c>
      <c r="N461" s="25" t="s">
        <v>45</v>
      </c>
      <c r="O461" s="25" t="s">
        <v>23</v>
      </c>
      <c r="P461" s="25" t="s">
        <v>238</v>
      </c>
      <c r="Q461" s="25" t="s">
        <v>133</v>
      </c>
      <c r="R461" s="25" t="s">
        <v>237</v>
      </c>
      <c r="S461" s="35">
        <v>0</v>
      </c>
      <c r="T461" s="16">
        <v>19.440000000000001</v>
      </c>
      <c r="U461" s="19">
        <v>9.3312000000000008</v>
      </c>
      <c r="V461" s="56">
        <f>Table11[[#This Row],[Profit]]/Table11[[#This Row],[Sales]]</f>
        <v>0.48000000000000004</v>
      </c>
    </row>
    <row r="462" spans="1:22" x14ac:dyDescent="0.2">
      <c r="A462" s="2">
        <v>461</v>
      </c>
      <c r="B462" s="5" t="s">
        <v>10047</v>
      </c>
      <c r="C462" s="6">
        <v>42133</v>
      </c>
      <c r="D462" s="27">
        <f>MONTH(Table11[[#This Row],[Order Date]])</f>
        <v>5</v>
      </c>
      <c r="E462" s="5" t="s">
        <v>5851</v>
      </c>
      <c r="F462" s="5" t="s">
        <v>5852</v>
      </c>
      <c r="G462" s="24" t="s">
        <v>41</v>
      </c>
      <c r="H462" s="24" t="s">
        <v>68</v>
      </c>
      <c r="I462" s="5" t="s">
        <v>1850</v>
      </c>
      <c r="J462" s="24" t="s">
        <v>22</v>
      </c>
      <c r="K462" s="27">
        <v>3</v>
      </c>
      <c r="L462" s="6">
        <v>42137</v>
      </c>
      <c r="M462" s="27">
        <f>Table11[[#This Row],[Ship Date]]-Table11[[#This Row],[Order Date]]</f>
        <v>4</v>
      </c>
      <c r="N462" s="24" t="s">
        <v>45</v>
      </c>
      <c r="O462" s="24" t="s">
        <v>23</v>
      </c>
      <c r="P462" s="24" t="s">
        <v>25</v>
      </c>
      <c r="Q462" s="24" t="s">
        <v>26</v>
      </c>
      <c r="R462" s="24" t="s">
        <v>1303</v>
      </c>
      <c r="S462" s="34">
        <v>0</v>
      </c>
      <c r="T462" s="15">
        <v>48.81</v>
      </c>
      <c r="U462" s="18">
        <v>23.916899999999998</v>
      </c>
      <c r="V462" s="56">
        <f>Table11[[#This Row],[Profit]]/Table11[[#This Row],[Sales]]</f>
        <v>0.48999999999999994</v>
      </c>
    </row>
    <row r="463" spans="1:22" x14ac:dyDescent="0.2">
      <c r="A463" s="4">
        <v>462</v>
      </c>
      <c r="B463" s="3" t="s">
        <v>9132</v>
      </c>
      <c r="C463" s="7">
        <v>42134</v>
      </c>
      <c r="D463" s="28">
        <f>MONTH(Table11[[#This Row],[Order Date]])</f>
        <v>5</v>
      </c>
      <c r="E463" s="3" t="s">
        <v>1898</v>
      </c>
      <c r="F463" s="3" t="s">
        <v>1899</v>
      </c>
      <c r="G463" s="25" t="s">
        <v>41</v>
      </c>
      <c r="H463" s="25" t="s">
        <v>71</v>
      </c>
      <c r="I463" s="3" t="s">
        <v>3710</v>
      </c>
      <c r="J463" s="25" t="s">
        <v>92</v>
      </c>
      <c r="K463" s="28">
        <v>5</v>
      </c>
      <c r="L463" s="7">
        <v>42134</v>
      </c>
      <c r="M463" s="28">
        <f>Table11[[#This Row],[Ship Date]]-Table11[[#This Row],[Order Date]]</f>
        <v>0</v>
      </c>
      <c r="N463" s="25" t="s">
        <v>1141</v>
      </c>
      <c r="O463" s="25" t="s">
        <v>23</v>
      </c>
      <c r="P463" s="25" t="s">
        <v>189</v>
      </c>
      <c r="Q463" s="25" t="s">
        <v>95</v>
      </c>
      <c r="R463" s="25" t="s">
        <v>404</v>
      </c>
      <c r="S463" s="35">
        <v>0.8</v>
      </c>
      <c r="T463" s="16">
        <v>70.97</v>
      </c>
      <c r="U463" s="19">
        <v>-191.619</v>
      </c>
      <c r="V463" s="56">
        <f>Table11[[#This Row],[Profit]]/Table11[[#This Row],[Sales]]</f>
        <v>-2.7</v>
      </c>
    </row>
    <row r="464" spans="1:22" x14ac:dyDescent="0.2">
      <c r="A464" s="4">
        <v>463</v>
      </c>
      <c r="B464" s="5" t="s">
        <v>9132</v>
      </c>
      <c r="C464" s="6">
        <v>42134</v>
      </c>
      <c r="D464" s="27">
        <f>MONTH(Table11[[#This Row],[Order Date]])</f>
        <v>5</v>
      </c>
      <c r="E464" s="5" t="s">
        <v>4431</v>
      </c>
      <c r="F464" s="5" t="s">
        <v>4432</v>
      </c>
      <c r="G464" s="24" t="s">
        <v>41</v>
      </c>
      <c r="H464" s="24" t="s">
        <v>61</v>
      </c>
      <c r="I464" s="5" t="s">
        <v>3710</v>
      </c>
      <c r="J464" s="24" t="s">
        <v>92</v>
      </c>
      <c r="K464" s="27">
        <v>2</v>
      </c>
      <c r="L464" s="6">
        <v>42134</v>
      </c>
      <c r="M464" s="27">
        <f>Table11[[#This Row],[Ship Date]]-Table11[[#This Row],[Order Date]]</f>
        <v>0</v>
      </c>
      <c r="N464" s="24" t="s">
        <v>1141</v>
      </c>
      <c r="O464" s="24" t="s">
        <v>23</v>
      </c>
      <c r="P464" s="24" t="s">
        <v>189</v>
      </c>
      <c r="Q464" s="24" t="s">
        <v>95</v>
      </c>
      <c r="R464" s="24" t="s">
        <v>404</v>
      </c>
      <c r="S464" s="34">
        <v>0.2</v>
      </c>
      <c r="T464" s="15">
        <v>36.783999999999999</v>
      </c>
      <c r="U464" s="18">
        <v>3.6783999999999999</v>
      </c>
      <c r="V464" s="56">
        <f>Table11[[#This Row],[Profit]]/Table11[[#This Row],[Sales]]</f>
        <v>0.1</v>
      </c>
    </row>
    <row r="465" spans="1:22" x14ac:dyDescent="0.2">
      <c r="A465" s="2">
        <v>464</v>
      </c>
      <c r="B465" s="3" t="s">
        <v>9263</v>
      </c>
      <c r="C465" s="7">
        <v>42134</v>
      </c>
      <c r="D465" s="28">
        <f>MONTH(Table11[[#This Row],[Order Date]])</f>
        <v>5</v>
      </c>
      <c r="E465" s="3" t="s">
        <v>4282</v>
      </c>
      <c r="F465" s="3" t="s">
        <v>4283</v>
      </c>
      <c r="G465" s="25" t="s">
        <v>64</v>
      </c>
      <c r="H465" s="25" t="s">
        <v>144</v>
      </c>
      <c r="I465" s="3" t="s">
        <v>1976</v>
      </c>
      <c r="J465" s="25" t="s">
        <v>22</v>
      </c>
      <c r="K465" s="28">
        <v>4</v>
      </c>
      <c r="L465" s="7">
        <v>42139</v>
      </c>
      <c r="M465" s="28">
        <f>Table11[[#This Row],[Ship Date]]-Table11[[#This Row],[Order Date]]</f>
        <v>5</v>
      </c>
      <c r="N465" s="25" t="s">
        <v>45</v>
      </c>
      <c r="O465" s="25" t="s">
        <v>23</v>
      </c>
      <c r="P465" s="25" t="s">
        <v>405</v>
      </c>
      <c r="Q465" s="25" t="s">
        <v>39</v>
      </c>
      <c r="R465" s="25" t="s">
        <v>1303</v>
      </c>
      <c r="S465" s="35">
        <v>0.2</v>
      </c>
      <c r="T465" s="16">
        <v>46.688000000000002</v>
      </c>
      <c r="U465" s="19">
        <v>-2.9180000000000001</v>
      </c>
      <c r="V465" s="56">
        <f>Table11[[#This Row],[Profit]]/Table11[[#This Row],[Sales]]</f>
        <v>-6.25E-2</v>
      </c>
    </row>
    <row r="466" spans="1:22" x14ac:dyDescent="0.2">
      <c r="A466" s="4">
        <v>465</v>
      </c>
      <c r="B466" s="5" t="s">
        <v>9902</v>
      </c>
      <c r="C466" s="6">
        <v>42135</v>
      </c>
      <c r="D466" s="27">
        <f>MONTH(Table11[[#This Row],[Order Date]])</f>
        <v>5</v>
      </c>
      <c r="E466" s="5" t="s">
        <v>3012</v>
      </c>
      <c r="F466" s="5" t="s">
        <v>3013</v>
      </c>
      <c r="G466" s="24" t="s">
        <v>28</v>
      </c>
      <c r="H466" s="24" t="s">
        <v>32</v>
      </c>
      <c r="I466" s="5" t="s">
        <v>270</v>
      </c>
      <c r="J466" s="24" t="s">
        <v>92</v>
      </c>
      <c r="K466" s="27">
        <v>7</v>
      </c>
      <c r="L466" s="6">
        <v>42140</v>
      </c>
      <c r="M466" s="27">
        <f>Table11[[#This Row],[Ship Date]]-Table11[[#This Row],[Order Date]]</f>
        <v>5</v>
      </c>
      <c r="N466" s="24" t="s">
        <v>20</v>
      </c>
      <c r="O466" s="24" t="s">
        <v>23</v>
      </c>
      <c r="P466" s="24" t="s">
        <v>277</v>
      </c>
      <c r="Q466" s="24" t="s">
        <v>39</v>
      </c>
      <c r="R466" s="24" t="s">
        <v>481</v>
      </c>
      <c r="S466" s="34">
        <v>0.2</v>
      </c>
      <c r="T466" s="15">
        <v>191.96799999999999</v>
      </c>
      <c r="U466" s="18">
        <v>16.7972</v>
      </c>
      <c r="V466" s="56">
        <f>Table11[[#This Row],[Profit]]/Table11[[#This Row],[Sales]]</f>
        <v>8.7500000000000008E-2</v>
      </c>
    </row>
    <row r="467" spans="1:22" x14ac:dyDescent="0.2">
      <c r="A467" s="4">
        <v>466</v>
      </c>
      <c r="B467" s="3" t="s">
        <v>5326</v>
      </c>
      <c r="C467" s="7">
        <v>42136</v>
      </c>
      <c r="D467" s="28">
        <f>MONTH(Table11[[#This Row],[Order Date]])</f>
        <v>5</v>
      </c>
      <c r="E467" s="3" t="s">
        <v>3939</v>
      </c>
      <c r="F467" s="3" t="s">
        <v>3940</v>
      </c>
      <c r="G467" s="25" t="s">
        <v>41</v>
      </c>
      <c r="H467" s="25" t="s">
        <v>82</v>
      </c>
      <c r="I467" s="3" t="s">
        <v>3501</v>
      </c>
      <c r="J467" s="25" t="s">
        <v>22</v>
      </c>
      <c r="K467" s="28">
        <v>3</v>
      </c>
      <c r="L467" s="7">
        <v>42140</v>
      </c>
      <c r="M467" s="28">
        <f>Table11[[#This Row],[Ship Date]]-Table11[[#This Row],[Order Date]]</f>
        <v>4</v>
      </c>
      <c r="N467" s="25" t="s">
        <v>45</v>
      </c>
      <c r="O467" s="25" t="s">
        <v>23</v>
      </c>
      <c r="P467" s="25" t="s">
        <v>38</v>
      </c>
      <c r="Q467" s="25" t="s">
        <v>39</v>
      </c>
      <c r="R467" s="25" t="s">
        <v>114</v>
      </c>
      <c r="S467" s="35">
        <v>0</v>
      </c>
      <c r="T467" s="16">
        <v>12.84</v>
      </c>
      <c r="U467" s="19">
        <v>5.7779999999999996</v>
      </c>
      <c r="V467" s="56">
        <f>Table11[[#This Row],[Profit]]/Table11[[#This Row],[Sales]]</f>
        <v>0.44999999999999996</v>
      </c>
    </row>
    <row r="468" spans="1:22" x14ac:dyDescent="0.2">
      <c r="A468" s="2">
        <v>467</v>
      </c>
      <c r="B468" s="5" t="s">
        <v>5326</v>
      </c>
      <c r="C468" s="6">
        <v>42136</v>
      </c>
      <c r="D468" s="27">
        <f>MONTH(Table11[[#This Row],[Order Date]])</f>
        <v>5</v>
      </c>
      <c r="E468" s="5" t="s">
        <v>5327</v>
      </c>
      <c r="F468" s="5" t="s">
        <v>5328</v>
      </c>
      <c r="G468" s="24" t="s">
        <v>41</v>
      </c>
      <c r="H468" s="24" t="s">
        <v>82</v>
      </c>
      <c r="I468" s="5" t="s">
        <v>3501</v>
      </c>
      <c r="J468" s="24" t="s">
        <v>22</v>
      </c>
      <c r="K468" s="27">
        <v>6</v>
      </c>
      <c r="L468" s="6">
        <v>42140</v>
      </c>
      <c r="M468" s="27">
        <f>Table11[[#This Row],[Ship Date]]-Table11[[#This Row],[Order Date]]</f>
        <v>4</v>
      </c>
      <c r="N468" s="24" t="s">
        <v>45</v>
      </c>
      <c r="O468" s="24" t="s">
        <v>23</v>
      </c>
      <c r="P468" s="24" t="s">
        <v>38</v>
      </c>
      <c r="Q468" s="24" t="s">
        <v>39</v>
      </c>
      <c r="R468" s="24" t="s">
        <v>114</v>
      </c>
      <c r="S468" s="34">
        <v>0</v>
      </c>
      <c r="T468" s="15">
        <v>25.68</v>
      </c>
      <c r="U468" s="18">
        <v>11.555999999999999</v>
      </c>
      <c r="V468" s="56">
        <f>Table11[[#This Row],[Profit]]/Table11[[#This Row],[Sales]]</f>
        <v>0.44999999999999996</v>
      </c>
    </row>
    <row r="469" spans="1:22" x14ac:dyDescent="0.2">
      <c r="A469" s="4">
        <v>468</v>
      </c>
      <c r="B469" s="3" t="s">
        <v>6967</v>
      </c>
      <c r="C469" s="7">
        <v>42136</v>
      </c>
      <c r="D469" s="28">
        <f>MONTH(Table11[[#This Row],[Order Date]])</f>
        <v>5</v>
      </c>
      <c r="E469" s="3" t="s">
        <v>3739</v>
      </c>
      <c r="F469" s="3" t="s">
        <v>3740</v>
      </c>
      <c r="G469" s="25" t="s">
        <v>64</v>
      </c>
      <c r="H469" s="25" t="s">
        <v>65</v>
      </c>
      <c r="I469" s="3" t="s">
        <v>2943</v>
      </c>
      <c r="J469" s="25" t="s">
        <v>22</v>
      </c>
      <c r="K469" s="28">
        <v>2</v>
      </c>
      <c r="L469" s="7">
        <v>42140</v>
      </c>
      <c r="M469" s="28">
        <f>Table11[[#This Row],[Ship Date]]-Table11[[#This Row],[Order Date]]</f>
        <v>4</v>
      </c>
      <c r="N469" s="25" t="s">
        <v>45</v>
      </c>
      <c r="O469" s="25" t="s">
        <v>23</v>
      </c>
      <c r="P469" s="25" t="s">
        <v>405</v>
      </c>
      <c r="Q469" s="25" t="s">
        <v>39</v>
      </c>
      <c r="R469" s="25" t="s">
        <v>1303</v>
      </c>
      <c r="S469" s="35">
        <v>0.2</v>
      </c>
      <c r="T469" s="16">
        <v>201.584</v>
      </c>
      <c r="U469" s="19">
        <v>20.1584</v>
      </c>
      <c r="V469" s="56">
        <f>Table11[[#This Row],[Profit]]/Table11[[#This Row],[Sales]]</f>
        <v>0.1</v>
      </c>
    </row>
    <row r="470" spans="1:22" x14ac:dyDescent="0.2">
      <c r="A470" s="4">
        <v>469</v>
      </c>
      <c r="B470" s="5" t="s">
        <v>7309</v>
      </c>
      <c r="C470" s="6">
        <v>42136</v>
      </c>
      <c r="D470" s="27">
        <f>MONTH(Table11[[#This Row],[Order Date]])</f>
        <v>5</v>
      </c>
      <c r="E470" s="5" t="s">
        <v>2629</v>
      </c>
      <c r="F470" s="5" t="s">
        <v>2630</v>
      </c>
      <c r="G470" s="24" t="s">
        <v>41</v>
      </c>
      <c r="H470" s="24" t="s">
        <v>53</v>
      </c>
      <c r="I470" s="5" t="s">
        <v>4881</v>
      </c>
      <c r="J470" s="24" t="s">
        <v>22</v>
      </c>
      <c r="K470" s="27">
        <v>3</v>
      </c>
      <c r="L470" s="6">
        <v>42140</v>
      </c>
      <c r="M470" s="27">
        <f>Table11[[#This Row],[Ship Date]]-Table11[[#This Row],[Order Date]]</f>
        <v>4</v>
      </c>
      <c r="N470" s="24" t="s">
        <v>20</v>
      </c>
      <c r="O470" s="24" t="s">
        <v>23</v>
      </c>
      <c r="P470" s="24" t="s">
        <v>238</v>
      </c>
      <c r="Q470" s="24" t="s">
        <v>133</v>
      </c>
      <c r="R470" s="24" t="s">
        <v>237</v>
      </c>
      <c r="S470" s="34">
        <v>0</v>
      </c>
      <c r="T470" s="15">
        <v>36.630000000000003</v>
      </c>
      <c r="U470" s="18">
        <v>9.8901000000000003</v>
      </c>
      <c r="V470" s="56">
        <f>Table11[[#This Row],[Profit]]/Table11[[#This Row],[Sales]]</f>
        <v>0.27</v>
      </c>
    </row>
    <row r="471" spans="1:22" x14ac:dyDescent="0.2">
      <c r="A471" s="2">
        <v>470</v>
      </c>
      <c r="B471" s="3" t="s">
        <v>8016</v>
      </c>
      <c r="C471" s="7">
        <v>42136</v>
      </c>
      <c r="D471" s="28">
        <f>MONTH(Table11[[#This Row],[Order Date]])</f>
        <v>5</v>
      </c>
      <c r="E471" s="3" t="s">
        <v>1797</v>
      </c>
      <c r="F471" s="3" t="s">
        <v>1798</v>
      </c>
      <c r="G471" s="25" t="s">
        <v>41</v>
      </c>
      <c r="H471" s="25" t="s">
        <v>68</v>
      </c>
      <c r="I471" s="3" t="s">
        <v>1504</v>
      </c>
      <c r="J471" s="25" t="s">
        <v>22</v>
      </c>
      <c r="K471" s="28">
        <v>3</v>
      </c>
      <c r="L471" s="7">
        <v>42142</v>
      </c>
      <c r="M471" s="28">
        <f>Table11[[#This Row],[Ship Date]]-Table11[[#This Row],[Order Date]]</f>
        <v>6</v>
      </c>
      <c r="N471" s="25" t="s">
        <v>45</v>
      </c>
      <c r="O471" s="25" t="s">
        <v>23</v>
      </c>
      <c r="P471" s="25" t="s">
        <v>87</v>
      </c>
      <c r="Q471" s="25" t="s">
        <v>39</v>
      </c>
      <c r="R471" s="25" t="s">
        <v>86</v>
      </c>
      <c r="S471" s="35">
        <v>0.2</v>
      </c>
      <c r="T471" s="16">
        <v>14.592000000000001</v>
      </c>
      <c r="U471" s="19">
        <v>4.9248000000000003</v>
      </c>
      <c r="V471" s="56">
        <f>Table11[[#This Row],[Profit]]/Table11[[#This Row],[Sales]]</f>
        <v>0.33750000000000002</v>
      </c>
    </row>
    <row r="472" spans="1:22" x14ac:dyDescent="0.2">
      <c r="A472" s="4">
        <v>471</v>
      </c>
      <c r="B472" s="5" t="s">
        <v>9383</v>
      </c>
      <c r="C472" s="6">
        <v>42136</v>
      </c>
      <c r="D472" s="27">
        <f>MONTH(Table11[[#This Row],[Order Date]])</f>
        <v>5</v>
      </c>
      <c r="E472" s="5" t="s">
        <v>6670</v>
      </c>
      <c r="F472" s="5" t="s">
        <v>6671</v>
      </c>
      <c r="G472" s="24" t="s">
        <v>28</v>
      </c>
      <c r="H472" s="24" t="s">
        <v>58</v>
      </c>
      <c r="I472" s="5" t="s">
        <v>3761</v>
      </c>
      <c r="J472" s="24" t="s">
        <v>22</v>
      </c>
      <c r="K472" s="27">
        <v>4</v>
      </c>
      <c r="L472" s="6">
        <v>42141</v>
      </c>
      <c r="M472" s="27">
        <f>Table11[[#This Row],[Ship Date]]-Table11[[#This Row],[Order Date]]</f>
        <v>5</v>
      </c>
      <c r="N472" s="24" t="s">
        <v>45</v>
      </c>
      <c r="O472" s="24" t="s">
        <v>23</v>
      </c>
      <c r="P472" s="24" t="s">
        <v>94</v>
      </c>
      <c r="Q472" s="24" t="s">
        <v>95</v>
      </c>
      <c r="R472" s="24" t="s">
        <v>165</v>
      </c>
      <c r="S472" s="34">
        <v>0.6</v>
      </c>
      <c r="T472" s="15">
        <v>21.968</v>
      </c>
      <c r="U472" s="18">
        <v>-15.9268</v>
      </c>
      <c r="V472" s="56">
        <f>Table11[[#This Row],[Profit]]/Table11[[#This Row],[Sales]]</f>
        <v>-0.72499999999999998</v>
      </c>
    </row>
    <row r="473" spans="1:22" x14ac:dyDescent="0.2">
      <c r="A473" s="4">
        <v>472</v>
      </c>
      <c r="B473" s="3" t="s">
        <v>9383</v>
      </c>
      <c r="C473" s="7">
        <v>42136</v>
      </c>
      <c r="D473" s="28">
        <f>MONTH(Table11[[#This Row],[Order Date]])</f>
        <v>5</v>
      </c>
      <c r="E473" s="3" t="s">
        <v>3306</v>
      </c>
      <c r="F473" s="3" t="s">
        <v>3307</v>
      </c>
      <c r="G473" s="25" t="s">
        <v>64</v>
      </c>
      <c r="H473" s="25" t="s">
        <v>65</v>
      </c>
      <c r="I473" s="3" t="s">
        <v>3761</v>
      </c>
      <c r="J473" s="25" t="s">
        <v>22</v>
      </c>
      <c r="K473" s="28">
        <v>6</v>
      </c>
      <c r="L473" s="7">
        <v>42141</v>
      </c>
      <c r="M473" s="28">
        <f>Table11[[#This Row],[Ship Date]]-Table11[[#This Row],[Order Date]]</f>
        <v>5</v>
      </c>
      <c r="N473" s="25" t="s">
        <v>45</v>
      </c>
      <c r="O473" s="25" t="s">
        <v>23</v>
      </c>
      <c r="P473" s="25" t="s">
        <v>94</v>
      </c>
      <c r="Q473" s="25" t="s">
        <v>95</v>
      </c>
      <c r="R473" s="25" t="s">
        <v>165</v>
      </c>
      <c r="S473" s="35">
        <v>0.2</v>
      </c>
      <c r="T473" s="16">
        <v>619.15200000000004</v>
      </c>
      <c r="U473" s="19">
        <v>69.654600000000002</v>
      </c>
      <c r="V473" s="56">
        <f>Table11[[#This Row],[Profit]]/Table11[[#This Row],[Sales]]</f>
        <v>0.11249999999999999</v>
      </c>
    </row>
    <row r="474" spans="1:22" x14ac:dyDescent="0.2">
      <c r="A474" s="2">
        <v>473</v>
      </c>
      <c r="B474" s="5" t="s">
        <v>9383</v>
      </c>
      <c r="C474" s="6">
        <v>42136</v>
      </c>
      <c r="D474" s="27">
        <f>MONTH(Table11[[#This Row],[Order Date]])</f>
        <v>5</v>
      </c>
      <c r="E474" s="5" t="s">
        <v>2062</v>
      </c>
      <c r="F474" s="5" t="s">
        <v>2063</v>
      </c>
      <c r="G474" s="24" t="s">
        <v>41</v>
      </c>
      <c r="H474" s="24" t="s">
        <v>82</v>
      </c>
      <c r="I474" s="5" t="s">
        <v>3761</v>
      </c>
      <c r="J474" s="24" t="s">
        <v>22</v>
      </c>
      <c r="K474" s="27">
        <v>7</v>
      </c>
      <c r="L474" s="6">
        <v>42141</v>
      </c>
      <c r="M474" s="27">
        <f>Table11[[#This Row],[Ship Date]]-Table11[[#This Row],[Order Date]]</f>
        <v>5</v>
      </c>
      <c r="N474" s="24" t="s">
        <v>45</v>
      </c>
      <c r="O474" s="24" t="s">
        <v>23</v>
      </c>
      <c r="P474" s="24" t="s">
        <v>94</v>
      </c>
      <c r="Q474" s="24" t="s">
        <v>95</v>
      </c>
      <c r="R474" s="24" t="s">
        <v>165</v>
      </c>
      <c r="S474" s="34">
        <v>0.2</v>
      </c>
      <c r="T474" s="15">
        <v>127.904</v>
      </c>
      <c r="U474" s="18">
        <v>41.568800000000003</v>
      </c>
      <c r="V474" s="56">
        <f>Table11[[#This Row],[Profit]]/Table11[[#This Row],[Sales]]</f>
        <v>0.32500000000000001</v>
      </c>
    </row>
    <row r="475" spans="1:22" x14ac:dyDescent="0.2">
      <c r="A475" s="4">
        <v>474</v>
      </c>
      <c r="B475" s="3" t="s">
        <v>8543</v>
      </c>
      <c r="C475" s="7">
        <v>42137</v>
      </c>
      <c r="D475" s="28">
        <f>MONTH(Table11[[#This Row],[Order Date]])</f>
        <v>5</v>
      </c>
      <c r="E475" s="3" t="s">
        <v>2999</v>
      </c>
      <c r="F475" s="3" t="s">
        <v>3000</v>
      </c>
      <c r="G475" s="25" t="s">
        <v>64</v>
      </c>
      <c r="H475" s="25" t="s">
        <v>65</v>
      </c>
      <c r="I475" s="3" t="s">
        <v>3034</v>
      </c>
      <c r="J475" s="25" t="s">
        <v>92</v>
      </c>
      <c r="K475" s="28">
        <v>2</v>
      </c>
      <c r="L475" s="7">
        <v>42142</v>
      </c>
      <c r="M475" s="28">
        <f>Table11[[#This Row],[Ship Date]]-Table11[[#This Row],[Order Date]]</f>
        <v>5</v>
      </c>
      <c r="N475" s="25" t="s">
        <v>20</v>
      </c>
      <c r="O475" s="25" t="s">
        <v>23</v>
      </c>
      <c r="P475" s="25" t="s">
        <v>189</v>
      </c>
      <c r="Q475" s="25" t="s">
        <v>95</v>
      </c>
      <c r="R475" s="25" t="s">
        <v>271</v>
      </c>
      <c r="S475" s="35">
        <v>0.2</v>
      </c>
      <c r="T475" s="16">
        <v>222.38399999999999</v>
      </c>
      <c r="U475" s="19">
        <v>16.678799999999999</v>
      </c>
      <c r="V475" s="56">
        <f>Table11[[#This Row],[Profit]]/Table11[[#This Row],[Sales]]</f>
        <v>7.4999999999999997E-2</v>
      </c>
    </row>
    <row r="476" spans="1:22" x14ac:dyDescent="0.2">
      <c r="A476" s="4">
        <v>475</v>
      </c>
      <c r="B476" s="5" t="s">
        <v>8543</v>
      </c>
      <c r="C476" s="6">
        <v>42137</v>
      </c>
      <c r="D476" s="27">
        <f>MONTH(Table11[[#This Row],[Order Date]])</f>
        <v>5</v>
      </c>
      <c r="E476" s="5" t="s">
        <v>2264</v>
      </c>
      <c r="F476" s="5" t="s">
        <v>2265</v>
      </c>
      <c r="G476" s="24" t="s">
        <v>41</v>
      </c>
      <c r="H476" s="24" t="s">
        <v>240</v>
      </c>
      <c r="I476" s="5" t="s">
        <v>3034</v>
      </c>
      <c r="J476" s="24" t="s">
        <v>92</v>
      </c>
      <c r="K476" s="27">
        <v>4</v>
      </c>
      <c r="L476" s="6">
        <v>42142</v>
      </c>
      <c r="M476" s="27">
        <f>Table11[[#This Row],[Ship Date]]-Table11[[#This Row],[Order Date]]</f>
        <v>5</v>
      </c>
      <c r="N476" s="24" t="s">
        <v>20</v>
      </c>
      <c r="O476" s="24" t="s">
        <v>23</v>
      </c>
      <c r="P476" s="24" t="s">
        <v>189</v>
      </c>
      <c r="Q476" s="24" t="s">
        <v>95</v>
      </c>
      <c r="R476" s="24" t="s">
        <v>271</v>
      </c>
      <c r="S476" s="34">
        <v>0.2</v>
      </c>
      <c r="T476" s="15">
        <v>16</v>
      </c>
      <c r="U476" s="18">
        <v>5.6</v>
      </c>
      <c r="V476" s="56">
        <f>Table11[[#This Row],[Profit]]/Table11[[#This Row],[Sales]]</f>
        <v>0.35</v>
      </c>
    </row>
    <row r="477" spans="1:22" x14ac:dyDescent="0.2">
      <c r="A477" s="2">
        <v>476</v>
      </c>
      <c r="B477" s="3" t="s">
        <v>1981</v>
      </c>
      <c r="C477" s="7">
        <v>42138</v>
      </c>
      <c r="D477" s="28">
        <f>MONTH(Table11[[#This Row],[Order Date]])</f>
        <v>5</v>
      </c>
      <c r="E477" s="3" t="s">
        <v>1025</v>
      </c>
      <c r="F477" s="3" t="s">
        <v>1026</v>
      </c>
      <c r="G477" s="25" t="s">
        <v>41</v>
      </c>
      <c r="H477" s="25" t="s">
        <v>61</v>
      </c>
      <c r="I477" s="3" t="s">
        <v>1982</v>
      </c>
      <c r="J477" s="25" t="s">
        <v>92</v>
      </c>
      <c r="K477" s="28">
        <v>8</v>
      </c>
      <c r="L477" s="7">
        <v>42141</v>
      </c>
      <c r="M477" s="28">
        <f>Table11[[#This Row],[Ship Date]]-Table11[[#This Row],[Order Date]]</f>
        <v>3</v>
      </c>
      <c r="N477" s="25" t="s">
        <v>169</v>
      </c>
      <c r="O477" s="25" t="s">
        <v>23</v>
      </c>
      <c r="P477" s="25" t="s">
        <v>132</v>
      </c>
      <c r="Q477" s="25" t="s">
        <v>133</v>
      </c>
      <c r="R477" s="25" t="s">
        <v>1983</v>
      </c>
      <c r="S477" s="35">
        <v>0.2</v>
      </c>
      <c r="T477" s="16">
        <v>198.27199999999999</v>
      </c>
      <c r="U477" s="19">
        <v>17.348800000000001</v>
      </c>
      <c r="V477" s="56">
        <f>Table11[[#This Row],[Profit]]/Table11[[#This Row],[Sales]]</f>
        <v>8.7500000000000008E-2</v>
      </c>
    </row>
    <row r="478" spans="1:22" x14ac:dyDescent="0.2">
      <c r="A478" s="4">
        <v>477</v>
      </c>
      <c r="B478" s="5" t="s">
        <v>1981</v>
      </c>
      <c r="C478" s="6">
        <v>42138</v>
      </c>
      <c r="D478" s="27">
        <f>MONTH(Table11[[#This Row],[Order Date]])</f>
        <v>5</v>
      </c>
      <c r="E478" s="5" t="s">
        <v>1984</v>
      </c>
      <c r="F478" s="5" t="s">
        <v>1985</v>
      </c>
      <c r="G478" s="24" t="s">
        <v>41</v>
      </c>
      <c r="H478" s="24" t="s">
        <v>42</v>
      </c>
      <c r="I478" s="5" t="s">
        <v>1982</v>
      </c>
      <c r="J478" s="24" t="s">
        <v>92</v>
      </c>
      <c r="K478" s="27">
        <v>4</v>
      </c>
      <c r="L478" s="6">
        <v>42141</v>
      </c>
      <c r="M478" s="27">
        <f>Table11[[#This Row],[Ship Date]]-Table11[[#This Row],[Order Date]]</f>
        <v>3</v>
      </c>
      <c r="N478" s="24" t="s">
        <v>169</v>
      </c>
      <c r="O478" s="24" t="s">
        <v>23</v>
      </c>
      <c r="P478" s="24" t="s">
        <v>132</v>
      </c>
      <c r="Q478" s="24" t="s">
        <v>133</v>
      </c>
      <c r="R478" s="24" t="s">
        <v>1983</v>
      </c>
      <c r="S478" s="34">
        <v>0.2</v>
      </c>
      <c r="T478" s="15">
        <v>47.36</v>
      </c>
      <c r="U478" s="18">
        <v>17.760000000000002</v>
      </c>
      <c r="V478" s="56">
        <f>Table11[[#This Row],[Profit]]/Table11[[#This Row],[Sales]]</f>
        <v>0.37500000000000006</v>
      </c>
    </row>
    <row r="479" spans="1:22" x14ac:dyDescent="0.2">
      <c r="A479" s="4">
        <v>478</v>
      </c>
      <c r="B479" s="3" t="s">
        <v>1981</v>
      </c>
      <c r="C479" s="7">
        <v>42138</v>
      </c>
      <c r="D479" s="28">
        <f>MONTH(Table11[[#This Row],[Order Date]])</f>
        <v>5</v>
      </c>
      <c r="E479" s="3" t="s">
        <v>334</v>
      </c>
      <c r="F479" s="3" t="s">
        <v>335</v>
      </c>
      <c r="G479" s="25" t="s">
        <v>41</v>
      </c>
      <c r="H479" s="25" t="s">
        <v>155</v>
      </c>
      <c r="I479" s="3" t="s">
        <v>1982</v>
      </c>
      <c r="J479" s="25" t="s">
        <v>92</v>
      </c>
      <c r="K479" s="28">
        <v>7</v>
      </c>
      <c r="L479" s="7">
        <v>42141</v>
      </c>
      <c r="M479" s="28">
        <f>Table11[[#This Row],[Ship Date]]-Table11[[#This Row],[Order Date]]</f>
        <v>3</v>
      </c>
      <c r="N479" s="25" t="s">
        <v>169</v>
      </c>
      <c r="O479" s="25" t="s">
        <v>23</v>
      </c>
      <c r="P479" s="25" t="s">
        <v>132</v>
      </c>
      <c r="Q479" s="25" t="s">
        <v>133</v>
      </c>
      <c r="R479" s="25" t="s">
        <v>1983</v>
      </c>
      <c r="S479" s="35">
        <v>0.2</v>
      </c>
      <c r="T479" s="16">
        <v>200.98400000000001</v>
      </c>
      <c r="U479" s="19">
        <v>62.807499999999997</v>
      </c>
      <c r="V479" s="56">
        <f>Table11[[#This Row],[Profit]]/Table11[[#This Row],[Sales]]</f>
        <v>0.3125</v>
      </c>
    </row>
    <row r="480" spans="1:22" x14ac:dyDescent="0.2">
      <c r="A480" s="2">
        <v>479</v>
      </c>
      <c r="B480" s="5" t="s">
        <v>1981</v>
      </c>
      <c r="C480" s="6">
        <v>42138</v>
      </c>
      <c r="D480" s="27">
        <f>MONTH(Table11[[#This Row],[Order Date]])</f>
        <v>5</v>
      </c>
      <c r="E480" s="5" t="s">
        <v>1986</v>
      </c>
      <c r="F480" s="5" t="s">
        <v>1987</v>
      </c>
      <c r="G480" s="24" t="s">
        <v>41</v>
      </c>
      <c r="H480" s="24" t="s">
        <v>42</v>
      </c>
      <c r="I480" s="5" t="s">
        <v>1982</v>
      </c>
      <c r="J480" s="24" t="s">
        <v>92</v>
      </c>
      <c r="K480" s="27">
        <v>4</v>
      </c>
      <c r="L480" s="6">
        <v>42141</v>
      </c>
      <c r="M480" s="27">
        <f>Table11[[#This Row],[Ship Date]]-Table11[[#This Row],[Order Date]]</f>
        <v>3</v>
      </c>
      <c r="N480" s="24" t="s">
        <v>169</v>
      </c>
      <c r="O480" s="24" t="s">
        <v>23</v>
      </c>
      <c r="P480" s="24" t="s">
        <v>132</v>
      </c>
      <c r="Q480" s="24" t="s">
        <v>133</v>
      </c>
      <c r="R480" s="24" t="s">
        <v>1983</v>
      </c>
      <c r="S480" s="34">
        <v>0.2</v>
      </c>
      <c r="T480" s="15">
        <v>97.695999999999998</v>
      </c>
      <c r="U480" s="18">
        <v>31.751200000000001</v>
      </c>
      <c r="V480" s="56">
        <f>Table11[[#This Row],[Profit]]/Table11[[#This Row],[Sales]]</f>
        <v>0.32500000000000001</v>
      </c>
    </row>
    <row r="481" spans="1:22" x14ac:dyDescent="0.2">
      <c r="A481" s="4">
        <v>480</v>
      </c>
      <c r="B481" s="3" t="s">
        <v>1981</v>
      </c>
      <c r="C481" s="7">
        <v>42138</v>
      </c>
      <c r="D481" s="28">
        <f>MONTH(Table11[[#This Row],[Order Date]])</f>
        <v>5</v>
      </c>
      <c r="E481" s="3" t="s">
        <v>1988</v>
      </c>
      <c r="F481" s="3" t="s">
        <v>1989</v>
      </c>
      <c r="G481" s="25" t="s">
        <v>41</v>
      </c>
      <c r="H481" s="25" t="s">
        <v>61</v>
      </c>
      <c r="I481" s="3" t="s">
        <v>1982</v>
      </c>
      <c r="J481" s="25" t="s">
        <v>92</v>
      </c>
      <c r="K481" s="28">
        <v>1</v>
      </c>
      <c r="L481" s="7">
        <v>42141</v>
      </c>
      <c r="M481" s="28">
        <f>Table11[[#This Row],[Ship Date]]-Table11[[#This Row],[Order Date]]</f>
        <v>3</v>
      </c>
      <c r="N481" s="25" t="s">
        <v>169</v>
      </c>
      <c r="O481" s="25" t="s">
        <v>23</v>
      </c>
      <c r="P481" s="25" t="s">
        <v>132</v>
      </c>
      <c r="Q481" s="25" t="s">
        <v>133</v>
      </c>
      <c r="R481" s="25" t="s">
        <v>1983</v>
      </c>
      <c r="S481" s="35">
        <v>0.2</v>
      </c>
      <c r="T481" s="16">
        <v>2.6960000000000002</v>
      </c>
      <c r="U481" s="19">
        <v>0.80879999999999996</v>
      </c>
      <c r="V481" s="56">
        <f>Table11[[#This Row],[Profit]]/Table11[[#This Row],[Sales]]</f>
        <v>0.3</v>
      </c>
    </row>
    <row r="482" spans="1:22" x14ac:dyDescent="0.2">
      <c r="A482" s="4">
        <v>481</v>
      </c>
      <c r="B482" s="5" t="s">
        <v>1981</v>
      </c>
      <c r="C482" s="6">
        <v>42138</v>
      </c>
      <c r="D482" s="27">
        <f>MONTH(Table11[[#This Row],[Order Date]])</f>
        <v>5</v>
      </c>
      <c r="E482" s="5" t="s">
        <v>1990</v>
      </c>
      <c r="F482" s="5" t="s">
        <v>1991</v>
      </c>
      <c r="G482" s="24" t="s">
        <v>41</v>
      </c>
      <c r="H482" s="24" t="s">
        <v>68</v>
      </c>
      <c r="I482" s="5" t="s">
        <v>1982</v>
      </c>
      <c r="J482" s="24" t="s">
        <v>92</v>
      </c>
      <c r="K482" s="27">
        <v>2</v>
      </c>
      <c r="L482" s="6">
        <v>42141</v>
      </c>
      <c r="M482" s="27">
        <f>Table11[[#This Row],[Ship Date]]-Table11[[#This Row],[Order Date]]</f>
        <v>3</v>
      </c>
      <c r="N482" s="24" t="s">
        <v>169</v>
      </c>
      <c r="O482" s="24" t="s">
        <v>23</v>
      </c>
      <c r="P482" s="24" t="s">
        <v>132</v>
      </c>
      <c r="Q482" s="24" t="s">
        <v>133</v>
      </c>
      <c r="R482" s="24" t="s">
        <v>1983</v>
      </c>
      <c r="S482" s="34">
        <v>0.7</v>
      </c>
      <c r="T482" s="15">
        <v>18.588000000000001</v>
      </c>
      <c r="U482" s="18">
        <v>-13.6312</v>
      </c>
      <c r="V482" s="56">
        <f>Table11[[#This Row],[Profit]]/Table11[[#This Row],[Sales]]</f>
        <v>-0.73333333333333328</v>
      </c>
    </row>
    <row r="483" spans="1:22" x14ac:dyDescent="0.2">
      <c r="A483" s="2">
        <v>482</v>
      </c>
      <c r="B483" s="3" t="s">
        <v>1981</v>
      </c>
      <c r="C483" s="7">
        <v>42138</v>
      </c>
      <c r="D483" s="28">
        <f>MONTH(Table11[[#This Row],[Order Date]])</f>
        <v>5</v>
      </c>
      <c r="E483" s="3" t="s">
        <v>1068</v>
      </c>
      <c r="F483" s="3" t="s">
        <v>1069</v>
      </c>
      <c r="G483" s="25" t="s">
        <v>41</v>
      </c>
      <c r="H483" s="25" t="s">
        <v>68</v>
      </c>
      <c r="I483" s="3" t="s">
        <v>1982</v>
      </c>
      <c r="J483" s="25" t="s">
        <v>92</v>
      </c>
      <c r="K483" s="28">
        <v>3</v>
      </c>
      <c r="L483" s="7">
        <v>42141</v>
      </c>
      <c r="M483" s="28">
        <f>Table11[[#This Row],[Ship Date]]-Table11[[#This Row],[Order Date]]</f>
        <v>3</v>
      </c>
      <c r="N483" s="25" t="s">
        <v>169</v>
      </c>
      <c r="O483" s="25" t="s">
        <v>23</v>
      </c>
      <c r="P483" s="25" t="s">
        <v>132</v>
      </c>
      <c r="Q483" s="25" t="s">
        <v>133</v>
      </c>
      <c r="R483" s="25" t="s">
        <v>1983</v>
      </c>
      <c r="S483" s="35">
        <v>0.7</v>
      </c>
      <c r="T483" s="16">
        <v>4.8959999999999999</v>
      </c>
      <c r="U483" s="19">
        <v>-3.4272</v>
      </c>
      <c r="V483" s="56">
        <f>Table11[[#This Row],[Profit]]/Table11[[#This Row],[Sales]]</f>
        <v>-0.70000000000000007</v>
      </c>
    </row>
    <row r="484" spans="1:22" x14ac:dyDescent="0.2">
      <c r="A484" s="4">
        <v>483</v>
      </c>
      <c r="B484" s="5" t="s">
        <v>8258</v>
      </c>
      <c r="C484" s="6">
        <v>42138</v>
      </c>
      <c r="D484" s="27">
        <f>MONTH(Table11[[#This Row],[Order Date]])</f>
        <v>5</v>
      </c>
      <c r="E484" s="5" t="s">
        <v>4978</v>
      </c>
      <c r="F484" s="5" t="s">
        <v>4979</v>
      </c>
      <c r="G484" s="24" t="s">
        <v>41</v>
      </c>
      <c r="H484" s="24" t="s">
        <v>53</v>
      </c>
      <c r="I484" s="5" t="s">
        <v>5155</v>
      </c>
      <c r="J484" s="24" t="s">
        <v>22</v>
      </c>
      <c r="K484" s="27">
        <v>4</v>
      </c>
      <c r="L484" s="6">
        <v>42145</v>
      </c>
      <c r="M484" s="27">
        <f>Table11[[#This Row],[Ship Date]]-Table11[[#This Row],[Order Date]]</f>
        <v>7</v>
      </c>
      <c r="N484" s="24" t="s">
        <v>45</v>
      </c>
      <c r="O484" s="24" t="s">
        <v>23</v>
      </c>
      <c r="P484" s="24" t="s">
        <v>38</v>
      </c>
      <c r="Q484" s="24" t="s">
        <v>39</v>
      </c>
      <c r="R484" s="24" t="s">
        <v>37</v>
      </c>
      <c r="S484" s="34">
        <v>0</v>
      </c>
      <c r="T484" s="15">
        <v>1117.92</v>
      </c>
      <c r="U484" s="18">
        <v>55.896000000000001</v>
      </c>
      <c r="V484" s="56">
        <f>Table11[[#This Row],[Profit]]/Table11[[#This Row],[Sales]]</f>
        <v>4.9999999999999996E-2</v>
      </c>
    </row>
    <row r="485" spans="1:22" x14ac:dyDescent="0.2">
      <c r="A485" s="4">
        <v>484</v>
      </c>
      <c r="B485" s="3" t="s">
        <v>8687</v>
      </c>
      <c r="C485" s="7">
        <v>42138</v>
      </c>
      <c r="D485" s="28">
        <f>MONTH(Table11[[#This Row],[Order Date]])</f>
        <v>5</v>
      </c>
      <c r="E485" s="3" t="s">
        <v>1966</v>
      </c>
      <c r="F485" s="3" t="s">
        <v>1967</v>
      </c>
      <c r="G485" s="25" t="s">
        <v>28</v>
      </c>
      <c r="H485" s="25" t="s">
        <v>29</v>
      </c>
      <c r="I485" s="3" t="s">
        <v>877</v>
      </c>
      <c r="J485" s="25" t="s">
        <v>36</v>
      </c>
      <c r="K485" s="28">
        <v>5</v>
      </c>
      <c r="L485" s="7">
        <v>42143</v>
      </c>
      <c r="M485" s="28">
        <f>Table11[[#This Row],[Ship Date]]-Table11[[#This Row],[Order Date]]</f>
        <v>5</v>
      </c>
      <c r="N485" s="25" t="s">
        <v>45</v>
      </c>
      <c r="O485" s="25" t="s">
        <v>23</v>
      </c>
      <c r="P485" s="25" t="s">
        <v>38</v>
      </c>
      <c r="Q485" s="25" t="s">
        <v>39</v>
      </c>
      <c r="R485" s="25" t="s">
        <v>8574</v>
      </c>
      <c r="S485" s="35">
        <v>0.15</v>
      </c>
      <c r="T485" s="16">
        <v>509.95749999999998</v>
      </c>
      <c r="U485" s="19">
        <v>41.996499999999997</v>
      </c>
      <c r="V485" s="56">
        <f>Table11[[#This Row],[Profit]]/Table11[[#This Row],[Sales]]</f>
        <v>8.2352941176470587E-2</v>
      </c>
    </row>
    <row r="486" spans="1:22" x14ac:dyDescent="0.2">
      <c r="A486" s="2">
        <v>485</v>
      </c>
      <c r="B486" s="5" t="s">
        <v>8687</v>
      </c>
      <c r="C486" s="6">
        <v>42138</v>
      </c>
      <c r="D486" s="27">
        <f>MONTH(Table11[[#This Row],[Order Date]])</f>
        <v>5</v>
      </c>
      <c r="E486" s="5" t="s">
        <v>1760</v>
      </c>
      <c r="F486" s="5" t="s">
        <v>1761</v>
      </c>
      <c r="G486" s="24" t="s">
        <v>28</v>
      </c>
      <c r="H486" s="24" t="s">
        <v>58</v>
      </c>
      <c r="I486" s="5" t="s">
        <v>877</v>
      </c>
      <c r="J486" s="24" t="s">
        <v>36</v>
      </c>
      <c r="K486" s="27">
        <v>3</v>
      </c>
      <c r="L486" s="6">
        <v>42143</v>
      </c>
      <c r="M486" s="27">
        <f>Table11[[#This Row],[Ship Date]]-Table11[[#This Row],[Order Date]]</f>
        <v>5</v>
      </c>
      <c r="N486" s="24" t="s">
        <v>45</v>
      </c>
      <c r="O486" s="24" t="s">
        <v>23</v>
      </c>
      <c r="P486" s="24" t="s">
        <v>38</v>
      </c>
      <c r="Q486" s="24" t="s">
        <v>39</v>
      </c>
      <c r="R486" s="24" t="s">
        <v>8574</v>
      </c>
      <c r="S486" s="34">
        <v>0</v>
      </c>
      <c r="T486" s="15">
        <v>122.91</v>
      </c>
      <c r="U486" s="18">
        <v>34.4148</v>
      </c>
      <c r="V486" s="56">
        <f>Table11[[#This Row],[Profit]]/Table11[[#This Row],[Sales]]</f>
        <v>0.28000000000000003</v>
      </c>
    </row>
    <row r="487" spans="1:22" x14ac:dyDescent="0.2">
      <c r="A487" s="4">
        <v>486</v>
      </c>
      <c r="B487" s="3" t="s">
        <v>8687</v>
      </c>
      <c r="C487" s="7">
        <v>42138</v>
      </c>
      <c r="D487" s="28">
        <f>MONTH(Table11[[#This Row],[Order Date]])</f>
        <v>5</v>
      </c>
      <c r="E487" s="3" t="s">
        <v>4368</v>
      </c>
      <c r="F487" s="3" t="s">
        <v>4369</v>
      </c>
      <c r="G487" s="25" t="s">
        <v>28</v>
      </c>
      <c r="H487" s="25" t="s">
        <v>32</v>
      </c>
      <c r="I487" s="3" t="s">
        <v>877</v>
      </c>
      <c r="J487" s="25" t="s">
        <v>36</v>
      </c>
      <c r="K487" s="28">
        <v>2</v>
      </c>
      <c r="L487" s="7">
        <v>42143</v>
      </c>
      <c r="M487" s="28">
        <f>Table11[[#This Row],[Ship Date]]-Table11[[#This Row],[Order Date]]</f>
        <v>5</v>
      </c>
      <c r="N487" s="25" t="s">
        <v>45</v>
      </c>
      <c r="O487" s="25" t="s">
        <v>23</v>
      </c>
      <c r="P487" s="25" t="s">
        <v>38</v>
      </c>
      <c r="Q487" s="25" t="s">
        <v>39</v>
      </c>
      <c r="R487" s="25" t="s">
        <v>8574</v>
      </c>
      <c r="S487" s="35">
        <v>0.2</v>
      </c>
      <c r="T487" s="16">
        <v>97.567999999999998</v>
      </c>
      <c r="U487" s="19">
        <v>-6.0979999999999999</v>
      </c>
      <c r="V487" s="56">
        <f>Table11[[#This Row],[Profit]]/Table11[[#This Row],[Sales]]</f>
        <v>-6.25E-2</v>
      </c>
    </row>
    <row r="488" spans="1:22" x14ac:dyDescent="0.2">
      <c r="A488" s="4">
        <v>487</v>
      </c>
      <c r="B488" s="5" t="s">
        <v>8687</v>
      </c>
      <c r="C488" s="6">
        <v>42138</v>
      </c>
      <c r="D488" s="27">
        <f>MONTH(Table11[[#This Row],[Order Date]])</f>
        <v>5</v>
      </c>
      <c r="E488" s="5" t="s">
        <v>5673</v>
      </c>
      <c r="F488" s="5" t="s">
        <v>5674</v>
      </c>
      <c r="G488" s="24" t="s">
        <v>28</v>
      </c>
      <c r="H488" s="24" t="s">
        <v>32</v>
      </c>
      <c r="I488" s="5" t="s">
        <v>877</v>
      </c>
      <c r="J488" s="24" t="s">
        <v>36</v>
      </c>
      <c r="K488" s="27">
        <v>3</v>
      </c>
      <c r="L488" s="6">
        <v>42143</v>
      </c>
      <c r="M488" s="27">
        <f>Table11[[#This Row],[Ship Date]]-Table11[[#This Row],[Order Date]]</f>
        <v>5</v>
      </c>
      <c r="N488" s="24" t="s">
        <v>45</v>
      </c>
      <c r="O488" s="24" t="s">
        <v>23</v>
      </c>
      <c r="P488" s="24" t="s">
        <v>38</v>
      </c>
      <c r="Q488" s="24" t="s">
        <v>39</v>
      </c>
      <c r="R488" s="24" t="s">
        <v>8574</v>
      </c>
      <c r="S488" s="34">
        <v>0.2</v>
      </c>
      <c r="T488" s="15">
        <v>722.35199999999998</v>
      </c>
      <c r="U488" s="18">
        <v>81.264600000000002</v>
      </c>
      <c r="V488" s="56">
        <f>Table11[[#This Row],[Profit]]/Table11[[#This Row],[Sales]]</f>
        <v>0.1125</v>
      </c>
    </row>
    <row r="489" spans="1:22" x14ac:dyDescent="0.2">
      <c r="A489" s="2">
        <v>488</v>
      </c>
      <c r="B489" s="3" t="s">
        <v>7635</v>
      </c>
      <c r="C489" s="7">
        <v>42139</v>
      </c>
      <c r="D489" s="28">
        <f>MONTH(Table11[[#This Row],[Order Date]])</f>
        <v>5</v>
      </c>
      <c r="E489" s="3" t="s">
        <v>4738</v>
      </c>
      <c r="F489" s="3" t="s">
        <v>4739</v>
      </c>
      <c r="G489" s="25" t="s">
        <v>41</v>
      </c>
      <c r="H489" s="25" t="s">
        <v>155</v>
      </c>
      <c r="I489" s="3" t="s">
        <v>5937</v>
      </c>
      <c r="J489" s="25" t="s">
        <v>36</v>
      </c>
      <c r="K489" s="28">
        <v>3</v>
      </c>
      <c r="L489" s="7">
        <v>42144</v>
      </c>
      <c r="M489" s="28">
        <f>Table11[[#This Row],[Ship Date]]-Table11[[#This Row],[Order Date]]</f>
        <v>5</v>
      </c>
      <c r="N489" s="25" t="s">
        <v>20</v>
      </c>
      <c r="O489" s="25" t="s">
        <v>23</v>
      </c>
      <c r="P489" s="25" t="s">
        <v>1125</v>
      </c>
      <c r="Q489" s="25" t="s">
        <v>26</v>
      </c>
      <c r="R489" s="25" t="s">
        <v>2871</v>
      </c>
      <c r="S489" s="35">
        <v>0</v>
      </c>
      <c r="T489" s="16">
        <v>17.940000000000001</v>
      </c>
      <c r="U489" s="19">
        <v>8.7905999999999995</v>
      </c>
      <c r="V489" s="56">
        <f>Table11[[#This Row],[Profit]]/Table11[[#This Row],[Sales]]</f>
        <v>0.48999999999999994</v>
      </c>
    </row>
    <row r="490" spans="1:22" x14ac:dyDescent="0.2">
      <c r="A490" s="4">
        <v>489</v>
      </c>
      <c r="B490" s="5" t="s">
        <v>9342</v>
      </c>
      <c r="C490" s="6">
        <v>42139</v>
      </c>
      <c r="D490" s="27">
        <f>MONTH(Table11[[#This Row],[Order Date]])</f>
        <v>5</v>
      </c>
      <c r="E490" s="5" t="s">
        <v>1953</v>
      </c>
      <c r="F490" s="5" t="s">
        <v>1954</v>
      </c>
      <c r="G490" s="24" t="s">
        <v>41</v>
      </c>
      <c r="H490" s="24" t="s">
        <v>53</v>
      </c>
      <c r="I490" s="5" t="s">
        <v>6044</v>
      </c>
      <c r="J490" s="24" t="s">
        <v>36</v>
      </c>
      <c r="K490" s="27">
        <v>2</v>
      </c>
      <c r="L490" s="6">
        <v>42146</v>
      </c>
      <c r="M490" s="27">
        <f>Table11[[#This Row],[Ship Date]]-Table11[[#This Row],[Order Date]]</f>
        <v>7</v>
      </c>
      <c r="N490" s="24" t="s">
        <v>45</v>
      </c>
      <c r="O490" s="24" t="s">
        <v>23</v>
      </c>
      <c r="P490" s="24" t="s">
        <v>132</v>
      </c>
      <c r="Q490" s="24" t="s">
        <v>133</v>
      </c>
      <c r="R490" s="24" t="s">
        <v>131</v>
      </c>
      <c r="S490" s="34">
        <v>0.2</v>
      </c>
      <c r="T490" s="15">
        <v>51.968000000000004</v>
      </c>
      <c r="U490" s="18">
        <v>-10.393599999999999</v>
      </c>
      <c r="V490" s="56">
        <f>Table11[[#This Row],[Profit]]/Table11[[#This Row],[Sales]]</f>
        <v>-0.19999999999999998</v>
      </c>
    </row>
    <row r="491" spans="1:22" x14ac:dyDescent="0.2">
      <c r="A491" s="4">
        <v>490</v>
      </c>
      <c r="B491" s="3" t="s">
        <v>3478</v>
      </c>
      <c r="C491" s="7">
        <v>42140</v>
      </c>
      <c r="D491" s="28">
        <f>MONTH(Table11[[#This Row],[Order Date]])</f>
        <v>5</v>
      </c>
      <c r="E491" s="3" t="s">
        <v>2257</v>
      </c>
      <c r="F491" s="3" t="s">
        <v>2258</v>
      </c>
      <c r="G491" s="25" t="s">
        <v>64</v>
      </c>
      <c r="H491" s="25" t="s">
        <v>144</v>
      </c>
      <c r="I491" s="3" t="s">
        <v>2012</v>
      </c>
      <c r="J491" s="25" t="s">
        <v>92</v>
      </c>
      <c r="K491" s="28">
        <v>4</v>
      </c>
      <c r="L491" s="7">
        <v>42140</v>
      </c>
      <c r="M491" s="28">
        <f>Table11[[#This Row],[Ship Date]]-Table11[[#This Row],[Order Date]]</f>
        <v>0</v>
      </c>
      <c r="N491" s="25" t="s">
        <v>1141</v>
      </c>
      <c r="O491" s="25" t="s">
        <v>23</v>
      </c>
      <c r="P491" s="25" t="s">
        <v>48</v>
      </c>
      <c r="Q491" s="25" t="s">
        <v>26</v>
      </c>
      <c r="R491" s="25" t="s">
        <v>1345</v>
      </c>
      <c r="S491" s="35">
        <v>0.2</v>
      </c>
      <c r="T491" s="16">
        <v>255.96799999999999</v>
      </c>
      <c r="U491" s="19">
        <v>31.995999999999999</v>
      </c>
      <c r="V491" s="56">
        <f>Table11[[#This Row],[Profit]]/Table11[[#This Row],[Sales]]</f>
        <v>0.125</v>
      </c>
    </row>
    <row r="492" spans="1:22" x14ac:dyDescent="0.2">
      <c r="A492" s="2">
        <v>491</v>
      </c>
      <c r="B492" s="5" t="s">
        <v>6650</v>
      </c>
      <c r="C492" s="6">
        <v>42141</v>
      </c>
      <c r="D492" s="27">
        <f>MONTH(Table11[[#This Row],[Order Date]])</f>
        <v>5</v>
      </c>
      <c r="E492" s="5" t="s">
        <v>4251</v>
      </c>
      <c r="F492" s="5" t="s">
        <v>4252</v>
      </c>
      <c r="G492" s="24" t="s">
        <v>41</v>
      </c>
      <c r="H492" s="24" t="s">
        <v>68</v>
      </c>
      <c r="I492" s="5" t="s">
        <v>202</v>
      </c>
      <c r="J492" s="24" t="s">
        <v>36</v>
      </c>
      <c r="K492" s="27">
        <v>5</v>
      </c>
      <c r="L492" s="6">
        <v>42145</v>
      </c>
      <c r="M492" s="27">
        <f>Table11[[#This Row],[Ship Date]]-Table11[[#This Row],[Order Date]]</f>
        <v>4</v>
      </c>
      <c r="N492" s="24" t="s">
        <v>45</v>
      </c>
      <c r="O492" s="24" t="s">
        <v>23</v>
      </c>
      <c r="P492" s="24" t="s">
        <v>94</v>
      </c>
      <c r="Q492" s="24" t="s">
        <v>95</v>
      </c>
      <c r="R492" s="24" t="s">
        <v>165</v>
      </c>
      <c r="S492" s="34">
        <v>0.8</v>
      </c>
      <c r="T492" s="15">
        <v>33.28</v>
      </c>
      <c r="U492" s="18">
        <v>-49.92</v>
      </c>
      <c r="V492" s="56">
        <f>Table11[[#This Row],[Profit]]/Table11[[#This Row],[Sales]]</f>
        <v>-1.5</v>
      </c>
    </row>
    <row r="493" spans="1:22" x14ac:dyDescent="0.2">
      <c r="A493" s="4">
        <v>492</v>
      </c>
      <c r="B493" s="3" t="s">
        <v>6650</v>
      </c>
      <c r="C493" s="7">
        <v>42141</v>
      </c>
      <c r="D493" s="28">
        <f>MONTH(Table11[[#This Row],[Order Date]])</f>
        <v>5</v>
      </c>
      <c r="E493" s="3" t="s">
        <v>2431</v>
      </c>
      <c r="F493" s="3" t="s">
        <v>2432</v>
      </c>
      <c r="G493" s="25" t="s">
        <v>41</v>
      </c>
      <c r="H493" s="25" t="s">
        <v>82</v>
      </c>
      <c r="I493" s="3" t="s">
        <v>202</v>
      </c>
      <c r="J493" s="25" t="s">
        <v>36</v>
      </c>
      <c r="K493" s="28">
        <v>3</v>
      </c>
      <c r="L493" s="7">
        <v>42145</v>
      </c>
      <c r="M493" s="28">
        <f>Table11[[#This Row],[Ship Date]]-Table11[[#This Row],[Order Date]]</f>
        <v>4</v>
      </c>
      <c r="N493" s="25" t="s">
        <v>45</v>
      </c>
      <c r="O493" s="25" t="s">
        <v>23</v>
      </c>
      <c r="P493" s="25" t="s">
        <v>94</v>
      </c>
      <c r="Q493" s="25" t="s">
        <v>95</v>
      </c>
      <c r="R493" s="25" t="s">
        <v>165</v>
      </c>
      <c r="S493" s="35">
        <v>0.2</v>
      </c>
      <c r="T493" s="16">
        <v>14.087999999999999</v>
      </c>
      <c r="U493" s="19">
        <v>4.9307999999999996</v>
      </c>
      <c r="V493" s="56">
        <f>Table11[[#This Row],[Profit]]/Table11[[#This Row],[Sales]]</f>
        <v>0.35</v>
      </c>
    </row>
    <row r="494" spans="1:22" x14ac:dyDescent="0.2">
      <c r="A494" s="4">
        <v>493</v>
      </c>
      <c r="B494" s="5" t="s">
        <v>10138</v>
      </c>
      <c r="C494" s="6">
        <v>42141</v>
      </c>
      <c r="D494" s="27">
        <f>MONTH(Table11[[#This Row],[Order Date]])</f>
        <v>5</v>
      </c>
      <c r="E494" s="5" t="s">
        <v>1273</v>
      </c>
      <c r="F494" s="5" t="s">
        <v>1274</v>
      </c>
      <c r="G494" s="24" t="s">
        <v>41</v>
      </c>
      <c r="H494" s="24" t="s">
        <v>42</v>
      </c>
      <c r="I494" s="5" t="s">
        <v>1733</v>
      </c>
      <c r="J494" s="24" t="s">
        <v>22</v>
      </c>
      <c r="K494" s="27">
        <v>10</v>
      </c>
      <c r="L494" s="6">
        <v>42147</v>
      </c>
      <c r="M494" s="27">
        <f>Table11[[#This Row],[Ship Date]]-Table11[[#This Row],[Order Date]]</f>
        <v>6</v>
      </c>
      <c r="N494" s="24" t="s">
        <v>45</v>
      </c>
      <c r="O494" s="24" t="s">
        <v>23</v>
      </c>
      <c r="P494" s="24" t="s">
        <v>238</v>
      </c>
      <c r="Q494" s="24" t="s">
        <v>133</v>
      </c>
      <c r="R494" s="24" t="s">
        <v>1037</v>
      </c>
      <c r="S494" s="34">
        <v>0</v>
      </c>
      <c r="T494" s="15">
        <v>31.5</v>
      </c>
      <c r="U494" s="18">
        <v>15.12</v>
      </c>
      <c r="V494" s="56">
        <f>Table11[[#This Row],[Profit]]/Table11[[#This Row],[Sales]]</f>
        <v>0.48</v>
      </c>
    </row>
    <row r="495" spans="1:22" x14ac:dyDescent="0.2">
      <c r="A495" s="2">
        <v>494</v>
      </c>
      <c r="B495" s="3" t="s">
        <v>10138</v>
      </c>
      <c r="C495" s="7">
        <v>42141</v>
      </c>
      <c r="D495" s="28">
        <f>MONTH(Table11[[#This Row],[Order Date]])</f>
        <v>5</v>
      </c>
      <c r="E495" s="3" t="s">
        <v>4274</v>
      </c>
      <c r="F495" s="3" t="s">
        <v>4275</v>
      </c>
      <c r="G495" s="25" t="s">
        <v>41</v>
      </c>
      <c r="H495" s="25" t="s">
        <v>513</v>
      </c>
      <c r="I495" s="3" t="s">
        <v>1733</v>
      </c>
      <c r="J495" s="25" t="s">
        <v>22</v>
      </c>
      <c r="K495" s="28">
        <v>4</v>
      </c>
      <c r="L495" s="7">
        <v>42147</v>
      </c>
      <c r="M495" s="28">
        <f>Table11[[#This Row],[Ship Date]]-Table11[[#This Row],[Order Date]]</f>
        <v>6</v>
      </c>
      <c r="N495" s="25" t="s">
        <v>45</v>
      </c>
      <c r="O495" s="25" t="s">
        <v>23</v>
      </c>
      <c r="P495" s="25" t="s">
        <v>238</v>
      </c>
      <c r="Q495" s="25" t="s">
        <v>133</v>
      </c>
      <c r="R495" s="25" t="s">
        <v>1037</v>
      </c>
      <c r="S495" s="35">
        <v>0</v>
      </c>
      <c r="T495" s="16">
        <v>55.6</v>
      </c>
      <c r="U495" s="19">
        <v>16.123999999999999</v>
      </c>
      <c r="V495" s="56">
        <f>Table11[[#This Row],[Profit]]/Table11[[#This Row],[Sales]]</f>
        <v>0.28999999999999998</v>
      </c>
    </row>
    <row r="496" spans="1:22" x14ac:dyDescent="0.2">
      <c r="A496" s="4">
        <v>495</v>
      </c>
      <c r="B496" s="5" t="s">
        <v>9612</v>
      </c>
      <c r="C496" s="6">
        <v>42142</v>
      </c>
      <c r="D496" s="27">
        <f>MONTH(Table11[[#This Row],[Order Date]])</f>
        <v>5</v>
      </c>
      <c r="E496" s="5" t="s">
        <v>1267</v>
      </c>
      <c r="F496" s="5" t="s">
        <v>1268</v>
      </c>
      <c r="G496" s="24" t="s">
        <v>41</v>
      </c>
      <c r="H496" s="24" t="s">
        <v>82</v>
      </c>
      <c r="I496" s="5" t="s">
        <v>2355</v>
      </c>
      <c r="J496" s="24" t="s">
        <v>36</v>
      </c>
      <c r="K496" s="27">
        <v>2</v>
      </c>
      <c r="L496" s="6">
        <v>42146</v>
      </c>
      <c r="M496" s="27">
        <f>Table11[[#This Row],[Ship Date]]-Table11[[#This Row],[Order Date]]</f>
        <v>4</v>
      </c>
      <c r="N496" s="24" t="s">
        <v>45</v>
      </c>
      <c r="O496" s="24" t="s">
        <v>23</v>
      </c>
      <c r="P496" s="24" t="s">
        <v>38</v>
      </c>
      <c r="Q496" s="24" t="s">
        <v>39</v>
      </c>
      <c r="R496" s="24" t="s">
        <v>37</v>
      </c>
      <c r="S496" s="34">
        <v>0</v>
      </c>
      <c r="T496" s="15">
        <v>10.86</v>
      </c>
      <c r="U496" s="18">
        <v>5.3213999999999997</v>
      </c>
      <c r="V496" s="56">
        <f>Table11[[#This Row],[Profit]]/Table11[[#This Row],[Sales]]</f>
        <v>0.49</v>
      </c>
    </row>
    <row r="497" spans="1:22" x14ac:dyDescent="0.2">
      <c r="A497" s="4">
        <v>496</v>
      </c>
      <c r="B497" s="3" t="s">
        <v>8269</v>
      </c>
      <c r="C497" s="7">
        <v>42144</v>
      </c>
      <c r="D497" s="28">
        <f>MONTH(Table11[[#This Row],[Order Date]])</f>
        <v>5</v>
      </c>
      <c r="E497" s="3" t="s">
        <v>4085</v>
      </c>
      <c r="F497" s="3" t="s">
        <v>4086</v>
      </c>
      <c r="G497" s="25" t="s">
        <v>28</v>
      </c>
      <c r="H497" s="25" t="s">
        <v>58</v>
      </c>
      <c r="I497" s="3" t="s">
        <v>3654</v>
      </c>
      <c r="J497" s="25" t="s">
        <v>22</v>
      </c>
      <c r="K497" s="28">
        <v>4</v>
      </c>
      <c r="L497" s="7">
        <v>42148</v>
      </c>
      <c r="M497" s="28">
        <f>Table11[[#This Row],[Ship Date]]-Table11[[#This Row],[Order Date]]</f>
        <v>4</v>
      </c>
      <c r="N497" s="25" t="s">
        <v>45</v>
      </c>
      <c r="O497" s="25" t="s">
        <v>23</v>
      </c>
      <c r="P497" s="25" t="s">
        <v>80</v>
      </c>
      <c r="Q497" s="25" t="s">
        <v>26</v>
      </c>
      <c r="R497" s="25" t="s">
        <v>8228</v>
      </c>
      <c r="S497" s="35">
        <v>0.2</v>
      </c>
      <c r="T497" s="16">
        <v>163.136</v>
      </c>
      <c r="U497" s="19">
        <v>20.391999999999999</v>
      </c>
      <c r="V497" s="56">
        <f>Table11[[#This Row],[Profit]]/Table11[[#This Row],[Sales]]</f>
        <v>0.125</v>
      </c>
    </row>
    <row r="498" spans="1:22" x14ac:dyDescent="0.2">
      <c r="A498" s="2">
        <v>497</v>
      </c>
      <c r="B498" s="5" t="s">
        <v>8269</v>
      </c>
      <c r="C498" s="6">
        <v>42144</v>
      </c>
      <c r="D498" s="27">
        <f>MONTH(Table11[[#This Row],[Order Date]])</f>
        <v>5</v>
      </c>
      <c r="E498" s="5" t="s">
        <v>3023</v>
      </c>
      <c r="F498" s="5" t="s">
        <v>3024</v>
      </c>
      <c r="G498" s="24" t="s">
        <v>41</v>
      </c>
      <c r="H498" s="24" t="s">
        <v>68</v>
      </c>
      <c r="I498" s="5" t="s">
        <v>3654</v>
      </c>
      <c r="J498" s="24" t="s">
        <v>22</v>
      </c>
      <c r="K498" s="27">
        <v>4</v>
      </c>
      <c r="L498" s="6">
        <v>42148</v>
      </c>
      <c r="M498" s="27">
        <f>Table11[[#This Row],[Ship Date]]-Table11[[#This Row],[Order Date]]</f>
        <v>4</v>
      </c>
      <c r="N498" s="24" t="s">
        <v>45</v>
      </c>
      <c r="O498" s="24" t="s">
        <v>23</v>
      </c>
      <c r="P498" s="24" t="s">
        <v>80</v>
      </c>
      <c r="Q498" s="24" t="s">
        <v>26</v>
      </c>
      <c r="R498" s="24" t="s">
        <v>8228</v>
      </c>
      <c r="S498" s="34">
        <v>0.7</v>
      </c>
      <c r="T498" s="15">
        <v>6.4080000000000004</v>
      </c>
      <c r="U498" s="18">
        <v>-4.9127999999999998</v>
      </c>
      <c r="V498" s="56">
        <f>Table11[[#This Row],[Profit]]/Table11[[#This Row],[Sales]]</f>
        <v>-0.76666666666666661</v>
      </c>
    </row>
    <row r="499" spans="1:22" x14ac:dyDescent="0.2">
      <c r="A499" s="4">
        <v>498</v>
      </c>
      <c r="B499" s="3" t="s">
        <v>7336</v>
      </c>
      <c r="C499" s="7">
        <v>42145</v>
      </c>
      <c r="D499" s="28">
        <f>MONTH(Table11[[#This Row],[Order Date]])</f>
        <v>5</v>
      </c>
      <c r="E499" s="3" t="s">
        <v>388</v>
      </c>
      <c r="F499" s="3" t="s">
        <v>389</v>
      </c>
      <c r="G499" s="25" t="s">
        <v>41</v>
      </c>
      <c r="H499" s="25" t="s">
        <v>71</v>
      </c>
      <c r="I499" s="3" t="s">
        <v>297</v>
      </c>
      <c r="J499" s="25" t="s">
        <v>22</v>
      </c>
      <c r="K499" s="28">
        <v>8</v>
      </c>
      <c r="L499" s="7">
        <v>42151</v>
      </c>
      <c r="M499" s="28">
        <f>Table11[[#This Row],[Ship Date]]-Table11[[#This Row],[Order Date]]</f>
        <v>6</v>
      </c>
      <c r="N499" s="25" t="s">
        <v>45</v>
      </c>
      <c r="O499" s="25" t="s">
        <v>23</v>
      </c>
      <c r="P499" s="25" t="s">
        <v>189</v>
      </c>
      <c r="Q499" s="25" t="s">
        <v>95</v>
      </c>
      <c r="R499" s="25" t="s">
        <v>7337</v>
      </c>
      <c r="S499" s="35">
        <v>0.8</v>
      </c>
      <c r="T499" s="16">
        <v>20.768000000000001</v>
      </c>
      <c r="U499" s="19">
        <v>-52.958399999999997</v>
      </c>
      <c r="V499" s="56">
        <f>Table11[[#This Row],[Profit]]/Table11[[#This Row],[Sales]]</f>
        <v>-2.5499999999999998</v>
      </c>
    </row>
    <row r="500" spans="1:22" x14ac:dyDescent="0.2">
      <c r="A500" s="4">
        <v>499</v>
      </c>
      <c r="B500" s="5" t="s">
        <v>7399</v>
      </c>
      <c r="C500" s="6">
        <v>42145</v>
      </c>
      <c r="D500" s="27">
        <f>MONTH(Table11[[#This Row],[Order Date]])</f>
        <v>5</v>
      </c>
      <c r="E500" s="5" t="s">
        <v>2305</v>
      </c>
      <c r="F500" s="5" t="s">
        <v>2306</v>
      </c>
      <c r="G500" s="24" t="s">
        <v>41</v>
      </c>
      <c r="H500" s="24" t="s">
        <v>68</v>
      </c>
      <c r="I500" s="5" t="s">
        <v>4128</v>
      </c>
      <c r="J500" s="24" t="s">
        <v>36</v>
      </c>
      <c r="K500" s="27">
        <v>4</v>
      </c>
      <c r="L500" s="6">
        <v>42149</v>
      </c>
      <c r="M500" s="27">
        <f>Table11[[#This Row],[Ship Date]]-Table11[[#This Row],[Order Date]]</f>
        <v>4</v>
      </c>
      <c r="N500" s="24" t="s">
        <v>45</v>
      </c>
      <c r="O500" s="24" t="s">
        <v>23</v>
      </c>
      <c r="P500" s="24" t="s">
        <v>87</v>
      </c>
      <c r="Q500" s="24" t="s">
        <v>39</v>
      </c>
      <c r="R500" s="24" t="s">
        <v>86</v>
      </c>
      <c r="S500" s="34">
        <v>0.2</v>
      </c>
      <c r="T500" s="15">
        <v>26.975999999999999</v>
      </c>
      <c r="U500" s="18">
        <v>8.7672000000000008</v>
      </c>
      <c r="V500" s="56">
        <f>Table11[[#This Row],[Profit]]/Table11[[#This Row],[Sales]]</f>
        <v>0.32500000000000007</v>
      </c>
    </row>
    <row r="501" spans="1:22" x14ac:dyDescent="0.2">
      <c r="A501" s="2">
        <v>500</v>
      </c>
      <c r="B501" s="3" t="s">
        <v>8399</v>
      </c>
      <c r="C501" s="7">
        <v>42145</v>
      </c>
      <c r="D501" s="28">
        <f>MONTH(Table11[[#This Row],[Order Date]])</f>
        <v>5</v>
      </c>
      <c r="E501" s="3" t="s">
        <v>2755</v>
      </c>
      <c r="F501" s="3" t="s">
        <v>2756</v>
      </c>
      <c r="G501" s="25" t="s">
        <v>41</v>
      </c>
      <c r="H501" s="25" t="s">
        <v>68</v>
      </c>
      <c r="I501" s="3" t="s">
        <v>3208</v>
      </c>
      <c r="J501" s="25" t="s">
        <v>36</v>
      </c>
      <c r="K501" s="28">
        <v>2</v>
      </c>
      <c r="L501" s="7">
        <v>42152</v>
      </c>
      <c r="M501" s="28">
        <f>Table11[[#This Row],[Ship Date]]-Table11[[#This Row],[Order Date]]</f>
        <v>7</v>
      </c>
      <c r="N501" s="25" t="s">
        <v>45</v>
      </c>
      <c r="O501" s="25" t="s">
        <v>23</v>
      </c>
      <c r="P501" s="25" t="s">
        <v>132</v>
      </c>
      <c r="Q501" s="25" t="s">
        <v>133</v>
      </c>
      <c r="R501" s="25" t="s">
        <v>131</v>
      </c>
      <c r="S501" s="35">
        <v>0.7</v>
      </c>
      <c r="T501" s="16">
        <v>24.588000000000001</v>
      </c>
      <c r="U501" s="19">
        <v>-18.031199999999998</v>
      </c>
      <c r="V501" s="56">
        <f>Table11[[#This Row],[Profit]]/Table11[[#This Row],[Sales]]</f>
        <v>-0.73333333333333328</v>
      </c>
    </row>
    <row r="502" spans="1:22" x14ac:dyDescent="0.2">
      <c r="A502" s="4">
        <v>501</v>
      </c>
      <c r="B502" s="5" t="s">
        <v>9051</v>
      </c>
      <c r="C502" s="6">
        <v>42146</v>
      </c>
      <c r="D502" s="27">
        <f>MONTH(Table11[[#This Row],[Order Date]])</f>
        <v>5</v>
      </c>
      <c r="E502" s="5" t="s">
        <v>2123</v>
      </c>
      <c r="F502" s="5" t="s">
        <v>2124</v>
      </c>
      <c r="G502" s="24" t="s">
        <v>41</v>
      </c>
      <c r="H502" s="24" t="s">
        <v>42</v>
      </c>
      <c r="I502" s="5" t="s">
        <v>7593</v>
      </c>
      <c r="J502" s="24" t="s">
        <v>22</v>
      </c>
      <c r="K502" s="27">
        <v>2</v>
      </c>
      <c r="L502" s="6">
        <v>42150</v>
      </c>
      <c r="M502" s="27">
        <f>Table11[[#This Row],[Ship Date]]-Table11[[#This Row],[Order Date]]</f>
        <v>4</v>
      </c>
      <c r="N502" s="24" t="s">
        <v>45</v>
      </c>
      <c r="O502" s="24" t="s">
        <v>23</v>
      </c>
      <c r="P502" s="24" t="s">
        <v>38</v>
      </c>
      <c r="Q502" s="24" t="s">
        <v>39</v>
      </c>
      <c r="R502" s="24" t="s">
        <v>37</v>
      </c>
      <c r="S502" s="34">
        <v>0</v>
      </c>
      <c r="T502" s="15">
        <v>8.26</v>
      </c>
      <c r="U502" s="18">
        <v>3.7995999999999999</v>
      </c>
      <c r="V502" s="56">
        <f>Table11[[#This Row],[Profit]]/Table11[[#This Row],[Sales]]</f>
        <v>0.46</v>
      </c>
    </row>
    <row r="503" spans="1:22" x14ac:dyDescent="0.2">
      <c r="A503" s="4">
        <v>502</v>
      </c>
      <c r="B503" s="3" t="s">
        <v>9051</v>
      </c>
      <c r="C503" s="7">
        <v>42146</v>
      </c>
      <c r="D503" s="28">
        <f>MONTH(Table11[[#This Row],[Order Date]])</f>
        <v>5</v>
      </c>
      <c r="E503" s="3" t="s">
        <v>2285</v>
      </c>
      <c r="F503" s="3" t="s">
        <v>2286</v>
      </c>
      <c r="G503" s="25" t="s">
        <v>64</v>
      </c>
      <c r="H503" s="25" t="s">
        <v>602</v>
      </c>
      <c r="I503" s="3" t="s">
        <v>7593</v>
      </c>
      <c r="J503" s="25" t="s">
        <v>22</v>
      </c>
      <c r="K503" s="28">
        <v>7</v>
      </c>
      <c r="L503" s="7">
        <v>42150</v>
      </c>
      <c r="M503" s="28">
        <f>Table11[[#This Row],[Ship Date]]-Table11[[#This Row],[Order Date]]</f>
        <v>4</v>
      </c>
      <c r="N503" s="25" t="s">
        <v>45</v>
      </c>
      <c r="O503" s="25" t="s">
        <v>23</v>
      </c>
      <c r="P503" s="25" t="s">
        <v>38</v>
      </c>
      <c r="Q503" s="25" t="s">
        <v>39</v>
      </c>
      <c r="R503" s="25" t="s">
        <v>37</v>
      </c>
      <c r="S503" s="35">
        <v>0.2</v>
      </c>
      <c r="T503" s="16">
        <v>2973.32</v>
      </c>
      <c r="U503" s="19">
        <v>334.49849999999998</v>
      </c>
      <c r="V503" s="56">
        <f>Table11[[#This Row],[Profit]]/Table11[[#This Row],[Sales]]</f>
        <v>0.11249999999999999</v>
      </c>
    </row>
    <row r="504" spans="1:22" x14ac:dyDescent="0.2">
      <c r="A504" s="2">
        <v>503</v>
      </c>
      <c r="B504" s="5" t="s">
        <v>9051</v>
      </c>
      <c r="C504" s="6">
        <v>42146</v>
      </c>
      <c r="D504" s="27">
        <f>MONTH(Table11[[#This Row],[Order Date]])</f>
        <v>5</v>
      </c>
      <c r="E504" s="5" t="s">
        <v>1148</v>
      </c>
      <c r="F504" s="5" t="s">
        <v>1149</v>
      </c>
      <c r="G504" s="24" t="s">
        <v>41</v>
      </c>
      <c r="H504" s="24" t="s">
        <v>53</v>
      </c>
      <c r="I504" s="5" t="s">
        <v>7593</v>
      </c>
      <c r="J504" s="24" t="s">
        <v>22</v>
      </c>
      <c r="K504" s="27">
        <v>7</v>
      </c>
      <c r="L504" s="6">
        <v>42150</v>
      </c>
      <c r="M504" s="27">
        <f>Table11[[#This Row],[Ship Date]]-Table11[[#This Row],[Order Date]]</f>
        <v>4</v>
      </c>
      <c r="N504" s="24" t="s">
        <v>45</v>
      </c>
      <c r="O504" s="24" t="s">
        <v>23</v>
      </c>
      <c r="P504" s="24" t="s">
        <v>38</v>
      </c>
      <c r="Q504" s="24" t="s">
        <v>39</v>
      </c>
      <c r="R504" s="24" t="s">
        <v>37</v>
      </c>
      <c r="S504" s="34">
        <v>0</v>
      </c>
      <c r="T504" s="15">
        <v>104.79</v>
      </c>
      <c r="U504" s="18">
        <v>29.341200000000001</v>
      </c>
      <c r="V504" s="56">
        <f>Table11[[#This Row],[Profit]]/Table11[[#This Row],[Sales]]</f>
        <v>0.27999999999999997</v>
      </c>
    </row>
    <row r="505" spans="1:22" x14ac:dyDescent="0.2">
      <c r="A505" s="4">
        <v>504</v>
      </c>
      <c r="B505" s="3" t="s">
        <v>9051</v>
      </c>
      <c r="C505" s="7">
        <v>42146</v>
      </c>
      <c r="D505" s="28">
        <f>MONTH(Table11[[#This Row],[Order Date]])</f>
        <v>5</v>
      </c>
      <c r="E505" s="3" t="s">
        <v>1052</v>
      </c>
      <c r="F505" s="3" t="s">
        <v>1053</v>
      </c>
      <c r="G505" s="25" t="s">
        <v>64</v>
      </c>
      <c r="H505" s="25" t="s">
        <v>65</v>
      </c>
      <c r="I505" s="3" t="s">
        <v>7593</v>
      </c>
      <c r="J505" s="25" t="s">
        <v>22</v>
      </c>
      <c r="K505" s="28">
        <v>6</v>
      </c>
      <c r="L505" s="7">
        <v>42150</v>
      </c>
      <c r="M505" s="28">
        <f>Table11[[#This Row],[Ship Date]]-Table11[[#This Row],[Order Date]]</f>
        <v>4</v>
      </c>
      <c r="N505" s="25" t="s">
        <v>45</v>
      </c>
      <c r="O505" s="25" t="s">
        <v>23</v>
      </c>
      <c r="P505" s="25" t="s">
        <v>38</v>
      </c>
      <c r="Q505" s="25" t="s">
        <v>39</v>
      </c>
      <c r="R505" s="25" t="s">
        <v>37</v>
      </c>
      <c r="S505" s="35">
        <v>0.2</v>
      </c>
      <c r="T505" s="16">
        <v>775.72799999999995</v>
      </c>
      <c r="U505" s="19">
        <v>58.179600000000001</v>
      </c>
      <c r="V505" s="56">
        <f>Table11[[#This Row],[Profit]]/Table11[[#This Row],[Sales]]</f>
        <v>7.5000000000000011E-2</v>
      </c>
    </row>
    <row r="506" spans="1:22" x14ac:dyDescent="0.2">
      <c r="A506" s="4">
        <v>505</v>
      </c>
      <c r="B506" s="5" t="s">
        <v>2170</v>
      </c>
      <c r="C506" s="6">
        <v>42147</v>
      </c>
      <c r="D506" s="27">
        <f>MONTH(Table11[[#This Row],[Order Date]])</f>
        <v>5</v>
      </c>
      <c r="E506" s="5" t="s">
        <v>2171</v>
      </c>
      <c r="F506" s="5" t="s">
        <v>2172</v>
      </c>
      <c r="G506" s="24" t="s">
        <v>41</v>
      </c>
      <c r="H506" s="24" t="s">
        <v>155</v>
      </c>
      <c r="I506" s="5" t="s">
        <v>789</v>
      </c>
      <c r="J506" s="24" t="s">
        <v>36</v>
      </c>
      <c r="K506" s="27">
        <v>3</v>
      </c>
      <c r="L506" s="6">
        <v>42152</v>
      </c>
      <c r="M506" s="27">
        <f>Table11[[#This Row],[Ship Date]]-Table11[[#This Row],[Order Date]]</f>
        <v>5</v>
      </c>
      <c r="N506" s="24" t="s">
        <v>45</v>
      </c>
      <c r="O506" s="24" t="s">
        <v>23</v>
      </c>
      <c r="P506" s="24" t="s">
        <v>342</v>
      </c>
      <c r="Q506" s="24" t="s">
        <v>26</v>
      </c>
      <c r="R506" s="24" t="s">
        <v>341</v>
      </c>
      <c r="S506" s="34">
        <v>0</v>
      </c>
      <c r="T506" s="15">
        <v>186.69</v>
      </c>
      <c r="U506" s="18">
        <v>87.744299999999996</v>
      </c>
      <c r="V506" s="56">
        <f>Table11[[#This Row],[Profit]]/Table11[[#This Row],[Sales]]</f>
        <v>0.47</v>
      </c>
    </row>
    <row r="507" spans="1:22" x14ac:dyDescent="0.2">
      <c r="A507" s="2">
        <v>506</v>
      </c>
      <c r="B507" s="3" t="s">
        <v>5823</v>
      </c>
      <c r="C507" s="7">
        <v>42147</v>
      </c>
      <c r="D507" s="28">
        <f>MONTH(Table11[[#This Row],[Order Date]])</f>
        <v>5</v>
      </c>
      <c r="E507" s="3" t="s">
        <v>2147</v>
      </c>
      <c r="F507" s="3" t="s">
        <v>2148</v>
      </c>
      <c r="G507" s="25" t="s">
        <v>41</v>
      </c>
      <c r="H507" s="25" t="s">
        <v>68</v>
      </c>
      <c r="I507" s="3" t="s">
        <v>137</v>
      </c>
      <c r="J507" s="25" t="s">
        <v>22</v>
      </c>
      <c r="K507" s="28">
        <v>7</v>
      </c>
      <c r="L507" s="7">
        <v>42154</v>
      </c>
      <c r="M507" s="28">
        <f>Table11[[#This Row],[Ship Date]]-Table11[[#This Row],[Order Date]]</f>
        <v>7</v>
      </c>
      <c r="N507" s="25" t="s">
        <v>45</v>
      </c>
      <c r="O507" s="25" t="s">
        <v>23</v>
      </c>
      <c r="P507" s="25" t="s">
        <v>277</v>
      </c>
      <c r="Q507" s="25" t="s">
        <v>39</v>
      </c>
      <c r="R507" s="25" t="s">
        <v>481</v>
      </c>
      <c r="S507" s="35">
        <v>0.7</v>
      </c>
      <c r="T507" s="16">
        <v>19.193999999999999</v>
      </c>
      <c r="U507" s="19">
        <v>-12.795999999999999</v>
      </c>
      <c r="V507" s="56">
        <f>Table11[[#This Row],[Profit]]/Table11[[#This Row],[Sales]]</f>
        <v>-0.66666666666666663</v>
      </c>
    </row>
    <row r="508" spans="1:22" x14ac:dyDescent="0.2">
      <c r="A508" s="4">
        <v>507</v>
      </c>
      <c r="B508" s="5" t="s">
        <v>5823</v>
      </c>
      <c r="C508" s="6">
        <v>42147</v>
      </c>
      <c r="D508" s="27">
        <f>MONTH(Table11[[#This Row],[Order Date]])</f>
        <v>5</v>
      </c>
      <c r="E508" s="5" t="s">
        <v>1758</v>
      </c>
      <c r="F508" s="5" t="s">
        <v>1759</v>
      </c>
      <c r="G508" s="24" t="s">
        <v>41</v>
      </c>
      <c r="H508" s="24" t="s">
        <v>71</v>
      </c>
      <c r="I508" s="5" t="s">
        <v>137</v>
      </c>
      <c r="J508" s="24" t="s">
        <v>22</v>
      </c>
      <c r="K508" s="27">
        <v>4</v>
      </c>
      <c r="L508" s="6">
        <v>42154</v>
      </c>
      <c r="M508" s="27">
        <f>Table11[[#This Row],[Ship Date]]-Table11[[#This Row],[Order Date]]</f>
        <v>7</v>
      </c>
      <c r="N508" s="24" t="s">
        <v>45</v>
      </c>
      <c r="O508" s="24" t="s">
        <v>23</v>
      </c>
      <c r="P508" s="24" t="s">
        <v>277</v>
      </c>
      <c r="Q508" s="24" t="s">
        <v>39</v>
      </c>
      <c r="R508" s="24" t="s">
        <v>481</v>
      </c>
      <c r="S508" s="34">
        <v>0.2</v>
      </c>
      <c r="T508" s="15">
        <v>121.792</v>
      </c>
      <c r="U508" s="18">
        <v>13.701599999999999</v>
      </c>
      <c r="V508" s="56">
        <f>Table11[[#This Row],[Profit]]/Table11[[#This Row],[Sales]]</f>
        <v>0.11249999999999999</v>
      </c>
    </row>
    <row r="509" spans="1:22" x14ac:dyDescent="0.2">
      <c r="A509" s="4">
        <v>508</v>
      </c>
      <c r="B509" s="3" t="s">
        <v>7239</v>
      </c>
      <c r="C509" s="7">
        <v>42147</v>
      </c>
      <c r="D509" s="28">
        <f>MONTH(Table11[[#This Row],[Order Date]])</f>
        <v>5</v>
      </c>
      <c r="E509" s="3" t="s">
        <v>1564</v>
      </c>
      <c r="F509" s="3" t="s">
        <v>1565</v>
      </c>
      <c r="G509" s="25" t="s">
        <v>41</v>
      </c>
      <c r="H509" s="25" t="s">
        <v>53</v>
      </c>
      <c r="I509" s="3" t="s">
        <v>893</v>
      </c>
      <c r="J509" s="25" t="s">
        <v>36</v>
      </c>
      <c r="K509" s="28">
        <v>3</v>
      </c>
      <c r="L509" s="7">
        <v>42151</v>
      </c>
      <c r="M509" s="28">
        <f>Table11[[#This Row],[Ship Date]]-Table11[[#This Row],[Order Date]]</f>
        <v>4</v>
      </c>
      <c r="N509" s="25" t="s">
        <v>45</v>
      </c>
      <c r="O509" s="25" t="s">
        <v>23</v>
      </c>
      <c r="P509" s="25" t="s">
        <v>1235</v>
      </c>
      <c r="Q509" s="25" t="s">
        <v>133</v>
      </c>
      <c r="R509" s="25" t="s">
        <v>6403</v>
      </c>
      <c r="S509" s="35">
        <v>0</v>
      </c>
      <c r="T509" s="16">
        <v>51.45</v>
      </c>
      <c r="U509" s="19">
        <v>13.891500000000001</v>
      </c>
      <c r="V509" s="56">
        <f>Table11[[#This Row],[Profit]]/Table11[[#This Row],[Sales]]</f>
        <v>0.27</v>
      </c>
    </row>
    <row r="510" spans="1:22" x14ac:dyDescent="0.2">
      <c r="A510" s="2">
        <v>509</v>
      </c>
      <c r="B510" s="5" t="s">
        <v>8791</v>
      </c>
      <c r="C510" s="6">
        <v>42147</v>
      </c>
      <c r="D510" s="27">
        <f>MONTH(Table11[[#This Row],[Order Date]])</f>
        <v>5</v>
      </c>
      <c r="E510" s="5" t="s">
        <v>4037</v>
      </c>
      <c r="F510" s="5" t="s">
        <v>4038</v>
      </c>
      <c r="G510" s="24" t="s">
        <v>41</v>
      </c>
      <c r="H510" s="24" t="s">
        <v>71</v>
      </c>
      <c r="I510" s="5" t="s">
        <v>1028</v>
      </c>
      <c r="J510" s="24" t="s">
        <v>92</v>
      </c>
      <c r="K510" s="27">
        <v>5</v>
      </c>
      <c r="L510" s="6">
        <v>42151</v>
      </c>
      <c r="M510" s="27">
        <f>Table11[[#This Row],[Ship Date]]-Table11[[#This Row],[Order Date]]</f>
        <v>4</v>
      </c>
      <c r="N510" s="24" t="s">
        <v>20</v>
      </c>
      <c r="O510" s="24" t="s">
        <v>23</v>
      </c>
      <c r="P510" s="24" t="s">
        <v>212</v>
      </c>
      <c r="Q510" s="24" t="s">
        <v>95</v>
      </c>
      <c r="R510" s="24" t="s">
        <v>775</v>
      </c>
      <c r="S510" s="34">
        <v>0.1</v>
      </c>
      <c r="T510" s="15">
        <v>850.5</v>
      </c>
      <c r="U510" s="18">
        <v>245.7</v>
      </c>
      <c r="V510" s="56">
        <f>Table11[[#This Row],[Profit]]/Table11[[#This Row],[Sales]]</f>
        <v>0.28888888888888886</v>
      </c>
    </row>
    <row r="511" spans="1:22" x14ac:dyDescent="0.2">
      <c r="A511" s="4">
        <v>510</v>
      </c>
      <c r="B511" s="3" t="s">
        <v>8791</v>
      </c>
      <c r="C511" s="7">
        <v>42147</v>
      </c>
      <c r="D511" s="28">
        <f>MONTH(Table11[[#This Row],[Order Date]])</f>
        <v>5</v>
      </c>
      <c r="E511" s="3" t="s">
        <v>3096</v>
      </c>
      <c r="F511" s="3" t="s">
        <v>3097</v>
      </c>
      <c r="G511" s="25" t="s">
        <v>28</v>
      </c>
      <c r="H511" s="25" t="s">
        <v>58</v>
      </c>
      <c r="I511" s="3" t="s">
        <v>1028</v>
      </c>
      <c r="J511" s="25" t="s">
        <v>92</v>
      </c>
      <c r="K511" s="28">
        <v>9</v>
      </c>
      <c r="L511" s="7">
        <v>42151</v>
      </c>
      <c r="M511" s="28">
        <f>Table11[[#This Row],[Ship Date]]-Table11[[#This Row],[Order Date]]</f>
        <v>4</v>
      </c>
      <c r="N511" s="25" t="s">
        <v>20</v>
      </c>
      <c r="O511" s="25" t="s">
        <v>23</v>
      </c>
      <c r="P511" s="25" t="s">
        <v>212</v>
      </c>
      <c r="Q511" s="25" t="s">
        <v>95</v>
      </c>
      <c r="R511" s="25" t="s">
        <v>775</v>
      </c>
      <c r="S511" s="35">
        <v>0</v>
      </c>
      <c r="T511" s="16">
        <v>75.33</v>
      </c>
      <c r="U511" s="19">
        <v>19.585799999999999</v>
      </c>
      <c r="V511" s="56">
        <f>Table11[[#This Row],[Profit]]/Table11[[#This Row],[Sales]]</f>
        <v>0.26</v>
      </c>
    </row>
    <row r="512" spans="1:22" x14ac:dyDescent="0.2">
      <c r="A512" s="4">
        <v>511</v>
      </c>
      <c r="B512" s="5" t="s">
        <v>8380</v>
      </c>
      <c r="C512" s="6">
        <v>42148</v>
      </c>
      <c r="D512" s="27">
        <f>MONTH(Table11[[#This Row],[Order Date]])</f>
        <v>5</v>
      </c>
      <c r="E512" s="5" t="s">
        <v>2803</v>
      </c>
      <c r="F512" s="5" t="s">
        <v>2804</v>
      </c>
      <c r="G512" s="24" t="s">
        <v>28</v>
      </c>
      <c r="H512" s="24" t="s">
        <v>32</v>
      </c>
      <c r="I512" s="5" t="s">
        <v>6810</v>
      </c>
      <c r="J512" s="24" t="s">
        <v>22</v>
      </c>
      <c r="K512" s="27">
        <v>7</v>
      </c>
      <c r="L512" s="6">
        <v>42150</v>
      </c>
      <c r="M512" s="27">
        <f>Table11[[#This Row],[Ship Date]]-Table11[[#This Row],[Order Date]]</f>
        <v>2</v>
      </c>
      <c r="N512" s="24" t="s">
        <v>20</v>
      </c>
      <c r="O512" s="24" t="s">
        <v>23</v>
      </c>
      <c r="P512" s="24" t="s">
        <v>189</v>
      </c>
      <c r="Q512" s="24" t="s">
        <v>95</v>
      </c>
      <c r="R512" s="24" t="s">
        <v>188</v>
      </c>
      <c r="S512" s="34">
        <v>0.3</v>
      </c>
      <c r="T512" s="15">
        <v>602.65099999999995</v>
      </c>
      <c r="U512" s="18">
        <v>-163.57669999999999</v>
      </c>
      <c r="V512" s="56">
        <f>Table11[[#This Row],[Profit]]/Table11[[#This Row],[Sales]]</f>
        <v>-0.27142857142857141</v>
      </c>
    </row>
    <row r="513" spans="1:22" x14ac:dyDescent="0.2">
      <c r="A513" s="2">
        <v>512</v>
      </c>
      <c r="B513" s="3" t="s">
        <v>8380</v>
      </c>
      <c r="C513" s="7">
        <v>42148</v>
      </c>
      <c r="D513" s="28">
        <f>MONTH(Table11[[#This Row],[Order Date]])</f>
        <v>5</v>
      </c>
      <c r="E513" s="3" t="s">
        <v>4280</v>
      </c>
      <c r="F513" s="3" t="s">
        <v>4281</v>
      </c>
      <c r="G513" s="25" t="s">
        <v>41</v>
      </c>
      <c r="H513" s="25" t="s">
        <v>68</v>
      </c>
      <c r="I513" s="3" t="s">
        <v>6810</v>
      </c>
      <c r="J513" s="25" t="s">
        <v>22</v>
      </c>
      <c r="K513" s="28">
        <v>6</v>
      </c>
      <c r="L513" s="7">
        <v>42150</v>
      </c>
      <c r="M513" s="28">
        <f>Table11[[#This Row],[Ship Date]]-Table11[[#This Row],[Order Date]]</f>
        <v>2</v>
      </c>
      <c r="N513" s="25" t="s">
        <v>20</v>
      </c>
      <c r="O513" s="25" t="s">
        <v>23</v>
      </c>
      <c r="P513" s="25" t="s">
        <v>189</v>
      </c>
      <c r="Q513" s="25" t="s">
        <v>95</v>
      </c>
      <c r="R513" s="25" t="s">
        <v>188</v>
      </c>
      <c r="S513" s="35">
        <v>0.8</v>
      </c>
      <c r="T513" s="16">
        <v>7.6559999999999997</v>
      </c>
      <c r="U513" s="19">
        <v>-13.0152</v>
      </c>
      <c r="V513" s="56">
        <f>Table11[[#This Row],[Profit]]/Table11[[#This Row],[Sales]]</f>
        <v>-1.7000000000000002</v>
      </c>
    </row>
    <row r="514" spans="1:22" x14ac:dyDescent="0.2">
      <c r="A514" s="4">
        <v>513</v>
      </c>
      <c r="B514" s="5" t="s">
        <v>3175</v>
      </c>
      <c r="C514" s="6">
        <v>42149</v>
      </c>
      <c r="D514" s="27">
        <f>MONTH(Table11[[#This Row],[Order Date]])</f>
        <v>5</v>
      </c>
      <c r="E514" s="5" t="s">
        <v>2483</v>
      </c>
      <c r="F514" s="5" t="s">
        <v>2484</v>
      </c>
      <c r="G514" s="24" t="s">
        <v>41</v>
      </c>
      <c r="H514" s="24" t="s">
        <v>71</v>
      </c>
      <c r="I514" s="5" t="s">
        <v>3176</v>
      </c>
      <c r="J514" s="24" t="s">
        <v>22</v>
      </c>
      <c r="K514" s="27">
        <v>13</v>
      </c>
      <c r="L514" s="6">
        <v>42153</v>
      </c>
      <c r="M514" s="27">
        <f>Table11[[#This Row],[Ship Date]]-Table11[[#This Row],[Order Date]]</f>
        <v>4</v>
      </c>
      <c r="N514" s="24" t="s">
        <v>45</v>
      </c>
      <c r="O514" s="24" t="s">
        <v>23</v>
      </c>
      <c r="P514" s="24" t="s">
        <v>405</v>
      </c>
      <c r="Q514" s="24" t="s">
        <v>39</v>
      </c>
      <c r="R514" s="24" t="s">
        <v>3177</v>
      </c>
      <c r="S514" s="34">
        <v>0.2</v>
      </c>
      <c r="T514" s="15">
        <v>845.72799999999995</v>
      </c>
      <c r="U514" s="18">
        <v>84.572800000000001</v>
      </c>
      <c r="V514" s="56">
        <f>Table11[[#This Row],[Profit]]/Table11[[#This Row],[Sales]]</f>
        <v>0.1</v>
      </c>
    </row>
    <row r="515" spans="1:22" x14ac:dyDescent="0.2">
      <c r="A515" s="4">
        <v>514</v>
      </c>
      <c r="B515" s="3" t="s">
        <v>4247</v>
      </c>
      <c r="C515" s="7">
        <v>42149</v>
      </c>
      <c r="D515" s="28">
        <f>MONTH(Table11[[#This Row],[Order Date]])</f>
        <v>5</v>
      </c>
      <c r="E515" s="3" t="s">
        <v>3007</v>
      </c>
      <c r="F515" s="3" t="s">
        <v>3008</v>
      </c>
      <c r="G515" s="25" t="s">
        <v>28</v>
      </c>
      <c r="H515" s="25" t="s">
        <v>58</v>
      </c>
      <c r="I515" s="3" t="s">
        <v>3493</v>
      </c>
      <c r="J515" s="25" t="s">
        <v>92</v>
      </c>
      <c r="K515" s="28">
        <v>3</v>
      </c>
      <c r="L515" s="7">
        <v>42151</v>
      </c>
      <c r="M515" s="28">
        <f>Table11[[#This Row],[Ship Date]]-Table11[[#This Row],[Order Date]]</f>
        <v>2</v>
      </c>
      <c r="N515" s="25" t="s">
        <v>20</v>
      </c>
      <c r="O515" s="25" t="s">
        <v>23</v>
      </c>
      <c r="P515" s="25" t="s">
        <v>38</v>
      </c>
      <c r="Q515" s="25" t="s">
        <v>39</v>
      </c>
      <c r="R515" s="25" t="s">
        <v>114</v>
      </c>
      <c r="S515" s="35">
        <v>0</v>
      </c>
      <c r="T515" s="16">
        <v>14.73</v>
      </c>
      <c r="U515" s="19">
        <v>4.8609</v>
      </c>
      <c r="V515" s="56">
        <f>Table11[[#This Row],[Profit]]/Table11[[#This Row],[Sales]]</f>
        <v>0.33</v>
      </c>
    </row>
    <row r="516" spans="1:22" x14ac:dyDescent="0.2">
      <c r="A516" s="2">
        <v>515</v>
      </c>
      <c r="B516" s="5" t="s">
        <v>6865</v>
      </c>
      <c r="C516" s="6">
        <v>42149</v>
      </c>
      <c r="D516" s="27">
        <f>MONTH(Table11[[#This Row],[Order Date]])</f>
        <v>5</v>
      </c>
      <c r="E516" s="5" t="s">
        <v>6735</v>
      </c>
      <c r="F516" s="5" t="s">
        <v>6736</v>
      </c>
      <c r="G516" s="24" t="s">
        <v>41</v>
      </c>
      <c r="H516" s="24" t="s">
        <v>61</v>
      </c>
      <c r="I516" s="5" t="s">
        <v>1028</v>
      </c>
      <c r="J516" s="24" t="s">
        <v>92</v>
      </c>
      <c r="K516" s="27">
        <v>3</v>
      </c>
      <c r="L516" s="6">
        <v>42151</v>
      </c>
      <c r="M516" s="27">
        <f>Table11[[#This Row],[Ship Date]]-Table11[[#This Row],[Order Date]]</f>
        <v>2</v>
      </c>
      <c r="N516" s="24" t="s">
        <v>20</v>
      </c>
      <c r="O516" s="24" t="s">
        <v>23</v>
      </c>
      <c r="P516" s="24" t="s">
        <v>4001</v>
      </c>
      <c r="Q516" s="24" t="s">
        <v>95</v>
      </c>
      <c r="R516" s="24" t="s">
        <v>6518</v>
      </c>
      <c r="S516" s="34">
        <v>0</v>
      </c>
      <c r="T516" s="15">
        <v>21.24</v>
      </c>
      <c r="U516" s="18">
        <v>8.0711999999999993</v>
      </c>
      <c r="V516" s="56">
        <f>Table11[[#This Row],[Profit]]/Table11[[#This Row],[Sales]]</f>
        <v>0.38</v>
      </c>
    </row>
    <row r="517" spans="1:22" x14ac:dyDescent="0.2">
      <c r="A517" s="4">
        <v>516</v>
      </c>
      <c r="B517" s="3" t="s">
        <v>6865</v>
      </c>
      <c r="C517" s="7">
        <v>42149</v>
      </c>
      <c r="D517" s="28">
        <f>MONTH(Table11[[#This Row],[Order Date]])</f>
        <v>5</v>
      </c>
      <c r="E517" s="3" t="s">
        <v>4429</v>
      </c>
      <c r="F517" s="3" t="s">
        <v>4430</v>
      </c>
      <c r="G517" s="25" t="s">
        <v>41</v>
      </c>
      <c r="H517" s="25" t="s">
        <v>68</v>
      </c>
      <c r="I517" s="3" t="s">
        <v>1028</v>
      </c>
      <c r="J517" s="25" t="s">
        <v>92</v>
      </c>
      <c r="K517" s="28">
        <v>2</v>
      </c>
      <c r="L517" s="7">
        <v>42151</v>
      </c>
      <c r="M517" s="28">
        <f>Table11[[#This Row],[Ship Date]]-Table11[[#This Row],[Order Date]]</f>
        <v>2</v>
      </c>
      <c r="N517" s="25" t="s">
        <v>20</v>
      </c>
      <c r="O517" s="25" t="s">
        <v>23</v>
      </c>
      <c r="P517" s="25" t="s">
        <v>4001</v>
      </c>
      <c r="Q517" s="25" t="s">
        <v>95</v>
      </c>
      <c r="R517" s="25" t="s">
        <v>6518</v>
      </c>
      <c r="S517" s="35">
        <v>0</v>
      </c>
      <c r="T517" s="16">
        <v>127.96</v>
      </c>
      <c r="U517" s="19">
        <v>60.141199999999998</v>
      </c>
      <c r="V517" s="56">
        <f>Table11[[#This Row],[Profit]]/Table11[[#This Row],[Sales]]</f>
        <v>0.47000000000000003</v>
      </c>
    </row>
    <row r="518" spans="1:22" x14ac:dyDescent="0.2">
      <c r="A518" s="4">
        <v>517</v>
      </c>
      <c r="B518" s="5" t="s">
        <v>7151</v>
      </c>
      <c r="C518" s="6">
        <v>42149</v>
      </c>
      <c r="D518" s="27">
        <f>MONTH(Table11[[#This Row],[Order Date]])</f>
        <v>5</v>
      </c>
      <c r="E518" s="5" t="s">
        <v>4646</v>
      </c>
      <c r="F518" s="5" t="s">
        <v>4647</v>
      </c>
      <c r="G518" s="24" t="s">
        <v>64</v>
      </c>
      <c r="H518" s="24" t="s">
        <v>65</v>
      </c>
      <c r="I518" s="5" t="s">
        <v>2814</v>
      </c>
      <c r="J518" s="24" t="s">
        <v>36</v>
      </c>
      <c r="K518" s="27">
        <v>4</v>
      </c>
      <c r="L518" s="6">
        <v>42152</v>
      </c>
      <c r="M518" s="27">
        <f>Table11[[#This Row],[Ship Date]]-Table11[[#This Row],[Order Date]]</f>
        <v>3</v>
      </c>
      <c r="N518" s="24" t="s">
        <v>20</v>
      </c>
      <c r="O518" s="24" t="s">
        <v>23</v>
      </c>
      <c r="P518" s="24" t="s">
        <v>299</v>
      </c>
      <c r="Q518" s="24" t="s">
        <v>26</v>
      </c>
      <c r="R518" s="24" t="s">
        <v>341</v>
      </c>
      <c r="S518" s="34">
        <v>0.2</v>
      </c>
      <c r="T518" s="15">
        <v>467.04</v>
      </c>
      <c r="U518" s="18">
        <v>58.38</v>
      </c>
      <c r="V518" s="56">
        <f>Table11[[#This Row],[Profit]]/Table11[[#This Row],[Sales]]</f>
        <v>0.125</v>
      </c>
    </row>
    <row r="519" spans="1:22" x14ac:dyDescent="0.2">
      <c r="A519" s="2">
        <v>518</v>
      </c>
      <c r="B519" s="3" t="s">
        <v>9645</v>
      </c>
      <c r="C519" s="7">
        <v>42149</v>
      </c>
      <c r="D519" s="28">
        <f>MONTH(Table11[[#This Row],[Order Date]])</f>
        <v>5</v>
      </c>
      <c r="E519" s="3" t="s">
        <v>4934</v>
      </c>
      <c r="F519" s="3" t="s">
        <v>4935</v>
      </c>
      <c r="G519" s="25" t="s">
        <v>41</v>
      </c>
      <c r="H519" s="25" t="s">
        <v>513</v>
      </c>
      <c r="I519" s="3" t="s">
        <v>1167</v>
      </c>
      <c r="J519" s="25" t="s">
        <v>36</v>
      </c>
      <c r="K519" s="28">
        <v>2</v>
      </c>
      <c r="L519" s="7">
        <v>42152</v>
      </c>
      <c r="M519" s="28">
        <f>Table11[[#This Row],[Ship Date]]-Table11[[#This Row],[Order Date]]</f>
        <v>3</v>
      </c>
      <c r="N519" s="25" t="s">
        <v>169</v>
      </c>
      <c r="O519" s="25" t="s">
        <v>23</v>
      </c>
      <c r="P519" s="25" t="s">
        <v>94</v>
      </c>
      <c r="Q519" s="25" t="s">
        <v>95</v>
      </c>
      <c r="R519" s="25" t="s">
        <v>5063</v>
      </c>
      <c r="S519" s="35">
        <v>0.2</v>
      </c>
      <c r="T519" s="16">
        <v>22.367999999999999</v>
      </c>
      <c r="U519" s="19">
        <v>1.6776</v>
      </c>
      <c r="V519" s="56">
        <f>Table11[[#This Row],[Profit]]/Table11[[#This Row],[Sales]]</f>
        <v>7.4999999999999997E-2</v>
      </c>
    </row>
    <row r="520" spans="1:22" x14ac:dyDescent="0.2">
      <c r="A520" s="4">
        <v>519</v>
      </c>
      <c r="B520" s="5" t="s">
        <v>9645</v>
      </c>
      <c r="C520" s="6">
        <v>42149</v>
      </c>
      <c r="D520" s="27">
        <f>MONTH(Table11[[#This Row],[Order Date]])</f>
        <v>5</v>
      </c>
      <c r="E520" s="5" t="s">
        <v>4307</v>
      </c>
      <c r="F520" s="5" t="s">
        <v>4308</v>
      </c>
      <c r="G520" s="24" t="s">
        <v>41</v>
      </c>
      <c r="H520" s="24" t="s">
        <v>82</v>
      </c>
      <c r="I520" s="5" t="s">
        <v>1167</v>
      </c>
      <c r="J520" s="24" t="s">
        <v>36</v>
      </c>
      <c r="K520" s="27">
        <v>7</v>
      </c>
      <c r="L520" s="6">
        <v>42152</v>
      </c>
      <c r="M520" s="27">
        <f>Table11[[#This Row],[Ship Date]]-Table11[[#This Row],[Order Date]]</f>
        <v>3</v>
      </c>
      <c r="N520" s="24" t="s">
        <v>169</v>
      </c>
      <c r="O520" s="24" t="s">
        <v>23</v>
      </c>
      <c r="P520" s="24" t="s">
        <v>94</v>
      </c>
      <c r="Q520" s="24" t="s">
        <v>95</v>
      </c>
      <c r="R520" s="24" t="s">
        <v>5063</v>
      </c>
      <c r="S520" s="34">
        <v>0.2</v>
      </c>
      <c r="T520" s="15">
        <v>32.368000000000002</v>
      </c>
      <c r="U520" s="18">
        <v>11.7334</v>
      </c>
      <c r="V520" s="56">
        <f>Table11[[#This Row],[Profit]]/Table11[[#This Row],[Sales]]</f>
        <v>0.36249999999999999</v>
      </c>
    </row>
    <row r="521" spans="1:22" x14ac:dyDescent="0.2">
      <c r="A521" s="4">
        <v>520</v>
      </c>
      <c r="B521" s="3" t="s">
        <v>9645</v>
      </c>
      <c r="C521" s="7">
        <v>42149</v>
      </c>
      <c r="D521" s="28">
        <f>MONTH(Table11[[#This Row],[Order Date]])</f>
        <v>5</v>
      </c>
      <c r="E521" s="3" t="s">
        <v>4726</v>
      </c>
      <c r="F521" s="3" t="s">
        <v>4727</v>
      </c>
      <c r="G521" s="25" t="s">
        <v>64</v>
      </c>
      <c r="H521" s="25" t="s">
        <v>144</v>
      </c>
      <c r="I521" s="3" t="s">
        <v>1167</v>
      </c>
      <c r="J521" s="25" t="s">
        <v>36</v>
      </c>
      <c r="K521" s="28">
        <v>2</v>
      </c>
      <c r="L521" s="7">
        <v>42152</v>
      </c>
      <c r="M521" s="28">
        <f>Table11[[#This Row],[Ship Date]]-Table11[[#This Row],[Order Date]]</f>
        <v>3</v>
      </c>
      <c r="N521" s="25" t="s">
        <v>169</v>
      </c>
      <c r="O521" s="25" t="s">
        <v>23</v>
      </c>
      <c r="P521" s="25" t="s">
        <v>94</v>
      </c>
      <c r="Q521" s="25" t="s">
        <v>95</v>
      </c>
      <c r="R521" s="25" t="s">
        <v>5063</v>
      </c>
      <c r="S521" s="35">
        <v>0.2</v>
      </c>
      <c r="T521" s="16">
        <v>207.98400000000001</v>
      </c>
      <c r="U521" s="19">
        <v>36.397199999999998</v>
      </c>
      <c r="V521" s="56">
        <f>Table11[[#This Row],[Profit]]/Table11[[#This Row],[Sales]]</f>
        <v>0.17499999999999999</v>
      </c>
    </row>
    <row r="522" spans="1:22" x14ac:dyDescent="0.2">
      <c r="A522" s="2">
        <v>521</v>
      </c>
      <c r="B522" s="5" t="s">
        <v>6896</v>
      </c>
      <c r="C522" s="6">
        <v>42150</v>
      </c>
      <c r="D522" s="27">
        <f>MONTH(Table11[[#This Row],[Order Date]])</f>
        <v>5</v>
      </c>
      <c r="E522" s="5" t="s">
        <v>4596</v>
      </c>
      <c r="F522" s="5" t="s">
        <v>4597</v>
      </c>
      <c r="G522" s="24" t="s">
        <v>41</v>
      </c>
      <c r="H522" s="24" t="s">
        <v>82</v>
      </c>
      <c r="I522" s="5" t="s">
        <v>3034</v>
      </c>
      <c r="J522" s="24" t="s">
        <v>92</v>
      </c>
      <c r="K522" s="27">
        <v>1</v>
      </c>
      <c r="L522" s="6">
        <v>42153</v>
      </c>
      <c r="M522" s="27">
        <f>Table11[[#This Row],[Ship Date]]-Table11[[#This Row],[Order Date]]</f>
        <v>3</v>
      </c>
      <c r="N522" s="24" t="s">
        <v>20</v>
      </c>
      <c r="O522" s="24" t="s">
        <v>23</v>
      </c>
      <c r="P522" s="24" t="s">
        <v>80</v>
      </c>
      <c r="Q522" s="24" t="s">
        <v>26</v>
      </c>
      <c r="R522" s="24" t="s">
        <v>1345</v>
      </c>
      <c r="S522" s="34">
        <v>0.2</v>
      </c>
      <c r="T522" s="15">
        <v>18.271999999999998</v>
      </c>
      <c r="U522" s="18">
        <v>5.9383999999999997</v>
      </c>
      <c r="V522" s="56">
        <f>Table11[[#This Row],[Profit]]/Table11[[#This Row],[Sales]]</f>
        <v>0.32500000000000001</v>
      </c>
    </row>
    <row r="523" spans="1:22" x14ac:dyDescent="0.2">
      <c r="A523" s="4">
        <v>522</v>
      </c>
      <c r="B523" s="3" t="s">
        <v>6896</v>
      </c>
      <c r="C523" s="7">
        <v>42150</v>
      </c>
      <c r="D523" s="28">
        <f>MONTH(Table11[[#This Row],[Order Date]])</f>
        <v>5</v>
      </c>
      <c r="E523" s="3" t="s">
        <v>6897</v>
      </c>
      <c r="F523" s="3" t="s">
        <v>6898</v>
      </c>
      <c r="G523" s="25" t="s">
        <v>41</v>
      </c>
      <c r="H523" s="25" t="s">
        <v>82</v>
      </c>
      <c r="I523" s="3" t="s">
        <v>3034</v>
      </c>
      <c r="J523" s="25" t="s">
        <v>92</v>
      </c>
      <c r="K523" s="28">
        <v>4</v>
      </c>
      <c r="L523" s="7">
        <v>42153</v>
      </c>
      <c r="M523" s="28">
        <f>Table11[[#This Row],[Ship Date]]-Table11[[#This Row],[Order Date]]</f>
        <v>3</v>
      </c>
      <c r="N523" s="25" t="s">
        <v>20</v>
      </c>
      <c r="O523" s="25" t="s">
        <v>23</v>
      </c>
      <c r="P523" s="25" t="s">
        <v>80</v>
      </c>
      <c r="Q523" s="25" t="s">
        <v>26</v>
      </c>
      <c r="R523" s="25" t="s">
        <v>1345</v>
      </c>
      <c r="S523" s="35">
        <v>0.2</v>
      </c>
      <c r="T523" s="16">
        <v>153.72800000000001</v>
      </c>
      <c r="U523" s="19">
        <v>53.8048</v>
      </c>
      <c r="V523" s="56">
        <f>Table11[[#This Row],[Profit]]/Table11[[#This Row],[Sales]]</f>
        <v>0.35</v>
      </c>
    </row>
    <row r="524" spans="1:22" x14ac:dyDescent="0.2">
      <c r="A524" s="4">
        <v>523</v>
      </c>
      <c r="B524" s="5" t="s">
        <v>6896</v>
      </c>
      <c r="C524" s="6">
        <v>42150</v>
      </c>
      <c r="D524" s="27">
        <f>MONTH(Table11[[#This Row],[Order Date]])</f>
        <v>5</v>
      </c>
      <c r="E524" s="5" t="s">
        <v>2268</v>
      </c>
      <c r="F524" s="5" t="s">
        <v>2269</v>
      </c>
      <c r="G524" s="24" t="s">
        <v>41</v>
      </c>
      <c r="H524" s="24" t="s">
        <v>155</v>
      </c>
      <c r="I524" s="5" t="s">
        <v>3034</v>
      </c>
      <c r="J524" s="24" t="s">
        <v>92</v>
      </c>
      <c r="K524" s="27">
        <v>2</v>
      </c>
      <c r="L524" s="6">
        <v>42153</v>
      </c>
      <c r="M524" s="27">
        <f>Table11[[#This Row],[Ship Date]]-Table11[[#This Row],[Order Date]]</f>
        <v>3</v>
      </c>
      <c r="N524" s="24" t="s">
        <v>20</v>
      </c>
      <c r="O524" s="24" t="s">
        <v>23</v>
      </c>
      <c r="P524" s="24" t="s">
        <v>80</v>
      </c>
      <c r="Q524" s="24" t="s">
        <v>26</v>
      </c>
      <c r="R524" s="24" t="s">
        <v>1345</v>
      </c>
      <c r="S524" s="34">
        <v>0.2</v>
      </c>
      <c r="T524" s="15">
        <v>12.224</v>
      </c>
      <c r="U524" s="18">
        <v>4.4311999999999996</v>
      </c>
      <c r="V524" s="56">
        <f>Table11[[#This Row],[Profit]]/Table11[[#This Row],[Sales]]</f>
        <v>0.36249999999999993</v>
      </c>
    </row>
    <row r="525" spans="1:22" x14ac:dyDescent="0.2">
      <c r="A525" s="2">
        <v>524</v>
      </c>
      <c r="B525" s="3" t="s">
        <v>6896</v>
      </c>
      <c r="C525" s="7">
        <v>42150</v>
      </c>
      <c r="D525" s="28">
        <f>MONTH(Table11[[#This Row],[Order Date]])</f>
        <v>5</v>
      </c>
      <c r="E525" s="3" t="s">
        <v>897</v>
      </c>
      <c r="F525" s="3" t="s">
        <v>898</v>
      </c>
      <c r="G525" s="25" t="s">
        <v>64</v>
      </c>
      <c r="H525" s="25" t="s">
        <v>144</v>
      </c>
      <c r="I525" s="3" t="s">
        <v>3034</v>
      </c>
      <c r="J525" s="25" t="s">
        <v>92</v>
      </c>
      <c r="K525" s="28">
        <v>7</v>
      </c>
      <c r="L525" s="7">
        <v>42153</v>
      </c>
      <c r="M525" s="28">
        <f>Table11[[#This Row],[Ship Date]]-Table11[[#This Row],[Order Date]]</f>
        <v>3</v>
      </c>
      <c r="N525" s="25" t="s">
        <v>20</v>
      </c>
      <c r="O525" s="25" t="s">
        <v>23</v>
      </c>
      <c r="P525" s="25" t="s">
        <v>80</v>
      </c>
      <c r="Q525" s="25" t="s">
        <v>26</v>
      </c>
      <c r="R525" s="25" t="s">
        <v>1345</v>
      </c>
      <c r="S525" s="35">
        <v>0.2</v>
      </c>
      <c r="T525" s="16">
        <v>167.94399999999999</v>
      </c>
      <c r="U525" s="19">
        <v>50.383200000000002</v>
      </c>
      <c r="V525" s="56">
        <f>Table11[[#This Row],[Profit]]/Table11[[#This Row],[Sales]]</f>
        <v>0.30000000000000004</v>
      </c>
    </row>
    <row r="526" spans="1:22" x14ac:dyDescent="0.2">
      <c r="A526" s="4">
        <v>525</v>
      </c>
      <c r="B526" s="5" t="s">
        <v>8626</v>
      </c>
      <c r="C526" s="6">
        <v>42150</v>
      </c>
      <c r="D526" s="27">
        <f>MONTH(Table11[[#This Row],[Order Date]])</f>
        <v>5</v>
      </c>
      <c r="E526" s="5" t="s">
        <v>1801</v>
      </c>
      <c r="F526" s="5" t="s">
        <v>1802</v>
      </c>
      <c r="G526" s="24" t="s">
        <v>28</v>
      </c>
      <c r="H526" s="24" t="s">
        <v>58</v>
      </c>
      <c r="I526" s="5" t="s">
        <v>587</v>
      </c>
      <c r="J526" s="24" t="s">
        <v>22</v>
      </c>
      <c r="K526" s="27">
        <v>1</v>
      </c>
      <c r="L526" s="6">
        <v>42155</v>
      </c>
      <c r="M526" s="27">
        <f>Table11[[#This Row],[Ship Date]]-Table11[[#This Row],[Order Date]]</f>
        <v>5</v>
      </c>
      <c r="N526" s="24" t="s">
        <v>45</v>
      </c>
      <c r="O526" s="24" t="s">
        <v>23</v>
      </c>
      <c r="P526" s="24" t="s">
        <v>87</v>
      </c>
      <c r="Q526" s="24" t="s">
        <v>39</v>
      </c>
      <c r="R526" s="24" t="s">
        <v>3636</v>
      </c>
      <c r="S526" s="34">
        <v>0</v>
      </c>
      <c r="T526" s="15">
        <v>20.239999999999998</v>
      </c>
      <c r="U526" s="18">
        <v>7.8936000000000002</v>
      </c>
      <c r="V526" s="56">
        <f>Table11[[#This Row],[Profit]]/Table11[[#This Row],[Sales]]</f>
        <v>0.39</v>
      </c>
    </row>
    <row r="527" spans="1:22" x14ac:dyDescent="0.2">
      <c r="A527" s="4">
        <v>526</v>
      </c>
      <c r="B527" s="3" t="s">
        <v>9922</v>
      </c>
      <c r="C527" s="7">
        <v>42150</v>
      </c>
      <c r="D527" s="28">
        <f>MONTH(Table11[[#This Row],[Order Date]])</f>
        <v>5</v>
      </c>
      <c r="E527" s="3" t="s">
        <v>343</v>
      </c>
      <c r="F527" s="3" t="s">
        <v>344</v>
      </c>
      <c r="G527" s="25" t="s">
        <v>28</v>
      </c>
      <c r="H527" s="25" t="s">
        <v>32</v>
      </c>
      <c r="I527" s="3" t="s">
        <v>3848</v>
      </c>
      <c r="J527" s="25" t="s">
        <v>22</v>
      </c>
      <c r="K527" s="28">
        <v>1</v>
      </c>
      <c r="L527" s="7">
        <v>42152</v>
      </c>
      <c r="M527" s="28">
        <f>Table11[[#This Row],[Ship Date]]-Table11[[#This Row],[Order Date]]</f>
        <v>2</v>
      </c>
      <c r="N527" s="25" t="s">
        <v>20</v>
      </c>
      <c r="O527" s="25" t="s">
        <v>23</v>
      </c>
      <c r="P527" s="25" t="s">
        <v>94</v>
      </c>
      <c r="Q527" s="25" t="s">
        <v>95</v>
      </c>
      <c r="R527" s="25" t="s">
        <v>598</v>
      </c>
      <c r="S527" s="35">
        <v>0.3</v>
      </c>
      <c r="T527" s="16">
        <v>105.68600000000001</v>
      </c>
      <c r="U527" s="19">
        <v>-28.686199999999999</v>
      </c>
      <c r="V527" s="56">
        <f>Table11[[#This Row],[Profit]]/Table11[[#This Row],[Sales]]</f>
        <v>-0.27142857142857141</v>
      </c>
    </row>
    <row r="528" spans="1:22" x14ac:dyDescent="0.2">
      <c r="A528" s="2">
        <v>527</v>
      </c>
      <c r="B528" s="5" t="s">
        <v>9922</v>
      </c>
      <c r="C528" s="6">
        <v>42150</v>
      </c>
      <c r="D528" s="27">
        <f>MONTH(Table11[[#This Row],[Order Date]])</f>
        <v>5</v>
      </c>
      <c r="E528" s="5" t="s">
        <v>3845</v>
      </c>
      <c r="F528" s="5" t="s">
        <v>3846</v>
      </c>
      <c r="G528" s="24" t="s">
        <v>64</v>
      </c>
      <c r="H528" s="24" t="s">
        <v>602</v>
      </c>
      <c r="I528" s="5" t="s">
        <v>3848</v>
      </c>
      <c r="J528" s="24" t="s">
        <v>22</v>
      </c>
      <c r="K528" s="27">
        <v>2</v>
      </c>
      <c r="L528" s="6">
        <v>42152</v>
      </c>
      <c r="M528" s="27">
        <f>Table11[[#This Row],[Ship Date]]-Table11[[#This Row],[Order Date]]</f>
        <v>2</v>
      </c>
      <c r="N528" s="24" t="s">
        <v>20</v>
      </c>
      <c r="O528" s="24" t="s">
        <v>23</v>
      </c>
      <c r="P528" s="24" t="s">
        <v>94</v>
      </c>
      <c r="Q528" s="24" t="s">
        <v>95</v>
      </c>
      <c r="R528" s="24" t="s">
        <v>598</v>
      </c>
      <c r="S528" s="34">
        <v>0.4</v>
      </c>
      <c r="T528" s="15">
        <v>399.54</v>
      </c>
      <c r="U528" s="18">
        <v>-79.908000000000001</v>
      </c>
      <c r="V528" s="56">
        <f>Table11[[#This Row],[Profit]]/Table11[[#This Row],[Sales]]</f>
        <v>-0.19999999999999998</v>
      </c>
    </row>
    <row r="529" spans="1:22" x14ac:dyDescent="0.2">
      <c r="A529" s="4">
        <v>528</v>
      </c>
      <c r="B529" s="3" t="s">
        <v>9922</v>
      </c>
      <c r="C529" s="7">
        <v>42150</v>
      </c>
      <c r="D529" s="28">
        <f>MONTH(Table11[[#This Row],[Order Date]])</f>
        <v>5</v>
      </c>
      <c r="E529" s="3" t="s">
        <v>4044</v>
      </c>
      <c r="F529" s="3" t="s">
        <v>4045</v>
      </c>
      <c r="G529" s="25" t="s">
        <v>28</v>
      </c>
      <c r="H529" s="25" t="s">
        <v>32</v>
      </c>
      <c r="I529" s="3" t="s">
        <v>3848</v>
      </c>
      <c r="J529" s="25" t="s">
        <v>22</v>
      </c>
      <c r="K529" s="28">
        <v>5</v>
      </c>
      <c r="L529" s="7">
        <v>42152</v>
      </c>
      <c r="M529" s="28">
        <f>Table11[[#This Row],[Ship Date]]-Table11[[#This Row],[Order Date]]</f>
        <v>2</v>
      </c>
      <c r="N529" s="25" t="s">
        <v>20</v>
      </c>
      <c r="O529" s="25" t="s">
        <v>23</v>
      </c>
      <c r="P529" s="25" t="s">
        <v>94</v>
      </c>
      <c r="Q529" s="25" t="s">
        <v>95</v>
      </c>
      <c r="R529" s="25" t="s">
        <v>598</v>
      </c>
      <c r="S529" s="35">
        <v>0.3</v>
      </c>
      <c r="T529" s="16">
        <v>104.93</v>
      </c>
      <c r="U529" s="19">
        <v>-4.4969999999999999</v>
      </c>
      <c r="V529" s="56">
        <f>Table11[[#This Row],[Profit]]/Table11[[#This Row],[Sales]]</f>
        <v>-4.2857142857142851E-2</v>
      </c>
    </row>
    <row r="530" spans="1:22" x14ac:dyDescent="0.2">
      <c r="A530" s="4">
        <v>529</v>
      </c>
      <c r="B530" s="5" t="s">
        <v>564</v>
      </c>
      <c r="C530" s="6">
        <v>42152</v>
      </c>
      <c r="D530" s="27">
        <f>MONTH(Table11[[#This Row],[Order Date]])</f>
        <v>5</v>
      </c>
      <c r="E530" s="5" t="s">
        <v>566</v>
      </c>
      <c r="F530" s="5" t="s">
        <v>567</v>
      </c>
      <c r="G530" s="24" t="s">
        <v>41</v>
      </c>
      <c r="H530" s="24" t="s">
        <v>61</v>
      </c>
      <c r="I530" s="5" t="s">
        <v>565</v>
      </c>
      <c r="J530" s="24" t="s">
        <v>92</v>
      </c>
      <c r="K530" s="27">
        <v>3</v>
      </c>
      <c r="L530" s="6">
        <v>42158</v>
      </c>
      <c r="M530" s="27">
        <f>Table11[[#This Row],[Ship Date]]-Table11[[#This Row],[Order Date]]</f>
        <v>6</v>
      </c>
      <c r="N530" s="24" t="s">
        <v>45</v>
      </c>
      <c r="O530" s="24" t="s">
        <v>23</v>
      </c>
      <c r="P530" s="24" t="s">
        <v>87</v>
      </c>
      <c r="Q530" s="24" t="s">
        <v>39</v>
      </c>
      <c r="R530" s="24" t="s">
        <v>86</v>
      </c>
      <c r="S530" s="34">
        <v>0</v>
      </c>
      <c r="T530" s="15">
        <v>6.63</v>
      </c>
      <c r="U530" s="18">
        <v>1.7901</v>
      </c>
      <c r="V530" s="56">
        <f>Table11[[#This Row],[Profit]]/Table11[[#This Row],[Sales]]</f>
        <v>0.27</v>
      </c>
    </row>
    <row r="531" spans="1:22" x14ac:dyDescent="0.2">
      <c r="A531" s="2">
        <v>530</v>
      </c>
      <c r="B531" s="3" t="s">
        <v>3270</v>
      </c>
      <c r="C531" s="7">
        <v>42152</v>
      </c>
      <c r="D531" s="28">
        <f>MONTH(Table11[[#This Row],[Order Date]])</f>
        <v>5</v>
      </c>
      <c r="E531" s="3" t="s">
        <v>3272</v>
      </c>
      <c r="F531" s="3" t="s">
        <v>3273</v>
      </c>
      <c r="G531" s="25" t="s">
        <v>41</v>
      </c>
      <c r="H531" s="25" t="s">
        <v>61</v>
      </c>
      <c r="I531" s="3" t="s">
        <v>363</v>
      </c>
      <c r="J531" s="25" t="s">
        <v>22</v>
      </c>
      <c r="K531" s="28">
        <v>3</v>
      </c>
      <c r="L531" s="7">
        <v>42156</v>
      </c>
      <c r="M531" s="28">
        <f>Table11[[#This Row],[Ship Date]]-Table11[[#This Row],[Order Date]]</f>
        <v>4</v>
      </c>
      <c r="N531" s="25" t="s">
        <v>45</v>
      </c>
      <c r="O531" s="25" t="s">
        <v>23</v>
      </c>
      <c r="P531" s="25" t="s">
        <v>238</v>
      </c>
      <c r="Q531" s="25" t="s">
        <v>133</v>
      </c>
      <c r="R531" s="25" t="s">
        <v>3271</v>
      </c>
      <c r="S531" s="35">
        <v>0</v>
      </c>
      <c r="T531" s="16">
        <v>47.82</v>
      </c>
      <c r="U531" s="19">
        <v>14.346</v>
      </c>
      <c r="V531" s="56">
        <f>Table11[[#This Row],[Profit]]/Table11[[#This Row],[Sales]]</f>
        <v>0.3</v>
      </c>
    </row>
    <row r="532" spans="1:22" x14ac:dyDescent="0.2">
      <c r="A532" s="4">
        <v>531</v>
      </c>
      <c r="B532" s="5" t="s">
        <v>3270</v>
      </c>
      <c r="C532" s="6">
        <v>42152</v>
      </c>
      <c r="D532" s="27">
        <f>MONTH(Table11[[#This Row],[Order Date]])</f>
        <v>5</v>
      </c>
      <c r="E532" s="5" t="s">
        <v>3274</v>
      </c>
      <c r="F532" s="5" t="s">
        <v>3275</v>
      </c>
      <c r="G532" s="24" t="s">
        <v>41</v>
      </c>
      <c r="H532" s="24" t="s">
        <v>42</v>
      </c>
      <c r="I532" s="5" t="s">
        <v>363</v>
      </c>
      <c r="J532" s="24" t="s">
        <v>22</v>
      </c>
      <c r="K532" s="27">
        <v>5</v>
      </c>
      <c r="L532" s="6">
        <v>42156</v>
      </c>
      <c r="M532" s="27">
        <f>Table11[[#This Row],[Ship Date]]-Table11[[#This Row],[Order Date]]</f>
        <v>4</v>
      </c>
      <c r="N532" s="24" t="s">
        <v>45</v>
      </c>
      <c r="O532" s="24" t="s">
        <v>23</v>
      </c>
      <c r="P532" s="24" t="s">
        <v>238</v>
      </c>
      <c r="Q532" s="24" t="s">
        <v>133</v>
      </c>
      <c r="R532" s="24" t="s">
        <v>3271</v>
      </c>
      <c r="S532" s="34">
        <v>0</v>
      </c>
      <c r="T532" s="15">
        <v>13.05</v>
      </c>
      <c r="U532" s="18">
        <v>6.0030000000000001</v>
      </c>
      <c r="V532" s="56">
        <f>Table11[[#This Row],[Profit]]/Table11[[#This Row],[Sales]]</f>
        <v>0.45999999999999996</v>
      </c>
    </row>
    <row r="533" spans="1:22" x14ac:dyDescent="0.2">
      <c r="A533" s="4">
        <v>532</v>
      </c>
      <c r="B533" s="3" t="s">
        <v>6899</v>
      </c>
      <c r="C533" s="7">
        <v>42152</v>
      </c>
      <c r="D533" s="28">
        <f>MONTH(Table11[[#This Row],[Order Date]])</f>
        <v>5</v>
      </c>
      <c r="E533" s="3" t="s">
        <v>190</v>
      </c>
      <c r="F533" s="3" t="s">
        <v>191</v>
      </c>
      <c r="G533" s="25" t="s">
        <v>64</v>
      </c>
      <c r="H533" s="25" t="s">
        <v>65</v>
      </c>
      <c r="I533" s="3" t="s">
        <v>3519</v>
      </c>
      <c r="J533" s="25" t="s">
        <v>22</v>
      </c>
      <c r="K533" s="28">
        <v>1</v>
      </c>
      <c r="L533" s="7">
        <v>42157</v>
      </c>
      <c r="M533" s="28">
        <f>Table11[[#This Row],[Ship Date]]-Table11[[#This Row],[Order Date]]</f>
        <v>5</v>
      </c>
      <c r="N533" s="25" t="s">
        <v>45</v>
      </c>
      <c r="O533" s="25" t="s">
        <v>23</v>
      </c>
      <c r="P533" s="25" t="s">
        <v>238</v>
      </c>
      <c r="Q533" s="25" t="s">
        <v>133</v>
      </c>
      <c r="R533" s="25" t="s">
        <v>347</v>
      </c>
      <c r="S533" s="35">
        <v>0</v>
      </c>
      <c r="T533" s="16">
        <v>45.99</v>
      </c>
      <c r="U533" s="19">
        <v>13.3371</v>
      </c>
      <c r="V533" s="56">
        <f>Table11[[#This Row],[Profit]]/Table11[[#This Row],[Sales]]</f>
        <v>0.28999999999999998</v>
      </c>
    </row>
    <row r="534" spans="1:22" x14ac:dyDescent="0.2">
      <c r="A534" s="2">
        <v>533</v>
      </c>
      <c r="B534" s="5" t="s">
        <v>6899</v>
      </c>
      <c r="C534" s="6">
        <v>42152</v>
      </c>
      <c r="D534" s="27">
        <f>MONTH(Table11[[#This Row],[Order Date]])</f>
        <v>5</v>
      </c>
      <c r="E534" s="5" t="s">
        <v>1774</v>
      </c>
      <c r="F534" s="5" t="s">
        <v>1775</v>
      </c>
      <c r="G534" s="24" t="s">
        <v>41</v>
      </c>
      <c r="H534" s="24" t="s">
        <v>53</v>
      </c>
      <c r="I534" s="5" t="s">
        <v>3519</v>
      </c>
      <c r="J534" s="24" t="s">
        <v>22</v>
      </c>
      <c r="K534" s="27">
        <v>3</v>
      </c>
      <c r="L534" s="6">
        <v>42157</v>
      </c>
      <c r="M534" s="27">
        <f>Table11[[#This Row],[Ship Date]]-Table11[[#This Row],[Order Date]]</f>
        <v>5</v>
      </c>
      <c r="N534" s="24" t="s">
        <v>45</v>
      </c>
      <c r="O534" s="24" t="s">
        <v>23</v>
      </c>
      <c r="P534" s="24" t="s">
        <v>238</v>
      </c>
      <c r="Q534" s="24" t="s">
        <v>133</v>
      </c>
      <c r="R534" s="24" t="s">
        <v>347</v>
      </c>
      <c r="S534" s="34">
        <v>0</v>
      </c>
      <c r="T534" s="15">
        <v>535.41</v>
      </c>
      <c r="U534" s="18">
        <v>160.62299999999999</v>
      </c>
      <c r="V534" s="56">
        <f>Table11[[#This Row],[Profit]]/Table11[[#This Row],[Sales]]</f>
        <v>0.3</v>
      </c>
    </row>
    <row r="535" spans="1:22" x14ac:dyDescent="0.2">
      <c r="A535" s="4">
        <v>534</v>
      </c>
      <c r="B535" s="3" t="s">
        <v>6899</v>
      </c>
      <c r="C535" s="7">
        <v>42152</v>
      </c>
      <c r="D535" s="28">
        <f>MONTH(Table11[[#This Row],[Order Date]])</f>
        <v>5</v>
      </c>
      <c r="E535" s="3" t="s">
        <v>1831</v>
      </c>
      <c r="F535" s="3" t="s">
        <v>1832</v>
      </c>
      <c r="G535" s="25" t="s">
        <v>41</v>
      </c>
      <c r="H535" s="25" t="s">
        <v>68</v>
      </c>
      <c r="I535" s="3" t="s">
        <v>3519</v>
      </c>
      <c r="J535" s="25" t="s">
        <v>22</v>
      </c>
      <c r="K535" s="28">
        <v>2</v>
      </c>
      <c r="L535" s="7">
        <v>42157</v>
      </c>
      <c r="M535" s="28">
        <f>Table11[[#This Row],[Ship Date]]-Table11[[#This Row],[Order Date]]</f>
        <v>5</v>
      </c>
      <c r="N535" s="25" t="s">
        <v>45</v>
      </c>
      <c r="O535" s="25" t="s">
        <v>23</v>
      </c>
      <c r="P535" s="25" t="s">
        <v>238</v>
      </c>
      <c r="Q535" s="25" t="s">
        <v>133</v>
      </c>
      <c r="R535" s="25" t="s">
        <v>347</v>
      </c>
      <c r="S535" s="35">
        <v>0.2</v>
      </c>
      <c r="T535" s="16">
        <v>6.0960000000000001</v>
      </c>
      <c r="U535" s="19">
        <v>2.0573999999999999</v>
      </c>
      <c r="V535" s="56">
        <f>Table11[[#This Row],[Profit]]/Table11[[#This Row],[Sales]]</f>
        <v>0.33749999999999997</v>
      </c>
    </row>
    <row r="536" spans="1:22" x14ac:dyDescent="0.2">
      <c r="A536" s="4">
        <v>535</v>
      </c>
      <c r="B536" s="5" t="s">
        <v>6899</v>
      </c>
      <c r="C536" s="6">
        <v>42152</v>
      </c>
      <c r="D536" s="27">
        <f>MONTH(Table11[[#This Row],[Order Date]])</f>
        <v>5</v>
      </c>
      <c r="E536" s="5" t="s">
        <v>4828</v>
      </c>
      <c r="F536" s="5" t="s">
        <v>4829</v>
      </c>
      <c r="G536" s="24" t="s">
        <v>41</v>
      </c>
      <c r="H536" s="24" t="s">
        <v>82</v>
      </c>
      <c r="I536" s="5" t="s">
        <v>3519</v>
      </c>
      <c r="J536" s="24" t="s">
        <v>22</v>
      </c>
      <c r="K536" s="27">
        <v>7</v>
      </c>
      <c r="L536" s="6">
        <v>42157</v>
      </c>
      <c r="M536" s="27">
        <f>Table11[[#This Row],[Ship Date]]-Table11[[#This Row],[Order Date]]</f>
        <v>5</v>
      </c>
      <c r="N536" s="24" t="s">
        <v>45</v>
      </c>
      <c r="O536" s="24" t="s">
        <v>23</v>
      </c>
      <c r="P536" s="24" t="s">
        <v>238</v>
      </c>
      <c r="Q536" s="24" t="s">
        <v>133</v>
      </c>
      <c r="R536" s="24" t="s">
        <v>347</v>
      </c>
      <c r="S536" s="34">
        <v>0</v>
      </c>
      <c r="T536" s="15">
        <v>45.36</v>
      </c>
      <c r="U536" s="18">
        <v>21.7728</v>
      </c>
      <c r="V536" s="56">
        <f>Table11[[#This Row],[Profit]]/Table11[[#This Row],[Sales]]</f>
        <v>0.48</v>
      </c>
    </row>
    <row r="537" spans="1:22" x14ac:dyDescent="0.2">
      <c r="A537" s="2">
        <v>536</v>
      </c>
      <c r="B537" s="3" t="s">
        <v>9217</v>
      </c>
      <c r="C537" s="7">
        <v>42152</v>
      </c>
      <c r="D537" s="28">
        <f>MONTH(Table11[[#This Row],[Order Date]])</f>
        <v>5</v>
      </c>
      <c r="E537" s="3" t="s">
        <v>2473</v>
      </c>
      <c r="F537" s="3" t="s">
        <v>2474</v>
      </c>
      <c r="G537" s="25" t="s">
        <v>41</v>
      </c>
      <c r="H537" s="25" t="s">
        <v>53</v>
      </c>
      <c r="I537" s="3" t="s">
        <v>4488</v>
      </c>
      <c r="J537" s="25" t="s">
        <v>22</v>
      </c>
      <c r="K537" s="28">
        <v>1</v>
      </c>
      <c r="L537" s="7">
        <v>42158</v>
      </c>
      <c r="M537" s="28">
        <f>Table11[[#This Row],[Ship Date]]-Table11[[#This Row],[Order Date]]</f>
        <v>6</v>
      </c>
      <c r="N537" s="25" t="s">
        <v>45</v>
      </c>
      <c r="O537" s="25" t="s">
        <v>23</v>
      </c>
      <c r="P537" s="25" t="s">
        <v>660</v>
      </c>
      <c r="Q537" s="25" t="s">
        <v>133</v>
      </c>
      <c r="R537" s="25" t="s">
        <v>1143</v>
      </c>
      <c r="S537" s="35">
        <v>0</v>
      </c>
      <c r="T537" s="16">
        <v>16.239999999999998</v>
      </c>
      <c r="U537" s="19">
        <v>2.4359999999999999</v>
      </c>
      <c r="V537" s="56">
        <f>Table11[[#This Row],[Profit]]/Table11[[#This Row],[Sales]]</f>
        <v>0.15000000000000002</v>
      </c>
    </row>
    <row r="538" spans="1:22" x14ac:dyDescent="0.2">
      <c r="A538" s="4">
        <v>537</v>
      </c>
      <c r="B538" s="5" t="s">
        <v>9217</v>
      </c>
      <c r="C538" s="6">
        <v>42152</v>
      </c>
      <c r="D538" s="27">
        <f>MONTH(Table11[[#This Row],[Order Date]])</f>
        <v>5</v>
      </c>
      <c r="E538" s="5" t="s">
        <v>670</v>
      </c>
      <c r="F538" s="5" t="s">
        <v>671</v>
      </c>
      <c r="G538" s="24" t="s">
        <v>41</v>
      </c>
      <c r="H538" s="24" t="s">
        <v>53</v>
      </c>
      <c r="I538" s="5" t="s">
        <v>4488</v>
      </c>
      <c r="J538" s="24" t="s">
        <v>22</v>
      </c>
      <c r="K538" s="27">
        <v>5</v>
      </c>
      <c r="L538" s="6">
        <v>42158</v>
      </c>
      <c r="M538" s="27">
        <f>Table11[[#This Row],[Ship Date]]-Table11[[#This Row],[Order Date]]</f>
        <v>6</v>
      </c>
      <c r="N538" s="24" t="s">
        <v>45</v>
      </c>
      <c r="O538" s="24" t="s">
        <v>23</v>
      </c>
      <c r="P538" s="24" t="s">
        <v>660</v>
      </c>
      <c r="Q538" s="24" t="s">
        <v>133</v>
      </c>
      <c r="R538" s="24" t="s">
        <v>1143</v>
      </c>
      <c r="S538" s="34">
        <v>0</v>
      </c>
      <c r="T538" s="15">
        <v>77.55</v>
      </c>
      <c r="U538" s="18">
        <v>21.713999999999999</v>
      </c>
      <c r="V538" s="56">
        <f>Table11[[#This Row],[Profit]]/Table11[[#This Row],[Sales]]</f>
        <v>0.27999999999999997</v>
      </c>
    </row>
    <row r="539" spans="1:22" x14ac:dyDescent="0.2">
      <c r="A539" s="4">
        <v>538</v>
      </c>
      <c r="B539" s="3" t="s">
        <v>2526</v>
      </c>
      <c r="C539" s="7">
        <v>42153</v>
      </c>
      <c r="D539" s="28">
        <f>MONTH(Table11[[#This Row],[Order Date]])</f>
        <v>5</v>
      </c>
      <c r="E539" s="3" t="s">
        <v>1749</v>
      </c>
      <c r="F539" s="3" t="s">
        <v>1750</v>
      </c>
      <c r="G539" s="25" t="s">
        <v>41</v>
      </c>
      <c r="H539" s="25" t="s">
        <v>82</v>
      </c>
      <c r="I539" s="3" t="s">
        <v>1063</v>
      </c>
      <c r="J539" s="25" t="s">
        <v>22</v>
      </c>
      <c r="K539" s="28">
        <v>5</v>
      </c>
      <c r="L539" s="7">
        <v>42158</v>
      </c>
      <c r="M539" s="28">
        <f>Table11[[#This Row],[Ship Date]]-Table11[[#This Row],[Order Date]]</f>
        <v>5</v>
      </c>
      <c r="N539" s="25" t="s">
        <v>45</v>
      </c>
      <c r="O539" s="25" t="s">
        <v>23</v>
      </c>
      <c r="P539" s="25" t="s">
        <v>87</v>
      </c>
      <c r="Q539" s="25" t="s">
        <v>39</v>
      </c>
      <c r="R539" s="25" t="s">
        <v>86</v>
      </c>
      <c r="S539" s="35">
        <v>0</v>
      </c>
      <c r="T539" s="16">
        <v>32.4</v>
      </c>
      <c r="U539" s="19">
        <v>15.552</v>
      </c>
      <c r="V539" s="56">
        <f>Table11[[#This Row],[Profit]]/Table11[[#This Row],[Sales]]</f>
        <v>0.48</v>
      </c>
    </row>
    <row r="540" spans="1:22" x14ac:dyDescent="0.2">
      <c r="A540" s="2">
        <v>539</v>
      </c>
      <c r="B540" s="5" t="s">
        <v>2526</v>
      </c>
      <c r="C540" s="6">
        <v>42153</v>
      </c>
      <c r="D540" s="27">
        <f>MONTH(Table11[[#This Row],[Order Date]])</f>
        <v>5</v>
      </c>
      <c r="E540" s="5" t="s">
        <v>2527</v>
      </c>
      <c r="F540" s="5" t="s">
        <v>2528</v>
      </c>
      <c r="G540" s="24" t="s">
        <v>41</v>
      </c>
      <c r="H540" s="24" t="s">
        <v>53</v>
      </c>
      <c r="I540" s="5" t="s">
        <v>1063</v>
      </c>
      <c r="J540" s="24" t="s">
        <v>22</v>
      </c>
      <c r="K540" s="27">
        <v>3</v>
      </c>
      <c r="L540" s="6">
        <v>42158</v>
      </c>
      <c r="M540" s="27">
        <f>Table11[[#This Row],[Ship Date]]-Table11[[#This Row],[Order Date]]</f>
        <v>5</v>
      </c>
      <c r="N540" s="24" t="s">
        <v>45</v>
      </c>
      <c r="O540" s="24" t="s">
        <v>23</v>
      </c>
      <c r="P540" s="24" t="s">
        <v>87</v>
      </c>
      <c r="Q540" s="24" t="s">
        <v>39</v>
      </c>
      <c r="R540" s="24" t="s">
        <v>86</v>
      </c>
      <c r="S540" s="34">
        <v>0</v>
      </c>
      <c r="T540" s="15">
        <v>540.57000000000005</v>
      </c>
      <c r="U540" s="18">
        <v>140.54820000000001</v>
      </c>
      <c r="V540" s="56">
        <f>Table11[[#This Row],[Profit]]/Table11[[#This Row],[Sales]]</f>
        <v>0.26</v>
      </c>
    </row>
    <row r="541" spans="1:22" x14ac:dyDescent="0.2">
      <c r="A541" s="4">
        <v>540</v>
      </c>
      <c r="B541" s="3" t="s">
        <v>2526</v>
      </c>
      <c r="C541" s="7">
        <v>42153</v>
      </c>
      <c r="D541" s="28">
        <f>MONTH(Table11[[#This Row],[Order Date]])</f>
        <v>5</v>
      </c>
      <c r="E541" s="3" t="s">
        <v>2529</v>
      </c>
      <c r="F541" s="3" t="s">
        <v>2530</v>
      </c>
      <c r="G541" s="25" t="s">
        <v>41</v>
      </c>
      <c r="H541" s="25" t="s">
        <v>68</v>
      </c>
      <c r="I541" s="3" t="s">
        <v>1063</v>
      </c>
      <c r="J541" s="25" t="s">
        <v>22</v>
      </c>
      <c r="K541" s="28">
        <v>5</v>
      </c>
      <c r="L541" s="7">
        <v>42158</v>
      </c>
      <c r="M541" s="28">
        <f>Table11[[#This Row],[Ship Date]]-Table11[[#This Row],[Order Date]]</f>
        <v>5</v>
      </c>
      <c r="N541" s="25" t="s">
        <v>45</v>
      </c>
      <c r="O541" s="25" t="s">
        <v>23</v>
      </c>
      <c r="P541" s="25" t="s">
        <v>87</v>
      </c>
      <c r="Q541" s="25" t="s">
        <v>39</v>
      </c>
      <c r="R541" s="25" t="s">
        <v>86</v>
      </c>
      <c r="S541" s="35">
        <v>0.2</v>
      </c>
      <c r="T541" s="16">
        <v>167.76</v>
      </c>
      <c r="U541" s="19">
        <v>62.91</v>
      </c>
      <c r="V541" s="56">
        <f>Table11[[#This Row],[Profit]]/Table11[[#This Row],[Sales]]</f>
        <v>0.375</v>
      </c>
    </row>
    <row r="542" spans="1:22" x14ac:dyDescent="0.2">
      <c r="A542" s="4">
        <v>541</v>
      </c>
      <c r="B542" s="5" t="s">
        <v>9789</v>
      </c>
      <c r="C542" s="6">
        <v>42153</v>
      </c>
      <c r="D542" s="27">
        <f>MONTH(Table11[[#This Row],[Order Date]])</f>
        <v>5</v>
      </c>
      <c r="E542" s="5" t="s">
        <v>8816</v>
      </c>
      <c r="F542" s="5" t="s">
        <v>8817</v>
      </c>
      <c r="G542" s="24" t="s">
        <v>28</v>
      </c>
      <c r="H542" s="24" t="s">
        <v>58</v>
      </c>
      <c r="I542" s="5" t="s">
        <v>8221</v>
      </c>
      <c r="J542" s="24" t="s">
        <v>36</v>
      </c>
      <c r="K542" s="27">
        <v>4</v>
      </c>
      <c r="L542" s="6">
        <v>42155</v>
      </c>
      <c r="M542" s="27">
        <f>Table11[[#This Row],[Ship Date]]-Table11[[#This Row],[Order Date]]</f>
        <v>2</v>
      </c>
      <c r="N542" s="24" t="s">
        <v>169</v>
      </c>
      <c r="O542" s="24" t="s">
        <v>23</v>
      </c>
      <c r="P542" s="24" t="s">
        <v>441</v>
      </c>
      <c r="Q542" s="24" t="s">
        <v>133</v>
      </c>
      <c r="R542" s="24" t="s">
        <v>440</v>
      </c>
      <c r="S542" s="34">
        <v>0.2</v>
      </c>
      <c r="T542" s="15">
        <v>41.567999999999998</v>
      </c>
      <c r="U542" s="18">
        <v>-4.1567999999999996</v>
      </c>
      <c r="V542" s="56">
        <f>Table11[[#This Row],[Profit]]/Table11[[#This Row],[Sales]]</f>
        <v>-9.9999999999999992E-2</v>
      </c>
    </row>
    <row r="543" spans="1:22" x14ac:dyDescent="0.2">
      <c r="A543" s="2">
        <v>542</v>
      </c>
      <c r="B543" s="3" t="s">
        <v>9789</v>
      </c>
      <c r="C543" s="7">
        <v>42153</v>
      </c>
      <c r="D543" s="28">
        <f>MONTH(Table11[[#This Row],[Order Date]])</f>
        <v>5</v>
      </c>
      <c r="E543" s="3" t="s">
        <v>343</v>
      </c>
      <c r="F543" s="3" t="s">
        <v>344</v>
      </c>
      <c r="G543" s="25" t="s">
        <v>28</v>
      </c>
      <c r="H543" s="25" t="s">
        <v>32</v>
      </c>
      <c r="I543" s="3" t="s">
        <v>8221</v>
      </c>
      <c r="J543" s="25" t="s">
        <v>36</v>
      </c>
      <c r="K543" s="28">
        <v>3</v>
      </c>
      <c r="L543" s="7">
        <v>42155</v>
      </c>
      <c r="M543" s="28">
        <f>Table11[[#This Row],[Ship Date]]-Table11[[#This Row],[Order Date]]</f>
        <v>2</v>
      </c>
      <c r="N543" s="25" t="s">
        <v>169</v>
      </c>
      <c r="O543" s="25" t="s">
        <v>23</v>
      </c>
      <c r="P543" s="25" t="s">
        <v>441</v>
      </c>
      <c r="Q543" s="25" t="s">
        <v>133</v>
      </c>
      <c r="R543" s="25" t="s">
        <v>440</v>
      </c>
      <c r="S543" s="35">
        <v>0.3</v>
      </c>
      <c r="T543" s="16">
        <v>317.05799999999999</v>
      </c>
      <c r="U543" s="19">
        <v>-86.058599999999998</v>
      </c>
      <c r="V543" s="56">
        <f>Table11[[#This Row],[Profit]]/Table11[[#This Row],[Sales]]</f>
        <v>-0.27142857142857141</v>
      </c>
    </row>
    <row r="544" spans="1:22" x14ac:dyDescent="0.2">
      <c r="A544" s="4">
        <v>543</v>
      </c>
      <c r="B544" s="5" t="s">
        <v>9789</v>
      </c>
      <c r="C544" s="6">
        <v>42153</v>
      </c>
      <c r="D544" s="27">
        <f>MONTH(Table11[[#This Row],[Order Date]])</f>
        <v>5</v>
      </c>
      <c r="E544" s="5" t="s">
        <v>508</v>
      </c>
      <c r="F544" s="5" t="s">
        <v>509</v>
      </c>
      <c r="G544" s="24" t="s">
        <v>41</v>
      </c>
      <c r="H544" s="24" t="s">
        <v>240</v>
      </c>
      <c r="I544" s="5" t="s">
        <v>8221</v>
      </c>
      <c r="J544" s="24" t="s">
        <v>36</v>
      </c>
      <c r="K544" s="27">
        <v>5</v>
      </c>
      <c r="L544" s="6">
        <v>42155</v>
      </c>
      <c r="M544" s="27">
        <f>Table11[[#This Row],[Ship Date]]-Table11[[#This Row],[Order Date]]</f>
        <v>2</v>
      </c>
      <c r="N544" s="24" t="s">
        <v>169</v>
      </c>
      <c r="O544" s="24" t="s">
        <v>23</v>
      </c>
      <c r="P544" s="24" t="s">
        <v>441</v>
      </c>
      <c r="Q544" s="24" t="s">
        <v>133</v>
      </c>
      <c r="R544" s="24" t="s">
        <v>440</v>
      </c>
      <c r="S544" s="34">
        <v>0.2</v>
      </c>
      <c r="T544" s="15">
        <v>8.0399999999999991</v>
      </c>
      <c r="U544" s="18">
        <v>2.9144999999999999</v>
      </c>
      <c r="V544" s="56">
        <f>Table11[[#This Row],[Profit]]/Table11[[#This Row],[Sales]]</f>
        <v>0.36250000000000004</v>
      </c>
    </row>
    <row r="545" spans="1:22" x14ac:dyDescent="0.2">
      <c r="A545" s="4">
        <v>544</v>
      </c>
      <c r="B545" s="3" t="s">
        <v>9840</v>
      </c>
      <c r="C545" s="7">
        <v>42153</v>
      </c>
      <c r="D545" s="28">
        <f>MONTH(Table11[[#This Row],[Order Date]])</f>
        <v>5</v>
      </c>
      <c r="E545" s="3" t="s">
        <v>2123</v>
      </c>
      <c r="F545" s="3" t="s">
        <v>2124</v>
      </c>
      <c r="G545" s="25" t="s">
        <v>41</v>
      </c>
      <c r="H545" s="25" t="s">
        <v>42</v>
      </c>
      <c r="I545" s="3" t="s">
        <v>363</v>
      </c>
      <c r="J545" s="25" t="s">
        <v>22</v>
      </c>
      <c r="K545" s="28">
        <v>3</v>
      </c>
      <c r="L545" s="7">
        <v>42158</v>
      </c>
      <c r="M545" s="28">
        <f>Table11[[#This Row],[Ship Date]]-Table11[[#This Row],[Order Date]]</f>
        <v>5</v>
      </c>
      <c r="N545" s="25" t="s">
        <v>45</v>
      </c>
      <c r="O545" s="25" t="s">
        <v>23</v>
      </c>
      <c r="P545" s="25" t="s">
        <v>226</v>
      </c>
      <c r="Q545" s="25" t="s">
        <v>95</v>
      </c>
      <c r="R545" s="25" t="s">
        <v>3859</v>
      </c>
      <c r="S545" s="35">
        <v>0</v>
      </c>
      <c r="T545" s="16">
        <v>12.39</v>
      </c>
      <c r="U545" s="19">
        <v>5.6993999999999998</v>
      </c>
      <c r="V545" s="56">
        <f>Table11[[#This Row],[Profit]]/Table11[[#This Row],[Sales]]</f>
        <v>0.45999999999999996</v>
      </c>
    </row>
    <row r="546" spans="1:22" x14ac:dyDescent="0.2">
      <c r="A546" s="2">
        <v>545</v>
      </c>
      <c r="B546" s="5" t="s">
        <v>10087</v>
      </c>
      <c r="C546" s="6">
        <v>42153</v>
      </c>
      <c r="D546" s="27">
        <f>MONTH(Table11[[#This Row],[Order Date]])</f>
        <v>5</v>
      </c>
      <c r="E546" s="5" t="s">
        <v>930</v>
      </c>
      <c r="F546" s="5" t="s">
        <v>167</v>
      </c>
      <c r="G546" s="24" t="s">
        <v>41</v>
      </c>
      <c r="H546" s="24" t="s">
        <v>82</v>
      </c>
      <c r="I546" s="5" t="s">
        <v>2793</v>
      </c>
      <c r="J546" s="24" t="s">
        <v>92</v>
      </c>
      <c r="K546" s="27">
        <v>3</v>
      </c>
      <c r="L546" s="6">
        <v>42155</v>
      </c>
      <c r="M546" s="27">
        <f>Table11[[#This Row],[Ship Date]]-Table11[[#This Row],[Order Date]]</f>
        <v>2</v>
      </c>
      <c r="N546" s="24" t="s">
        <v>169</v>
      </c>
      <c r="O546" s="24" t="s">
        <v>23</v>
      </c>
      <c r="P546" s="24" t="s">
        <v>441</v>
      </c>
      <c r="Q546" s="24" t="s">
        <v>133</v>
      </c>
      <c r="R546" s="24" t="s">
        <v>1920</v>
      </c>
      <c r="S546" s="34">
        <v>0.2</v>
      </c>
      <c r="T546" s="15">
        <v>85.055999999999997</v>
      </c>
      <c r="U546" s="18">
        <v>28.706399999999999</v>
      </c>
      <c r="V546" s="56">
        <f>Table11[[#This Row],[Profit]]/Table11[[#This Row],[Sales]]</f>
        <v>0.33749999999999997</v>
      </c>
    </row>
    <row r="547" spans="1:22" x14ac:dyDescent="0.2">
      <c r="A547" s="4">
        <v>546</v>
      </c>
      <c r="B547" s="3" t="s">
        <v>7535</v>
      </c>
      <c r="C547" s="7">
        <v>42154</v>
      </c>
      <c r="D547" s="28">
        <f>MONTH(Table11[[#This Row],[Order Date]])</f>
        <v>5</v>
      </c>
      <c r="E547" s="3" t="s">
        <v>2223</v>
      </c>
      <c r="F547" s="3" t="s">
        <v>7536</v>
      </c>
      <c r="G547" s="25" t="s">
        <v>64</v>
      </c>
      <c r="H547" s="25" t="s">
        <v>65</v>
      </c>
      <c r="I547" s="3" t="s">
        <v>5082</v>
      </c>
      <c r="J547" s="25" t="s">
        <v>22</v>
      </c>
      <c r="K547" s="28">
        <v>3</v>
      </c>
      <c r="L547" s="7">
        <v>42156</v>
      </c>
      <c r="M547" s="28">
        <f>Table11[[#This Row],[Ship Date]]-Table11[[#This Row],[Order Date]]</f>
        <v>2</v>
      </c>
      <c r="N547" s="25" t="s">
        <v>169</v>
      </c>
      <c r="O547" s="25" t="s">
        <v>23</v>
      </c>
      <c r="P547" s="25" t="s">
        <v>238</v>
      </c>
      <c r="Q547" s="25" t="s">
        <v>133</v>
      </c>
      <c r="R547" s="25" t="s">
        <v>237</v>
      </c>
      <c r="S547" s="35">
        <v>0</v>
      </c>
      <c r="T547" s="16">
        <v>239.97</v>
      </c>
      <c r="U547" s="19">
        <v>2.3997000000000002</v>
      </c>
      <c r="V547" s="56">
        <f>Table11[[#This Row],[Profit]]/Table11[[#This Row],[Sales]]</f>
        <v>0.01</v>
      </c>
    </row>
    <row r="548" spans="1:22" x14ac:dyDescent="0.2">
      <c r="A548" s="4">
        <v>547</v>
      </c>
      <c r="B548" s="5" t="s">
        <v>7535</v>
      </c>
      <c r="C548" s="6">
        <v>42154</v>
      </c>
      <c r="D548" s="27">
        <f>MONTH(Table11[[#This Row],[Order Date]])</f>
        <v>5</v>
      </c>
      <c r="E548" s="5" t="s">
        <v>4787</v>
      </c>
      <c r="F548" s="5" t="s">
        <v>4788</v>
      </c>
      <c r="G548" s="24" t="s">
        <v>41</v>
      </c>
      <c r="H548" s="24" t="s">
        <v>71</v>
      </c>
      <c r="I548" s="5" t="s">
        <v>5082</v>
      </c>
      <c r="J548" s="24" t="s">
        <v>22</v>
      </c>
      <c r="K548" s="27">
        <v>2</v>
      </c>
      <c r="L548" s="6">
        <v>42156</v>
      </c>
      <c r="M548" s="27">
        <f>Table11[[#This Row],[Ship Date]]-Table11[[#This Row],[Order Date]]</f>
        <v>2</v>
      </c>
      <c r="N548" s="24" t="s">
        <v>169</v>
      </c>
      <c r="O548" s="24" t="s">
        <v>23</v>
      </c>
      <c r="P548" s="24" t="s">
        <v>238</v>
      </c>
      <c r="Q548" s="24" t="s">
        <v>133</v>
      </c>
      <c r="R548" s="24" t="s">
        <v>237</v>
      </c>
      <c r="S548" s="34">
        <v>0</v>
      </c>
      <c r="T548" s="15">
        <v>160.32</v>
      </c>
      <c r="U548" s="18">
        <v>44.889600000000002</v>
      </c>
      <c r="V548" s="56">
        <f>Table11[[#This Row],[Profit]]/Table11[[#This Row],[Sales]]</f>
        <v>0.28000000000000003</v>
      </c>
    </row>
    <row r="549" spans="1:22" x14ac:dyDescent="0.2">
      <c r="A549" s="2">
        <v>548</v>
      </c>
      <c r="B549" s="3" t="s">
        <v>7535</v>
      </c>
      <c r="C549" s="7">
        <v>42154</v>
      </c>
      <c r="D549" s="28">
        <f>MONTH(Table11[[#This Row],[Order Date]])</f>
        <v>5</v>
      </c>
      <c r="E549" s="3" t="s">
        <v>4710</v>
      </c>
      <c r="F549" s="3" t="s">
        <v>4711</v>
      </c>
      <c r="G549" s="25" t="s">
        <v>64</v>
      </c>
      <c r="H549" s="25" t="s">
        <v>65</v>
      </c>
      <c r="I549" s="3" t="s">
        <v>5082</v>
      </c>
      <c r="J549" s="25" t="s">
        <v>22</v>
      </c>
      <c r="K549" s="28">
        <v>3</v>
      </c>
      <c r="L549" s="7">
        <v>42156</v>
      </c>
      <c r="M549" s="28">
        <f>Table11[[#This Row],[Ship Date]]-Table11[[#This Row],[Order Date]]</f>
        <v>2</v>
      </c>
      <c r="N549" s="25" t="s">
        <v>169</v>
      </c>
      <c r="O549" s="25" t="s">
        <v>23</v>
      </c>
      <c r="P549" s="25" t="s">
        <v>238</v>
      </c>
      <c r="Q549" s="25" t="s">
        <v>133</v>
      </c>
      <c r="R549" s="25" t="s">
        <v>237</v>
      </c>
      <c r="S549" s="35">
        <v>0</v>
      </c>
      <c r="T549" s="16">
        <v>128.85</v>
      </c>
      <c r="U549" s="19">
        <v>3.8654999999999999</v>
      </c>
      <c r="V549" s="56">
        <f>Table11[[#This Row],[Profit]]/Table11[[#This Row],[Sales]]</f>
        <v>3.0000000000000002E-2</v>
      </c>
    </row>
    <row r="550" spans="1:22" x14ac:dyDescent="0.2">
      <c r="A550" s="4">
        <v>549</v>
      </c>
      <c r="B550" s="5" t="s">
        <v>9908</v>
      </c>
      <c r="C550" s="6">
        <v>42154</v>
      </c>
      <c r="D550" s="27">
        <f>MONTH(Table11[[#This Row],[Order Date]])</f>
        <v>5</v>
      </c>
      <c r="E550" s="5" t="s">
        <v>4730</v>
      </c>
      <c r="F550" s="5" t="s">
        <v>4731</v>
      </c>
      <c r="G550" s="24" t="s">
        <v>64</v>
      </c>
      <c r="H550" s="24" t="s">
        <v>144</v>
      </c>
      <c r="I550" s="5" t="s">
        <v>9283</v>
      </c>
      <c r="J550" s="24" t="s">
        <v>92</v>
      </c>
      <c r="K550" s="27">
        <v>4</v>
      </c>
      <c r="L550" s="6">
        <v>42158</v>
      </c>
      <c r="M550" s="27">
        <f>Table11[[#This Row],[Ship Date]]-Table11[[#This Row],[Order Date]]</f>
        <v>4</v>
      </c>
      <c r="N550" s="24" t="s">
        <v>45</v>
      </c>
      <c r="O550" s="24" t="s">
        <v>23</v>
      </c>
      <c r="P550" s="24" t="s">
        <v>285</v>
      </c>
      <c r="Q550" s="24" t="s">
        <v>26</v>
      </c>
      <c r="R550" s="24" t="s">
        <v>284</v>
      </c>
      <c r="S550" s="34">
        <v>0</v>
      </c>
      <c r="T550" s="15">
        <v>151.96</v>
      </c>
      <c r="U550" s="18">
        <v>36.470399999999998</v>
      </c>
      <c r="V550" s="56">
        <f>Table11[[#This Row],[Profit]]/Table11[[#This Row],[Sales]]</f>
        <v>0.23999999999999996</v>
      </c>
    </row>
    <row r="551" spans="1:22" x14ac:dyDescent="0.2">
      <c r="A551" s="4">
        <v>550</v>
      </c>
      <c r="B551" s="3" t="s">
        <v>555</v>
      </c>
      <c r="C551" s="7">
        <v>42155</v>
      </c>
      <c r="D551" s="28">
        <f>MONTH(Table11[[#This Row],[Order Date]])</f>
        <v>5</v>
      </c>
      <c r="E551" s="3" t="s">
        <v>558</v>
      </c>
      <c r="F551" s="3" t="s">
        <v>559</v>
      </c>
      <c r="G551" s="25" t="s">
        <v>41</v>
      </c>
      <c r="H551" s="25" t="s">
        <v>82</v>
      </c>
      <c r="I551" s="3" t="s">
        <v>556</v>
      </c>
      <c r="J551" s="25" t="s">
        <v>36</v>
      </c>
      <c r="K551" s="28">
        <v>7</v>
      </c>
      <c r="L551" s="7">
        <v>42157</v>
      </c>
      <c r="M551" s="28">
        <f>Table11[[#This Row],[Ship Date]]-Table11[[#This Row],[Order Date]]</f>
        <v>2</v>
      </c>
      <c r="N551" s="25" t="s">
        <v>169</v>
      </c>
      <c r="O551" s="25" t="s">
        <v>23</v>
      </c>
      <c r="P551" s="25" t="s">
        <v>38</v>
      </c>
      <c r="Q551" s="25" t="s">
        <v>39</v>
      </c>
      <c r="R551" s="25" t="s">
        <v>557</v>
      </c>
      <c r="S551" s="35">
        <v>0</v>
      </c>
      <c r="T551" s="16">
        <v>58.38</v>
      </c>
      <c r="U551" s="19">
        <v>26.271000000000001</v>
      </c>
      <c r="V551" s="56">
        <f>Table11[[#This Row],[Profit]]/Table11[[#This Row],[Sales]]</f>
        <v>0.45</v>
      </c>
    </row>
    <row r="552" spans="1:22" x14ac:dyDescent="0.2">
      <c r="A552" s="2">
        <v>551</v>
      </c>
      <c r="B552" s="5" t="s">
        <v>555</v>
      </c>
      <c r="C552" s="6">
        <v>42155</v>
      </c>
      <c r="D552" s="27">
        <f>MONTH(Table11[[#This Row],[Order Date]])</f>
        <v>5</v>
      </c>
      <c r="E552" s="5" t="s">
        <v>560</v>
      </c>
      <c r="F552" s="5" t="s">
        <v>561</v>
      </c>
      <c r="G552" s="24" t="s">
        <v>41</v>
      </c>
      <c r="H552" s="24" t="s">
        <v>82</v>
      </c>
      <c r="I552" s="5" t="s">
        <v>556</v>
      </c>
      <c r="J552" s="24" t="s">
        <v>36</v>
      </c>
      <c r="K552" s="27">
        <v>4</v>
      </c>
      <c r="L552" s="6">
        <v>42157</v>
      </c>
      <c r="M552" s="27">
        <f>Table11[[#This Row],[Ship Date]]-Table11[[#This Row],[Order Date]]</f>
        <v>2</v>
      </c>
      <c r="N552" s="24" t="s">
        <v>169</v>
      </c>
      <c r="O552" s="24" t="s">
        <v>23</v>
      </c>
      <c r="P552" s="24" t="s">
        <v>38</v>
      </c>
      <c r="Q552" s="24" t="s">
        <v>39</v>
      </c>
      <c r="R552" s="24" t="s">
        <v>557</v>
      </c>
      <c r="S552" s="34">
        <v>0</v>
      </c>
      <c r="T552" s="15">
        <v>105.52</v>
      </c>
      <c r="U552" s="18">
        <v>48.539200000000001</v>
      </c>
      <c r="V552" s="56">
        <f>Table11[[#This Row],[Profit]]/Table11[[#This Row],[Sales]]</f>
        <v>0.46</v>
      </c>
    </row>
    <row r="553" spans="1:22" x14ac:dyDescent="0.2">
      <c r="A553" s="4">
        <v>552</v>
      </c>
      <c r="B553" s="3" t="s">
        <v>555</v>
      </c>
      <c r="C553" s="7">
        <v>42155</v>
      </c>
      <c r="D553" s="28">
        <f>MONTH(Table11[[#This Row],[Order Date]])</f>
        <v>5</v>
      </c>
      <c r="E553" s="3" t="s">
        <v>562</v>
      </c>
      <c r="F553" s="3" t="s">
        <v>563</v>
      </c>
      <c r="G553" s="25" t="s">
        <v>41</v>
      </c>
      <c r="H553" s="25" t="s">
        <v>53</v>
      </c>
      <c r="I553" s="3" t="s">
        <v>556</v>
      </c>
      <c r="J553" s="25" t="s">
        <v>36</v>
      </c>
      <c r="K553" s="28">
        <v>6</v>
      </c>
      <c r="L553" s="7">
        <v>42157</v>
      </c>
      <c r="M553" s="28">
        <f>Table11[[#This Row],[Ship Date]]-Table11[[#This Row],[Order Date]]</f>
        <v>2</v>
      </c>
      <c r="N553" s="25" t="s">
        <v>169</v>
      </c>
      <c r="O553" s="25" t="s">
        <v>23</v>
      </c>
      <c r="P553" s="25" t="s">
        <v>38</v>
      </c>
      <c r="Q553" s="25" t="s">
        <v>39</v>
      </c>
      <c r="R553" s="25" t="s">
        <v>557</v>
      </c>
      <c r="S553" s="35">
        <v>0</v>
      </c>
      <c r="T553" s="16">
        <v>80.88</v>
      </c>
      <c r="U553" s="19">
        <v>21.0288</v>
      </c>
      <c r="V553" s="56">
        <f>Table11[[#This Row],[Profit]]/Table11[[#This Row],[Sales]]</f>
        <v>0.26</v>
      </c>
    </row>
    <row r="554" spans="1:22" x14ac:dyDescent="0.2">
      <c r="A554" s="4">
        <v>553</v>
      </c>
      <c r="B554" s="5" t="s">
        <v>2464</v>
      </c>
      <c r="C554" s="6">
        <v>42155</v>
      </c>
      <c r="D554" s="27">
        <f>MONTH(Table11[[#This Row],[Order Date]])</f>
        <v>5</v>
      </c>
      <c r="E554" s="5" t="s">
        <v>1204</v>
      </c>
      <c r="F554" s="5" t="s">
        <v>1205</v>
      </c>
      <c r="G554" s="24" t="s">
        <v>28</v>
      </c>
      <c r="H554" s="24" t="s">
        <v>58</v>
      </c>
      <c r="I554" s="5" t="s">
        <v>2465</v>
      </c>
      <c r="J554" s="24" t="s">
        <v>92</v>
      </c>
      <c r="K554" s="27">
        <v>6</v>
      </c>
      <c r="L554" s="6">
        <v>42162</v>
      </c>
      <c r="M554" s="27">
        <f>Table11[[#This Row],[Ship Date]]-Table11[[#This Row],[Order Date]]</f>
        <v>7</v>
      </c>
      <c r="N554" s="24" t="s">
        <v>45</v>
      </c>
      <c r="O554" s="24" t="s">
        <v>23</v>
      </c>
      <c r="P554" s="24" t="s">
        <v>660</v>
      </c>
      <c r="Q554" s="24" t="s">
        <v>133</v>
      </c>
      <c r="R554" s="24" t="s">
        <v>2466</v>
      </c>
      <c r="S554" s="34">
        <v>0</v>
      </c>
      <c r="T554" s="15">
        <v>22.2</v>
      </c>
      <c r="U554" s="18">
        <v>9.1020000000000003</v>
      </c>
      <c r="V554" s="56">
        <f>Table11[[#This Row],[Profit]]/Table11[[#This Row],[Sales]]</f>
        <v>0.41000000000000003</v>
      </c>
    </row>
    <row r="555" spans="1:22" x14ac:dyDescent="0.2">
      <c r="A555" s="2">
        <v>554</v>
      </c>
      <c r="B555" s="3" t="s">
        <v>5031</v>
      </c>
      <c r="C555" s="7">
        <v>42155</v>
      </c>
      <c r="D555" s="28">
        <f>MONTH(Table11[[#This Row],[Order Date]])</f>
        <v>5</v>
      </c>
      <c r="E555" s="3" t="s">
        <v>5032</v>
      </c>
      <c r="F555" s="3" t="s">
        <v>5033</v>
      </c>
      <c r="G555" s="25" t="s">
        <v>28</v>
      </c>
      <c r="H555" s="25" t="s">
        <v>29</v>
      </c>
      <c r="I555" s="3" t="s">
        <v>4845</v>
      </c>
      <c r="J555" s="25" t="s">
        <v>22</v>
      </c>
      <c r="K555" s="28">
        <v>7</v>
      </c>
      <c r="L555" s="7">
        <v>42159</v>
      </c>
      <c r="M555" s="28">
        <f>Table11[[#This Row],[Ship Date]]-Table11[[#This Row],[Order Date]]</f>
        <v>4</v>
      </c>
      <c r="N555" s="25" t="s">
        <v>45</v>
      </c>
      <c r="O555" s="25" t="s">
        <v>23</v>
      </c>
      <c r="P555" s="25" t="s">
        <v>109</v>
      </c>
      <c r="Q555" s="25" t="s">
        <v>39</v>
      </c>
      <c r="R555" s="25" t="s">
        <v>138</v>
      </c>
      <c r="S555" s="35">
        <v>0</v>
      </c>
      <c r="T555" s="16">
        <v>1406.86</v>
      </c>
      <c r="U555" s="19">
        <v>140.68600000000001</v>
      </c>
      <c r="V555" s="56">
        <f>Table11[[#This Row],[Profit]]/Table11[[#This Row],[Sales]]</f>
        <v>0.1</v>
      </c>
    </row>
    <row r="556" spans="1:22" x14ac:dyDescent="0.2">
      <c r="A556" s="4">
        <v>555</v>
      </c>
      <c r="B556" s="5" t="s">
        <v>5031</v>
      </c>
      <c r="C556" s="6">
        <v>42155</v>
      </c>
      <c r="D556" s="27">
        <f>MONTH(Table11[[#This Row],[Order Date]])</f>
        <v>5</v>
      </c>
      <c r="E556" s="5" t="s">
        <v>1273</v>
      </c>
      <c r="F556" s="5" t="s">
        <v>1274</v>
      </c>
      <c r="G556" s="24" t="s">
        <v>41</v>
      </c>
      <c r="H556" s="24" t="s">
        <v>42</v>
      </c>
      <c r="I556" s="5" t="s">
        <v>4845</v>
      </c>
      <c r="J556" s="24" t="s">
        <v>22</v>
      </c>
      <c r="K556" s="27">
        <v>5</v>
      </c>
      <c r="L556" s="6">
        <v>42159</v>
      </c>
      <c r="M556" s="27">
        <f>Table11[[#This Row],[Ship Date]]-Table11[[#This Row],[Order Date]]</f>
        <v>4</v>
      </c>
      <c r="N556" s="24" t="s">
        <v>45</v>
      </c>
      <c r="O556" s="24" t="s">
        <v>23</v>
      </c>
      <c r="P556" s="24" t="s">
        <v>109</v>
      </c>
      <c r="Q556" s="24" t="s">
        <v>39</v>
      </c>
      <c r="R556" s="24" t="s">
        <v>138</v>
      </c>
      <c r="S556" s="34">
        <v>0</v>
      </c>
      <c r="T556" s="15">
        <v>15.75</v>
      </c>
      <c r="U556" s="18">
        <v>7.56</v>
      </c>
      <c r="V556" s="56">
        <f>Table11[[#This Row],[Profit]]/Table11[[#This Row],[Sales]]</f>
        <v>0.48</v>
      </c>
    </row>
    <row r="557" spans="1:22" x14ac:dyDescent="0.2">
      <c r="A557" s="4">
        <v>556</v>
      </c>
      <c r="B557" s="3" t="s">
        <v>5031</v>
      </c>
      <c r="C557" s="7">
        <v>42155</v>
      </c>
      <c r="D557" s="28">
        <f>MONTH(Table11[[#This Row],[Order Date]])</f>
        <v>5</v>
      </c>
      <c r="E557" s="3" t="s">
        <v>2640</v>
      </c>
      <c r="F557" s="3" t="s">
        <v>2641</v>
      </c>
      <c r="G557" s="25" t="s">
        <v>41</v>
      </c>
      <c r="H557" s="25" t="s">
        <v>53</v>
      </c>
      <c r="I557" s="3" t="s">
        <v>4845</v>
      </c>
      <c r="J557" s="25" t="s">
        <v>22</v>
      </c>
      <c r="K557" s="28">
        <v>2</v>
      </c>
      <c r="L557" s="7">
        <v>42159</v>
      </c>
      <c r="M557" s="28">
        <f>Table11[[#This Row],[Ship Date]]-Table11[[#This Row],[Order Date]]</f>
        <v>4</v>
      </c>
      <c r="N557" s="25" t="s">
        <v>45</v>
      </c>
      <c r="O557" s="25" t="s">
        <v>23</v>
      </c>
      <c r="P557" s="25" t="s">
        <v>109</v>
      </c>
      <c r="Q557" s="25" t="s">
        <v>39</v>
      </c>
      <c r="R557" s="25" t="s">
        <v>138</v>
      </c>
      <c r="S557" s="35">
        <v>0</v>
      </c>
      <c r="T557" s="16">
        <v>323.10000000000002</v>
      </c>
      <c r="U557" s="19">
        <v>61.389000000000003</v>
      </c>
      <c r="V557" s="56">
        <f>Table11[[#This Row],[Profit]]/Table11[[#This Row],[Sales]]</f>
        <v>0.19</v>
      </c>
    </row>
    <row r="558" spans="1:22" x14ac:dyDescent="0.2">
      <c r="A558" s="2">
        <v>557</v>
      </c>
      <c r="B558" s="5" t="s">
        <v>8375</v>
      </c>
      <c r="C558" s="6">
        <v>42155</v>
      </c>
      <c r="D558" s="27">
        <f>MONTH(Table11[[#This Row],[Order Date]])</f>
        <v>5</v>
      </c>
      <c r="E558" s="5" t="s">
        <v>5574</v>
      </c>
      <c r="F558" s="5" t="s">
        <v>5575</v>
      </c>
      <c r="G558" s="24" t="s">
        <v>28</v>
      </c>
      <c r="H558" s="24" t="s">
        <v>32</v>
      </c>
      <c r="I558" s="5" t="s">
        <v>1655</v>
      </c>
      <c r="J558" s="24" t="s">
        <v>22</v>
      </c>
      <c r="K558" s="27">
        <v>8</v>
      </c>
      <c r="L558" s="6">
        <v>42159</v>
      </c>
      <c r="M558" s="27">
        <f>Table11[[#This Row],[Ship Date]]-Table11[[#This Row],[Order Date]]</f>
        <v>4</v>
      </c>
      <c r="N558" s="24" t="s">
        <v>45</v>
      </c>
      <c r="O558" s="24" t="s">
        <v>23</v>
      </c>
      <c r="P558" s="24" t="s">
        <v>204</v>
      </c>
      <c r="Q558" s="24" t="s">
        <v>95</v>
      </c>
      <c r="R558" s="24" t="s">
        <v>364</v>
      </c>
      <c r="S558" s="34">
        <v>0</v>
      </c>
      <c r="T558" s="15">
        <v>2567.84</v>
      </c>
      <c r="U558" s="18">
        <v>770.35199999999998</v>
      </c>
      <c r="V558" s="56">
        <f>Table11[[#This Row],[Profit]]/Table11[[#This Row],[Sales]]</f>
        <v>0.3</v>
      </c>
    </row>
    <row r="559" spans="1:22" x14ac:dyDescent="0.2">
      <c r="A559" s="4">
        <v>558</v>
      </c>
      <c r="B559" s="3" t="s">
        <v>8677</v>
      </c>
      <c r="C559" s="7">
        <v>42155</v>
      </c>
      <c r="D559" s="28">
        <f>MONTH(Table11[[#This Row],[Order Date]])</f>
        <v>5</v>
      </c>
      <c r="E559" s="3" t="s">
        <v>3670</v>
      </c>
      <c r="F559" s="3" t="s">
        <v>3671</v>
      </c>
      <c r="G559" s="25" t="s">
        <v>41</v>
      </c>
      <c r="H559" s="25" t="s">
        <v>61</v>
      </c>
      <c r="I559" s="3" t="s">
        <v>7446</v>
      </c>
      <c r="J559" s="25" t="s">
        <v>22</v>
      </c>
      <c r="K559" s="28">
        <v>3</v>
      </c>
      <c r="L559" s="7">
        <v>42155</v>
      </c>
      <c r="M559" s="28">
        <f>Table11[[#This Row],[Ship Date]]-Table11[[#This Row],[Order Date]]</f>
        <v>0</v>
      </c>
      <c r="N559" s="25" t="s">
        <v>1141</v>
      </c>
      <c r="O559" s="25" t="s">
        <v>23</v>
      </c>
      <c r="P559" s="25" t="s">
        <v>80</v>
      </c>
      <c r="Q559" s="25" t="s">
        <v>26</v>
      </c>
      <c r="R559" s="25" t="s">
        <v>1509</v>
      </c>
      <c r="S559" s="35">
        <v>0.2</v>
      </c>
      <c r="T559" s="16">
        <v>10.272</v>
      </c>
      <c r="U559" s="19">
        <v>1.1556</v>
      </c>
      <c r="V559" s="56">
        <f>Table11[[#This Row],[Profit]]/Table11[[#This Row],[Sales]]</f>
        <v>0.11249999999999999</v>
      </c>
    </row>
    <row r="560" spans="1:22" x14ac:dyDescent="0.2">
      <c r="A560" s="4">
        <v>559</v>
      </c>
      <c r="B560" s="5" t="s">
        <v>8863</v>
      </c>
      <c r="C560" s="6">
        <v>42155</v>
      </c>
      <c r="D560" s="27">
        <f>MONTH(Table11[[#This Row],[Order Date]])</f>
        <v>5</v>
      </c>
      <c r="E560" s="5" t="s">
        <v>883</v>
      </c>
      <c r="F560" s="5" t="s">
        <v>884</v>
      </c>
      <c r="G560" s="24" t="s">
        <v>41</v>
      </c>
      <c r="H560" s="24" t="s">
        <v>240</v>
      </c>
      <c r="I560" s="5" t="s">
        <v>1487</v>
      </c>
      <c r="J560" s="24" t="s">
        <v>92</v>
      </c>
      <c r="K560" s="27">
        <v>6</v>
      </c>
      <c r="L560" s="6">
        <v>42157</v>
      </c>
      <c r="M560" s="27">
        <f>Table11[[#This Row],[Ship Date]]-Table11[[#This Row],[Order Date]]</f>
        <v>2</v>
      </c>
      <c r="N560" s="24" t="s">
        <v>20</v>
      </c>
      <c r="O560" s="24" t="s">
        <v>23</v>
      </c>
      <c r="P560" s="24" t="s">
        <v>238</v>
      </c>
      <c r="Q560" s="24" t="s">
        <v>133</v>
      </c>
      <c r="R560" s="24" t="s">
        <v>1037</v>
      </c>
      <c r="S560" s="34">
        <v>0</v>
      </c>
      <c r="T560" s="15">
        <v>7.56</v>
      </c>
      <c r="U560" s="18">
        <v>0.3024</v>
      </c>
      <c r="V560" s="56">
        <f>Table11[[#This Row],[Profit]]/Table11[[#This Row],[Sales]]</f>
        <v>0.04</v>
      </c>
    </row>
    <row r="561" spans="1:22" x14ac:dyDescent="0.2">
      <c r="A561" s="2">
        <v>560</v>
      </c>
      <c r="B561" s="3" t="s">
        <v>9861</v>
      </c>
      <c r="C561" s="7">
        <v>42155</v>
      </c>
      <c r="D561" s="28">
        <f>MONTH(Table11[[#This Row],[Order Date]])</f>
        <v>5</v>
      </c>
      <c r="E561" s="3" t="s">
        <v>4030</v>
      </c>
      <c r="F561" s="3" t="s">
        <v>4031</v>
      </c>
      <c r="G561" s="25" t="s">
        <v>41</v>
      </c>
      <c r="H561" s="25" t="s">
        <v>42</v>
      </c>
      <c r="I561" s="3" t="s">
        <v>236</v>
      </c>
      <c r="J561" s="25" t="s">
        <v>36</v>
      </c>
      <c r="K561" s="28">
        <v>2</v>
      </c>
      <c r="L561" s="7">
        <v>42160</v>
      </c>
      <c r="M561" s="28">
        <f>Table11[[#This Row],[Ship Date]]-Table11[[#This Row],[Order Date]]</f>
        <v>5</v>
      </c>
      <c r="N561" s="25" t="s">
        <v>20</v>
      </c>
      <c r="O561" s="25" t="s">
        <v>23</v>
      </c>
      <c r="P561" s="25" t="s">
        <v>189</v>
      </c>
      <c r="Q561" s="25" t="s">
        <v>95</v>
      </c>
      <c r="R561" s="25" t="s">
        <v>271</v>
      </c>
      <c r="S561" s="35">
        <v>0.2</v>
      </c>
      <c r="T561" s="16">
        <v>5.9039999999999999</v>
      </c>
      <c r="U561" s="19">
        <v>1.9925999999999999</v>
      </c>
      <c r="V561" s="56">
        <f>Table11[[#This Row],[Profit]]/Table11[[#This Row],[Sales]]</f>
        <v>0.33749999999999997</v>
      </c>
    </row>
    <row r="562" spans="1:22" x14ac:dyDescent="0.2">
      <c r="A562" s="4">
        <v>561</v>
      </c>
      <c r="B562" s="5" t="s">
        <v>9861</v>
      </c>
      <c r="C562" s="6">
        <v>42155</v>
      </c>
      <c r="D562" s="27">
        <f>MONTH(Table11[[#This Row],[Order Date]])</f>
        <v>5</v>
      </c>
      <c r="E562" s="5" t="s">
        <v>3592</v>
      </c>
      <c r="F562" s="5" t="s">
        <v>3593</v>
      </c>
      <c r="G562" s="24" t="s">
        <v>41</v>
      </c>
      <c r="H562" s="24" t="s">
        <v>82</v>
      </c>
      <c r="I562" s="5" t="s">
        <v>236</v>
      </c>
      <c r="J562" s="24" t="s">
        <v>36</v>
      </c>
      <c r="K562" s="27">
        <v>7</v>
      </c>
      <c r="L562" s="6">
        <v>42160</v>
      </c>
      <c r="M562" s="27">
        <f>Table11[[#This Row],[Ship Date]]-Table11[[#This Row],[Order Date]]</f>
        <v>5</v>
      </c>
      <c r="N562" s="24" t="s">
        <v>20</v>
      </c>
      <c r="O562" s="24" t="s">
        <v>23</v>
      </c>
      <c r="P562" s="24" t="s">
        <v>189</v>
      </c>
      <c r="Q562" s="24" t="s">
        <v>95</v>
      </c>
      <c r="R562" s="24" t="s">
        <v>271</v>
      </c>
      <c r="S562" s="34">
        <v>0.2</v>
      </c>
      <c r="T562" s="15">
        <v>173.488</v>
      </c>
      <c r="U562" s="18">
        <v>54.215000000000003</v>
      </c>
      <c r="V562" s="56">
        <f>Table11[[#This Row],[Profit]]/Table11[[#This Row],[Sales]]</f>
        <v>0.3125</v>
      </c>
    </row>
    <row r="563" spans="1:22" x14ac:dyDescent="0.2">
      <c r="A563" s="4">
        <v>562</v>
      </c>
      <c r="B563" s="3" t="s">
        <v>9861</v>
      </c>
      <c r="C563" s="7">
        <v>42155</v>
      </c>
      <c r="D563" s="28">
        <f>MONTH(Table11[[#This Row],[Order Date]])</f>
        <v>5</v>
      </c>
      <c r="E563" s="3" t="s">
        <v>5925</v>
      </c>
      <c r="F563" s="3" t="s">
        <v>5926</v>
      </c>
      <c r="G563" s="25" t="s">
        <v>28</v>
      </c>
      <c r="H563" s="25" t="s">
        <v>58</v>
      </c>
      <c r="I563" s="3" t="s">
        <v>236</v>
      </c>
      <c r="J563" s="25" t="s">
        <v>36</v>
      </c>
      <c r="K563" s="28">
        <v>2</v>
      </c>
      <c r="L563" s="7">
        <v>42160</v>
      </c>
      <c r="M563" s="28">
        <f>Table11[[#This Row],[Ship Date]]-Table11[[#This Row],[Order Date]]</f>
        <v>5</v>
      </c>
      <c r="N563" s="25" t="s">
        <v>20</v>
      </c>
      <c r="O563" s="25" t="s">
        <v>23</v>
      </c>
      <c r="P563" s="25" t="s">
        <v>189</v>
      </c>
      <c r="Q563" s="25" t="s">
        <v>95</v>
      </c>
      <c r="R563" s="25" t="s">
        <v>271</v>
      </c>
      <c r="S563" s="35">
        <v>0.6</v>
      </c>
      <c r="T563" s="16">
        <v>51.56</v>
      </c>
      <c r="U563" s="19">
        <v>-61.872</v>
      </c>
      <c r="V563" s="56">
        <f>Table11[[#This Row],[Profit]]/Table11[[#This Row],[Sales]]</f>
        <v>-1.2</v>
      </c>
    </row>
    <row r="564" spans="1:22" x14ac:dyDescent="0.2">
      <c r="A564" s="2">
        <v>563</v>
      </c>
      <c r="B564" s="5" t="s">
        <v>9861</v>
      </c>
      <c r="C564" s="6">
        <v>42155</v>
      </c>
      <c r="D564" s="27">
        <f>MONTH(Table11[[#This Row],[Order Date]])</f>
        <v>5</v>
      </c>
      <c r="E564" s="5" t="s">
        <v>3421</v>
      </c>
      <c r="F564" s="5" t="s">
        <v>1073</v>
      </c>
      <c r="G564" s="24" t="s">
        <v>41</v>
      </c>
      <c r="H564" s="24" t="s">
        <v>68</v>
      </c>
      <c r="I564" s="5" t="s">
        <v>236</v>
      </c>
      <c r="J564" s="24" t="s">
        <v>36</v>
      </c>
      <c r="K564" s="27">
        <v>3</v>
      </c>
      <c r="L564" s="6">
        <v>42160</v>
      </c>
      <c r="M564" s="27">
        <f>Table11[[#This Row],[Ship Date]]-Table11[[#This Row],[Order Date]]</f>
        <v>5</v>
      </c>
      <c r="N564" s="24" t="s">
        <v>20</v>
      </c>
      <c r="O564" s="24" t="s">
        <v>23</v>
      </c>
      <c r="P564" s="24" t="s">
        <v>189</v>
      </c>
      <c r="Q564" s="24" t="s">
        <v>95</v>
      </c>
      <c r="R564" s="24" t="s">
        <v>271</v>
      </c>
      <c r="S564" s="34">
        <v>0.8</v>
      </c>
      <c r="T564" s="15">
        <v>3.5640000000000001</v>
      </c>
      <c r="U564" s="18">
        <v>-6.2370000000000001</v>
      </c>
      <c r="V564" s="56">
        <f>Table11[[#This Row],[Profit]]/Table11[[#This Row],[Sales]]</f>
        <v>-1.75</v>
      </c>
    </row>
    <row r="565" spans="1:22" x14ac:dyDescent="0.2">
      <c r="A565" s="4">
        <v>564</v>
      </c>
      <c r="B565" s="3" t="s">
        <v>10046</v>
      </c>
      <c r="C565" s="7">
        <v>42155</v>
      </c>
      <c r="D565" s="28">
        <f>MONTH(Table11[[#This Row],[Order Date]])</f>
        <v>5</v>
      </c>
      <c r="E565" s="3" t="s">
        <v>1776</v>
      </c>
      <c r="F565" s="3" t="s">
        <v>1777</v>
      </c>
      <c r="G565" s="25" t="s">
        <v>41</v>
      </c>
      <c r="H565" s="25" t="s">
        <v>82</v>
      </c>
      <c r="I565" s="3" t="s">
        <v>4723</v>
      </c>
      <c r="J565" s="25" t="s">
        <v>36</v>
      </c>
      <c r="K565" s="28">
        <v>5</v>
      </c>
      <c r="L565" s="7">
        <v>42157</v>
      </c>
      <c r="M565" s="28">
        <f>Table11[[#This Row],[Ship Date]]-Table11[[#This Row],[Order Date]]</f>
        <v>2</v>
      </c>
      <c r="N565" s="25" t="s">
        <v>20</v>
      </c>
      <c r="O565" s="25" t="s">
        <v>23</v>
      </c>
      <c r="P565" s="25" t="s">
        <v>695</v>
      </c>
      <c r="Q565" s="25" t="s">
        <v>133</v>
      </c>
      <c r="R565" s="25" t="s">
        <v>4273</v>
      </c>
      <c r="S565" s="35">
        <v>0</v>
      </c>
      <c r="T565" s="16">
        <v>274.8</v>
      </c>
      <c r="U565" s="19">
        <v>134.65199999999999</v>
      </c>
      <c r="V565" s="56">
        <f>Table11[[#This Row],[Profit]]/Table11[[#This Row],[Sales]]</f>
        <v>0.48999999999999994</v>
      </c>
    </row>
    <row r="566" spans="1:22" x14ac:dyDescent="0.2">
      <c r="A566" s="4">
        <v>565</v>
      </c>
      <c r="B566" s="5" t="s">
        <v>10046</v>
      </c>
      <c r="C566" s="6">
        <v>42155</v>
      </c>
      <c r="D566" s="27">
        <f>MONTH(Table11[[#This Row],[Order Date]])</f>
        <v>5</v>
      </c>
      <c r="E566" s="5" t="s">
        <v>2833</v>
      </c>
      <c r="F566" s="5" t="s">
        <v>2834</v>
      </c>
      <c r="G566" s="24" t="s">
        <v>41</v>
      </c>
      <c r="H566" s="24" t="s">
        <v>53</v>
      </c>
      <c r="I566" s="5" t="s">
        <v>4723</v>
      </c>
      <c r="J566" s="24" t="s">
        <v>36</v>
      </c>
      <c r="K566" s="27">
        <v>1</v>
      </c>
      <c r="L566" s="6">
        <v>42157</v>
      </c>
      <c r="M566" s="27">
        <f>Table11[[#This Row],[Ship Date]]-Table11[[#This Row],[Order Date]]</f>
        <v>2</v>
      </c>
      <c r="N566" s="24" t="s">
        <v>20</v>
      </c>
      <c r="O566" s="24" t="s">
        <v>23</v>
      </c>
      <c r="P566" s="24" t="s">
        <v>695</v>
      </c>
      <c r="Q566" s="24" t="s">
        <v>133</v>
      </c>
      <c r="R566" s="24" t="s">
        <v>4273</v>
      </c>
      <c r="S566" s="34">
        <v>0</v>
      </c>
      <c r="T566" s="15">
        <v>62.18</v>
      </c>
      <c r="U566" s="18">
        <v>16.788599999999999</v>
      </c>
      <c r="V566" s="56">
        <f>Table11[[#This Row],[Profit]]/Table11[[#This Row],[Sales]]</f>
        <v>0.26999999999999996</v>
      </c>
    </row>
    <row r="567" spans="1:22" x14ac:dyDescent="0.2">
      <c r="A567" s="2">
        <v>566</v>
      </c>
      <c r="B567" s="3" t="s">
        <v>10046</v>
      </c>
      <c r="C567" s="7">
        <v>42155</v>
      </c>
      <c r="D567" s="28">
        <f>MONTH(Table11[[#This Row],[Order Date]])</f>
        <v>5</v>
      </c>
      <c r="E567" s="3" t="s">
        <v>5060</v>
      </c>
      <c r="F567" s="3" t="s">
        <v>5061</v>
      </c>
      <c r="G567" s="25" t="s">
        <v>28</v>
      </c>
      <c r="H567" s="25" t="s">
        <v>58</v>
      </c>
      <c r="I567" s="3" t="s">
        <v>4723</v>
      </c>
      <c r="J567" s="25" t="s">
        <v>36</v>
      </c>
      <c r="K567" s="28">
        <v>2</v>
      </c>
      <c r="L567" s="7">
        <v>42157</v>
      </c>
      <c r="M567" s="28">
        <f>Table11[[#This Row],[Ship Date]]-Table11[[#This Row],[Order Date]]</f>
        <v>2</v>
      </c>
      <c r="N567" s="25" t="s">
        <v>20</v>
      </c>
      <c r="O567" s="25" t="s">
        <v>23</v>
      </c>
      <c r="P567" s="25" t="s">
        <v>695</v>
      </c>
      <c r="Q567" s="25" t="s">
        <v>133</v>
      </c>
      <c r="R567" s="25" t="s">
        <v>4273</v>
      </c>
      <c r="S567" s="35">
        <v>0</v>
      </c>
      <c r="T567" s="16">
        <v>8.2799999999999994</v>
      </c>
      <c r="U567" s="19">
        <v>2.9807999999999999</v>
      </c>
      <c r="V567" s="56">
        <f>Table11[[#This Row],[Profit]]/Table11[[#This Row],[Sales]]</f>
        <v>0.36000000000000004</v>
      </c>
    </row>
    <row r="568" spans="1:22" x14ac:dyDescent="0.2">
      <c r="A568" s="4">
        <v>567</v>
      </c>
      <c r="B568" s="5" t="s">
        <v>6380</v>
      </c>
      <c r="C568" s="6">
        <v>42156</v>
      </c>
      <c r="D568" s="27">
        <f>MONTH(Table11[[#This Row],[Order Date]])</f>
        <v>6</v>
      </c>
      <c r="E568" s="5" t="s">
        <v>661</v>
      </c>
      <c r="F568" s="5" t="s">
        <v>662</v>
      </c>
      <c r="G568" s="24" t="s">
        <v>41</v>
      </c>
      <c r="H568" s="24" t="s">
        <v>68</v>
      </c>
      <c r="I568" s="5" t="s">
        <v>6265</v>
      </c>
      <c r="J568" s="24" t="s">
        <v>36</v>
      </c>
      <c r="K568" s="27">
        <v>8</v>
      </c>
      <c r="L568" s="6">
        <v>42160</v>
      </c>
      <c r="M568" s="27">
        <f>Table11[[#This Row],[Ship Date]]-Table11[[#This Row],[Order Date]]</f>
        <v>4</v>
      </c>
      <c r="N568" s="24" t="s">
        <v>45</v>
      </c>
      <c r="O568" s="24" t="s">
        <v>23</v>
      </c>
      <c r="P568" s="24" t="s">
        <v>94</v>
      </c>
      <c r="Q568" s="24" t="s">
        <v>95</v>
      </c>
      <c r="R568" s="24" t="s">
        <v>598</v>
      </c>
      <c r="S568" s="34">
        <v>0.8</v>
      </c>
      <c r="T568" s="15">
        <v>5.7279999999999998</v>
      </c>
      <c r="U568" s="18">
        <v>-9.1647999999999996</v>
      </c>
      <c r="V568" s="56">
        <f>Table11[[#This Row],[Profit]]/Table11[[#This Row],[Sales]]</f>
        <v>-1.6</v>
      </c>
    </row>
    <row r="569" spans="1:22" x14ac:dyDescent="0.2">
      <c r="A569" s="4">
        <v>568</v>
      </c>
      <c r="B569" s="3" t="s">
        <v>6380</v>
      </c>
      <c r="C569" s="7">
        <v>42156</v>
      </c>
      <c r="D569" s="28">
        <f>MONTH(Table11[[#This Row],[Order Date]])</f>
        <v>6</v>
      </c>
      <c r="E569" s="3" t="s">
        <v>6381</v>
      </c>
      <c r="F569" s="3" t="s">
        <v>6382</v>
      </c>
      <c r="G569" s="25" t="s">
        <v>41</v>
      </c>
      <c r="H569" s="25" t="s">
        <v>82</v>
      </c>
      <c r="I569" s="3" t="s">
        <v>6265</v>
      </c>
      <c r="J569" s="25" t="s">
        <v>36</v>
      </c>
      <c r="K569" s="28">
        <v>10</v>
      </c>
      <c r="L569" s="7">
        <v>42160</v>
      </c>
      <c r="M569" s="28">
        <f>Table11[[#This Row],[Ship Date]]-Table11[[#This Row],[Order Date]]</f>
        <v>4</v>
      </c>
      <c r="N569" s="25" t="s">
        <v>45</v>
      </c>
      <c r="O569" s="25" t="s">
        <v>23</v>
      </c>
      <c r="P569" s="25" t="s">
        <v>94</v>
      </c>
      <c r="Q569" s="25" t="s">
        <v>95</v>
      </c>
      <c r="R569" s="25" t="s">
        <v>598</v>
      </c>
      <c r="S569" s="35">
        <v>0.2</v>
      </c>
      <c r="T569" s="16">
        <v>42.24</v>
      </c>
      <c r="U569" s="19">
        <v>13.2</v>
      </c>
      <c r="V569" s="56">
        <f>Table11[[#This Row],[Profit]]/Table11[[#This Row],[Sales]]</f>
        <v>0.31249999999999994</v>
      </c>
    </row>
    <row r="570" spans="1:22" x14ac:dyDescent="0.2">
      <c r="A570" s="2">
        <v>569</v>
      </c>
      <c r="B570" s="5" t="s">
        <v>9641</v>
      </c>
      <c r="C570" s="6">
        <v>42156</v>
      </c>
      <c r="D570" s="27">
        <f>MONTH(Table11[[#This Row],[Order Date]])</f>
        <v>6</v>
      </c>
      <c r="E570" s="5" t="s">
        <v>5696</v>
      </c>
      <c r="F570" s="5" t="s">
        <v>5697</v>
      </c>
      <c r="G570" s="24" t="s">
        <v>64</v>
      </c>
      <c r="H570" s="24" t="s">
        <v>65</v>
      </c>
      <c r="I570" s="5" t="s">
        <v>1670</v>
      </c>
      <c r="J570" s="24" t="s">
        <v>22</v>
      </c>
      <c r="K570" s="27">
        <v>2</v>
      </c>
      <c r="L570" s="6">
        <v>42160</v>
      </c>
      <c r="M570" s="27">
        <f>Table11[[#This Row],[Ship Date]]-Table11[[#This Row],[Order Date]]</f>
        <v>4</v>
      </c>
      <c r="N570" s="24" t="s">
        <v>45</v>
      </c>
      <c r="O570" s="24" t="s">
        <v>23</v>
      </c>
      <c r="P570" s="24" t="s">
        <v>212</v>
      </c>
      <c r="Q570" s="24" t="s">
        <v>95</v>
      </c>
      <c r="R570" s="24" t="s">
        <v>775</v>
      </c>
      <c r="S570" s="34">
        <v>0</v>
      </c>
      <c r="T570" s="15">
        <v>299.98</v>
      </c>
      <c r="U570" s="18">
        <v>83.994399999999999</v>
      </c>
      <c r="V570" s="56">
        <f>Table11[[#This Row],[Profit]]/Table11[[#This Row],[Sales]]</f>
        <v>0.27999999999999997</v>
      </c>
    </row>
    <row r="571" spans="1:22" x14ac:dyDescent="0.2">
      <c r="A571" s="4">
        <v>570</v>
      </c>
      <c r="B571" s="3" t="s">
        <v>9641</v>
      </c>
      <c r="C571" s="7">
        <v>42156</v>
      </c>
      <c r="D571" s="28">
        <f>MONTH(Table11[[#This Row],[Order Date]])</f>
        <v>6</v>
      </c>
      <c r="E571" s="3" t="s">
        <v>3794</v>
      </c>
      <c r="F571" s="3" t="s">
        <v>3795</v>
      </c>
      <c r="G571" s="25" t="s">
        <v>41</v>
      </c>
      <c r="H571" s="25" t="s">
        <v>68</v>
      </c>
      <c r="I571" s="3" t="s">
        <v>1670</v>
      </c>
      <c r="J571" s="25" t="s">
        <v>22</v>
      </c>
      <c r="K571" s="28">
        <v>6</v>
      </c>
      <c r="L571" s="7">
        <v>42160</v>
      </c>
      <c r="M571" s="28">
        <f>Table11[[#This Row],[Ship Date]]-Table11[[#This Row],[Order Date]]</f>
        <v>4</v>
      </c>
      <c r="N571" s="25" t="s">
        <v>45</v>
      </c>
      <c r="O571" s="25" t="s">
        <v>23</v>
      </c>
      <c r="P571" s="25" t="s">
        <v>212</v>
      </c>
      <c r="Q571" s="25" t="s">
        <v>95</v>
      </c>
      <c r="R571" s="25" t="s">
        <v>775</v>
      </c>
      <c r="S571" s="35">
        <v>0</v>
      </c>
      <c r="T571" s="16">
        <v>403.68</v>
      </c>
      <c r="U571" s="19">
        <v>181.65600000000001</v>
      </c>
      <c r="V571" s="56">
        <f>Table11[[#This Row],[Profit]]/Table11[[#This Row],[Sales]]</f>
        <v>0.45</v>
      </c>
    </row>
    <row r="572" spans="1:22" x14ac:dyDescent="0.2">
      <c r="A572" s="4">
        <v>571</v>
      </c>
      <c r="B572" s="5" t="s">
        <v>9641</v>
      </c>
      <c r="C572" s="6">
        <v>42156</v>
      </c>
      <c r="D572" s="27">
        <f>MONTH(Table11[[#This Row],[Order Date]])</f>
        <v>6</v>
      </c>
      <c r="E572" s="5" t="s">
        <v>3547</v>
      </c>
      <c r="F572" s="5" t="s">
        <v>3548</v>
      </c>
      <c r="G572" s="24" t="s">
        <v>64</v>
      </c>
      <c r="H572" s="24" t="s">
        <v>65</v>
      </c>
      <c r="I572" s="5" t="s">
        <v>1670</v>
      </c>
      <c r="J572" s="24" t="s">
        <v>22</v>
      </c>
      <c r="K572" s="27">
        <v>2</v>
      </c>
      <c r="L572" s="6">
        <v>42160</v>
      </c>
      <c r="M572" s="27">
        <f>Table11[[#This Row],[Ship Date]]-Table11[[#This Row],[Order Date]]</f>
        <v>4</v>
      </c>
      <c r="N572" s="24" t="s">
        <v>45</v>
      </c>
      <c r="O572" s="24" t="s">
        <v>23</v>
      </c>
      <c r="P572" s="24" t="s">
        <v>212</v>
      </c>
      <c r="Q572" s="24" t="s">
        <v>95</v>
      </c>
      <c r="R572" s="24" t="s">
        <v>775</v>
      </c>
      <c r="S572" s="34">
        <v>0</v>
      </c>
      <c r="T572" s="15">
        <v>41.9</v>
      </c>
      <c r="U572" s="18">
        <v>11.731999999999999</v>
      </c>
      <c r="V572" s="56">
        <f>Table11[[#This Row],[Profit]]/Table11[[#This Row],[Sales]]</f>
        <v>0.27999999999999997</v>
      </c>
    </row>
    <row r="573" spans="1:22" x14ac:dyDescent="0.2">
      <c r="A573" s="2">
        <v>572</v>
      </c>
      <c r="B573" s="3" t="s">
        <v>9641</v>
      </c>
      <c r="C573" s="7">
        <v>42156</v>
      </c>
      <c r="D573" s="28">
        <f>MONTH(Table11[[#This Row],[Order Date]])</f>
        <v>6</v>
      </c>
      <c r="E573" s="3" t="s">
        <v>7254</v>
      </c>
      <c r="F573" s="3" t="s">
        <v>7255</v>
      </c>
      <c r="G573" s="25" t="s">
        <v>41</v>
      </c>
      <c r="H573" s="25" t="s">
        <v>42</v>
      </c>
      <c r="I573" s="3" t="s">
        <v>1670</v>
      </c>
      <c r="J573" s="25" t="s">
        <v>22</v>
      </c>
      <c r="K573" s="28">
        <v>7</v>
      </c>
      <c r="L573" s="7">
        <v>42160</v>
      </c>
      <c r="M573" s="28">
        <f>Table11[[#This Row],[Ship Date]]-Table11[[#This Row],[Order Date]]</f>
        <v>4</v>
      </c>
      <c r="N573" s="25" t="s">
        <v>45</v>
      </c>
      <c r="O573" s="25" t="s">
        <v>23</v>
      </c>
      <c r="P573" s="25" t="s">
        <v>212</v>
      </c>
      <c r="Q573" s="25" t="s">
        <v>95</v>
      </c>
      <c r="R573" s="25" t="s">
        <v>775</v>
      </c>
      <c r="S573" s="35">
        <v>0</v>
      </c>
      <c r="T573" s="16">
        <v>28.91</v>
      </c>
      <c r="U573" s="19">
        <v>13.2986</v>
      </c>
      <c r="V573" s="56">
        <f>Table11[[#This Row],[Profit]]/Table11[[#This Row],[Sales]]</f>
        <v>0.46</v>
      </c>
    </row>
    <row r="574" spans="1:22" x14ac:dyDescent="0.2">
      <c r="A574" s="4">
        <v>573</v>
      </c>
      <c r="B574" s="5" t="s">
        <v>9917</v>
      </c>
      <c r="C574" s="6">
        <v>42156</v>
      </c>
      <c r="D574" s="27">
        <f>MONTH(Table11[[#This Row],[Order Date]])</f>
        <v>6</v>
      </c>
      <c r="E574" s="5" t="s">
        <v>3532</v>
      </c>
      <c r="F574" s="5" t="s">
        <v>3533</v>
      </c>
      <c r="G574" s="24" t="s">
        <v>41</v>
      </c>
      <c r="H574" s="24" t="s">
        <v>82</v>
      </c>
      <c r="I574" s="5" t="s">
        <v>2504</v>
      </c>
      <c r="J574" s="24" t="s">
        <v>92</v>
      </c>
      <c r="K574" s="27">
        <v>2</v>
      </c>
      <c r="L574" s="6">
        <v>42163</v>
      </c>
      <c r="M574" s="27">
        <f>Table11[[#This Row],[Ship Date]]-Table11[[#This Row],[Order Date]]</f>
        <v>7</v>
      </c>
      <c r="N574" s="24" t="s">
        <v>45</v>
      </c>
      <c r="O574" s="24" t="s">
        <v>23</v>
      </c>
      <c r="P574" s="24" t="s">
        <v>38</v>
      </c>
      <c r="Q574" s="24" t="s">
        <v>39</v>
      </c>
      <c r="R574" s="24" t="s">
        <v>37</v>
      </c>
      <c r="S574" s="34">
        <v>0</v>
      </c>
      <c r="T574" s="15">
        <v>11.76</v>
      </c>
      <c r="U574" s="18">
        <v>5.7624000000000004</v>
      </c>
      <c r="V574" s="56">
        <f>Table11[[#This Row],[Profit]]/Table11[[#This Row],[Sales]]</f>
        <v>0.49000000000000005</v>
      </c>
    </row>
    <row r="575" spans="1:22" x14ac:dyDescent="0.2">
      <c r="A575" s="4">
        <v>574</v>
      </c>
      <c r="B575" s="3" t="s">
        <v>4029</v>
      </c>
      <c r="C575" s="7">
        <v>42159</v>
      </c>
      <c r="D575" s="28">
        <f>MONTH(Table11[[#This Row],[Order Date]])</f>
        <v>6</v>
      </c>
      <c r="E575" s="3" t="s">
        <v>4030</v>
      </c>
      <c r="F575" s="3" t="s">
        <v>4031</v>
      </c>
      <c r="G575" s="25" t="s">
        <v>41</v>
      </c>
      <c r="H575" s="25" t="s">
        <v>42</v>
      </c>
      <c r="I575" s="3" t="s">
        <v>2396</v>
      </c>
      <c r="J575" s="25" t="s">
        <v>22</v>
      </c>
      <c r="K575" s="28">
        <v>2</v>
      </c>
      <c r="L575" s="7">
        <v>42159</v>
      </c>
      <c r="M575" s="28">
        <f>Table11[[#This Row],[Ship Date]]-Table11[[#This Row],[Order Date]]</f>
        <v>0</v>
      </c>
      <c r="N575" s="25" t="s">
        <v>1141</v>
      </c>
      <c r="O575" s="25" t="s">
        <v>23</v>
      </c>
      <c r="P575" s="25" t="s">
        <v>87</v>
      </c>
      <c r="Q575" s="25" t="s">
        <v>39</v>
      </c>
      <c r="R575" s="25" t="s">
        <v>86</v>
      </c>
      <c r="S575" s="35">
        <v>0</v>
      </c>
      <c r="T575" s="16">
        <v>7.38</v>
      </c>
      <c r="U575" s="19">
        <v>3.4685999999999999</v>
      </c>
      <c r="V575" s="56">
        <f>Table11[[#This Row],[Profit]]/Table11[[#This Row],[Sales]]</f>
        <v>0.47</v>
      </c>
    </row>
    <row r="576" spans="1:22" x14ac:dyDescent="0.2">
      <c r="A576" s="2">
        <v>575</v>
      </c>
      <c r="B576" s="5" t="s">
        <v>4029</v>
      </c>
      <c r="C576" s="6">
        <v>42159</v>
      </c>
      <c r="D576" s="27">
        <f>MONTH(Table11[[#This Row],[Order Date]])</f>
        <v>6</v>
      </c>
      <c r="E576" s="5" t="s">
        <v>688</v>
      </c>
      <c r="F576" s="5" t="s">
        <v>689</v>
      </c>
      <c r="G576" s="24" t="s">
        <v>41</v>
      </c>
      <c r="H576" s="24" t="s">
        <v>61</v>
      </c>
      <c r="I576" s="5" t="s">
        <v>2396</v>
      </c>
      <c r="J576" s="24" t="s">
        <v>22</v>
      </c>
      <c r="K576" s="27">
        <v>2</v>
      </c>
      <c r="L576" s="6">
        <v>42159</v>
      </c>
      <c r="M576" s="27">
        <f>Table11[[#This Row],[Ship Date]]-Table11[[#This Row],[Order Date]]</f>
        <v>0</v>
      </c>
      <c r="N576" s="24" t="s">
        <v>1141</v>
      </c>
      <c r="O576" s="24" t="s">
        <v>23</v>
      </c>
      <c r="P576" s="24" t="s">
        <v>87</v>
      </c>
      <c r="Q576" s="24" t="s">
        <v>39</v>
      </c>
      <c r="R576" s="24" t="s">
        <v>86</v>
      </c>
      <c r="S576" s="34">
        <v>0</v>
      </c>
      <c r="T576" s="15">
        <v>9.26</v>
      </c>
      <c r="U576" s="18">
        <v>3.0558000000000001</v>
      </c>
      <c r="V576" s="56">
        <f>Table11[[#This Row],[Profit]]/Table11[[#This Row],[Sales]]</f>
        <v>0.33</v>
      </c>
    </row>
    <row r="577" spans="1:22" x14ac:dyDescent="0.2">
      <c r="A577" s="4">
        <v>576</v>
      </c>
      <c r="B577" s="3" t="s">
        <v>5869</v>
      </c>
      <c r="C577" s="7">
        <v>42159</v>
      </c>
      <c r="D577" s="28">
        <f>MONTH(Table11[[#This Row],[Order Date]])</f>
        <v>6</v>
      </c>
      <c r="E577" s="3" t="s">
        <v>837</v>
      </c>
      <c r="F577" s="3" t="s">
        <v>838</v>
      </c>
      <c r="G577" s="25" t="s">
        <v>41</v>
      </c>
      <c r="H577" s="25" t="s">
        <v>82</v>
      </c>
      <c r="I577" s="3" t="s">
        <v>3186</v>
      </c>
      <c r="J577" s="25" t="s">
        <v>92</v>
      </c>
      <c r="K577" s="28">
        <v>4</v>
      </c>
      <c r="L577" s="7">
        <v>42163</v>
      </c>
      <c r="M577" s="28">
        <f>Table11[[#This Row],[Ship Date]]-Table11[[#This Row],[Order Date]]</f>
        <v>4</v>
      </c>
      <c r="N577" s="25" t="s">
        <v>20</v>
      </c>
      <c r="O577" s="25" t="s">
        <v>23</v>
      </c>
      <c r="P577" s="25" t="s">
        <v>238</v>
      </c>
      <c r="Q577" s="25" t="s">
        <v>133</v>
      </c>
      <c r="R577" s="25" t="s">
        <v>237</v>
      </c>
      <c r="S577" s="35">
        <v>0</v>
      </c>
      <c r="T577" s="16">
        <v>30.44</v>
      </c>
      <c r="U577" s="19">
        <v>14.306800000000001</v>
      </c>
      <c r="V577" s="56">
        <f>Table11[[#This Row],[Profit]]/Table11[[#This Row],[Sales]]</f>
        <v>0.47000000000000003</v>
      </c>
    </row>
    <row r="578" spans="1:22" x14ac:dyDescent="0.2">
      <c r="A578" s="4">
        <v>577</v>
      </c>
      <c r="B578" s="5" t="s">
        <v>5869</v>
      </c>
      <c r="C578" s="6">
        <v>42159</v>
      </c>
      <c r="D578" s="27">
        <f>MONTH(Table11[[#This Row],[Order Date]])</f>
        <v>6</v>
      </c>
      <c r="E578" s="5" t="s">
        <v>5870</v>
      </c>
      <c r="F578" s="5" t="s">
        <v>5871</v>
      </c>
      <c r="G578" s="24" t="s">
        <v>28</v>
      </c>
      <c r="H578" s="24" t="s">
        <v>58</v>
      </c>
      <c r="I578" s="5" t="s">
        <v>3186</v>
      </c>
      <c r="J578" s="24" t="s">
        <v>92</v>
      </c>
      <c r="K578" s="27">
        <v>3</v>
      </c>
      <c r="L578" s="6">
        <v>42163</v>
      </c>
      <c r="M578" s="27">
        <f>Table11[[#This Row],[Ship Date]]-Table11[[#This Row],[Order Date]]</f>
        <v>4</v>
      </c>
      <c r="N578" s="24" t="s">
        <v>20</v>
      </c>
      <c r="O578" s="24" t="s">
        <v>23</v>
      </c>
      <c r="P578" s="24" t="s">
        <v>238</v>
      </c>
      <c r="Q578" s="24" t="s">
        <v>133</v>
      </c>
      <c r="R578" s="24" t="s">
        <v>237</v>
      </c>
      <c r="S578" s="34">
        <v>0</v>
      </c>
      <c r="T578" s="15">
        <v>35.28</v>
      </c>
      <c r="U578" s="18">
        <v>11.995200000000001</v>
      </c>
      <c r="V578" s="56">
        <f>Table11[[#This Row],[Profit]]/Table11[[#This Row],[Sales]]</f>
        <v>0.34</v>
      </c>
    </row>
    <row r="579" spans="1:22" x14ac:dyDescent="0.2">
      <c r="A579" s="2">
        <v>578</v>
      </c>
      <c r="B579" s="3" t="s">
        <v>8595</v>
      </c>
      <c r="C579" s="7">
        <v>42159</v>
      </c>
      <c r="D579" s="28">
        <f>MONTH(Table11[[#This Row],[Order Date]])</f>
        <v>6</v>
      </c>
      <c r="E579" s="3" t="s">
        <v>6206</v>
      </c>
      <c r="F579" s="3" t="s">
        <v>6207</v>
      </c>
      <c r="G579" s="25" t="s">
        <v>64</v>
      </c>
      <c r="H579" s="25" t="s">
        <v>144</v>
      </c>
      <c r="I579" s="3" t="s">
        <v>5455</v>
      </c>
      <c r="J579" s="25" t="s">
        <v>22</v>
      </c>
      <c r="K579" s="28">
        <v>2</v>
      </c>
      <c r="L579" s="7">
        <v>42164</v>
      </c>
      <c r="M579" s="28">
        <f>Table11[[#This Row],[Ship Date]]-Table11[[#This Row],[Order Date]]</f>
        <v>5</v>
      </c>
      <c r="N579" s="25" t="s">
        <v>20</v>
      </c>
      <c r="O579" s="25" t="s">
        <v>23</v>
      </c>
      <c r="P579" s="25" t="s">
        <v>38</v>
      </c>
      <c r="Q579" s="25" t="s">
        <v>39</v>
      </c>
      <c r="R579" s="25" t="s">
        <v>37</v>
      </c>
      <c r="S579" s="35">
        <v>0</v>
      </c>
      <c r="T579" s="16">
        <v>119.98</v>
      </c>
      <c r="U579" s="19">
        <v>35.994</v>
      </c>
      <c r="V579" s="56">
        <f>Table11[[#This Row],[Profit]]/Table11[[#This Row],[Sales]]</f>
        <v>0.3</v>
      </c>
    </row>
    <row r="580" spans="1:22" x14ac:dyDescent="0.2">
      <c r="A580" s="4">
        <v>579</v>
      </c>
      <c r="B580" s="5" t="s">
        <v>8595</v>
      </c>
      <c r="C580" s="6">
        <v>42159</v>
      </c>
      <c r="D580" s="27">
        <f>MONTH(Table11[[#This Row],[Order Date]])</f>
        <v>6</v>
      </c>
      <c r="E580" s="5" t="s">
        <v>7468</v>
      </c>
      <c r="F580" s="5" t="s">
        <v>7469</v>
      </c>
      <c r="G580" s="24" t="s">
        <v>64</v>
      </c>
      <c r="H580" s="24" t="s">
        <v>144</v>
      </c>
      <c r="I580" s="5" t="s">
        <v>5455</v>
      </c>
      <c r="J580" s="24" t="s">
        <v>22</v>
      </c>
      <c r="K580" s="27">
        <v>3</v>
      </c>
      <c r="L580" s="6">
        <v>42164</v>
      </c>
      <c r="M580" s="27">
        <f>Table11[[#This Row],[Ship Date]]-Table11[[#This Row],[Order Date]]</f>
        <v>5</v>
      </c>
      <c r="N580" s="24" t="s">
        <v>20</v>
      </c>
      <c r="O580" s="24" t="s">
        <v>23</v>
      </c>
      <c r="P580" s="24" t="s">
        <v>38</v>
      </c>
      <c r="Q580" s="24" t="s">
        <v>39</v>
      </c>
      <c r="R580" s="24" t="s">
        <v>37</v>
      </c>
      <c r="S580" s="34">
        <v>0</v>
      </c>
      <c r="T580" s="15">
        <v>989.97</v>
      </c>
      <c r="U580" s="18">
        <v>395.988</v>
      </c>
      <c r="V580" s="56">
        <f>Table11[[#This Row],[Profit]]/Table11[[#This Row],[Sales]]</f>
        <v>0.39999999999999997</v>
      </c>
    </row>
    <row r="581" spans="1:22" x14ac:dyDescent="0.2">
      <c r="A581" s="4">
        <v>580</v>
      </c>
      <c r="B581" s="3" t="s">
        <v>8186</v>
      </c>
      <c r="C581" s="7">
        <v>42160</v>
      </c>
      <c r="D581" s="28">
        <f>MONTH(Table11[[#This Row],[Order Date]])</f>
        <v>6</v>
      </c>
      <c r="E581" s="3" t="s">
        <v>1707</v>
      </c>
      <c r="F581" s="3" t="s">
        <v>1708</v>
      </c>
      <c r="G581" s="25" t="s">
        <v>28</v>
      </c>
      <c r="H581" s="25" t="s">
        <v>32</v>
      </c>
      <c r="I581" s="3" t="s">
        <v>3648</v>
      </c>
      <c r="J581" s="25" t="s">
        <v>36</v>
      </c>
      <c r="K581" s="28">
        <v>9</v>
      </c>
      <c r="L581" s="7">
        <v>42165</v>
      </c>
      <c r="M581" s="28">
        <f>Table11[[#This Row],[Ship Date]]-Table11[[#This Row],[Order Date]]</f>
        <v>5</v>
      </c>
      <c r="N581" s="25" t="s">
        <v>45</v>
      </c>
      <c r="O581" s="25" t="s">
        <v>23</v>
      </c>
      <c r="P581" s="25" t="s">
        <v>238</v>
      </c>
      <c r="Q581" s="25" t="s">
        <v>133</v>
      </c>
      <c r="R581" s="25" t="s">
        <v>3048</v>
      </c>
      <c r="S581" s="35">
        <v>0.1</v>
      </c>
      <c r="T581" s="16">
        <v>1522.6379999999999</v>
      </c>
      <c r="U581" s="19">
        <v>169.18199999999999</v>
      </c>
      <c r="V581" s="56">
        <f>Table11[[#This Row],[Profit]]/Table11[[#This Row],[Sales]]</f>
        <v>0.1111111111111111</v>
      </c>
    </row>
    <row r="582" spans="1:22" x14ac:dyDescent="0.2">
      <c r="A582" s="2">
        <v>581</v>
      </c>
      <c r="B582" s="5" t="s">
        <v>9480</v>
      </c>
      <c r="C582" s="6">
        <v>42160</v>
      </c>
      <c r="D582" s="27">
        <f>MONTH(Table11[[#This Row],[Order Date]])</f>
        <v>6</v>
      </c>
      <c r="E582" s="5" t="s">
        <v>4097</v>
      </c>
      <c r="F582" s="5" t="s">
        <v>4098</v>
      </c>
      <c r="G582" s="24" t="s">
        <v>41</v>
      </c>
      <c r="H582" s="24" t="s">
        <v>82</v>
      </c>
      <c r="I582" s="5" t="s">
        <v>1355</v>
      </c>
      <c r="J582" s="24" t="s">
        <v>36</v>
      </c>
      <c r="K582" s="27">
        <v>2</v>
      </c>
      <c r="L582" s="6">
        <v>42164</v>
      </c>
      <c r="M582" s="27">
        <f>Table11[[#This Row],[Ship Date]]-Table11[[#This Row],[Order Date]]</f>
        <v>4</v>
      </c>
      <c r="N582" s="24" t="s">
        <v>45</v>
      </c>
      <c r="O582" s="24" t="s">
        <v>23</v>
      </c>
      <c r="P582" s="24" t="s">
        <v>528</v>
      </c>
      <c r="Q582" s="24" t="s">
        <v>95</v>
      </c>
      <c r="R582" s="24" t="s">
        <v>8529</v>
      </c>
      <c r="S582" s="34">
        <v>0</v>
      </c>
      <c r="T582" s="15">
        <v>10.56</v>
      </c>
      <c r="U582" s="18">
        <v>4.7519999999999998</v>
      </c>
      <c r="V582" s="56">
        <f>Table11[[#This Row],[Profit]]/Table11[[#This Row],[Sales]]</f>
        <v>0.44999999999999996</v>
      </c>
    </row>
    <row r="583" spans="1:22" x14ac:dyDescent="0.2">
      <c r="A583" s="4">
        <v>582</v>
      </c>
      <c r="B583" s="3" t="s">
        <v>4850</v>
      </c>
      <c r="C583" s="7">
        <v>42162</v>
      </c>
      <c r="D583" s="28">
        <f>MONTH(Table11[[#This Row],[Order Date]])</f>
        <v>6</v>
      </c>
      <c r="E583" s="3" t="s">
        <v>2134</v>
      </c>
      <c r="F583" s="3" t="s">
        <v>2135</v>
      </c>
      <c r="G583" s="25" t="s">
        <v>41</v>
      </c>
      <c r="H583" s="25" t="s">
        <v>68</v>
      </c>
      <c r="I583" s="3" t="s">
        <v>4851</v>
      </c>
      <c r="J583" s="25" t="s">
        <v>36</v>
      </c>
      <c r="K583" s="28">
        <v>5</v>
      </c>
      <c r="L583" s="7">
        <v>42164</v>
      </c>
      <c r="M583" s="28">
        <f>Table11[[#This Row],[Ship Date]]-Table11[[#This Row],[Order Date]]</f>
        <v>2</v>
      </c>
      <c r="N583" s="25" t="s">
        <v>20</v>
      </c>
      <c r="O583" s="25" t="s">
        <v>23</v>
      </c>
      <c r="P583" s="25" t="s">
        <v>38</v>
      </c>
      <c r="Q583" s="25" t="s">
        <v>39</v>
      </c>
      <c r="R583" s="25" t="s">
        <v>37</v>
      </c>
      <c r="S583" s="35">
        <v>0.2</v>
      </c>
      <c r="T583" s="16">
        <v>7.52</v>
      </c>
      <c r="U583" s="19">
        <v>2.6320000000000001</v>
      </c>
      <c r="V583" s="56">
        <f>Table11[[#This Row],[Profit]]/Table11[[#This Row],[Sales]]</f>
        <v>0.35000000000000003</v>
      </c>
    </row>
    <row r="584" spans="1:22" x14ac:dyDescent="0.2">
      <c r="A584" s="4">
        <v>583</v>
      </c>
      <c r="B584" s="5" t="s">
        <v>9309</v>
      </c>
      <c r="C584" s="6">
        <v>42162</v>
      </c>
      <c r="D584" s="27">
        <f>MONTH(Table11[[#This Row],[Order Date]])</f>
        <v>6</v>
      </c>
      <c r="E584" s="5" t="s">
        <v>2708</v>
      </c>
      <c r="F584" s="5" t="s">
        <v>2709</v>
      </c>
      <c r="G584" s="24" t="s">
        <v>41</v>
      </c>
      <c r="H584" s="24" t="s">
        <v>68</v>
      </c>
      <c r="I584" s="5" t="s">
        <v>9310</v>
      </c>
      <c r="J584" s="24" t="s">
        <v>92</v>
      </c>
      <c r="K584" s="27">
        <v>4</v>
      </c>
      <c r="L584" s="6">
        <v>42166</v>
      </c>
      <c r="M584" s="27">
        <f>Table11[[#This Row],[Ship Date]]-Table11[[#This Row],[Order Date]]</f>
        <v>4</v>
      </c>
      <c r="N584" s="24" t="s">
        <v>45</v>
      </c>
      <c r="O584" s="24" t="s">
        <v>23</v>
      </c>
      <c r="P584" s="24" t="s">
        <v>132</v>
      </c>
      <c r="Q584" s="24" t="s">
        <v>133</v>
      </c>
      <c r="R584" s="24" t="s">
        <v>131</v>
      </c>
      <c r="S584" s="34">
        <v>0.7</v>
      </c>
      <c r="T584" s="15">
        <v>18.312000000000001</v>
      </c>
      <c r="U584" s="18">
        <v>-12.208</v>
      </c>
      <c r="V584" s="56">
        <f>Table11[[#This Row],[Profit]]/Table11[[#This Row],[Sales]]</f>
        <v>-0.66666666666666663</v>
      </c>
    </row>
    <row r="585" spans="1:22" x14ac:dyDescent="0.2">
      <c r="A585" s="2">
        <v>584</v>
      </c>
      <c r="B585" s="3" t="s">
        <v>9309</v>
      </c>
      <c r="C585" s="7">
        <v>42162</v>
      </c>
      <c r="D585" s="28">
        <f>MONTH(Table11[[#This Row],[Order Date]])</f>
        <v>6</v>
      </c>
      <c r="E585" s="3" t="s">
        <v>6037</v>
      </c>
      <c r="F585" s="3" t="s">
        <v>6038</v>
      </c>
      <c r="G585" s="25" t="s">
        <v>41</v>
      </c>
      <c r="H585" s="25" t="s">
        <v>82</v>
      </c>
      <c r="I585" s="3" t="s">
        <v>9310</v>
      </c>
      <c r="J585" s="25" t="s">
        <v>92</v>
      </c>
      <c r="K585" s="28">
        <v>5</v>
      </c>
      <c r="L585" s="7">
        <v>42166</v>
      </c>
      <c r="M585" s="28">
        <f>Table11[[#This Row],[Ship Date]]-Table11[[#This Row],[Order Date]]</f>
        <v>4</v>
      </c>
      <c r="N585" s="25" t="s">
        <v>45</v>
      </c>
      <c r="O585" s="25" t="s">
        <v>23</v>
      </c>
      <c r="P585" s="25" t="s">
        <v>132</v>
      </c>
      <c r="Q585" s="25" t="s">
        <v>133</v>
      </c>
      <c r="R585" s="25" t="s">
        <v>131</v>
      </c>
      <c r="S585" s="35">
        <v>0.2</v>
      </c>
      <c r="T585" s="16">
        <v>25.92</v>
      </c>
      <c r="U585" s="19">
        <v>9.0719999999999992</v>
      </c>
      <c r="V585" s="56">
        <f>Table11[[#This Row],[Profit]]/Table11[[#This Row],[Sales]]</f>
        <v>0.34999999999999992</v>
      </c>
    </row>
    <row r="586" spans="1:22" x14ac:dyDescent="0.2">
      <c r="A586" s="4">
        <v>585</v>
      </c>
      <c r="B586" s="5" t="s">
        <v>9309</v>
      </c>
      <c r="C586" s="6">
        <v>42162</v>
      </c>
      <c r="D586" s="27">
        <f>MONTH(Table11[[#This Row],[Order Date]])</f>
        <v>6</v>
      </c>
      <c r="E586" s="5" t="s">
        <v>5201</v>
      </c>
      <c r="F586" s="5" t="s">
        <v>5202</v>
      </c>
      <c r="G586" s="24" t="s">
        <v>41</v>
      </c>
      <c r="H586" s="24" t="s">
        <v>61</v>
      </c>
      <c r="I586" s="5" t="s">
        <v>9310</v>
      </c>
      <c r="J586" s="24" t="s">
        <v>92</v>
      </c>
      <c r="K586" s="27">
        <v>3</v>
      </c>
      <c r="L586" s="6">
        <v>42166</v>
      </c>
      <c r="M586" s="27">
        <f>Table11[[#This Row],[Ship Date]]-Table11[[#This Row],[Order Date]]</f>
        <v>4</v>
      </c>
      <c r="N586" s="24" t="s">
        <v>45</v>
      </c>
      <c r="O586" s="24" t="s">
        <v>23</v>
      </c>
      <c r="P586" s="24" t="s">
        <v>132</v>
      </c>
      <c r="Q586" s="24" t="s">
        <v>133</v>
      </c>
      <c r="R586" s="24" t="s">
        <v>131</v>
      </c>
      <c r="S586" s="34">
        <v>0.2</v>
      </c>
      <c r="T586" s="15">
        <v>8.016</v>
      </c>
      <c r="U586" s="18">
        <v>1.002</v>
      </c>
      <c r="V586" s="56">
        <f>Table11[[#This Row],[Profit]]/Table11[[#This Row],[Sales]]</f>
        <v>0.125</v>
      </c>
    </row>
    <row r="587" spans="1:22" x14ac:dyDescent="0.2">
      <c r="A587" s="4">
        <v>586</v>
      </c>
      <c r="B587" s="3" t="s">
        <v>9680</v>
      </c>
      <c r="C587" s="7">
        <v>42163</v>
      </c>
      <c r="D587" s="28">
        <f>MONTH(Table11[[#This Row],[Order Date]])</f>
        <v>6</v>
      </c>
      <c r="E587" s="3" t="s">
        <v>5304</v>
      </c>
      <c r="F587" s="3" t="s">
        <v>5305</v>
      </c>
      <c r="G587" s="25" t="s">
        <v>64</v>
      </c>
      <c r="H587" s="25" t="s">
        <v>144</v>
      </c>
      <c r="I587" s="3" t="s">
        <v>6358</v>
      </c>
      <c r="J587" s="25" t="s">
        <v>22</v>
      </c>
      <c r="K587" s="28">
        <v>3</v>
      </c>
      <c r="L587" s="7">
        <v>42167</v>
      </c>
      <c r="M587" s="28">
        <f>Table11[[#This Row],[Ship Date]]-Table11[[#This Row],[Order Date]]</f>
        <v>4</v>
      </c>
      <c r="N587" s="25" t="s">
        <v>45</v>
      </c>
      <c r="O587" s="25" t="s">
        <v>23</v>
      </c>
      <c r="P587" s="25" t="s">
        <v>189</v>
      </c>
      <c r="Q587" s="25" t="s">
        <v>95</v>
      </c>
      <c r="R587" s="25" t="s">
        <v>271</v>
      </c>
      <c r="S587" s="35">
        <v>0.2</v>
      </c>
      <c r="T587" s="16">
        <v>2.3759999999999999</v>
      </c>
      <c r="U587" s="19">
        <v>0.74250000000000005</v>
      </c>
      <c r="V587" s="56">
        <f>Table11[[#This Row],[Profit]]/Table11[[#This Row],[Sales]]</f>
        <v>0.31250000000000006</v>
      </c>
    </row>
    <row r="588" spans="1:22" x14ac:dyDescent="0.2">
      <c r="A588" s="2">
        <v>587</v>
      </c>
      <c r="B588" s="5" t="s">
        <v>9680</v>
      </c>
      <c r="C588" s="6">
        <v>42163</v>
      </c>
      <c r="D588" s="27">
        <f>MONTH(Table11[[#This Row],[Order Date]])</f>
        <v>6</v>
      </c>
      <c r="E588" s="5" t="s">
        <v>2913</v>
      </c>
      <c r="F588" s="5" t="s">
        <v>2914</v>
      </c>
      <c r="G588" s="24" t="s">
        <v>41</v>
      </c>
      <c r="H588" s="24" t="s">
        <v>71</v>
      </c>
      <c r="I588" s="5" t="s">
        <v>6358</v>
      </c>
      <c r="J588" s="24" t="s">
        <v>22</v>
      </c>
      <c r="K588" s="27">
        <v>2</v>
      </c>
      <c r="L588" s="6">
        <v>42167</v>
      </c>
      <c r="M588" s="27">
        <f>Table11[[#This Row],[Ship Date]]-Table11[[#This Row],[Order Date]]</f>
        <v>4</v>
      </c>
      <c r="N588" s="24" t="s">
        <v>45</v>
      </c>
      <c r="O588" s="24" t="s">
        <v>23</v>
      </c>
      <c r="P588" s="24" t="s">
        <v>189</v>
      </c>
      <c r="Q588" s="24" t="s">
        <v>95</v>
      </c>
      <c r="R588" s="24" t="s">
        <v>271</v>
      </c>
      <c r="S588" s="34">
        <v>0.8</v>
      </c>
      <c r="T588" s="15">
        <v>143.12799999999999</v>
      </c>
      <c r="U588" s="18">
        <v>-393.60199999999998</v>
      </c>
      <c r="V588" s="56">
        <f>Table11[[#This Row],[Profit]]/Table11[[#This Row],[Sales]]</f>
        <v>-2.75</v>
      </c>
    </row>
    <row r="589" spans="1:22" x14ac:dyDescent="0.2">
      <c r="A589" s="4">
        <v>588</v>
      </c>
      <c r="B589" s="3" t="s">
        <v>10061</v>
      </c>
      <c r="C589" s="7">
        <v>42163</v>
      </c>
      <c r="D589" s="28">
        <f>MONTH(Table11[[#This Row],[Order Date]])</f>
        <v>6</v>
      </c>
      <c r="E589" s="3" t="s">
        <v>4810</v>
      </c>
      <c r="F589" s="3" t="s">
        <v>4811</v>
      </c>
      <c r="G589" s="25" t="s">
        <v>41</v>
      </c>
      <c r="H589" s="25" t="s">
        <v>82</v>
      </c>
      <c r="I589" s="3" t="s">
        <v>911</v>
      </c>
      <c r="J589" s="25" t="s">
        <v>36</v>
      </c>
      <c r="K589" s="28">
        <v>7</v>
      </c>
      <c r="L589" s="7">
        <v>42167</v>
      </c>
      <c r="M589" s="28">
        <f>Table11[[#This Row],[Ship Date]]-Table11[[#This Row],[Order Date]]</f>
        <v>4</v>
      </c>
      <c r="N589" s="25" t="s">
        <v>45</v>
      </c>
      <c r="O589" s="25" t="s">
        <v>23</v>
      </c>
      <c r="P589" s="25" t="s">
        <v>48</v>
      </c>
      <c r="Q589" s="25" t="s">
        <v>26</v>
      </c>
      <c r="R589" s="25" t="s">
        <v>1018</v>
      </c>
      <c r="S589" s="35">
        <v>0.2</v>
      </c>
      <c r="T589" s="16">
        <v>173.488</v>
      </c>
      <c r="U589" s="19">
        <v>54.215000000000003</v>
      </c>
      <c r="V589" s="56">
        <f>Table11[[#This Row],[Profit]]/Table11[[#This Row],[Sales]]</f>
        <v>0.3125</v>
      </c>
    </row>
    <row r="590" spans="1:22" x14ac:dyDescent="0.2">
      <c r="A590" s="4">
        <v>589</v>
      </c>
      <c r="B590" s="5" t="s">
        <v>10061</v>
      </c>
      <c r="C590" s="6">
        <v>42163</v>
      </c>
      <c r="D590" s="27">
        <f>MONTH(Table11[[#This Row],[Order Date]])</f>
        <v>6</v>
      </c>
      <c r="E590" s="5" t="s">
        <v>2640</v>
      </c>
      <c r="F590" s="5" t="s">
        <v>2641</v>
      </c>
      <c r="G590" s="24" t="s">
        <v>41</v>
      </c>
      <c r="H590" s="24" t="s">
        <v>53</v>
      </c>
      <c r="I590" s="5" t="s">
        <v>911</v>
      </c>
      <c r="J590" s="24" t="s">
        <v>36</v>
      </c>
      <c r="K590" s="27">
        <v>4</v>
      </c>
      <c r="L590" s="6">
        <v>42167</v>
      </c>
      <c r="M590" s="27">
        <f>Table11[[#This Row],[Ship Date]]-Table11[[#This Row],[Order Date]]</f>
        <v>4</v>
      </c>
      <c r="N590" s="24" t="s">
        <v>45</v>
      </c>
      <c r="O590" s="24" t="s">
        <v>23</v>
      </c>
      <c r="P590" s="24" t="s">
        <v>48</v>
      </c>
      <c r="Q590" s="24" t="s">
        <v>26</v>
      </c>
      <c r="R590" s="24" t="s">
        <v>1018</v>
      </c>
      <c r="S590" s="34">
        <v>0.2</v>
      </c>
      <c r="T590" s="15">
        <v>516.96</v>
      </c>
      <c r="U590" s="18">
        <v>-6.4619999999999997</v>
      </c>
      <c r="V590" s="56">
        <f>Table11[[#This Row],[Profit]]/Table11[[#This Row],[Sales]]</f>
        <v>-1.2499999999999999E-2</v>
      </c>
    </row>
    <row r="591" spans="1:22" x14ac:dyDescent="0.2">
      <c r="A591" s="2">
        <v>590</v>
      </c>
      <c r="B591" s="3" t="s">
        <v>10061</v>
      </c>
      <c r="C591" s="7">
        <v>42163</v>
      </c>
      <c r="D591" s="28">
        <f>MONTH(Table11[[#This Row],[Order Date]])</f>
        <v>6</v>
      </c>
      <c r="E591" s="3" t="s">
        <v>5335</v>
      </c>
      <c r="F591" s="3" t="s">
        <v>5336</v>
      </c>
      <c r="G591" s="25" t="s">
        <v>28</v>
      </c>
      <c r="H591" s="25" t="s">
        <v>58</v>
      </c>
      <c r="I591" s="3" t="s">
        <v>911</v>
      </c>
      <c r="J591" s="25" t="s">
        <v>36</v>
      </c>
      <c r="K591" s="28">
        <v>7</v>
      </c>
      <c r="L591" s="7">
        <v>42167</v>
      </c>
      <c r="M591" s="28">
        <f>Table11[[#This Row],[Ship Date]]-Table11[[#This Row],[Order Date]]</f>
        <v>4</v>
      </c>
      <c r="N591" s="25" t="s">
        <v>45</v>
      </c>
      <c r="O591" s="25" t="s">
        <v>23</v>
      </c>
      <c r="P591" s="25" t="s">
        <v>48</v>
      </c>
      <c r="Q591" s="25" t="s">
        <v>26</v>
      </c>
      <c r="R591" s="25" t="s">
        <v>1018</v>
      </c>
      <c r="S591" s="35">
        <v>0.2</v>
      </c>
      <c r="T591" s="16">
        <v>173.208</v>
      </c>
      <c r="U591" s="19">
        <v>45.467100000000002</v>
      </c>
      <c r="V591" s="56">
        <f>Table11[[#This Row],[Profit]]/Table11[[#This Row],[Sales]]</f>
        <v>0.26250000000000001</v>
      </c>
    </row>
    <row r="592" spans="1:22" x14ac:dyDescent="0.2">
      <c r="A592" s="4">
        <v>591</v>
      </c>
      <c r="B592" s="5" t="s">
        <v>10061</v>
      </c>
      <c r="C592" s="6">
        <v>42163</v>
      </c>
      <c r="D592" s="27">
        <f>MONTH(Table11[[#This Row],[Order Date]])</f>
        <v>6</v>
      </c>
      <c r="E592" s="5" t="s">
        <v>1540</v>
      </c>
      <c r="F592" s="5" t="s">
        <v>1541</v>
      </c>
      <c r="G592" s="24" t="s">
        <v>41</v>
      </c>
      <c r="H592" s="24" t="s">
        <v>61</v>
      </c>
      <c r="I592" s="5" t="s">
        <v>911</v>
      </c>
      <c r="J592" s="24" t="s">
        <v>36</v>
      </c>
      <c r="K592" s="27">
        <v>2</v>
      </c>
      <c r="L592" s="6">
        <v>42167</v>
      </c>
      <c r="M592" s="27">
        <f>Table11[[#This Row],[Ship Date]]-Table11[[#This Row],[Order Date]]</f>
        <v>4</v>
      </c>
      <c r="N592" s="24" t="s">
        <v>45</v>
      </c>
      <c r="O592" s="24" t="s">
        <v>23</v>
      </c>
      <c r="P592" s="24" t="s">
        <v>48</v>
      </c>
      <c r="Q592" s="24" t="s">
        <v>26</v>
      </c>
      <c r="R592" s="24" t="s">
        <v>1018</v>
      </c>
      <c r="S592" s="34">
        <v>0.2</v>
      </c>
      <c r="T592" s="15">
        <v>4.4480000000000004</v>
      </c>
      <c r="U592" s="18">
        <v>0.33360000000000001</v>
      </c>
      <c r="V592" s="56">
        <f>Table11[[#This Row],[Profit]]/Table11[[#This Row],[Sales]]</f>
        <v>7.4999999999999997E-2</v>
      </c>
    </row>
    <row r="593" spans="1:22" x14ac:dyDescent="0.2">
      <c r="A593" s="4">
        <v>592</v>
      </c>
      <c r="B593" s="3" t="s">
        <v>10061</v>
      </c>
      <c r="C593" s="7">
        <v>42163</v>
      </c>
      <c r="D593" s="28">
        <f>MONTH(Table11[[#This Row],[Order Date]])</f>
        <v>6</v>
      </c>
      <c r="E593" s="3" t="s">
        <v>6024</v>
      </c>
      <c r="F593" s="3" t="s">
        <v>6025</v>
      </c>
      <c r="G593" s="25" t="s">
        <v>41</v>
      </c>
      <c r="H593" s="25" t="s">
        <v>42</v>
      </c>
      <c r="I593" s="3" t="s">
        <v>911</v>
      </c>
      <c r="J593" s="25" t="s">
        <v>36</v>
      </c>
      <c r="K593" s="28">
        <v>3</v>
      </c>
      <c r="L593" s="7">
        <v>42167</v>
      </c>
      <c r="M593" s="28">
        <f>Table11[[#This Row],[Ship Date]]-Table11[[#This Row],[Order Date]]</f>
        <v>4</v>
      </c>
      <c r="N593" s="25" t="s">
        <v>45</v>
      </c>
      <c r="O593" s="25" t="s">
        <v>23</v>
      </c>
      <c r="P593" s="25" t="s">
        <v>48</v>
      </c>
      <c r="Q593" s="25" t="s">
        <v>26</v>
      </c>
      <c r="R593" s="25" t="s">
        <v>1018</v>
      </c>
      <c r="S593" s="35">
        <v>0.2</v>
      </c>
      <c r="T593" s="16">
        <v>9</v>
      </c>
      <c r="U593" s="19">
        <v>3.15</v>
      </c>
      <c r="V593" s="56">
        <f>Table11[[#This Row],[Profit]]/Table11[[#This Row],[Sales]]</f>
        <v>0.35</v>
      </c>
    </row>
    <row r="594" spans="1:22" x14ac:dyDescent="0.2">
      <c r="A594" s="2">
        <v>593</v>
      </c>
      <c r="B594" s="5" t="s">
        <v>10061</v>
      </c>
      <c r="C594" s="6">
        <v>42163</v>
      </c>
      <c r="D594" s="27">
        <f>MONTH(Table11[[#This Row],[Order Date]])</f>
        <v>6</v>
      </c>
      <c r="E594" s="5" t="s">
        <v>7464</v>
      </c>
      <c r="F594" s="5" t="s">
        <v>7465</v>
      </c>
      <c r="G594" s="24" t="s">
        <v>41</v>
      </c>
      <c r="H594" s="24" t="s">
        <v>82</v>
      </c>
      <c r="I594" s="5" t="s">
        <v>911</v>
      </c>
      <c r="J594" s="24" t="s">
        <v>36</v>
      </c>
      <c r="K594" s="27">
        <v>10</v>
      </c>
      <c r="L594" s="6">
        <v>42167</v>
      </c>
      <c r="M594" s="27">
        <f>Table11[[#This Row],[Ship Date]]-Table11[[#This Row],[Order Date]]</f>
        <v>4</v>
      </c>
      <c r="N594" s="24" t="s">
        <v>45</v>
      </c>
      <c r="O594" s="24" t="s">
        <v>23</v>
      </c>
      <c r="P594" s="24" t="s">
        <v>48</v>
      </c>
      <c r="Q594" s="24" t="s">
        <v>26</v>
      </c>
      <c r="R594" s="24" t="s">
        <v>1018</v>
      </c>
      <c r="S594" s="34">
        <v>0.2</v>
      </c>
      <c r="T594" s="15">
        <v>42.24</v>
      </c>
      <c r="U594" s="18">
        <v>13.2</v>
      </c>
      <c r="V594" s="56">
        <f>Table11[[#This Row],[Profit]]/Table11[[#This Row],[Sales]]</f>
        <v>0.31249999999999994</v>
      </c>
    </row>
    <row r="595" spans="1:22" x14ac:dyDescent="0.2">
      <c r="A595" s="4">
        <v>594</v>
      </c>
      <c r="B595" s="3" t="s">
        <v>10061</v>
      </c>
      <c r="C595" s="7">
        <v>42163</v>
      </c>
      <c r="D595" s="28">
        <f>MONTH(Table11[[#This Row],[Order Date]])</f>
        <v>6</v>
      </c>
      <c r="E595" s="3" t="s">
        <v>1618</v>
      </c>
      <c r="F595" s="3" t="s">
        <v>1619</v>
      </c>
      <c r="G595" s="25" t="s">
        <v>41</v>
      </c>
      <c r="H595" s="25" t="s">
        <v>68</v>
      </c>
      <c r="I595" s="3" t="s">
        <v>911</v>
      </c>
      <c r="J595" s="25" t="s">
        <v>36</v>
      </c>
      <c r="K595" s="28">
        <v>2</v>
      </c>
      <c r="L595" s="7">
        <v>42167</v>
      </c>
      <c r="M595" s="28">
        <f>Table11[[#This Row],[Ship Date]]-Table11[[#This Row],[Order Date]]</f>
        <v>4</v>
      </c>
      <c r="N595" s="25" t="s">
        <v>45</v>
      </c>
      <c r="O595" s="25" t="s">
        <v>23</v>
      </c>
      <c r="P595" s="25" t="s">
        <v>48</v>
      </c>
      <c r="Q595" s="25" t="s">
        <v>26</v>
      </c>
      <c r="R595" s="25" t="s">
        <v>1018</v>
      </c>
      <c r="S595" s="35">
        <v>0.7</v>
      </c>
      <c r="T595" s="16">
        <v>18.263999999999999</v>
      </c>
      <c r="U595" s="19">
        <v>-13.393599999999999</v>
      </c>
      <c r="V595" s="56">
        <f>Table11[[#This Row],[Profit]]/Table11[[#This Row],[Sales]]</f>
        <v>-0.73333333333333328</v>
      </c>
    </row>
    <row r="596" spans="1:22" x14ac:dyDescent="0.2">
      <c r="A596" s="4">
        <v>595</v>
      </c>
      <c r="B596" s="5" t="s">
        <v>6872</v>
      </c>
      <c r="C596" s="6">
        <v>42164</v>
      </c>
      <c r="D596" s="27">
        <f>MONTH(Table11[[#This Row],[Order Date]])</f>
        <v>6</v>
      </c>
      <c r="E596" s="5" t="s">
        <v>1524</v>
      </c>
      <c r="F596" s="5" t="s">
        <v>1525</v>
      </c>
      <c r="G596" s="24" t="s">
        <v>41</v>
      </c>
      <c r="H596" s="24" t="s">
        <v>68</v>
      </c>
      <c r="I596" s="5" t="s">
        <v>2385</v>
      </c>
      <c r="J596" s="24" t="s">
        <v>92</v>
      </c>
      <c r="K596" s="27">
        <v>3</v>
      </c>
      <c r="L596" s="6">
        <v>42170</v>
      </c>
      <c r="M596" s="27">
        <f>Table11[[#This Row],[Ship Date]]-Table11[[#This Row],[Order Date]]</f>
        <v>6</v>
      </c>
      <c r="N596" s="24" t="s">
        <v>45</v>
      </c>
      <c r="O596" s="24" t="s">
        <v>23</v>
      </c>
      <c r="P596" s="24" t="s">
        <v>285</v>
      </c>
      <c r="Q596" s="24" t="s">
        <v>26</v>
      </c>
      <c r="R596" s="24" t="s">
        <v>6815</v>
      </c>
      <c r="S596" s="34">
        <v>0</v>
      </c>
      <c r="T596" s="15">
        <v>113.1</v>
      </c>
      <c r="U596" s="18">
        <v>56.55</v>
      </c>
      <c r="V596" s="56">
        <f>Table11[[#This Row],[Profit]]/Table11[[#This Row],[Sales]]</f>
        <v>0.5</v>
      </c>
    </row>
    <row r="597" spans="1:22" x14ac:dyDescent="0.2">
      <c r="A597" s="2">
        <v>596</v>
      </c>
      <c r="B597" s="3" t="s">
        <v>7139</v>
      </c>
      <c r="C597" s="7">
        <v>42164</v>
      </c>
      <c r="D597" s="28">
        <f>MONTH(Table11[[#This Row],[Order Date]])</f>
        <v>6</v>
      </c>
      <c r="E597" s="3" t="s">
        <v>360</v>
      </c>
      <c r="F597" s="3" t="s">
        <v>361</v>
      </c>
      <c r="G597" s="25" t="s">
        <v>41</v>
      </c>
      <c r="H597" s="25" t="s">
        <v>82</v>
      </c>
      <c r="I597" s="3" t="s">
        <v>6236</v>
      </c>
      <c r="J597" s="25" t="s">
        <v>22</v>
      </c>
      <c r="K597" s="28">
        <v>2</v>
      </c>
      <c r="L597" s="7">
        <v>42168</v>
      </c>
      <c r="M597" s="28">
        <f>Table11[[#This Row],[Ship Date]]-Table11[[#This Row],[Order Date]]</f>
        <v>4</v>
      </c>
      <c r="N597" s="25" t="s">
        <v>45</v>
      </c>
      <c r="O597" s="25" t="s">
        <v>23</v>
      </c>
      <c r="P597" s="25" t="s">
        <v>212</v>
      </c>
      <c r="Q597" s="25" t="s">
        <v>95</v>
      </c>
      <c r="R597" s="25" t="s">
        <v>2962</v>
      </c>
      <c r="S597" s="35">
        <v>0</v>
      </c>
      <c r="T597" s="16">
        <v>12.96</v>
      </c>
      <c r="U597" s="19">
        <v>6.2207999999999997</v>
      </c>
      <c r="V597" s="56">
        <f>Table11[[#This Row],[Profit]]/Table11[[#This Row],[Sales]]</f>
        <v>0.47999999999999993</v>
      </c>
    </row>
    <row r="598" spans="1:22" x14ac:dyDescent="0.2">
      <c r="A598" s="4">
        <v>597</v>
      </c>
      <c r="B598" s="5" t="s">
        <v>7650</v>
      </c>
      <c r="C598" s="6">
        <v>42164</v>
      </c>
      <c r="D598" s="27">
        <f>MONTH(Table11[[#This Row],[Order Date]])</f>
        <v>6</v>
      </c>
      <c r="E598" s="5" t="s">
        <v>7481</v>
      </c>
      <c r="F598" s="5" t="s">
        <v>7482</v>
      </c>
      <c r="G598" s="24" t="s">
        <v>28</v>
      </c>
      <c r="H598" s="24" t="s">
        <v>58</v>
      </c>
      <c r="I598" s="5" t="s">
        <v>1719</v>
      </c>
      <c r="J598" s="24" t="s">
        <v>22</v>
      </c>
      <c r="K598" s="27">
        <v>4</v>
      </c>
      <c r="L598" s="6">
        <v>42166</v>
      </c>
      <c r="M598" s="27">
        <f>Table11[[#This Row],[Ship Date]]-Table11[[#This Row],[Order Date]]</f>
        <v>2</v>
      </c>
      <c r="N598" s="24" t="s">
        <v>20</v>
      </c>
      <c r="O598" s="24" t="s">
        <v>23</v>
      </c>
      <c r="P598" s="24" t="s">
        <v>5585</v>
      </c>
      <c r="Q598" s="24" t="s">
        <v>39</v>
      </c>
      <c r="R598" s="24" t="s">
        <v>7651</v>
      </c>
      <c r="S598" s="34">
        <v>0</v>
      </c>
      <c r="T598" s="15">
        <v>355.36</v>
      </c>
      <c r="U598" s="18">
        <v>92.393600000000006</v>
      </c>
      <c r="V598" s="56">
        <f>Table11[[#This Row],[Profit]]/Table11[[#This Row],[Sales]]</f>
        <v>0.26</v>
      </c>
    </row>
    <row r="599" spans="1:22" x14ac:dyDescent="0.2">
      <c r="A599" s="4">
        <v>598</v>
      </c>
      <c r="B599" s="3" t="s">
        <v>7650</v>
      </c>
      <c r="C599" s="7">
        <v>42164</v>
      </c>
      <c r="D599" s="28">
        <f>MONTH(Table11[[#This Row],[Order Date]])</f>
        <v>6</v>
      </c>
      <c r="E599" s="3" t="s">
        <v>7188</v>
      </c>
      <c r="F599" s="3" t="s">
        <v>7189</v>
      </c>
      <c r="G599" s="25" t="s">
        <v>64</v>
      </c>
      <c r="H599" s="25" t="s">
        <v>65</v>
      </c>
      <c r="I599" s="3" t="s">
        <v>1719</v>
      </c>
      <c r="J599" s="25" t="s">
        <v>22</v>
      </c>
      <c r="K599" s="28">
        <v>3</v>
      </c>
      <c r="L599" s="7">
        <v>42166</v>
      </c>
      <c r="M599" s="28">
        <f>Table11[[#This Row],[Ship Date]]-Table11[[#This Row],[Order Date]]</f>
        <v>2</v>
      </c>
      <c r="N599" s="25" t="s">
        <v>20</v>
      </c>
      <c r="O599" s="25" t="s">
        <v>23</v>
      </c>
      <c r="P599" s="25" t="s">
        <v>5585</v>
      </c>
      <c r="Q599" s="25" t="s">
        <v>39</v>
      </c>
      <c r="R599" s="25" t="s">
        <v>7651</v>
      </c>
      <c r="S599" s="35">
        <v>0.2</v>
      </c>
      <c r="T599" s="16">
        <v>140.376</v>
      </c>
      <c r="U599" s="19">
        <v>8.7735000000000003</v>
      </c>
      <c r="V599" s="56">
        <f>Table11[[#This Row],[Profit]]/Table11[[#This Row],[Sales]]</f>
        <v>6.25E-2</v>
      </c>
    </row>
    <row r="600" spans="1:22" x14ac:dyDescent="0.2">
      <c r="A600" s="2">
        <v>599</v>
      </c>
      <c r="B600" s="5" t="s">
        <v>7750</v>
      </c>
      <c r="C600" s="6">
        <v>42164</v>
      </c>
      <c r="D600" s="27">
        <f>MONTH(Table11[[#This Row],[Order Date]])</f>
        <v>6</v>
      </c>
      <c r="E600" s="5" t="s">
        <v>6580</v>
      </c>
      <c r="F600" s="5" t="s">
        <v>6581</v>
      </c>
      <c r="G600" s="24" t="s">
        <v>41</v>
      </c>
      <c r="H600" s="24" t="s">
        <v>68</v>
      </c>
      <c r="I600" s="5" t="s">
        <v>593</v>
      </c>
      <c r="J600" s="24" t="s">
        <v>22</v>
      </c>
      <c r="K600" s="27">
        <v>5</v>
      </c>
      <c r="L600" s="6">
        <v>42171</v>
      </c>
      <c r="M600" s="27">
        <f>Table11[[#This Row],[Ship Date]]-Table11[[#This Row],[Order Date]]</f>
        <v>7</v>
      </c>
      <c r="N600" s="24" t="s">
        <v>45</v>
      </c>
      <c r="O600" s="24" t="s">
        <v>23</v>
      </c>
      <c r="P600" s="24" t="s">
        <v>48</v>
      </c>
      <c r="Q600" s="24" t="s">
        <v>26</v>
      </c>
      <c r="R600" s="24" t="s">
        <v>1253</v>
      </c>
      <c r="S600" s="34">
        <v>0.7</v>
      </c>
      <c r="T600" s="15">
        <v>64.2</v>
      </c>
      <c r="U600" s="18">
        <v>-42.8</v>
      </c>
      <c r="V600" s="56">
        <f>Table11[[#This Row],[Profit]]/Table11[[#This Row],[Sales]]</f>
        <v>-0.66666666666666663</v>
      </c>
    </row>
    <row r="601" spans="1:22" x14ac:dyDescent="0.2">
      <c r="A601" s="4">
        <v>600</v>
      </c>
      <c r="B601" s="3" t="s">
        <v>7750</v>
      </c>
      <c r="C601" s="7">
        <v>42164</v>
      </c>
      <c r="D601" s="28">
        <f>MONTH(Table11[[#This Row],[Order Date]])</f>
        <v>6</v>
      </c>
      <c r="E601" s="3" t="s">
        <v>4104</v>
      </c>
      <c r="F601" s="3" t="s">
        <v>4105</v>
      </c>
      <c r="G601" s="25" t="s">
        <v>41</v>
      </c>
      <c r="H601" s="25" t="s">
        <v>68</v>
      </c>
      <c r="I601" s="3" t="s">
        <v>593</v>
      </c>
      <c r="J601" s="25" t="s">
        <v>22</v>
      </c>
      <c r="K601" s="28">
        <v>3</v>
      </c>
      <c r="L601" s="7">
        <v>42171</v>
      </c>
      <c r="M601" s="28">
        <f>Table11[[#This Row],[Ship Date]]-Table11[[#This Row],[Order Date]]</f>
        <v>7</v>
      </c>
      <c r="N601" s="25" t="s">
        <v>45</v>
      </c>
      <c r="O601" s="25" t="s">
        <v>23</v>
      </c>
      <c r="P601" s="25" t="s">
        <v>48</v>
      </c>
      <c r="Q601" s="25" t="s">
        <v>26</v>
      </c>
      <c r="R601" s="25" t="s">
        <v>1253</v>
      </c>
      <c r="S601" s="35">
        <v>0.7</v>
      </c>
      <c r="T601" s="16">
        <v>38.520000000000003</v>
      </c>
      <c r="U601" s="19">
        <v>-26.963999999999999</v>
      </c>
      <c r="V601" s="56">
        <f>Table11[[#This Row],[Profit]]/Table11[[#This Row],[Sales]]</f>
        <v>-0.7</v>
      </c>
    </row>
    <row r="602" spans="1:22" x14ac:dyDescent="0.2">
      <c r="A602" s="4">
        <v>601</v>
      </c>
      <c r="B602" s="5" t="s">
        <v>7750</v>
      </c>
      <c r="C602" s="6">
        <v>42164</v>
      </c>
      <c r="D602" s="27">
        <f>MONTH(Table11[[#This Row],[Order Date]])</f>
        <v>6</v>
      </c>
      <c r="E602" s="5" t="s">
        <v>7029</v>
      </c>
      <c r="F602" s="5" t="s">
        <v>7030</v>
      </c>
      <c r="G602" s="24" t="s">
        <v>64</v>
      </c>
      <c r="H602" s="24" t="s">
        <v>144</v>
      </c>
      <c r="I602" s="5" t="s">
        <v>593</v>
      </c>
      <c r="J602" s="24" t="s">
        <v>22</v>
      </c>
      <c r="K602" s="27">
        <v>5</v>
      </c>
      <c r="L602" s="6">
        <v>42171</v>
      </c>
      <c r="M602" s="27">
        <f>Table11[[#This Row],[Ship Date]]-Table11[[#This Row],[Order Date]]</f>
        <v>7</v>
      </c>
      <c r="N602" s="24" t="s">
        <v>45</v>
      </c>
      <c r="O602" s="24" t="s">
        <v>23</v>
      </c>
      <c r="P602" s="24" t="s">
        <v>48</v>
      </c>
      <c r="Q602" s="24" t="s">
        <v>26</v>
      </c>
      <c r="R602" s="24" t="s">
        <v>1253</v>
      </c>
      <c r="S602" s="34">
        <v>0.2</v>
      </c>
      <c r="T602" s="15">
        <v>72.599999999999994</v>
      </c>
      <c r="U602" s="18">
        <v>-8.1675000000000004</v>
      </c>
      <c r="V602" s="56">
        <f>Table11[[#This Row],[Profit]]/Table11[[#This Row],[Sales]]</f>
        <v>-0.11250000000000002</v>
      </c>
    </row>
    <row r="603" spans="1:22" x14ac:dyDescent="0.2">
      <c r="A603" s="2">
        <v>602</v>
      </c>
      <c r="B603" s="3" t="s">
        <v>5563</v>
      </c>
      <c r="C603" s="7">
        <v>42166</v>
      </c>
      <c r="D603" s="28">
        <f>MONTH(Table11[[#This Row],[Order Date]])</f>
        <v>6</v>
      </c>
      <c r="E603" s="3" t="s">
        <v>3664</v>
      </c>
      <c r="F603" s="3" t="s">
        <v>3665</v>
      </c>
      <c r="G603" s="25" t="s">
        <v>64</v>
      </c>
      <c r="H603" s="25" t="s">
        <v>144</v>
      </c>
      <c r="I603" s="3" t="s">
        <v>1583</v>
      </c>
      <c r="J603" s="25" t="s">
        <v>22</v>
      </c>
      <c r="K603" s="28">
        <v>6</v>
      </c>
      <c r="L603" s="7">
        <v>42171</v>
      </c>
      <c r="M603" s="28">
        <f>Table11[[#This Row],[Ship Date]]-Table11[[#This Row],[Order Date]]</f>
        <v>5</v>
      </c>
      <c r="N603" s="25" t="s">
        <v>45</v>
      </c>
      <c r="O603" s="25" t="s">
        <v>23</v>
      </c>
      <c r="P603" s="25" t="s">
        <v>650</v>
      </c>
      <c r="Q603" s="25" t="s">
        <v>26</v>
      </c>
      <c r="R603" s="25" t="s">
        <v>649</v>
      </c>
      <c r="S603" s="35">
        <v>0</v>
      </c>
      <c r="T603" s="16">
        <v>53.7</v>
      </c>
      <c r="U603" s="19">
        <v>10.202999999999999</v>
      </c>
      <c r="V603" s="56">
        <f>Table11[[#This Row],[Profit]]/Table11[[#This Row],[Sales]]</f>
        <v>0.18999999999999997</v>
      </c>
    </row>
    <row r="604" spans="1:22" x14ac:dyDescent="0.2">
      <c r="A604" s="4">
        <v>603</v>
      </c>
      <c r="B604" s="5" t="s">
        <v>5563</v>
      </c>
      <c r="C604" s="6">
        <v>42166</v>
      </c>
      <c r="D604" s="27">
        <f>MONTH(Table11[[#This Row],[Order Date]])</f>
        <v>6</v>
      </c>
      <c r="E604" s="5" t="s">
        <v>5554</v>
      </c>
      <c r="F604" s="5" t="s">
        <v>5555</v>
      </c>
      <c r="G604" s="24" t="s">
        <v>41</v>
      </c>
      <c r="H604" s="24" t="s">
        <v>68</v>
      </c>
      <c r="I604" s="5" t="s">
        <v>1583</v>
      </c>
      <c r="J604" s="24" t="s">
        <v>22</v>
      </c>
      <c r="K604" s="27">
        <v>7</v>
      </c>
      <c r="L604" s="6">
        <v>42171</v>
      </c>
      <c r="M604" s="27">
        <f>Table11[[#This Row],[Ship Date]]-Table11[[#This Row],[Order Date]]</f>
        <v>5</v>
      </c>
      <c r="N604" s="24" t="s">
        <v>45</v>
      </c>
      <c r="O604" s="24" t="s">
        <v>23</v>
      </c>
      <c r="P604" s="24" t="s">
        <v>650</v>
      </c>
      <c r="Q604" s="24" t="s">
        <v>26</v>
      </c>
      <c r="R604" s="24" t="s">
        <v>649</v>
      </c>
      <c r="S604" s="34">
        <v>0</v>
      </c>
      <c r="T604" s="15">
        <v>36.26</v>
      </c>
      <c r="U604" s="18">
        <v>16.679600000000001</v>
      </c>
      <c r="V604" s="56">
        <f>Table11[[#This Row],[Profit]]/Table11[[#This Row],[Sales]]</f>
        <v>0.46</v>
      </c>
    </row>
    <row r="605" spans="1:22" x14ac:dyDescent="0.2">
      <c r="A605" s="4">
        <v>604</v>
      </c>
      <c r="B605" s="3" t="s">
        <v>5563</v>
      </c>
      <c r="C605" s="7">
        <v>42166</v>
      </c>
      <c r="D605" s="28">
        <f>MONTH(Table11[[#This Row],[Order Date]])</f>
        <v>6</v>
      </c>
      <c r="E605" s="3" t="s">
        <v>5564</v>
      </c>
      <c r="F605" s="3" t="s">
        <v>5565</v>
      </c>
      <c r="G605" s="25" t="s">
        <v>41</v>
      </c>
      <c r="H605" s="25" t="s">
        <v>61</v>
      </c>
      <c r="I605" s="3" t="s">
        <v>1583</v>
      </c>
      <c r="J605" s="25" t="s">
        <v>22</v>
      </c>
      <c r="K605" s="28">
        <v>2</v>
      </c>
      <c r="L605" s="7">
        <v>42171</v>
      </c>
      <c r="M605" s="28">
        <f>Table11[[#This Row],[Ship Date]]-Table11[[#This Row],[Order Date]]</f>
        <v>5</v>
      </c>
      <c r="N605" s="25" t="s">
        <v>45</v>
      </c>
      <c r="O605" s="25" t="s">
        <v>23</v>
      </c>
      <c r="P605" s="25" t="s">
        <v>650</v>
      </c>
      <c r="Q605" s="25" t="s">
        <v>26</v>
      </c>
      <c r="R605" s="25" t="s">
        <v>649</v>
      </c>
      <c r="S605" s="35">
        <v>0</v>
      </c>
      <c r="T605" s="16">
        <v>56.3</v>
      </c>
      <c r="U605" s="19">
        <v>15.763999999999999</v>
      </c>
      <c r="V605" s="56">
        <f>Table11[[#This Row],[Profit]]/Table11[[#This Row],[Sales]]</f>
        <v>0.28000000000000003</v>
      </c>
    </row>
    <row r="606" spans="1:22" x14ac:dyDescent="0.2">
      <c r="A606" s="2">
        <v>605</v>
      </c>
      <c r="B606" s="5" t="s">
        <v>5563</v>
      </c>
      <c r="C606" s="6">
        <v>42166</v>
      </c>
      <c r="D606" s="27">
        <f>MONTH(Table11[[#This Row],[Order Date]])</f>
        <v>6</v>
      </c>
      <c r="E606" s="5" t="s">
        <v>1705</v>
      </c>
      <c r="F606" s="5" t="s">
        <v>1706</v>
      </c>
      <c r="G606" s="24" t="s">
        <v>41</v>
      </c>
      <c r="H606" s="24" t="s">
        <v>82</v>
      </c>
      <c r="I606" s="5" t="s">
        <v>1583</v>
      </c>
      <c r="J606" s="24" t="s">
        <v>22</v>
      </c>
      <c r="K606" s="27">
        <v>5</v>
      </c>
      <c r="L606" s="6">
        <v>42171</v>
      </c>
      <c r="M606" s="27">
        <f>Table11[[#This Row],[Ship Date]]-Table11[[#This Row],[Order Date]]</f>
        <v>5</v>
      </c>
      <c r="N606" s="24" t="s">
        <v>45</v>
      </c>
      <c r="O606" s="24" t="s">
        <v>23</v>
      </c>
      <c r="P606" s="24" t="s">
        <v>650</v>
      </c>
      <c r="Q606" s="24" t="s">
        <v>26</v>
      </c>
      <c r="R606" s="24" t="s">
        <v>649</v>
      </c>
      <c r="S606" s="34">
        <v>0</v>
      </c>
      <c r="T606" s="15">
        <v>32.4</v>
      </c>
      <c r="U606" s="18">
        <v>15.552</v>
      </c>
      <c r="V606" s="56">
        <f>Table11[[#This Row],[Profit]]/Table11[[#This Row],[Sales]]</f>
        <v>0.48</v>
      </c>
    </row>
    <row r="607" spans="1:22" x14ac:dyDescent="0.2">
      <c r="A607" s="4">
        <v>606</v>
      </c>
      <c r="B607" s="3" t="s">
        <v>5563</v>
      </c>
      <c r="C607" s="7">
        <v>42166</v>
      </c>
      <c r="D607" s="28">
        <f>MONTH(Table11[[#This Row],[Order Date]])</f>
        <v>6</v>
      </c>
      <c r="E607" s="3" t="s">
        <v>5566</v>
      </c>
      <c r="F607" s="3" t="s">
        <v>5567</v>
      </c>
      <c r="G607" s="25" t="s">
        <v>28</v>
      </c>
      <c r="H607" s="25" t="s">
        <v>58</v>
      </c>
      <c r="I607" s="3" t="s">
        <v>1583</v>
      </c>
      <c r="J607" s="25" t="s">
        <v>22</v>
      </c>
      <c r="K607" s="28">
        <v>2</v>
      </c>
      <c r="L607" s="7">
        <v>42171</v>
      </c>
      <c r="M607" s="28">
        <f>Table11[[#This Row],[Ship Date]]-Table11[[#This Row],[Order Date]]</f>
        <v>5</v>
      </c>
      <c r="N607" s="25" t="s">
        <v>45</v>
      </c>
      <c r="O607" s="25" t="s">
        <v>23</v>
      </c>
      <c r="P607" s="25" t="s">
        <v>650</v>
      </c>
      <c r="Q607" s="25" t="s">
        <v>26</v>
      </c>
      <c r="R607" s="25" t="s">
        <v>649</v>
      </c>
      <c r="S607" s="35">
        <v>0</v>
      </c>
      <c r="T607" s="16">
        <v>29.16</v>
      </c>
      <c r="U607" s="19">
        <v>10.789199999999999</v>
      </c>
      <c r="V607" s="56">
        <f>Table11[[#This Row],[Profit]]/Table11[[#This Row],[Sales]]</f>
        <v>0.37</v>
      </c>
    </row>
    <row r="608" spans="1:22" x14ac:dyDescent="0.2">
      <c r="A608" s="4">
        <v>607</v>
      </c>
      <c r="B608" s="5" t="s">
        <v>5650</v>
      </c>
      <c r="C608" s="6">
        <v>42166</v>
      </c>
      <c r="D608" s="27">
        <f>MONTH(Table11[[#This Row],[Order Date]])</f>
        <v>6</v>
      </c>
      <c r="E608" s="5" t="s">
        <v>1056</v>
      </c>
      <c r="F608" s="5" t="s">
        <v>1057</v>
      </c>
      <c r="G608" s="24" t="s">
        <v>28</v>
      </c>
      <c r="H608" s="24" t="s">
        <v>32</v>
      </c>
      <c r="I608" s="5" t="s">
        <v>3982</v>
      </c>
      <c r="J608" s="24" t="s">
        <v>36</v>
      </c>
      <c r="K608" s="27">
        <v>5</v>
      </c>
      <c r="L608" s="6">
        <v>42167</v>
      </c>
      <c r="M608" s="27">
        <f>Table11[[#This Row],[Ship Date]]-Table11[[#This Row],[Order Date]]</f>
        <v>1</v>
      </c>
      <c r="N608" s="24" t="s">
        <v>169</v>
      </c>
      <c r="O608" s="24" t="s">
        <v>23</v>
      </c>
      <c r="P608" s="24" t="s">
        <v>48</v>
      </c>
      <c r="Q608" s="24" t="s">
        <v>26</v>
      </c>
      <c r="R608" s="24" t="s">
        <v>1587</v>
      </c>
      <c r="S608" s="34">
        <v>0.2</v>
      </c>
      <c r="T608" s="15">
        <v>1123.92</v>
      </c>
      <c r="U608" s="18">
        <v>-182.637</v>
      </c>
      <c r="V608" s="56">
        <f>Table11[[#This Row],[Profit]]/Table11[[#This Row],[Sales]]</f>
        <v>-0.16249999999999998</v>
      </c>
    </row>
    <row r="609" spans="1:22" x14ac:dyDescent="0.2">
      <c r="A609" s="2">
        <v>608</v>
      </c>
      <c r="B609" s="3" t="s">
        <v>5650</v>
      </c>
      <c r="C609" s="7">
        <v>42166</v>
      </c>
      <c r="D609" s="28">
        <f>MONTH(Table11[[#This Row],[Order Date]])</f>
        <v>6</v>
      </c>
      <c r="E609" s="3" t="s">
        <v>1697</v>
      </c>
      <c r="F609" s="3" t="s">
        <v>1698</v>
      </c>
      <c r="G609" s="25" t="s">
        <v>64</v>
      </c>
      <c r="H609" s="25" t="s">
        <v>65</v>
      </c>
      <c r="I609" s="3" t="s">
        <v>3982</v>
      </c>
      <c r="J609" s="25" t="s">
        <v>36</v>
      </c>
      <c r="K609" s="28">
        <v>2</v>
      </c>
      <c r="L609" s="7">
        <v>42167</v>
      </c>
      <c r="M609" s="28">
        <f>Table11[[#This Row],[Ship Date]]-Table11[[#This Row],[Order Date]]</f>
        <v>1</v>
      </c>
      <c r="N609" s="25" t="s">
        <v>169</v>
      </c>
      <c r="O609" s="25" t="s">
        <v>23</v>
      </c>
      <c r="P609" s="25" t="s">
        <v>48</v>
      </c>
      <c r="Q609" s="25" t="s">
        <v>26</v>
      </c>
      <c r="R609" s="25" t="s">
        <v>1587</v>
      </c>
      <c r="S609" s="35">
        <v>0.2</v>
      </c>
      <c r="T609" s="16">
        <v>249.584</v>
      </c>
      <c r="U609" s="19">
        <v>31.198</v>
      </c>
      <c r="V609" s="56">
        <f>Table11[[#This Row],[Profit]]/Table11[[#This Row],[Sales]]</f>
        <v>0.125</v>
      </c>
    </row>
    <row r="610" spans="1:22" x14ac:dyDescent="0.2">
      <c r="A610" s="4">
        <v>609</v>
      </c>
      <c r="B610" s="5" t="s">
        <v>5650</v>
      </c>
      <c r="C610" s="6">
        <v>42166</v>
      </c>
      <c r="D610" s="27">
        <f>MONTH(Table11[[#This Row],[Order Date]])</f>
        <v>6</v>
      </c>
      <c r="E610" s="5" t="s">
        <v>5651</v>
      </c>
      <c r="F610" s="5" t="s">
        <v>5652</v>
      </c>
      <c r="G610" s="24" t="s">
        <v>28</v>
      </c>
      <c r="H610" s="24" t="s">
        <v>58</v>
      </c>
      <c r="I610" s="5" t="s">
        <v>3982</v>
      </c>
      <c r="J610" s="24" t="s">
        <v>36</v>
      </c>
      <c r="K610" s="27">
        <v>3</v>
      </c>
      <c r="L610" s="6">
        <v>42167</v>
      </c>
      <c r="M610" s="27">
        <f>Table11[[#This Row],[Ship Date]]-Table11[[#This Row],[Order Date]]</f>
        <v>1</v>
      </c>
      <c r="N610" s="24" t="s">
        <v>169</v>
      </c>
      <c r="O610" s="24" t="s">
        <v>23</v>
      </c>
      <c r="P610" s="24" t="s">
        <v>48</v>
      </c>
      <c r="Q610" s="24" t="s">
        <v>26</v>
      </c>
      <c r="R610" s="24" t="s">
        <v>1587</v>
      </c>
      <c r="S610" s="34">
        <v>0.2</v>
      </c>
      <c r="T610" s="15">
        <v>48.671999999999997</v>
      </c>
      <c r="U610" s="18">
        <v>7.3007999999999997</v>
      </c>
      <c r="V610" s="56">
        <f>Table11[[#This Row],[Profit]]/Table11[[#This Row],[Sales]]</f>
        <v>0.15</v>
      </c>
    </row>
    <row r="611" spans="1:22" x14ac:dyDescent="0.2">
      <c r="A611" s="4">
        <v>610</v>
      </c>
      <c r="B611" s="3" t="s">
        <v>5650</v>
      </c>
      <c r="C611" s="7">
        <v>42166</v>
      </c>
      <c r="D611" s="28">
        <f>MONTH(Table11[[#This Row],[Order Date]])</f>
        <v>6</v>
      </c>
      <c r="E611" s="3" t="s">
        <v>434</v>
      </c>
      <c r="F611" s="3" t="s">
        <v>435</v>
      </c>
      <c r="G611" s="25" t="s">
        <v>41</v>
      </c>
      <c r="H611" s="25" t="s">
        <v>61</v>
      </c>
      <c r="I611" s="3" t="s">
        <v>3982</v>
      </c>
      <c r="J611" s="25" t="s">
        <v>36</v>
      </c>
      <c r="K611" s="28">
        <v>2</v>
      </c>
      <c r="L611" s="7">
        <v>42167</v>
      </c>
      <c r="M611" s="28">
        <f>Table11[[#This Row],[Ship Date]]-Table11[[#This Row],[Order Date]]</f>
        <v>1</v>
      </c>
      <c r="N611" s="25" t="s">
        <v>169</v>
      </c>
      <c r="O611" s="25" t="s">
        <v>23</v>
      </c>
      <c r="P611" s="25" t="s">
        <v>48</v>
      </c>
      <c r="Q611" s="25" t="s">
        <v>26</v>
      </c>
      <c r="R611" s="25" t="s">
        <v>1587</v>
      </c>
      <c r="S611" s="35">
        <v>0.2</v>
      </c>
      <c r="T611" s="16">
        <v>60.768000000000001</v>
      </c>
      <c r="U611" s="19">
        <v>7.5960000000000001</v>
      </c>
      <c r="V611" s="56">
        <f>Table11[[#This Row],[Profit]]/Table11[[#This Row],[Sales]]</f>
        <v>0.125</v>
      </c>
    </row>
    <row r="612" spans="1:22" x14ac:dyDescent="0.2">
      <c r="A612" s="2">
        <v>611</v>
      </c>
      <c r="B612" s="5" t="s">
        <v>5650</v>
      </c>
      <c r="C612" s="6">
        <v>42166</v>
      </c>
      <c r="D612" s="27">
        <f>MONTH(Table11[[#This Row],[Order Date]])</f>
        <v>6</v>
      </c>
      <c r="E612" s="5" t="s">
        <v>961</v>
      </c>
      <c r="F612" s="5" t="s">
        <v>962</v>
      </c>
      <c r="G612" s="24" t="s">
        <v>41</v>
      </c>
      <c r="H612" s="24" t="s">
        <v>68</v>
      </c>
      <c r="I612" s="5" t="s">
        <v>3982</v>
      </c>
      <c r="J612" s="24" t="s">
        <v>36</v>
      </c>
      <c r="K612" s="27">
        <v>5</v>
      </c>
      <c r="L612" s="6">
        <v>42167</v>
      </c>
      <c r="M612" s="27">
        <f>Table11[[#This Row],[Ship Date]]-Table11[[#This Row],[Order Date]]</f>
        <v>1</v>
      </c>
      <c r="N612" s="24" t="s">
        <v>169</v>
      </c>
      <c r="O612" s="24" t="s">
        <v>23</v>
      </c>
      <c r="P612" s="24" t="s">
        <v>48</v>
      </c>
      <c r="Q612" s="24" t="s">
        <v>26</v>
      </c>
      <c r="R612" s="24" t="s">
        <v>1587</v>
      </c>
      <c r="S612" s="34">
        <v>0.7</v>
      </c>
      <c r="T612" s="15">
        <v>78.599999999999994</v>
      </c>
      <c r="U612" s="18">
        <v>-62.88</v>
      </c>
      <c r="V612" s="56">
        <f>Table11[[#This Row],[Profit]]/Table11[[#This Row],[Sales]]</f>
        <v>-0.8</v>
      </c>
    </row>
    <row r="613" spans="1:22" x14ac:dyDescent="0.2">
      <c r="A613" s="4">
        <v>612</v>
      </c>
      <c r="B613" s="3" t="s">
        <v>5650</v>
      </c>
      <c r="C613" s="7">
        <v>42166</v>
      </c>
      <c r="D613" s="28">
        <f>MONTH(Table11[[#This Row],[Order Date]])</f>
        <v>6</v>
      </c>
      <c r="E613" s="3" t="s">
        <v>5043</v>
      </c>
      <c r="F613" s="3" t="s">
        <v>5044</v>
      </c>
      <c r="G613" s="25" t="s">
        <v>41</v>
      </c>
      <c r="H613" s="25" t="s">
        <v>68</v>
      </c>
      <c r="I613" s="3" t="s">
        <v>3982</v>
      </c>
      <c r="J613" s="25" t="s">
        <v>36</v>
      </c>
      <c r="K613" s="28">
        <v>2</v>
      </c>
      <c r="L613" s="7">
        <v>42167</v>
      </c>
      <c r="M613" s="28">
        <f>Table11[[#This Row],[Ship Date]]-Table11[[#This Row],[Order Date]]</f>
        <v>1</v>
      </c>
      <c r="N613" s="25" t="s">
        <v>169</v>
      </c>
      <c r="O613" s="25" t="s">
        <v>23</v>
      </c>
      <c r="P613" s="25" t="s">
        <v>48</v>
      </c>
      <c r="Q613" s="25" t="s">
        <v>26</v>
      </c>
      <c r="R613" s="25" t="s">
        <v>1587</v>
      </c>
      <c r="S613" s="35">
        <v>0.7</v>
      </c>
      <c r="T613" s="16">
        <v>3.7679999999999998</v>
      </c>
      <c r="U613" s="19">
        <v>-3.14</v>
      </c>
      <c r="V613" s="56">
        <f>Table11[[#This Row],[Profit]]/Table11[[#This Row],[Sales]]</f>
        <v>-0.83333333333333337</v>
      </c>
    </row>
    <row r="614" spans="1:22" x14ac:dyDescent="0.2">
      <c r="A614" s="4">
        <v>613</v>
      </c>
      <c r="B614" s="5" t="s">
        <v>5650</v>
      </c>
      <c r="C614" s="6">
        <v>42166</v>
      </c>
      <c r="D614" s="27">
        <f>MONTH(Table11[[#This Row],[Order Date]])</f>
        <v>6</v>
      </c>
      <c r="E614" s="5" t="s">
        <v>1667</v>
      </c>
      <c r="F614" s="5" t="s">
        <v>1668</v>
      </c>
      <c r="G614" s="24" t="s">
        <v>41</v>
      </c>
      <c r="H614" s="24" t="s">
        <v>53</v>
      </c>
      <c r="I614" s="5" t="s">
        <v>3982</v>
      </c>
      <c r="J614" s="24" t="s">
        <v>36</v>
      </c>
      <c r="K614" s="27">
        <v>2</v>
      </c>
      <c r="L614" s="6">
        <v>42167</v>
      </c>
      <c r="M614" s="27">
        <f>Table11[[#This Row],[Ship Date]]-Table11[[#This Row],[Order Date]]</f>
        <v>1</v>
      </c>
      <c r="N614" s="24" t="s">
        <v>169</v>
      </c>
      <c r="O614" s="24" t="s">
        <v>23</v>
      </c>
      <c r="P614" s="24" t="s">
        <v>48</v>
      </c>
      <c r="Q614" s="24" t="s">
        <v>26</v>
      </c>
      <c r="R614" s="24" t="s">
        <v>1587</v>
      </c>
      <c r="S614" s="34">
        <v>0.2</v>
      </c>
      <c r="T614" s="15">
        <v>1036.624</v>
      </c>
      <c r="U614" s="18">
        <v>51.831200000000003</v>
      </c>
      <c r="V614" s="56">
        <f>Table11[[#This Row],[Profit]]/Table11[[#This Row],[Sales]]</f>
        <v>0.05</v>
      </c>
    </row>
    <row r="615" spans="1:22" x14ac:dyDescent="0.2">
      <c r="A615" s="2">
        <v>614</v>
      </c>
      <c r="B615" s="3" t="s">
        <v>5650</v>
      </c>
      <c r="C615" s="7">
        <v>42166</v>
      </c>
      <c r="D615" s="28">
        <f>MONTH(Table11[[#This Row],[Order Date]])</f>
        <v>6</v>
      </c>
      <c r="E615" s="3" t="s">
        <v>2462</v>
      </c>
      <c r="F615" s="3" t="s">
        <v>2463</v>
      </c>
      <c r="G615" s="25" t="s">
        <v>41</v>
      </c>
      <c r="H615" s="25" t="s">
        <v>53</v>
      </c>
      <c r="I615" s="3" t="s">
        <v>3982</v>
      </c>
      <c r="J615" s="25" t="s">
        <v>36</v>
      </c>
      <c r="K615" s="28">
        <v>4</v>
      </c>
      <c r="L615" s="7">
        <v>42167</v>
      </c>
      <c r="M615" s="28">
        <f>Table11[[#This Row],[Ship Date]]-Table11[[#This Row],[Order Date]]</f>
        <v>1</v>
      </c>
      <c r="N615" s="25" t="s">
        <v>169</v>
      </c>
      <c r="O615" s="25" t="s">
        <v>23</v>
      </c>
      <c r="P615" s="25" t="s">
        <v>48</v>
      </c>
      <c r="Q615" s="25" t="s">
        <v>26</v>
      </c>
      <c r="R615" s="25" t="s">
        <v>1587</v>
      </c>
      <c r="S615" s="35">
        <v>0.2</v>
      </c>
      <c r="T615" s="16">
        <v>563.80799999999999</v>
      </c>
      <c r="U615" s="19">
        <v>21.142800000000001</v>
      </c>
      <c r="V615" s="56">
        <f>Table11[[#This Row],[Profit]]/Table11[[#This Row],[Sales]]</f>
        <v>3.7500000000000006E-2</v>
      </c>
    </row>
    <row r="616" spans="1:22" x14ac:dyDescent="0.2">
      <c r="A616" s="4">
        <v>615</v>
      </c>
      <c r="B616" s="5" t="s">
        <v>5504</v>
      </c>
      <c r="C616" s="6">
        <v>42167</v>
      </c>
      <c r="D616" s="27">
        <f>MONTH(Table11[[#This Row],[Order Date]])</f>
        <v>6</v>
      </c>
      <c r="E616" s="5" t="s">
        <v>5506</v>
      </c>
      <c r="F616" s="5" t="s">
        <v>5507</v>
      </c>
      <c r="G616" s="24" t="s">
        <v>41</v>
      </c>
      <c r="H616" s="24" t="s">
        <v>82</v>
      </c>
      <c r="I616" s="5" t="s">
        <v>5505</v>
      </c>
      <c r="J616" s="24" t="s">
        <v>22</v>
      </c>
      <c r="K616" s="27">
        <v>4</v>
      </c>
      <c r="L616" s="6">
        <v>42172</v>
      </c>
      <c r="M616" s="27">
        <f>Table11[[#This Row],[Ship Date]]-Table11[[#This Row],[Order Date]]</f>
        <v>5</v>
      </c>
      <c r="N616" s="24" t="s">
        <v>45</v>
      </c>
      <c r="O616" s="24" t="s">
        <v>23</v>
      </c>
      <c r="P616" s="24" t="s">
        <v>132</v>
      </c>
      <c r="Q616" s="24" t="s">
        <v>133</v>
      </c>
      <c r="R616" s="24" t="s">
        <v>131</v>
      </c>
      <c r="S616" s="34">
        <v>0.2</v>
      </c>
      <c r="T616" s="15">
        <v>20.736000000000001</v>
      </c>
      <c r="U616" s="18">
        <v>7.2576000000000001</v>
      </c>
      <c r="V616" s="56">
        <f>Table11[[#This Row],[Profit]]/Table11[[#This Row],[Sales]]</f>
        <v>0.35</v>
      </c>
    </row>
    <row r="617" spans="1:22" x14ac:dyDescent="0.2">
      <c r="A617" s="4">
        <v>616</v>
      </c>
      <c r="B617" s="3" t="s">
        <v>5504</v>
      </c>
      <c r="C617" s="7">
        <v>42167</v>
      </c>
      <c r="D617" s="28">
        <f>MONTH(Table11[[#This Row],[Order Date]])</f>
        <v>6</v>
      </c>
      <c r="E617" s="3" t="s">
        <v>4472</v>
      </c>
      <c r="F617" s="3" t="s">
        <v>4473</v>
      </c>
      <c r="G617" s="25" t="s">
        <v>28</v>
      </c>
      <c r="H617" s="25" t="s">
        <v>58</v>
      </c>
      <c r="I617" s="3" t="s">
        <v>5505</v>
      </c>
      <c r="J617" s="25" t="s">
        <v>22</v>
      </c>
      <c r="K617" s="28">
        <v>2</v>
      </c>
      <c r="L617" s="7">
        <v>42172</v>
      </c>
      <c r="M617" s="28">
        <f>Table11[[#This Row],[Ship Date]]-Table11[[#This Row],[Order Date]]</f>
        <v>5</v>
      </c>
      <c r="N617" s="25" t="s">
        <v>45</v>
      </c>
      <c r="O617" s="25" t="s">
        <v>23</v>
      </c>
      <c r="P617" s="25" t="s">
        <v>132</v>
      </c>
      <c r="Q617" s="25" t="s">
        <v>133</v>
      </c>
      <c r="R617" s="25" t="s">
        <v>131</v>
      </c>
      <c r="S617" s="35">
        <v>0.2</v>
      </c>
      <c r="T617" s="16">
        <v>43.295999999999999</v>
      </c>
      <c r="U617" s="19">
        <v>4.3296000000000001</v>
      </c>
      <c r="V617" s="56">
        <f>Table11[[#This Row],[Profit]]/Table11[[#This Row],[Sales]]</f>
        <v>0.1</v>
      </c>
    </row>
    <row r="618" spans="1:22" x14ac:dyDescent="0.2">
      <c r="A618" s="2">
        <v>617</v>
      </c>
      <c r="B618" s="5" t="s">
        <v>5935</v>
      </c>
      <c r="C618" s="6">
        <v>42167</v>
      </c>
      <c r="D618" s="27">
        <f>MONTH(Table11[[#This Row],[Order Date]])</f>
        <v>6</v>
      </c>
      <c r="E618" s="5" t="s">
        <v>4253</v>
      </c>
      <c r="F618" s="5" t="s">
        <v>4254</v>
      </c>
      <c r="G618" s="24" t="s">
        <v>41</v>
      </c>
      <c r="H618" s="24" t="s">
        <v>53</v>
      </c>
      <c r="I618" s="5" t="s">
        <v>726</v>
      </c>
      <c r="J618" s="24" t="s">
        <v>22</v>
      </c>
      <c r="K618" s="27">
        <v>5</v>
      </c>
      <c r="L618" s="6">
        <v>42172</v>
      </c>
      <c r="M618" s="27">
        <f>Table11[[#This Row],[Ship Date]]-Table11[[#This Row],[Order Date]]</f>
        <v>5</v>
      </c>
      <c r="N618" s="24" t="s">
        <v>45</v>
      </c>
      <c r="O618" s="24" t="s">
        <v>23</v>
      </c>
      <c r="P618" s="24" t="s">
        <v>218</v>
      </c>
      <c r="Q618" s="24" t="s">
        <v>133</v>
      </c>
      <c r="R618" s="24" t="s">
        <v>536</v>
      </c>
      <c r="S618" s="34">
        <v>0</v>
      </c>
      <c r="T618" s="15">
        <v>29.9</v>
      </c>
      <c r="U618" s="18">
        <v>5.0830000000000002</v>
      </c>
      <c r="V618" s="56">
        <f>Table11[[#This Row],[Profit]]/Table11[[#This Row],[Sales]]</f>
        <v>0.17</v>
      </c>
    </row>
    <row r="619" spans="1:22" x14ac:dyDescent="0.2">
      <c r="A619" s="4">
        <v>618</v>
      </c>
      <c r="B619" s="3" t="s">
        <v>8394</v>
      </c>
      <c r="C619" s="7">
        <v>42167</v>
      </c>
      <c r="D619" s="28">
        <f>MONTH(Table11[[#This Row],[Order Date]])</f>
        <v>6</v>
      </c>
      <c r="E619" s="3" t="s">
        <v>417</v>
      </c>
      <c r="F619" s="3" t="s">
        <v>418</v>
      </c>
      <c r="G619" s="25" t="s">
        <v>64</v>
      </c>
      <c r="H619" s="25" t="s">
        <v>65</v>
      </c>
      <c r="I619" s="3" t="s">
        <v>757</v>
      </c>
      <c r="J619" s="25" t="s">
        <v>22</v>
      </c>
      <c r="K619" s="28">
        <v>2</v>
      </c>
      <c r="L619" s="7">
        <v>42171</v>
      </c>
      <c r="M619" s="28">
        <f>Table11[[#This Row],[Ship Date]]-Table11[[#This Row],[Order Date]]</f>
        <v>4</v>
      </c>
      <c r="N619" s="25" t="s">
        <v>45</v>
      </c>
      <c r="O619" s="25" t="s">
        <v>23</v>
      </c>
      <c r="P619" s="25" t="s">
        <v>48</v>
      </c>
      <c r="Q619" s="25" t="s">
        <v>26</v>
      </c>
      <c r="R619" s="25" t="s">
        <v>8395</v>
      </c>
      <c r="S619" s="35">
        <v>0.2</v>
      </c>
      <c r="T619" s="16">
        <v>55.984000000000002</v>
      </c>
      <c r="U619" s="19">
        <v>4.1988000000000003</v>
      </c>
      <c r="V619" s="56">
        <f>Table11[[#This Row],[Profit]]/Table11[[#This Row],[Sales]]</f>
        <v>7.4999999999999997E-2</v>
      </c>
    </row>
    <row r="620" spans="1:22" x14ac:dyDescent="0.2">
      <c r="A620" s="4">
        <v>619</v>
      </c>
      <c r="B620" s="5" t="s">
        <v>9626</v>
      </c>
      <c r="C620" s="6">
        <v>42167</v>
      </c>
      <c r="D620" s="27">
        <f>MONTH(Table11[[#This Row],[Order Date]])</f>
        <v>6</v>
      </c>
      <c r="E620" s="5" t="s">
        <v>1973</v>
      </c>
      <c r="F620" s="5" t="s">
        <v>1974</v>
      </c>
      <c r="G620" s="24" t="s">
        <v>41</v>
      </c>
      <c r="H620" s="24" t="s">
        <v>53</v>
      </c>
      <c r="I620" s="5" t="s">
        <v>3315</v>
      </c>
      <c r="J620" s="24" t="s">
        <v>92</v>
      </c>
      <c r="K620" s="27">
        <v>2</v>
      </c>
      <c r="L620" s="6">
        <v>42171</v>
      </c>
      <c r="M620" s="27">
        <f>Table11[[#This Row],[Ship Date]]-Table11[[#This Row],[Order Date]]</f>
        <v>4</v>
      </c>
      <c r="N620" s="24" t="s">
        <v>45</v>
      </c>
      <c r="O620" s="24" t="s">
        <v>23</v>
      </c>
      <c r="P620" s="24" t="s">
        <v>226</v>
      </c>
      <c r="Q620" s="24" t="s">
        <v>95</v>
      </c>
      <c r="R620" s="24" t="s">
        <v>440</v>
      </c>
      <c r="S620" s="34">
        <v>0</v>
      </c>
      <c r="T620" s="15">
        <v>24.56</v>
      </c>
      <c r="U620" s="18">
        <v>6.8768000000000002</v>
      </c>
      <c r="V620" s="56">
        <f>Table11[[#This Row],[Profit]]/Table11[[#This Row],[Sales]]</f>
        <v>0.28000000000000003</v>
      </c>
    </row>
    <row r="621" spans="1:22" x14ac:dyDescent="0.2">
      <c r="A621" s="2">
        <v>620</v>
      </c>
      <c r="B621" s="3" t="s">
        <v>2706</v>
      </c>
      <c r="C621" s="7">
        <v>42168</v>
      </c>
      <c r="D621" s="28">
        <f>MONTH(Table11[[#This Row],[Order Date]])</f>
        <v>6</v>
      </c>
      <c r="E621" s="3" t="s">
        <v>2708</v>
      </c>
      <c r="F621" s="3" t="s">
        <v>2709</v>
      </c>
      <c r="G621" s="25" t="s">
        <v>41</v>
      </c>
      <c r="H621" s="25" t="s">
        <v>68</v>
      </c>
      <c r="I621" s="3" t="s">
        <v>2707</v>
      </c>
      <c r="J621" s="25" t="s">
        <v>22</v>
      </c>
      <c r="K621" s="28">
        <v>3</v>
      </c>
      <c r="L621" s="7">
        <v>42169</v>
      </c>
      <c r="M621" s="28">
        <f>Table11[[#This Row],[Ship Date]]-Table11[[#This Row],[Order Date]]</f>
        <v>1</v>
      </c>
      <c r="N621" s="25" t="s">
        <v>169</v>
      </c>
      <c r="O621" s="25" t="s">
        <v>23</v>
      </c>
      <c r="P621" s="25" t="s">
        <v>38</v>
      </c>
      <c r="Q621" s="25" t="s">
        <v>39</v>
      </c>
      <c r="R621" s="25" t="s">
        <v>37</v>
      </c>
      <c r="S621" s="35">
        <v>0.2</v>
      </c>
      <c r="T621" s="16">
        <v>36.624000000000002</v>
      </c>
      <c r="U621" s="19">
        <v>13.734</v>
      </c>
      <c r="V621" s="56">
        <f>Table11[[#This Row],[Profit]]/Table11[[#This Row],[Sales]]</f>
        <v>0.375</v>
      </c>
    </row>
    <row r="622" spans="1:22" x14ac:dyDescent="0.2">
      <c r="A622" s="4">
        <v>621</v>
      </c>
      <c r="B622" s="5" t="s">
        <v>6155</v>
      </c>
      <c r="C622" s="6">
        <v>42168</v>
      </c>
      <c r="D622" s="27">
        <f>MONTH(Table11[[#This Row],[Order Date]])</f>
        <v>6</v>
      </c>
      <c r="E622" s="5" t="s">
        <v>6096</v>
      </c>
      <c r="F622" s="5" t="s">
        <v>6097</v>
      </c>
      <c r="G622" s="24" t="s">
        <v>41</v>
      </c>
      <c r="H622" s="24" t="s">
        <v>61</v>
      </c>
      <c r="I622" s="5" t="s">
        <v>5905</v>
      </c>
      <c r="J622" s="24" t="s">
        <v>36</v>
      </c>
      <c r="K622" s="27">
        <v>6</v>
      </c>
      <c r="L622" s="6">
        <v>42174</v>
      </c>
      <c r="M622" s="27">
        <f>Table11[[#This Row],[Ship Date]]-Table11[[#This Row],[Order Date]]</f>
        <v>6</v>
      </c>
      <c r="N622" s="24" t="s">
        <v>45</v>
      </c>
      <c r="O622" s="24" t="s">
        <v>23</v>
      </c>
      <c r="P622" s="24" t="s">
        <v>320</v>
      </c>
      <c r="Q622" s="24" t="s">
        <v>26</v>
      </c>
      <c r="R622" s="24" t="s">
        <v>319</v>
      </c>
      <c r="S622" s="34">
        <v>0</v>
      </c>
      <c r="T622" s="15">
        <v>24.78</v>
      </c>
      <c r="U622" s="18">
        <v>6.9383999999999997</v>
      </c>
      <c r="V622" s="56">
        <f>Table11[[#This Row],[Profit]]/Table11[[#This Row],[Sales]]</f>
        <v>0.27999999999999997</v>
      </c>
    </row>
    <row r="623" spans="1:22" x14ac:dyDescent="0.2">
      <c r="A623" s="4">
        <v>622</v>
      </c>
      <c r="B623" s="3" t="s">
        <v>6155</v>
      </c>
      <c r="C623" s="7">
        <v>42168</v>
      </c>
      <c r="D623" s="28">
        <f>MONTH(Table11[[#This Row],[Order Date]])</f>
        <v>6</v>
      </c>
      <c r="E623" s="3" t="s">
        <v>4280</v>
      </c>
      <c r="F623" s="3" t="s">
        <v>4281</v>
      </c>
      <c r="G623" s="25" t="s">
        <v>41</v>
      </c>
      <c r="H623" s="25" t="s">
        <v>68</v>
      </c>
      <c r="I623" s="3" t="s">
        <v>5905</v>
      </c>
      <c r="J623" s="25" t="s">
        <v>36</v>
      </c>
      <c r="K623" s="28">
        <v>3</v>
      </c>
      <c r="L623" s="7">
        <v>42174</v>
      </c>
      <c r="M623" s="28">
        <f>Table11[[#This Row],[Ship Date]]-Table11[[#This Row],[Order Date]]</f>
        <v>6</v>
      </c>
      <c r="N623" s="25" t="s">
        <v>45</v>
      </c>
      <c r="O623" s="25" t="s">
        <v>23</v>
      </c>
      <c r="P623" s="25" t="s">
        <v>320</v>
      </c>
      <c r="Q623" s="25" t="s">
        <v>26</v>
      </c>
      <c r="R623" s="25" t="s">
        <v>319</v>
      </c>
      <c r="S623" s="35">
        <v>0</v>
      </c>
      <c r="T623" s="16">
        <v>19.14</v>
      </c>
      <c r="U623" s="19">
        <v>8.8043999999999993</v>
      </c>
      <c r="V623" s="56">
        <f>Table11[[#This Row],[Profit]]/Table11[[#This Row],[Sales]]</f>
        <v>0.45999999999999996</v>
      </c>
    </row>
    <row r="624" spans="1:22" x14ac:dyDescent="0.2">
      <c r="A624" s="2">
        <v>623</v>
      </c>
      <c r="B624" s="5" t="s">
        <v>6155</v>
      </c>
      <c r="C624" s="6">
        <v>42168</v>
      </c>
      <c r="D624" s="27">
        <f>MONTH(Table11[[#This Row],[Order Date]])</f>
        <v>6</v>
      </c>
      <c r="E624" s="5" t="s">
        <v>2920</v>
      </c>
      <c r="F624" s="5" t="s">
        <v>2921</v>
      </c>
      <c r="G624" s="24" t="s">
        <v>64</v>
      </c>
      <c r="H624" s="24" t="s">
        <v>1075</v>
      </c>
      <c r="I624" s="5" t="s">
        <v>5905</v>
      </c>
      <c r="J624" s="24" t="s">
        <v>36</v>
      </c>
      <c r="K624" s="27">
        <v>3</v>
      </c>
      <c r="L624" s="6">
        <v>42174</v>
      </c>
      <c r="M624" s="27">
        <f>Table11[[#This Row],[Ship Date]]-Table11[[#This Row],[Order Date]]</f>
        <v>6</v>
      </c>
      <c r="N624" s="24" t="s">
        <v>45</v>
      </c>
      <c r="O624" s="24" t="s">
        <v>23</v>
      </c>
      <c r="P624" s="24" t="s">
        <v>320</v>
      </c>
      <c r="Q624" s="24" t="s">
        <v>26</v>
      </c>
      <c r="R624" s="24" t="s">
        <v>319</v>
      </c>
      <c r="S624" s="34">
        <v>0</v>
      </c>
      <c r="T624" s="15">
        <v>899.97</v>
      </c>
      <c r="U624" s="18">
        <v>314.98950000000002</v>
      </c>
      <c r="V624" s="56">
        <f>Table11[[#This Row],[Profit]]/Table11[[#This Row],[Sales]]</f>
        <v>0.35000000000000003</v>
      </c>
    </row>
    <row r="625" spans="1:22" x14ac:dyDescent="0.2">
      <c r="A625" s="4">
        <v>624</v>
      </c>
      <c r="B625" s="3" t="s">
        <v>6155</v>
      </c>
      <c r="C625" s="7">
        <v>42168</v>
      </c>
      <c r="D625" s="28">
        <f>MONTH(Table11[[#This Row],[Order Date]])</f>
        <v>6</v>
      </c>
      <c r="E625" s="3" t="s">
        <v>5969</v>
      </c>
      <c r="F625" s="3" t="s">
        <v>5970</v>
      </c>
      <c r="G625" s="25" t="s">
        <v>41</v>
      </c>
      <c r="H625" s="25" t="s">
        <v>82</v>
      </c>
      <c r="I625" s="3" t="s">
        <v>5905</v>
      </c>
      <c r="J625" s="25" t="s">
        <v>36</v>
      </c>
      <c r="K625" s="28">
        <v>5</v>
      </c>
      <c r="L625" s="7">
        <v>42174</v>
      </c>
      <c r="M625" s="28">
        <f>Table11[[#This Row],[Ship Date]]-Table11[[#This Row],[Order Date]]</f>
        <v>6</v>
      </c>
      <c r="N625" s="25" t="s">
        <v>45</v>
      </c>
      <c r="O625" s="25" t="s">
        <v>23</v>
      </c>
      <c r="P625" s="25" t="s">
        <v>320</v>
      </c>
      <c r="Q625" s="25" t="s">
        <v>26</v>
      </c>
      <c r="R625" s="25" t="s">
        <v>319</v>
      </c>
      <c r="S625" s="35">
        <v>0</v>
      </c>
      <c r="T625" s="16">
        <v>32.4</v>
      </c>
      <c r="U625" s="19">
        <v>15.552</v>
      </c>
      <c r="V625" s="56">
        <f>Table11[[#This Row],[Profit]]/Table11[[#This Row],[Sales]]</f>
        <v>0.48</v>
      </c>
    </row>
    <row r="626" spans="1:22" x14ac:dyDescent="0.2">
      <c r="A626" s="4">
        <v>625</v>
      </c>
      <c r="B626" s="5" t="s">
        <v>6987</v>
      </c>
      <c r="C626" s="6">
        <v>42168</v>
      </c>
      <c r="D626" s="27">
        <f>MONTH(Table11[[#This Row],[Order Date]])</f>
        <v>6</v>
      </c>
      <c r="E626" s="5" t="s">
        <v>3170</v>
      </c>
      <c r="F626" s="5" t="s">
        <v>3171</v>
      </c>
      <c r="G626" s="24" t="s">
        <v>41</v>
      </c>
      <c r="H626" s="24" t="s">
        <v>68</v>
      </c>
      <c r="I626" s="5" t="s">
        <v>2832</v>
      </c>
      <c r="J626" s="24" t="s">
        <v>92</v>
      </c>
      <c r="K626" s="27">
        <v>2</v>
      </c>
      <c r="L626" s="6">
        <v>42174</v>
      </c>
      <c r="M626" s="27">
        <f>Table11[[#This Row],[Ship Date]]-Table11[[#This Row],[Order Date]]</f>
        <v>6</v>
      </c>
      <c r="N626" s="24" t="s">
        <v>45</v>
      </c>
      <c r="O626" s="24" t="s">
        <v>23</v>
      </c>
      <c r="P626" s="24" t="s">
        <v>4645</v>
      </c>
      <c r="Q626" s="24" t="s">
        <v>133</v>
      </c>
      <c r="R626" s="24" t="s">
        <v>6871</v>
      </c>
      <c r="S626" s="34">
        <v>0</v>
      </c>
      <c r="T626" s="15">
        <v>8.26</v>
      </c>
      <c r="U626" s="18">
        <v>3.8822000000000001</v>
      </c>
      <c r="V626" s="56">
        <f>Table11[[#This Row],[Profit]]/Table11[[#This Row],[Sales]]</f>
        <v>0.47000000000000003</v>
      </c>
    </row>
    <row r="627" spans="1:22" x14ac:dyDescent="0.2">
      <c r="A627" s="2">
        <v>626</v>
      </c>
      <c r="B627" s="3" t="s">
        <v>6987</v>
      </c>
      <c r="C627" s="7">
        <v>42168</v>
      </c>
      <c r="D627" s="28">
        <f>MONTH(Table11[[#This Row],[Order Date]])</f>
        <v>6</v>
      </c>
      <c r="E627" s="3" t="s">
        <v>1805</v>
      </c>
      <c r="F627" s="3" t="s">
        <v>1806</v>
      </c>
      <c r="G627" s="25" t="s">
        <v>41</v>
      </c>
      <c r="H627" s="25" t="s">
        <v>68</v>
      </c>
      <c r="I627" s="3" t="s">
        <v>2832</v>
      </c>
      <c r="J627" s="25" t="s">
        <v>92</v>
      </c>
      <c r="K627" s="28">
        <v>2</v>
      </c>
      <c r="L627" s="7">
        <v>42174</v>
      </c>
      <c r="M627" s="28">
        <f>Table11[[#This Row],[Ship Date]]-Table11[[#This Row],[Order Date]]</f>
        <v>6</v>
      </c>
      <c r="N627" s="25" t="s">
        <v>45</v>
      </c>
      <c r="O627" s="25" t="s">
        <v>23</v>
      </c>
      <c r="P627" s="25" t="s">
        <v>4645</v>
      </c>
      <c r="Q627" s="25" t="s">
        <v>133</v>
      </c>
      <c r="R627" s="25" t="s">
        <v>6871</v>
      </c>
      <c r="S627" s="35">
        <v>0</v>
      </c>
      <c r="T627" s="16">
        <v>29.84</v>
      </c>
      <c r="U627" s="19">
        <v>13.428000000000001</v>
      </c>
      <c r="V627" s="56">
        <f>Table11[[#This Row],[Profit]]/Table11[[#This Row],[Sales]]</f>
        <v>0.45</v>
      </c>
    </row>
    <row r="628" spans="1:22" x14ac:dyDescent="0.2">
      <c r="A628" s="4">
        <v>627</v>
      </c>
      <c r="B628" s="5" t="s">
        <v>6987</v>
      </c>
      <c r="C628" s="6">
        <v>42168</v>
      </c>
      <c r="D628" s="27">
        <f>MONTH(Table11[[#This Row],[Order Date]])</f>
        <v>6</v>
      </c>
      <c r="E628" s="5" t="s">
        <v>584</v>
      </c>
      <c r="F628" s="5" t="s">
        <v>585</v>
      </c>
      <c r="G628" s="24" t="s">
        <v>64</v>
      </c>
      <c r="H628" s="24" t="s">
        <v>144</v>
      </c>
      <c r="I628" s="5" t="s">
        <v>2832</v>
      </c>
      <c r="J628" s="24" t="s">
        <v>92</v>
      </c>
      <c r="K628" s="27">
        <v>2</v>
      </c>
      <c r="L628" s="6">
        <v>42174</v>
      </c>
      <c r="M628" s="27">
        <f>Table11[[#This Row],[Ship Date]]-Table11[[#This Row],[Order Date]]</f>
        <v>6</v>
      </c>
      <c r="N628" s="24" t="s">
        <v>45</v>
      </c>
      <c r="O628" s="24" t="s">
        <v>23</v>
      </c>
      <c r="P628" s="24" t="s">
        <v>4645</v>
      </c>
      <c r="Q628" s="24" t="s">
        <v>133</v>
      </c>
      <c r="R628" s="24" t="s">
        <v>6871</v>
      </c>
      <c r="S628" s="34">
        <v>0</v>
      </c>
      <c r="T628" s="15">
        <v>67.98</v>
      </c>
      <c r="U628" s="18">
        <v>14.9556</v>
      </c>
      <c r="V628" s="56">
        <f>Table11[[#This Row],[Profit]]/Table11[[#This Row],[Sales]]</f>
        <v>0.22</v>
      </c>
    </row>
    <row r="629" spans="1:22" x14ac:dyDescent="0.2">
      <c r="A629" s="4">
        <v>628</v>
      </c>
      <c r="B629" s="3" t="s">
        <v>7903</v>
      </c>
      <c r="C629" s="7">
        <v>42168</v>
      </c>
      <c r="D629" s="28">
        <f>MONTH(Table11[[#This Row],[Order Date]])</f>
        <v>6</v>
      </c>
      <c r="E629" s="3" t="s">
        <v>2328</v>
      </c>
      <c r="F629" s="3" t="s">
        <v>2329</v>
      </c>
      <c r="G629" s="25" t="s">
        <v>41</v>
      </c>
      <c r="H629" s="25" t="s">
        <v>82</v>
      </c>
      <c r="I629" s="3" t="s">
        <v>4076</v>
      </c>
      <c r="J629" s="25" t="s">
        <v>36</v>
      </c>
      <c r="K629" s="28">
        <v>1</v>
      </c>
      <c r="L629" s="7">
        <v>42172</v>
      </c>
      <c r="M629" s="28">
        <f>Table11[[#This Row],[Ship Date]]-Table11[[#This Row],[Order Date]]</f>
        <v>4</v>
      </c>
      <c r="N629" s="25" t="s">
        <v>45</v>
      </c>
      <c r="O629" s="25" t="s">
        <v>23</v>
      </c>
      <c r="P629" s="25" t="s">
        <v>1125</v>
      </c>
      <c r="Q629" s="25" t="s">
        <v>26</v>
      </c>
      <c r="R629" s="25" t="s">
        <v>2871</v>
      </c>
      <c r="S629" s="35">
        <v>0</v>
      </c>
      <c r="T629" s="16">
        <v>6.48</v>
      </c>
      <c r="U629" s="19">
        <v>3.1103999999999998</v>
      </c>
      <c r="V629" s="56">
        <f>Table11[[#This Row],[Profit]]/Table11[[#This Row],[Sales]]</f>
        <v>0.47999999999999993</v>
      </c>
    </row>
    <row r="630" spans="1:22" x14ac:dyDescent="0.2">
      <c r="A630" s="2">
        <v>629</v>
      </c>
      <c r="B630" s="5" t="s">
        <v>9146</v>
      </c>
      <c r="C630" s="6">
        <v>42168</v>
      </c>
      <c r="D630" s="27">
        <f>MONTH(Table11[[#This Row],[Order Date]])</f>
        <v>6</v>
      </c>
      <c r="E630" s="5" t="s">
        <v>3485</v>
      </c>
      <c r="F630" s="5" t="s">
        <v>3486</v>
      </c>
      <c r="G630" s="24" t="s">
        <v>41</v>
      </c>
      <c r="H630" s="24" t="s">
        <v>61</v>
      </c>
      <c r="I630" s="5" t="s">
        <v>7475</v>
      </c>
      <c r="J630" s="24" t="s">
        <v>92</v>
      </c>
      <c r="K630" s="27">
        <v>1</v>
      </c>
      <c r="L630" s="6">
        <v>42170</v>
      </c>
      <c r="M630" s="27">
        <f>Table11[[#This Row],[Ship Date]]-Table11[[#This Row],[Order Date]]</f>
        <v>2</v>
      </c>
      <c r="N630" s="24" t="s">
        <v>20</v>
      </c>
      <c r="O630" s="24" t="s">
        <v>23</v>
      </c>
      <c r="P630" s="24" t="s">
        <v>441</v>
      </c>
      <c r="Q630" s="24" t="s">
        <v>133</v>
      </c>
      <c r="R630" s="24" t="s">
        <v>284</v>
      </c>
      <c r="S630" s="34">
        <v>0.2</v>
      </c>
      <c r="T630" s="15">
        <v>3.4239999999999999</v>
      </c>
      <c r="U630" s="18">
        <v>0.29959999999999998</v>
      </c>
      <c r="V630" s="56">
        <f>Table11[[#This Row],[Profit]]/Table11[[#This Row],[Sales]]</f>
        <v>8.7499999999999994E-2</v>
      </c>
    </row>
    <row r="631" spans="1:22" x14ac:dyDescent="0.2">
      <c r="A631" s="4">
        <v>630</v>
      </c>
      <c r="B631" s="3" t="s">
        <v>3235</v>
      </c>
      <c r="C631" s="7">
        <v>42169</v>
      </c>
      <c r="D631" s="28">
        <f>MONTH(Table11[[#This Row],[Order Date]])</f>
        <v>6</v>
      </c>
      <c r="E631" s="3" t="s">
        <v>3029</v>
      </c>
      <c r="F631" s="3" t="s">
        <v>3030</v>
      </c>
      <c r="G631" s="25" t="s">
        <v>28</v>
      </c>
      <c r="H631" s="25" t="s">
        <v>58</v>
      </c>
      <c r="I631" s="3" t="s">
        <v>471</v>
      </c>
      <c r="J631" s="25" t="s">
        <v>92</v>
      </c>
      <c r="K631" s="28">
        <v>6</v>
      </c>
      <c r="L631" s="7">
        <v>42173</v>
      </c>
      <c r="M631" s="28">
        <f>Table11[[#This Row],[Ship Date]]-Table11[[#This Row],[Order Date]]</f>
        <v>4</v>
      </c>
      <c r="N631" s="25" t="s">
        <v>45</v>
      </c>
      <c r="O631" s="25" t="s">
        <v>23</v>
      </c>
      <c r="P631" s="25" t="s">
        <v>132</v>
      </c>
      <c r="Q631" s="25" t="s">
        <v>133</v>
      </c>
      <c r="R631" s="25" t="s">
        <v>131</v>
      </c>
      <c r="S631" s="35">
        <v>0.2</v>
      </c>
      <c r="T631" s="16">
        <v>51.072000000000003</v>
      </c>
      <c r="U631" s="19">
        <v>5.1071999999999997</v>
      </c>
      <c r="V631" s="56">
        <f>Table11[[#This Row],[Profit]]/Table11[[#This Row],[Sales]]</f>
        <v>9.9999999999999992E-2</v>
      </c>
    </row>
    <row r="632" spans="1:22" x14ac:dyDescent="0.2">
      <c r="A632" s="4">
        <v>631</v>
      </c>
      <c r="B632" s="5" t="s">
        <v>6304</v>
      </c>
      <c r="C632" s="6">
        <v>42170</v>
      </c>
      <c r="D632" s="27">
        <f>MONTH(Table11[[#This Row],[Order Date]])</f>
        <v>6</v>
      </c>
      <c r="E632" s="5" t="s">
        <v>4949</v>
      </c>
      <c r="F632" s="5" t="s">
        <v>4950</v>
      </c>
      <c r="G632" s="24" t="s">
        <v>41</v>
      </c>
      <c r="H632" s="24" t="s">
        <v>82</v>
      </c>
      <c r="I632" s="5" t="s">
        <v>6305</v>
      </c>
      <c r="J632" s="24" t="s">
        <v>22</v>
      </c>
      <c r="K632" s="27">
        <v>2</v>
      </c>
      <c r="L632" s="6">
        <v>42175</v>
      </c>
      <c r="M632" s="27">
        <f>Table11[[#This Row],[Ship Date]]-Table11[[#This Row],[Order Date]]</f>
        <v>5</v>
      </c>
      <c r="N632" s="24" t="s">
        <v>45</v>
      </c>
      <c r="O632" s="24" t="s">
        <v>23</v>
      </c>
      <c r="P632" s="24" t="s">
        <v>277</v>
      </c>
      <c r="Q632" s="24" t="s">
        <v>39</v>
      </c>
      <c r="R632" s="24" t="s">
        <v>276</v>
      </c>
      <c r="S632" s="34">
        <v>0.2</v>
      </c>
      <c r="T632" s="15">
        <v>9.5679999999999996</v>
      </c>
      <c r="U632" s="18">
        <v>2.99</v>
      </c>
      <c r="V632" s="56">
        <f>Table11[[#This Row],[Profit]]/Table11[[#This Row],[Sales]]</f>
        <v>0.31250000000000006</v>
      </c>
    </row>
    <row r="633" spans="1:22" x14ac:dyDescent="0.2">
      <c r="A633" s="2">
        <v>632</v>
      </c>
      <c r="B633" s="3" t="s">
        <v>6304</v>
      </c>
      <c r="C633" s="7">
        <v>42170</v>
      </c>
      <c r="D633" s="28">
        <f>MONTH(Table11[[#This Row],[Order Date]])</f>
        <v>6</v>
      </c>
      <c r="E633" s="3" t="s">
        <v>847</v>
      </c>
      <c r="F633" s="3" t="s">
        <v>848</v>
      </c>
      <c r="G633" s="25" t="s">
        <v>41</v>
      </c>
      <c r="H633" s="25" t="s">
        <v>53</v>
      </c>
      <c r="I633" s="3" t="s">
        <v>6305</v>
      </c>
      <c r="J633" s="25" t="s">
        <v>22</v>
      </c>
      <c r="K633" s="28">
        <v>2</v>
      </c>
      <c r="L633" s="7">
        <v>42175</v>
      </c>
      <c r="M633" s="28">
        <f>Table11[[#This Row],[Ship Date]]-Table11[[#This Row],[Order Date]]</f>
        <v>5</v>
      </c>
      <c r="N633" s="25" t="s">
        <v>45</v>
      </c>
      <c r="O633" s="25" t="s">
        <v>23</v>
      </c>
      <c r="P633" s="25" t="s">
        <v>277</v>
      </c>
      <c r="Q633" s="25" t="s">
        <v>39</v>
      </c>
      <c r="R633" s="25" t="s">
        <v>276</v>
      </c>
      <c r="S633" s="35">
        <v>0.2</v>
      </c>
      <c r="T633" s="16">
        <v>82.367999999999995</v>
      </c>
      <c r="U633" s="19">
        <v>-19.5624</v>
      </c>
      <c r="V633" s="56">
        <f>Table11[[#This Row],[Profit]]/Table11[[#This Row],[Sales]]</f>
        <v>-0.23750000000000002</v>
      </c>
    </row>
    <row r="634" spans="1:22" x14ac:dyDescent="0.2">
      <c r="A634" s="4">
        <v>633</v>
      </c>
      <c r="B634" s="5" t="s">
        <v>6304</v>
      </c>
      <c r="C634" s="6">
        <v>42170</v>
      </c>
      <c r="D634" s="27">
        <f>MONTH(Table11[[#This Row],[Order Date]])</f>
        <v>6</v>
      </c>
      <c r="E634" s="5" t="s">
        <v>6296</v>
      </c>
      <c r="F634" s="5" t="s">
        <v>6297</v>
      </c>
      <c r="G634" s="24" t="s">
        <v>28</v>
      </c>
      <c r="H634" s="24" t="s">
        <v>58</v>
      </c>
      <c r="I634" s="5" t="s">
        <v>6305</v>
      </c>
      <c r="J634" s="24" t="s">
        <v>22</v>
      </c>
      <c r="K634" s="27">
        <v>6</v>
      </c>
      <c r="L634" s="6">
        <v>42175</v>
      </c>
      <c r="M634" s="27">
        <f>Table11[[#This Row],[Ship Date]]-Table11[[#This Row],[Order Date]]</f>
        <v>5</v>
      </c>
      <c r="N634" s="24" t="s">
        <v>45</v>
      </c>
      <c r="O634" s="24" t="s">
        <v>23</v>
      </c>
      <c r="P634" s="24" t="s">
        <v>277</v>
      </c>
      <c r="Q634" s="24" t="s">
        <v>39</v>
      </c>
      <c r="R634" s="24" t="s">
        <v>276</v>
      </c>
      <c r="S634" s="34">
        <v>0.2</v>
      </c>
      <c r="T634" s="15">
        <v>364.70400000000001</v>
      </c>
      <c r="U634" s="18">
        <v>-36.470399999999998</v>
      </c>
      <c r="V634" s="56">
        <f>Table11[[#This Row],[Profit]]/Table11[[#This Row],[Sales]]</f>
        <v>-9.9999999999999992E-2</v>
      </c>
    </row>
    <row r="635" spans="1:22" x14ac:dyDescent="0.2">
      <c r="A635" s="4">
        <v>634</v>
      </c>
      <c r="B635" s="3" t="s">
        <v>6304</v>
      </c>
      <c r="C635" s="7">
        <v>42170</v>
      </c>
      <c r="D635" s="28">
        <f>MONTH(Table11[[#This Row],[Order Date]])</f>
        <v>6</v>
      </c>
      <c r="E635" s="3" t="s">
        <v>6306</v>
      </c>
      <c r="F635" s="3" t="s">
        <v>6307</v>
      </c>
      <c r="G635" s="25" t="s">
        <v>28</v>
      </c>
      <c r="H635" s="25" t="s">
        <v>58</v>
      </c>
      <c r="I635" s="3" t="s">
        <v>6305</v>
      </c>
      <c r="J635" s="25" t="s">
        <v>22</v>
      </c>
      <c r="K635" s="28">
        <v>4</v>
      </c>
      <c r="L635" s="7">
        <v>42175</v>
      </c>
      <c r="M635" s="28">
        <f>Table11[[#This Row],[Ship Date]]-Table11[[#This Row],[Order Date]]</f>
        <v>5</v>
      </c>
      <c r="N635" s="25" t="s">
        <v>45</v>
      </c>
      <c r="O635" s="25" t="s">
        <v>23</v>
      </c>
      <c r="P635" s="25" t="s">
        <v>277</v>
      </c>
      <c r="Q635" s="25" t="s">
        <v>39</v>
      </c>
      <c r="R635" s="25" t="s">
        <v>276</v>
      </c>
      <c r="S635" s="35">
        <v>0.2</v>
      </c>
      <c r="T635" s="16">
        <v>40.256</v>
      </c>
      <c r="U635" s="19">
        <v>11.070399999999999</v>
      </c>
      <c r="V635" s="56">
        <f>Table11[[#This Row],[Profit]]/Table11[[#This Row],[Sales]]</f>
        <v>0.27499999999999997</v>
      </c>
    </row>
    <row r="636" spans="1:22" x14ac:dyDescent="0.2">
      <c r="A636" s="2">
        <v>635</v>
      </c>
      <c r="B636" s="5" t="s">
        <v>7741</v>
      </c>
      <c r="C636" s="6">
        <v>42170</v>
      </c>
      <c r="D636" s="27">
        <f>MONTH(Table11[[#This Row],[Order Date]])</f>
        <v>6</v>
      </c>
      <c r="E636" s="5" t="s">
        <v>4282</v>
      </c>
      <c r="F636" s="5" t="s">
        <v>4283</v>
      </c>
      <c r="G636" s="24" t="s">
        <v>64</v>
      </c>
      <c r="H636" s="24" t="s">
        <v>144</v>
      </c>
      <c r="I636" s="5" t="s">
        <v>4173</v>
      </c>
      <c r="J636" s="24" t="s">
        <v>22</v>
      </c>
      <c r="K636" s="27">
        <v>1</v>
      </c>
      <c r="L636" s="6">
        <v>42172</v>
      </c>
      <c r="M636" s="27">
        <f>Table11[[#This Row],[Ship Date]]-Table11[[#This Row],[Order Date]]</f>
        <v>2</v>
      </c>
      <c r="N636" s="24" t="s">
        <v>169</v>
      </c>
      <c r="O636" s="24" t="s">
        <v>23</v>
      </c>
      <c r="P636" s="24" t="s">
        <v>48</v>
      </c>
      <c r="Q636" s="24" t="s">
        <v>26</v>
      </c>
      <c r="R636" s="24" t="s">
        <v>793</v>
      </c>
      <c r="S636" s="34">
        <v>0.2</v>
      </c>
      <c r="T636" s="15">
        <v>11.672000000000001</v>
      </c>
      <c r="U636" s="18">
        <v>-0.72950000000000004</v>
      </c>
      <c r="V636" s="56">
        <f>Table11[[#This Row],[Profit]]/Table11[[#This Row],[Sales]]</f>
        <v>-6.25E-2</v>
      </c>
    </row>
    <row r="637" spans="1:22" x14ac:dyDescent="0.2">
      <c r="A637" s="4">
        <v>636</v>
      </c>
      <c r="B637" s="3" t="s">
        <v>8775</v>
      </c>
      <c r="C637" s="7">
        <v>42170</v>
      </c>
      <c r="D637" s="28">
        <f>MONTH(Table11[[#This Row],[Order Date]])</f>
        <v>6</v>
      </c>
      <c r="E637" s="3" t="s">
        <v>1839</v>
      </c>
      <c r="F637" s="3" t="s">
        <v>1840</v>
      </c>
      <c r="G637" s="25" t="s">
        <v>64</v>
      </c>
      <c r="H637" s="25" t="s">
        <v>65</v>
      </c>
      <c r="I637" s="3" t="s">
        <v>1041</v>
      </c>
      <c r="J637" s="25" t="s">
        <v>36</v>
      </c>
      <c r="K637" s="28">
        <v>3</v>
      </c>
      <c r="L637" s="7">
        <v>42174</v>
      </c>
      <c r="M637" s="28">
        <f>Table11[[#This Row],[Ship Date]]-Table11[[#This Row],[Order Date]]</f>
        <v>4</v>
      </c>
      <c r="N637" s="25" t="s">
        <v>45</v>
      </c>
      <c r="O637" s="25" t="s">
        <v>23</v>
      </c>
      <c r="P637" s="25" t="s">
        <v>38</v>
      </c>
      <c r="Q637" s="25" t="s">
        <v>39</v>
      </c>
      <c r="R637" s="25" t="s">
        <v>37</v>
      </c>
      <c r="S637" s="35">
        <v>0.2</v>
      </c>
      <c r="T637" s="16">
        <v>225.57599999999999</v>
      </c>
      <c r="U637" s="19">
        <v>22.557600000000001</v>
      </c>
      <c r="V637" s="56">
        <f>Table11[[#This Row],[Profit]]/Table11[[#This Row],[Sales]]</f>
        <v>0.1</v>
      </c>
    </row>
    <row r="638" spans="1:22" x14ac:dyDescent="0.2">
      <c r="A638" s="4">
        <v>637</v>
      </c>
      <c r="B638" s="5" t="s">
        <v>2678</v>
      </c>
      <c r="C638" s="6">
        <v>42171</v>
      </c>
      <c r="D638" s="27">
        <f>MONTH(Table11[[#This Row],[Order Date]])</f>
        <v>6</v>
      </c>
      <c r="E638" s="5" t="s">
        <v>2679</v>
      </c>
      <c r="F638" s="5" t="s">
        <v>2680</v>
      </c>
      <c r="G638" s="24" t="s">
        <v>41</v>
      </c>
      <c r="H638" s="24" t="s">
        <v>155</v>
      </c>
      <c r="I638" s="5" t="s">
        <v>1290</v>
      </c>
      <c r="J638" s="24" t="s">
        <v>22</v>
      </c>
      <c r="K638" s="27">
        <v>2</v>
      </c>
      <c r="L638" s="6">
        <v>42175</v>
      </c>
      <c r="M638" s="27">
        <f>Table11[[#This Row],[Ship Date]]-Table11[[#This Row],[Order Date]]</f>
        <v>4</v>
      </c>
      <c r="N638" s="24" t="s">
        <v>45</v>
      </c>
      <c r="O638" s="24" t="s">
        <v>23</v>
      </c>
      <c r="P638" s="24" t="s">
        <v>132</v>
      </c>
      <c r="Q638" s="24" t="s">
        <v>133</v>
      </c>
      <c r="R638" s="24" t="s">
        <v>131</v>
      </c>
      <c r="S638" s="34">
        <v>0.2</v>
      </c>
      <c r="T638" s="15">
        <v>6.2080000000000002</v>
      </c>
      <c r="U638" s="18">
        <v>2.1728000000000001</v>
      </c>
      <c r="V638" s="56">
        <f>Table11[[#This Row],[Profit]]/Table11[[#This Row],[Sales]]</f>
        <v>0.35</v>
      </c>
    </row>
    <row r="639" spans="1:22" x14ac:dyDescent="0.2">
      <c r="A639" s="2">
        <v>638</v>
      </c>
      <c r="B639" s="3" t="s">
        <v>6351</v>
      </c>
      <c r="C639" s="7">
        <v>42171</v>
      </c>
      <c r="D639" s="28">
        <f>MONTH(Table11[[#This Row],[Order Date]])</f>
        <v>6</v>
      </c>
      <c r="E639" s="3" t="s">
        <v>6352</v>
      </c>
      <c r="F639" s="3" t="s">
        <v>591</v>
      </c>
      <c r="G639" s="25" t="s">
        <v>41</v>
      </c>
      <c r="H639" s="25" t="s">
        <v>155</v>
      </c>
      <c r="I639" s="3" t="s">
        <v>6255</v>
      </c>
      <c r="J639" s="25" t="s">
        <v>22</v>
      </c>
      <c r="K639" s="28">
        <v>3</v>
      </c>
      <c r="L639" s="7">
        <v>42175</v>
      </c>
      <c r="M639" s="28">
        <f>Table11[[#This Row],[Ship Date]]-Table11[[#This Row],[Order Date]]</f>
        <v>4</v>
      </c>
      <c r="N639" s="25" t="s">
        <v>45</v>
      </c>
      <c r="O639" s="25" t="s">
        <v>23</v>
      </c>
      <c r="P639" s="25" t="s">
        <v>94</v>
      </c>
      <c r="Q639" s="25" t="s">
        <v>95</v>
      </c>
      <c r="R639" s="25" t="s">
        <v>669</v>
      </c>
      <c r="S639" s="35">
        <v>0.2</v>
      </c>
      <c r="T639" s="16">
        <v>28.751999999999999</v>
      </c>
      <c r="U639" s="19">
        <v>9.3444000000000003</v>
      </c>
      <c r="V639" s="56">
        <f>Table11[[#This Row],[Profit]]/Table11[[#This Row],[Sales]]</f>
        <v>0.32500000000000001</v>
      </c>
    </row>
    <row r="640" spans="1:22" x14ac:dyDescent="0.2">
      <c r="A640" s="4">
        <v>639</v>
      </c>
      <c r="B640" s="5" t="s">
        <v>6351</v>
      </c>
      <c r="C640" s="6">
        <v>42171</v>
      </c>
      <c r="D640" s="27">
        <f>MONTH(Table11[[#This Row],[Order Date]])</f>
        <v>6</v>
      </c>
      <c r="E640" s="5" t="s">
        <v>2591</v>
      </c>
      <c r="F640" s="5" t="s">
        <v>2592</v>
      </c>
      <c r="G640" s="24" t="s">
        <v>41</v>
      </c>
      <c r="H640" s="24" t="s">
        <v>82</v>
      </c>
      <c r="I640" s="5" t="s">
        <v>6255</v>
      </c>
      <c r="J640" s="24" t="s">
        <v>22</v>
      </c>
      <c r="K640" s="27">
        <v>3</v>
      </c>
      <c r="L640" s="6">
        <v>42175</v>
      </c>
      <c r="M640" s="27">
        <f>Table11[[#This Row],[Ship Date]]-Table11[[#This Row],[Order Date]]</f>
        <v>4</v>
      </c>
      <c r="N640" s="24" t="s">
        <v>45</v>
      </c>
      <c r="O640" s="24" t="s">
        <v>23</v>
      </c>
      <c r="P640" s="24" t="s">
        <v>94</v>
      </c>
      <c r="Q640" s="24" t="s">
        <v>95</v>
      </c>
      <c r="R640" s="24" t="s">
        <v>669</v>
      </c>
      <c r="S640" s="34">
        <v>0.2</v>
      </c>
      <c r="T640" s="15">
        <v>27.216000000000001</v>
      </c>
      <c r="U640" s="18">
        <v>9.8658000000000001</v>
      </c>
      <c r="V640" s="56">
        <f>Table11[[#This Row],[Profit]]/Table11[[#This Row],[Sales]]</f>
        <v>0.36249999999999999</v>
      </c>
    </row>
    <row r="641" spans="1:22" x14ac:dyDescent="0.2">
      <c r="A641" s="4">
        <v>640</v>
      </c>
      <c r="B641" s="3" t="s">
        <v>6351</v>
      </c>
      <c r="C641" s="7">
        <v>42171</v>
      </c>
      <c r="D641" s="28">
        <f>MONTH(Table11[[#This Row],[Order Date]])</f>
        <v>6</v>
      </c>
      <c r="E641" s="3" t="s">
        <v>3087</v>
      </c>
      <c r="F641" s="3" t="s">
        <v>3088</v>
      </c>
      <c r="G641" s="25" t="s">
        <v>28</v>
      </c>
      <c r="H641" s="25" t="s">
        <v>32</v>
      </c>
      <c r="I641" s="3" t="s">
        <v>6255</v>
      </c>
      <c r="J641" s="25" t="s">
        <v>22</v>
      </c>
      <c r="K641" s="28">
        <v>2</v>
      </c>
      <c r="L641" s="7">
        <v>42175</v>
      </c>
      <c r="M641" s="28">
        <f>Table11[[#This Row],[Ship Date]]-Table11[[#This Row],[Order Date]]</f>
        <v>4</v>
      </c>
      <c r="N641" s="25" t="s">
        <v>45</v>
      </c>
      <c r="O641" s="25" t="s">
        <v>23</v>
      </c>
      <c r="P641" s="25" t="s">
        <v>94</v>
      </c>
      <c r="Q641" s="25" t="s">
        <v>95</v>
      </c>
      <c r="R641" s="25" t="s">
        <v>669</v>
      </c>
      <c r="S641" s="35">
        <v>0.3</v>
      </c>
      <c r="T641" s="16">
        <v>197.37200000000001</v>
      </c>
      <c r="U641" s="19">
        <v>-25.3764</v>
      </c>
      <c r="V641" s="56">
        <f>Table11[[#This Row],[Profit]]/Table11[[#This Row],[Sales]]</f>
        <v>-0.12857142857142856</v>
      </c>
    </row>
    <row r="642" spans="1:22" x14ac:dyDescent="0.2">
      <c r="A642" s="2">
        <v>641</v>
      </c>
      <c r="B642" s="5" t="s">
        <v>9434</v>
      </c>
      <c r="C642" s="6">
        <v>42171</v>
      </c>
      <c r="D642" s="27">
        <f>MONTH(Table11[[#This Row],[Order Date]])</f>
        <v>6</v>
      </c>
      <c r="E642" s="5" t="s">
        <v>1543</v>
      </c>
      <c r="F642" s="5" t="s">
        <v>1544</v>
      </c>
      <c r="G642" s="24" t="s">
        <v>41</v>
      </c>
      <c r="H642" s="24" t="s">
        <v>68</v>
      </c>
      <c r="I642" s="5" t="s">
        <v>500</v>
      </c>
      <c r="J642" s="24" t="s">
        <v>22</v>
      </c>
      <c r="K642" s="27">
        <v>3</v>
      </c>
      <c r="L642" s="6">
        <v>42174</v>
      </c>
      <c r="M642" s="27">
        <f>Table11[[#This Row],[Ship Date]]-Table11[[#This Row],[Order Date]]</f>
        <v>3</v>
      </c>
      <c r="N642" s="24" t="s">
        <v>169</v>
      </c>
      <c r="O642" s="24" t="s">
        <v>23</v>
      </c>
      <c r="P642" s="24" t="s">
        <v>238</v>
      </c>
      <c r="Q642" s="24" t="s">
        <v>133</v>
      </c>
      <c r="R642" s="24" t="s">
        <v>237</v>
      </c>
      <c r="S642" s="34">
        <v>0.2</v>
      </c>
      <c r="T642" s="15">
        <v>3050.3760000000002</v>
      </c>
      <c r="U642" s="18">
        <v>1143.8910000000001</v>
      </c>
      <c r="V642" s="56">
        <f>Table11[[#This Row],[Profit]]/Table11[[#This Row],[Sales]]</f>
        <v>0.375</v>
      </c>
    </row>
    <row r="643" spans="1:22" x14ac:dyDescent="0.2">
      <c r="A643" s="4">
        <v>642</v>
      </c>
      <c r="B643" s="3" t="s">
        <v>9434</v>
      </c>
      <c r="C643" s="7">
        <v>42171</v>
      </c>
      <c r="D643" s="28">
        <f>MONTH(Table11[[#This Row],[Order Date]])</f>
        <v>6</v>
      </c>
      <c r="E643" s="3" t="s">
        <v>3813</v>
      </c>
      <c r="F643" s="3" t="s">
        <v>3814</v>
      </c>
      <c r="G643" s="25" t="s">
        <v>64</v>
      </c>
      <c r="H643" s="25" t="s">
        <v>65</v>
      </c>
      <c r="I643" s="3" t="s">
        <v>500</v>
      </c>
      <c r="J643" s="25" t="s">
        <v>22</v>
      </c>
      <c r="K643" s="28">
        <v>2</v>
      </c>
      <c r="L643" s="7">
        <v>42174</v>
      </c>
      <c r="M643" s="28">
        <f>Table11[[#This Row],[Ship Date]]-Table11[[#This Row],[Order Date]]</f>
        <v>3</v>
      </c>
      <c r="N643" s="25" t="s">
        <v>169</v>
      </c>
      <c r="O643" s="25" t="s">
        <v>23</v>
      </c>
      <c r="P643" s="25" t="s">
        <v>238</v>
      </c>
      <c r="Q643" s="25" t="s">
        <v>133</v>
      </c>
      <c r="R643" s="25" t="s">
        <v>237</v>
      </c>
      <c r="S643" s="35">
        <v>0</v>
      </c>
      <c r="T643" s="16">
        <v>133.97999999999999</v>
      </c>
      <c r="U643" s="19">
        <v>33.494999999999997</v>
      </c>
      <c r="V643" s="56">
        <f>Table11[[#This Row],[Profit]]/Table11[[#This Row],[Sales]]</f>
        <v>0.25</v>
      </c>
    </row>
    <row r="644" spans="1:22" x14ac:dyDescent="0.2">
      <c r="A644" s="4">
        <v>643</v>
      </c>
      <c r="B644" s="5" t="s">
        <v>4356</v>
      </c>
      <c r="C644" s="6">
        <v>42173</v>
      </c>
      <c r="D644" s="27">
        <f>MONTH(Table11[[#This Row],[Order Date]])</f>
        <v>6</v>
      </c>
      <c r="E644" s="5" t="s">
        <v>4357</v>
      </c>
      <c r="F644" s="5" t="s">
        <v>4358</v>
      </c>
      <c r="G644" s="24" t="s">
        <v>41</v>
      </c>
      <c r="H644" s="24" t="s">
        <v>82</v>
      </c>
      <c r="I644" s="5" t="s">
        <v>2779</v>
      </c>
      <c r="J644" s="24" t="s">
        <v>92</v>
      </c>
      <c r="K644" s="27">
        <v>3</v>
      </c>
      <c r="L644" s="6">
        <v>42178</v>
      </c>
      <c r="M644" s="27">
        <f>Table11[[#This Row],[Ship Date]]-Table11[[#This Row],[Order Date]]</f>
        <v>5</v>
      </c>
      <c r="N644" s="24" t="s">
        <v>45</v>
      </c>
      <c r="O644" s="24" t="s">
        <v>23</v>
      </c>
      <c r="P644" s="24" t="s">
        <v>277</v>
      </c>
      <c r="Q644" s="24" t="s">
        <v>39</v>
      </c>
      <c r="R644" s="24" t="s">
        <v>1223</v>
      </c>
      <c r="S644" s="34">
        <v>0.2</v>
      </c>
      <c r="T644" s="15">
        <v>11.952</v>
      </c>
      <c r="U644" s="18">
        <v>4.3326000000000002</v>
      </c>
      <c r="V644" s="56">
        <f>Table11[[#This Row],[Profit]]/Table11[[#This Row],[Sales]]</f>
        <v>0.36250000000000004</v>
      </c>
    </row>
    <row r="645" spans="1:22" x14ac:dyDescent="0.2">
      <c r="A645" s="2">
        <v>644</v>
      </c>
      <c r="B645" s="3" t="s">
        <v>4356</v>
      </c>
      <c r="C645" s="7">
        <v>42173</v>
      </c>
      <c r="D645" s="28">
        <f>MONTH(Table11[[#This Row],[Order Date]])</f>
        <v>6</v>
      </c>
      <c r="E645" s="3" t="s">
        <v>2993</v>
      </c>
      <c r="F645" s="3" t="s">
        <v>2994</v>
      </c>
      <c r="G645" s="25" t="s">
        <v>41</v>
      </c>
      <c r="H645" s="25" t="s">
        <v>68</v>
      </c>
      <c r="I645" s="3" t="s">
        <v>2779</v>
      </c>
      <c r="J645" s="25" t="s">
        <v>92</v>
      </c>
      <c r="K645" s="28">
        <v>7</v>
      </c>
      <c r="L645" s="7">
        <v>42178</v>
      </c>
      <c r="M645" s="28">
        <f>Table11[[#This Row],[Ship Date]]-Table11[[#This Row],[Order Date]]</f>
        <v>5</v>
      </c>
      <c r="N645" s="25" t="s">
        <v>45</v>
      </c>
      <c r="O645" s="25" t="s">
        <v>23</v>
      </c>
      <c r="P645" s="25" t="s">
        <v>277</v>
      </c>
      <c r="Q645" s="25" t="s">
        <v>39</v>
      </c>
      <c r="R645" s="25" t="s">
        <v>1223</v>
      </c>
      <c r="S645" s="35">
        <v>0.7</v>
      </c>
      <c r="T645" s="16">
        <v>4.5359999999999996</v>
      </c>
      <c r="U645" s="19">
        <v>-3.3264</v>
      </c>
      <c r="V645" s="56">
        <f>Table11[[#This Row],[Profit]]/Table11[[#This Row],[Sales]]</f>
        <v>-0.73333333333333339</v>
      </c>
    </row>
    <row r="646" spans="1:22" x14ac:dyDescent="0.2">
      <c r="A646" s="4">
        <v>645</v>
      </c>
      <c r="B646" s="5" t="s">
        <v>4356</v>
      </c>
      <c r="C646" s="6">
        <v>42173</v>
      </c>
      <c r="D646" s="27">
        <f>MONTH(Table11[[#This Row],[Order Date]])</f>
        <v>6</v>
      </c>
      <c r="E646" s="5" t="s">
        <v>2708</v>
      </c>
      <c r="F646" s="5" t="s">
        <v>2709</v>
      </c>
      <c r="G646" s="24" t="s">
        <v>41</v>
      </c>
      <c r="H646" s="24" t="s">
        <v>68</v>
      </c>
      <c r="I646" s="5" t="s">
        <v>2779</v>
      </c>
      <c r="J646" s="24" t="s">
        <v>92</v>
      </c>
      <c r="K646" s="27">
        <v>2</v>
      </c>
      <c r="L646" s="6">
        <v>42178</v>
      </c>
      <c r="M646" s="27">
        <f>Table11[[#This Row],[Ship Date]]-Table11[[#This Row],[Order Date]]</f>
        <v>5</v>
      </c>
      <c r="N646" s="24" t="s">
        <v>45</v>
      </c>
      <c r="O646" s="24" t="s">
        <v>23</v>
      </c>
      <c r="P646" s="24" t="s">
        <v>277</v>
      </c>
      <c r="Q646" s="24" t="s">
        <v>39</v>
      </c>
      <c r="R646" s="24" t="s">
        <v>1223</v>
      </c>
      <c r="S646" s="34">
        <v>0.7</v>
      </c>
      <c r="T646" s="15">
        <v>9.1560000000000006</v>
      </c>
      <c r="U646" s="18">
        <v>-6.1040000000000001</v>
      </c>
      <c r="V646" s="56">
        <f>Table11[[#This Row],[Profit]]/Table11[[#This Row],[Sales]]</f>
        <v>-0.66666666666666663</v>
      </c>
    </row>
    <row r="647" spans="1:22" x14ac:dyDescent="0.2">
      <c r="A647" s="4">
        <v>646</v>
      </c>
      <c r="B647" s="3" t="s">
        <v>4356</v>
      </c>
      <c r="C647" s="7">
        <v>42173</v>
      </c>
      <c r="D647" s="28">
        <f>MONTH(Table11[[#This Row],[Order Date]])</f>
        <v>6</v>
      </c>
      <c r="E647" s="3" t="s">
        <v>4090</v>
      </c>
      <c r="F647" s="3" t="s">
        <v>4091</v>
      </c>
      <c r="G647" s="25" t="s">
        <v>28</v>
      </c>
      <c r="H647" s="25" t="s">
        <v>58</v>
      </c>
      <c r="I647" s="3" t="s">
        <v>2779</v>
      </c>
      <c r="J647" s="25" t="s">
        <v>92</v>
      </c>
      <c r="K647" s="28">
        <v>5</v>
      </c>
      <c r="L647" s="7">
        <v>42178</v>
      </c>
      <c r="M647" s="28">
        <f>Table11[[#This Row],[Ship Date]]-Table11[[#This Row],[Order Date]]</f>
        <v>5</v>
      </c>
      <c r="N647" s="25" t="s">
        <v>45</v>
      </c>
      <c r="O647" s="25" t="s">
        <v>23</v>
      </c>
      <c r="P647" s="25" t="s">
        <v>277</v>
      </c>
      <c r="Q647" s="25" t="s">
        <v>39</v>
      </c>
      <c r="R647" s="25" t="s">
        <v>1223</v>
      </c>
      <c r="S647" s="35">
        <v>0.2</v>
      </c>
      <c r="T647" s="16">
        <v>75.36</v>
      </c>
      <c r="U647" s="19">
        <v>20.724</v>
      </c>
      <c r="V647" s="56">
        <f>Table11[[#This Row],[Profit]]/Table11[[#This Row],[Sales]]</f>
        <v>0.27500000000000002</v>
      </c>
    </row>
    <row r="648" spans="1:22" x14ac:dyDescent="0.2">
      <c r="A648" s="2">
        <v>647</v>
      </c>
      <c r="B648" s="5" t="s">
        <v>6567</v>
      </c>
      <c r="C648" s="6">
        <v>42173</v>
      </c>
      <c r="D648" s="27">
        <f>MONTH(Table11[[#This Row],[Order Date]])</f>
        <v>6</v>
      </c>
      <c r="E648" s="5" t="s">
        <v>3728</v>
      </c>
      <c r="F648" s="5" t="s">
        <v>3729</v>
      </c>
      <c r="G648" s="24" t="s">
        <v>41</v>
      </c>
      <c r="H648" s="24" t="s">
        <v>61</v>
      </c>
      <c r="I648" s="5" t="s">
        <v>5781</v>
      </c>
      <c r="J648" s="24" t="s">
        <v>22</v>
      </c>
      <c r="K648" s="27">
        <v>2</v>
      </c>
      <c r="L648" s="6">
        <v>42177</v>
      </c>
      <c r="M648" s="27">
        <f>Table11[[#This Row],[Ship Date]]-Table11[[#This Row],[Order Date]]</f>
        <v>4</v>
      </c>
      <c r="N648" s="24" t="s">
        <v>45</v>
      </c>
      <c r="O648" s="24" t="s">
        <v>23</v>
      </c>
      <c r="P648" s="24" t="s">
        <v>38</v>
      </c>
      <c r="Q648" s="24" t="s">
        <v>39</v>
      </c>
      <c r="R648" s="24" t="s">
        <v>836</v>
      </c>
      <c r="S648" s="34">
        <v>0</v>
      </c>
      <c r="T648" s="15">
        <v>51.98</v>
      </c>
      <c r="U648" s="18">
        <v>15.074199999999999</v>
      </c>
      <c r="V648" s="56">
        <f>Table11[[#This Row],[Profit]]/Table11[[#This Row],[Sales]]</f>
        <v>0.28999999999999998</v>
      </c>
    </row>
    <row r="649" spans="1:22" x14ac:dyDescent="0.2">
      <c r="A649" s="4">
        <v>648</v>
      </c>
      <c r="B649" s="3" t="s">
        <v>7909</v>
      </c>
      <c r="C649" s="7">
        <v>42173</v>
      </c>
      <c r="D649" s="28">
        <f>MONTH(Table11[[#This Row],[Order Date]])</f>
        <v>6</v>
      </c>
      <c r="E649" s="3" t="s">
        <v>1118</v>
      </c>
      <c r="F649" s="3" t="s">
        <v>1119</v>
      </c>
      <c r="G649" s="25" t="s">
        <v>41</v>
      </c>
      <c r="H649" s="25" t="s">
        <v>61</v>
      </c>
      <c r="I649" s="3" t="s">
        <v>2992</v>
      </c>
      <c r="J649" s="25" t="s">
        <v>36</v>
      </c>
      <c r="K649" s="28">
        <v>4</v>
      </c>
      <c r="L649" s="7">
        <v>42177</v>
      </c>
      <c r="M649" s="28">
        <f>Table11[[#This Row],[Ship Date]]-Table11[[#This Row],[Order Date]]</f>
        <v>4</v>
      </c>
      <c r="N649" s="25" t="s">
        <v>45</v>
      </c>
      <c r="O649" s="25" t="s">
        <v>23</v>
      </c>
      <c r="P649" s="25" t="s">
        <v>48</v>
      </c>
      <c r="Q649" s="25" t="s">
        <v>26</v>
      </c>
      <c r="R649" s="25" t="s">
        <v>1253</v>
      </c>
      <c r="S649" s="35">
        <v>0.2</v>
      </c>
      <c r="T649" s="16">
        <v>13.632</v>
      </c>
      <c r="U649" s="19">
        <v>3.5783999999999998</v>
      </c>
      <c r="V649" s="56">
        <f>Table11[[#This Row],[Profit]]/Table11[[#This Row],[Sales]]</f>
        <v>0.26250000000000001</v>
      </c>
    </row>
    <row r="650" spans="1:22" x14ac:dyDescent="0.2">
      <c r="A650" s="4">
        <v>649</v>
      </c>
      <c r="B650" s="5" t="s">
        <v>8288</v>
      </c>
      <c r="C650" s="6">
        <v>42173</v>
      </c>
      <c r="D650" s="27">
        <f>MONTH(Table11[[#This Row],[Order Date]])</f>
        <v>6</v>
      </c>
      <c r="E650" s="5" t="s">
        <v>4629</v>
      </c>
      <c r="F650" s="5" t="s">
        <v>4630</v>
      </c>
      <c r="G650" s="24" t="s">
        <v>41</v>
      </c>
      <c r="H650" s="24" t="s">
        <v>68</v>
      </c>
      <c r="I650" s="5" t="s">
        <v>2146</v>
      </c>
      <c r="J650" s="24" t="s">
        <v>36</v>
      </c>
      <c r="K650" s="27">
        <v>3</v>
      </c>
      <c r="L650" s="6">
        <v>42175</v>
      </c>
      <c r="M650" s="27">
        <f>Table11[[#This Row],[Ship Date]]-Table11[[#This Row],[Order Date]]</f>
        <v>2</v>
      </c>
      <c r="N650" s="24" t="s">
        <v>169</v>
      </c>
      <c r="O650" s="24" t="s">
        <v>23</v>
      </c>
      <c r="P650" s="24" t="s">
        <v>299</v>
      </c>
      <c r="Q650" s="24" t="s">
        <v>26</v>
      </c>
      <c r="R650" s="24" t="s">
        <v>3345</v>
      </c>
      <c r="S650" s="34">
        <v>0.7</v>
      </c>
      <c r="T650" s="15">
        <v>6.1289999999999996</v>
      </c>
      <c r="U650" s="18">
        <v>-4.4946000000000002</v>
      </c>
      <c r="V650" s="56">
        <f>Table11[[#This Row],[Profit]]/Table11[[#This Row],[Sales]]</f>
        <v>-0.73333333333333339</v>
      </c>
    </row>
    <row r="651" spans="1:22" x14ac:dyDescent="0.2">
      <c r="A651" s="2">
        <v>650</v>
      </c>
      <c r="B651" s="3" t="s">
        <v>8288</v>
      </c>
      <c r="C651" s="7">
        <v>42173</v>
      </c>
      <c r="D651" s="28">
        <f>MONTH(Table11[[#This Row],[Order Date]])</f>
        <v>6</v>
      </c>
      <c r="E651" s="3" t="s">
        <v>832</v>
      </c>
      <c r="F651" s="3" t="s">
        <v>833</v>
      </c>
      <c r="G651" s="25" t="s">
        <v>28</v>
      </c>
      <c r="H651" s="25" t="s">
        <v>32</v>
      </c>
      <c r="I651" s="3" t="s">
        <v>2146</v>
      </c>
      <c r="J651" s="25" t="s">
        <v>36</v>
      </c>
      <c r="K651" s="28">
        <v>4</v>
      </c>
      <c r="L651" s="7">
        <v>42175</v>
      </c>
      <c r="M651" s="28">
        <f>Table11[[#This Row],[Ship Date]]-Table11[[#This Row],[Order Date]]</f>
        <v>2</v>
      </c>
      <c r="N651" s="25" t="s">
        <v>169</v>
      </c>
      <c r="O651" s="25" t="s">
        <v>23</v>
      </c>
      <c r="P651" s="25" t="s">
        <v>299</v>
      </c>
      <c r="Q651" s="25" t="s">
        <v>26</v>
      </c>
      <c r="R651" s="25" t="s">
        <v>3345</v>
      </c>
      <c r="S651" s="35">
        <v>0.2</v>
      </c>
      <c r="T651" s="16">
        <v>643.13599999999997</v>
      </c>
      <c r="U651" s="19">
        <v>56.2744</v>
      </c>
      <c r="V651" s="56">
        <f>Table11[[#This Row],[Profit]]/Table11[[#This Row],[Sales]]</f>
        <v>8.7500000000000008E-2</v>
      </c>
    </row>
    <row r="652" spans="1:22" x14ac:dyDescent="0.2">
      <c r="A652" s="4">
        <v>651</v>
      </c>
      <c r="B652" s="5" t="s">
        <v>8288</v>
      </c>
      <c r="C652" s="6">
        <v>42173</v>
      </c>
      <c r="D652" s="27">
        <f>MONTH(Table11[[#This Row],[Order Date]])</f>
        <v>6</v>
      </c>
      <c r="E652" s="5" t="s">
        <v>1021</v>
      </c>
      <c r="F652" s="5" t="s">
        <v>1022</v>
      </c>
      <c r="G652" s="24" t="s">
        <v>41</v>
      </c>
      <c r="H652" s="24" t="s">
        <v>82</v>
      </c>
      <c r="I652" s="5" t="s">
        <v>2146</v>
      </c>
      <c r="J652" s="24" t="s">
        <v>36</v>
      </c>
      <c r="K652" s="27">
        <v>4</v>
      </c>
      <c r="L652" s="6">
        <v>42175</v>
      </c>
      <c r="M652" s="27">
        <f>Table11[[#This Row],[Ship Date]]-Table11[[#This Row],[Order Date]]</f>
        <v>2</v>
      </c>
      <c r="N652" s="24" t="s">
        <v>169</v>
      </c>
      <c r="O652" s="24" t="s">
        <v>23</v>
      </c>
      <c r="P652" s="24" t="s">
        <v>299</v>
      </c>
      <c r="Q652" s="24" t="s">
        <v>26</v>
      </c>
      <c r="R652" s="24" t="s">
        <v>3345</v>
      </c>
      <c r="S652" s="34">
        <v>0.2</v>
      </c>
      <c r="T652" s="15">
        <v>20.736000000000001</v>
      </c>
      <c r="U652" s="18">
        <v>7.2576000000000001</v>
      </c>
      <c r="V652" s="56">
        <f>Table11[[#This Row],[Profit]]/Table11[[#This Row],[Sales]]</f>
        <v>0.35</v>
      </c>
    </row>
    <row r="653" spans="1:22" x14ac:dyDescent="0.2">
      <c r="A653" s="4">
        <v>652</v>
      </c>
      <c r="B653" s="3" t="s">
        <v>8864</v>
      </c>
      <c r="C653" s="7">
        <v>42173</v>
      </c>
      <c r="D653" s="28">
        <f>MONTH(Table11[[#This Row],[Order Date]])</f>
        <v>6</v>
      </c>
      <c r="E653" s="3" t="s">
        <v>5651</v>
      </c>
      <c r="F653" s="3" t="s">
        <v>5652</v>
      </c>
      <c r="G653" s="25" t="s">
        <v>28</v>
      </c>
      <c r="H653" s="25" t="s">
        <v>58</v>
      </c>
      <c r="I653" s="3" t="s">
        <v>1264</v>
      </c>
      <c r="J653" s="25" t="s">
        <v>22</v>
      </c>
      <c r="K653" s="28">
        <v>3</v>
      </c>
      <c r="L653" s="7">
        <v>42179</v>
      </c>
      <c r="M653" s="28">
        <f>Table11[[#This Row],[Ship Date]]-Table11[[#This Row],[Order Date]]</f>
        <v>6</v>
      </c>
      <c r="N653" s="25" t="s">
        <v>45</v>
      </c>
      <c r="O653" s="25" t="s">
        <v>23</v>
      </c>
      <c r="P653" s="25" t="s">
        <v>285</v>
      </c>
      <c r="Q653" s="25" t="s">
        <v>26</v>
      </c>
      <c r="R653" s="25" t="s">
        <v>997</v>
      </c>
      <c r="S653" s="35">
        <v>0</v>
      </c>
      <c r="T653" s="16">
        <v>60.84</v>
      </c>
      <c r="U653" s="19">
        <v>19.468800000000002</v>
      </c>
      <c r="V653" s="56">
        <f>Table11[[#This Row],[Profit]]/Table11[[#This Row],[Sales]]</f>
        <v>0.32</v>
      </c>
    </row>
    <row r="654" spans="1:22" x14ac:dyDescent="0.2">
      <c r="A654" s="2">
        <v>653</v>
      </c>
      <c r="B654" s="5" t="s">
        <v>8864</v>
      </c>
      <c r="C654" s="6">
        <v>42173</v>
      </c>
      <c r="D654" s="27">
        <f>MONTH(Table11[[#This Row],[Order Date]])</f>
        <v>6</v>
      </c>
      <c r="E654" s="5" t="s">
        <v>3101</v>
      </c>
      <c r="F654" s="5" t="s">
        <v>3102</v>
      </c>
      <c r="G654" s="24" t="s">
        <v>41</v>
      </c>
      <c r="H654" s="24" t="s">
        <v>53</v>
      </c>
      <c r="I654" s="5" t="s">
        <v>1264</v>
      </c>
      <c r="J654" s="24" t="s">
        <v>22</v>
      </c>
      <c r="K654" s="27">
        <v>2</v>
      </c>
      <c r="L654" s="6">
        <v>42179</v>
      </c>
      <c r="M654" s="27">
        <f>Table11[[#This Row],[Ship Date]]-Table11[[#This Row],[Order Date]]</f>
        <v>6</v>
      </c>
      <c r="N654" s="24" t="s">
        <v>45</v>
      </c>
      <c r="O654" s="24" t="s">
        <v>23</v>
      </c>
      <c r="P654" s="24" t="s">
        <v>285</v>
      </c>
      <c r="Q654" s="24" t="s">
        <v>26</v>
      </c>
      <c r="R654" s="24" t="s">
        <v>997</v>
      </c>
      <c r="S654" s="34">
        <v>0</v>
      </c>
      <c r="T654" s="15">
        <v>450.04</v>
      </c>
      <c r="U654" s="18">
        <v>58.505200000000002</v>
      </c>
      <c r="V654" s="56">
        <f>Table11[[#This Row],[Profit]]/Table11[[#This Row],[Sales]]</f>
        <v>0.13</v>
      </c>
    </row>
    <row r="655" spans="1:22" x14ac:dyDescent="0.2">
      <c r="A655" s="4">
        <v>654</v>
      </c>
      <c r="B655" s="3" t="s">
        <v>8864</v>
      </c>
      <c r="C655" s="7">
        <v>42173</v>
      </c>
      <c r="D655" s="28">
        <f>MONTH(Table11[[#This Row],[Order Date]])</f>
        <v>6</v>
      </c>
      <c r="E655" s="3" t="s">
        <v>594</v>
      </c>
      <c r="F655" s="3" t="s">
        <v>595</v>
      </c>
      <c r="G655" s="25" t="s">
        <v>41</v>
      </c>
      <c r="H655" s="25" t="s">
        <v>68</v>
      </c>
      <c r="I655" s="3" t="s">
        <v>1264</v>
      </c>
      <c r="J655" s="25" t="s">
        <v>22</v>
      </c>
      <c r="K655" s="28">
        <v>2</v>
      </c>
      <c r="L655" s="7">
        <v>42179</v>
      </c>
      <c r="M655" s="28">
        <f>Table11[[#This Row],[Ship Date]]-Table11[[#This Row],[Order Date]]</f>
        <v>6</v>
      </c>
      <c r="N655" s="25" t="s">
        <v>45</v>
      </c>
      <c r="O655" s="25" t="s">
        <v>23</v>
      </c>
      <c r="P655" s="25" t="s">
        <v>285</v>
      </c>
      <c r="Q655" s="25" t="s">
        <v>26</v>
      </c>
      <c r="R655" s="25" t="s">
        <v>997</v>
      </c>
      <c r="S655" s="35">
        <v>0</v>
      </c>
      <c r="T655" s="16">
        <v>34.6</v>
      </c>
      <c r="U655" s="19">
        <v>16.608000000000001</v>
      </c>
      <c r="V655" s="56">
        <f>Table11[[#This Row],[Profit]]/Table11[[#This Row],[Sales]]</f>
        <v>0.48</v>
      </c>
    </row>
    <row r="656" spans="1:22" x14ac:dyDescent="0.2">
      <c r="A656" s="4">
        <v>655</v>
      </c>
      <c r="B656" s="5" t="s">
        <v>8864</v>
      </c>
      <c r="C656" s="6">
        <v>42173</v>
      </c>
      <c r="D656" s="27">
        <f>MONTH(Table11[[#This Row],[Order Date]])</f>
        <v>6</v>
      </c>
      <c r="E656" s="5" t="s">
        <v>1697</v>
      </c>
      <c r="F656" s="5" t="s">
        <v>1698</v>
      </c>
      <c r="G656" s="24" t="s">
        <v>64</v>
      </c>
      <c r="H656" s="24" t="s">
        <v>65</v>
      </c>
      <c r="I656" s="5" t="s">
        <v>1264</v>
      </c>
      <c r="J656" s="24" t="s">
        <v>22</v>
      </c>
      <c r="K656" s="27">
        <v>3</v>
      </c>
      <c r="L656" s="6">
        <v>42179</v>
      </c>
      <c r="M656" s="27">
        <f>Table11[[#This Row],[Ship Date]]-Table11[[#This Row],[Order Date]]</f>
        <v>6</v>
      </c>
      <c r="N656" s="24" t="s">
        <v>45</v>
      </c>
      <c r="O656" s="24" t="s">
        <v>23</v>
      </c>
      <c r="P656" s="24" t="s">
        <v>285</v>
      </c>
      <c r="Q656" s="24" t="s">
        <v>26</v>
      </c>
      <c r="R656" s="24" t="s">
        <v>997</v>
      </c>
      <c r="S656" s="34">
        <v>0</v>
      </c>
      <c r="T656" s="15">
        <v>467.97</v>
      </c>
      <c r="U656" s="18">
        <v>140.39099999999999</v>
      </c>
      <c r="V656" s="56">
        <f>Table11[[#This Row],[Profit]]/Table11[[#This Row],[Sales]]</f>
        <v>0.3</v>
      </c>
    </row>
    <row r="657" spans="1:22" x14ac:dyDescent="0.2">
      <c r="A657" s="2">
        <v>656</v>
      </c>
      <c r="B657" s="3" t="s">
        <v>8864</v>
      </c>
      <c r="C657" s="7">
        <v>42173</v>
      </c>
      <c r="D657" s="28">
        <f>MONTH(Table11[[#This Row],[Order Date]])</f>
        <v>6</v>
      </c>
      <c r="E657" s="3" t="s">
        <v>2507</v>
      </c>
      <c r="F657" s="3" t="s">
        <v>2508</v>
      </c>
      <c r="G657" s="25" t="s">
        <v>41</v>
      </c>
      <c r="H657" s="25" t="s">
        <v>68</v>
      </c>
      <c r="I657" s="3" t="s">
        <v>1264</v>
      </c>
      <c r="J657" s="25" t="s">
        <v>22</v>
      </c>
      <c r="K657" s="28">
        <v>2</v>
      </c>
      <c r="L657" s="7">
        <v>42179</v>
      </c>
      <c r="M657" s="28">
        <f>Table11[[#This Row],[Ship Date]]-Table11[[#This Row],[Order Date]]</f>
        <v>6</v>
      </c>
      <c r="N657" s="25" t="s">
        <v>45</v>
      </c>
      <c r="O657" s="25" t="s">
        <v>23</v>
      </c>
      <c r="P657" s="25" t="s">
        <v>285</v>
      </c>
      <c r="Q657" s="25" t="s">
        <v>26</v>
      </c>
      <c r="R657" s="25" t="s">
        <v>997</v>
      </c>
      <c r="S657" s="35">
        <v>0</v>
      </c>
      <c r="T657" s="16">
        <v>33.020000000000003</v>
      </c>
      <c r="U657" s="19">
        <v>15.849600000000001</v>
      </c>
      <c r="V657" s="56">
        <f>Table11[[#This Row],[Profit]]/Table11[[#This Row],[Sales]]</f>
        <v>0.48</v>
      </c>
    </row>
    <row r="658" spans="1:22" x14ac:dyDescent="0.2">
      <c r="A658" s="4">
        <v>657</v>
      </c>
      <c r="B658" s="5" t="s">
        <v>6770</v>
      </c>
      <c r="C658" s="6">
        <v>42174</v>
      </c>
      <c r="D658" s="27">
        <f>MONTH(Table11[[#This Row],[Order Date]])</f>
        <v>6</v>
      </c>
      <c r="E658" s="5" t="s">
        <v>1861</v>
      </c>
      <c r="F658" s="5" t="s">
        <v>1862</v>
      </c>
      <c r="G658" s="24" t="s">
        <v>28</v>
      </c>
      <c r="H658" s="24" t="s">
        <v>58</v>
      </c>
      <c r="I658" s="5" t="s">
        <v>831</v>
      </c>
      <c r="J658" s="24" t="s">
        <v>22</v>
      </c>
      <c r="K658" s="27">
        <v>2</v>
      </c>
      <c r="L658" s="6">
        <v>42178</v>
      </c>
      <c r="M658" s="27">
        <f>Table11[[#This Row],[Ship Date]]-Table11[[#This Row],[Order Date]]</f>
        <v>4</v>
      </c>
      <c r="N658" s="24" t="s">
        <v>45</v>
      </c>
      <c r="O658" s="24" t="s">
        <v>23</v>
      </c>
      <c r="P658" s="24" t="s">
        <v>38</v>
      </c>
      <c r="Q658" s="24" t="s">
        <v>39</v>
      </c>
      <c r="R658" s="24" t="s">
        <v>37</v>
      </c>
      <c r="S658" s="34">
        <v>0</v>
      </c>
      <c r="T658" s="15">
        <v>12.56</v>
      </c>
      <c r="U658" s="18">
        <v>4.0191999999999997</v>
      </c>
      <c r="V658" s="56">
        <f>Table11[[#This Row],[Profit]]/Table11[[#This Row],[Sales]]</f>
        <v>0.31999999999999995</v>
      </c>
    </row>
    <row r="659" spans="1:22" x14ac:dyDescent="0.2">
      <c r="A659" s="4">
        <v>658</v>
      </c>
      <c r="B659" s="3" t="s">
        <v>6770</v>
      </c>
      <c r="C659" s="7">
        <v>42174</v>
      </c>
      <c r="D659" s="28">
        <f>MONTH(Table11[[#This Row],[Order Date]])</f>
        <v>6</v>
      </c>
      <c r="E659" s="3" t="s">
        <v>3926</v>
      </c>
      <c r="F659" s="3" t="s">
        <v>3927</v>
      </c>
      <c r="G659" s="25" t="s">
        <v>41</v>
      </c>
      <c r="H659" s="25" t="s">
        <v>82</v>
      </c>
      <c r="I659" s="3" t="s">
        <v>831</v>
      </c>
      <c r="J659" s="25" t="s">
        <v>22</v>
      </c>
      <c r="K659" s="28">
        <v>1</v>
      </c>
      <c r="L659" s="7">
        <v>42178</v>
      </c>
      <c r="M659" s="28">
        <f>Table11[[#This Row],[Ship Date]]-Table11[[#This Row],[Order Date]]</f>
        <v>4</v>
      </c>
      <c r="N659" s="25" t="s">
        <v>45</v>
      </c>
      <c r="O659" s="25" t="s">
        <v>23</v>
      </c>
      <c r="P659" s="25" t="s">
        <v>38</v>
      </c>
      <c r="Q659" s="25" t="s">
        <v>39</v>
      </c>
      <c r="R659" s="25" t="s">
        <v>37</v>
      </c>
      <c r="S659" s="35">
        <v>0</v>
      </c>
      <c r="T659" s="16">
        <v>6.48</v>
      </c>
      <c r="U659" s="19">
        <v>3.1103999999999998</v>
      </c>
      <c r="V659" s="56">
        <f>Table11[[#This Row],[Profit]]/Table11[[#This Row],[Sales]]</f>
        <v>0.47999999999999993</v>
      </c>
    </row>
    <row r="660" spans="1:22" x14ac:dyDescent="0.2">
      <c r="A660" s="2">
        <v>659</v>
      </c>
      <c r="B660" s="5" t="s">
        <v>6770</v>
      </c>
      <c r="C660" s="6">
        <v>42174</v>
      </c>
      <c r="D660" s="27">
        <f>MONTH(Table11[[#This Row],[Order Date]])</f>
        <v>6</v>
      </c>
      <c r="E660" s="5" t="s">
        <v>2171</v>
      </c>
      <c r="F660" s="5" t="s">
        <v>2172</v>
      </c>
      <c r="G660" s="24" t="s">
        <v>41</v>
      </c>
      <c r="H660" s="24" t="s">
        <v>155</v>
      </c>
      <c r="I660" s="5" t="s">
        <v>831</v>
      </c>
      <c r="J660" s="24" t="s">
        <v>22</v>
      </c>
      <c r="K660" s="27">
        <v>3</v>
      </c>
      <c r="L660" s="6">
        <v>42178</v>
      </c>
      <c r="M660" s="27">
        <f>Table11[[#This Row],[Ship Date]]-Table11[[#This Row],[Order Date]]</f>
        <v>4</v>
      </c>
      <c r="N660" s="24" t="s">
        <v>45</v>
      </c>
      <c r="O660" s="24" t="s">
        <v>23</v>
      </c>
      <c r="P660" s="24" t="s">
        <v>38</v>
      </c>
      <c r="Q660" s="24" t="s">
        <v>39</v>
      </c>
      <c r="R660" s="24" t="s">
        <v>37</v>
      </c>
      <c r="S660" s="34">
        <v>0</v>
      </c>
      <c r="T660" s="15">
        <v>186.69</v>
      </c>
      <c r="U660" s="18">
        <v>87.744299999999996</v>
      </c>
      <c r="V660" s="56">
        <f>Table11[[#This Row],[Profit]]/Table11[[#This Row],[Sales]]</f>
        <v>0.47</v>
      </c>
    </row>
    <row r="661" spans="1:22" x14ac:dyDescent="0.2">
      <c r="A661" s="4">
        <v>660</v>
      </c>
      <c r="B661" s="3" t="s">
        <v>7232</v>
      </c>
      <c r="C661" s="7">
        <v>42174</v>
      </c>
      <c r="D661" s="28">
        <f>MONTH(Table11[[#This Row],[Order Date]])</f>
        <v>6</v>
      </c>
      <c r="E661" s="3" t="s">
        <v>1703</v>
      </c>
      <c r="F661" s="3" t="s">
        <v>1704</v>
      </c>
      <c r="G661" s="25" t="s">
        <v>41</v>
      </c>
      <c r="H661" s="25" t="s">
        <v>68</v>
      </c>
      <c r="I661" s="3" t="s">
        <v>3454</v>
      </c>
      <c r="J661" s="25" t="s">
        <v>92</v>
      </c>
      <c r="K661" s="28">
        <v>2</v>
      </c>
      <c r="L661" s="7">
        <v>42178</v>
      </c>
      <c r="M661" s="28">
        <f>Table11[[#This Row],[Ship Date]]-Table11[[#This Row],[Order Date]]</f>
        <v>4</v>
      </c>
      <c r="N661" s="25" t="s">
        <v>45</v>
      </c>
      <c r="O661" s="25" t="s">
        <v>23</v>
      </c>
      <c r="P661" s="25" t="s">
        <v>94</v>
      </c>
      <c r="Q661" s="25" t="s">
        <v>95</v>
      </c>
      <c r="R661" s="25" t="s">
        <v>718</v>
      </c>
      <c r="S661" s="35">
        <v>0.8</v>
      </c>
      <c r="T661" s="16">
        <v>5.7919999999999998</v>
      </c>
      <c r="U661" s="19">
        <v>-9.5568000000000008</v>
      </c>
      <c r="V661" s="56">
        <f>Table11[[#This Row],[Profit]]/Table11[[#This Row],[Sales]]</f>
        <v>-1.6500000000000001</v>
      </c>
    </row>
    <row r="662" spans="1:22" x14ac:dyDescent="0.2">
      <c r="A662" s="4">
        <v>661</v>
      </c>
      <c r="B662" s="5" t="s">
        <v>9803</v>
      </c>
      <c r="C662" s="6">
        <v>42174</v>
      </c>
      <c r="D662" s="27">
        <f>MONTH(Table11[[#This Row],[Order Date]])</f>
        <v>6</v>
      </c>
      <c r="E662" s="5" t="s">
        <v>4611</v>
      </c>
      <c r="F662" s="5" t="s">
        <v>4612</v>
      </c>
      <c r="G662" s="24" t="s">
        <v>41</v>
      </c>
      <c r="H662" s="24" t="s">
        <v>53</v>
      </c>
      <c r="I662" s="5" t="s">
        <v>3366</v>
      </c>
      <c r="J662" s="24" t="s">
        <v>92</v>
      </c>
      <c r="K662" s="27">
        <v>5</v>
      </c>
      <c r="L662" s="6">
        <v>42179</v>
      </c>
      <c r="M662" s="27">
        <f>Table11[[#This Row],[Ship Date]]-Table11[[#This Row],[Order Date]]</f>
        <v>5</v>
      </c>
      <c r="N662" s="24" t="s">
        <v>45</v>
      </c>
      <c r="O662" s="24" t="s">
        <v>23</v>
      </c>
      <c r="P662" s="24" t="s">
        <v>94</v>
      </c>
      <c r="Q662" s="24" t="s">
        <v>95</v>
      </c>
      <c r="R662" s="24" t="s">
        <v>165</v>
      </c>
      <c r="S662" s="34">
        <v>0.2</v>
      </c>
      <c r="T662" s="15">
        <v>228.92</v>
      </c>
      <c r="U662" s="18">
        <v>14.307499999999999</v>
      </c>
      <c r="V662" s="56">
        <f>Table11[[#This Row],[Profit]]/Table11[[#This Row],[Sales]]</f>
        <v>6.25E-2</v>
      </c>
    </row>
    <row r="663" spans="1:22" x14ac:dyDescent="0.2">
      <c r="A663" s="2">
        <v>662</v>
      </c>
      <c r="B663" s="3" t="s">
        <v>9829</v>
      </c>
      <c r="C663" s="7">
        <v>42174</v>
      </c>
      <c r="D663" s="28">
        <f>MONTH(Table11[[#This Row],[Order Date]])</f>
        <v>6</v>
      </c>
      <c r="E663" s="3" t="s">
        <v>9705</v>
      </c>
      <c r="F663" s="3" t="s">
        <v>9706</v>
      </c>
      <c r="G663" s="25" t="s">
        <v>41</v>
      </c>
      <c r="H663" s="25" t="s">
        <v>42</v>
      </c>
      <c r="I663" s="3" t="s">
        <v>3344</v>
      </c>
      <c r="J663" s="25" t="s">
        <v>92</v>
      </c>
      <c r="K663" s="28">
        <v>2</v>
      </c>
      <c r="L663" s="7">
        <v>42174</v>
      </c>
      <c r="M663" s="28">
        <f>Table11[[#This Row],[Ship Date]]-Table11[[#This Row],[Order Date]]</f>
        <v>0</v>
      </c>
      <c r="N663" s="25" t="s">
        <v>1141</v>
      </c>
      <c r="O663" s="25" t="s">
        <v>23</v>
      </c>
      <c r="P663" s="25" t="s">
        <v>132</v>
      </c>
      <c r="Q663" s="25" t="s">
        <v>133</v>
      </c>
      <c r="R663" s="25" t="s">
        <v>131</v>
      </c>
      <c r="S663" s="35">
        <v>0.2</v>
      </c>
      <c r="T663" s="16">
        <v>5.9039999999999999</v>
      </c>
      <c r="U663" s="19">
        <v>1.9925999999999999</v>
      </c>
      <c r="V663" s="56">
        <f>Table11[[#This Row],[Profit]]/Table11[[#This Row],[Sales]]</f>
        <v>0.33749999999999997</v>
      </c>
    </row>
    <row r="664" spans="1:22" x14ac:dyDescent="0.2">
      <c r="A664" s="4">
        <v>663</v>
      </c>
      <c r="B664" s="5" t="s">
        <v>5254</v>
      </c>
      <c r="C664" s="6">
        <v>42175</v>
      </c>
      <c r="D664" s="27">
        <f>MONTH(Table11[[#This Row],[Order Date]])</f>
        <v>6</v>
      </c>
      <c r="E664" s="5" t="s">
        <v>2031</v>
      </c>
      <c r="F664" s="5" t="s">
        <v>2032</v>
      </c>
      <c r="G664" s="24" t="s">
        <v>28</v>
      </c>
      <c r="H664" s="24" t="s">
        <v>58</v>
      </c>
      <c r="I664" s="5" t="s">
        <v>318</v>
      </c>
      <c r="J664" s="24" t="s">
        <v>36</v>
      </c>
      <c r="K664" s="27">
        <v>6</v>
      </c>
      <c r="L664" s="6">
        <v>42180</v>
      </c>
      <c r="M664" s="27">
        <f>Table11[[#This Row],[Ship Date]]-Table11[[#This Row],[Order Date]]</f>
        <v>5</v>
      </c>
      <c r="N664" s="24" t="s">
        <v>20</v>
      </c>
      <c r="O664" s="24" t="s">
        <v>23</v>
      </c>
      <c r="P664" s="24" t="s">
        <v>38</v>
      </c>
      <c r="Q664" s="24" t="s">
        <v>39</v>
      </c>
      <c r="R664" s="24" t="s">
        <v>114</v>
      </c>
      <c r="S664" s="34">
        <v>0</v>
      </c>
      <c r="T664" s="15">
        <v>257.64</v>
      </c>
      <c r="U664" s="18">
        <v>100.4796</v>
      </c>
      <c r="V664" s="56">
        <f>Table11[[#This Row],[Profit]]/Table11[[#This Row],[Sales]]</f>
        <v>0.39</v>
      </c>
    </row>
    <row r="665" spans="1:22" x14ac:dyDescent="0.2">
      <c r="A665" s="4">
        <v>664</v>
      </c>
      <c r="B665" s="3" t="s">
        <v>5254</v>
      </c>
      <c r="C665" s="7">
        <v>42175</v>
      </c>
      <c r="D665" s="28">
        <f>MONTH(Table11[[#This Row],[Order Date]])</f>
        <v>6</v>
      </c>
      <c r="E665" s="3" t="s">
        <v>280</v>
      </c>
      <c r="F665" s="3" t="s">
        <v>281</v>
      </c>
      <c r="G665" s="25" t="s">
        <v>64</v>
      </c>
      <c r="H665" s="25" t="s">
        <v>65</v>
      </c>
      <c r="I665" s="3" t="s">
        <v>318</v>
      </c>
      <c r="J665" s="25" t="s">
        <v>36</v>
      </c>
      <c r="K665" s="28">
        <v>3</v>
      </c>
      <c r="L665" s="7">
        <v>42180</v>
      </c>
      <c r="M665" s="28">
        <f>Table11[[#This Row],[Ship Date]]-Table11[[#This Row],[Order Date]]</f>
        <v>5</v>
      </c>
      <c r="N665" s="25" t="s">
        <v>20</v>
      </c>
      <c r="O665" s="25" t="s">
        <v>23</v>
      </c>
      <c r="P665" s="25" t="s">
        <v>38</v>
      </c>
      <c r="Q665" s="25" t="s">
        <v>39</v>
      </c>
      <c r="R665" s="25" t="s">
        <v>114</v>
      </c>
      <c r="S665" s="35">
        <v>0.2</v>
      </c>
      <c r="T665" s="16">
        <v>125.976</v>
      </c>
      <c r="U665" s="19">
        <v>47.241</v>
      </c>
      <c r="V665" s="56">
        <f>Table11[[#This Row],[Profit]]/Table11[[#This Row],[Sales]]</f>
        <v>0.375</v>
      </c>
    </row>
    <row r="666" spans="1:22" x14ac:dyDescent="0.2">
      <c r="A666" s="2">
        <v>665</v>
      </c>
      <c r="B666" s="5" t="s">
        <v>9003</v>
      </c>
      <c r="C666" s="6">
        <v>42175</v>
      </c>
      <c r="D666" s="27">
        <f>MONTH(Table11[[#This Row],[Order Date]])</f>
        <v>6</v>
      </c>
      <c r="E666" s="5" t="s">
        <v>8407</v>
      </c>
      <c r="F666" s="5" t="s">
        <v>8408</v>
      </c>
      <c r="G666" s="24" t="s">
        <v>64</v>
      </c>
      <c r="H666" s="24" t="s">
        <v>65</v>
      </c>
      <c r="I666" s="5" t="s">
        <v>4635</v>
      </c>
      <c r="J666" s="24" t="s">
        <v>22</v>
      </c>
      <c r="K666" s="27">
        <v>7</v>
      </c>
      <c r="L666" s="6">
        <v>42178</v>
      </c>
      <c r="M666" s="27">
        <f>Table11[[#This Row],[Ship Date]]-Table11[[#This Row],[Order Date]]</f>
        <v>3</v>
      </c>
      <c r="N666" s="24" t="s">
        <v>169</v>
      </c>
      <c r="O666" s="24" t="s">
        <v>23</v>
      </c>
      <c r="P666" s="24" t="s">
        <v>405</v>
      </c>
      <c r="Q666" s="24" t="s">
        <v>39</v>
      </c>
      <c r="R666" s="24" t="s">
        <v>404</v>
      </c>
      <c r="S666" s="34">
        <v>0.2</v>
      </c>
      <c r="T666" s="15">
        <v>125.944</v>
      </c>
      <c r="U666" s="18">
        <v>15.743</v>
      </c>
      <c r="V666" s="56">
        <f>Table11[[#This Row],[Profit]]/Table11[[#This Row],[Sales]]</f>
        <v>0.125</v>
      </c>
    </row>
    <row r="667" spans="1:22" x14ac:dyDescent="0.2">
      <c r="A667" s="4">
        <v>666</v>
      </c>
      <c r="B667" s="3" t="s">
        <v>9865</v>
      </c>
      <c r="C667" s="7">
        <v>42175</v>
      </c>
      <c r="D667" s="28">
        <f>MONTH(Table11[[#This Row],[Order Date]])</f>
        <v>6</v>
      </c>
      <c r="E667" s="3" t="s">
        <v>2238</v>
      </c>
      <c r="F667" s="3" t="s">
        <v>2239</v>
      </c>
      <c r="G667" s="25" t="s">
        <v>64</v>
      </c>
      <c r="H667" s="25" t="s">
        <v>144</v>
      </c>
      <c r="I667" s="3" t="s">
        <v>4721</v>
      </c>
      <c r="J667" s="25" t="s">
        <v>92</v>
      </c>
      <c r="K667" s="28">
        <v>2</v>
      </c>
      <c r="L667" s="7">
        <v>42179</v>
      </c>
      <c r="M667" s="28">
        <f>Table11[[#This Row],[Ship Date]]-Table11[[#This Row],[Order Date]]</f>
        <v>4</v>
      </c>
      <c r="N667" s="25" t="s">
        <v>20</v>
      </c>
      <c r="O667" s="25" t="s">
        <v>23</v>
      </c>
      <c r="P667" s="25" t="s">
        <v>132</v>
      </c>
      <c r="Q667" s="25" t="s">
        <v>133</v>
      </c>
      <c r="R667" s="25" t="s">
        <v>131</v>
      </c>
      <c r="S667" s="35">
        <v>0.2</v>
      </c>
      <c r="T667" s="16">
        <v>319.98399999999998</v>
      </c>
      <c r="U667" s="19">
        <v>91.995400000000004</v>
      </c>
      <c r="V667" s="56">
        <f>Table11[[#This Row],[Profit]]/Table11[[#This Row],[Sales]]</f>
        <v>0.28750000000000003</v>
      </c>
    </row>
    <row r="668" spans="1:22" x14ac:dyDescent="0.2">
      <c r="A668" s="4">
        <v>667</v>
      </c>
      <c r="B668" s="5" t="s">
        <v>7263</v>
      </c>
      <c r="C668" s="6">
        <v>42176</v>
      </c>
      <c r="D668" s="27">
        <f>MONTH(Table11[[#This Row],[Order Date]])</f>
        <v>6</v>
      </c>
      <c r="E668" s="5" t="s">
        <v>2819</v>
      </c>
      <c r="F668" s="5" t="s">
        <v>2820</v>
      </c>
      <c r="G668" s="24" t="s">
        <v>64</v>
      </c>
      <c r="H668" s="24" t="s">
        <v>65</v>
      </c>
      <c r="I668" s="5" t="s">
        <v>1617</v>
      </c>
      <c r="J668" s="24" t="s">
        <v>22</v>
      </c>
      <c r="K668" s="27">
        <v>3</v>
      </c>
      <c r="L668" s="6">
        <v>42182</v>
      </c>
      <c r="M668" s="27">
        <f>Table11[[#This Row],[Ship Date]]-Table11[[#This Row],[Order Date]]</f>
        <v>6</v>
      </c>
      <c r="N668" s="24" t="s">
        <v>45</v>
      </c>
      <c r="O668" s="24" t="s">
        <v>23</v>
      </c>
      <c r="P668" s="24" t="s">
        <v>48</v>
      </c>
      <c r="Q668" s="24" t="s">
        <v>26</v>
      </c>
      <c r="R668" s="24" t="s">
        <v>3218</v>
      </c>
      <c r="S668" s="34">
        <v>0.2</v>
      </c>
      <c r="T668" s="15">
        <v>107.976</v>
      </c>
      <c r="U668" s="18">
        <v>37.791600000000003</v>
      </c>
      <c r="V668" s="56">
        <f>Table11[[#This Row],[Profit]]/Table11[[#This Row],[Sales]]</f>
        <v>0.35000000000000003</v>
      </c>
    </row>
    <row r="669" spans="1:22" x14ac:dyDescent="0.2">
      <c r="A669" s="2">
        <v>668</v>
      </c>
      <c r="B669" s="3" t="s">
        <v>1085</v>
      </c>
      <c r="C669" s="7">
        <v>42177</v>
      </c>
      <c r="D669" s="28">
        <f>MONTH(Table11[[#This Row],[Order Date]])</f>
        <v>6</v>
      </c>
      <c r="E669" s="3" t="s">
        <v>1087</v>
      </c>
      <c r="F669" s="3" t="s">
        <v>1088</v>
      </c>
      <c r="G669" s="25" t="s">
        <v>41</v>
      </c>
      <c r="H669" s="25" t="s">
        <v>240</v>
      </c>
      <c r="I669" s="3" t="s">
        <v>808</v>
      </c>
      <c r="J669" s="25" t="s">
        <v>22</v>
      </c>
      <c r="K669" s="28">
        <v>4</v>
      </c>
      <c r="L669" s="7">
        <v>42181</v>
      </c>
      <c r="M669" s="28">
        <f>Table11[[#This Row],[Ship Date]]-Table11[[#This Row],[Order Date]]</f>
        <v>4</v>
      </c>
      <c r="N669" s="25" t="s">
        <v>20</v>
      </c>
      <c r="O669" s="25" t="s">
        <v>23</v>
      </c>
      <c r="P669" s="25" t="s">
        <v>109</v>
      </c>
      <c r="Q669" s="25" t="s">
        <v>39</v>
      </c>
      <c r="R669" s="25" t="s">
        <v>1086</v>
      </c>
      <c r="S669" s="35">
        <v>0</v>
      </c>
      <c r="T669" s="16">
        <v>4.96</v>
      </c>
      <c r="U669" s="19">
        <v>2.3311999999999999</v>
      </c>
      <c r="V669" s="56">
        <f>Table11[[#This Row],[Profit]]/Table11[[#This Row],[Sales]]</f>
        <v>0.47</v>
      </c>
    </row>
    <row r="670" spans="1:22" x14ac:dyDescent="0.2">
      <c r="A670" s="4">
        <v>669</v>
      </c>
      <c r="B670" s="5" t="s">
        <v>5999</v>
      </c>
      <c r="C670" s="6">
        <v>42177</v>
      </c>
      <c r="D670" s="27">
        <f>MONTH(Table11[[#This Row],[Order Date]])</f>
        <v>6</v>
      </c>
      <c r="E670" s="5" t="s">
        <v>4871</v>
      </c>
      <c r="F670" s="5" t="s">
        <v>4872</v>
      </c>
      <c r="G670" s="24" t="s">
        <v>28</v>
      </c>
      <c r="H670" s="24" t="s">
        <v>50</v>
      </c>
      <c r="I670" s="5" t="s">
        <v>5531</v>
      </c>
      <c r="J670" s="24" t="s">
        <v>92</v>
      </c>
      <c r="K670" s="27">
        <v>7</v>
      </c>
      <c r="L670" s="6">
        <v>42180</v>
      </c>
      <c r="M670" s="27">
        <f>Table11[[#This Row],[Ship Date]]-Table11[[#This Row],[Order Date]]</f>
        <v>3</v>
      </c>
      <c r="N670" s="24" t="s">
        <v>169</v>
      </c>
      <c r="O670" s="24" t="s">
        <v>23</v>
      </c>
      <c r="P670" s="24" t="s">
        <v>189</v>
      </c>
      <c r="Q670" s="24" t="s">
        <v>95</v>
      </c>
      <c r="R670" s="24" t="s">
        <v>404</v>
      </c>
      <c r="S670" s="34">
        <v>0.5</v>
      </c>
      <c r="T670" s="15">
        <v>796.42499999999995</v>
      </c>
      <c r="U670" s="18">
        <v>-525.64049999999997</v>
      </c>
      <c r="V670" s="56">
        <f>Table11[[#This Row],[Profit]]/Table11[[#This Row],[Sales]]</f>
        <v>-0.66</v>
      </c>
    </row>
    <row r="671" spans="1:22" x14ac:dyDescent="0.2">
      <c r="A671" s="4">
        <v>670</v>
      </c>
      <c r="B671" s="3" t="s">
        <v>9484</v>
      </c>
      <c r="C671" s="7">
        <v>42177</v>
      </c>
      <c r="D671" s="28">
        <f>MONTH(Table11[[#This Row],[Order Date]])</f>
        <v>6</v>
      </c>
      <c r="E671" s="3" t="s">
        <v>2370</v>
      </c>
      <c r="F671" s="3" t="s">
        <v>2371</v>
      </c>
      <c r="G671" s="25" t="s">
        <v>41</v>
      </c>
      <c r="H671" s="25" t="s">
        <v>68</v>
      </c>
      <c r="I671" s="3" t="s">
        <v>3837</v>
      </c>
      <c r="J671" s="25" t="s">
        <v>22</v>
      </c>
      <c r="K671" s="28">
        <v>2</v>
      </c>
      <c r="L671" s="7">
        <v>42182</v>
      </c>
      <c r="M671" s="28">
        <f>Table11[[#This Row],[Ship Date]]-Table11[[#This Row],[Order Date]]</f>
        <v>5</v>
      </c>
      <c r="N671" s="25" t="s">
        <v>45</v>
      </c>
      <c r="O671" s="25" t="s">
        <v>23</v>
      </c>
      <c r="P671" s="25" t="s">
        <v>238</v>
      </c>
      <c r="Q671" s="25" t="s">
        <v>133</v>
      </c>
      <c r="R671" s="25" t="s">
        <v>347</v>
      </c>
      <c r="S671" s="35">
        <v>0.2</v>
      </c>
      <c r="T671" s="16">
        <v>1217.568</v>
      </c>
      <c r="U671" s="19">
        <v>456.58800000000002</v>
      </c>
      <c r="V671" s="56">
        <f>Table11[[#This Row],[Profit]]/Table11[[#This Row],[Sales]]</f>
        <v>0.375</v>
      </c>
    </row>
    <row r="672" spans="1:22" x14ac:dyDescent="0.2">
      <c r="A672" s="2">
        <v>671</v>
      </c>
      <c r="B672" s="5" t="s">
        <v>3702</v>
      </c>
      <c r="C672" s="6">
        <v>42178</v>
      </c>
      <c r="D672" s="27">
        <f>MONTH(Table11[[#This Row],[Order Date]])</f>
        <v>6</v>
      </c>
      <c r="E672" s="5" t="s">
        <v>3704</v>
      </c>
      <c r="F672" s="5" t="s">
        <v>3705</v>
      </c>
      <c r="G672" s="24" t="s">
        <v>64</v>
      </c>
      <c r="H672" s="24" t="s">
        <v>65</v>
      </c>
      <c r="I672" s="5" t="s">
        <v>3703</v>
      </c>
      <c r="J672" s="24" t="s">
        <v>22</v>
      </c>
      <c r="K672" s="27">
        <v>4</v>
      </c>
      <c r="L672" s="6">
        <v>42180</v>
      </c>
      <c r="M672" s="27">
        <f>Table11[[#This Row],[Ship Date]]-Table11[[#This Row],[Order Date]]</f>
        <v>2</v>
      </c>
      <c r="N672" s="24" t="s">
        <v>20</v>
      </c>
      <c r="O672" s="24" t="s">
        <v>23</v>
      </c>
      <c r="P672" s="24" t="s">
        <v>87</v>
      </c>
      <c r="Q672" s="24" t="s">
        <v>39</v>
      </c>
      <c r="R672" s="24" t="s">
        <v>2654</v>
      </c>
      <c r="S672" s="34">
        <v>0.2</v>
      </c>
      <c r="T672" s="15">
        <v>201.56800000000001</v>
      </c>
      <c r="U672" s="18">
        <v>22.676400000000001</v>
      </c>
      <c r="V672" s="56">
        <f>Table11[[#This Row],[Profit]]/Table11[[#This Row],[Sales]]</f>
        <v>0.1125</v>
      </c>
    </row>
    <row r="673" spans="1:22" x14ac:dyDescent="0.2">
      <c r="A673" s="4">
        <v>672</v>
      </c>
      <c r="B673" s="3" t="s">
        <v>8270</v>
      </c>
      <c r="C673" s="7">
        <v>42178</v>
      </c>
      <c r="D673" s="28">
        <f>MONTH(Table11[[#This Row],[Order Date]])</f>
        <v>6</v>
      </c>
      <c r="E673" s="3" t="s">
        <v>4401</v>
      </c>
      <c r="F673" s="3" t="s">
        <v>4402</v>
      </c>
      <c r="G673" s="25" t="s">
        <v>64</v>
      </c>
      <c r="H673" s="25" t="s">
        <v>65</v>
      </c>
      <c r="I673" s="3" t="s">
        <v>2870</v>
      </c>
      <c r="J673" s="25" t="s">
        <v>22</v>
      </c>
      <c r="K673" s="28">
        <v>2</v>
      </c>
      <c r="L673" s="7">
        <v>42183</v>
      </c>
      <c r="M673" s="28">
        <f>Table11[[#This Row],[Ship Date]]-Table11[[#This Row],[Order Date]]</f>
        <v>5</v>
      </c>
      <c r="N673" s="25" t="s">
        <v>45</v>
      </c>
      <c r="O673" s="25" t="s">
        <v>23</v>
      </c>
      <c r="P673" s="25" t="s">
        <v>38</v>
      </c>
      <c r="Q673" s="25" t="s">
        <v>39</v>
      </c>
      <c r="R673" s="25" t="s">
        <v>1037</v>
      </c>
      <c r="S673" s="35">
        <v>0.2</v>
      </c>
      <c r="T673" s="16">
        <v>217.584</v>
      </c>
      <c r="U673" s="19">
        <v>19.038599999999999</v>
      </c>
      <c r="V673" s="56">
        <f>Table11[[#This Row],[Profit]]/Table11[[#This Row],[Sales]]</f>
        <v>8.7499999999999994E-2</v>
      </c>
    </row>
    <row r="674" spans="1:22" x14ac:dyDescent="0.2">
      <c r="A674" s="4">
        <v>673</v>
      </c>
      <c r="B674" s="5" t="s">
        <v>8270</v>
      </c>
      <c r="C674" s="6">
        <v>42178</v>
      </c>
      <c r="D674" s="27">
        <f>MONTH(Table11[[#This Row],[Order Date]])</f>
        <v>6</v>
      </c>
      <c r="E674" s="5" t="s">
        <v>2768</v>
      </c>
      <c r="F674" s="5" t="s">
        <v>2769</v>
      </c>
      <c r="G674" s="24" t="s">
        <v>41</v>
      </c>
      <c r="H674" s="24" t="s">
        <v>240</v>
      </c>
      <c r="I674" s="5" t="s">
        <v>2870</v>
      </c>
      <c r="J674" s="24" t="s">
        <v>22</v>
      </c>
      <c r="K674" s="27">
        <v>3</v>
      </c>
      <c r="L674" s="6">
        <v>42183</v>
      </c>
      <c r="M674" s="27">
        <f>Table11[[#This Row],[Ship Date]]-Table11[[#This Row],[Order Date]]</f>
        <v>5</v>
      </c>
      <c r="N674" s="24" t="s">
        <v>45</v>
      </c>
      <c r="O674" s="24" t="s">
        <v>23</v>
      </c>
      <c r="P674" s="24" t="s">
        <v>38</v>
      </c>
      <c r="Q674" s="24" t="s">
        <v>39</v>
      </c>
      <c r="R674" s="24" t="s">
        <v>1037</v>
      </c>
      <c r="S674" s="34">
        <v>0</v>
      </c>
      <c r="T674" s="15">
        <v>5.43</v>
      </c>
      <c r="U674" s="18">
        <v>1.7919</v>
      </c>
      <c r="V674" s="56">
        <f>Table11[[#This Row],[Profit]]/Table11[[#This Row],[Sales]]</f>
        <v>0.33</v>
      </c>
    </row>
    <row r="675" spans="1:22" x14ac:dyDescent="0.2">
      <c r="A675" s="2">
        <v>674</v>
      </c>
      <c r="B675" s="3" t="s">
        <v>8270</v>
      </c>
      <c r="C675" s="7">
        <v>42178</v>
      </c>
      <c r="D675" s="28">
        <f>MONTH(Table11[[#This Row],[Order Date]])</f>
        <v>6</v>
      </c>
      <c r="E675" s="3" t="s">
        <v>612</v>
      </c>
      <c r="F675" s="3" t="s">
        <v>613</v>
      </c>
      <c r="G675" s="25" t="s">
        <v>64</v>
      </c>
      <c r="H675" s="25" t="s">
        <v>65</v>
      </c>
      <c r="I675" s="3" t="s">
        <v>2870</v>
      </c>
      <c r="J675" s="25" t="s">
        <v>22</v>
      </c>
      <c r="K675" s="28">
        <v>3</v>
      </c>
      <c r="L675" s="7">
        <v>42183</v>
      </c>
      <c r="M675" s="28">
        <f>Table11[[#This Row],[Ship Date]]-Table11[[#This Row],[Order Date]]</f>
        <v>5</v>
      </c>
      <c r="N675" s="25" t="s">
        <v>45</v>
      </c>
      <c r="O675" s="25" t="s">
        <v>23</v>
      </c>
      <c r="P675" s="25" t="s">
        <v>38</v>
      </c>
      <c r="Q675" s="25" t="s">
        <v>39</v>
      </c>
      <c r="R675" s="25" t="s">
        <v>1037</v>
      </c>
      <c r="S675" s="35">
        <v>0.2</v>
      </c>
      <c r="T675" s="16">
        <v>143.976</v>
      </c>
      <c r="U675" s="19">
        <v>8.9984999999999999</v>
      </c>
      <c r="V675" s="56">
        <f>Table11[[#This Row],[Profit]]/Table11[[#This Row],[Sales]]</f>
        <v>6.25E-2</v>
      </c>
    </row>
    <row r="676" spans="1:22" x14ac:dyDescent="0.2">
      <c r="A676" s="4">
        <v>675</v>
      </c>
      <c r="B676" s="5" t="s">
        <v>9033</v>
      </c>
      <c r="C676" s="6">
        <v>42178</v>
      </c>
      <c r="D676" s="27">
        <f>MONTH(Table11[[#This Row],[Order Date]])</f>
        <v>6</v>
      </c>
      <c r="E676" s="5" t="s">
        <v>2218</v>
      </c>
      <c r="F676" s="5" t="s">
        <v>2219</v>
      </c>
      <c r="G676" s="24" t="s">
        <v>28</v>
      </c>
      <c r="H676" s="24" t="s">
        <v>58</v>
      </c>
      <c r="I676" s="5" t="s">
        <v>4475</v>
      </c>
      <c r="J676" s="24" t="s">
        <v>36</v>
      </c>
      <c r="K676" s="27">
        <v>3</v>
      </c>
      <c r="L676" s="6">
        <v>42184</v>
      </c>
      <c r="M676" s="27">
        <f>Table11[[#This Row],[Ship Date]]-Table11[[#This Row],[Order Date]]</f>
        <v>6</v>
      </c>
      <c r="N676" s="24" t="s">
        <v>45</v>
      </c>
      <c r="O676" s="24" t="s">
        <v>23</v>
      </c>
      <c r="P676" s="24" t="s">
        <v>1125</v>
      </c>
      <c r="Q676" s="24" t="s">
        <v>26</v>
      </c>
      <c r="R676" s="24" t="s">
        <v>9034</v>
      </c>
      <c r="S676" s="34">
        <v>0</v>
      </c>
      <c r="T676" s="15">
        <v>27.42</v>
      </c>
      <c r="U676" s="18">
        <v>9.3228000000000009</v>
      </c>
      <c r="V676" s="56">
        <f>Table11[[#This Row],[Profit]]/Table11[[#This Row],[Sales]]</f>
        <v>0.34</v>
      </c>
    </row>
    <row r="677" spans="1:22" x14ac:dyDescent="0.2">
      <c r="A677" s="4">
        <v>676</v>
      </c>
      <c r="B677" s="3" t="s">
        <v>9033</v>
      </c>
      <c r="C677" s="7">
        <v>42178</v>
      </c>
      <c r="D677" s="28">
        <f>MONTH(Table11[[#This Row],[Order Date]])</f>
        <v>6</v>
      </c>
      <c r="E677" s="3" t="s">
        <v>3071</v>
      </c>
      <c r="F677" s="3" t="s">
        <v>3072</v>
      </c>
      <c r="G677" s="25" t="s">
        <v>41</v>
      </c>
      <c r="H677" s="25" t="s">
        <v>68</v>
      </c>
      <c r="I677" s="3" t="s">
        <v>4475</v>
      </c>
      <c r="J677" s="25" t="s">
        <v>36</v>
      </c>
      <c r="K677" s="28">
        <v>1</v>
      </c>
      <c r="L677" s="7">
        <v>42184</v>
      </c>
      <c r="M677" s="28">
        <f>Table11[[#This Row],[Ship Date]]-Table11[[#This Row],[Order Date]]</f>
        <v>6</v>
      </c>
      <c r="N677" s="25" t="s">
        <v>45</v>
      </c>
      <c r="O677" s="25" t="s">
        <v>23</v>
      </c>
      <c r="P677" s="25" t="s">
        <v>1125</v>
      </c>
      <c r="Q677" s="25" t="s">
        <v>26</v>
      </c>
      <c r="R677" s="25" t="s">
        <v>9034</v>
      </c>
      <c r="S677" s="35">
        <v>0</v>
      </c>
      <c r="T677" s="16">
        <v>165.98</v>
      </c>
      <c r="U677" s="19">
        <v>74.691000000000003</v>
      </c>
      <c r="V677" s="56">
        <f>Table11[[#This Row],[Profit]]/Table11[[#This Row],[Sales]]</f>
        <v>0.45000000000000007</v>
      </c>
    </row>
    <row r="678" spans="1:22" x14ac:dyDescent="0.2">
      <c r="A678" s="2">
        <v>677</v>
      </c>
      <c r="B678" s="5" t="s">
        <v>9033</v>
      </c>
      <c r="C678" s="6">
        <v>42178</v>
      </c>
      <c r="D678" s="27">
        <f>MONTH(Table11[[#This Row],[Order Date]])</f>
        <v>6</v>
      </c>
      <c r="E678" s="5" t="s">
        <v>5025</v>
      </c>
      <c r="F678" s="5" t="s">
        <v>5026</v>
      </c>
      <c r="G678" s="24" t="s">
        <v>64</v>
      </c>
      <c r="H678" s="24" t="s">
        <v>144</v>
      </c>
      <c r="I678" s="5" t="s">
        <v>4475</v>
      </c>
      <c r="J678" s="24" t="s">
        <v>36</v>
      </c>
      <c r="K678" s="27">
        <v>3</v>
      </c>
      <c r="L678" s="6">
        <v>42184</v>
      </c>
      <c r="M678" s="27">
        <f>Table11[[#This Row],[Ship Date]]-Table11[[#This Row],[Order Date]]</f>
        <v>6</v>
      </c>
      <c r="N678" s="24" t="s">
        <v>45</v>
      </c>
      <c r="O678" s="24" t="s">
        <v>23</v>
      </c>
      <c r="P678" s="24" t="s">
        <v>1125</v>
      </c>
      <c r="Q678" s="24" t="s">
        <v>26</v>
      </c>
      <c r="R678" s="24" t="s">
        <v>9034</v>
      </c>
      <c r="S678" s="34">
        <v>0</v>
      </c>
      <c r="T678" s="15">
        <v>75</v>
      </c>
      <c r="U678" s="18">
        <v>18</v>
      </c>
      <c r="V678" s="56">
        <f>Table11[[#This Row],[Profit]]/Table11[[#This Row],[Sales]]</f>
        <v>0.24</v>
      </c>
    </row>
    <row r="679" spans="1:22" x14ac:dyDescent="0.2">
      <c r="A679" s="4">
        <v>678</v>
      </c>
      <c r="B679" s="3" t="s">
        <v>4121</v>
      </c>
      <c r="C679" s="7">
        <v>42180</v>
      </c>
      <c r="D679" s="28">
        <f>MONTH(Table11[[#This Row],[Order Date]])</f>
        <v>6</v>
      </c>
      <c r="E679" s="3" t="s">
        <v>4122</v>
      </c>
      <c r="F679" s="3" t="s">
        <v>4123</v>
      </c>
      <c r="G679" s="25" t="s">
        <v>41</v>
      </c>
      <c r="H679" s="25" t="s">
        <v>82</v>
      </c>
      <c r="I679" s="3" t="s">
        <v>4053</v>
      </c>
      <c r="J679" s="25" t="s">
        <v>92</v>
      </c>
      <c r="K679" s="28">
        <v>6</v>
      </c>
      <c r="L679" s="7">
        <v>42186</v>
      </c>
      <c r="M679" s="28">
        <f>Table11[[#This Row],[Ship Date]]-Table11[[#This Row],[Order Date]]</f>
        <v>6</v>
      </c>
      <c r="N679" s="25" t="s">
        <v>45</v>
      </c>
      <c r="O679" s="25" t="s">
        <v>23</v>
      </c>
      <c r="P679" s="25" t="s">
        <v>132</v>
      </c>
      <c r="Q679" s="25" t="s">
        <v>133</v>
      </c>
      <c r="R679" s="25" t="s">
        <v>131</v>
      </c>
      <c r="S679" s="35">
        <v>0.2</v>
      </c>
      <c r="T679" s="16">
        <v>31.103999999999999</v>
      </c>
      <c r="U679" s="19">
        <v>10.8864</v>
      </c>
      <c r="V679" s="56">
        <f>Table11[[#This Row],[Profit]]/Table11[[#This Row],[Sales]]</f>
        <v>0.35000000000000003</v>
      </c>
    </row>
    <row r="680" spans="1:22" x14ac:dyDescent="0.2">
      <c r="A680" s="4">
        <v>679</v>
      </c>
      <c r="B680" s="5" t="s">
        <v>4121</v>
      </c>
      <c r="C680" s="6">
        <v>42180</v>
      </c>
      <c r="D680" s="27">
        <f>MONTH(Table11[[#This Row],[Order Date]])</f>
        <v>6</v>
      </c>
      <c r="E680" s="5" t="s">
        <v>4124</v>
      </c>
      <c r="F680" s="5" t="s">
        <v>4125</v>
      </c>
      <c r="G680" s="24" t="s">
        <v>41</v>
      </c>
      <c r="H680" s="24" t="s">
        <v>53</v>
      </c>
      <c r="I680" s="5" t="s">
        <v>4053</v>
      </c>
      <c r="J680" s="24" t="s">
        <v>92</v>
      </c>
      <c r="K680" s="27">
        <v>2</v>
      </c>
      <c r="L680" s="6">
        <v>42186</v>
      </c>
      <c r="M680" s="27">
        <f>Table11[[#This Row],[Ship Date]]-Table11[[#This Row],[Order Date]]</f>
        <v>6</v>
      </c>
      <c r="N680" s="24" t="s">
        <v>45</v>
      </c>
      <c r="O680" s="24" t="s">
        <v>23</v>
      </c>
      <c r="P680" s="24" t="s">
        <v>132</v>
      </c>
      <c r="Q680" s="24" t="s">
        <v>133</v>
      </c>
      <c r="R680" s="24" t="s">
        <v>131</v>
      </c>
      <c r="S680" s="34">
        <v>0.2</v>
      </c>
      <c r="T680" s="15">
        <v>78.256</v>
      </c>
      <c r="U680" s="18">
        <v>-17.607600000000001</v>
      </c>
      <c r="V680" s="56">
        <f>Table11[[#This Row],[Profit]]/Table11[[#This Row],[Sales]]</f>
        <v>-0.22500000000000001</v>
      </c>
    </row>
    <row r="681" spans="1:22" x14ac:dyDescent="0.2">
      <c r="A681" s="2">
        <v>680</v>
      </c>
      <c r="B681" s="3" t="s">
        <v>6444</v>
      </c>
      <c r="C681" s="7">
        <v>42180</v>
      </c>
      <c r="D681" s="28">
        <f>MONTH(Table11[[#This Row],[Order Date]])</f>
        <v>6</v>
      </c>
      <c r="E681" s="3" t="s">
        <v>1760</v>
      </c>
      <c r="F681" s="3" t="s">
        <v>1761</v>
      </c>
      <c r="G681" s="25" t="s">
        <v>28</v>
      </c>
      <c r="H681" s="25" t="s">
        <v>58</v>
      </c>
      <c r="I681" s="3" t="s">
        <v>4007</v>
      </c>
      <c r="J681" s="25" t="s">
        <v>22</v>
      </c>
      <c r="K681" s="28">
        <v>5</v>
      </c>
      <c r="L681" s="7">
        <v>42185</v>
      </c>
      <c r="M681" s="28">
        <f>Table11[[#This Row],[Ship Date]]-Table11[[#This Row],[Order Date]]</f>
        <v>5</v>
      </c>
      <c r="N681" s="25" t="s">
        <v>45</v>
      </c>
      <c r="O681" s="25" t="s">
        <v>23</v>
      </c>
      <c r="P681" s="25" t="s">
        <v>38</v>
      </c>
      <c r="Q681" s="25" t="s">
        <v>39</v>
      </c>
      <c r="R681" s="25" t="s">
        <v>114</v>
      </c>
      <c r="S681" s="35">
        <v>0</v>
      </c>
      <c r="T681" s="16">
        <v>204.85</v>
      </c>
      <c r="U681" s="19">
        <v>57.357999999999997</v>
      </c>
      <c r="V681" s="56">
        <f>Table11[[#This Row],[Profit]]/Table11[[#This Row],[Sales]]</f>
        <v>0.27999999999999997</v>
      </c>
    </row>
    <row r="682" spans="1:22" x14ac:dyDescent="0.2">
      <c r="A682" s="4">
        <v>681</v>
      </c>
      <c r="B682" s="5" t="s">
        <v>6667</v>
      </c>
      <c r="C682" s="6">
        <v>42180</v>
      </c>
      <c r="D682" s="27">
        <f>MONTH(Table11[[#This Row],[Order Date]])</f>
        <v>6</v>
      </c>
      <c r="E682" s="5" t="s">
        <v>6046</v>
      </c>
      <c r="F682" s="5" t="s">
        <v>2673</v>
      </c>
      <c r="G682" s="24" t="s">
        <v>41</v>
      </c>
      <c r="H682" s="24" t="s">
        <v>61</v>
      </c>
      <c r="I682" s="5" t="s">
        <v>1976</v>
      </c>
      <c r="J682" s="24" t="s">
        <v>22</v>
      </c>
      <c r="K682" s="27">
        <v>2</v>
      </c>
      <c r="L682" s="6">
        <v>42186</v>
      </c>
      <c r="M682" s="27">
        <f>Table11[[#This Row],[Ship Date]]-Table11[[#This Row],[Order Date]]</f>
        <v>6</v>
      </c>
      <c r="N682" s="24" t="s">
        <v>45</v>
      </c>
      <c r="O682" s="24" t="s">
        <v>23</v>
      </c>
      <c r="P682" s="24" t="s">
        <v>38</v>
      </c>
      <c r="Q682" s="24" t="s">
        <v>39</v>
      </c>
      <c r="R682" s="24" t="s">
        <v>37</v>
      </c>
      <c r="S682" s="34">
        <v>0</v>
      </c>
      <c r="T682" s="15">
        <v>20.96</v>
      </c>
      <c r="U682" s="18">
        <v>5.24</v>
      </c>
      <c r="V682" s="56">
        <f>Table11[[#This Row],[Profit]]/Table11[[#This Row],[Sales]]</f>
        <v>0.25</v>
      </c>
    </row>
    <row r="683" spans="1:22" x14ac:dyDescent="0.2">
      <c r="A683" s="4">
        <v>682</v>
      </c>
      <c r="B683" s="3" t="s">
        <v>6667</v>
      </c>
      <c r="C683" s="7">
        <v>42180</v>
      </c>
      <c r="D683" s="28">
        <f>MONTH(Table11[[#This Row],[Order Date]])</f>
        <v>6</v>
      </c>
      <c r="E683" s="3" t="s">
        <v>2770</v>
      </c>
      <c r="F683" s="3" t="s">
        <v>2771</v>
      </c>
      <c r="G683" s="25" t="s">
        <v>41</v>
      </c>
      <c r="H683" s="25" t="s">
        <v>68</v>
      </c>
      <c r="I683" s="3" t="s">
        <v>1976</v>
      </c>
      <c r="J683" s="25" t="s">
        <v>22</v>
      </c>
      <c r="K683" s="28">
        <v>3</v>
      </c>
      <c r="L683" s="7">
        <v>42186</v>
      </c>
      <c r="M683" s="28">
        <f>Table11[[#This Row],[Ship Date]]-Table11[[#This Row],[Order Date]]</f>
        <v>6</v>
      </c>
      <c r="N683" s="25" t="s">
        <v>45</v>
      </c>
      <c r="O683" s="25" t="s">
        <v>23</v>
      </c>
      <c r="P683" s="25" t="s">
        <v>38</v>
      </c>
      <c r="Q683" s="25" t="s">
        <v>39</v>
      </c>
      <c r="R683" s="25" t="s">
        <v>37</v>
      </c>
      <c r="S683" s="35">
        <v>0.2</v>
      </c>
      <c r="T683" s="16">
        <v>88.751999999999995</v>
      </c>
      <c r="U683" s="19">
        <v>27.734999999999999</v>
      </c>
      <c r="V683" s="56">
        <f>Table11[[#This Row],[Profit]]/Table11[[#This Row],[Sales]]</f>
        <v>0.3125</v>
      </c>
    </row>
    <row r="684" spans="1:22" x14ac:dyDescent="0.2">
      <c r="A684" s="2">
        <v>683</v>
      </c>
      <c r="B684" s="5" t="s">
        <v>6667</v>
      </c>
      <c r="C684" s="6">
        <v>42180</v>
      </c>
      <c r="D684" s="27">
        <f>MONTH(Table11[[#This Row],[Order Date]])</f>
        <v>6</v>
      </c>
      <c r="E684" s="5" t="s">
        <v>1835</v>
      </c>
      <c r="F684" s="5" t="s">
        <v>1836</v>
      </c>
      <c r="G684" s="24" t="s">
        <v>41</v>
      </c>
      <c r="H684" s="24" t="s">
        <v>53</v>
      </c>
      <c r="I684" s="5" t="s">
        <v>1976</v>
      </c>
      <c r="J684" s="24" t="s">
        <v>22</v>
      </c>
      <c r="K684" s="27">
        <v>3</v>
      </c>
      <c r="L684" s="6">
        <v>42186</v>
      </c>
      <c r="M684" s="27">
        <f>Table11[[#This Row],[Ship Date]]-Table11[[#This Row],[Order Date]]</f>
        <v>6</v>
      </c>
      <c r="N684" s="24" t="s">
        <v>45</v>
      </c>
      <c r="O684" s="24" t="s">
        <v>23</v>
      </c>
      <c r="P684" s="24" t="s">
        <v>38</v>
      </c>
      <c r="Q684" s="24" t="s">
        <v>39</v>
      </c>
      <c r="R684" s="24" t="s">
        <v>37</v>
      </c>
      <c r="S684" s="34">
        <v>0</v>
      </c>
      <c r="T684" s="15">
        <v>304.23</v>
      </c>
      <c r="U684" s="18">
        <v>9.1268999999999991</v>
      </c>
      <c r="V684" s="56">
        <f>Table11[[#This Row],[Profit]]/Table11[[#This Row],[Sales]]</f>
        <v>2.9999999999999995E-2</v>
      </c>
    </row>
    <row r="685" spans="1:22" x14ac:dyDescent="0.2">
      <c r="A685" s="4">
        <v>684</v>
      </c>
      <c r="B685" s="3" t="s">
        <v>9012</v>
      </c>
      <c r="C685" s="7">
        <v>42180</v>
      </c>
      <c r="D685" s="28">
        <f>MONTH(Table11[[#This Row],[Order Date]])</f>
        <v>6</v>
      </c>
      <c r="E685" s="3" t="s">
        <v>2334</v>
      </c>
      <c r="F685" s="3" t="s">
        <v>2335</v>
      </c>
      <c r="G685" s="25" t="s">
        <v>41</v>
      </c>
      <c r="H685" s="25" t="s">
        <v>82</v>
      </c>
      <c r="I685" s="3" t="s">
        <v>4656</v>
      </c>
      <c r="J685" s="25" t="s">
        <v>22</v>
      </c>
      <c r="K685" s="28">
        <v>3</v>
      </c>
      <c r="L685" s="7">
        <v>42183</v>
      </c>
      <c r="M685" s="28">
        <f>Table11[[#This Row],[Ship Date]]-Table11[[#This Row],[Order Date]]</f>
        <v>3</v>
      </c>
      <c r="N685" s="25" t="s">
        <v>169</v>
      </c>
      <c r="O685" s="25" t="s">
        <v>23</v>
      </c>
      <c r="P685" s="25" t="s">
        <v>94</v>
      </c>
      <c r="Q685" s="25" t="s">
        <v>95</v>
      </c>
      <c r="R685" s="25" t="s">
        <v>165</v>
      </c>
      <c r="S685" s="35">
        <v>0.2</v>
      </c>
      <c r="T685" s="16">
        <v>47.951999999999998</v>
      </c>
      <c r="U685" s="19">
        <v>16.183800000000002</v>
      </c>
      <c r="V685" s="56">
        <f>Table11[[#This Row],[Profit]]/Table11[[#This Row],[Sales]]</f>
        <v>0.33750000000000002</v>
      </c>
    </row>
    <row r="686" spans="1:22" x14ac:dyDescent="0.2">
      <c r="A686" s="4">
        <v>685</v>
      </c>
      <c r="B686" s="5" t="s">
        <v>9012</v>
      </c>
      <c r="C686" s="6">
        <v>42180</v>
      </c>
      <c r="D686" s="27">
        <f>MONTH(Table11[[#This Row],[Order Date]])</f>
        <v>6</v>
      </c>
      <c r="E686" s="5" t="s">
        <v>7025</v>
      </c>
      <c r="F686" s="5" t="s">
        <v>7026</v>
      </c>
      <c r="G686" s="24" t="s">
        <v>41</v>
      </c>
      <c r="H686" s="24" t="s">
        <v>68</v>
      </c>
      <c r="I686" s="5" t="s">
        <v>4656</v>
      </c>
      <c r="J686" s="24" t="s">
        <v>22</v>
      </c>
      <c r="K686" s="27">
        <v>2</v>
      </c>
      <c r="L686" s="6">
        <v>42183</v>
      </c>
      <c r="M686" s="27">
        <f>Table11[[#This Row],[Ship Date]]-Table11[[#This Row],[Order Date]]</f>
        <v>3</v>
      </c>
      <c r="N686" s="24" t="s">
        <v>169</v>
      </c>
      <c r="O686" s="24" t="s">
        <v>23</v>
      </c>
      <c r="P686" s="24" t="s">
        <v>94</v>
      </c>
      <c r="Q686" s="24" t="s">
        <v>95</v>
      </c>
      <c r="R686" s="24" t="s">
        <v>165</v>
      </c>
      <c r="S686" s="34">
        <v>0.8</v>
      </c>
      <c r="T686" s="15">
        <v>0.98399999999999999</v>
      </c>
      <c r="U686" s="18">
        <v>-1.476</v>
      </c>
      <c r="V686" s="56">
        <f>Table11[[#This Row],[Profit]]/Table11[[#This Row],[Sales]]</f>
        <v>-1.5</v>
      </c>
    </row>
    <row r="687" spans="1:22" x14ac:dyDescent="0.2">
      <c r="A687" s="2">
        <v>686</v>
      </c>
      <c r="B687" s="3" t="s">
        <v>9012</v>
      </c>
      <c r="C687" s="7">
        <v>42180</v>
      </c>
      <c r="D687" s="28">
        <f>MONTH(Table11[[#This Row],[Order Date]])</f>
        <v>6</v>
      </c>
      <c r="E687" s="3" t="s">
        <v>5056</v>
      </c>
      <c r="F687" s="3" t="s">
        <v>5057</v>
      </c>
      <c r="G687" s="25" t="s">
        <v>28</v>
      </c>
      <c r="H687" s="25" t="s">
        <v>58</v>
      </c>
      <c r="I687" s="3" t="s">
        <v>4656</v>
      </c>
      <c r="J687" s="25" t="s">
        <v>22</v>
      </c>
      <c r="K687" s="28">
        <v>9</v>
      </c>
      <c r="L687" s="7">
        <v>42183</v>
      </c>
      <c r="M687" s="28">
        <f>Table11[[#This Row],[Ship Date]]-Table11[[#This Row],[Order Date]]</f>
        <v>3</v>
      </c>
      <c r="N687" s="25" t="s">
        <v>169</v>
      </c>
      <c r="O687" s="25" t="s">
        <v>23</v>
      </c>
      <c r="P687" s="25" t="s">
        <v>94</v>
      </c>
      <c r="Q687" s="25" t="s">
        <v>95</v>
      </c>
      <c r="R687" s="25" t="s">
        <v>165</v>
      </c>
      <c r="S687" s="35">
        <v>0.6</v>
      </c>
      <c r="T687" s="16">
        <v>75.384</v>
      </c>
      <c r="U687" s="19">
        <v>-20.730599999999999</v>
      </c>
      <c r="V687" s="56">
        <f>Table11[[#This Row],[Profit]]/Table11[[#This Row],[Sales]]</f>
        <v>-0.27499999999999997</v>
      </c>
    </row>
    <row r="688" spans="1:22" x14ac:dyDescent="0.2">
      <c r="A688" s="4">
        <v>687</v>
      </c>
      <c r="B688" s="5" t="s">
        <v>9012</v>
      </c>
      <c r="C688" s="6">
        <v>42180</v>
      </c>
      <c r="D688" s="27">
        <f>MONTH(Table11[[#This Row],[Order Date]])</f>
        <v>6</v>
      </c>
      <c r="E688" s="5" t="s">
        <v>2568</v>
      </c>
      <c r="F688" s="5" t="s">
        <v>2569</v>
      </c>
      <c r="G688" s="24" t="s">
        <v>41</v>
      </c>
      <c r="H688" s="24" t="s">
        <v>42</v>
      </c>
      <c r="I688" s="5" t="s">
        <v>4656</v>
      </c>
      <c r="J688" s="24" t="s">
        <v>22</v>
      </c>
      <c r="K688" s="27">
        <v>2</v>
      </c>
      <c r="L688" s="6">
        <v>42183</v>
      </c>
      <c r="M688" s="27">
        <f>Table11[[#This Row],[Ship Date]]-Table11[[#This Row],[Order Date]]</f>
        <v>3</v>
      </c>
      <c r="N688" s="24" t="s">
        <v>169</v>
      </c>
      <c r="O688" s="24" t="s">
        <v>23</v>
      </c>
      <c r="P688" s="24" t="s">
        <v>94</v>
      </c>
      <c r="Q688" s="24" t="s">
        <v>95</v>
      </c>
      <c r="R688" s="24" t="s">
        <v>165</v>
      </c>
      <c r="S688" s="34">
        <v>0.2</v>
      </c>
      <c r="T688" s="15">
        <v>4.6079999999999997</v>
      </c>
      <c r="U688" s="18">
        <v>1.6704000000000001</v>
      </c>
      <c r="V688" s="56">
        <f>Table11[[#This Row],[Profit]]/Table11[[#This Row],[Sales]]</f>
        <v>0.36250000000000004</v>
      </c>
    </row>
    <row r="689" spans="1:22" x14ac:dyDescent="0.2">
      <c r="A689" s="4">
        <v>688</v>
      </c>
      <c r="B689" s="3" t="s">
        <v>1189</v>
      </c>
      <c r="C689" s="7">
        <v>42181</v>
      </c>
      <c r="D689" s="28">
        <f>MONTH(Table11[[#This Row],[Order Date]])</f>
        <v>6</v>
      </c>
      <c r="E689" s="3" t="s">
        <v>1191</v>
      </c>
      <c r="F689" s="3" t="s">
        <v>1192</v>
      </c>
      <c r="G689" s="25" t="s">
        <v>64</v>
      </c>
      <c r="H689" s="25" t="s">
        <v>144</v>
      </c>
      <c r="I689" s="3" t="s">
        <v>1190</v>
      </c>
      <c r="J689" s="25" t="s">
        <v>36</v>
      </c>
      <c r="K689" s="28">
        <v>2</v>
      </c>
      <c r="L689" s="7">
        <v>42184</v>
      </c>
      <c r="M689" s="28">
        <f>Table11[[#This Row],[Ship Date]]-Table11[[#This Row],[Order Date]]</f>
        <v>3</v>
      </c>
      <c r="N689" s="25" t="s">
        <v>20</v>
      </c>
      <c r="O689" s="25" t="s">
        <v>23</v>
      </c>
      <c r="P689" s="25" t="s">
        <v>212</v>
      </c>
      <c r="Q689" s="25" t="s">
        <v>95</v>
      </c>
      <c r="R689" s="25" t="s">
        <v>985</v>
      </c>
      <c r="S689" s="35">
        <v>0</v>
      </c>
      <c r="T689" s="16">
        <v>41.9</v>
      </c>
      <c r="U689" s="19">
        <v>8.7989999999999995</v>
      </c>
      <c r="V689" s="56">
        <f>Table11[[#This Row],[Profit]]/Table11[[#This Row],[Sales]]</f>
        <v>0.21</v>
      </c>
    </row>
    <row r="690" spans="1:22" x14ac:dyDescent="0.2">
      <c r="A690" s="2">
        <v>689</v>
      </c>
      <c r="B690" s="5" t="s">
        <v>2181</v>
      </c>
      <c r="C690" s="6">
        <v>42181</v>
      </c>
      <c r="D690" s="27">
        <f>MONTH(Table11[[#This Row],[Order Date]])</f>
        <v>6</v>
      </c>
      <c r="E690" s="5" t="s">
        <v>1322</v>
      </c>
      <c r="F690" s="5" t="s">
        <v>1323</v>
      </c>
      <c r="G690" s="24" t="s">
        <v>41</v>
      </c>
      <c r="H690" s="24" t="s">
        <v>68</v>
      </c>
      <c r="I690" s="5" t="s">
        <v>1483</v>
      </c>
      <c r="J690" s="24" t="s">
        <v>22</v>
      </c>
      <c r="K690" s="27">
        <v>4</v>
      </c>
      <c r="L690" s="6">
        <v>42185</v>
      </c>
      <c r="M690" s="27">
        <f>Table11[[#This Row],[Ship Date]]-Table11[[#This Row],[Order Date]]</f>
        <v>4</v>
      </c>
      <c r="N690" s="24" t="s">
        <v>45</v>
      </c>
      <c r="O690" s="24" t="s">
        <v>23</v>
      </c>
      <c r="P690" s="24" t="s">
        <v>285</v>
      </c>
      <c r="Q690" s="24" t="s">
        <v>26</v>
      </c>
      <c r="R690" s="24" t="s">
        <v>1294</v>
      </c>
      <c r="S690" s="34">
        <v>0</v>
      </c>
      <c r="T690" s="15">
        <v>143.96</v>
      </c>
      <c r="U690" s="18">
        <v>69.100800000000007</v>
      </c>
      <c r="V690" s="56">
        <f>Table11[[#This Row],[Profit]]/Table11[[#This Row],[Sales]]</f>
        <v>0.48000000000000004</v>
      </c>
    </row>
    <row r="691" spans="1:22" x14ac:dyDescent="0.2">
      <c r="A691" s="4">
        <v>690</v>
      </c>
      <c r="B691" s="3" t="s">
        <v>2181</v>
      </c>
      <c r="C691" s="7">
        <v>42181</v>
      </c>
      <c r="D691" s="28">
        <f>MONTH(Table11[[#This Row],[Order Date]])</f>
        <v>6</v>
      </c>
      <c r="E691" s="3" t="s">
        <v>1449</v>
      </c>
      <c r="F691" s="3" t="s">
        <v>1450</v>
      </c>
      <c r="G691" s="25" t="s">
        <v>41</v>
      </c>
      <c r="H691" s="25" t="s">
        <v>53</v>
      </c>
      <c r="I691" s="3" t="s">
        <v>1483</v>
      </c>
      <c r="J691" s="25" t="s">
        <v>22</v>
      </c>
      <c r="K691" s="28">
        <v>1</v>
      </c>
      <c r="L691" s="7">
        <v>42185</v>
      </c>
      <c r="M691" s="28">
        <f>Table11[[#This Row],[Ship Date]]-Table11[[#This Row],[Order Date]]</f>
        <v>4</v>
      </c>
      <c r="N691" s="25" t="s">
        <v>45</v>
      </c>
      <c r="O691" s="25" t="s">
        <v>23</v>
      </c>
      <c r="P691" s="25" t="s">
        <v>285</v>
      </c>
      <c r="Q691" s="25" t="s">
        <v>26</v>
      </c>
      <c r="R691" s="25" t="s">
        <v>1294</v>
      </c>
      <c r="S691" s="35">
        <v>0</v>
      </c>
      <c r="T691" s="16">
        <v>15.42</v>
      </c>
      <c r="U691" s="19">
        <v>4.1634000000000002</v>
      </c>
      <c r="V691" s="56">
        <f>Table11[[#This Row],[Profit]]/Table11[[#This Row],[Sales]]</f>
        <v>0.27</v>
      </c>
    </row>
    <row r="692" spans="1:22" x14ac:dyDescent="0.2">
      <c r="A692" s="4">
        <v>691</v>
      </c>
      <c r="B692" s="5" t="s">
        <v>2181</v>
      </c>
      <c r="C692" s="6">
        <v>42181</v>
      </c>
      <c r="D692" s="27">
        <f>MONTH(Table11[[#This Row],[Order Date]])</f>
        <v>6</v>
      </c>
      <c r="E692" s="5" t="s">
        <v>2182</v>
      </c>
      <c r="F692" s="5" t="s">
        <v>2183</v>
      </c>
      <c r="G692" s="24" t="s">
        <v>41</v>
      </c>
      <c r="H692" s="24" t="s">
        <v>68</v>
      </c>
      <c r="I692" s="5" t="s">
        <v>1483</v>
      </c>
      <c r="J692" s="24" t="s">
        <v>22</v>
      </c>
      <c r="K692" s="27">
        <v>8</v>
      </c>
      <c r="L692" s="6">
        <v>42185</v>
      </c>
      <c r="M692" s="27">
        <f>Table11[[#This Row],[Ship Date]]-Table11[[#This Row],[Order Date]]</f>
        <v>4</v>
      </c>
      <c r="N692" s="24" t="s">
        <v>45</v>
      </c>
      <c r="O692" s="24" t="s">
        <v>23</v>
      </c>
      <c r="P692" s="24" t="s">
        <v>285</v>
      </c>
      <c r="Q692" s="24" t="s">
        <v>26</v>
      </c>
      <c r="R692" s="24" t="s">
        <v>1294</v>
      </c>
      <c r="S692" s="34">
        <v>0</v>
      </c>
      <c r="T692" s="15">
        <v>43.04</v>
      </c>
      <c r="U692" s="18">
        <v>21.089600000000001</v>
      </c>
      <c r="V692" s="56">
        <f>Table11[[#This Row],[Profit]]/Table11[[#This Row],[Sales]]</f>
        <v>0.49000000000000005</v>
      </c>
    </row>
    <row r="693" spans="1:22" x14ac:dyDescent="0.2">
      <c r="A693" s="2">
        <v>692</v>
      </c>
      <c r="B693" s="3" t="s">
        <v>2181</v>
      </c>
      <c r="C693" s="7">
        <v>42181</v>
      </c>
      <c r="D693" s="28">
        <f>MONTH(Table11[[#This Row],[Order Date]])</f>
        <v>6</v>
      </c>
      <c r="E693" s="3" t="s">
        <v>2184</v>
      </c>
      <c r="F693" s="3" t="s">
        <v>2185</v>
      </c>
      <c r="G693" s="25" t="s">
        <v>28</v>
      </c>
      <c r="H693" s="25" t="s">
        <v>32</v>
      </c>
      <c r="I693" s="3" t="s">
        <v>1483</v>
      </c>
      <c r="J693" s="25" t="s">
        <v>22</v>
      </c>
      <c r="K693" s="28">
        <v>3</v>
      </c>
      <c r="L693" s="7">
        <v>42185</v>
      </c>
      <c r="M693" s="28">
        <f>Table11[[#This Row],[Ship Date]]-Table11[[#This Row],[Order Date]]</f>
        <v>4</v>
      </c>
      <c r="N693" s="25" t="s">
        <v>45</v>
      </c>
      <c r="O693" s="25" t="s">
        <v>23</v>
      </c>
      <c r="P693" s="25" t="s">
        <v>285</v>
      </c>
      <c r="Q693" s="25" t="s">
        <v>26</v>
      </c>
      <c r="R693" s="25" t="s">
        <v>1294</v>
      </c>
      <c r="S693" s="35">
        <v>0</v>
      </c>
      <c r="T693" s="16">
        <v>332.94</v>
      </c>
      <c r="U693" s="19">
        <v>79.905600000000007</v>
      </c>
      <c r="V693" s="56">
        <f>Table11[[#This Row],[Profit]]/Table11[[#This Row],[Sales]]</f>
        <v>0.24000000000000002</v>
      </c>
    </row>
    <row r="694" spans="1:22" x14ac:dyDescent="0.2">
      <c r="A694" s="4">
        <v>693</v>
      </c>
      <c r="B694" s="5" t="s">
        <v>8533</v>
      </c>
      <c r="C694" s="6">
        <v>42181</v>
      </c>
      <c r="D694" s="27">
        <f>MONTH(Table11[[#This Row],[Order Date]])</f>
        <v>6</v>
      </c>
      <c r="E694" s="5" t="s">
        <v>4448</v>
      </c>
      <c r="F694" s="5" t="s">
        <v>4449</v>
      </c>
      <c r="G694" s="24" t="s">
        <v>64</v>
      </c>
      <c r="H694" s="24" t="s">
        <v>65</v>
      </c>
      <c r="I694" s="5" t="s">
        <v>783</v>
      </c>
      <c r="J694" s="24" t="s">
        <v>22</v>
      </c>
      <c r="K694" s="27">
        <v>3</v>
      </c>
      <c r="L694" s="6">
        <v>42185</v>
      </c>
      <c r="M694" s="27">
        <f>Table11[[#This Row],[Ship Date]]-Table11[[#This Row],[Order Date]]</f>
        <v>4</v>
      </c>
      <c r="N694" s="24" t="s">
        <v>45</v>
      </c>
      <c r="O694" s="24" t="s">
        <v>23</v>
      </c>
      <c r="P694" s="24" t="s">
        <v>94</v>
      </c>
      <c r="Q694" s="24" t="s">
        <v>95</v>
      </c>
      <c r="R694" s="24" t="s">
        <v>165</v>
      </c>
      <c r="S694" s="34">
        <v>0.2</v>
      </c>
      <c r="T694" s="15">
        <v>971.88</v>
      </c>
      <c r="U694" s="18">
        <v>109.3365</v>
      </c>
      <c r="V694" s="56">
        <f>Table11[[#This Row],[Profit]]/Table11[[#This Row],[Sales]]</f>
        <v>0.1125</v>
      </c>
    </row>
    <row r="695" spans="1:22" x14ac:dyDescent="0.2">
      <c r="A695" s="4">
        <v>694</v>
      </c>
      <c r="B695" s="3" t="s">
        <v>9148</v>
      </c>
      <c r="C695" s="7">
        <v>42181</v>
      </c>
      <c r="D695" s="28">
        <f>MONTH(Table11[[#This Row],[Order Date]])</f>
        <v>6</v>
      </c>
      <c r="E695" s="3" t="s">
        <v>400</v>
      </c>
      <c r="F695" s="3" t="s">
        <v>401</v>
      </c>
      <c r="G695" s="25" t="s">
        <v>41</v>
      </c>
      <c r="H695" s="25" t="s">
        <v>82</v>
      </c>
      <c r="I695" s="3" t="s">
        <v>6929</v>
      </c>
      <c r="J695" s="25" t="s">
        <v>92</v>
      </c>
      <c r="K695" s="28">
        <v>9</v>
      </c>
      <c r="L695" s="7">
        <v>42185</v>
      </c>
      <c r="M695" s="28">
        <f>Table11[[#This Row],[Ship Date]]-Table11[[#This Row],[Order Date]]</f>
        <v>4</v>
      </c>
      <c r="N695" s="25" t="s">
        <v>45</v>
      </c>
      <c r="O695" s="25" t="s">
        <v>23</v>
      </c>
      <c r="P695" s="25" t="s">
        <v>441</v>
      </c>
      <c r="Q695" s="25" t="s">
        <v>133</v>
      </c>
      <c r="R695" s="25" t="s">
        <v>990</v>
      </c>
      <c r="S695" s="35">
        <v>0.2</v>
      </c>
      <c r="T695" s="16">
        <v>43.055999999999997</v>
      </c>
      <c r="U695" s="19">
        <v>15.607799999999999</v>
      </c>
      <c r="V695" s="56">
        <f>Table11[[#This Row],[Profit]]/Table11[[#This Row],[Sales]]</f>
        <v>0.36249999999999999</v>
      </c>
    </row>
    <row r="696" spans="1:22" x14ac:dyDescent="0.2">
      <c r="A696" s="2">
        <v>695</v>
      </c>
      <c r="B696" s="5" t="s">
        <v>8440</v>
      </c>
      <c r="C696" s="6">
        <v>42183</v>
      </c>
      <c r="D696" s="27">
        <f>MONTH(Table11[[#This Row],[Order Date]])</f>
        <v>6</v>
      </c>
      <c r="E696" s="5" t="s">
        <v>4030</v>
      </c>
      <c r="F696" s="5" t="s">
        <v>4031</v>
      </c>
      <c r="G696" s="24" t="s">
        <v>41</v>
      </c>
      <c r="H696" s="24" t="s">
        <v>42</v>
      </c>
      <c r="I696" s="5" t="s">
        <v>2814</v>
      </c>
      <c r="J696" s="24" t="s">
        <v>36</v>
      </c>
      <c r="K696" s="27">
        <v>2</v>
      </c>
      <c r="L696" s="6">
        <v>42187</v>
      </c>
      <c r="M696" s="27">
        <f>Table11[[#This Row],[Ship Date]]-Table11[[#This Row],[Order Date]]</f>
        <v>4</v>
      </c>
      <c r="N696" s="24" t="s">
        <v>45</v>
      </c>
      <c r="O696" s="24" t="s">
        <v>23</v>
      </c>
      <c r="P696" s="24" t="s">
        <v>277</v>
      </c>
      <c r="Q696" s="24" t="s">
        <v>39</v>
      </c>
      <c r="R696" s="24" t="s">
        <v>276</v>
      </c>
      <c r="S696" s="34">
        <v>0.2</v>
      </c>
      <c r="T696" s="15">
        <v>5.9039999999999999</v>
      </c>
      <c r="U696" s="18">
        <v>1.9925999999999999</v>
      </c>
      <c r="V696" s="56">
        <f>Table11[[#This Row],[Profit]]/Table11[[#This Row],[Sales]]</f>
        <v>0.33749999999999997</v>
      </c>
    </row>
    <row r="697" spans="1:22" x14ac:dyDescent="0.2">
      <c r="A697" s="4">
        <v>696</v>
      </c>
      <c r="B697" s="3" t="s">
        <v>8440</v>
      </c>
      <c r="C697" s="7">
        <v>42183</v>
      </c>
      <c r="D697" s="28">
        <f>MONTH(Table11[[#This Row],[Order Date]])</f>
        <v>6</v>
      </c>
      <c r="E697" s="3" t="s">
        <v>2140</v>
      </c>
      <c r="F697" s="3" t="s">
        <v>2141</v>
      </c>
      <c r="G697" s="25" t="s">
        <v>28</v>
      </c>
      <c r="H697" s="25" t="s">
        <v>58</v>
      </c>
      <c r="I697" s="3" t="s">
        <v>2814</v>
      </c>
      <c r="J697" s="25" t="s">
        <v>36</v>
      </c>
      <c r="K697" s="28">
        <v>4</v>
      </c>
      <c r="L697" s="7">
        <v>42187</v>
      </c>
      <c r="M697" s="28">
        <f>Table11[[#This Row],[Ship Date]]-Table11[[#This Row],[Order Date]]</f>
        <v>4</v>
      </c>
      <c r="N697" s="25" t="s">
        <v>45</v>
      </c>
      <c r="O697" s="25" t="s">
        <v>23</v>
      </c>
      <c r="P697" s="25" t="s">
        <v>277</v>
      </c>
      <c r="Q697" s="25" t="s">
        <v>39</v>
      </c>
      <c r="R697" s="25" t="s">
        <v>276</v>
      </c>
      <c r="S697" s="35">
        <v>0.2</v>
      </c>
      <c r="T697" s="16">
        <v>621.76</v>
      </c>
      <c r="U697" s="19">
        <v>46.631999999999998</v>
      </c>
      <c r="V697" s="56">
        <f>Table11[[#This Row],[Profit]]/Table11[[#This Row],[Sales]]</f>
        <v>7.4999999999999997E-2</v>
      </c>
    </row>
    <row r="698" spans="1:22" x14ac:dyDescent="0.2">
      <c r="A698" s="4">
        <v>697</v>
      </c>
      <c r="B698" s="5" t="s">
        <v>9640</v>
      </c>
      <c r="C698" s="6">
        <v>42183</v>
      </c>
      <c r="D698" s="27">
        <f>MONTH(Table11[[#This Row],[Order Date]])</f>
        <v>6</v>
      </c>
      <c r="E698" s="5" t="s">
        <v>365</v>
      </c>
      <c r="F698" s="5" t="s">
        <v>366</v>
      </c>
      <c r="G698" s="24" t="s">
        <v>41</v>
      </c>
      <c r="H698" s="24" t="s">
        <v>82</v>
      </c>
      <c r="I698" s="5" t="s">
        <v>492</v>
      </c>
      <c r="J698" s="24" t="s">
        <v>36</v>
      </c>
      <c r="K698" s="27">
        <v>3</v>
      </c>
      <c r="L698" s="6">
        <v>42188</v>
      </c>
      <c r="M698" s="27">
        <f>Table11[[#This Row],[Ship Date]]-Table11[[#This Row],[Order Date]]</f>
        <v>5</v>
      </c>
      <c r="N698" s="24" t="s">
        <v>20</v>
      </c>
      <c r="O698" s="24" t="s">
        <v>23</v>
      </c>
      <c r="P698" s="24" t="s">
        <v>441</v>
      </c>
      <c r="Q698" s="24" t="s">
        <v>133</v>
      </c>
      <c r="R698" s="24" t="s">
        <v>246</v>
      </c>
      <c r="S698" s="34">
        <v>0.2</v>
      </c>
      <c r="T698" s="15">
        <v>15.552</v>
      </c>
      <c r="U698" s="18">
        <v>5.4432</v>
      </c>
      <c r="V698" s="56">
        <f>Table11[[#This Row],[Profit]]/Table11[[#This Row],[Sales]]</f>
        <v>0.35000000000000003</v>
      </c>
    </row>
    <row r="699" spans="1:22" x14ac:dyDescent="0.2">
      <c r="A699" s="2">
        <v>698</v>
      </c>
      <c r="B699" s="3" t="s">
        <v>9640</v>
      </c>
      <c r="C699" s="7">
        <v>42183</v>
      </c>
      <c r="D699" s="28">
        <f>MONTH(Table11[[#This Row],[Order Date]])</f>
        <v>6</v>
      </c>
      <c r="E699" s="3" t="s">
        <v>4110</v>
      </c>
      <c r="F699" s="3" t="s">
        <v>4111</v>
      </c>
      <c r="G699" s="25" t="s">
        <v>28</v>
      </c>
      <c r="H699" s="25" t="s">
        <v>29</v>
      </c>
      <c r="I699" s="3" t="s">
        <v>492</v>
      </c>
      <c r="J699" s="25" t="s">
        <v>36</v>
      </c>
      <c r="K699" s="28">
        <v>6</v>
      </c>
      <c r="L699" s="7">
        <v>42188</v>
      </c>
      <c r="M699" s="28">
        <f>Table11[[#This Row],[Ship Date]]-Table11[[#This Row],[Order Date]]</f>
        <v>5</v>
      </c>
      <c r="N699" s="25" t="s">
        <v>20</v>
      </c>
      <c r="O699" s="25" t="s">
        <v>23</v>
      </c>
      <c r="P699" s="25" t="s">
        <v>441</v>
      </c>
      <c r="Q699" s="25" t="s">
        <v>133</v>
      </c>
      <c r="R699" s="25" t="s">
        <v>246</v>
      </c>
      <c r="S699" s="35">
        <v>0.5</v>
      </c>
      <c r="T699" s="16">
        <v>482.94</v>
      </c>
      <c r="U699" s="19">
        <v>-376.69319999999999</v>
      </c>
      <c r="V699" s="56">
        <f>Table11[[#This Row],[Profit]]/Table11[[#This Row],[Sales]]</f>
        <v>-0.78</v>
      </c>
    </row>
    <row r="700" spans="1:22" x14ac:dyDescent="0.2">
      <c r="A700" s="4">
        <v>699</v>
      </c>
      <c r="B700" s="5" t="s">
        <v>10132</v>
      </c>
      <c r="C700" s="6">
        <v>42183</v>
      </c>
      <c r="D700" s="27">
        <f>MONTH(Table11[[#This Row],[Order Date]])</f>
        <v>6</v>
      </c>
      <c r="E700" s="5" t="s">
        <v>3383</v>
      </c>
      <c r="F700" s="5" t="s">
        <v>3384</v>
      </c>
      <c r="G700" s="24" t="s">
        <v>41</v>
      </c>
      <c r="H700" s="24" t="s">
        <v>68</v>
      </c>
      <c r="I700" s="5" t="s">
        <v>673</v>
      </c>
      <c r="J700" s="24" t="s">
        <v>92</v>
      </c>
      <c r="K700" s="27">
        <v>2</v>
      </c>
      <c r="L700" s="6">
        <v>42187</v>
      </c>
      <c r="M700" s="27">
        <f>Table11[[#This Row],[Ship Date]]-Table11[[#This Row],[Order Date]]</f>
        <v>4</v>
      </c>
      <c r="N700" s="24" t="s">
        <v>45</v>
      </c>
      <c r="O700" s="24" t="s">
        <v>23</v>
      </c>
      <c r="P700" s="24" t="s">
        <v>1125</v>
      </c>
      <c r="Q700" s="24" t="s">
        <v>26</v>
      </c>
      <c r="R700" s="24" t="s">
        <v>3345</v>
      </c>
      <c r="S700" s="34">
        <v>0</v>
      </c>
      <c r="T700" s="15">
        <v>119.56</v>
      </c>
      <c r="U700" s="18">
        <v>54.997599999999998</v>
      </c>
      <c r="V700" s="56">
        <f>Table11[[#This Row],[Profit]]/Table11[[#This Row],[Sales]]</f>
        <v>0.45999999999999996</v>
      </c>
    </row>
    <row r="701" spans="1:22" x14ac:dyDescent="0.2">
      <c r="A701" s="4">
        <v>700</v>
      </c>
      <c r="B701" s="3" t="s">
        <v>10132</v>
      </c>
      <c r="C701" s="7">
        <v>42183</v>
      </c>
      <c r="D701" s="28">
        <f>MONTH(Table11[[#This Row],[Order Date]])</f>
        <v>6</v>
      </c>
      <c r="E701" s="3" t="s">
        <v>4569</v>
      </c>
      <c r="F701" s="3" t="s">
        <v>4570</v>
      </c>
      <c r="G701" s="25" t="s">
        <v>41</v>
      </c>
      <c r="H701" s="25" t="s">
        <v>61</v>
      </c>
      <c r="I701" s="3" t="s">
        <v>673</v>
      </c>
      <c r="J701" s="25" t="s">
        <v>92</v>
      </c>
      <c r="K701" s="28">
        <v>5</v>
      </c>
      <c r="L701" s="7">
        <v>42187</v>
      </c>
      <c r="M701" s="28">
        <f>Table11[[#This Row],[Ship Date]]-Table11[[#This Row],[Order Date]]</f>
        <v>4</v>
      </c>
      <c r="N701" s="25" t="s">
        <v>45</v>
      </c>
      <c r="O701" s="25" t="s">
        <v>23</v>
      </c>
      <c r="P701" s="25" t="s">
        <v>1125</v>
      </c>
      <c r="Q701" s="25" t="s">
        <v>26</v>
      </c>
      <c r="R701" s="25" t="s">
        <v>3345</v>
      </c>
      <c r="S701" s="35">
        <v>0</v>
      </c>
      <c r="T701" s="16">
        <v>140.75</v>
      </c>
      <c r="U701" s="19">
        <v>42.225000000000001</v>
      </c>
      <c r="V701" s="56">
        <f>Table11[[#This Row],[Profit]]/Table11[[#This Row],[Sales]]</f>
        <v>0.3</v>
      </c>
    </row>
    <row r="702" spans="1:22" x14ac:dyDescent="0.2">
      <c r="A702" s="2">
        <v>701</v>
      </c>
      <c r="B702" s="5" t="s">
        <v>4566</v>
      </c>
      <c r="C702" s="6">
        <v>42184</v>
      </c>
      <c r="D702" s="27">
        <f>MONTH(Table11[[#This Row],[Order Date]])</f>
        <v>6</v>
      </c>
      <c r="E702" s="5" t="s">
        <v>3465</v>
      </c>
      <c r="F702" s="5" t="s">
        <v>4567</v>
      </c>
      <c r="G702" s="24" t="s">
        <v>28</v>
      </c>
      <c r="H702" s="24" t="s">
        <v>58</v>
      </c>
      <c r="I702" s="5" t="s">
        <v>460</v>
      </c>
      <c r="J702" s="24" t="s">
        <v>22</v>
      </c>
      <c r="K702" s="27">
        <v>1</v>
      </c>
      <c r="L702" s="6">
        <v>42190</v>
      </c>
      <c r="M702" s="27">
        <f>Table11[[#This Row],[Ship Date]]-Table11[[#This Row],[Order Date]]</f>
        <v>6</v>
      </c>
      <c r="N702" s="24" t="s">
        <v>45</v>
      </c>
      <c r="O702" s="24" t="s">
        <v>23</v>
      </c>
      <c r="P702" s="24" t="s">
        <v>132</v>
      </c>
      <c r="Q702" s="24" t="s">
        <v>133</v>
      </c>
      <c r="R702" s="24" t="s">
        <v>2174</v>
      </c>
      <c r="S702" s="34">
        <v>0.2</v>
      </c>
      <c r="T702" s="15">
        <v>20.103999999999999</v>
      </c>
      <c r="U702" s="18">
        <v>1.7591000000000001</v>
      </c>
      <c r="V702" s="56">
        <f>Table11[[#This Row],[Profit]]/Table11[[#This Row],[Sales]]</f>
        <v>8.7500000000000008E-2</v>
      </c>
    </row>
    <row r="703" spans="1:22" x14ac:dyDescent="0.2">
      <c r="A703" s="4">
        <v>702</v>
      </c>
      <c r="B703" s="3" t="s">
        <v>7032</v>
      </c>
      <c r="C703" s="7">
        <v>42184</v>
      </c>
      <c r="D703" s="28">
        <f>MONTH(Table11[[#This Row],[Order Date]])</f>
        <v>6</v>
      </c>
      <c r="E703" s="3" t="s">
        <v>3123</v>
      </c>
      <c r="F703" s="3" t="s">
        <v>3124</v>
      </c>
      <c r="G703" s="25" t="s">
        <v>41</v>
      </c>
      <c r="H703" s="25" t="s">
        <v>82</v>
      </c>
      <c r="I703" s="3" t="s">
        <v>3816</v>
      </c>
      <c r="J703" s="25" t="s">
        <v>22</v>
      </c>
      <c r="K703" s="28">
        <v>4</v>
      </c>
      <c r="L703" s="7">
        <v>42189</v>
      </c>
      <c r="M703" s="28">
        <f>Table11[[#This Row],[Ship Date]]-Table11[[#This Row],[Order Date]]</f>
        <v>5</v>
      </c>
      <c r="N703" s="25" t="s">
        <v>45</v>
      </c>
      <c r="O703" s="25" t="s">
        <v>23</v>
      </c>
      <c r="P703" s="25" t="s">
        <v>238</v>
      </c>
      <c r="Q703" s="25" t="s">
        <v>133</v>
      </c>
      <c r="R703" s="25" t="s">
        <v>237</v>
      </c>
      <c r="S703" s="35">
        <v>0</v>
      </c>
      <c r="T703" s="16">
        <v>24.96</v>
      </c>
      <c r="U703" s="19">
        <v>11.231999999999999</v>
      </c>
      <c r="V703" s="56">
        <f>Table11[[#This Row],[Profit]]/Table11[[#This Row],[Sales]]</f>
        <v>0.44999999999999996</v>
      </c>
    </row>
    <row r="704" spans="1:22" x14ac:dyDescent="0.2">
      <c r="A704" s="4">
        <v>703</v>
      </c>
      <c r="B704" s="5" t="s">
        <v>9594</v>
      </c>
      <c r="C704" s="6">
        <v>42184</v>
      </c>
      <c r="D704" s="27">
        <f>MONTH(Table11[[#This Row],[Order Date]])</f>
        <v>6</v>
      </c>
      <c r="E704" s="5" t="s">
        <v>1847</v>
      </c>
      <c r="F704" s="5" t="s">
        <v>1848</v>
      </c>
      <c r="G704" s="24" t="s">
        <v>28</v>
      </c>
      <c r="H704" s="24" t="s">
        <v>32</v>
      </c>
      <c r="I704" s="5" t="s">
        <v>3654</v>
      </c>
      <c r="J704" s="24" t="s">
        <v>22</v>
      </c>
      <c r="K704" s="27">
        <v>1</v>
      </c>
      <c r="L704" s="6">
        <v>42187</v>
      </c>
      <c r="M704" s="27">
        <f>Table11[[#This Row],[Ship Date]]-Table11[[#This Row],[Order Date]]</f>
        <v>3</v>
      </c>
      <c r="N704" s="24" t="s">
        <v>169</v>
      </c>
      <c r="O704" s="24" t="s">
        <v>23</v>
      </c>
      <c r="P704" s="24" t="s">
        <v>238</v>
      </c>
      <c r="Q704" s="24" t="s">
        <v>133</v>
      </c>
      <c r="R704" s="24" t="s">
        <v>237</v>
      </c>
      <c r="S704" s="34">
        <v>0.1</v>
      </c>
      <c r="T704" s="15">
        <v>117.88200000000001</v>
      </c>
      <c r="U704" s="18">
        <v>1.3098000000000001</v>
      </c>
      <c r="V704" s="56">
        <f>Table11[[#This Row],[Profit]]/Table11[[#This Row],[Sales]]</f>
        <v>1.1111111111111112E-2</v>
      </c>
    </row>
    <row r="705" spans="1:22" x14ac:dyDescent="0.2">
      <c r="A705" s="2">
        <v>704</v>
      </c>
      <c r="B705" s="3" t="s">
        <v>10021</v>
      </c>
      <c r="C705" s="7">
        <v>42184</v>
      </c>
      <c r="D705" s="28">
        <f>MONTH(Table11[[#This Row],[Order Date]])</f>
        <v>6</v>
      </c>
      <c r="E705" s="3" t="s">
        <v>1792</v>
      </c>
      <c r="F705" s="3" t="s">
        <v>1793</v>
      </c>
      <c r="G705" s="25" t="s">
        <v>64</v>
      </c>
      <c r="H705" s="25" t="s">
        <v>65</v>
      </c>
      <c r="I705" s="3" t="s">
        <v>6604</v>
      </c>
      <c r="J705" s="25" t="s">
        <v>92</v>
      </c>
      <c r="K705" s="28">
        <v>2</v>
      </c>
      <c r="L705" s="7">
        <v>42188</v>
      </c>
      <c r="M705" s="28">
        <f>Table11[[#This Row],[Ship Date]]-Table11[[#This Row],[Order Date]]</f>
        <v>4</v>
      </c>
      <c r="N705" s="25" t="s">
        <v>45</v>
      </c>
      <c r="O705" s="25" t="s">
        <v>23</v>
      </c>
      <c r="P705" s="25" t="s">
        <v>124</v>
      </c>
      <c r="Q705" s="25" t="s">
        <v>95</v>
      </c>
      <c r="R705" s="25" t="s">
        <v>2226</v>
      </c>
      <c r="S705" s="35">
        <v>0</v>
      </c>
      <c r="T705" s="16">
        <v>269.98</v>
      </c>
      <c r="U705" s="19">
        <v>72.894599999999997</v>
      </c>
      <c r="V705" s="56">
        <f>Table11[[#This Row],[Profit]]/Table11[[#This Row],[Sales]]</f>
        <v>0.26999999999999996</v>
      </c>
    </row>
    <row r="706" spans="1:22" x14ac:dyDescent="0.2">
      <c r="A706" s="4">
        <v>705</v>
      </c>
      <c r="B706" s="5" t="s">
        <v>4971</v>
      </c>
      <c r="C706" s="6">
        <v>42187</v>
      </c>
      <c r="D706" s="27">
        <f>MONTH(Table11[[#This Row],[Order Date]])</f>
        <v>7</v>
      </c>
      <c r="E706" s="5" t="s">
        <v>4972</v>
      </c>
      <c r="F706" s="5" t="s">
        <v>4973</v>
      </c>
      <c r="G706" s="24" t="s">
        <v>41</v>
      </c>
      <c r="H706" s="24" t="s">
        <v>71</v>
      </c>
      <c r="I706" s="5" t="s">
        <v>4508</v>
      </c>
      <c r="J706" s="24" t="s">
        <v>22</v>
      </c>
      <c r="K706" s="27">
        <v>4</v>
      </c>
      <c r="L706" s="6">
        <v>42187</v>
      </c>
      <c r="M706" s="27">
        <f>Table11[[#This Row],[Ship Date]]-Table11[[#This Row],[Order Date]]</f>
        <v>0</v>
      </c>
      <c r="N706" s="24" t="s">
        <v>1141</v>
      </c>
      <c r="O706" s="24" t="s">
        <v>23</v>
      </c>
      <c r="P706" s="24" t="s">
        <v>94</v>
      </c>
      <c r="Q706" s="24" t="s">
        <v>95</v>
      </c>
      <c r="R706" s="24" t="s">
        <v>165</v>
      </c>
      <c r="S706" s="34">
        <v>0.8</v>
      </c>
      <c r="T706" s="15">
        <v>32.783999999999999</v>
      </c>
      <c r="U706" s="18">
        <v>-85.238399999999999</v>
      </c>
      <c r="V706" s="56">
        <f>Table11[[#This Row],[Profit]]/Table11[[#This Row],[Sales]]</f>
        <v>-2.6</v>
      </c>
    </row>
    <row r="707" spans="1:22" x14ac:dyDescent="0.2">
      <c r="A707" s="4">
        <v>706</v>
      </c>
      <c r="B707" s="3" t="s">
        <v>5977</v>
      </c>
      <c r="C707" s="7">
        <v>42187</v>
      </c>
      <c r="D707" s="28">
        <f>MONTH(Table11[[#This Row],[Order Date]])</f>
        <v>7</v>
      </c>
      <c r="E707" s="3" t="s">
        <v>1005</v>
      </c>
      <c r="F707" s="3" t="s">
        <v>1006</v>
      </c>
      <c r="G707" s="25" t="s">
        <v>28</v>
      </c>
      <c r="H707" s="25" t="s">
        <v>32</v>
      </c>
      <c r="I707" s="3" t="s">
        <v>4549</v>
      </c>
      <c r="J707" s="25" t="s">
        <v>22</v>
      </c>
      <c r="K707" s="28">
        <v>2</v>
      </c>
      <c r="L707" s="7">
        <v>42191</v>
      </c>
      <c r="M707" s="28">
        <f>Table11[[#This Row],[Ship Date]]-Table11[[#This Row],[Order Date]]</f>
        <v>4</v>
      </c>
      <c r="N707" s="25" t="s">
        <v>45</v>
      </c>
      <c r="O707" s="25" t="s">
        <v>23</v>
      </c>
      <c r="P707" s="25" t="s">
        <v>189</v>
      </c>
      <c r="Q707" s="25" t="s">
        <v>95</v>
      </c>
      <c r="R707" s="25" t="s">
        <v>5978</v>
      </c>
      <c r="S707" s="35">
        <v>0.3</v>
      </c>
      <c r="T707" s="16">
        <v>408.42200000000003</v>
      </c>
      <c r="U707" s="19">
        <v>-5.8346</v>
      </c>
      <c r="V707" s="56">
        <f>Table11[[#This Row],[Profit]]/Table11[[#This Row],[Sales]]</f>
        <v>-1.4285714285714285E-2</v>
      </c>
    </row>
    <row r="708" spans="1:22" x14ac:dyDescent="0.2">
      <c r="A708" s="2">
        <v>707</v>
      </c>
      <c r="B708" s="5" t="s">
        <v>5977</v>
      </c>
      <c r="C708" s="6">
        <v>42187</v>
      </c>
      <c r="D708" s="27">
        <f>MONTH(Table11[[#This Row],[Order Date]])</f>
        <v>7</v>
      </c>
      <c r="E708" s="5" t="s">
        <v>4287</v>
      </c>
      <c r="F708" s="5" t="s">
        <v>4288</v>
      </c>
      <c r="G708" s="24" t="s">
        <v>28</v>
      </c>
      <c r="H708" s="24" t="s">
        <v>32</v>
      </c>
      <c r="I708" s="5" t="s">
        <v>4549</v>
      </c>
      <c r="J708" s="24" t="s">
        <v>22</v>
      </c>
      <c r="K708" s="27">
        <v>6</v>
      </c>
      <c r="L708" s="6">
        <v>42191</v>
      </c>
      <c r="M708" s="27">
        <f>Table11[[#This Row],[Ship Date]]-Table11[[#This Row],[Order Date]]</f>
        <v>4</v>
      </c>
      <c r="N708" s="24" t="s">
        <v>45</v>
      </c>
      <c r="O708" s="24" t="s">
        <v>23</v>
      </c>
      <c r="P708" s="24" t="s">
        <v>189</v>
      </c>
      <c r="Q708" s="24" t="s">
        <v>95</v>
      </c>
      <c r="R708" s="24" t="s">
        <v>5978</v>
      </c>
      <c r="S708" s="34">
        <v>0.3</v>
      </c>
      <c r="T708" s="15">
        <v>382.11599999999999</v>
      </c>
      <c r="U708" s="18">
        <v>-92.799599999999998</v>
      </c>
      <c r="V708" s="56">
        <f>Table11[[#This Row],[Profit]]/Table11[[#This Row],[Sales]]</f>
        <v>-0.24285714285714285</v>
      </c>
    </row>
    <row r="709" spans="1:22" x14ac:dyDescent="0.2">
      <c r="A709" s="4">
        <v>708</v>
      </c>
      <c r="B709" s="3" t="s">
        <v>5977</v>
      </c>
      <c r="C709" s="7">
        <v>42187</v>
      </c>
      <c r="D709" s="28">
        <f>MONTH(Table11[[#This Row],[Order Date]])</f>
        <v>7</v>
      </c>
      <c r="E709" s="3" t="s">
        <v>1564</v>
      </c>
      <c r="F709" s="3" t="s">
        <v>1565</v>
      </c>
      <c r="G709" s="25" t="s">
        <v>41</v>
      </c>
      <c r="H709" s="25" t="s">
        <v>53</v>
      </c>
      <c r="I709" s="3" t="s">
        <v>4549</v>
      </c>
      <c r="J709" s="25" t="s">
        <v>22</v>
      </c>
      <c r="K709" s="28">
        <v>5</v>
      </c>
      <c r="L709" s="7">
        <v>42191</v>
      </c>
      <c r="M709" s="28">
        <f>Table11[[#This Row],[Ship Date]]-Table11[[#This Row],[Order Date]]</f>
        <v>4</v>
      </c>
      <c r="N709" s="25" t="s">
        <v>45</v>
      </c>
      <c r="O709" s="25" t="s">
        <v>23</v>
      </c>
      <c r="P709" s="25" t="s">
        <v>189</v>
      </c>
      <c r="Q709" s="25" t="s">
        <v>95</v>
      </c>
      <c r="R709" s="25" t="s">
        <v>5978</v>
      </c>
      <c r="S709" s="35">
        <v>0.2</v>
      </c>
      <c r="T709" s="16">
        <v>68.599999999999994</v>
      </c>
      <c r="U709" s="19">
        <v>6.0025000000000004</v>
      </c>
      <c r="V709" s="56">
        <f>Table11[[#This Row],[Profit]]/Table11[[#This Row],[Sales]]</f>
        <v>8.7500000000000008E-2</v>
      </c>
    </row>
    <row r="710" spans="1:22" x14ac:dyDescent="0.2">
      <c r="A710" s="4">
        <v>709</v>
      </c>
      <c r="B710" s="5" t="s">
        <v>5977</v>
      </c>
      <c r="C710" s="6">
        <v>42187</v>
      </c>
      <c r="D710" s="27">
        <f>MONTH(Table11[[#This Row],[Order Date]])</f>
        <v>7</v>
      </c>
      <c r="E710" s="5" t="s">
        <v>894</v>
      </c>
      <c r="F710" s="5" t="s">
        <v>895</v>
      </c>
      <c r="G710" s="24" t="s">
        <v>41</v>
      </c>
      <c r="H710" s="24" t="s">
        <v>53</v>
      </c>
      <c r="I710" s="5" t="s">
        <v>4549</v>
      </c>
      <c r="J710" s="24" t="s">
        <v>22</v>
      </c>
      <c r="K710" s="27">
        <v>3</v>
      </c>
      <c r="L710" s="6">
        <v>42191</v>
      </c>
      <c r="M710" s="27">
        <f>Table11[[#This Row],[Ship Date]]-Table11[[#This Row],[Order Date]]</f>
        <v>4</v>
      </c>
      <c r="N710" s="24" t="s">
        <v>45</v>
      </c>
      <c r="O710" s="24" t="s">
        <v>23</v>
      </c>
      <c r="P710" s="24" t="s">
        <v>189</v>
      </c>
      <c r="Q710" s="24" t="s">
        <v>95</v>
      </c>
      <c r="R710" s="24" t="s">
        <v>5978</v>
      </c>
      <c r="S710" s="34">
        <v>0.2</v>
      </c>
      <c r="T710" s="15">
        <v>435.50400000000002</v>
      </c>
      <c r="U710" s="18">
        <v>48.994199999999999</v>
      </c>
      <c r="V710" s="56">
        <f>Table11[[#This Row],[Profit]]/Table11[[#This Row],[Sales]]</f>
        <v>0.11249999999999999</v>
      </c>
    </row>
    <row r="711" spans="1:22" x14ac:dyDescent="0.2">
      <c r="A711" s="2">
        <v>710</v>
      </c>
      <c r="B711" s="3" t="s">
        <v>5977</v>
      </c>
      <c r="C711" s="7">
        <v>42187</v>
      </c>
      <c r="D711" s="28">
        <f>MONTH(Table11[[#This Row],[Order Date]])</f>
        <v>7</v>
      </c>
      <c r="E711" s="3" t="s">
        <v>616</v>
      </c>
      <c r="F711" s="3" t="s">
        <v>617</v>
      </c>
      <c r="G711" s="25" t="s">
        <v>41</v>
      </c>
      <c r="H711" s="25" t="s">
        <v>82</v>
      </c>
      <c r="I711" s="3" t="s">
        <v>4549</v>
      </c>
      <c r="J711" s="25" t="s">
        <v>22</v>
      </c>
      <c r="K711" s="28">
        <v>2</v>
      </c>
      <c r="L711" s="7">
        <v>42191</v>
      </c>
      <c r="M711" s="28">
        <f>Table11[[#This Row],[Ship Date]]-Table11[[#This Row],[Order Date]]</f>
        <v>4</v>
      </c>
      <c r="N711" s="25" t="s">
        <v>45</v>
      </c>
      <c r="O711" s="25" t="s">
        <v>23</v>
      </c>
      <c r="P711" s="25" t="s">
        <v>189</v>
      </c>
      <c r="Q711" s="25" t="s">
        <v>95</v>
      </c>
      <c r="R711" s="25" t="s">
        <v>5978</v>
      </c>
      <c r="S711" s="35">
        <v>0.2</v>
      </c>
      <c r="T711" s="16">
        <v>11.167999999999999</v>
      </c>
      <c r="U711" s="19">
        <v>3.7692000000000001</v>
      </c>
      <c r="V711" s="56">
        <f>Table11[[#This Row],[Profit]]/Table11[[#This Row],[Sales]]</f>
        <v>0.33750000000000002</v>
      </c>
    </row>
    <row r="712" spans="1:22" x14ac:dyDescent="0.2">
      <c r="A712" s="4">
        <v>711</v>
      </c>
      <c r="B712" s="5" t="s">
        <v>6509</v>
      </c>
      <c r="C712" s="6">
        <v>42187</v>
      </c>
      <c r="D712" s="27">
        <f>MONTH(Table11[[#This Row],[Order Date]])</f>
        <v>7</v>
      </c>
      <c r="E712" s="5" t="s">
        <v>2802</v>
      </c>
      <c r="F712" s="5" t="s">
        <v>167</v>
      </c>
      <c r="G712" s="24" t="s">
        <v>41</v>
      </c>
      <c r="H712" s="24" t="s">
        <v>82</v>
      </c>
      <c r="I712" s="5" t="s">
        <v>363</v>
      </c>
      <c r="J712" s="24" t="s">
        <v>22</v>
      </c>
      <c r="K712" s="27">
        <v>3</v>
      </c>
      <c r="L712" s="6">
        <v>42194</v>
      </c>
      <c r="M712" s="27">
        <f>Table11[[#This Row],[Ship Date]]-Table11[[#This Row],[Order Date]]</f>
        <v>7</v>
      </c>
      <c r="N712" s="24" t="s">
        <v>45</v>
      </c>
      <c r="O712" s="24" t="s">
        <v>23</v>
      </c>
      <c r="P712" s="24" t="s">
        <v>48</v>
      </c>
      <c r="Q712" s="24" t="s">
        <v>26</v>
      </c>
      <c r="R712" s="24" t="s">
        <v>6510</v>
      </c>
      <c r="S712" s="34">
        <v>0.2</v>
      </c>
      <c r="T712" s="15">
        <v>11.952</v>
      </c>
      <c r="U712" s="18">
        <v>4.0338000000000003</v>
      </c>
      <c r="V712" s="56">
        <f>Table11[[#This Row],[Profit]]/Table11[[#This Row],[Sales]]</f>
        <v>0.33750000000000002</v>
      </c>
    </row>
    <row r="713" spans="1:22" x14ac:dyDescent="0.2">
      <c r="A713" s="4">
        <v>712</v>
      </c>
      <c r="B713" s="3" t="s">
        <v>6509</v>
      </c>
      <c r="C713" s="7">
        <v>42187</v>
      </c>
      <c r="D713" s="28">
        <f>MONTH(Table11[[#This Row],[Order Date]])</f>
        <v>7</v>
      </c>
      <c r="E713" s="3" t="s">
        <v>809</v>
      </c>
      <c r="F713" s="3" t="s">
        <v>810</v>
      </c>
      <c r="G713" s="25" t="s">
        <v>41</v>
      </c>
      <c r="H713" s="25" t="s">
        <v>82</v>
      </c>
      <c r="I713" s="3" t="s">
        <v>363</v>
      </c>
      <c r="J713" s="25" t="s">
        <v>22</v>
      </c>
      <c r="K713" s="28">
        <v>3</v>
      </c>
      <c r="L713" s="7">
        <v>42194</v>
      </c>
      <c r="M713" s="28">
        <f>Table11[[#This Row],[Ship Date]]-Table11[[#This Row],[Order Date]]</f>
        <v>7</v>
      </c>
      <c r="N713" s="25" t="s">
        <v>45</v>
      </c>
      <c r="O713" s="25" t="s">
        <v>23</v>
      </c>
      <c r="P713" s="25" t="s">
        <v>48</v>
      </c>
      <c r="Q713" s="25" t="s">
        <v>26</v>
      </c>
      <c r="R713" s="25" t="s">
        <v>6510</v>
      </c>
      <c r="S713" s="35">
        <v>0.2</v>
      </c>
      <c r="T713" s="16">
        <v>15.552</v>
      </c>
      <c r="U713" s="19">
        <v>5.6375999999999999</v>
      </c>
      <c r="V713" s="56">
        <f>Table11[[#This Row],[Profit]]/Table11[[#This Row],[Sales]]</f>
        <v>0.36249999999999999</v>
      </c>
    </row>
    <row r="714" spans="1:22" x14ac:dyDescent="0.2">
      <c r="A714" s="2">
        <v>713</v>
      </c>
      <c r="B714" s="5" t="s">
        <v>7740</v>
      </c>
      <c r="C714" s="6">
        <v>42187</v>
      </c>
      <c r="D714" s="27">
        <f>MONTH(Table11[[#This Row],[Order Date]])</f>
        <v>7</v>
      </c>
      <c r="E714" s="5" t="s">
        <v>7259</v>
      </c>
      <c r="F714" s="5" t="s">
        <v>7260</v>
      </c>
      <c r="G714" s="24" t="s">
        <v>41</v>
      </c>
      <c r="H714" s="24" t="s">
        <v>82</v>
      </c>
      <c r="I714" s="5" t="s">
        <v>1892</v>
      </c>
      <c r="J714" s="24" t="s">
        <v>92</v>
      </c>
      <c r="K714" s="27">
        <v>3</v>
      </c>
      <c r="L714" s="6">
        <v>42188</v>
      </c>
      <c r="M714" s="27">
        <f>Table11[[#This Row],[Ship Date]]-Table11[[#This Row],[Order Date]]</f>
        <v>1</v>
      </c>
      <c r="N714" s="24" t="s">
        <v>169</v>
      </c>
      <c r="O714" s="24" t="s">
        <v>23</v>
      </c>
      <c r="P714" s="24" t="s">
        <v>238</v>
      </c>
      <c r="Q714" s="24" t="s">
        <v>133</v>
      </c>
      <c r="R714" s="24" t="s">
        <v>237</v>
      </c>
      <c r="S714" s="34">
        <v>0</v>
      </c>
      <c r="T714" s="15">
        <v>19.440000000000001</v>
      </c>
      <c r="U714" s="18">
        <v>9.3312000000000008</v>
      </c>
      <c r="V714" s="56">
        <f>Table11[[#This Row],[Profit]]/Table11[[#This Row],[Sales]]</f>
        <v>0.48000000000000004</v>
      </c>
    </row>
    <row r="715" spans="1:22" x14ac:dyDescent="0.2">
      <c r="A715" s="4">
        <v>714</v>
      </c>
      <c r="B715" s="3" t="s">
        <v>9490</v>
      </c>
      <c r="C715" s="7">
        <v>42187</v>
      </c>
      <c r="D715" s="28">
        <f>MONTH(Table11[[#This Row],[Order Date]])</f>
        <v>7</v>
      </c>
      <c r="E715" s="3" t="s">
        <v>3147</v>
      </c>
      <c r="F715" s="3" t="s">
        <v>3148</v>
      </c>
      <c r="G715" s="25" t="s">
        <v>64</v>
      </c>
      <c r="H715" s="25" t="s">
        <v>65</v>
      </c>
      <c r="I715" s="3" t="s">
        <v>1036</v>
      </c>
      <c r="J715" s="25" t="s">
        <v>36</v>
      </c>
      <c r="K715" s="28">
        <v>1</v>
      </c>
      <c r="L715" s="7">
        <v>42189</v>
      </c>
      <c r="M715" s="28">
        <f>Table11[[#This Row],[Ship Date]]-Table11[[#This Row],[Order Date]]</f>
        <v>2</v>
      </c>
      <c r="N715" s="25" t="s">
        <v>169</v>
      </c>
      <c r="O715" s="25" t="s">
        <v>23</v>
      </c>
      <c r="P715" s="25" t="s">
        <v>80</v>
      </c>
      <c r="Q715" s="25" t="s">
        <v>26</v>
      </c>
      <c r="R715" s="25" t="s">
        <v>4054</v>
      </c>
      <c r="S715" s="35">
        <v>0.2</v>
      </c>
      <c r="T715" s="16">
        <v>74.239999999999995</v>
      </c>
      <c r="U715" s="19">
        <v>8.3520000000000003</v>
      </c>
      <c r="V715" s="56">
        <f>Table11[[#This Row],[Profit]]/Table11[[#This Row],[Sales]]</f>
        <v>0.11250000000000002</v>
      </c>
    </row>
    <row r="716" spans="1:22" x14ac:dyDescent="0.2">
      <c r="A716" s="4">
        <v>715</v>
      </c>
      <c r="B716" s="5" t="s">
        <v>9490</v>
      </c>
      <c r="C716" s="6">
        <v>42187</v>
      </c>
      <c r="D716" s="27">
        <f>MONTH(Table11[[#This Row],[Order Date]])</f>
        <v>7</v>
      </c>
      <c r="E716" s="5" t="s">
        <v>3057</v>
      </c>
      <c r="F716" s="5" t="s">
        <v>3058</v>
      </c>
      <c r="G716" s="24" t="s">
        <v>28</v>
      </c>
      <c r="H716" s="24" t="s">
        <v>58</v>
      </c>
      <c r="I716" s="5" t="s">
        <v>1036</v>
      </c>
      <c r="J716" s="24" t="s">
        <v>36</v>
      </c>
      <c r="K716" s="27">
        <v>10</v>
      </c>
      <c r="L716" s="6">
        <v>42189</v>
      </c>
      <c r="M716" s="27">
        <f>Table11[[#This Row],[Ship Date]]-Table11[[#This Row],[Order Date]]</f>
        <v>2</v>
      </c>
      <c r="N716" s="24" t="s">
        <v>169</v>
      </c>
      <c r="O716" s="24" t="s">
        <v>23</v>
      </c>
      <c r="P716" s="24" t="s">
        <v>80</v>
      </c>
      <c r="Q716" s="24" t="s">
        <v>26</v>
      </c>
      <c r="R716" s="24" t="s">
        <v>4054</v>
      </c>
      <c r="S716" s="34">
        <v>0.2</v>
      </c>
      <c r="T716" s="15">
        <v>159.84</v>
      </c>
      <c r="U716" s="18">
        <v>45.954000000000001</v>
      </c>
      <c r="V716" s="56">
        <f>Table11[[#This Row],[Profit]]/Table11[[#This Row],[Sales]]</f>
        <v>0.28749999999999998</v>
      </c>
    </row>
    <row r="717" spans="1:22" x14ac:dyDescent="0.2">
      <c r="A717" s="2">
        <v>716</v>
      </c>
      <c r="B717" s="3" t="s">
        <v>9490</v>
      </c>
      <c r="C717" s="7">
        <v>42187</v>
      </c>
      <c r="D717" s="28">
        <f>MONTH(Table11[[#This Row],[Order Date]])</f>
        <v>7</v>
      </c>
      <c r="E717" s="3" t="s">
        <v>1857</v>
      </c>
      <c r="F717" s="3" t="s">
        <v>1858</v>
      </c>
      <c r="G717" s="25" t="s">
        <v>41</v>
      </c>
      <c r="H717" s="25" t="s">
        <v>68</v>
      </c>
      <c r="I717" s="3" t="s">
        <v>1036</v>
      </c>
      <c r="J717" s="25" t="s">
        <v>36</v>
      </c>
      <c r="K717" s="28">
        <v>2</v>
      </c>
      <c r="L717" s="7">
        <v>42189</v>
      </c>
      <c r="M717" s="28">
        <f>Table11[[#This Row],[Ship Date]]-Table11[[#This Row],[Order Date]]</f>
        <v>2</v>
      </c>
      <c r="N717" s="25" t="s">
        <v>169</v>
      </c>
      <c r="O717" s="25" t="s">
        <v>23</v>
      </c>
      <c r="P717" s="25" t="s">
        <v>80</v>
      </c>
      <c r="Q717" s="25" t="s">
        <v>26</v>
      </c>
      <c r="R717" s="25" t="s">
        <v>4054</v>
      </c>
      <c r="S717" s="35">
        <v>0.7</v>
      </c>
      <c r="T717" s="16">
        <v>2.8919999999999999</v>
      </c>
      <c r="U717" s="19">
        <v>-2.3136000000000001</v>
      </c>
      <c r="V717" s="56">
        <f>Table11[[#This Row],[Profit]]/Table11[[#This Row],[Sales]]</f>
        <v>-0.8</v>
      </c>
    </row>
    <row r="718" spans="1:22" x14ac:dyDescent="0.2">
      <c r="A718" s="4">
        <v>717</v>
      </c>
      <c r="B718" s="5" t="s">
        <v>9490</v>
      </c>
      <c r="C718" s="6">
        <v>42187</v>
      </c>
      <c r="D718" s="27">
        <f>MONTH(Table11[[#This Row],[Order Date]])</f>
        <v>7</v>
      </c>
      <c r="E718" s="5" t="s">
        <v>2431</v>
      </c>
      <c r="F718" s="5" t="s">
        <v>2432</v>
      </c>
      <c r="G718" s="24" t="s">
        <v>41</v>
      </c>
      <c r="H718" s="24" t="s">
        <v>82</v>
      </c>
      <c r="I718" s="5" t="s">
        <v>1036</v>
      </c>
      <c r="J718" s="24" t="s">
        <v>36</v>
      </c>
      <c r="K718" s="27">
        <v>2</v>
      </c>
      <c r="L718" s="6">
        <v>42189</v>
      </c>
      <c r="M718" s="27">
        <f>Table11[[#This Row],[Ship Date]]-Table11[[#This Row],[Order Date]]</f>
        <v>2</v>
      </c>
      <c r="N718" s="24" t="s">
        <v>169</v>
      </c>
      <c r="O718" s="24" t="s">
        <v>23</v>
      </c>
      <c r="P718" s="24" t="s">
        <v>80</v>
      </c>
      <c r="Q718" s="24" t="s">
        <v>26</v>
      </c>
      <c r="R718" s="24" t="s">
        <v>4054</v>
      </c>
      <c r="S718" s="34">
        <v>0.2</v>
      </c>
      <c r="T718" s="15">
        <v>9.3919999999999995</v>
      </c>
      <c r="U718" s="18">
        <v>3.2871999999999999</v>
      </c>
      <c r="V718" s="56">
        <f>Table11[[#This Row],[Profit]]/Table11[[#This Row],[Sales]]</f>
        <v>0.35000000000000003</v>
      </c>
    </row>
    <row r="719" spans="1:22" x14ac:dyDescent="0.2">
      <c r="A719" s="4">
        <v>718</v>
      </c>
      <c r="B719" s="3" t="s">
        <v>1738</v>
      </c>
      <c r="C719" s="7">
        <v>42188</v>
      </c>
      <c r="D719" s="28">
        <f>MONTH(Table11[[#This Row],[Order Date]])</f>
        <v>7</v>
      </c>
      <c r="E719" s="3" t="s">
        <v>1278</v>
      </c>
      <c r="F719" s="3" t="s">
        <v>1279</v>
      </c>
      <c r="G719" s="25" t="s">
        <v>28</v>
      </c>
      <c r="H719" s="25" t="s">
        <v>32</v>
      </c>
      <c r="I719" s="3" t="s">
        <v>1739</v>
      </c>
      <c r="J719" s="25" t="s">
        <v>22</v>
      </c>
      <c r="K719" s="28">
        <v>1</v>
      </c>
      <c r="L719" s="7">
        <v>42194</v>
      </c>
      <c r="M719" s="28">
        <f>Table11[[#This Row],[Ship Date]]-Table11[[#This Row],[Order Date]]</f>
        <v>6</v>
      </c>
      <c r="N719" s="25" t="s">
        <v>45</v>
      </c>
      <c r="O719" s="25" t="s">
        <v>23</v>
      </c>
      <c r="P719" s="25" t="s">
        <v>25</v>
      </c>
      <c r="Q719" s="25" t="s">
        <v>26</v>
      </c>
      <c r="R719" s="25" t="s">
        <v>1294</v>
      </c>
      <c r="S719" s="35">
        <v>0</v>
      </c>
      <c r="T719" s="16">
        <v>70.98</v>
      </c>
      <c r="U719" s="19">
        <v>4.9686000000000003</v>
      </c>
      <c r="V719" s="56">
        <f>Table11[[#This Row],[Profit]]/Table11[[#This Row],[Sales]]</f>
        <v>7.0000000000000007E-2</v>
      </c>
    </row>
    <row r="720" spans="1:22" x14ac:dyDescent="0.2">
      <c r="A720" s="2">
        <v>719</v>
      </c>
      <c r="B720" s="5" t="s">
        <v>1738</v>
      </c>
      <c r="C720" s="6">
        <v>42188</v>
      </c>
      <c r="D720" s="27">
        <f>MONTH(Table11[[#This Row],[Order Date]])</f>
        <v>7</v>
      </c>
      <c r="E720" s="5" t="s">
        <v>1740</v>
      </c>
      <c r="F720" s="5" t="s">
        <v>1741</v>
      </c>
      <c r="G720" s="24" t="s">
        <v>41</v>
      </c>
      <c r="H720" s="24" t="s">
        <v>42</v>
      </c>
      <c r="I720" s="5" t="s">
        <v>1739</v>
      </c>
      <c r="J720" s="24" t="s">
        <v>22</v>
      </c>
      <c r="K720" s="27">
        <v>3</v>
      </c>
      <c r="L720" s="6">
        <v>42194</v>
      </c>
      <c r="M720" s="27">
        <f>Table11[[#This Row],[Ship Date]]-Table11[[#This Row],[Order Date]]</f>
        <v>6</v>
      </c>
      <c r="N720" s="24" t="s">
        <v>45</v>
      </c>
      <c r="O720" s="24" t="s">
        <v>23</v>
      </c>
      <c r="P720" s="24" t="s">
        <v>25</v>
      </c>
      <c r="Q720" s="24" t="s">
        <v>26</v>
      </c>
      <c r="R720" s="24" t="s">
        <v>1294</v>
      </c>
      <c r="S720" s="34">
        <v>0</v>
      </c>
      <c r="T720" s="15">
        <v>294.93</v>
      </c>
      <c r="U720" s="18">
        <v>144.51570000000001</v>
      </c>
      <c r="V720" s="56">
        <f>Table11[[#This Row],[Profit]]/Table11[[#This Row],[Sales]]</f>
        <v>0.49000000000000005</v>
      </c>
    </row>
    <row r="721" spans="1:22" x14ac:dyDescent="0.2">
      <c r="A721" s="4">
        <v>720</v>
      </c>
      <c r="B721" s="3" t="s">
        <v>2736</v>
      </c>
      <c r="C721" s="7">
        <v>42188</v>
      </c>
      <c r="D721" s="28">
        <f>MONTH(Table11[[#This Row],[Order Date]])</f>
        <v>7</v>
      </c>
      <c r="E721" s="3" t="s">
        <v>2738</v>
      </c>
      <c r="F721" s="3" t="s">
        <v>2739</v>
      </c>
      <c r="G721" s="25" t="s">
        <v>28</v>
      </c>
      <c r="H721" s="25" t="s">
        <v>58</v>
      </c>
      <c r="I721" s="3" t="s">
        <v>2737</v>
      </c>
      <c r="J721" s="25" t="s">
        <v>36</v>
      </c>
      <c r="K721" s="28">
        <v>2</v>
      </c>
      <c r="L721" s="7">
        <v>42190</v>
      </c>
      <c r="M721" s="28">
        <f>Table11[[#This Row],[Ship Date]]-Table11[[#This Row],[Order Date]]</f>
        <v>2</v>
      </c>
      <c r="N721" s="25" t="s">
        <v>169</v>
      </c>
      <c r="O721" s="25" t="s">
        <v>23</v>
      </c>
      <c r="P721" s="25" t="s">
        <v>132</v>
      </c>
      <c r="Q721" s="25" t="s">
        <v>133</v>
      </c>
      <c r="R721" s="25" t="s">
        <v>131</v>
      </c>
      <c r="S721" s="35">
        <v>0.2</v>
      </c>
      <c r="T721" s="16">
        <v>168.464</v>
      </c>
      <c r="U721" s="19">
        <v>-29.481200000000001</v>
      </c>
      <c r="V721" s="56">
        <f>Table11[[#This Row],[Profit]]/Table11[[#This Row],[Sales]]</f>
        <v>-0.17500000000000002</v>
      </c>
    </row>
    <row r="722" spans="1:22" x14ac:dyDescent="0.2">
      <c r="A722" s="4">
        <v>721</v>
      </c>
      <c r="B722" s="5" t="s">
        <v>2736</v>
      </c>
      <c r="C722" s="6">
        <v>42188</v>
      </c>
      <c r="D722" s="27">
        <f>MONTH(Table11[[#This Row],[Order Date]])</f>
        <v>7</v>
      </c>
      <c r="E722" s="5" t="s">
        <v>2740</v>
      </c>
      <c r="F722" s="5" t="s">
        <v>2741</v>
      </c>
      <c r="G722" s="24" t="s">
        <v>41</v>
      </c>
      <c r="H722" s="24" t="s">
        <v>82</v>
      </c>
      <c r="I722" s="5" t="s">
        <v>2737</v>
      </c>
      <c r="J722" s="24" t="s">
        <v>36</v>
      </c>
      <c r="K722" s="27">
        <v>2</v>
      </c>
      <c r="L722" s="6">
        <v>42190</v>
      </c>
      <c r="M722" s="27">
        <f>Table11[[#This Row],[Ship Date]]-Table11[[#This Row],[Order Date]]</f>
        <v>2</v>
      </c>
      <c r="N722" s="24" t="s">
        <v>169</v>
      </c>
      <c r="O722" s="24" t="s">
        <v>23</v>
      </c>
      <c r="P722" s="24" t="s">
        <v>132</v>
      </c>
      <c r="Q722" s="24" t="s">
        <v>133</v>
      </c>
      <c r="R722" s="24" t="s">
        <v>131</v>
      </c>
      <c r="S722" s="34">
        <v>0.2</v>
      </c>
      <c r="T722" s="15">
        <v>6.72</v>
      </c>
      <c r="U722" s="18">
        <v>2.4359999999999999</v>
      </c>
      <c r="V722" s="56">
        <f>Table11[[#This Row],[Profit]]/Table11[[#This Row],[Sales]]</f>
        <v>0.36249999999999999</v>
      </c>
    </row>
    <row r="723" spans="1:22" x14ac:dyDescent="0.2">
      <c r="A723" s="2">
        <v>722</v>
      </c>
      <c r="B723" s="3" t="s">
        <v>2736</v>
      </c>
      <c r="C723" s="7">
        <v>42188</v>
      </c>
      <c r="D723" s="28">
        <f>MONTH(Table11[[#This Row],[Order Date]])</f>
        <v>7</v>
      </c>
      <c r="E723" s="3" t="s">
        <v>2742</v>
      </c>
      <c r="F723" s="3" t="s">
        <v>2743</v>
      </c>
      <c r="G723" s="25" t="s">
        <v>28</v>
      </c>
      <c r="H723" s="25" t="s">
        <v>58</v>
      </c>
      <c r="I723" s="3" t="s">
        <v>2737</v>
      </c>
      <c r="J723" s="25" t="s">
        <v>36</v>
      </c>
      <c r="K723" s="28">
        <v>9</v>
      </c>
      <c r="L723" s="7">
        <v>42190</v>
      </c>
      <c r="M723" s="28">
        <f>Table11[[#This Row],[Ship Date]]-Table11[[#This Row],[Order Date]]</f>
        <v>2</v>
      </c>
      <c r="N723" s="25" t="s">
        <v>169</v>
      </c>
      <c r="O723" s="25" t="s">
        <v>23</v>
      </c>
      <c r="P723" s="25" t="s">
        <v>132</v>
      </c>
      <c r="Q723" s="25" t="s">
        <v>133</v>
      </c>
      <c r="R723" s="25" t="s">
        <v>131</v>
      </c>
      <c r="S723" s="35">
        <v>0.2</v>
      </c>
      <c r="T723" s="16">
        <v>282.88799999999998</v>
      </c>
      <c r="U723" s="19">
        <v>56.577599999999997</v>
      </c>
      <c r="V723" s="56">
        <f>Table11[[#This Row],[Profit]]/Table11[[#This Row],[Sales]]</f>
        <v>0.2</v>
      </c>
    </row>
    <row r="724" spans="1:22" x14ac:dyDescent="0.2">
      <c r="A724" s="4">
        <v>723</v>
      </c>
      <c r="B724" s="5" t="s">
        <v>3091</v>
      </c>
      <c r="C724" s="6">
        <v>42189</v>
      </c>
      <c r="D724" s="27">
        <f>MONTH(Table11[[#This Row],[Order Date]])</f>
        <v>7</v>
      </c>
      <c r="E724" s="5" t="s">
        <v>3092</v>
      </c>
      <c r="F724" s="5" t="s">
        <v>3093</v>
      </c>
      <c r="G724" s="24" t="s">
        <v>64</v>
      </c>
      <c r="H724" s="24" t="s">
        <v>65</v>
      </c>
      <c r="I724" s="5" t="s">
        <v>85</v>
      </c>
      <c r="J724" s="24" t="s">
        <v>22</v>
      </c>
      <c r="K724" s="27">
        <v>4</v>
      </c>
      <c r="L724" s="6">
        <v>42194</v>
      </c>
      <c r="M724" s="27">
        <f>Table11[[#This Row],[Ship Date]]-Table11[[#This Row],[Order Date]]</f>
        <v>5</v>
      </c>
      <c r="N724" s="24" t="s">
        <v>45</v>
      </c>
      <c r="O724" s="24" t="s">
        <v>23</v>
      </c>
      <c r="P724" s="24" t="s">
        <v>103</v>
      </c>
      <c r="Q724" s="24" t="s">
        <v>95</v>
      </c>
      <c r="R724" s="24" t="s">
        <v>2242</v>
      </c>
      <c r="S724" s="34">
        <v>0</v>
      </c>
      <c r="T724" s="15">
        <v>1099.96</v>
      </c>
      <c r="U724" s="18">
        <v>285.9896</v>
      </c>
      <c r="V724" s="56">
        <f>Table11[[#This Row],[Profit]]/Table11[[#This Row],[Sales]]</f>
        <v>0.26</v>
      </c>
    </row>
    <row r="725" spans="1:22" x14ac:dyDescent="0.2">
      <c r="A725" s="4">
        <v>724</v>
      </c>
      <c r="B725" s="3" t="s">
        <v>3162</v>
      </c>
      <c r="C725" s="7">
        <v>42189</v>
      </c>
      <c r="D725" s="28">
        <f>MONTH(Table11[[#This Row],[Order Date]])</f>
        <v>7</v>
      </c>
      <c r="E725" s="3" t="s">
        <v>3163</v>
      </c>
      <c r="F725" s="3" t="s">
        <v>3164</v>
      </c>
      <c r="G725" s="25" t="s">
        <v>41</v>
      </c>
      <c r="H725" s="25" t="s">
        <v>61</v>
      </c>
      <c r="I725" s="3" t="s">
        <v>471</v>
      </c>
      <c r="J725" s="25" t="s">
        <v>92</v>
      </c>
      <c r="K725" s="28">
        <v>3</v>
      </c>
      <c r="L725" s="7">
        <v>42193</v>
      </c>
      <c r="M725" s="28">
        <f>Table11[[#This Row],[Ship Date]]-Table11[[#This Row],[Order Date]]</f>
        <v>4</v>
      </c>
      <c r="N725" s="25" t="s">
        <v>45</v>
      </c>
      <c r="O725" s="25" t="s">
        <v>23</v>
      </c>
      <c r="P725" s="25" t="s">
        <v>238</v>
      </c>
      <c r="Q725" s="25" t="s">
        <v>133</v>
      </c>
      <c r="R725" s="25" t="s">
        <v>237</v>
      </c>
      <c r="S725" s="35">
        <v>0</v>
      </c>
      <c r="T725" s="16">
        <v>15.48</v>
      </c>
      <c r="U725" s="19">
        <v>4.4892000000000003</v>
      </c>
      <c r="V725" s="56">
        <f>Table11[[#This Row],[Profit]]/Table11[[#This Row],[Sales]]</f>
        <v>0.29000000000000004</v>
      </c>
    </row>
    <row r="726" spans="1:22" x14ac:dyDescent="0.2">
      <c r="A726" s="2">
        <v>725</v>
      </c>
      <c r="B726" s="5" t="s">
        <v>8961</v>
      </c>
      <c r="C726" s="6">
        <v>42189</v>
      </c>
      <c r="D726" s="27">
        <f>MONTH(Table11[[#This Row],[Order Date]])</f>
        <v>7</v>
      </c>
      <c r="E726" s="5" t="s">
        <v>975</v>
      </c>
      <c r="F726" s="5" t="s">
        <v>976</v>
      </c>
      <c r="G726" s="24" t="s">
        <v>41</v>
      </c>
      <c r="H726" s="24" t="s">
        <v>68</v>
      </c>
      <c r="I726" s="5" t="s">
        <v>5275</v>
      </c>
      <c r="J726" s="24" t="s">
        <v>92</v>
      </c>
      <c r="K726" s="27">
        <v>2</v>
      </c>
      <c r="L726" s="6">
        <v>42193</v>
      </c>
      <c r="M726" s="27">
        <f>Table11[[#This Row],[Ship Date]]-Table11[[#This Row],[Order Date]]</f>
        <v>4</v>
      </c>
      <c r="N726" s="24" t="s">
        <v>20</v>
      </c>
      <c r="O726" s="24" t="s">
        <v>23</v>
      </c>
      <c r="P726" s="24" t="s">
        <v>38</v>
      </c>
      <c r="Q726" s="24" t="s">
        <v>39</v>
      </c>
      <c r="R726" s="24" t="s">
        <v>836</v>
      </c>
      <c r="S726" s="34">
        <v>0.2</v>
      </c>
      <c r="T726" s="15">
        <v>22.847999999999999</v>
      </c>
      <c r="U726" s="18">
        <v>7.4256000000000002</v>
      </c>
      <c r="V726" s="56">
        <f>Table11[[#This Row],[Profit]]/Table11[[#This Row],[Sales]]</f>
        <v>0.32500000000000001</v>
      </c>
    </row>
    <row r="727" spans="1:22" x14ac:dyDescent="0.2">
      <c r="A727" s="4">
        <v>726</v>
      </c>
      <c r="B727" s="3" t="s">
        <v>5117</v>
      </c>
      <c r="C727" s="7">
        <v>42190</v>
      </c>
      <c r="D727" s="28">
        <f>MONTH(Table11[[#This Row],[Order Date]])</f>
        <v>7</v>
      </c>
      <c r="E727" s="3" t="s">
        <v>5118</v>
      </c>
      <c r="F727" s="3" t="s">
        <v>5119</v>
      </c>
      <c r="G727" s="25" t="s">
        <v>28</v>
      </c>
      <c r="H727" s="25" t="s">
        <v>58</v>
      </c>
      <c r="I727" s="3" t="s">
        <v>4076</v>
      </c>
      <c r="J727" s="25" t="s">
        <v>36</v>
      </c>
      <c r="K727" s="28">
        <v>2</v>
      </c>
      <c r="L727" s="7">
        <v>42195</v>
      </c>
      <c r="M727" s="28">
        <f>Table11[[#This Row],[Ship Date]]-Table11[[#This Row],[Order Date]]</f>
        <v>5</v>
      </c>
      <c r="N727" s="25" t="s">
        <v>20</v>
      </c>
      <c r="O727" s="25" t="s">
        <v>23</v>
      </c>
      <c r="P727" s="25" t="s">
        <v>80</v>
      </c>
      <c r="Q727" s="25" t="s">
        <v>26</v>
      </c>
      <c r="R727" s="25" t="s">
        <v>1509</v>
      </c>
      <c r="S727" s="35">
        <v>0.2</v>
      </c>
      <c r="T727" s="16">
        <v>4.9279999999999999</v>
      </c>
      <c r="U727" s="19">
        <v>0.73919999999999997</v>
      </c>
      <c r="V727" s="56">
        <f>Table11[[#This Row],[Profit]]/Table11[[#This Row],[Sales]]</f>
        <v>0.15</v>
      </c>
    </row>
    <row r="728" spans="1:22" x14ac:dyDescent="0.2">
      <c r="A728" s="4">
        <v>727</v>
      </c>
      <c r="B728" s="5" t="s">
        <v>5117</v>
      </c>
      <c r="C728" s="6">
        <v>42190</v>
      </c>
      <c r="D728" s="27">
        <f>MONTH(Table11[[#This Row],[Order Date]])</f>
        <v>7</v>
      </c>
      <c r="E728" s="5" t="s">
        <v>1857</v>
      </c>
      <c r="F728" s="5" t="s">
        <v>1858</v>
      </c>
      <c r="G728" s="24" t="s">
        <v>41</v>
      </c>
      <c r="H728" s="24" t="s">
        <v>68</v>
      </c>
      <c r="I728" s="5" t="s">
        <v>4076</v>
      </c>
      <c r="J728" s="24" t="s">
        <v>36</v>
      </c>
      <c r="K728" s="27">
        <v>5</v>
      </c>
      <c r="L728" s="6">
        <v>42195</v>
      </c>
      <c r="M728" s="27">
        <f>Table11[[#This Row],[Ship Date]]-Table11[[#This Row],[Order Date]]</f>
        <v>5</v>
      </c>
      <c r="N728" s="24" t="s">
        <v>20</v>
      </c>
      <c r="O728" s="24" t="s">
        <v>23</v>
      </c>
      <c r="P728" s="24" t="s">
        <v>80</v>
      </c>
      <c r="Q728" s="24" t="s">
        <v>26</v>
      </c>
      <c r="R728" s="24" t="s">
        <v>1509</v>
      </c>
      <c r="S728" s="34">
        <v>0.7</v>
      </c>
      <c r="T728" s="15">
        <v>7.23</v>
      </c>
      <c r="U728" s="18">
        <v>-5.7839999999999998</v>
      </c>
      <c r="V728" s="56">
        <f>Table11[[#This Row],[Profit]]/Table11[[#This Row],[Sales]]</f>
        <v>-0.79999999999999993</v>
      </c>
    </row>
    <row r="729" spans="1:22" x14ac:dyDescent="0.2">
      <c r="A729" s="2">
        <v>728</v>
      </c>
      <c r="B729" s="3" t="s">
        <v>5525</v>
      </c>
      <c r="C729" s="7">
        <v>42190</v>
      </c>
      <c r="D729" s="28">
        <f>MONTH(Table11[[#This Row],[Order Date]])</f>
        <v>7</v>
      </c>
      <c r="E729" s="3" t="s">
        <v>5527</v>
      </c>
      <c r="F729" s="3" t="s">
        <v>5528</v>
      </c>
      <c r="G729" s="25" t="s">
        <v>41</v>
      </c>
      <c r="H729" s="25" t="s">
        <v>68</v>
      </c>
      <c r="I729" s="3" t="s">
        <v>1227</v>
      </c>
      <c r="J729" s="25" t="s">
        <v>92</v>
      </c>
      <c r="K729" s="28">
        <v>5</v>
      </c>
      <c r="L729" s="7">
        <v>42195</v>
      </c>
      <c r="M729" s="28">
        <f>Table11[[#This Row],[Ship Date]]-Table11[[#This Row],[Order Date]]</f>
        <v>5</v>
      </c>
      <c r="N729" s="25" t="s">
        <v>45</v>
      </c>
      <c r="O729" s="25" t="s">
        <v>23</v>
      </c>
      <c r="P729" s="25" t="s">
        <v>212</v>
      </c>
      <c r="Q729" s="25" t="s">
        <v>95</v>
      </c>
      <c r="R729" s="25" t="s">
        <v>5526</v>
      </c>
      <c r="S729" s="35">
        <v>0</v>
      </c>
      <c r="T729" s="16">
        <v>19</v>
      </c>
      <c r="U729" s="19">
        <v>8.93</v>
      </c>
      <c r="V729" s="56">
        <f>Table11[[#This Row],[Profit]]/Table11[[#This Row],[Sales]]</f>
        <v>0.47</v>
      </c>
    </row>
    <row r="730" spans="1:22" x14ac:dyDescent="0.2">
      <c r="A730" s="4">
        <v>729</v>
      </c>
      <c r="B730" s="5" t="s">
        <v>6738</v>
      </c>
      <c r="C730" s="6">
        <v>42190</v>
      </c>
      <c r="D730" s="27">
        <f>MONTH(Table11[[#This Row],[Order Date]])</f>
        <v>7</v>
      </c>
      <c r="E730" s="5" t="s">
        <v>655</v>
      </c>
      <c r="F730" s="5" t="s">
        <v>656</v>
      </c>
      <c r="G730" s="24" t="s">
        <v>64</v>
      </c>
      <c r="H730" s="24" t="s">
        <v>144</v>
      </c>
      <c r="I730" s="5" t="s">
        <v>4654</v>
      </c>
      <c r="J730" s="24" t="s">
        <v>22</v>
      </c>
      <c r="K730" s="27">
        <v>3</v>
      </c>
      <c r="L730" s="6">
        <v>42195</v>
      </c>
      <c r="M730" s="27">
        <f>Table11[[#This Row],[Ship Date]]-Table11[[#This Row],[Order Date]]</f>
        <v>5</v>
      </c>
      <c r="N730" s="24" t="s">
        <v>45</v>
      </c>
      <c r="O730" s="24" t="s">
        <v>23</v>
      </c>
      <c r="P730" s="24" t="s">
        <v>132</v>
      </c>
      <c r="Q730" s="24" t="s">
        <v>133</v>
      </c>
      <c r="R730" s="24" t="s">
        <v>131</v>
      </c>
      <c r="S730" s="34">
        <v>0.2</v>
      </c>
      <c r="T730" s="15">
        <v>34.799999999999997</v>
      </c>
      <c r="U730" s="18">
        <v>2.1749999999999998</v>
      </c>
      <c r="V730" s="56">
        <f>Table11[[#This Row],[Profit]]/Table11[[#This Row],[Sales]]</f>
        <v>6.25E-2</v>
      </c>
    </row>
    <row r="731" spans="1:22" x14ac:dyDescent="0.2">
      <c r="A731" s="4">
        <v>730</v>
      </c>
      <c r="B731" s="3" t="s">
        <v>6738</v>
      </c>
      <c r="C731" s="7">
        <v>42190</v>
      </c>
      <c r="D731" s="28">
        <f>MONTH(Table11[[#This Row],[Order Date]])</f>
        <v>7</v>
      </c>
      <c r="E731" s="3" t="s">
        <v>2473</v>
      </c>
      <c r="F731" s="3" t="s">
        <v>2474</v>
      </c>
      <c r="G731" s="25" t="s">
        <v>41</v>
      </c>
      <c r="H731" s="25" t="s">
        <v>53</v>
      </c>
      <c r="I731" s="3" t="s">
        <v>4654</v>
      </c>
      <c r="J731" s="25" t="s">
        <v>22</v>
      </c>
      <c r="K731" s="28">
        <v>3</v>
      </c>
      <c r="L731" s="7">
        <v>42195</v>
      </c>
      <c r="M731" s="28">
        <f>Table11[[#This Row],[Ship Date]]-Table11[[#This Row],[Order Date]]</f>
        <v>5</v>
      </c>
      <c r="N731" s="25" t="s">
        <v>45</v>
      </c>
      <c r="O731" s="25" t="s">
        <v>23</v>
      </c>
      <c r="P731" s="25" t="s">
        <v>132</v>
      </c>
      <c r="Q731" s="25" t="s">
        <v>133</v>
      </c>
      <c r="R731" s="25" t="s">
        <v>131</v>
      </c>
      <c r="S731" s="35">
        <v>0.2</v>
      </c>
      <c r="T731" s="16">
        <v>38.975999999999999</v>
      </c>
      <c r="U731" s="19">
        <v>-2.4359999999999999</v>
      </c>
      <c r="V731" s="56">
        <f>Table11[[#This Row],[Profit]]/Table11[[#This Row],[Sales]]</f>
        <v>-6.25E-2</v>
      </c>
    </row>
    <row r="732" spans="1:22" x14ac:dyDescent="0.2">
      <c r="A732" s="2">
        <v>731</v>
      </c>
      <c r="B732" s="5" t="s">
        <v>9158</v>
      </c>
      <c r="C732" s="6">
        <v>42190</v>
      </c>
      <c r="D732" s="27">
        <f>MONTH(Table11[[#This Row],[Order Date]])</f>
        <v>7</v>
      </c>
      <c r="E732" s="5" t="s">
        <v>5118</v>
      </c>
      <c r="F732" s="5" t="s">
        <v>5119</v>
      </c>
      <c r="G732" s="24" t="s">
        <v>28</v>
      </c>
      <c r="H732" s="24" t="s">
        <v>58</v>
      </c>
      <c r="I732" s="5" t="s">
        <v>2019</v>
      </c>
      <c r="J732" s="24" t="s">
        <v>36</v>
      </c>
      <c r="K732" s="27">
        <v>2</v>
      </c>
      <c r="L732" s="6">
        <v>42196</v>
      </c>
      <c r="M732" s="27">
        <f>Table11[[#This Row],[Ship Date]]-Table11[[#This Row],[Order Date]]</f>
        <v>6</v>
      </c>
      <c r="N732" s="24" t="s">
        <v>45</v>
      </c>
      <c r="O732" s="24" t="s">
        <v>23</v>
      </c>
      <c r="P732" s="24" t="s">
        <v>80</v>
      </c>
      <c r="Q732" s="24" t="s">
        <v>26</v>
      </c>
      <c r="R732" s="24" t="s">
        <v>414</v>
      </c>
      <c r="S732" s="34">
        <v>0.2</v>
      </c>
      <c r="T732" s="15">
        <v>4.9279999999999999</v>
      </c>
      <c r="U732" s="18">
        <v>0.73919999999999997</v>
      </c>
      <c r="V732" s="56">
        <f>Table11[[#This Row],[Profit]]/Table11[[#This Row],[Sales]]</f>
        <v>0.15</v>
      </c>
    </row>
    <row r="733" spans="1:22" x14ac:dyDescent="0.2">
      <c r="A733" s="4">
        <v>732</v>
      </c>
      <c r="B733" s="3" t="s">
        <v>9158</v>
      </c>
      <c r="C733" s="7">
        <v>42190</v>
      </c>
      <c r="D733" s="28">
        <f>MONTH(Table11[[#This Row],[Order Date]])</f>
        <v>7</v>
      </c>
      <c r="E733" s="3" t="s">
        <v>2081</v>
      </c>
      <c r="F733" s="3" t="s">
        <v>2082</v>
      </c>
      <c r="G733" s="25" t="s">
        <v>41</v>
      </c>
      <c r="H733" s="25" t="s">
        <v>42</v>
      </c>
      <c r="I733" s="3" t="s">
        <v>2019</v>
      </c>
      <c r="J733" s="25" t="s">
        <v>36</v>
      </c>
      <c r="K733" s="28">
        <v>3</v>
      </c>
      <c r="L733" s="7">
        <v>42196</v>
      </c>
      <c r="M733" s="28">
        <f>Table11[[#This Row],[Ship Date]]-Table11[[#This Row],[Order Date]]</f>
        <v>6</v>
      </c>
      <c r="N733" s="25" t="s">
        <v>45</v>
      </c>
      <c r="O733" s="25" t="s">
        <v>23</v>
      </c>
      <c r="P733" s="25" t="s">
        <v>80</v>
      </c>
      <c r="Q733" s="25" t="s">
        <v>26</v>
      </c>
      <c r="R733" s="25" t="s">
        <v>414</v>
      </c>
      <c r="S733" s="35">
        <v>0.2</v>
      </c>
      <c r="T733" s="16">
        <v>11.784000000000001</v>
      </c>
      <c r="U733" s="19">
        <v>4.2717000000000001</v>
      </c>
      <c r="V733" s="56">
        <f>Table11[[#This Row],[Profit]]/Table11[[#This Row],[Sales]]</f>
        <v>0.36249999999999999</v>
      </c>
    </row>
    <row r="734" spans="1:22" x14ac:dyDescent="0.2">
      <c r="A734" s="4">
        <v>733</v>
      </c>
      <c r="B734" s="5" t="s">
        <v>2662</v>
      </c>
      <c r="C734" s="6">
        <v>42191</v>
      </c>
      <c r="D734" s="27">
        <f>MONTH(Table11[[#This Row],[Order Date]])</f>
        <v>7</v>
      </c>
      <c r="E734" s="5" t="s">
        <v>2664</v>
      </c>
      <c r="F734" s="5" t="s">
        <v>2665</v>
      </c>
      <c r="G734" s="24" t="s">
        <v>28</v>
      </c>
      <c r="H734" s="24" t="s">
        <v>58</v>
      </c>
      <c r="I734" s="5" t="s">
        <v>2663</v>
      </c>
      <c r="J734" s="24" t="s">
        <v>36</v>
      </c>
      <c r="K734" s="27">
        <v>2</v>
      </c>
      <c r="L734" s="6">
        <v>42195</v>
      </c>
      <c r="M734" s="27">
        <f>Table11[[#This Row],[Ship Date]]-Table11[[#This Row],[Order Date]]</f>
        <v>4</v>
      </c>
      <c r="N734" s="24" t="s">
        <v>45</v>
      </c>
      <c r="O734" s="24" t="s">
        <v>23</v>
      </c>
      <c r="P734" s="24" t="s">
        <v>238</v>
      </c>
      <c r="Q734" s="24" t="s">
        <v>133</v>
      </c>
      <c r="R734" s="24" t="s">
        <v>237</v>
      </c>
      <c r="S734" s="34">
        <v>0</v>
      </c>
      <c r="T734" s="15">
        <v>13.96</v>
      </c>
      <c r="U734" s="18">
        <v>6.7008000000000001</v>
      </c>
      <c r="V734" s="56">
        <f>Table11[[#This Row],[Profit]]/Table11[[#This Row],[Sales]]</f>
        <v>0.48</v>
      </c>
    </row>
    <row r="735" spans="1:22" x14ac:dyDescent="0.2">
      <c r="A735" s="2">
        <v>734</v>
      </c>
      <c r="B735" s="3" t="s">
        <v>2662</v>
      </c>
      <c r="C735" s="7">
        <v>42191</v>
      </c>
      <c r="D735" s="28">
        <f>MONTH(Table11[[#This Row],[Order Date]])</f>
        <v>7</v>
      </c>
      <c r="E735" s="3" t="s">
        <v>2358</v>
      </c>
      <c r="F735" s="3" t="s">
        <v>2359</v>
      </c>
      <c r="G735" s="25" t="s">
        <v>28</v>
      </c>
      <c r="H735" s="25" t="s">
        <v>58</v>
      </c>
      <c r="I735" s="3" t="s">
        <v>2663</v>
      </c>
      <c r="J735" s="25" t="s">
        <v>36</v>
      </c>
      <c r="K735" s="28">
        <v>3</v>
      </c>
      <c r="L735" s="7">
        <v>42195</v>
      </c>
      <c r="M735" s="28">
        <f>Table11[[#This Row],[Ship Date]]-Table11[[#This Row],[Order Date]]</f>
        <v>4</v>
      </c>
      <c r="N735" s="25" t="s">
        <v>45</v>
      </c>
      <c r="O735" s="25" t="s">
        <v>23</v>
      </c>
      <c r="P735" s="25" t="s">
        <v>238</v>
      </c>
      <c r="Q735" s="25" t="s">
        <v>133</v>
      </c>
      <c r="R735" s="25" t="s">
        <v>237</v>
      </c>
      <c r="S735" s="35">
        <v>0</v>
      </c>
      <c r="T735" s="16">
        <v>155.82</v>
      </c>
      <c r="U735" s="19">
        <v>63.886200000000002</v>
      </c>
      <c r="V735" s="56">
        <f>Table11[[#This Row],[Profit]]/Table11[[#This Row],[Sales]]</f>
        <v>0.41000000000000003</v>
      </c>
    </row>
    <row r="736" spans="1:22" x14ac:dyDescent="0.2">
      <c r="A736" s="4">
        <v>735</v>
      </c>
      <c r="B736" s="5" t="s">
        <v>2662</v>
      </c>
      <c r="C736" s="6">
        <v>42191</v>
      </c>
      <c r="D736" s="27">
        <f>MONTH(Table11[[#This Row],[Order Date]])</f>
        <v>7</v>
      </c>
      <c r="E736" s="5" t="s">
        <v>2666</v>
      </c>
      <c r="F736" s="5" t="s">
        <v>2667</v>
      </c>
      <c r="G736" s="24" t="s">
        <v>64</v>
      </c>
      <c r="H736" s="24" t="s">
        <v>65</v>
      </c>
      <c r="I736" s="5" t="s">
        <v>2663</v>
      </c>
      <c r="J736" s="24" t="s">
        <v>36</v>
      </c>
      <c r="K736" s="27">
        <v>5</v>
      </c>
      <c r="L736" s="6">
        <v>42195</v>
      </c>
      <c r="M736" s="27">
        <f>Table11[[#This Row],[Ship Date]]-Table11[[#This Row],[Order Date]]</f>
        <v>4</v>
      </c>
      <c r="N736" s="24" t="s">
        <v>45</v>
      </c>
      <c r="O736" s="24" t="s">
        <v>23</v>
      </c>
      <c r="P736" s="24" t="s">
        <v>238</v>
      </c>
      <c r="Q736" s="24" t="s">
        <v>133</v>
      </c>
      <c r="R736" s="24" t="s">
        <v>237</v>
      </c>
      <c r="S736" s="34">
        <v>0</v>
      </c>
      <c r="T736" s="15">
        <v>124.95</v>
      </c>
      <c r="U736" s="18">
        <v>2.4990000000000001</v>
      </c>
      <c r="V736" s="56">
        <f>Table11[[#This Row],[Profit]]/Table11[[#This Row],[Sales]]</f>
        <v>0.02</v>
      </c>
    </row>
    <row r="737" spans="1:22" x14ac:dyDescent="0.2">
      <c r="A737" s="4">
        <v>736</v>
      </c>
      <c r="B737" s="3" t="s">
        <v>2662</v>
      </c>
      <c r="C737" s="7">
        <v>42191</v>
      </c>
      <c r="D737" s="28">
        <f>MONTH(Table11[[#This Row],[Order Date]])</f>
        <v>7</v>
      </c>
      <c r="E737" s="3" t="s">
        <v>2668</v>
      </c>
      <c r="F737" s="3" t="s">
        <v>2669</v>
      </c>
      <c r="G737" s="25" t="s">
        <v>41</v>
      </c>
      <c r="H737" s="25" t="s">
        <v>53</v>
      </c>
      <c r="I737" s="3" t="s">
        <v>2663</v>
      </c>
      <c r="J737" s="25" t="s">
        <v>36</v>
      </c>
      <c r="K737" s="28">
        <v>5</v>
      </c>
      <c r="L737" s="7">
        <v>42195</v>
      </c>
      <c r="M737" s="28">
        <f>Table11[[#This Row],[Ship Date]]-Table11[[#This Row],[Order Date]]</f>
        <v>4</v>
      </c>
      <c r="N737" s="25" t="s">
        <v>45</v>
      </c>
      <c r="O737" s="25" t="s">
        <v>23</v>
      </c>
      <c r="P737" s="25" t="s">
        <v>238</v>
      </c>
      <c r="Q737" s="25" t="s">
        <v>133</v>
      </c>
      <c r="R737" s="25" t="s">
        <v>237</v>
      </c>
      <c r="S737" s="35">
        <v>0</v>
      </c>
      <c r="T737" s="16">
        <v>601.65</v>
      </c>
      <c r="U737" s="19">
        <v>156.429</v>
      </c>
      <c r="V737" s="56">
        <f>Table11[[#This Row],[Profit]]/Table11[[#This Row],[Sales]]</f>
        <v>0.26</v>
      </c>
    </row>
    <row r="738" spans="1:22" x14ac:dyDescent="0.2">
      <c r="A738" s="2">
        <v>737</v>
      </c>
      <c r="B738" s="5" t="s">
        <v>4854</v>
      </c>
      <c r="C738" s="6">
        <v>42191</v>
      </c>
      <c r="D738" s="27">
        <f>MONTH(Table11[[#This Row],[Order Date]])</f>
        <v>7</v>
      </c>
      <c r="E738" s="5" t="s">
        <v>1431</v>
      </c>
      <c r="F738" s="5" t="s">
        <v>1432</v>
      </c>
      <c r="G738" s="24" t="s">
        <v>28</v>
      </c>
      <c r="H738" s="24" t="s">
        <v>29</v>
      </c>
      <c r="I738" s="5" t="s">
        <v>3344</v>
      </c>
      <c r="J738" s="24" t="s">
        <v>92</v>
      </c>
      <c r="K738" s="27">
        <v>2</v>
      </c>
      <c r="L738" s="6">
        <v>42196</v>
      </c>
      <c r="M738" s="27">
        <f>Table11[[#This Row],[Ship Date]]-Table11[[#This Row],[Order Date]]</f>
        <v>5</v>
      </c>
      <c r="N738" s="24" t="s">
        <v>45</v>
      </c>
      <c r="O738" s="24" t="s">
        <v>23</v>
      </c>
      <c r="P738" s="24" t="s">
        <v>1101</v>
      </c>
      <c r="Q738" s="24" t="s">
        <v>133</v>
      </c>
      <c r="R738" s="24" t="s">
        <v>4855</v>
      </c>
      <c r="S738" s="34">
        <v>0</v>
      </c>
      <c r="T738" s="15">
        <v>301.95999999999998</v>
      </c>
      <c r="U738" s="18">
        <v>60.392000000000003</v>
      </c>
      <c r="V738" s="56">
        <f>Table11[[#This Row],[Profit]]/Table11[[#This Row],[Sales]]</f>
        <v>0.2</v>
      </c>
    </row>
    <row r="739" spans="1:22" x14ac:dyDescent="0.2">
      <c r="A739" s="4">
        <v>738</v>
      </c>
      <c r="B739" s="3" t="s">
        <v>7285</v>
      </c>
      <c r="C739" s="7">
        <v>42191</v>
      </c>
      <c r="D739" s="28">
        <f>MONTH(Table11[[#This Row],[Order Date]])</f>
        <v>7</v>
      </c>
      <c r="E739" s="3" t="s">
        <v>251</v>
      </c>
      <c r="F739" s="3" t="s">
        <v>252</v>
      </c>
      <c r="G739" s="25" t="s">
        <v>28</v>
      </c>
      <c r="H739" s="25" t="s">
        <v>32</v>
      </c>
      <c r="I739" s="3" t="s">
        <v>5771</v>
      </c>
      <c r="J739" s="25" t="s">
        <v>22</v>
      </c>
      <c r="K739" s="28">
        <v>3</v>
      </c>
      <c r="L739" s="7">
        <v>42196</v>
      </c>
      <c r="M739" s="28">
        <f>Table11[[#This Row],[Ship Date]]-Table11[[#This Row],[Order Date]]</f>
        <v>5</v>
      </c>
      <c r="N739" s="25" t="s">
        <v>45</v>
      </c>
      <c r="O739" s="25" t="s">
        <v>23</v>
      </c>
      <c r="P739" s="25" t="s">
        <v>38</v>
      </c>
      <c r="Q739" s="25" t="s">
        <v>39</v>
      </c>
      <c r="R739" s="25" t="s">
        <v>533</v>
      </c>
      <c r="S739" s="35">
        <v>0.2</v>
      </c>
      <c r="T739" s="16">
        <v>170.352</v>
      </c>
      <c r="U739" s="19">
        <v>-17.0352</v>
      </c>
      <c r="V739" s="56">
        <f>Table11[[#This Row],[Profit]]/Table11[[#This Row],[Sales]]</f>
        <v>-9.9999999999999992E-2</v>
      </c>
    </row>
    <row r="740" spans="1:22" x14ac:dyDescent="0.2">
      <c r="A740" s="4">
        <v>739</v>
      </c>
      <c r="B740" s="5" t="s">
        <v>8351</v>
      </c>
      <c r="C740" s="6">
        <v>42191</v>
      </c>
      <c r="D740" s="27">
        <f>MONTH(Table11[[#This Row],[Order Date]])</f>
        <v>7</v>
      </c>
      <c r="E740" s="5" t="s">
        <v>1134</v>
      </c>
      <c r="F740" s="5" t="s">
        <v>1135</v>
      </c>
      <c r="G740" s="24" t="s">
        <v>41</v>
      </c>
      <c r="H740" s="24" t="s">
        <v>61</v>
      </c>
      <c r="I740" s="5" t="s">
        <v>4076</v>
      </c>
      <c r="J740" s="24" t="s">
        <v>36</v>
      </c>
      <c r="K740" s="27">
        <v>4</v>
      </c>
      <c r="L740" s="6">
        <v>42197</v>
      </c>
      <c r="M740" s="27">
        <f>Table11[[#This Row],[Ship Date]]-Table11[[#This Row],[Order Date]]</f>
        <v>6</v>
      </c>
      <c r="N740" s="24" t="s">
        <v>45</v>
      </c>
      <c r="O740" s="24" t="s">
        <v>23</v>
      </c>
      <c r="P740" s="24" t="s">
        <v>695</v>
      </c>
      <c r="Q740" s="24" t="s">
        <v>133</v>
      </c>
      <c r="R740" s="24" t="s">
        <v>3472</v>
      </c>
      <c r="S740" s="34">
        <v>0</v>
      </c>
      <c r="T740" s="15">
        <v>11.12</v>
      </c>
      <c r="U740" s="18">
        <v>2.8912</v>
      </c>
      <c r="V740" s="56">
        <f>Table11[[#This Row],[Profit]]/Table11[[#This Row],[Sales]]</f>
        <v>0.26</v>
      </c>
    </row>
    <row r="741" spans="1:22" x14ac:dyDescent="0.2">
      <c r="A741" s="2">
        <v>740</v>
      </c>
      <c r="B741" s="3" t="s">
        <v>6562</v>
      </c>
      <c r="C741" s="7">
        <v>42193</v>
      </c>
      <c r="D741" s="28">
        <f>MONTH(Table11[[#This Row],[Order Date]])</f>
        <v>7</v>
      </c>
      <c r="E741" s="3" t="s">
        <v>6563</v>
      </c>
      <c r="F741" s="3" t="s">
        <v>6564</v>
      </c>
      <c r="G741" s="25" t="s">
        <v>41</v>
      </c>
      <c r="H741" s="25" t="s">
        <v>82</v>
      </c>
      <c r="I741" s="3" t="s">
        <v>5340</v>
      </c>
      <c r="J741" s="25" t="s">
        <v>22</v>
      </c>
      <c r="K741" s="28">
        <v>5</v>
      </c>
      <c r="L741" s="7">
        <v>42193</v>
      </c>
      <c r="M741" s="28">
        <f>Table11[[#This Row],[Ship Date]]-Table11[[#This Row],[Order Date]]</f>
        <v>0</v>
      </c>
      <c r="N741" s="25" t="s">
        <v>1141</v>
      </c>
      <c r="O741" s="25" t="s">
        <v>23</v>
      </c>
      <c r="P741" s="25" t="s">
        <v>94</v>
      </c>
      <c r="Q741" s="25" t="s">
        <v>95</v>
      </c>
      <c r="R741" s="25" t="s">
        <v>165</v>
      </c>
      <c r="S741" s="35">
        <v>0.2</v>
      </c>
      <c r="T741" s="16">
        <v>21.12</v>
      </c>
      <c r="U741" s="19">
        <v>6.6</v>
      </c>
      <c r="V741" s="56">
        <f>Table11[[#This Row],[Profit]]/Table11[[#This Row],[Sales]]</f>
        <v>0.31249999999999994</v>
      </c>
    </row>
    <row r="742" spans="1:22" x14ac:dyDescent="0.2">
      <c r="A742" s="4">
        <v>741</v>
      </c>
      <c r="B742" s="5" t="s">
        <v>3978</v>
      </c>
      <c r="C742" s="6">
        <v>42194</v>
      </c>
      <c r="D742" s="27">
        <f>MONTH(Table11[[#This Row],[Order Date]])</f>
        <v>7</v>
      </c>
      <c r="E742" s="5" t="s">
        <v>3979</v>
      </c>
      <c r="F742" s="5" t="s">
        <v>3980</v>
      </c>
      <c r="G742" s="24" t="s">
        <v>41</v>
      </c>
      <c r="H742" s="24" t="s">
        <v>82</v>
      </c>
      <c r="I742" s="5" t="s">
        <v>877</v>
      </c>
      <c r="J742" s="24" t="s">
        <v>36</v>
      </c>
      <c r="K742" s="27">
        <v>2</v>
      </c>
      <c r="L742" s="6">
        <v>42198</v>
      </c>
      <c r="M742" s="27">
        <f>Table11[[#This Row],[Ship Date]]-Table11[[#This Row],[Order Date]]</f>
        <v>4</v>
      </c>
      <c r="N742" s="24" t="s">
        <v>45</v>
      </c>
      <c r="O742" s="24" t="s">
        <v>23</v>
      </c>
      <c r="P742" s="24" t="s">
        <v>1101</v>
      </c>
      <c r="Q742" s="24" t="s">
        <v>133</v>
      </c>
      <c r="R742" s="24" t="s">
        <v>541</v>
      </c>
      <c r="S742" s="34">
        <v>0</v>
      </c>
      <c r="T742" s="15">
        <v>6.58</v>
      </c>
      <c r="U742" s="18">
        <v>3.0268000000000002</v>
      </c>
      <c r="V742" s="56">
        <f>Table11[[#This Row],[Profit]]/Table11[[#This Row],[Sales]]</f>
        <v>0.46</v>
      </c>
    </row>
    <row r="743" spans="1:22" x14ac:dyDescent="0.2">
      <c r="A743" s="4">
        <v>742</v>
      </c>
      <c r="B743" s="3" t="s">
        <v>3978</v>
      </c>
      <c r="C743" s="7">
        <v>42194</v>
      </c>
      <c r="D743" s="28">
        <f>MONTH(Table11[[#This Row],[Order Date]])</f>
        <v>7</v>
      </c>
      <c r="E743" s="3" t="s">
        <v>2755</v>
      </c>
      <c r="F743" s="3" t="s">
        <v>2756</v>
      </c>
      <c r="G743" s="25" t="s">
        <v>41</v>
      </c>
      <c r="H743" s="25" t="s">
        <v>68</v>
      </c>
      <c r="I743" s="3" t="s">
        <v>877</v>
      </c>
      <c r="J743" s="25" t="s">
        <v>36</v>
      </c>
      <c r="K743" s="28">
        <v>3</v>
      </c>
      <c r="L743" s="7">
        <v>42198</v>
      </c>
      <c r="M743" s="28">
        <f>Table11[[#This Row],[Ship Date]]-Table11[[#This Row],[Order Date]]</f>
        <v>4</v>
      </c>
      <c r="N743" s="25" t="s">
        <v>45</v>
      </c>
      <c r="O743" s="25" t="s">
        <v>23</v>
      </c>
      <c r="P743" s="25" t="s">
        <v>1101</v>
      </c>
      <c r="Q743" s="25" t="s">
        <v>133</v>
      </c>
      <c r="R743" s="25" t="s">
        <v>541</v>
      </c>
      <c r="S743" s="35">
        <v>0</v>
      </c>
      <c r="T743" s="16">
        <v>122.94</v>
      </c>
      <c r="U743" s="19">
        <v>59.011200000000002</v>
      </c>
      <c r="V743" s="56">
        <f>Table11[[#This Row],[Profit]]/Table11[[#This Row],[Sales]]</f>
        <v>0.48000000000000004</v>
      </c>
    </row>
    <row r="744" spans="1:22" x14ac:dyDescent="0.2">
      <c r="A744" s="2">
        <v>743</v>
      </c>
      <c r="B744" s="5" t="s">
        <v>5945</v>
      </c>
      <c r="C744" s="6">
        <v>42194</v>
      </c>
      <c r="D744" s="27">
        <f>MONTH(Table11[[#This Row],[Order Date]])</f>
        <v>7</v>
      </c>
      <c r="E744" s="5" t="s">
        <v>5946</v>
      </c>
      <c r="F744" s="5" t="s">
        <v>5947</v>
      </c>
      <c r="G744" s="24" t="s">
        <v>41</v>
      </c>
      <c r="H744" s="24" t="s">
        <v>61</v>
      </c>
      <c r="I744" s="5" t="s">
        <v>137</v>
      </c>
      <c r="J744" s="24" t="s">
        <v>22</v>
      </c>
      <c r="K744" s="27">
        <v>3</v>
      </c>
      <c r="L744" s="6">
        <v>42199</v>
      </c>
      <c r="M744" s="27">
        <f>Table11[[#This Row],[Ship Date]]-Table11[[#This Row],[Order Date]]</f>
        <v>5</v>
      </c>
      <c r="N744" s="24" t="s">
        <v>45</v>
      </c>
      <c r="O744" s="24" t="s">
        <v>23</v>
      </c>
      <c r="P744" s="24" t="s">
        <v>299</v>
      </c>
      <c r="Q744" s="24" t="s">
        <v>26</v>
      </c>
      <c r="R744" s="24" t="s">
        <v>5035</v>
      </c>
      <c r="S744" s="34">
        <v>0.2</v>
      </c>
      <c r="T744" s="15">
        <v>5.16</v>
      </c>
      <c r="U744" s="18">
        <v>0.83850000000000002</v>
      </c>
      <c r="V744" s="56">
        <f>Table11[[#This Row],[Profit]]/Table11[[#This Row],[Sales]]</f>
        <v>0.16250000000000001</v>
      </c>
    </row>
    <row r="745" spans="1:22" x14ac:dyDescent="0.2">
      <c r="A745" s="4">
        <v>744</v>
      </c>
      <c r="B745" s="3" t="s">
        <v>6132</v>
      </c>
      <c r="C745" s="7">
        <v>42194</v>
      </c>
      <c r="D745" s="28">
        <f>MONTH(Table11[[#This Row],[Order Date]])</f>
        <v>7</v>
      </c>
      <c r="E745" s="3" t="s">
        <v>5314</v>
      </c>
      <c r="F745" s="3" t="s">
        <v>5315</v>
      </c>
      <c r="G745" s="25" t="s">
        <v>41</v>
      </c>
      <c r="H745" s="25" t="s">
        <v>240</v>
      </c>
      <c r="I745" s="3" t="s">
        <v>4027</v>
      </c>
      <c r="J745" s="25" t="s">
        <v>22</v>
      </c>
      <c r="K745" s="28">
        <v>4</v>
      </c>
      <c r="L745" s="7">
        <v>42199</v>
      </c>
      <c r="M745" s="28">
        <f>Table11[[#This Row],[Ship Date]]-Table11[[#This Row],[Order Date]]</f>
        <v>5</v>
      </c>
      <c r="N745" s="25" t="s">
        <v>45</v>
      </c>
      <c r="O745" s="25" t="s">
        <v>23</v>
      </c>
      <c r="P745" s="25" t="s">
        <v>2408</v>
      </c>
      <c r="Q745" s="25" t="s">
        <v>133</v>
      </c>
      <c r="R745" s="25" t="s">
        <v>2828</v>
      </c>
      <c r="S745" s="35">
        <v>0</v>
      </c>
      <c r="T745" s="16">
        <v>15.8</v>
      </c>
      <c r="U745" s="19">
        <v>5.056</v>
      </c>
      <c r="V745" s="56">
        <f>Table11[[#This Row],[Profit]]/Table11[[#This Row],[Sales]]</f>
        <v>0.32</v>
      </c>
    </row>
    <row r="746" spans="1:22" x14ac:dyDescent="0.2">
      <c r="A746" s="4">
        <v>745</v>
      </c>
      <c r="B746" s="5" t="s">
        <v>6132</v>
      </c>
      <c r="C746" s="6">
        <v>42194</v>
      </c>
      <c r="D746" s="27">
        <f>MONTH(Table11[[#This Row],[Order Date]])</f>
        <v>7</v>
      </c>
      <c r="E746" s="5" t="s">
        <v>5821</v>
      </c>
      <c r="F746" s="5" t="s">
        <v>5822</v>
      </c>
      <c r="G746" s="24" t="s">
        <v>64</v>
      </c>
      <c r="H746" s="24" t="s">
        <v>602</v>
      </c>
      <c r="I746" s="5" t="s">
        <v>4027</v>
      </c>
      <c r="J746" s="24" t="s">
        <v>22</v>
      </c>
      <c r="K746" s="27">
        <v>3</v>
      </c>
      <c r="L746" s="6">
        <v>42199</v>
      </c>
      <c r="M746" s="27">
        <f>Table11[[#This Row],[Ship Date]]-Table11[[#This Row],[Order Date]]</f>
        <v>5</v>
      </c>
      <c r="N746" s="24" t="s">
        <v>45</v>
      </c>
      <c r="O746" s="24" t="s">
        <v>23</v>
      </c>
      <c r="P746" s="24" t="s">
        <v>2408</v>
      </c>
      <c r="Q746" s="24" t="s">
        <v>133</v>
      </c>
      <c r="R746" s="24" t="s">
        <v>2828</v>
      </c>
      <c r="S746" s="34">
        <v>0</v>
      </c>
      <c r="T746" s="15">
        <v>464.97</v>
      </c>
      <c r="U746" s="18">
        <v>209.23650000000001</v>
      </c>
      <c r="V746" s="56">
        <f>Table11[[#This Row],[Profit]]/Table11[[#This Row],[Sales]]</f>
        <v>0.45</v>
      </c>
    </row>
    <row r="747" spans="1:22" x14ac:dyDescent="0.2">
      <c r="A747" s="2">
        <v>746</v>
      </c>
      <c r="B747" s="3" t="s">
        <v>6132</v>
      </c>
      <c r="C747" s="7">
        <v>42194</v>
      </c>
      <c r="D747" s="28">
        <f>MONTH(Table11[[#This Row],[Order Date]])</f>
        <v>7</v>
      </c>
      <c r="E747" s="3" t="s">
        <v>959</v>
      </c>
      <c r="F747" s="3" t="s">
        <v>960</v>
      </c>
      <c r="G747" s="25" t="s">
        <v>28</v>
      </c>
      <c r="H747" s="25" t="s">
        <v>58</v>
      </c>
      <c r="I747" s="3" t="s">
        <v>4027</v>
      </c>
      <c r="J747" s="25" t="s">
        <v>22</v>
      </c>
      <c r="K747" s="28">
        <v>2</v>
      </c>
      <c r="L747" s="7">
        <v>42199</v>
      </c>
      <c r="M747" s="28">
        <f>Table11[[#This Row],[Ship Date]]-Table11[[#This Row],[Order Date]]</f>
        <v>5</v>
      </c>
      <c r="N747" s="25" t="s">
        <v>45</v>
      </c>
      <c r="O747" s="25" t="s">
        <v>23</v>
      </c>
      <c r="P747" s="25" t="s">
        <v>2408</v>
      </c>
      <c r="Q747" s="25" t="s">
        <v>133</v>
      </c>
      <c r="R747" s="25" t="s">
        <v>2828</v>
      </c>
      <c r="S747" s="35">
        <v>0</v>
      </c>
      <c r="T747" s="16">
        <v>181.96</v>
      </c>
      <c r="U747" s="19">
        <v>20.015599999999999</v>
      </c>
      <c r="V747" s="56">
        <f>Table11[[#This Row],[Profit]]/Table11[[#This Row],[Sales]]</f>
        <v>0.10999999999999999</v>
      </c>
    </row>
    <row r="748" spans="1:22" x14ac:dyDescent="0.2">
      <c r="A748" s="4">
        <v>747</v>
      </c>
      <c r="B748" s="5" t="s">
        <v>6132</v>
      </c>
      <c r="C748" s="6">
        <v>42194</v>
      </c>
      <c r="D748" s="27">
        <f>MONTH(Table11[[#This Row],[Order Date]])</f>
        <v>7</v>
      </c>
      <c r="E748" s="5" t="s">
        <v>6133</v>
      </c>
      <c r="F748" s="5" t="s">
        <v>6134</v>
      </c>
      <c r="G748" s="24" t="s">
        <v>41</v>
      </c>
      <c r="H748" s="24" t="s">
        <v>42</v>
      </c>
      <c r="I748" s="5" t="s">
        <v>4027</v>
      </c>
      <c r="J748" s="24" t="s">
        <v>22</v>
      </c>
      <c r="K748" s="27">
        <v>3</v>
      </c>
      <c r="L748" s="6">
        <v>42199</v>
      </c>
      <c r="M748" s="27">
        <f>Table11[[#This Row],[Ship Date]]-Table11[[#This Row],[Order Date]]</f>
        <v>5</v>
      </c>
      <c r="N748" s="24" t="s">
        <v>45</v>
      </c>
      <c r="O748" s="24" t="s">
        <v>23</v>
      </c>
      <c r="P748" s="24" t="s">
        <v>2408</v>
      </c>
      <c r="Q748" s="24" t="s">
        <v>133</v>
      </c>
      <c r="R748" s="24" t="s">
        <v>2828</v>
      </c>
      <c r="S748" s="34">
        <v>0</v>
      </c>
      <c r="T748" s="15">
        <v>12.39</v>
      </c>
      <c r="U748" s="18">
        <v>5.6993999999999998</v>
      </c>
      <c r="V748" s="56">
        <f>Table11[[#This Row],[Profit]]/Table11[[#This Row],[Sales]]</f>
        <v>0.45999999999999996</v>
      </c>
    </row>
    <row r="749" spans="1:22" x14ac:dyDescent="0.2">
      <c r="A749" s="4">
        <v>748</v>
      </c>
      <c r="B749" s="3" t="s">
        <v>6132</v>
      </c>
      <c r="C749" s="7">
        <v>42194</v>
      </c>
      <c r="D749" s="28">
        <f>MONTH(Table11[[#This Row],[Order Date]])</f>
        <v>7</v>
      </c>
      <c r="E749" s="3" t="s">
        <v>3128</v>
      </c>
      <c r="F749" s="3" t="s">
        <v>3129</v>
      </c>
      <c r="G749" s="25" t="s">
        <v>41</v>
      </c>
      <c r="H749" s="25" t="s">
        <v>68</v>
      </c>
      <c r="I749" s="3" t="s">
        <v>4027</v>
      </c>
      <c r="J749" s="25" t="s">
        <v>22</v>
      </c>
      <c r="K749" s="28">
        <v>3</v>
      </c>
      <c r="L749" s="7">
        <v>42199</v>
      </c>
      <c r="M749" s="28">
        <f>Table11[[#This Row],[Ship Date]]-Table11[[#This Row],[Order Date]]</f>
        <v>5</v>
      </c>
      <c r="N749" s="25" t="s">
        <v>45</v>
      </c>
      <c r="O749" s="25" t="s">
        <v>23</v>
      </c>
      <c r="P749" s="25" t="s">
        <v>2408</v>
      </c>
      <c r="Q749" s="25" t="s">
        <v>133</v>
      </c>
      <c r="R749" s="25" t="s">
        <v>2828</v>
      </c>
      <c r="S749" s="35">
        <v>0</v>
      </c>
      <c r="T749" s="16">
        <v>84.09</v>
      </c>
      <c r="U749" s="19">
        <v>42.045000000000002</v>
      </c>
      <c r="V749" s="56">
        <f>Table11[[#This Row],[Profit]]/Table11[[#This Row],[Sales]]</f>
        <v>0.5</v>
      </c>
    </row>
    <row r="750" spans="1:22" x14ac:dyDescent="0.2">
      <c r="A750" s="2">
        <v>749</v>
      </c>
      <c r="B750" s="5" t="s">
        <v>6132</v>
      </c>
      <c r="C750" s="6">
        <v>42194</v>
      </c>
      <c r="D750" s="27">
        <f>MONTH(Table11[[#This Row],[Order Date]])</f>
        <v>7</v>
      </c>
      <c r="E750" s="5" t="s">
        <v>6135</v>
      </c>
      <c r="F750" s="5" t="s">
        <v>6136</v>
      </c>
      <c r="G750" s="24" t="s">
        <v>41</v>
      </c>
      <c r="H750" s="24" t="s">
        <v>61</v>
      </c>
      <c r="I750" s="5" t="s">
        <v>4027</v>
      </c>
      <c r="J750" s="24" t="s">
        <v>22</v>
      </c>
      <c r="K750" s="27">
        <v>4</v>
      </c>
      <c r="L750" s="6">
        <v>42199</v>
      </c>
      <c r="M750" s="27">
        <f>Table11[[#This Row],[Ship Date]]-Table11[[#This Row],[Order Date]]</f>
        <v>5</v>
      </c>
      <c r="N750" s="24" t="s">
        <v>45</v>
      </c>
      <c r="O750" s="24" t="s">
        <v>23</v>
      </c>
      <c r="P750" s="24" t="s">
        <v>2408</v>
      </c>
      <c r="Q750" s="24" t="s">
        <v>133</v>
      </c>
      <c r="R750" s="24" t="s">
        <v>2828</v>
      </c>
      <c r="S750" s="34">
        <v>0</v>
      </c>
      <c r="T750" s="15">
        <v>79.36</v>
      </c>
      <c r="U750" s="18">
        <v>32.537599999999998</v>
      </c>
      <c r="V750" s="56">
        <f>Table11[[#This Row],[Profit]]/Table11[[#This Row],[Sales]]</f>
        <v>0.41</v>
      </c>
    </row>
    <row r="751" spans="1:22" x14ac:dyDescent="0.2">
      <c r="A751" s="4">
        <v>750</v>
      </c>
      <c r="B751" s="3" t="s">
        <v>6132</v>
      </c>
      <c r="C751" s="7">
        <v>42194</v>
      </c>
      <c r="D751" s="28">
        <f>MONTH(Table11[[#This Row],[Order Date]])</f>
        <v>7</v>
      </c>
      <c r="E751" s="3" t="s">
        <v>2835</v>
      </c>
      <c r="F751" s="3" t="s">
        <v>2836</v>
      </c>
      <c r="G751" s="25" t="s">
        <v>41</v>
      </c>
      <c r="H751" s="25" t="s">
        <v>68</v>
      </c>
      <c r="I751" s="3" t="s">
        <v>4027</v>
      </c>
      <c r="J751" s="25" t="s">
        <v>22</v>
      </c>
      <c r="K751" s="28">
        <v>9</v>
      </c>
      <c r="L751" s="7">
        <v>42199</v>
      </c>
      <c r="M751" s="28">
        <f>Table11[[#This Row],[Ship Date]]-Table11[[#This Row],[Order Date]]</f>
        <v>5</v>
      </c>
      <c r="N751" s="25" t="s">
        <v>45</v>
      </c>
      <c r="O751" s="25" t="s">
        <v>23</v>
      </c>
      <c r="P751" s="25" t="s">
        <v>2408</v>
      </c>
      <c r="Q751" s="25" t="s">
        <v>133</v>
      </c>
      <c r="R751" s="25" t="s">
        <v>2828</v>
      </c>
      <c r="S751" s="35">
        <v>0</v>
      </c>
      <c r="T751" s="16">
        <v>153.36000000000001</v>
      </c>
      <c r="U751" s="19">
        <v>70.545599999999993</v>
      </c>
      <c r="V751" s="56">
        <f>Table11[[#This Row],[Profit]]/Table11[[#This Row],[Sales]]</f>
        <v>0.45999999999999991</v>
      </c>
    </row>
    <row r="752" spans="1:22" x14ac:dyDescent="0.2">
      <c r="A752" s="4">
        <v>751</v>
      </c>
      <c r="B752" s="5" t="s">
        <v>6132</v>
      </c>
      <c r="C752" s="6">
        <v>42194</v>
      </c>
      <c r="D752" s="27">
        <f>MONTH(Table11[[#This Row],[Order Date]])</f>
        <v>7</v>
      </c>
      <c r="E752" s="5" t="s">
        <v>141</v>
      </c>
      <c r="F752" s="5" t="s">
        <v>142</v>
      </c>
      <c r="G752" s="24" t="s">
        <v>41</v>
      </c>
      <c r="H752" s="24" t="s">
        <v>68</v>
      </c>
      <c r="I752" s="5" t="s">
        <v>4027</v>
      </c>
      <c r="J752" s="24" t="s">
        <v>22</v>
      </c>
      <c r="K752" s="27">
        <v>6</v>
      </c>
      <c r="L752" s="6">
        <v>42199</v>
      </c>
      <c r="M752" s="27">
        <f>Table11[[#This Row],[Ship Date]]-Table11[[#This Row],[Order Date]]</f>
        <v>5</v>
      </c>
      <c r="N752" s="24" t="s">
        <v>45</v>
      </c>
      <c r="O752" s="24" t="s">
        <v>23</v>
      </c>
      <c r="P752" s="24" t="s">
        <v>2408</v>
      </c>
      <c r="Q752" s="24" t="s">
        <v>133</v>
      </c>
      <c r="R752" s="24" t="s">
        <v>2828</v>
      </c>
      <c r="S752" s="34">
        <v>0</v>
      </c>
      <c r="T752" s="15">
        <v>43.68</v>
      </c>
      <c r="U752" s="18">
        <v>21.403199999999998</v>
      </c>
      <c r="V752" s="56">
        <f>Table11[[#This Row],[Profit]]/Table11[[#This Row],[Sales]]</f>
        <v>0.48999999999999994</v>
      </c>
    </row>
    <row r="753" spans="1:22" x14ac:dyDescent="0.2">
      <c r="A753" s="2">
        <v>752</v>
      </c>
      <c r="B753" s="3" t="s">
        <v>6132</v>
      </c>
      <c r="C753" s="7">
        <v>42194</v>
      </c>
      <c r="D753" s="28">
        <f>MONTH(Table11[[#This Row],[Order Date]])</f>
        <v>7</v>
      </c>
      <c r="E753" s="3" t="s">
        <v>2655</v>
      </c>
      <c r="F753" s="3" t="s">
        <v>2656</v>
      </c>
      <c r="G753" s="25" t="s">
        <v>41</v>
      </c>
      <c r="H753" s="25" t="s">
        <v>53</v>
      </c>
      <c r="I753" s="3" t="s">
        <v>4027</v>
      </c>
      <c r="J753" s="25" t="s">
        <v>22</v>
      </c>
      <c r="K753" s="28">
        <v>7</v>
      </c>
      <c r="L753" s="7">
        <v>42199</v>
      </c>
      <c r="M753" s="28">
        <f>Table11[[#This Row],[Ship Date]]-Table11[[#This Row],[Order Date]]</f>
        <v>5</v>
      </c>
      <c r="N753" s="25" t="s">
        <v>45</v>
      </c>
      <c r="O753" s="25" t="s">
        <v>23</v>
      </c>
      <c r="P753" s="25" t="s">
        <v>2408</v>
      </c>
      <c r="Q753" s="25" t="s">
        <v>133</v>
      </c>
      <c r="R753" s="25" t="s">
        <v>2828</v>
      </c>
      <c r="S753" s="35">
        <v>0</v>
      </c>
      <c r="T753" s="16">
        <v>98.21</v>
      </c>
      <c r="U753" s="19">
        <v>28.480899999999998</v>
      </c>
      <c r="V753" s="56">
        <f>Table11[[#This Row],[Profit]]/Table11[[#This Row],[Sales]]</f>
        <v>0.28999999999999998</v>
      </c>
    </row>
    <row r="754" spans="1:22" x14ac:dyDescent="0.2">
      <c r="A754" s="4">
        <v>753</v>
      </c>
      <c r="B754" s="5" t="s">
        <v>6214</v>
      </c>
      <c r="C754" s="6">
        <v>42194</v>
      </c>
      <c r="D754" s="27">
        <f>MONTH(Table11[[#This Row],[Order Date]])</f>
        <v>7</v>
      </c>
      <c r="E754" s="5" t="s">
        <v>4846</v>
      </c>
      <c r="F754" s="5" t="s">
        <v>4847</v>
      </c>
      <c r="G754" s="24" t="s">
        <v>64</v>
      </c>
      <c r="H754" s="24" t="s">
        <v>65</v>
      </c>
      <c r="I754" s="5" t="s">
        <v>3220</v>
      </c>
      <c r="J754" s="24" t="s">
        <v>22</v>
      </c>
      <c r="K754" s="27">
        <v>3</v>
      </c>
      <c r="L754" s="6">
        <v>42199</v>
      </c>
      <c r="M754" s="27">
        <f>Table11[[#This Row],[Ship Date]]-Table11[[#This Row],[Order Date]]</f>
        <v>5</v>
      </c>
      <c r="N754" s="24" t="s">
        <v>20</v>
      </c>
      <c r="O754" s="24" t="s">
        <v>23</v>
      </c>
      <c r="P754" s="24" t="s">
        <v>132</v>
      </c>
      <c r="Q754" s="24" t="s">
        <v>133</v>
      </c>
      <c r="R754" s="24" t="s">
        <v>131</v>
      </c>
      <c r="S754" s="34">
        <v>0.4</v>
      </c>
      <c r="T754" s="15">
        <v>269.98200000000003</v>
      </c>
      <c r="U754" s="18">
        <v>40.497300000000003</v>
      </c>
      <c r="V754" s="56">
        <f>Table11[[#This Row],[Profit]]/Table11[[#This Row],[Sales]]</f>
        <v>0.15</v>
      </c>
    </row>
    <row r="755" spans="1:22" x14ac:dyDescent="0.2">
      <c r="A755" s="4">
        <v>754</v>
      </c>
      <c r="B755" s="3" t="s">
        <v>6638</v>
      </c>
      <c r="C755" s="7">
        <v>42194</v>
      </c>
      <c r="D755" s="28">
        <f>MONTH(Table11[[#This Row],[Order Date]])</f>
        <v>7</v>
      </c>
      <c r="E755" s="3" t="s">
        <v>630</v>
      </c>
      <c r="F755" s="3" t="s">
        <v>631</v>
      </c>
      <c r="G755" s="25" t="s">
        <v>41</v>
      </c>
      <c r="H755" s="25" t="s">
        <v>71</v>
      </c>
      <c r="I755" s="3" t="s">
        <v>5086</v>
      </c>
      <c r="J755" s="25" t="s">
        <v>36</v>
      </c>
      <c r="K755" s="28">
        <v>2</v>
      </c>
      <c r="L755" s="7">
        <v>42198</v>
      </c>
      <c r="M755" s="28">
        <f>Table11[[#This Row],[Ship Date]]-Table11[[#This Row],[Order Date]]</f>
        <v>4</v>
      </c>
      <c r="N755" s="25" t="s">
        <v>45</v>
      </c>
      <c r="O755" s="25" t="s">
        <v>23</v>
      </c>
      <c r="P755" s="25" t="s">
        <v>94</v>
      </c>
      <c r="Q755" s="25" t="s">
        <v>95</v>
      </c>
      <c r="R755" s="25" t="s">
        <v>718</v>
      </c>
      <c r="S755" s="35">
        <v>0.8</v>
      </c>
      <c r="T755" s="16">
        <v>48.631999999999998</v>
      </c>
      <c r="U755" s="19">
        <v>-121.58</v>
      </c>
      <c r="V755" s="56">
        <f>Table11[[#This Row],[Profit]]/Table11[[#This Row],[Sales]]</f>
        <v>-2.5</v>
      </c>
    </row>
    <row r="756" spans="1:22" x14ac:dyDescent="0.2">
      <c r="A756" s="2">
        <v>755</v>
      </c>
      <c r="B756" s="5" t="s">
        <v>5728</v>
      </c>
      <c r="C756" s="6">
        <v>42195</v>
      </c>
      <c r="D756" s="27">
        <f>MONTH(Table11[[#This Row],[Order Date]])</f>
        <v>7</v>
      </c>
      <c r="E756" s="5" t="s">
        <v>5110</v>
      </c>
      <c r="F756" s="5" t="s">
        <v>5111</v>
      </c>
      <c r="G756" s="24" t="s">
        <v>41</v>
      </c>
      <c r="H756" s="24" t="s">
        <v>68</v>
      </c>
      <c r="I756" s="5" t="s">
        <v>140</v>
      </c>
      <c r="J756" s="24" t="s">
        <v>22</v>
      </c>
      <c r="K756" s="27">
        <v>3</v>
      </c>
      <c r="L756" s="6">
        <v>42195</v>
      </c>
      <c r="M756" s="27">
        <f>Table11[[#This Row],[Ship Date]]-Table11[[#This Row],[Order Date]]</f>
        <v>0</v>
      </c>
      <c r="N756" s="24" t="s">
        <v>1141</v>
      </c>
      <c r="O756" s="24" t="s">
        <v>23</v>
      </c>
      <c r="P756" s="24" t="s">
        <v>277</v>
      </c>
      <c r="Q756" s="24" t="s">
        <v>39</v>
      </c>
      <c r="R756" s="24" t="s">
        <v>3595</v>
      </c>
      <c r="S756" s="34">
        <v>0.7</v>
      </c>
      <c r="T756" s="15">
        <v>3.3660000000000001</v>
      </c>
      <c r="U756" s="18">
        <v>-2.2440000000000002</v>
      </c>
      <c r="V756" s="56">
        <f>Table11[[#This Row],[Profit]]/Table11[[#This Row],[Sales]]</f>
        <v>-0.66666666666666674</v>
      </c>
    </row>
    <row r="757" spans="1:22" x14ac:dyDescent="0.2">
      <c r="A757" s="4">
        <v>756</v>
      </c>
      <c r="B757" s="3" t="s">
        <v>9041</v>
      </c>
      <c r="C757" s="7">
        <v>42195</v>
      </c>
      <c r="D757" s="28">
        <f>MONTH(Table11[[#This Row],[Order Date]])</f>
        <v>7</v>
      </c>
      <c r="E757" s="3" t="s">
        <v>2366</v>
      </c>
      <c r="F757" s="3" t="s">
        <v>2367</v>
      </c>
      <c r="G757" s="25" t="s">
        <v>41</v>
      </c>
      <c r="H757" s="25" t="s">
        <v>68</v>
      </c>
      <c r="I757" s="3" t="s">
        <v>1211</v>
      </c>
      <c r="J757" s="25" t="s">
        <v>22</v>
      </c>
      <c r="K757" s="28">
        <v>2</v>
      </c>
      <c r="L757" s="7">
        <v>42199</v>
      </c>
      <c r="M757" s="28">
        <f>Table11[[#This Row],[Ship Date]]-Table11[[#This Row],[Order Date]]</f>
        <v>4</v>
      </c>
      <c r="N757" s="25" t="s">
        <v>45</v>
      </c>
      <c r="O757" s="25" t="s">
        <v>23</v>
      </c>
      <c r="P757" s="25" t="s">
        <v>38</v>
      </c>
      <c r="Q757" s="25" t="s">
        <v>39</v>
      </c>
      <c r="R757" s="25" t="s">
        <v>4341</v>
      </c>
      <c r="S757" s="35">
        <v>0.2</v>
      </c>
      <c r="T757" s="16">
        <v>39.92</v>
      </c>
      <c r="U757" s="19">
        <v>12.974</v>
      </c>
      <c r="V757" s="56">
        <f>Table11[[#This Row],[Profit]]/Table11[[#This Row],[Sales]]</f>
        <v>0.32500000000000001</v>
      </c>
    </row>
    <row r="758" spans="1:22" x14ac:dyDescent="0.2">
      <c r="A758" s="4">
        <v>757</v>
      </c>
      <c r="B758" s="5" t="s">
        <v>4367</v>
      </c>
      <c r="C758" s="6">
        <v>42196</v>
      </c>
      <c r="D758" s="27">
        <f>MONTH(Table11[[#This Row],[Order Date]])</f>
        <v>7</v>
      </c>
      <c r="E758" s="5" t="s">
        <v>152</v>
      </c>
      <c r="F758" s="5" t="s">
        <v>153</v>
      </c>
      <c r="G758" s="24" t="s">
        <v>28</v>
      </c>
      <c r="H758" s="24" t="s">
        <v>58</v>
      </c>
      <c r="I758" s="5" t="s">
        <v>1795</v>
      </c>
      <c r="J758" s="24" t="s">
        <v>22</v>
      </c>
      <c r="K758" s="27">
        <v>7</v>
      </c>
      <c r="L758" s="6">
        <v>42198</v>
      </c>
      <c r="M758" s="27">
        <f>Table11[[#This Row],[Ship Date]]-Table11[[#This Row],[Order Date]]</f>
        <v>2</v>
      </c>
      <c r="N758" s="24" t="s">
        <v>169</v>
      </c>
      <c r="O758" s="24" t="s">
        <v>23</v>
      </c>
      <c r="P758" s="24" t="s">
        <v>132</v>
      </c>
      <c r="Q758" s="24" t="s">
        <v>133</v>
      </c>
      <c r="R758" s="24" t="s">
        <v>131</v>
      </c>
      <c r="S758" s="34">
        <v>0.2</v>
      </c>
      <c r="T758" s="15">
        <v>289.8</v>
      </c>
      <c r="U758" s="18">
        <v>36.225000000000001</v>
      </c>
      <c r="V758" s="56">
        <f>Table11[[#This Row],[Profit]]/Table11[[#This Row],[Sales]]</f>
        <v>0.125</v>
      </c>
    </row>
    <row r="759" spans="1:22" x14ac:dyDescent="0.2">
      <c r="A759" s="2">
        <v>758</v>
      </c>
      <c r="B759" s="3" t="s">
        <v>4367</v>
      </c>
      <c r="C759" s="7">
        <v>42196</v>
      </c>
      <c r="D759" s="28">
        <f>MONTH(Table11[[#This Row],[Order Date]])</f>
        <v>7</v>
      </c>
      <c r="E759" s="3" t="s">
        <v>2608</v>
      </c>
      <c r="F759" s="3" t="s">
        <v>2609</v>
      </c>
      <c r="G759" s="25" t="s">
        <v>41</v>
      </c>
      <c r="H759" s="25" t="s">
        <v>68</v>
      </c>
      <c r="I759" s="3" t="s">
        <v>1795</v>
      </c>
      <c r="J759" s="25" t="s">
        <v>22</v>
      </c>
      <c r="K759" s="28">
        <v>3</v>
      </c>
      <c r="L759" s="7">
        <v>42198</v>
      </c>
      <c r="M759" s="28">
        <f>Table11[[#This Row],[Ship Date]]-Table11[[#This Row],[Order Date]]</f>
        <v>2</v>
      </c>
      <c r="N759" s="25" t="s">
        <v>169</v>
      </c>
      <c r="O759" s="25" t="s">
        <v>23</v>
      </c>
      <c r="P759" s="25" t="s">
        <v>132</v>
      </c>
      <c r="Q759" s="25" t="s">
        <v>133</v>
      </c>
      <c r="R759" s="25" t="s">
        <v>131</v>
      </c>
      <c r="S759" s="35">
        <v>0.7</v>
      </c>
      <c r="T759" s="16">
        <v>2.5019999999999998</v>
      </c>
      <c r="U759" s="19">
        <v>-2.0015999999999998</v>
      </c>
      <c r="V759" s="56">
        <f>Table11[[#This Row],[Profit]]/Table11[[#This Row],[Sales]]</f>
        <v>-0.8</v>
      </c>
    </row>
    <row r="760" spans="1:22" x14ac:dyDescent="0.2">
      <c r="A760" s="4">
        <v>759</v>
      </c>
      <c r="B760" s="5" t="s">
        <v>4367</v>
      </c>
      <c r="C760" s="6">
        <v>42196</v>
      </c>
      <c r="D760" s="27">
        <f>MONTH(Table11[[#This Row],[Order Date]])</f>
        <v>7</v>
      </c>
      <c r="E760" s="5" t="s">
        <v>2784</v>
      </c>
      <c r="F760" s="5" t="s">
        <v>2785</v>
      </c>
      <c r="G760" s="24" t="s">
        <v>41</v>
      </c>
      <c r="H760" s="24" t="s">
        <v>68</v>
      </c>
      <c r="I760" s="5" t="s">
        <v>1795</v>
      </c>
      <c r="J760" s="24" t="s">
        <v>22</v>
      </c>
      <c r="K760" s="27">
        <v>4</v>
      </c>
      <c r="L760" s="6">
        <v>42198</v>
      </c>
      <c r="M760" s="27">
        <f>Table11[[#This Row],[Ship Date]]-Table11[[#This Row],[Order Date]]</f>
        <v>2</v>
      </c>
      <c r="N760" s="24" t="s">
        <v>169</v>
      </c>
      <c r="O760" s="24" t="s">
        <v>23</v>
      </c>
      <c r="P760" s="24" t="s">
        <v>132</v>
      </c>
      <c r="Q760" s="24" t="s">
        <v>133</v>
      </c>
      <c r="R760" s="24" t="s">
        <v>131</v>
      </c>
      <c r="S760" s="34">
        <v>0.7</v>
      </c>
      <c r="T760" s="15">
        <v>6.48</v>
      </c>
      <c r="U760" s="18">
        <v>-4.7519999999999998</v>
      </c>
      <c r="V760" s="56">
        <f>Table11[[#This Row],[Profit]]/Table11[[#This Row],[Sales]]</f>
        <v>-0.73333333333333328</v>
      </c>
    </row>
    <row r="761" spans="1:22" x14ac:dyDescent="0.2">
      <c r="A761" s="4">
        <v>760</v>
      </c>
      <c r="B761" s="3" t="s">
        <v>4367</v>
      </c>
      <c r="C761" s="7">
        <v>42196</v>
      </c>
      <c r="D761" s="28">
        <f>MONTH(Table11[[#This Row],[Order Date]])</f>
        <v>7</v>
      </c>
      <c r="E761" s="3" t="s">
        <v>4368</v>
      </c>
      <c r="F761" s="3" t="s">
        <v>4369</v>
      </c>
      <c r="G761" s="25" t="s">
        <v>28</v>
      </c>
      <c r="H761" s="25" t="s">
        <v>32</v>
      </c>
      <c r="I761" s="3" t="s">
        <v>1795</v>
      </c>
      <c r="J761" s="25" t="s">
        <v>22</v>
      </c>
      <c r="K761" s="28">
        <v>8</v>
      </c>
      <c r="L761" s="7">
        <v>42198</v>
      </c>
      <c r="M761" s="28">
        <f>Table11[[#This Row],[Ship Date]]-Table11[[#This Row],[Order Date]]</f>
        <v>2</v>
      </c>
      <c r="N761" s="25" t="s">
        <v>169</v>
      </c>
      <c r="O761" s="25" t="s">
        <v>23</v>
      </c>
      <c r="P761" s="25" t="s">
        <v>132</v>
      </c>
      <c r="Q761" s="25" t="s">
        <v>133</v>
      </c>
      <c r="R761" s="25" t="s">
        <v>131</v>
      </c>
      <c r="S761" s="35">
        <v>0.3</v>
      </c>
      <c r="T761" s="16">
        <v>341.488</v>
      </c>
      <c r="U761" s="19">
        <v>-73.176000000000002</v>
      </c>
      <c r="V761" s="56">
        <f>Table11[[#This Row],[Profit]]/Table11[[#This Row],[Sales]]</f>
        <v>-0.2142857142857143</v>
      </c>
    </row>
    <row r="762" spans="1:22" x14ac:dyDescent="0.2">
      <c r="A762" s="2">
        <v>761</v>
      </c>
      <c r="B762" s="5" t="s">
        <v>4367</v>
      </c>
      <c r="C762" s="6">
        <v>42196</v>
      </c>
      <c r="D762" s="27">
        <f>MONTH(Table11[[#This Row],[Order Date]])</f>
        <v>7</v>
      </c>
      <c r="E762" s="5" t="s">
        <v>1134</v>
      </c>
      <c r="F762" s="5" t="s">
        <v>1135</v>
      </c>
      <c r="G762" s="24" t="s">
        <v>41</v>
      </c>
      <c r="H762" s="24" t="s">
        <v>61</v>
      </c>
      <c r="I762" s="5" t="s">
        <v>1795</v>
      </c>
      <c r="J762" s="24" t="s">
        <v>22</v>
      </c>
      <c r="K762" s="27">
        <v>5</v>
      </c>
      <c r="L762" s="6">
        <v>42198</v>
      </c>
      <c r="M762" s="27">
        <f>Table11[[#This Row],[Ship Date]]-Table11[[#This Row],[Order Date]]</f>
        <v>2</v>
      </c>
      <c r="N762" s="24" t="s">
        <v>169</v>
      </c>
      <c r="O762" s="24" t="s">
        <v>23</v>
      </c>
      <c r="P762" s="24" t="s">
        <v>132</v>
      </c>
      <c r="Q762" s="24" t="s">
        <v>133</v>
      </c>
      <c r="R762" s="24" t="s">
        <v>131</v>
      </c>
      <c r="S762" s="34">
        <v>0.2</v>
      </c>
      <c r="T762" s="15">
        <v>11.12</v>
      </c>
      <c r="U762" s="18">
        <v>0.83399999999999996</v>
      </c>
      <c r="V762" s="56">
        <f>Table11[[#This Row],[Profit]]/Table11[[#This Row],[Sales]]</f>
        <v>7.4999999999999997E-2</v>
      </c>
    </row>
    <row r="763" spans="1:22" x14ac:dyDescent="0.2">
      <c r="A763" s="4">
        <v>762</v>
      </c>
      <c r="B763" s="3" t="s">
        <v>4367</v>
      </c>
      <c r="C763" s="7">
        <v>42196</v>
      </c>
      <c r="D763" s="28">
        <f>MONTH(Table11[[#This Row],[Order Date]])</f>
        <v>7</v>
      </c>
      <c r="E763" s="3" t="s">
        <v>4370</v>
      </c>
      <c r="F763" s="3" t="s">
        <v>4371</v>
      </c>
      <c r="G763" s="25" t="s">
        <v>28</v>
      </c>
      <c r="H763" s="25" t="s">
        <v>58</v>
      </c>
      <c r="I763" s="3" t="s">
        <v>1795</v>
      </c>
      <c r="J763" s="25" t="s">
        <v>22</v>
      </c>
      <c r="K763" s="28">
        <v>6</v>
      </c>
      <c r="L763" s="7">
        <v>42198</v>
      </c>
      <c r="M763" s="28">
        <f>Table11[[#This Row],[Ship Date]]-Table11[[#This Row],[Order Date]]</f>
        <v>2</v>
      </c>
      <c r="N763" s="25" t="s">
        <v>169</v>
      </c>
      <c r="O763" s="25" t="s">
        <v>23</v>
      </c>
      <c r="P763" s="25" t="s">
        <v>132</v>
      </c>
      <c r="Q763" s="25" t="s">
        <v>133</v>
      </c>
      <c r="R763" s="25" t="s">
        <v>131</v>
      </c>
      <c r="S763" s="35">
        <v>0.2</v>
      </c>
      <c r="T763" s="16">
        <v>25.344000000000001</v>
      </c>
      <c r="U763" s="19">
        <v>3.4847999999999999</v>
      </c>
      <c r="V763" s="56">
        <f>Table11[[#This Row],[Profit]]/Table11[[#This Row],[Sales]]</f>
        <v>0.13749999999999998</v>
      </c>
    </row>
    <row r="764" spans="1:22" x14ac:dyDescent="0.2">
      <c r="A764" s="4">
        <v>763</v>
      </c>
      <c r="B764" s="5" t="s">
        <v>4909</v>
      </c>
      <c r="C764" s="6">
        <v>42196</v>
      </c>
      <c r="D764" s="27">
        <f>MONTH(Table11[[#This Row],[Order Date]])</f>
        <v>7</v>
      </c>
      <c r="E764" s="5" t="s">
        <v>2901</v>
      </c>
      <c r="F764" s="5" t="s">
        <v>2902</v>
      </c>
      <c r="G764" s="24" t="s">
        <v>41</v>
      </c>
      <c r="H764" s="24" t="s">
        <v>82</v>
      </c>
      <c r="I764" s="5" t="s">
        <v>4910</v>
      </c>
      <c r="J764" s="24" t="s">
        <v>22</v>
      </c>
      <c r="K764" s="27">
        <v>3</v>
      </c>
      <c r="L764" s="6">
        <v>42198</v>
      </c>
      <c r="M764" s="27">
        <f>Table11[[#This Row],[Ship Date]]-Table11[[#This Row],[Order Date]]</f>
        <v>2</v>
      </c>
      <c r="N764" s="24" t="s">
        <v>20</v>
      </c>
      <c r="O764" s="24" t="s">
        <v>23</v>
      </c>
      <c r="P764" s="24" t="s">
        <v>87</v>
      </c>
      <c r="Q764" s="24" t="s">
        <v>39</v>
      </c>
      <c r="R764" s="24" t="s">
        <v>86</v>
      </c>
      <c r="S764" s="34">
        <v>0</v>
      </c>
      <c r="T764" s="15">
        <v>29.97</v>
      </c>
      <c r="U764" s="18">
        <v>13.486499999999999</v>
      </c>
      <c r="V764" s="56">
        <f>Table11[[#This Row],[Profit]]/Table11[[#This Row],[Sales]]</f>
        <v>0.45</v>
      </c>
    </row>
    <row r="765" spans="1:22" x14ac:dyDescent="0.2">
      <c r="A765" s="2">
        <v>764</v>
      </c>
      <c r="B765" s="3" t="s">
        <v>4909</v>
      </c>
      <c r="C765" s="7">
        <v>42196</v>
      </c>
      <c r="D765" s="28">
        <f>MONTH(Table11[[#This Row],[Order Date]])</f>
        <v>7</v>
      </c>
      <c r="E765" s="3" t="s">
        <v>2755</v>
      </c>
      <c r="F765" s="3" t="s">
        <v>2756</v>
      </c>
      <c r="G765" s="25" t="s">
        <v>41</v>
      </c>
      <c r="H765" s="25" t="s">
        <v>68</v>
      </c>
      <c r="I765" s="3" t="s">
        <v>4910</v>
      </c>
      <c r="J765" s="25" t="s">
        <v>22</v>
      </c>
      <c r="K765" s="28">
        <v>3</v>
      </c>
      <c r="L765" s="7">
        <v>42198</v>
      </c>
      <c r="M765" s="28">
        <f>Table11[[#This Row],[Ship Date]]-Table11[[#This Row],[Order Date]]</f>
        <v>2</v>
      </c>
      <c r="N765" s="25" t="s">
        <v>20</v>
      </c>
      <c r="O765" s="25" t="s">
        <v>23</v>
      </c>
      <c r="P765" s="25" t="s">
        <v>87</v>
      </c>
      <c r="Q765" s="25" t="s">
        <v>39</v>
      </c>
      <c r="R765" s="25" t="s">
        <v>86</v>
      </c>
      <c r="S765" s="35">
        <v>0.2</v>
      </c>
      <c r="T765" s="16">
        <v>98.352000000000004</v>
      </c>
      <c r="U765" s="19">
        <v>34.423200000000001</v>
      </c>
      <c r="V765" s="56">
        <f>Table11[[#This Row],[Profit]]/Table11[[#This Row],[Sales]]</f>
        <v>0.35</v>
      </c>
    </row>
    <row r="766" spans="1:22" x14ac:dyDescent="0.2">
      <c r="A766" s="4">
        <v>765</v>
      </c>
      <c r="B766" s="5" t="s">
        <v>7206</v>
      </c>
      <c r="C766" s="6">
        <v>42196</v>
      </c>
      <c r="D766" s="27">
        <f>MONTH(Table11[[#This Row],[Order Date]])</f>
        <v>7</v>
      </c>
      <c r="E766" s="5" t="s">
        <v>2469</v>
      </c>
      <c r="F766" s="5" t="s">
        <v>2470</v>
      </c>
      <c r="G766" s="24" t="s">
        <v>28</v>
      </c>
      <c r="H766" s="24" t="s">
        <v>50</v>
      </c>
      <c r="I766" s="5" t="s">
        <v>3531</v>
      </c>
      <c r="J766" s="24" t="s">
        <v>36</v>
      </c>
      <c r="K766" s="27">
        <v>4</v>
      </c>
      <c r="L766" s="6">
        <v>42197</v>
      </c>
      <c r="M766" s="27">
        <f>Table11[[#This Row],[Ship Date]]-Table11[[#This Row],[Order Date]]</f>
        <v>1</v>
      </c>
      <c r="N766" s="24" t="s">
        <v>169</v>
      </c>
      <c r="O766" s="24" t="s">
        <v>23</v>
      </c>
      <c r="P766" s="24" t="s">
        <v>218</v>
      </c>
      <c r="Q766" s="24" t="s">
        <v>133</v>
      </c>
      <c r="R766" s="24" t="s">
        <v>461</v>
      </c>
      <c r="S766" s="34">
        <v>0.3</v>
      </c>
      <c r="T766" s="15">
        <v>199.83600000000001</v>
      </c>
      <c r="U766" s="18">
        <v>-37.112400000000001</v>
      </c>
      <c r="V766" s="56">
        <f>Table11[[#This Row],[Profit]]/Table11[[#This Row],[Sales]]</f>
        <v>-0.18571428571428572</v>
      </c>
    </row>
    <row r="767" spans="1:22" x14ac:dyDescent="0.2">
      <c r="A767" s="4">
        <v>766</v>
      </c>
      <c r="B767" s="3" t="s">
        <v>7206</v>
      </c>
      <c r="C767" s="7">
        <v>42196</v>
      </c>
      <c r="D767" s="28">
        <f>MONTH(Table11[[#This Row],[Order Date]])</f>
        <v>7</v>
      </c>
      <c r="E767" s="3" t="s">
        <v>3942</v>
      </c>
      <c r="F767" s="3" t="s">
        <v>3943</v>
      </c>
      <c r="G767" s="25" t="s">
        <v>64</v>
      </c>
      <c r="H767" s="25" t="s">
        <v>65</v>
      </c>
      <c r="I767" s="3" t="s">
        <v>3531</v>
      </c>
      <c r="J767" s="25" t="s">
        <v>36</v>
      </c>
      <c r="K767" s="28">
        <v>2</v>
      </c>
      <c r="L767" s="7">
        <v>42197</v>
      </c>
      <c r="M767" s="28">
        <f>Table11[[#This Row],[Ship Date]]-Table11[[#This Row],[Order Date]]</f>
        <v>1</v>
      </c>
      <c r="N767" s="25" t="s">
        <v>169</v>
      </c>
      <c r="O767" s="25" t="s">
        <v>23</v>
      </c>
      <c r="P767" s="25" t="s">
        <v>218</v>
      </c>
      <c r="Q767" s="25" t="s">
        <v>133</v>
      </c>
      <c r="R767" s="25" t="s">
        <v>461</v>
      </c>
      <c r="S767" s="35">
        <v>0</v>
      </c>
      <c r="T767" s="16">
        <v>716</v>
      </c>
      <c r="U767" s="19">
        <v>193.32</v>
      </c>
      <c r="V767" s="56">
        <f>Table11[[#This Row],[Profit]]/Table11[[#This Row],[Sales]]</f>
        <v>0.27</v>
      </c>
    </row>
    <row r="768" spans="1:22" x14ac:dyDescent="0.2">
      <c r="A768" s="2">
        <v>767</v>
      </c>
      <c r="B768" s="5" t="s">
        <v>7206</v>
      </c>
      <c r="C768" s="6">
        <v>42196</v>
      </c>
      <c r="D768" s="27">
        <f>MONTH(Table11[[#This Row],[Order Date]])</f>
        <v>7</v>
      </c>
      <c r="E768" s="5" t="s">
        <v>1230</v>
      </c>
      <c r="F768" s="5" t="s">
        <v>1231</v>
      </c>
      <c r="G768" s="24" t="s">
        <v>41</v>
      </c>
      <c r="H768" s="24" t="s">
        <v>68</v>
      </c>
      <c r="I768" s="5" t="s">
        <v>3531</v>
      </c>
      <c r="J768" s="24" t="s">
        <v>36</v>
      </c>
      <c r="K768" s="27">
        <v>7</v>
      </c>
      <c r="L768" s="6">
        <v>42197</v>
      </c>
      <c r="M768" s="27">
        <f>Table11[[#This Row],[Ship Date]]-Table11[[#This Row],[Order Date]]</f>
        <v>1</v>
      </c>
      <c r="N768" s="24" t="s">
        <v>169</v>
      </c>
      <c r="O768" s="24" t="s">
        <v>23</v>
      </c>
      <c r="P768" s="24" t="s">
        <v>218</v>
      </c>
      <c r="Q768" s="24" t="s">
        <v>133</v>
      </c>
      <c r="R768" s="24" t="s">
        <v>461</v>
      </c>
      <c r="S768" s="34">
        <v>0</v>
      </c>
      <c r="T768" s="15">
        <v>221.06</v>
      </c>
      <c r="U768" s="18">
        <v>103.8982</v>
      </c>
      <c r="V768" s="56">
        <f>Table11[[#This Row],[Profit]]/Table11[[#This Row],[Sales]]</f>
        <v>0.47000000000000003</v>
      </c>
    </row>
    <row r="769" spans="1:22" x14ac:dyDescent="0.2">
      <c r="A769" s="4">
        <v>768</v>
      </c>
      <c r="B769" s="3" t="s">
        <v>6843</v>
      </c>
      <c r="C769" s="7">
        <v>42197</v>
      </c>
      <c r="D769" s="28">
        <f>MONTH(Table11[[#This Row],[Order Date]])</f>
        <v>7</v>
      </c>
      <c r="E769" s="3" t="s">
        <v>786</v>
      </c>
      <c r="F769" s="3" t="s">
        <v>787</v>
      </c>
      <c r="G769" s="25" t="s">
        <v>28</v>
      </c>
      <c r="H769" s="25" t="s">
        <v>32</v>
      </c>
      <c r="I769" s="3" t="s">
        <v>1607</v>
      </c>
      <c r="J769" s="25" t="s">
        <v>22</v>
      </c>
      <c r="K769" s="28">
        <v>9</v>
      </c>
      <c r="L769" s="7">
        <v>42202</v>
      </c>
      <c r="M769" s="28">
        <f>Table11[[#This Row],[Ship Date]]-Table11[[#This Row],[Order Date]]</f>
        <v>5</v>
      </c>
      <c r="N769" s="25" t="s">
        <v>20</v>
      </c>
      <c r="O769" s="25" t="s">
        <v>23</v>
      </c>
      <c r="P769" s="25" t="s">
        <v>189</v>
      </c>
      <c r="Q769" s="25" t="s">
        <v>95</v>
      </c>
      <c r="R769" s="25" t="s">
        <v>271</v>
      </c>
      <c r="S769" s="35">
        <v>0.3</v>
      </c>
      <c r="T769" s="16">
        <v>383.60700000000003</v>
      </c>
      <c r="U769" s="19">
        <v>-5.4801000000000002</v>
      </c>
      <c r="V769" s="56">
        <f>Table11[[#This Row],[Profit]]/Table11[[#This Row],[Sales]]</f>
        <v>-1.4285714285714285E-2</v>
      </c>
    </row>
    <row r="770" spans="1:22" x14ac:dyDescent="0.2">
      <c r="A770" s="4">
        <v>769</v>
      </c>
      <c r="B770" s="5" t="s">
        <v>6843</v>
      </c>
      <c r="C770" s="6">
        <v>42197</v>
      </c>
      <c r="D770" s="27">
        <f>MONTH(Table11[[#This Row],[Order Date]])</f>
        <v>7</v>
      </c>
      <c r="E770" s="5" t="s">
        <v>3147</v>
      </c>
      <c r="F770" s="5" t="s">
        <v>3148</v>
      </c>
      <c r="G770" s="24" t="s">
        <v>64</v>
      </c>
      <c r="H770" s="24" t="s">
        <v>65</v>
      </c>
      <c r="I770" s="5" t="s">
        <v>1607</v>
      </c>
      <c r="J770" s="24" t="s">
        <v>22</v>
      </c>
      <c r="K770" s="27">
        <v>2</v>
      </c>
      <c r="L770" s="6">
        <v>42202</v>
      </c>
      <c r="M770" s="27">
        <f>Table11[[#This Row],[Ship Date]]-Table11[[#This Row],[Order Date]]</f>
        <v>5</v>
      </c>
      <c r="N770" s="24" t="s">
        <v>20</v>
      </c>
      <c r="O770" s="24" t="s">
        <v>23</v>
      </c>
      <c r="P770" s="24" t="s">
        <v>189</v>
      </c>
      <c r="Q770" s="24" t="s">
        <v>95</v>
      </c>
      <c r="R770" s="24" t="s">
        <v>271</v>
      </c>
      <c r="S770" s="34">
        <v>0.2</v>
      </c>
      <c r="T770" s="15">
        <v>148.47999999999999</v>
      </c>
      <c r="U770" s="18">
        <v>16.704000000000001</v>
      </c>
      <c r="V770" s="56">
        <f>Table11[[#This Row],[Profit]]/Table11[[#This Row],[Sales]]</f>
        <v>0.11250000000000002</v>
      </c>
    </row>
    <row r="771" spans="1:22" x14ac:dyDescent="0.2">
      <c r="A771" s="2">
        <v>770</v>
      </c>
      <c r="B771" s="3" t="s">
        <v>6843</v>
      </c>
      <c r="C771" s="7">
        <v>42197</v>
      </c>
      <c r="D771" s="28">
        <f>MONTH(Table11[[#This Row],[Order Date]])</f>
        <v>7</v>
      </c>
      <c r="E771" s="3" t="s">
        <v>5622</v>
      </c>
      <c r="F771" s="3" t="s">
        <v>5623</v>
      </c>
      <c r="G771" s="25" t="s">
        <v>64</v>
      </c>
      <c r="H771" s="25" t="s">
        <v>65</v>
      </c>
      <c r="I771" s="3" t="s">
        <v>1607</v>
      </c>
      <c r="J771" s="25" t="s">
        <v>22</v>
      </c>
      <c r="K771" s="28">
        <v>7</v>
      </c>
      <c r="L771" s="7">
        <v>42202</v>
      </c>
      <c r="M771" s="28">
        <f>Table11[[#This Row],[Ship Date]]-Table11[[#This Row],[Order Date]]</f>
        <v>5</v>
      </c>
      <c r="N771" s="25" t="s">
        <v>20</v>
      </c>
      <c r="O771" s="25" t="s">
        <v>23</v>
      </c>
      <c r="P771" s="25" t="s">
        <v>189</v>
      </c>
      <c r="Q771" s="25" t="s">
        <v>95</v>
      </c>
      <c r="R771" s="25" t="s">
        <v>271</v>
      </c>
      <c r="S771" s="35">
        <v>0.2</v>
      </c>
      <c r="T771" s="16">
        <v>537.54399999999998</v>
      </c>
      <c r="U771" s="19">
        <v>53.754399999999997</v>
      </c>
      <c r="V771" s="56">
        <f>Table11[[#This Row],[Profit]]/Table11[[#This Row],[Sales]]</f>
        <v>9.9999999999999992E-2</v>
      </c>
    </row>
    <row r="772" spans="1:22" x14ac:dyDescent="0.2">
      <c r="A772" s="4">
        <v>771</v>
      </c>
      <c r="B772" s="5" t="s">
        <v>6843</v>
      </c>
      <c r="C772" s="6">
        <v>42197</v>
      </c>
      <c r="D772" s="27">
        <f>MONTH(Table11[[#This Row],[Order Date]])</f>
        <v>7</v>
      </c>
      <c r="E772" s="5" t="s">
        <v>1081</v>
      </c>
      <c r="F772" s="5" t="s">
        <v>1082</v>
      </c>
      <c r="G772" s="24" t="s">
        <v>41</v>
      </c>
      <c r="H772" s="24" t="s">
        <v>68</v>
      </c>
      <c r="I772" s="5" t="s">
        <v>1607</v>
      </c>
      <c r="J772" s="24" t="s">
        <v>22</v>
      </c>
      <c r="K772" s="27">
        <v>2</v>
      </c>
      <c r="L772" s="6">
        <v>42202</v>
      </c>
      <c r="M772" s="27">
        <f>Table11[[#This Row],[Ship Date]]-Table11[[#This Row],[Order Date]]</f>
        <v>5</v>
      </c>
      <c r="N772" s="24" t="s">
        <v>20</v>
      </c>
      <c r="O772" s="24" t="s">
        <v>23</v>
      </c>
      <c r="P772" s="24" t="s">
        <v>189</v>
      </c>
      <c r="Q772" s="24" t="s">
        <v>95</v>
      </c>
      <c r="R772" s="24" t="s">
        <v>271</v>
      </c>
      <c r="S772" s="34">
        <v>0.8</v>
      </c>
      <c r="T772" s="15">
        <v>1.9279999999999999</v>
      </c>
      <c r="U772" s="18">
        <v>-2.9883999999999999</v>
      </c>
      <c r="V772" s="56">
        <f>Table11[[#This Row],[Profit]]/Table11[[#This Row],[Sales]]</f>
        <v>-1.55</v>
      </c>
    </row>
    <row r="773" spans="1:22" x14ac:dyDescent="0.2">
      <c r="A773" s="4">
        <v>772</v>
      </c>
      <c r="B773" s="3" t="s">
        <v>6843</v>
      </c>
      <c r="C773" s="7">
        <v>42197</v>
      </c>
      <c r="D773" s="28">
        <f>MONTH(Table11[[#This Row],[Order Date]])</f>
        <v>7</v>
      </c>
      <c r="E773" s="3" t="s">
        <v>2231</v>
      </c>
      <c r="F773" s="3" t="s">
        <v>2232</v>
      </c>
      <c r="G773" s="25" t="s">
        <v>41</v>
      </c>
      <c r="H773" s="25" t="s">
        <v>61</v>
      </c>
      <c r="I773" s="3" t="s">
        <v>1607</v>
      </c>
      <c r="J773" s="25" t="s">
        <v>22</v>
      </c>
      <c r="K773" s="28">
        <v>3</v>
      </c>
      <c r="L773" s="7">
        <v>42202</v>
      </c>
      <c r="M773" s="28">
        <f>Table11[[#This Row],[Ship Date]]-Table11[[#This Row],[Order Date]]</f>
        <v>5</v>
      </c>
      <c r="N773" s="25" t="s">
        <v>20</v>
      </c>
      <c r="O773" s="25" t="s">
        <v>23</v>
      </c>
      <c r="P773" s="25" t="s">
        <v>189</v>
      </c>
      <c r="Q773" s="25" t="s">
        <v>95</v>
      </c>
      <c r="R773" s="25" t="s">
        <v>271</v>
      </c>
      <c r="S773" s="35">
        <v>0.2</v>
      </c>
      <c r="T773" s="16">
        <v>6.9119999999999999</v>
      </c>
      <c r="U773" s="19">
        <v>0.69120000000000004</v>
      </c>
      <c r="V773" s="56">
        <f>Table11[[#This Row],[Profit]]/Table11[[#This Row],[Sales]]</f>
        <v>0.1</v>
      </c>
    </row>
    <row r="774" spans="1:22" x14ac:dyDescent="0.2">
      <c r="A774" s="2">
        <v>773</v>
      </c>
      <c r="B774" s="5" t="s">
        <v>6843</v>
      </c>
      <c r="C774" s="6">
        <v>42197</v>
      </c>
      <c r="D774" s="27">
        <f>MONTH(Table11[[#This Row],[Order Date]])</f>
        <v>7</v>
      </c>
      <c r="E774" s="5" t="s">
        <v>973</v>
      </c>
      <c r="F774" s="5" t="s">
        <v>974</v>
      </c>
      <c r="G774" s="24" t="s">
        <v>28</v>
      </c>
      <c r="H774" s="24" t="s">
        <v>58</v>
      </c>
      <c r="I774" s="5" t="s">
        <v>1607</v>
      </c>
      <c r="J774" s="24" t="s">
        <v>22</v>
      </c>
      <c r="K774" s="27">
        <v>1</v>
      </c>
      <c r="L774" s="6">
        <v>42202</v>
      </c>
      <c r="M774" s="27">
        <f>Table11[[#This Row],[Ship Date]]-Table11[[#This Row],[Order Date]]</f>
        <v>5</v>
      </c>
      <c r="N774" s="24" t="s">
        <v>20</v>
      </c>
      <c r="O774" s="24" t="s">
        <v>23</v>
      </c>
      <c r="P774" s="24" t="s">
        <v>189</v>
      </c>
      <c r="Q774" s="24" t="s">
        <v>95</v>
      </c>
      <c r="R774" s="24" t="s">
        <v>271</v>
      </c>
      <c r="S774" s="34">
        <v>0.6</v>
      </c>
      <c r="T774" s="15">
        <v>7.76</v>
      </c>
      <c r="U774" s="18">
        <v>-2.1339999999999999</v>
      </c>
      <c r="V774" s="56">
        <f>Table11[[#This Row],[Profit]]/Table11[[#This Row],[Sales]]</f>
        <v>-0.27499999999999997</v>
      </c>
    </row>
    <row r="775" spans="1:22" x14ac:dyDescent="0.2">
      <c r="A775" s="4">
        <v>774</v>
      </c>
      <c r="B775" s="3" t="s">
        <v>6843</v>
      </c>
      <c r="C775" s="7">
        <v>42197</v>
      </c>
      <c r="D775" s="28">
        <f>MONTH(Table11[[#This Row],[Order Date]])</f>
        <v>7</v>
      </c>
      <c r="E775" s="3" t="s">
        <v>1770</v>
      </c>
      <c r="F775" s="3" t="s">
        <v>1771</v>
      </c>
      <c r="G775" s="25" t="s">
        <v>64</v>
      </c>
      <c r="H775" s="25" t="s">
        <v>65</v>
      </c>
      <c r="I775" s="3" t="s">
        <v>1607</v>
      </c>
      <c r="J775" s="25" t="s">
        <v>22</v>
      </c>
      <c r="K775" s="28">
        <v>4</v>
      </c>
      <c r="L775" s="7">
        <v>42202</v>
      </c>
      <c r="M775" s="28">
        <f>Table11[[#This Row],[Ship Date]]-Table11[[#This Row],[Order Date]]</f>
        <v>5</v>
      </c>
      <c r="N775" s="25" t="s">
        <v>20</v>
      </c>
      <c r="O775" s="25" t="s">
        <v>23</v>
      </c>
      <c r="P775" s="25" t="s">
        <v>189</v>
      </c>
      <c r="Q775" s="25" t="s">
        <v>95</v>
      </c>
      <c r="R775" s="25" t="s">
        <v>271</v>
      </c>
      <c r="S775" s="35">
        <v>0.2</v>
      </c>
      <c r="T775" s="16">
        <v>659.16800000000001</v>
      </c>
      <c r="U775" s="19">
        <v>49.437600000000003</v>
      </c>
      <c r="V775" s="56">
        <f>Table11[[#This Row],[Profit]]/Table11[[#This Row],[Sales]]</f>
        <v>7.5000000000000011E-2</v>
      </c>
    </row>
    <row r="776" spans="1:22" x14ac:dyDescent="0.2">
      <c r="A776" s="4">
        <v>775</v>
      </c>
      <c r="B776" s="5" t="s">
        <v>8894</v>
      </c>
      <c r="C776" s="6">
        <v>42197</v>
      </c>
      <c r="D776" s="27">
        <f>MONTH(Table11[[#This Row],[Order Date]])</f>
        <v>7</v>
      </c>
      <c r="E776" s="5" t="s">
        <v>5622</v>
      </c>
      <c r="F776" s="5" t="s">
        <v>5623</v>
      </c>
      <c r="G776" s="24" t="s">
        <v>64</v>
      </c>
      <c r="H776" s="24" t="s">
        <v>65</v>
      </c>
      <c r="I776" s="5" t="s">
        <v>1834</v>
      </c>
      <c r="J776" s="24" t="s">
        <v>22</v>
      </c>
      <c r="K776" s="27">
        <v>4</v>
      </c>
      <c r="L776" s="6">
        <v>42203</v>
      </c>
      <c r="M776" s="27">
        <f>Table11[[#This Row],[Ship Date]]-Table11[[#This Row],[Order Date]]</f>
        <v>6</v>
      </c>
      <c r="N776" s="24" t="s">
        <v>45</v>
      </c>
      <c r="O776" s="24" t="s">
        <v>23</v>
      </c>
      <c r="P776" s="24" t="s">
        <v>94</v>
      </c>
      <c r="Q776" s="24" t="s">
        <v>95</v>
      </c>
      <c r="R776" s="24" t="s">
        <v>1430</v>
      </c>
      <c r="S776" s="34">
        <v>0.2</v>
      </c>
      <c r="T776" s="15">
        <v>307.16800000000001</v>
      </c>
      <c r="U776" s="18">
        <v>30.716799999999999</v>
      </c>
      <c r="V776" s="56">
        <f>Table11[[#This Row],[Profit]]/Table11[[#This Row],[Sales]]</f>
        <v>9.9999999999999992E-2</v>
      </c>
    </row>
    <row r="777" spans="1:22" x14ac:dyDescent="0.2">
      <c r="A777" s="2">
        <v>776</v>
      </c>
      <c r="B777" s="3" t="s">
        <v>3873</v>
      </c>
      <c r="C777" s="7">
        <v>42198</v>
      </c>
      <c r="D777" s="28">
        <f>MONTH(Table11[[#This Row],[Order Date]])</f>
        <v>7</v>
      </c>
      <c r="E777" s="3" t="s">
        <v>2683</v>
      </c>
      <c r="F777" s="3" t="s">
        <v>2684</v>
      </c>
      <c r="G777" s="25" t="s">
        <v>41</v>
      </c>
      <c r="H777" s="25" t="s">
        <v>68</v>
      </c>
      <c r="I777" s="3" t="s">
        <v>3293</v>
      </c>
      <c r="J777" s="25" t="s">
        <v>22</v>
      </c>
      <c r="K777" s="28">
        <v>2</v>
      </c>
      <c r="L777" s="7">
        <v>42200</v>
      </c>
      <c r="M777" s="28">
        <f>Table11[[#This Row],[Ship Date]]-Table11[[#This Row],[Order Date]]</f>
        <v>2</v>
      </c>
      <c r="N777" s="25" t="s">
        <v>20</v>
      </c>
      <c r="O777" s="25" t="s">
        <v>23</v>
      </c>
      <c r="P777" s="25" t="s">
        <v>238</v>
      </c>
      <c r="Q777" s="25" t="s">
        <v>133</v>
      </c>
      <c r="R777" s="25" t="s">
        <v>237</v>
      </c>
      <c r="S777" s="35">
        <v>0.2</v>
      </c>
      <c r="T777" s="16">
        <v>11.808</v>
      </c>
      <c r="U777" s="19">
        <v>4.2804000000000002</v>
      </c>
      <c r="V777" s="56">
        <f>Table11[[#This Row],[Profit]]/Table11[[#This Row],[Sales]]</f>
        <v>0.36250000000000004</v>
      </c>
    </row>
    <row r="778" spans="1:22" x14ac:dyDescent="0.2">
      <c r="A778" s="4">
        <v>777</v>
      </c>
      <c r="B778" s="5" t="s">
        <v>3873</v>
      </c>
      <c r="C778" s="6">
        <v>42198</v>
      </c>
      <c r="D778" s="27">
        <f>MONTH(Table11[[#This Row],[Order Date]])</f>
        <v>7</v>
      </c>
      <c r="E778" s="5" t="s">
        <v>1600</v>
      </c>
      <c r="F778" s="5" t="s">
        <v>1601</v>
      </c>
      <c r="G778" s="24" t="s">
        <v>28</v>
      </c>
      <c r="H778" s="24" t="s">
        <v>32</v>
      </c>
      <c r="I778" s="5" t="s">
        <v>3293</v>
      </c>
      <c r="J778" s="24" t="s">
        <v>22</v>
      </c>
      <c r="K778" s="27">
        <v>9</v>
      </c>
      <c r="L778" s="6">
        <v>42200</v>
      </c>
      <c r="M778" s="27">
        <f>Table11[[#This Row],[Ship Date]]-Table11[[#This Row],[Order Date]]</f>
        <v>2</v>
      </c>
      <c r="N778" s="24" t="s">
        <v>20</v>
      </c>
      <c r="O778" s="24" t="s">
        <v>23</v>
      </c>
      <c r="P778" s="24" t="s">
        <v>238</v>
      </c>
      <c r="Q778" s="24" t="s">
        <v>133</v>
      </c>
      <c r="R778" s="24" t="s">
        <v>237</v>
      </c>
      <c r="S778" s="34">
        <v>0.1</v>
      </c>
      <c r="T778" s="15">
        <v>1931.04</v>
      </c>
      <c r="U778" s="18">
        <v>321.83999999999997</v>
      </c>
      <c r="V778" s="56">
        <f>Table11[[#This Row],[Profit]]/Table11[[#This Row],[Sales]]</f>
        <v>0.16666666666666666</v>
      </c>
    </row>
    <row r="779" spans="1:22" x14ac:dyDescent="0.2">
      <c r="A779" s="4">
        <v>778</v>
      </c>
      <c r="B779" s="3" t="s">
        <v>3873</v>
      </c>
      <c r="C779" s="7">
        <v>42198</v>
      </c>
      <c r="D779" s="28">
        <f>MONTH(Table11[[#This Row],[Order Date]])</f>
        <v>7</v>
      </c>
      <c r="E779" s="3" t="s">
        <v>2802</v>
      </c>
      <c r="F779" s="3" t="s">
        <v>167</v>
      </c>
      <c r="G779" s="25" t="s">
        <v>41</v>
      </c>
      <c r="H779" s="25" t="s">
        <v>82</v>
      </c>
      <c r="I779" s="3" t="s">
        <v>3293</v>
      </c>
      <c r="J779" s="25" t="s">
        <v>22</v>
      </c>
      <c r="K779" s="28">
        <v>2</v>
      </c>
      <c r="L779" s="7">
        <v>42200</v>
      </c>
      <c r="M779" s="28">
        <f>Table11[[#This Row],[Ship Date]]-Table11[[#This Row],[Order Date]]</f>
        <v>2</v>
      </c>
      <c r="N779" s="25" t="s">
        <v>20</v>
      </c>
      <c r="O779" s="25" t="s">
        <v>23</v>
      </c>
      <c r="P779" s="25" t="s">
        <v>238</v>
      </c>
      <c r="Q779" s="25" t="s">
        <v>133</v>
      </c>
      <c r="R779" s="25" t="s">
        <v>237</v>
      </c>
      <c r="S779" s="35">
        <v>0</v>
      </c>
      <c r="T779" s="16">
        <v>9.9600000000000009</v>
      </c>
      <c r="U779" s="19">
        <v>4.6811999999999996</v>
      </c>
      <c r="V779" s="56">
        <f>Table11[[#This Row],[Profit]]/Table11[[#This Row],[Sales]]</f>
        <v>0.46999999999999992</v>
      </c>
    </row>
    <row r="780" spans="1:22" x14ac:dyDescent="0.2">
      <c r="A780" s="2">
        <v>779</v>
      </c>
      <c r="B780" s="5" t="s">
        <v>3944</v>
      </c>
      <c r="C780" s="6">
        <v>42198</v>
      </c>
      <c r="D780" s="27">
        <f>MONTH(Table11[[#This Row],[Order Date]])</f>
        <v>7</v>
      </c>
      <c r="E780" s="5" t="s">
        <v>3468</v>
      </c>
      <c r="F780" s="5" t="s">
        <v>3469</v>
      </c>
      <c r="G780" s="24" t="s">
        <v>41</v>
      </c>
      <c r="H780" s="24" t="s">
        <v>68</v>
      </c>
      <c r="I780" s="5" t="s">
        <v>2614</v>
      </c>
      <c r="J780" s="24" t="s">
        <v>92</v>
      </c>
      <c r="K780" s="27">
        <v>6</v>
      </c>
      <c r="L780" s="6">
        <v>42200</v>
      </c>
      <c r="M780" s="27">
        <f>Table11[[#This Row],[Ship Date]]-Table11[[#This Row],[Order Date]]</f>
        <v>2</v>
      </c>
      <c r="N780" s="24" t="s">
        <v>169</v>
      </c>
      <c r="O780" s="24" t="s">
        <v>23</v>
      </c>
      <c r="P780" s="24" t="s">
        <v>94</v>
      </c>
      <c r="Q780" s="24" t="s">
        <v>95</v>
      </c>
      <c r="R780" s="24" t="s">
        <v>165</v>
      </c>
      <c r="S780" s="34">
        <v>0.8</v>
      </c>
      <c r="T780" s="15">
        <v>41.567999999999998</v>
      </c>
      <c r="U780" s="18">
        <v>-66.508799999999994</v>
      </c>
      <c r="V780" s="56">
        <f>Table11[[#This Row],[Profit]]/Table11[[#This Row],[Sales]]</f>
        <v>-1.5999999999999999</v>
      </c>
    </row>
    <row r="781" spans="1:22" x14ac:dyDescent="0.2">
      <c r="A781" s="4">
        <v>780</v>
      </c>
      <c r="B781" s="3" t="s">
        <v>4057</v>
      </c>
      <c r="C781" s="7">
        <v>42198</v>
      </c>
      <c r="D781" s="28">
        <f>MONTH(Table11[[#This Row],[Order Date]])</f>
        <v>7</v>
      </c>
      <c r="E781" s="3" t="s">
        <v>2447</v>
      </c>
      <c r="F781" s="3" t="s">
        <v>2448</v>
      </c>
      <c r="G781" s="25" t="s">
        <v>41</v>
      </c>
      <c r="H781" s="25" t="s">
        <v>82</v>
      </c>
      <c r="I781" s="3" t="s">
        <v>4058</v>
      </c>
      <c r="J781" s="25" t="s">
        <v>36</v>
      </c>
      <c r="K781" s="28">
        <v>6</v>
      </c>
      <c r="L781" s="7">
        <v>42200</v>
      </c>
      <c r="M781" s="28">
        <f>Table11[[#This Row],[Ship Date]]-Table11[[#This Row],[Order Date]]</f>
        <v>2</v>
      </c>
      <c r="N781" s="25" t="s">
        <v>20</v>
      </c>
      <c r="O781" s="25" t="s">
        <v>23</v>
      </c>
      <c r="P781" s="25" t="s">
        <v>1125</v>
      </c>
      <c r="Q781" s="25" t="s">
        <v>26</v>
      </c>
      <c r="R781" s="25" t="s">
        <v>3140</v>
      </c>
      <c r="S781" s="35">
        <v>0</v>
      </c>
      <c r="T781" s="16">
        <v>38.880000000000003</v>
      </c>
      <c r="U781" s="19">
        <v>18.662400000000002</v>
      </c>
      <c r="V781" s="56">
        <f>Table11[[#This Row],[Profit]]/Table11[[#This Row],[Sales]]</f>
        <v>0.48000000000000004</v>
      </c>
    </row>
    <row r="782" spans="1:22" x14ac:dyDescent="0.2">
      <c r="A782" s="4">
        <v>781</v>
      </c>
      <c r="B782" s="5" t="s">
        <v>8929</v>
      </c>
      <c r="C782" s="6">
        <v>42199</v>
      </c>
      <c r="D782" s="27">
        <f>MONTH(Table11[[#This Row],[Order Date]])</f>
        <v>7</v>
      </c>
      <c r="E782" s="5" t="s">
        <v>1443</v>
      </c>
      <c r="F782" s="5" t="s">
        <v>1444</v>
      </c>
      <c r="G782" s="24" t="s">
        <v>41</v>
      </c>
      <c r="H782" s="24" t="s">
        <v>53</v>
      </c>
      <c r="I782" s="5" t="s">
        <v>4628</v>
      </c>
      <c r="J782" s="24" t="s">
        <v>22</v>
      </c>
      <c r="K782" s="27">
        <v>3</v>
      </c>
      <c r="L782" s="6">
        <v>42204</v>
      </c>
      <c r="M782" s="27">
        <f>Table11[[#This Row],[Ship Date]]-Table11[[#This Row],[Order Date]]</f>
        <v>5</v>
      </c>
      <c r="N782" s="24" t="s">
        <v>20</v>
      </c>
      <c r="O782" s="24" t="s">
        <v>23</v>
      </c>
      <c r="P782" s="24" t="s">
        <v>277</v>
      </c>
      <c r="Q782" s="24" t="s">
        <v>39</v>
      </c>
      <c r="R782" s="24" t="s">
        <v>1613</v>
      </c>
      <c r="S782" s="34">
        <v>0.2</v>
      </c>
      <c r="T782" s="15">
        <v>272.73599999999999</v>
      </c>
      <c r="U782" s="18">
        <v>-64.774799999999999</v>
      </c>
      <c r="V782" s="56">
        <f>Table11[[#This Row],[Profit]]/Table11[[#This Row],[Sales]]</f>
        <v>-0.23750000000000002</v>
      </c>
    </row>
    <row r="783" spans="1:22" x14ac:dyDescent="0.2">
      <c r="A783" s="2">
        <v>782</v>
      </c>
      <c r="B783" s="3" t="s">
        <v>8929</v>
      </c>
      <c r="C783" s="7">
        <v>42199</v>
      </c>
      <c r="D783" s="28">
        <f>MONTH(Table11[[#This Row],[Order Date]])</f>
        <v>7</v>
      </c>
      <c r="E783" s="3" t="s">
        <v>8930</v>
      </c>
      <c r="F783" s="3" t="s">
        <v>8931</v>
      </c>
      <c r="G783" s="25" t="s">
        <v>41</v>
      </c>
      <c r="H783" s="25" t="s">
        <v>82</v>
      </c>
      <c r="I783" s="3" t="s">
        <v>4628</v>
      </c>
      <c r="J783" s="25" t="s">
        <v>22</v>
      </c>
      <c r="K783" s="28">
        <v>4</v>
      </c>
      <c r="L783" s="7">
        <v>42204</v>
      </c>
      <c r="M783" s="28">
        <f>Table11[[#This Row],[Ship Date]]-Table11[[#This Row],[Order Date]]</f>
        <v>5</v>
      </c>
      <c r="N783" s="25" t="s">
        <v>20</v>
      </c>
      <c r="O783" s="25" t="s">
        <v>23</v>
      </c>
      <c r="P783" s="25" t="s">
        <v>277</v>
      </c>
      <c r="Q783" s="25" t="s">
        <v>39</v>
      </c>
      <c r="R783" s="25" t="s">
        <v>1613</v>
      </c>
      <c r="S783" s="35">
        <v>0.2</v>
      </c>
      <c r="T783" s="16">
        <v>18.495999999999999</v>
      </c>
      <c r="U783" s="19">
        <v>6.7047999999999996</v>
      </c>
      <c r="V783" s="56">
        <f>Table11[[#This Row],[Profit]]/Table11[[#This Row],[Sales]]</f>
        <v>0.36249999999999999</v>
      </c>
    </row>
    <row r="784" spans="1:22" x14ac:dyDescent="0.2">
      <c r="A784" s="4">
        <v>783</v>
      </c>
      <c r="B784" s="5" t="s">
        <v>8929</v>
      </c>
      <c r="C784" s="6">
        <v>42199</v>
      </c>
      <c r="D784" s="27">
        <f>MONTH(Table11[[#This Row],[Order Date]])</f>
        <v>7</v>
      </c>
      <c r="E784" s="5" t="s">
        <v>606</v>
      </c>
      <c r="F784" s="5" t="s">
        <v>607</v>
      </c>
      <c r="G784" s="24" t="s">
        <v>28</v>
      </c>
      <c r="H784" s="24" t="s">
        <v>32</v>
      </c>
      <c r="I784" s="5" t="s">
        <v>4628</v>
      </c>
      <c r="J784" s="24" t="s">
        <v>22</v>
      </c>
      <c r="K784" s="27">
        <v>2</v>
      </c>
      <c r="L784" s="6">
        <v>42204</v>
      </c>
      <c r="M784" s="27">
        <f>Table11[[#This Row],[Ship Date]]-Table11[[#This Row],[Order Date]]</f>
        <v>5</v>
      </c>
      <c r="N784" s="24" t="s">
        <v>20</v>
      </c>
      <c r="O784" s="24" t="s">
        <v>23</v>
      </c>
      <c r="P784" s="24" t="s">
        <v>277</v>
      </c>
      <c r="Q784" s="24" t="s">
        <v>39</v>
      </c>
      <c r="R784" s="24" t="s">
        <v>1613</v>
      </c>
      <c r="S784" s="34">
        <v>0.2</v>
      </c>
      <c r="T784" s="15">
        <v>441.92</v>
      </c>
      <c r="U784" s="18">
        <v>49.716000000000001</v>
      </c>
      <c r="V784" s="56">
        <f>Table11[[#This Row],[Profit]]/Table11[[#This Row],[Sales]]</f>
        <v>0.1125</v>
      </c>
    </row>
    <row r="785" spans="1:22" x14ac:dyDescent="0.2">
      <c r="A785" s="4">
        <v>784</v>
      </c>
      <c r="B785" s="3" t="s">
        <v>8929</v>
      </c>
      <c r="C785" s="7">
        <v>42199</v>
      </c>
      <c r="D785" s="28">
        <f>MONTH(Table11[[#This Row],[Order Date]])</f>
        <v>7</v>
      </c>
      <c r="E785" s="3" t="s">
        <v>5992</v>
      </c>
      <c r="F785" s="3" t="s">
        <v>5993</v>
      </c>
      <c r="G785" s="25" t="s">
        <v>28</v>
      </c>
      <c r="H785" s="25" t="s">
        <v>29</v>
      </c>
      <c r="I785" s="3" t="s">
        <v>4628</v>
      </c>
      <c r="J785" s="25" t="s">
        <v>22</v>
      </c>
      <c r="K785" s="28">
        <v>6</v>
      </c>
      <c r="L785" s="7">
        <v>42204</v>
      </c>
      <c r="M785" s="28">
        <f>Table11[[#This Row],[Ship Date]]-Table11[[#This Row],[Order Date]]</f>
        <v>5</v>
      </c>
      <c r="N785" s="25" t="s">
        <v>20</v>
      </c>
      <c r="O785" s="25" t="s">
        <v>23</v>
      </c>
      <c r="P785" s="25" t="s">
        <v>277</v>
      </c>
      <c r="Q785" s="25" t="s">
        <v>39</v>
      </c>
      <c r="R785" s="25" t="s">
        <v>1613</v>
      </c>
      <c r="S785" s="35">
        <v>0.7</v>
      </c>
      <c r="T785" s="16">
        <v>127.764</v>
      </c>
      <c r="U785" s="19">
        <v>-191.64599999999999</v>
      </c>
      <c r="V785" s="56">
        <f>Table11[[#This Row],[Profit]]/Table11[[#This Row],[Sales]]</f>
        <v>-1.5</v>
      </c>
    </row>
    <row r="786" spans="1:22" x14ac:dyDescent="0.2">
      <c r="A786" s="2">
        <v>785</v>
      </c>
      <c r="B786" s="5" t="s">
        <v>5006</v>
      </c>
      <c r="C786" s="6">
        <v>42201</v>
      </c>
      <c r="D786" s="27">
        <f>MONTH(Table11[[#This Row],[Order Date]])</f>
        <v>7</v>
      </c>
      <c r="E786" s="5" t="s">
        <v>1056</v>
      </c>
      <c r="F786" s="5" t="s">
        <v>1057</v>
      </c>
      <c r="G786" s="24" t="s">
        <v>28</v>
      </c>
      <c r="H786" s="24" t="s">
        <v>32</v>
      </c>
      <c r="I786" s="5" t="s">
        <v>4851</v>
      </c>
      <c r="J786" s="24" t="s">
        <v>36</v>
      </c>
      <c r="K786" s="27">
        <v>6</v>
      </c>
      <c r="L786" s="6">
        <v>42201</v>
      </c>
      <c r="M786" s="27">
        <f>Table11[[#This Row],[Ship Date]]-Table11[[#This Row],[Order Date]]</f>
        <v>0</v>
      </c>
      <c r="N786" s="24" t="s">
        <v>1141</v>
      </c>
      <c r="O786" s="24" t="s">
        <v>23</v>
      </c>
      <c r="P786" s="24" t="s">
        <v>38</v>
      </c>
      <c r="Q786" s="24" t="s">
        <v>39</v>
      </c>
      <c r="R786" s="24" t="s">
        <v>114</v>
      </c>
      <c r="S786" s="34">
        <v>0.2</v>
      </c>
      <c r="T786" s="15">
        <v>1348.704</v>
      </c>
      <c r="U786" s="18">
        <v>-219.1644</v>
      </c>
      <c r="V786" s="56">
        <f>Table11[[#This Row],[Profit]]/Table11[[#This Row],[Sales]]</f>
        <v>-0.16250000000000001</v>
      </c>
    </row>
    <row r="787" spans="1:22" x14ac:dyDescent="0.2">
      <c r="A787" s="4">
        <v>786</v>
      </c>
      <c r="B787" s="3" t="s">
        <v>5006</v>
      </c>
      <c r="C787" s="7">
        <v>42201</v>
      </c>
      <c r="D787" s="28">
        <f>MONTH(Table11[[#This Row],[Order Date]])</f>
        <v>7</v>
      </c>
      <c r="E787" s="3" t="s">
        <v>1005</v>
      </c>
      <c r="F787" s="3" t="s">
        <v>1006</v>
      </c>
      <c r="G787" s="25" t="s">
        <v>28</v>
      </c>
      <c r="H787" s="25" t="s">
        <v>32</v>
      </c>
      <c r="I787" s="3" t="s">
        <v>4851</v>
      </c>
      <c r="J787" s="25" t="s">
        <v>36</v>
      </c>
      <c r="K787" s="28">
        <v>3</v>
      </c>
      <c r="L787" s="7">
        <v>42201</v>
      </c>
      <c r="M787" s="28">
        <f>Table11[[#This Row],[Ship Date]]-Table11[[#This Row],[Order Date]]</f>
        <v>0</v>
      </c>
      <c r="N787" s="25" t="s">
        <v>1141</v>
      </c>
      <c r="O787" s="25" t="s">
        <v>23</v>
      </c>
      <c r="P787" s="25" t="s">
        <v>38</v>
      </c>
      <c r="Q787" s="25" t="s">
        <v>39</v>
      </c>
      <c r="R787" s="25" t="s">
        <v>114</v>
      </c>
      <c r="S787" s="35">
        <v>0.2</v>
      </c>
      <c r="T787" s="16">
        <v>700.15200000000004</v>
      </c>
      <c r="U787" s="19">
        <v>78.767099999999999</v>
      </c>
      <c r="V787" s="56">
        <f>Table11[[#This Row],[Profit]]/Table11[[#This Row],[Sales]]</f>
        <v>0.11249999999999999</v>
      </c>
    </row>
    <row r="788" spans="1:22" x14ac:dyDescent="0.2">
      <c r="A788" s="4">
        <v>787</v>
      </c>
      <c r="B788" s="5" t="s">
        <v>6447</v>
      </c>
      <c r="C788" s="6">
        <v>42201</v>
      </c>
      <c r="D788" s="27">
        <f>MONTH(Table11[[#This Row],[Order Date]])</f>
        <v>7</v>
      </c>
      <c r="E788" s="5" t="s">
        <v>3395</v>
      </c>
      <c r="F788" s="5" t="s">
        <v>3396</v>
      </c>
      <c r="G788" s="24" t="s">
        <v>41</v>
      </c>
      <c r="H788" s="24" t="s">
        <v>82</v>
      </c>
      <c r="I788" s="5" t="s">
        <v>6265</v>
      </c>
      <c r="J788" s="24" t="s">
        <v>36</v>
      </c>
      <c r="K788" s="27">
        <v>3</v>
      </c>
      <c r="L788" s="6">
        <v>42204</v>
      </c>
      <c r="M788" s="27">
        <f>Table11[[#This Row],[Ship Date]]-Table11[[#This Row],[Order Date]]</f>
        <v>3</v>
      </c>
      <c r="N788" s="24" t="s">
        <v>169</v>
      </c>
      <c r="O788" s="24" t="s">
        <v>23</v>
      </c>
      <c r="P788" s="24" t="s">
        <v>238</v>
      </c>
      <c r="Q788" s="24" t="s">
        <v>133</v>
      </c>
      <c r="R788" s="24" t="s">
        <v>237</v>
      </c>
      <c r="S788" s="34">
        <v>0</v>
      </c>
      <c r="T788" s="15">
        <v>80.88</v>
      </c>
      <c r="U788" s="18">
        <v>39.6312</v>
      </c>
      <c r="V788" s="56">
        <f>Table11[[#This Row],[Profit]]/Table11[[#This Row],[Sales]]</f>
        <v>0.49000000000000005</v>
      </c>
    </row>
    <row r="789" spans="1:22" x14ac:dyDescent="0.2">
      <c r="A789" s="2">
        <v>788</v>
      </c>
      <c r="B789" s="3" t="s">
        <v>6447</v>
      </c>
      <c r="C789" s="7">
        <v>42201</v>
      </c>
      <c r="D789" s="28">
        <f>MONTH(Table11[[#This Row],[Order Date]])</f>
        <v>7</v>
      </c>
      <c r="E789" s="3" t="s">
        <v>3010</v>
      </c>
      <c r="F789" s="3" t="s">
        <v>3011</v>
      </c>
      <c r="G789" s="25" t="s">
        <v>64</v>
      </c>
      <c r="H789" s="25" t="s">
        <v>144</v>
      </c>
      <c r="I789" s="3" t="s">
        <v>6265</v>
      </c>
      <c r="J789" s="25" t="s">
        <v>36</v>
      </c>
      <c r="K789" s="28">
        <v>10</v>
      </c>
      <c r="L789" s="7">
        <v>42204</v>
      </c>
      <c r="M789" s="28">
        <f>Table11[[#This Row],[Ship Date]]-Table11[[#This Row],[Order Date]]</f>
        <v>3</v>
      </c>
      <c r="N789" s="25" t="s">
        <v>169</v>
      </c>
      <c r="O789" s="25" t="s">
        <v>23</v>
      </c>
      <c r="P789" s="25" t="s">
        <v>238</v>
      </c>
      <c r="Q789" s="25" t="s">
        <v>133</v>
      </c>
      <c r="R789" s="25" t="s">
        <v>237</v>
      </c>
      <c r="S789" s="35">
        <v>0</v>
      </c>
      <c r="T789" s="16">
        <v>599.9</v>
      </c>
      <c r="U789" s="19">
        <v>191.96799999999999</v>
      </c>
      <c r="V789" s="56">
        <f>Table11[[#This Row],[Profit]]/Table11[[#This Row],[Sales]]</f>
        <v>0.32</v>
      </c>
    </row>
    <row r="790" spans="1:22" x14ac:dyDescent="0.2">
      <c r="A790" s="4">
        <v>789</v>
      </c>
      <c r="B790" s="5" t="s">
        <v>6895</v>
      </c>
      <c r="C790" s="6">
        <v>42201</v>
      </c>
      <c r="D790" s="27">
        <f>MONTH(Table11[[#This Row],[Order Date]])</f>
        <v>7</v>
      </c>
      <c r="E790" s="5" t="s">
        <v>1816</v>
      </c>
      <c r="F790" s="5" t="s">
        <v>1817</v>
      </c>
      <c r="G790" s="24" t="s">
        <v>28</v>
      </c>
      <c r="H790" s="24" t="s">
        <v>32</v>
      </c>
      <c r="I790" s="5" t="s">
        <v>3319</v>
      </c>
      <c r="J790" s="24" t="s">
        <v>92</v>
      </c>
      <c r="K790" s="27">
        <v>1</v>
      </c>
      <c r="L790" s="6">
        <v>42205</v>
      </c>
      <c r="M790" s="27">
        <f>Table11[[#This Row],[Ship Date]]-Table11[[#This Row],[Order Date]]</f>
        <v>4</v>
      </c>
      <c r="N790" s="24" t="s">
        <v>45</v>
      </c>
      <c r="O790" s="24" t="s">
        <v>23</v>
      </c>
      <c r="P790" s="24" t="s">
        <v>2408</v>
      </c>
      <c r="Q790" s="24" t="s">
        <v>133</v>
      </c>
      <c r="R790" s="24" t="s">
        <v>3967</v>
      </c>
      <c r="S790" s="34">
        <v>0</v>
      </c>
      <c r="T790" s="15">
        <v>150.97999999999999</v>
      </c>
      <c r="U790" s="18">
        <v>43.784199999999998</v>
      </c>
      <c r="V790" s="56">
        <f>Table11[[#This Row],[Profit]]/Table11[[#This Row],[Sales]]</f>
        <v>0.29000000000000004</v>
      </c>
    </row>
    <row r="791" spans="1:22" x14ac:dyDescent="0.2">
      <c r="A791" s="4">
        <v>790</v>
      </c>
      <c r="B791" s="3" t="s">
        <v>6895</v>
      </c>
      <c r="C791" s="7">
        <v>42201</v>
      </c>
      <c r="D791" s="28">
        <f>MONTH(Table11[[#This Row],[Order Date]])</f>
        <v>7</v>
      </c>
      <c r="E791" s="3" t="s">
        <v>1300</v>
      </c>
      <c r="F791" s="3" t="s">
        <v>1301</v>
      </c>
      <c r="G791" s="25" t="s">
        <v>41</v>
      </c>
      <c r="H791" s="25" t="s">
        <v>155</v>
      </c>
      <c r="I791" s="3" t="s">
        <v>3319</v>
      </c>
      <c r="J791" s="25" t="s">
        <v>92</v>
      </c>
      <c r="K791" s="28">
        <v>9</v>
      </c>
      <c r="L791" s="7">
        <v>42205</v>
      </c>
      <c r="M791" s="28">
        <f>Table11[[#This Row],[Ship Date]]-Table11[[#This Row],[Order Date]]</f>
        <v>4</v>
      </c>
      <c r="N791" s="25" t="s">
        <v>45</v>
      </c>
      <c r="O791" s="25" t="s">
        <v>23</v>
      </c>
      <c r="P791" s="25" t="s">
        <v>2408</v>
      </c>
      <c r="Q791" s="25" t="s">
        <v>133</v>
      </c>
      <c r="R791" s="25" t="s">
        <v>3967</v>
      </c>
      <c r="S791" s="35">
        <v>0</v>
      </c>
      <c r="T791" s="16">
        <v>137.25</v>
      </c>
      <c r="U791" s="19">
        <v>63.134999999999998</v>
      </c>
      <c r="V791" s="56">
        <f>Table11[[#This Row],[Profit]]/Table11[[#This Row],[Sales]]</f>
        <v>0.45999999999999996</v>
      </c>
    </row>
    <row r="792" spans="1:22" x14ac:dyDescent="0.2">
      <c r="A792" s="2">
        <v>791</v>
      </c>
      <c r="B792" s="5" t="s">
        <v>6895</v>
      </c>
      <c r="C792" s="6">
        <v>42201</v>
      </c>
      <c r="D792" s="27">
        <f>MONTH(Table11[[#This Row],[Order Date]])</f>
        <v>7</v>
      </c>
      <c r="E792" s="5" t="s">
        <v>6204</v>
      </c>
      <c r="F792" s="5" t="s">
        <v>6205</v>
      </c>
      <c r="G792" s="24" t="s">
        <v>41</v>
      </c>
      <c r="H792" s="24" t="s">
        <v>240</v>
      </c>
      <c r="I792" s="5" t="s">
        <v>3319</v>
      </c>
      <c r="J792" s="24" t="s">
        <v>92</v>
      </c>
      <c r="K792" s="27">
        <v>4</v>
      </c>
      <c r="L792" s="6">
        <v>42205</v>
      </c>
      <c r="M792" s="27">
        <f>Table11[[#This Row],[Ship Date]]-Table11[[#This Row],[Order Date]]</f>
        <v>4</v>
      </c>
      <c r="N792" s="24" t="s">
        <v>45</v>
      </c>
      <c r="O792" s="24" t="s">
        <v>23</v>
      </c>
      <c r="P792" s="24" t="s">
        <v>2408</v>
      </c>
      <c r="Q792" s="24" t="s">
        <v>133</v>
      </c>
      <c r="R792" s="24" t="s">
        <v>3967</v>
      </c>
      <c r="S792" s="34">
        <v>0</v>
      </c>
      <c r="T792" s="15">
        <v>11.52</v>
      </c>
      <c r="U792" s="18">
        <v>5.4143999999999997</v>
      </c>
      <c r="V792" s="56">
        <f>Table11[[#This Row],[Profit]]/Table11[[#This Row],[Sales]]</f>
        <v>0.47</v>
      </c>
    </row>
    <row r="793" spans="1:22" x14ac:dyDescent="0.2">
      <c r="A793" s="4">
        <v>792</v>
      </c>
      <c r="B793" s="3" t="s">
        <v>5300</v>
      </c>
      <c r="C793" s="7">
        <v>42202</v>
      </c>
      <c r="D793" s="28">
        <f>MONTH(Table11[[#This Row],[Order Date]])</f>
        <v>7</v>
      </c>
      <c r="E793" s="3" t="s">
        <v>3953</v>
      </c>
      <c r="F793" s="3" t="s">
        <v>3954</v>
      </c>
      <c r="G793" s="25" t="s">
        <v>28</v>
      </c>
      <c r="H793" s="25" t="s">
        <v>29</v>
      </c>
      <c r="I793" s="3" t="s">
        <v>2488</v>
      </c>
      <c r="J793" s="25" t="s">
        <v>22</v>
      </c>
      <c r="K793" s="28">
        <v>2</v>
      </c>
      <c r="L793" s="7">
        <v>42204</v>
      </c>
      <c r="M793" s="28">
        <f>Table11[[#This Row],[Ship Date]]-Table11[[#This Row],[Order Date]]</f>
        <v>2</v>
      </c>
      <c r="N793" s="25" t="s">
        <v>20</v>
      </c>
      <c r="O793" s="25" t="s">
        <v>23</v>
      </c>
      <c r="P793" s="25" t="s">
        <v>38</v>
      </c>
      <c r="Q793" s="25" t="s">
        <v>39</v>
      </c>
      <c r="R793" s="25" t="s">
        <v>5301</v>
      </c>
      <c r="S793" s="35">
        <v>0.15</v>
      </c>
      <c r="T793" s="16">
        <v>195.46600000000001</v>
      </c>
      <c r="U793" s="19">
        <v>-13.797599999999999</v>
      </c>
      <c r="V793" s="56">
        <f>Table11[[#This Row],[Profit]]/Table11[[#This Row],[Sales]]</f>
        <v>-7.0588235294117646E-2</v>
      </c>
    </row>
    <row r="794" spans="1:22" x14ac:dyDescent="0.2">
      <c r="A794" s="4">
        <v>793</v>
      </c>
      <c r="B794" s="5" t="s">
        <v>6410</v>
      </c>
      <c r="C794" s="6">
        <v>42202</v>
      </c>
      <c r="D794" s="27">
        <f>MONTH(Table11[[#This Row],[Order Date]])</f>
        <v>7</v>
      </c>
      <c r="E794" s="5" t="s">
        <v>950</v>
      </c>
      <c r="F794" s="5" t="s">
        <v>951</v>
      </c>
      <c r="G794" s="24" t="s">
        <v>28</v>
      </c>
      <c r="H794" s="24" t="s">
        <v>29</v>
      </c>
      <c r="I794" s="5" t="s">
        <v>1307</v>
      </c>
      <c r="J794" s="24" t="s">
        <v>36</v>
      </c>
      <c r="K794" s="27">
        <v>5</v>
      </c>
      <c r="L794" s="6">
        <v>42205</v>
      </c>
      <c r="M794" s="27">
        <f>Table11[[#This Row],[Ship Date]]-Table11[[#This Row],[Order Date]]</f>
        <v>3</v>
      </c>
      <c r="N794" s="24" t="s">
        <v>20</v>
      </c>
      <c r="O794" s="24" t="s">
        <v>23</v>
      </c>
      <c r="P794" s="24" t="s">
        <v>48</v>
      </c>
      <c r="Q794" s="24" t="s">
        <v>26</v>
      </c>
      <c r="R794" s="24" t="s">
        <v>6139</v>
      </c>
      <c r="S794" s="34">
        <v>0.2</v>
      </c>
      <c r="T794" s="15">
        <v>231.92</v>
      </c>
      <c r="U794" s="18">
        <v>5.798</v>
      </c>
      <c r="V794" s="56">
        <f>Table11[[#This Row],[Profit]]/Table11[[#This Row],[Sales]]</f>
        <v>2.5000000000000001E-2</v>
      </c>
    </row>
    <row r="795" spans="1:22" x14ac:dyDescent="0.2">
      <c r="A795" s="2">
        <v>794</v>
      </c>
      <c r="B795" s="3" t="s">
        <v>9317</v>
      </c>
      <c r="C795" s="7">
        <v>42202</v>
      </c>
      <c r="D795" s="28">
        <f>MONTH(Table11[[#This Row],[Order Date]])</f>
        <v>7</v>
      </c>
      <c r="E795" s="3" t="s">
        <v>8273</v>
      </c>
      <c r="F795" s="3" t="s">
        <v>8274</v>
      </c>
      <c r="G795" s="25" t="s">
        <v>41</v>
      </c>
      <c r="H795" s="25" t="s">
        <v>42</v>
      </c>
      <c r="I795" s="3" t="s">
        <v>1124</v>
      </c>
      <c r="J795" s="25" t="s">
        <v>36</v>
      </c>
      <c r="K795" s="28">
        <v>3</v>
      </c>
      <c r="L795" s="7">
        <v>42209</v>
      </c>
      <c r="M795" s="28">
        <f>Table11[[#This Row],[Ship Date]]-Table11[[#This Row],[Order Date]]</f>
        <v>7</v>
      </c>
      <c r="N795" s="25" t="s">
        <v>45</v>
      </c>
      <c r="O795" s="25" t="s">
        <v>23</v>
      </c>
      <c r="P795" s="25" t="s">
        <v>94</v>
      </c>
      <c r="Q795" s="25" t="s">
        <v>95</v>
      </c>
      <c r="R795" s="25" t="s">
        <v>165</v>
      </c>
      <c r="S795" s="35">
        <v>0.2</v>
      </c>
      <c r="T795" s="16">
        <v>6.2640000000000002</v>
      </c>
      <c r="U795" s="19">
        <v>2.0358000000000001</v>
      </c>
      <c r="V795" s="56">
        <f>Table11[[#This Row],[Profit]]/Table11[[#This Row],[Sales]]</f>
        <v>0.32500000000000001</v>
      </c>
    </row>
    <row r="796" spans="1:22" x14ac:dyDescent="0.2">
      <c r="A796" s="4">
        <v>795</v>
      </c>
      <c r="B796" s="5" t="s">
        <v>9317</v>
      </c>
      <c r="C796" s="6">
        <v>42202</v>
      </c>
      <c r="D796" s="27">
        <f>MONTH(Table11[[#This Row],[Order Date]])</f>
        <v>7</v>
      </c>
      <c r="E796" s="5" t="s">
        <v>1663</v>
      </c>
      <c r="F796" s="5" t="s">
        <v>1664</v>
      </c>
      <c r="G796" s="24" t="s">
        <v>41</v>
      </c>
      <c r="H796" s="24" t="s">
        <v>240</v>
      </c>
      <c r="I796" s="5" t="s">
        <v>1124</v>
      </c>
      <c r="J796" s="24" t="s">
        <v>36</v>
      </c>
      <c r="K796" s="27">
        <v>4</v>
      </c>
      <c r="L796" s="6">
        <v>42209</v>
      </c>
      <c r="M796" s="27">
        <f>Table11[[#This Row],[Ship Date]]-Table11[[#This Row],[Order Date]]</f>
        <v>7</v>
      </c>
      <c r="N796" s="24" t="s">
        <v>45</v>
      </c>
      <c r="O796" s="24" t="s">
        <v>23</v>
      </c>
      <c r="P796" s="24" t="s">
        <v>94</v>
      </c>
      <c r="Q796" s="24" t="s">
        <v>95</v>
      </c>
      <c r="R796" s="24" t="s">
        <v>165</v>
      </c>
      <c r="S796" s="34">
        <v>0.2</v>
      </c>
      <c r="T796" s="15">
        <v>14.432</v>
      </c>
      <c r="U796" s="18">
        <v>3.4276</v>
      </c>
      <c r="V796" s="56">
        <f>Table11[[#This Row],[Profit]]/Table11[[#This Row],[Sales]]</f>
        <v>0.23749999999999999</v>
      </c>
    </row>
    <row r="797" spans="1:22" x14ac:dyDescent="0.2">
      <c r="A797" s="4">
        <v>796</v>
      </c>
      <c r="B797" s="3" t="s">
        <v>7748</v>
      </c>
      <c r="C797" s="7">
        <v>42203</v>
      </c>
      <c r="D797" s="28">
        <f>MONTH(Table11[[#This Row],[Order Date]])</f>
        <v>7</v>
      </c>
      <c r="E797" s="3" t="s">
        <v>4726</v>
      </c>
      <c r="F797" s="3" t="s">
        <v>4727</v>
      </c>
      <c r="G797" s="25" t="s">
        <v>64</v>
      </c>
      <c r="H797" s="25" t="s">
        <v>144</v>
      </c>
      <c r="I797" s="3" t="s">
        <v>2098</v>
      </c>
      <c r="J797" s="25" t="s">
        <v>22</v>
      </c>
      <c r="K797" s="28">
        <v>4</v>
      </c>
      <c r="L797" s="7">
        <v>42207</v>
      </c>
      <c r="M797" s="28">
        <f>Table11[[#This Row],[Ship Date]]-Table11[[#This Row],[Order Date]]</f>
        <v>4</v>
      </c>
      <c r="N797" s="25" t="s">
        <v>45</v>
      </c>
      <c r="O797" s="25" t="s">
        <v>23</v>
      </c>
      <c r="P797" s="25" t="s">
        <v>38</v>
      </c>
      <c r="Q797" s="25" t="s">
        <v>39</v>
      </c>
      <c r="R797" s="25" t="s">
        <v>836</v>
      </c>
      <c r="S797" s="35">
        <v>0</v>
      </c>
      <c r="T797" s="16">
        <v>519.96</v>
      </c>
      <c r="U797" s="19">
        <v>176.78639999999999</v>
      </c>
      <c r="V797" s="56">
        <f>Table11[[#This Row],[Profit]]/Table11[[#This Row],[Sales]]</f>
        <v>0.33999999999999997</v>
      </c>
    </row>
    <row r="798" spans="1:22" x14ac:dyDescent="0.2">
      <c r="A798" s="2">
        <v>797</v>
      </c>
      <c r="B798" s="5" t="s">
        <v>8653</v>
      </c>
      <c r="C798" s="6">
        <v>42203</v>
      </c>
      <c r="D798" s="27">
        <f>MONTH(Table11[[#This Row],[Order Date]])</f>
        <v>7</v>
      </c>
      <c r="E798" s="5" t="s">
        <v>2231</v>
      </c>
      <c r="F798" s="5" t="s">
        <v>2232</v>
      </c>
      <c r="G798" s="24" t="s">
        <v>41</v>
      </c>
      <c r="H798" s="24" t="s">
        <v>61</v>
      </c>
      <c r="I798" s="5" t="s">
        <v>2519</v>
      </c>
      <c r="J798" s="24" t="s">
        <v>36</v>
      </c>
      <c r="K798" s="27">
        <v>2</v>
      </c>
      <c r="L798" s="6">
        <v>42206</v>
      </c>
      <c r="M798" s="27">
        <f>Table11[[#This Row],[Ship Date]]-Table11[[#This Row],[Order Date]]</f>
        <v>3</v>
      </c>
      <c r="N798" s="24" t="s">
        <v>169</v>
      </c>
      <c r="O798" s="24" t="s">
        <v>23</v>
      </c>
      <c r="P798" s="24" t="s">
        <v>238</v>
      </c>
      <c r="Q798" s="24" t="s">
        <v>133</v>
      </c>
      <c r="R798" s="24" t="s">
        <v>237</v>
      </c>
      <c r="S798" s="34">
        <v>0</v>
      </c>
      <c r="T798" s="15">
        <v>5.76</v>
      </c>
      <c r="U798" s="18">
        <v>1.6128</v>
      </c>
      <c r="V798" s="56">
        <f>Table11[[#This Row],[Profit]]/Table11[[#This Row],[Sales]]</f>
        <v>0.28000000000000003</v>
      </c>
    </row>
    <row r="799" spans="1:22" x14ac:dyDescent="0.2">
      <c r="A799" s="4">
        <v>798</v>
      </c>
      <c r="B799" s="3" t="s">
        <v>10055</v>
      </c>
      <c r="C799" s="7">
        <v>42203</v>
      </c>
      <c r="D799" s="28">
        <f>MONTH(Table11[[#This Row],[Order Date]])</f>
        <v>7</v>
      </c>
      <c r="E799" s="3" t="s">
        <v>308</v>
      </c>
      <c r="F799" s="3" t="s">
        <v>309</v>
      </c>
      <c r="G799" s="25" t="s">
        <v>41</v>
      </c>
      <c r="H799" s="25" t="s">
        <v>68</v>
      </c>
      <c r="I799" s="3" t="s">
        <v>2236</v>
      </c>
      <c r="J799" s="25" t="s">
        <v>22</v>
      </c>
      <c r="K799" s="28">
        <v>2</v>
      </c>
      <c r="L799" s="7">
        <v>42205</v>
      </c>
      <c r="M799" s="28">
        <f>Table11[[#This Row],[Ship Date]]-Table11[[#This Row],[Order Date]]</f>
        <v>2</v>
      </c>
      <c r="N799" s="25" t="s">
        <v>20</v>
      </c>
      <c r="O799" s="25" t="s">
        <v>23</v>
      </c>
      <c r="P799" s="25" t="s">
        <v>238</v>
      </c>
      <c r="Q799" s="25" t="s">
        <v>133</v>
      </c>
      <c r="R799" s="25" t="s">
        <v>237</v>
      </c>
      <c r="S799" s="35">
        <v>0.2</v>
      </c>
      <c r="T799" s="16">
        <v>3.3279999999999998</v>
      </c>
      <c r="U799" s="19">
        <v>1.2063999999999999</v>
      </c>
      <c r="V799" s="56">
        <f>Table11[[#This Row],[Profit]]/Table11[[#This Row],[Sales]]</f>
        <v>0.36249999999999999</v>
      </c>
    </row>
    <row r="800" spans="1:22" x14ac:dyDescent="0.2">
      <c r="A800" s="4">
        <v>799</v>
      </c>
      <c r="B800" s="5" t="s">
        <v>10055</v>
      </c>
      <c r="C800" s="6">
        <v>42203</v>
      </c>
      <c r="D800" s="27">
        <f>MONTH(Table11[[#This Row],[Order Date]])</f>
        <v>7</v>
      </c>
      <c r="E800" s="5" t="s">
        <v>4401</v>
      </c>
      <c r="F800" s="5" t="s">
        <v>4402</v>
      </c>
      <c r="G800" s="24" t="s">
        <v>64</v>
      </c>
      <c r="H800" s="24" t="s">
        <v>65</v>
      </c>
      <c r="I800" s="5" t="s">
        <v>2236</v>
      </c>
      <c r="J800" s="24" t="s">
        <v>22</v>
      </c>
      <c r="K800" s="27">
        <v>1</v>
      </c>
      <c r="L800" s="6">
        <v>42205</v>
      </c>
      <c r="M800" s="27">
        <f>Table11[[#This Row],[Ship Date]]-Table11[[#This Row],[Order Date]]</f>
        <v>2</v>
      </c>
      <c r="N800" s="24" t="s">
        <v>20</v>
      </c>
      <c r="O800" s="24" t="s">
        <v>23</v>
      </c>
      <c r="P800" s="24" t="s">
        <v>238</v>
      </c>
      <c r="Q800" s="24" t="s">
        <v>133</v>
      </c>
      <c r="R800" s="24" t="s">
        <v>237</v>
      </c>
      <c r="S800" s="34">
        <v>0</v>
      </c>
      <c r="T800" s="15">
        <v>135.99</v>
      </c>
      <c r="U800" s="18">
        <v>36.717300000000002</v>
      </c>
      <c r="V800" s="56">
        <f>Table11[[#This Row],[Profit]]/Table11[[#This Row],[Sales]]</f>
        <v>0.27</v>
      </c>
    </row>
    <row r="801" spans="1:22" x14ac:dyDescent="0.2">
      <c r="A801" s="2">
        <v>800</v>
      </c>
      <c r="B801" s="3" t="s">
        <v>10055</v>
      </c>
      <c r="C801" s="7">
        <v>42203</v>
      </c>
      <c r="D801" s="28">
        <f>MONTH(Table11[[#This Row],[Order Date]])</f>
        <v>7</v>
      </c>
      <c r="E801" s="3" t="s">
        <v>4489</v>
      </c>
      <c r="F801" s="3" t="s">
        <v>4490</v>
      </c>
      <c r="G801" s="25" t="s">
        <v>28</v>
      </c>
      <c r="H801" s="25" t="s">
        <v>58</v>
      </c>
      <c r="I801" s="3" t="s">
        <v>2236</v>
      </c>
      <c r="J801" s="25" t="s">
        <v>22</v>
      </c>
      <c r="K801" s="28">
        <v>1</v>
      </c>
      <c r="L801" s="7">
        <v>42205</v>
      </c>
      <c r="M801" s="28">
        <f>Table11[[#This Row],[Ship Date]]-Table11[[#This Row],[Order Date]]</f>
        <v>2</v>
      </c>
      <c r="N801" s="25" t="s">
        <v>20</v>
      </c>
      <c r="O801" s="25" t="s">
        <v>23</v>
      </c>
      <c r="P801" s="25" t="s">
        <v>238</v>
      </c>
      <c r="Q801" s="25" t="s">
        <v>133</v>
      </c>
      <c r="R801" s="25" t="s">
        <v>237</v>
      </c>
      <c r="S801" s="35">
        <v>0</v>
      </c>
      <c r="T801" s="16">
        <v>7.38</v>
      </c>
      <c r="U801" s="19">
        <v>2.1402000000000001</v>
      </c>
      <c r="V801" s="56">
        <f>Table11[[#This Row],[Profit]]/Table11[[#This Row],[Sales]]</f>
        <v>0.29000000000000004</v>
      </c>
    </row>
    <row r="802" spans="1:22" x14ac:dyDescent="0.2">
      <c r="A802" s="4">
        <v>801</v>
      </c>
      <c r="B802" s="5" t="s">
        <v>3442</v>
      </c>
      <c r="C802" s="6">
        <v>42204</v>
      </c>
      <c r="D802" s="27">
        <f>MONTH(Table11[[#This Row],[Order Date]])</f>
        <v>7</v>
      </c>
      <c r="E802" s="5" t="s">
        <v>3444</v>
      </c>
      <c r="F802" s="5" t="s">
        <v>3445</v>
      </c>
      <c r="G802" s="24" t="s">
        <v>41</v>
      </c>
      <c r="H802" s="24" t="s">
        <v>68</v>
      </c>
      <c r="I802" s="5" t="s">
        <v>3443</v>
      </c>
      <c r="J802" s="24" t="s">
        <v>22</v>
      </c>
      <c r="K802" s="27">
        <v>1</v>
      </c>
      <c r="L802" s="6">
        <v>42205</v>
      </c>
      <c r="M802" s="27">
        <f>Table11[[#This Row],[Ship Date]]-Table11[[#This Row],[Order Date]]</f>
        <v>1</v>
      </c>
      <c r="N802" s="24" t="s">
        <v>169</v>
      </c>
      <c r="O802" s="24" t="s">
        <v>23</v>
      </c>
      <c r="P802" s="24" t="s">
        <v>277</v>
      </c>
      <c r="Q802" s="24" t="s">
        <v>39</v>
      </c>
      <c r="R802" s="24" t="s">
        <v>481</v>
      </c>
      <c r="S802" s="34">
        <v>0.7</v>
      </c>
      <c r="T802" s="15">
        <v>2.0249999999999999</v>
      </c>
      <c r="U802" s="18">
        <v>-1.35</v>
      </c>
      <c r="V802" s="56">
        <f>Table11[[#This Row],[Profit]]/Table11[[#This Row],[Sales]]</f>
        <v>-0.66666666666666674</v>
      </c>
    </row>
    <row r="803" spans="1:22" x14ac:dyDescent="0.2">
      <c r="A803" s="4">
        <v>802</v>
      </c>
      <c r="B803" s="3" t="s">
        <v>4093</v>
      </c>
      <c r="C803" s="7">
        <v>42205</v>
      </c>
      <c r="D803" s="28">
        <f>MONTH(Table11[[#This Row],[Order Date]])</f>
        <v>7</v>
      </c>
      <c r="E803" s="3" t="s">
        <v>4095</v>
      </c>
      <c r="F803" s="3" t="s">
        <v>4096</v>
      </c>
      <c r="G803" s="25" t="s">
        <v>41</v>
      </c>
      <c r="H803" s="25" t="s">
        <v>53</v>
      </c>
      <c r="I803" s="3" t="s">
        <v>2500</v>
      </c>
      <c r="J803" s="25" t="s">
        <v>22</v>
      </c>
      <c r="K803" s="28">
        <v>1</v>
      </c>
      <c r="L803" s="7">
        <v>42210</v>
      </c>
      <c r="M803" s="28">
        <f>Table11[[#This Row],[Ship Date]]-Table11[[#This Row],[Order Date]]</f>
        <v>5</v>
      </c>
      <c r="N803" s="25" t="s">
        <v>20</v>
      </c>
      <c r="O803" s="25" t="s">
        <v>23</v>
      </c>
      <c r="P803" s="25" t="s">
        <v>226</v>
      </c>
      <c r="Q803" s="25" t="s">
        <v>95</v>
      </c>
      <c r="R803" s="25" t="s">
        <v>4094</v>
      </c>
      <c r="S803" s="35">
        <v>0</v>
      </c>
      <c r="T803" s="16">
        <v>34.76</v>
      </c>
      <c r="U803" s="19">
        <v>9.7327999999999992</v>
      </c>
      <c r="V803" s="56">
        <f>Table11[[#This Row],[Profit]]/Table11[[#This Row],[Sales]]</f>
        <v>0.27999999999999997</v>
      </c>
    </row>
    <row r="804" spans="1:22" x14ac:dyDescent="0.2">
      <c r="A804" s="2">
        <v>803</v>
      </c>
      <c r="B804" s="5" t="s">
        <v>4093</v>
      </c>
      <c r="C804" s="6">
        <v>42205</v>
      </c>
      <c r="D804" s="27">
        <f>MONTH(Table11[[#This Row],[Order Date]])</f>
        <v>7</v>
      </c>
      <c r="E804" s="5" t="s">
        <v>1977</v>
      </c>
      <c r="F804" s="5" t="s">
        <v>1978</v>
      </c>
      <c r="G804" s="24" t="s">
        <v>64</v>
      </c>
      <c r="H804" s="24" t="s">
        <v>144</v>
      </c>
      <c r="I804" s="5" t="s">
        <v>2500</v>
      </c>
      <c r="J804" s="24" t="s">
        <v>22</v>
      </c>
      <c r="K804" s="27">
        <v>5</v>
      </c>
      <c r="L804" s="6">
        <v>42210</v>
      </c>
      <c r="M804" s="27">
        <f>Table11[[#This Row],[Ship Date]]-Table11[[#This Row],[Order Date]]</f>
        <v>5</v>
      </c>
      <c r="N804" s="24" t="s">
        <v>20</v>
      </c>
      <c r="O804" s="24" t="s">
        <v>23</v>
      </c>
      <c r="P804" s="24" t="s">
        <v>226</v>
      </c>
      <c r="Q804" s="24" t="s">
        <v>95</v>
      </c>
      <c r="R804" s="24" t="s">
        <v>4094</v>
      </c>
      <c r="S804" s="34">
        <v>0</v>
      </c>
      <c r="T804" s="15">
        <v>831.2</v>
      </c>
      <c r="U804" s="18">
        <v>124.68</v>
      </c>
      <c r="V804" s="56">
        <f>Table11[[#This Row],[Profit]]/Table11[[#This Row],[Sales]]</f>
        <v>0.15</v>
      </c>
    </row>
    <row r="805" spans="1:22" x14ac:dyDescent="0.2">
      <c r="A805" s="4">
        <v>804</v>
      </c>
      <c r="B805" s="3" t="s">
        <v>4093</v>
      </c>
      <c r="C805" s="7">
        <v>42205</v>
      </c>
      <c r="D805" s="28">
        <f>MONTH(Table11[[#This Row],[Order Date]])</f>
        <v>7</v>
      </c>
      <c r="E805" s="3" t="s">
        <v>4097</v>
      </c>
      <c r="F805" s="3" t="s">
        <v>4098</v>
      </c>
      <c r="G805" s="25" t="s">
        <v>41</v>
      </c>
      <c r="H805" s="25" t="s">
        <v>82</v>
      </c>
      <c r="I805" s="3" t="s">
        <v>2500</v>
      </c>
      <c r="J805" s="25" t="s">
        <v>22</v>
      </c>
      <c r="K805" s="28">
        <v>5</v>
      </c>
      <c r="L805" s="7">
        <v>42210</v>
      </c>
      <c r="M805" s="28">
        <f>Table11[[#This Row],[Ship Date]]-Table11[[#This Row],[Order Date]]</f>
        <v>5</v>
      </c>
      <c r="N805" s="25" t="s">
        <v>20</v>
      </c>
      <c r="O805" s="25" t="s">
        <v>23</v>
      </c>
      <c r="P805" s="25" t="s">
        <v>226</v>
      </c>
      <c r="Q805" s="25" t="s">
        <v>95</v>
      </c>
      <c r="R805" s="25" t="s">
        <v>4094</v>
      </c>
      <c r="S805" s="35">
        <v>0</v>
      </c>
      <c r="T805" s="16">
        <v>26.4</v>
      </c>
      <c r="U805" s="19">
        <v>11.88</v>
      </c>
      <c r="V805" s="56">
        <f>Table11[[#This Row],[Profit]]/Table11[[#This Row],[Sales]]</f>
        <v>0.45000000000000007</v>
      </c>
    </row>
    <row r="806" spans="1:22" x14ac:dyDescent="0.2">
      <c r="A806" s="4">
        <v>805</v>
      </c>
      <c r="B806" s="5" t="s">
        <v>4093</v>
      </c>
      <c r="C806" s="6">
        <v>42205</v>
      </c>
      <c r="D806" s="27">
        <f>MONTH(Table11[[#This Row],[Order Date]])</f>
        <v>7</v>
      </c>
      <c r="E806" s="5" t="s">
        <v>1300</v>
      </c>
      <c r="F806" s="5" t="s">
        <v>1301</v>
      </c>
      <c r="G806" s="24" t="s">
        <v>41</v>
      </c>
      <c r="H806" s="24" t="s">
        <v>155</v>
      </c>
      <c r="I806" s="5" t="s">
        <v>2500</v>
      </c>
      <c r="J806" s="24" t="s">
        <v>22</v>
      </c>
      <c r="K806" s="27">
        <v>7</v>
      </c>
      <c r="L806" s="6">
        <v>42210</v>
      </c>
      <c r="M806" s="27">
        <f>Table11[[#This Row],[Ship Date]]-Table11[[#This Row],[Order Date]]</f>
        <v>5</v>
      </c>
      <c r="N806" s="24" t="s">
        <v>20</v>
      </c>
      <c r="O806" s="24" t="s">
        <v>23</v>
      </c>
      <c r="P806" s="24" t="s">
        <v>226</v>
      </c>
      <c r="Q806" s="24" t="s">
        <v>95</v>
      </c>
      <c r="R806" s="24" t="s">
        <v>4094</v>
      </c>
      <c r="S806" s="34">
        <v>0</v>
      </c>
      <c r="T806" s="15">
        <v>106.75</v>
      </c>
      <c r="U806" s="18">
        <v>49.104999999999997</v>
      </c>
      <c r="V806" s="56">
        <f>Table11[[#This Row],[Profit]]/Table11[[#This Row],[Sales]]</f>
        <v>0.45999999999999996</v>
      </c>
    </row>
    <row r="807" spans="1:22" x14ac:dyDescent="0.2">
      <c r="A807" s="2">
        <v>806</v>
      </c>
      <c r="B807" s="3" t="s">
        <v>4093</v>
      </c>
      <c r="C807" s="7">
        <v>42205</v>
      </c>
      <c r="D807" s="28">
        <f>MONTH(Table11[[#This Row],[Order Date]])</f>
        <v>7</v>
      </c>
      <c r="E807" s="3" t="s">
        <v>4099</v>
      </c>
      <c r="F807" s="3" t="s">
        <v>4100</v>
      </c>
      <c r="G807" s="25" t="s">
        <v>41</v>
      </c>
      <c r="H807" s="25" t="s">
        <v>82</v>
      </c>
      <c r="I807" s="3" t="s">
        <v>2500</v>
      </c>
      <c r="J807" s="25" t="s">
        <v>22</v>
      </c>
      <c r="K807" s="28">
        <v>2</v>
      </c>
      <c r="L807" s="7">
        <v>42210</v>
      </c>
      <c r="M807" s="28">
        <f>Table11[[#This Row],[Ship Date]]-Table11[[#This Row],[Order Date]]</f>
        <v>5</v>
      </c>
      <c r="N807" s="25" t="s">
        <v>20</v>
      </c>
      <c r="O807" s="25" t="s">
        <v>23</v>
      </c>
      <c r="P807" s="25" t="s">
        <v>226</v>
      </c>
      <c r="Q807" s="25" t="s">
        <v>95</v>
      </c>
      <c r="R807" s="25" t="s">
        <v>4094</v>
      </c>
      <c r="S807" s="35">
        <v>0</v>
      </c>
      <c r="T807" s="16">
        <v>97.82</v>
      </c>
      <c r="U807" s="19">
        <v>45.9754</v>
      </c>
      <c r="V807" s="56">
        <f>Table11[[#This Row],[Profit]]/Table11[[#This Row],[Sales]]</f>
        <v>0.47000000000000003</v>
      </c>
    </row>
    <row r="808" spans="1:22" x14ac:dyDescent="0.2">
      <c r="A808" s="4">
        <v>807</v>
      </c>
      <c r="B808" s="5" t="s">
        <v>4093</v>
      </c>
      <c r="C808" s="6">
        <v>42205</v>
      </c>
      <c r="D808" s="27">
        <f>MONTH(Table11[[#This Row],[Order Date]])</f>
        <v>7</v>
      </c>
      <c r="E808" s="5" t="s">
        <v>354</v>
      </c>
      <c r="F808" s="5" t="s">
        <v>355</v>
      </c>
      <c r="G808" s="24" t="s">
        <v>41</v>
      </c>
      <c r="H808" s="24" t="s">
        <v>53</v>
      </c>
      <c r="I808" s="5" t="s">
        <v>2500</v>
      </c>
      <c r="J808" s="24" t="s">
        <v>22</v>
      </c>
      <c r="K808" s="27">
        <v>5</v>
      </c>
      <c r="L808" s="6">
        <v>42210</v>
      </c>
      <c r="M808" s="27">
        <f>Table11[[#This Row],[Ship Date]]-Table11[[#This Row],[Order Date]]</f>
        <v>5</v>
      </c>
      <c r="N808" s="24" t="s">
        <v>20</v>
      </c>
      <c r="O808" s="24" t="s">
        <v>23</v>
      </c>
      <c r="P808" s="24" t="s">
        <v>226</v>
      </c>
      <c r="Q808" s="24" t="s">
        <v>95</v>
      </c>
      <c r="R808" s="24" t="s">
        <v>4094</v>
      </c>
      <c r="S808" s="34">
        <v>0</v>
      </c>
      <c r="T808" s="15">
        <v>141.4</v>
      </c>
      <c r="U808" s="18">
        <v>38.177999999999997</v>
      </c>
      <c r="V808" s="56">
        <f>Table11[[#This Row],[Profit]]/Table11[[#This Row],[Sales]]</f>
        <v>0.26999999999999996</v>
      </c>
    </row>
    <row r="809" spans="1:22" x14ac:dyDescent="0.2">
      <c r="A809" s="4">
        <v>808</v>
      </c>
      <c r="B809" s="3" t="s">
        <v>6724</v>
      </c>
      <c r="C809" s="7">
        <v>42205</v>
      </c>
      <c r="D809" s="28">
        <f>MONTH(Table11[[#This Row],[Order Date]])</f>
        <v>7</v>
      </c>
      <c r="E809" s="3" t="s">
        <v>2104</v>
      </c>
      <c r="F809" s="3" t="s">
        <v>2105</v>
      </c>
      <c r="G809" s="25" t="s">
        <v>41</v>
      </c>
      <c r="H809" s="25" t="s">
        <v>68</v>
      </c>
      <c r="I809" s="3" t="s">
        <v>1176</v>
      </c>
      <c r="J809" s="25" t="s">
        <v>22</v>
      </c>
      <c r="K809" s="28">
        <v>5</v>
      </c>
      <c r="L809" s="7">
        <v>42212</v>
      </c>
      <c r="M809" s="28">
        <f>Table11[[#This Row],[Ship Date]]-Table11[[#This Row],[Order Date]]</f>
        <v>7</v>
      </c>
      <c r="N809" s="25" t="s">
        <v>45</v>
      </c>
      <c r="O809" s="25" t="s">
        <v>23</v>
      </c>
      <c r="P809" s="25" t="s">
        <v>189</v>
      </c>
      <c r="Q809" s="25" t="s">
        <v>95</v>
      </c>
      <c r="R809" s="25" t="s">
        <v>5428</v>
      </c>
      <c r="S809" s="35">
        <v>0.8</v>
      </c>
      <c r="T809" s="16">
        <v>2.88</v>
      </c>
      <c r="U809" s="19">
        <v>-4.4640000000000004</v>
      </c>
      <c r="V809" s="56">
        <f>Table11[[#This Row],[Profit]]/Table11[[#This Row],[Sales]]</f>
        <v>-1.5500000000000003</v>
      </c>
    </row>
    <row r="810" spans="1:22" x14ac:dyDescent="0.2">
      <c r="A810" s="2">
        <v>809</v>
      </c>
      <c r="B810" s="5" t="s">
        <v>6724</v>
      </c>
      <c r="C810" s="6">
        <v>42205</v>
      </c>
      <c r="D810" s="27">
        <f>MONTH(Table11[[#This Row],[Order Date]])</f>
        <v>7</v>
      </c>
      <c r="E810" s="5" t="s">
        <v>6725</v>
      </c>
      <c r="F810" s="5" t="s">
        <v>6726</v>
      </c>
      <c r="G810" s="24" t="s">
        <v>28</v>
      </c>
      <c r="H810" s="24" t="s">
        <v>29</v>
      </c>
      <c r="I810" s="5" t="s">
        <v>1176</v>
      </c>
      <c r="J810" s="24" t="s">
        <v>22</v>
      </c>
      <c r="K810" s="27">
        <v>4</v>
      </c>
      <c r="L810" s="6">
        <v>42212</v>
      </c>
      <c r="M810" s="27">
        <f>Table11[[#This Row],[Ship Date]]-Table11[[#This Row],[Order Date]]</f>
        <v>7</v>
      </c>
      <c r="N810" s="24" t="s">
        <v>45</v>
      </c>
      <c r="O810" s="24" t="s">
        <v>23</v>
      </c>
      <c r="P810" s="24" t="s">
        <v>189</v>
      </c>
      <c r="Q810" s="24" t="s">
        <v>95</v>
      </c>
      <c r="R810" s="24" t="s">
        <v>5428</v>
      </c>
      <c r="S810" s="34">
        <v>0.3</v>
      </c>
      <c r="T810" s="15">
        <v>384.94400000000002</v>
      </c>
      <c r="U810" s="18">
        <v>-126.4816</v>
      </c>
      <c r="V810" s="56">
        <f>Table11[[#This Row],[Profit]]/Table11[[#This Row],[Sales]]</f>
        <v>-0.32857142857142857</v>
      </c>
    </row>
    <row r="811" spans="1:22" x14ac:dyDescent="0.2">
      <c r="A811" s="4">
        <v>810</v>
      </c>
      <c r="B811" s="3" t="s">
        <v>6724</v>
      </c>
      <c r="C811" s="7">
        <v>42205</v>
      </c>
      <c r="D811" s="28">
        <f>MONTH(Table11[[#This Row],[Order Date]])</f>
        <v>7</v>
      </c>
      <c r="E811" s="3" t="s">
        <v>2276</v>
      </c>
      <c r="F811" s="3" t="s">
        <v>2277</v>
      </c>
      <c r="G811" s="25" t="s">
        <v>64</v>
      </c>
      <c r="H811" s="25" t="s">
        <v>65</v>
      </c>
      <c r="I811" s="3" t="s">
        <v>1176</v>
      </c>
      <c r="J811" s="25" t="s">
        <v>22</v>
      </c>
      <c r="K811" s="28">
        <v>2</v>
      </c>
      <c r="L811" s="7">
        <v>42212</v>
      </c>
      <c r="M811" s="28">
        <f>Table11[[#This Row],[Ship Date]]-Table11[[#This Row],[Order Date]]</f>
        <v>7</v>
      </c>
      <c r="N811" s="25" t="s">
        <v>45</v>
      </c>
      <c r="O811" s="25" t="s">
        <v>23</v>
      </c>
      <c r="P811" s="25" t="s">
        <v>189</v>
      </c>
      <c r="Q811" s="25" t="s">
        <v>95</v>
      </c>
      <c r="R811" s="25" t="s">
        <v>5428</v>
      </c>
      <c r="S811" s="35">
        <v>0.2</v>
      </c>
      <c r="T811" s="16">
        <v>153.584</v>
      </c>
      <c r="U811" s="19">
        <v>13.438599999999999</v>
      </c>
      <c r="V811" s="56">
        <f>Table11[[#This Row],[Profit]]/Table11[[#This Row],[Sales]]</f>
        <v>8.7499999999999994E-2</v>
      </c>
    </row>
    <row r="812" spans="1:22" x14ac:dyDescent="0.2">
      <c r="A812" s="4">
        <v>811</v>
      </c>
      <c r="B812" s="5" t="s">
        <v>6724</v>
      </c>
      <c r="C812" s="6">
        <v>42205</v>
      </c>
      <c r="D812" s="27">
        <f>MONTH(Table11[[#This Row],[Order Date]])</f>
        <v>7</v>
      </c>
      <c r="E812" s="5" t="s">
        <v>180</v>
      </c>
      <c r="F812" s="5" t="s">
        <v>181</v>
      </c>
      <c r="G812" s="24" t="s">
        <v>28</v>
      </c>
      <c r="H812" s="24" t="s">
        <v>29</v>
      </c>
      <c r="I812" s="5" t="s">
        <v>1176</v>
      </c>
      <c r="J812" s="24" t="s">
        <v>22</v>
      </c>
      <c r="K812" s="27">
        <v>5</v>
      </c>
      <c r="L812" s="6">
        <v>42212</v>
      </c>
      <c r="M812" s="27">
        <f>Table11[[#This Row],[Ship Date]]-Table11[[#This Row],[Order Date]]</f>
        <v>7</v>
      </c>
      <c r="N812" s="24" t="s">
        <v>45</v>
      </c>
      <c r="O812" s="24" t="s">
        <v>23</v>
      </c>
      <c r="P812" s="24" t="s">
        <v>189</v>
      </c>
      <c r="Q812" s="24" t="s">
        <v>95</v>
      </c>
      <c r="R812" s="24" t="s">
        <v>5428</v>
      </c>
      <c r="S812" s="34">
        <v>0.3</v>
      </c>
      <c r="T812" s="15">
        <v>913.43</v>
      </c>
      <c r="U812" s="18">
        <v>-52.195999999999998</v>
      </c>
      <c r="V812" s="56">
        <f>Table11[[#This Row],[Profit]]/Table11[[#This Row],[Sales]]</f>
        <v>-5.7142857142857141E-2</v>
      </c>
    </row>
    <row r="813" spans="1:22" x14ac:dyDescent="0.2">
      <c r="A813" s="2">
        <v>812</v>
      </c>
      <c r="B813" s="3" t="s">
        <v>5838</v>
      </c>
      <c r="C813" s="7">
        <v>42208</v>
      </c>
      <c r="D813" s="28">
        <f>MONTH(Table11[[#This Row],[Order Date]])</f>
        <v>7</v>
      </c>
      <c r="E813" s="3" t="s">
        <v>70</v>
      </c>
      <c r="F813" s="3" t="s">
        <v>72</v>
      </c>
      <c r="G813" s="25" t="s">
        <v>41</v>
      </c>
      <c r="H813" s="25" t="s">
        <v>71</v>
      </c>
      <c r="I813" s="3" t="s">
        <v>2012</v>
      </c>
      <c r="J813" s="25" t="s">
        <v>92</v>
      </c>
      <c r="K813" s="28">
        <v>3</v>
      </c>
      <c r="L813" s="7">
        <v>42212</v>
      </c>
      <c r="M813" s="28">
        <f>Table11[[#This Row],[Ship Date]]-Table11[[#This Row],[Order Date]]</f>
        <v>4</v>
      </c>
      <c r="N813" s="25" t="s">
        <v>45</v>
      </c>
      <c r="O813" s="25" t="s">
        <v>23</v>
      </c>
      <c r="P813" s="25" t="s">
        <v>238</v>
      </c>
      <c r="Q813" s="25" t="s">
        <v>133</v>
      </c>
      <c r="R813" s="25" t="s">
        <v>237</v>
      </c>
      <c r="S813" s="35">
        <v>0</v>
      </c>
      <c r="T813" s="16">
        <v>68.94</v>
      </c>
      <c r="U813" s="19">
        <v>20.681999999999999</v>
      </c>
      <c r="V813" s="56">
        <f>Table11[[#This Row],[Profit]]/Table11[[#This Row],[Sales]]</f>
        <v>0.3</v>
      </c>
    </row>
    <row r="814" spans="1:22" x14ac:dyDescent="0.2">
      <c r="A814" s="4">
        <v>813</v>
      </c>
      <c r="B814" s="5" t="s">
        <v>5838</v>
      </c>
      <c r="C814" s="6">
        <v>42208</v>
      </c>
      <c r="D814" s="27">
        <f>MONTH(Table11[[#This Row],[Order Date]])</f>
        <v>7</v>
      </c>
      <c r="E814" s="5" t="s">
        <v>2031</v>
      </c>
      <c r="F814" s="5" t="s">
        <v>2032</v>
      </c>
      <c r="G814" s="24" t="s">
        <v>28</v>
      </c>
      <c r="H814" s="24" t="s">
        <v>58</v>
      </c>
      <c r="I814" s="5" t="s">
        <v>2012</v>
      </c>
      <c r="J814" s="24" t="s">
        <v>92</v>
      </c>
      <c r="K814" s="27">
        <v>3</v>
      </c>
      <c r="L814" s="6">
        <v>42212</v>
      </c>
      <c r="M814" s="27">
        <f>Table11[[#This Row],[Ship Date]]-Table11[[#This Row],[Order Date]]</f>
        <v>4</v>
      </c>
      <c r="N814" s="24" t="s">
        <v>45</v>
      </c>
      <c r="O814" s="24" t="s">
        <v>23</v>
      </c>
      <c r="P814" s="24" t="s">
        <v>238</v>
      </c>
      <c r="Q814" s="24" t="s">
        <v>133</v>
      </c>
      <c r="R814" s="24" t="s">
        <v>237</v>
      </c>
      <c r="S814" s="34">
        <v>0</v>
      </c>
      <c r="T814" s="15">
        <v>128.82</v>
      </c>
      <c r="U814" s="18">
        <v>50.239800000000002</v>
      </c>
      <c r="V814" s="56">
        <f>Table11[[#This Row],[Profit]]/Table11[[#This Row],[Sales]]</f>
        <v>0.39</v>
      </c>
    </row>
    <row r="815" spans="1:22" x14ac:dyDescent="0.2">
      <c r="A815" s="4">
        <v>814</v>
      </c>
      <c r="B815" s="3" t="s">
        <v>7069</v>
      </c>
      <c r="C815" s="7">
        <v>42208</v>
      </c>
      <c r="D815" s="28">
        <f>MONTH(Table11[[#This Row],[Order Date]])</f>
        <v>7</v>
      </c>
      <c r="E815" s="3" t="s">
        <v>857</v>
      </c>
      <c r="F815" s="3" t="s">
        <v>858</v>
      </c>
      <c r="G815" s="25" t="s">
        <v>41</v>
      </c>
      <c r="H815" s="25" t="s">
        <v>68</v>
      </c>
      <c r="I815" s="3" t="s">
        <v>1752</v>
      </c>
      <c r="J815" s="25" t="s">
        <v>22</v>
      </c>
      <c r="K815" s="28">
        <v>3</v>
      </c>
      <c r="L815" s="7">
        <v>42211</v>
      </c>
      <c r="M815" s="28">
        <f>Table11[[#This Row],[Ship Date]]-Table11[[#This Row],[Order Date]]</f>
        <v>3</v>
      </c>
      <c r="N815" s="25" t="s">
        <v>20</v>
      </c>
      <c r="O815" s="25" t="s">
        <v>23</v>
      </c>
      <c r="P815" s="25" t="s">
        <v>238</v>
      </c>
      <c r="Q815" s="25" t="s">
        <v>133</v>
      </c>
      <c r="R815" s="25" t="s">
        <v>347</v>
      </c>
      <c r="S815" s="35">
        <v>0.2</v>
      </c>
      <c r="T815" s="16">
        <v>10.512</v>
      </c>
      <c r="U815" s="19">
        <v>3.6791999999999998</v>
      </c>
      <c r="V815" s="56">
        <f>Table11[[#This Row],[Profit]]/Table11[[#This Row],[Sales]]</f>
        <v>0.35</v>
      </c>
    </row>
    <row r="816" spans="1:22" x14ac:dyDescent="0.2">
      <c r="A816" s="2">
        <v>815</v>
      </c>
      <c r="B816" s="5" t="s">
        <v>8154</v>
      </c>
      <c r="C816" s="6">
        <v>42209</v>
      </c>
      <c r="D816" s="27">
        <f>MONTH(Table11[[#This Row],[Order Date]])</f>
        <v>7</v>
      </c>
      <c r="E816" s="5" t="s">
        <v>57</v>
      </c>
      <c r="F816" s="5" t="s">
        <v>59</v>
      </c>
      <c r="G816" s="24" t="s">
        <v>28</v>
      </c>
      <c r="H816" s="24" t="s">
        <v>58</v>
      </c>
      <c r="I816" s="5" t="s">
        <v>8155</v>
      </c>
      <c r="J816" s="24" t="s">
        <v>92</v>
      </c>
      <c r="K816" s="27">
        <v>3</v>
      </c>
      <c r="L816" s="6">
        <v>42213</v>
      </c>
      <c r="M816" s="27">
        <f>Table11[[#This Row],[Ship Date]]-Table11[[#This Row],[Order Date]]</f>
        <v>4</v>
      </c>
      <c r="N816" s="24" t="s">
        <v>45</v>
      </c>
      <c r="O816" s="24" t="s">
        <v>23</v>
      </c>
      <c r="P816" s="24" t="s">
        <v>25</v>
      </c>
      <c r="Q816" s="24" t="s">
        <v>26</v>
      </c>
      <c r="R816" s="24" t="s">
        <v>1303</v>
      </c>
      <c r="S816" s="34">
        <v>0</v>
      </c>
      <c r="T816" s="15">
        <v>20.94</v>
      </c>
      <c r="U816" s="18">
        <v>6.0726000000000004</v>
      </c>
      <c r="V816" s="56">
        <f>Table11[[#This Row],[Profit]]/Table11[[#This Row],[Sales]]</f>
        <v>0.28999999999999998</v>
      </c>
    </row>
    <row r="817" spans="1:22" x14ac:dyDescent="0.2">
      <c r="A817" s="4">
        <v>816</v>
      </c>
      <c r="B817" s="3" t="s">
        <v>8154</v>
      </c>
      <c r="C817" s="7">
        <v>42209</v>
      </c>
      <c r="D817" s="28">
        <f>MONTH(Table11[[#This Row],[Order Date]])</f>
        <v>7</v>
      </c>
      <c r="E817" s="3" t="s">
        <v>1683</v>
      </c>
      <c r="F817" s="3" t="s">
        <v>1684</v>
      </c>
      <c r="G817" s="25" t="s">
        <v>41</v>
      </c>
      <c r="H817" s="25" t="s">
        <v>68</v>
      </c>
      <c r="I817" s="3" t="s">
        <v>8155</v>
      </c>
      <c r="J817" s="25" t="s">
        <v>92</v>
      </c>
      <c r="K817" s="28">
        <v>9</v>
      </c>
      <c r="L817" s="7">
        <v>42213</v>
      </c>
      <c r="M817" s="28">
        <f>Table11[[#This Row],[Ship Date]]-Table11[[#This Row],[Order Date]]</f>
        <v>4</v>
      </c>
      <c r="N817" s="25" t="s">
        <v>45</v>
      </c>
      <c r="O817" s="25" t="s">
        <v>23</v>
      </c>
      <c r="P817" s="25" t="s">
        <v>25</v>
      </c>
      <c r="Q817" s="25" t="s">
        <v>26</v>
      </c>
      <c r="R817" s="25" t="s">
        <v>1303</v>
      </c>
      <c r="S817" s="35">
        <v>0</v>
      </c>
      <c r="T817" s="16">
        <v>135.09</v>
      </c>
      <c r="U817" s="19">
        <v>62.141399999999997</v>
      </c>
      <c r="V817" s="56">
        <f>Table11[[#This Row],[Profit]]/Table11[[#This Row],[Sales]]</f>
        <v>0.45999999999999996</v>
      </c>
    </row>
    <row r="818" spans="1:22" x14ac:dyDescent="0.2">
      <c r="A818" s="4">
        <v>817</v>
      </c>
      <c r="B818" s="5" t="s">
        <v>8154</v>
      </c>
      <c r="C818" s="6">
        <v>42209</v>
      </c>
      <c r="D818" s="27">
        <f>MONTH(Table11[[#This Row],[Order Date]])</f>
        <v>7</v>
      </c>
      <c r="E818" s="5" t="s">
        <v>4399</v>
      </c>
      <c r="F818" s="5" t="s">
        <v>4400</v>
      </c>
      <c r="G818" s="24" t="s">
        <v>64</v>
      </c>
      <c r="H818" s="24" t="s">
        <v>144</v>
      </c>
      <c r="I818" s="5" t="s">
        <v>8155</v>
      </c>
      <c r="J818" s="24" t="s">
        <v>92</v>
      </c>
      <c r="K818" s="27">
        <v>14</v>
      </c>
      <c r="L818" s="6">
        <v>42213</v>
      </c>
      <c r="M818" s="27">
        <f>Table11[[#This Row],[Ship Date]]-Table11[[#This Row],[Order Date]]</f>
        <v>4</v>
      </c>
      <c r="N818" s="24" t="s">
        <v>45</v>
      </c>
      <c r="O818" s="24" t="s">
        <v>23</v>
      </c>
      <c r="P818" s="24" t="s">
        <v>25</v>
      </c>
      <c r="Q818" s="24" t="s">
        <v>26</v>
      </c>
      <c r="R818" s="24" t="s">
        <v>1303</v>
      </c>
      <c r="S818" s="34">
        <v>0</v>
      </c>
      <c r="T818" s="15">
        <v>279.86</v>
      </c>
      <c r="U818" s="18">
        <v>64.367800000000003</v>
      </c>
      <c r="V818" s="56">
        <f>Table11[[#This Row],[Profit]]/Table11[[#This Row],[Sales]]</f>
        <v>0.23</v>
      </c>
    </row>
    <row r="819" spans="1:22" x14ac:dyDescent="0.2">
      <c r="A819" s="2">
        <v>818</v>
      </c>
      <c r="B819" s="3" t="s">
        <v>8154</v>
      </c>
      <c r="C819" s="7">
        <v>42209</v>
      </c>
      <c r="D819" s="28">
        <f>MONTH(Table11[[#This Row],[Order Date]])</f>
        <v>7</v>
      </c>
      <c r="E819" s="3" t="s">
        <v>1683</v>
      </c>
      <c r="F819" s="3" t="s">
        <v>1684</v>
      </c>
      <c r="G819" s="25" t="s">
        <v>41</v>
      </c>
      <c r="H819" s="25" t="s">
        <v>68</v>
      </c>
      <c r="I819" s="3" t="s">
        <v>8155</v>
      </c>
      <c r="J819" s="25" t="s">
        <v>92</v>
      </c>
      <c r="K819" s="28">
        <v>6</v>
      </c>
      <c r="L819" s="7">
        <v>42213</v>
      </c>
      <c r="M819" s="28">
        <f>Table11[[#This Row],[Ship Date]]-Table11[[#This Row],[Order Date]]</f>
        <v>4</v>
      </c>
      <c r="N819" s="25" t="s">
        <v>45</v>
      </c>
      <c r="O819" s="25" t="s">
        <v>23</v>
      </c>
      <c r="P819" s="25" t="s">
        <v>25</v>
      </c>
      <c r="Q819" s="25" t="s">
        <v>26</v>
      </c>
      <c r="R819" s="25" t="s">
        <v>1303</v>
      </c>
      <c r="S819" s="35">
        <v>0</v>
      </c>
      <c r="T819" s="16">
        <v>90.06</v>
      </c>
      <c r="U819" s="19">
        <v>41.427599999999998</v>
      </c>
      <c r="V819" s="56">
        <f>Table11[[#This Row],[Profit]]/Table11[[#This Row],[Sales]]</f>
        <v>0.45999999999999996</v>
      </c>
    </row>
    <row r="820" spans="1:22" x14ac:dyDescent="0.2">
      <c r="A820" s="4">
        <v>819</v>
      </c>
      <c r="B820" s="5" t="s">
        <v>2777</v>
      </c>
      <c r="C820" s="6">
        <v>42210</v>
      </c>
      <c r="D820" s="27">
        <f>MONTH(Table11[[#This Row],[Order Date]])</f>
        <v>7</v>
      </c>
      <c r="E820" s="5" t="s">
        <v>1060</v>
      </c>
      <c r="F820" s="5" t="s">
        <v>1061</v>
      </c>
      <c r="G820" s="24" t="s">
        <v>41</v>
      </c>
      <c r="H820" s="24" t="s">
        <v>68</v>
      </c>
      <c r="I820" s="5" t="s">
        <v>1334</v>
      </c>
      <c r="J820" s="24" t="s">
        <v>92</v>
      </c>
      <c r="K820" s="27">
        <v>4</v>
      </c>
      <c r="L820" s="6">
        <v>42214</v>
      </c>
      <c r="M820" s="27">
        <f>Table11[[#This Row],[Ship Date]]-Table11[[#This Row],[Order Date]]</f>
        <v>4</v>
      </c>
      <c r="N820" s="24" t="s">
        <v>45</v>
      </c>
      <c r="O820" s="24" t="s">
        <v>23</v>
      </c>
      <c r="P820" s="24" t="s">
        <v>132</v>
      </c>
      <c r="Q820" s="24" t="s">
        <v>133</v>
      </c>
      <c r="R820" s="24" t="s">
        <v>131</v>
      </c>
      <c r="S820" s="34">
        <v>0.7</v>
      </c>
      <c r="T820" s="15">
        <v>25.175999999999998</v>
      </c>
      <c r="U820" s="18">
        <v>-18.462399999999999</v>
      </c>
      <c r="V820" s="56">
        <f>Table11[[#This Row],[Profit]]/Table11[[#This Row],[Sales]]</f>
        <v>-0.73333333333333328</v>
      </c>
    </row>
    <row r="821" spans="1:22" x14ac:dyDescent="0.2">
      <c r="A821" s="4">
        <v>820</v>
      </c>
      <c r="B821" s="3" t="s">
        <v>5330</v>
      </c>
      <c r="C821" s="7">
        <v>42210</v>
      </c>
      <c r="D821" s="28">
        <f>MONTH(Table11[[#This Row],[Order Date]])</f>
        <v>7</v>
      </c>
      <c r="E821" s="3" t="s">
        <v>4313</v>
      </c>
      <c r="F821" s="3" t="s">
        <v>4314</v>
      </c>
      <c r="G821" s="25" t="s">
        <v>41</v>
      </c>
      <c r="H821" s="25" t="s">
        <v>240</v>
      </c>
      <c r="I821" s="3" t="s">
        <v>5331</v>
      </c>
      <c r="J821" s="25" t="s">
        <v>22</v>
      </c>
      <c r="K821" s="28">
        <v>2</v>
      </c>
      <c r="L821" s="7">
        <v>42212</v>
      </c>
      <c r="M821" s="28">
        <f>Table11[[#This Row],[Ship Date]]-Table11[[#This Row],[Order Date]]</f>
        <v>2</v>
      </c>
      <c r="N821" s="25" t="s">
        <v>20</v>
      </c>
      <c r="O821" s="25" t="s">
        <v>23</v>
      </c>
      <c r="P821" s="25" t="s">
        <v>87</v>
      </c>
      <c r="Q821" s="25" t="s">
        <v>39</v>
      </c>
      <c r="R821" s="25" t="s">
        <v>86</v>
      </c>
      <c r="S821" s="35">
        <v>0</v>
      </c>
      <c r="T821" s="16">
        <v>9.42</v>
      </c>
      <c r="U821" s="19">
        <v>0.47099999999999997</v>
      </c>
      <c r="V821" s="56">
        <f>Table11[[#This Row],[Profit]]/Table11[[#This Row],[Sales]]</f>
        <v>4.9999999999999996E-2</v>
      </c>
    </row>
    <row r="822" spans="1:22" x14ac:dyDescent="0.2">
      <c r="A822" s="2">
        <v>821</v>
      </c>
      <c r="B822" s="5" t="s">
        <v>5330</v>
      </c>
      <c r="C822" s="6">
        <v>42210</v>
      </c>
      <c r="D822" s="27">
        <f>MONTH(Table11[[#This Row],[Order Date]])</f>
        <v>7</v>
      </c>
      <c r="E822" s="5" t="s">
        <v>5332</v>
      </c>
      <c r="F822" s="5" t="s">
        <v>5333</v>
      </c>
      <c r="G822" s="24" t="s">
        <v>41</v>
      </c>
      <c r="H822" s="24" t="s">
        <v>82</v>
      </c>
      <c r="I822" s="5" t="s">
        <v>5331</v>
      </c>
      <c r="J822" s="24" t="s">
        <v>22</v>
      </c>
      <c r="K822" s="27">
        <v>2</v>
      </c>
      <c r="L822" s="6">
        <v>42212</v>
      </c>
      <c r="M822" s="27">
        <f>Table11[[#This Row],[Ship Date]]-Table11[[#This Row],[Order Date]]</f>
        <v>2</v>
      </c>
      <c r="N822" s="24" t="s">
        <v>20</v>
      </c>
      <c r="O822" s="24" t="s">
        <v>23</v>
      </c>
      <c r="P822" s="24" t="s">
        <v>87</v>
      </c>
      <c r="Q822" s="24" t="s">
        <v>39</v>
      </c>
      <c r="R822" s="24" t="s">
        <v>86</v>
      </c>
      <c r="S822" s="34">
        <v>0</v>
      </c>
      <c r="T822" s="15">
        <v>12.96</v>
      </c>
      <c r="U822" s="18">
        <v>6.2207999999999997</v>
      </c>
      <c r="V822" s="56">
        <f>Table11[[#This Row],[Profit]]/Table11[[#This Row],[Sales]]</f>
        <v>0.47999999999999993</v>
      </c>
    </row>
    <row r="823" spans="1:22" x14ac:dyDescent="0.2">
      <c r="A823" s="4">
        <v>822</v>
      </c>
      <c r="B823" s="3" t="s">
        <v>5330</v>
      </c>
      <c r="C823" s="7">
        <v>42210</v>
      </c>
      <c r="D823" s="28">
        <f>MONTH(Table11[[#This Row],[Order Date]])</f>
        <v>7</v>
      </c>
      <c r="E823" s="3" t="s">
        <v>4452</v>
      </c>
      <c r="F823" s="3" t="s">
        <v>4922</v>
      </c>
      <c r="G823" s="25" t="s">
        <v>28</v>
      </c>
      <c r="H823" s="25" t="s">
        <v>29</v>
      </c>
      <c r="I823" s="3" t="s">
        <v>5331</v>
      </c>
      <c r="J823" s="25" t="s">
        <v>22</v>
      </c>
      <c r="K823" s="28">
        <v>5</v>
      </c>
      <c r="L823" s="7">
        <v>42212</v>
      </c>
      <c r="M823" s="28">
        <f>Table11[[#This Row],[Ship Date]]-Table11[[#This Row],[Order Date]]</f>
        <v>2</v>
      </c>
      <c r="N823" s="25" t="s">
        <v>20</v>
      </c>
      <c r="O823" s="25" t="s">
        <v>23</v>
      </c>
      <c r="P823" s="25" t="s">
        <v>87</v>
      </c>
      <c r="Q823" s="25" t="s">
        <v>39</v>
      </c>
      <c r="R823" s="25" t="s">
        <v>86</v>
      </c>
      <c r="S823" s="35">
        <v>0</v>
      </c>
      <c r="T823" s="16">
        <v>704.9</v>
      </c>
      <c r="U823" s="19">
        <v>56.392000000000003</v>
      </c>
      <c r="V823" s="56">
        <f>Table11[[#This Row],[Profit]]/Table11[[#This Row],[Sales]]</f>
        <v>0.08</v>
      </c>
    </row>
    <row r="824" spans="1:22" x14ac:dyDescent="0.2">
      <c r="A824" s="4">
        <v>823</v>
      </c>
      <c r="B824" s="5" t="s">
        <v>5330</v>
      </c>
      <c r="C824" s="6">
        <v>42210</v>
      </c>
      <c r="D824" s="27">
        <f>MONTH(Table11[[#This Row],[Order Date]])</f>
        <v>7</v>
      </c>
      <c r="E824" s="5" t="s">
        <v>3992</v>
      </c>
      <c r="F824" s="5" t="s">
        <v>3993</v>
      </c>
      <c r="G824" s="24" t="s">
        <v>28</v>
      </c>
      <c r="H824" s="24" t="s">
        <v>32</v>
      </c>
      <c r="I824" s="5" t="s">
        <v>5331</v>
      </c>
      <c r="J824" s="24" t="s">
        <v>22</v>
      </c>
      <c r="K824" s="27">
        <v>2</v>
      </c>
      <c r="L824" s="6">
        <v>42212</v>
      </c>
      <c r="M824" s="27">
        <f>Table11[[#This Row],[Ship Date]]-Table11[[#This Row],[Order Date]]</f>
        <v>2</v>
      </c>
      <c r="N824" s="24" t="s">
        <v>20</v>
      </c>
      <c r="O824" s="24" t="s">
        <v>23</v>
      </c>
      <c r="P824" s="24" t="s">
        <v>87</v>
      </c>
      <c r="Q824" s="24" t="s">
        <v>39</v>
      </c>
      <c r="R824" s="24" t="s">
        <v>86</v>
      </c>
      <c r="S824" s="34">
        <v>0.2</v>
      </c>
      <c r="T824" s="15">
        <v>561.56799999999998</v>
      </c>
      <c r="U824" s="18">
        <v>28.078399999999998</v>
      </c>
      <c r="V824" s="56">
        <f>Table11[[#This Row],[Profit]]/Table11[[#This Row],[Sales]]</f>
        <v>4.9999999999999996E-2</v>
      </c>
    </row>
    <row r="825" spans="1:22" x14ac:dyDescent="0.2">
      <c r="A825" s="2">
        <v>824</v>
      </c>
      <c r="B825" s="3" t="s">
        <v>8342</v>
      </c>
      <c r="C825" s="7">
        <v>42210</v>
      </c>
      <c r="D825" s="28">
        <f>MONTH(Table11[[#This Row],[Order Date]])</f>
        <v>7</v>
      </c>
      <c r="E825" s="3" t="s">
        <v>1596</v>
      </c>
      <c r="F825" s="3" t="s">
        <v>1597</v>
      </c>
      <c r="G825" s="25" t="s">
        <v>41</v>
      </c>
      <c r="H825" s="25" t="s">
        <v>155</v>
      </c>
      <c r="I825" s="3" t="s">
        <v>3354</v>
      </c>
      <c r="J825" s="25" t="s">
        <v>36</v>
      </c>
      <c r="K825" s="28">
        <v>9</v>
      </c>
      <c r="L825" s="7">
        <v>42214</v>
      </c>
      <c r="M825" s="28">
        <f>Table11[[#This Row],[Ship Date]]-Table11[[#This Row],[Order Date]]</f>
        <v>4</v>
      </c>
      <c r="N825" s="25" t="s">
        <v>45</v>
      </c>
      <c r="O825" s="25" t="s">
        <v>23</v>
      </c>
      <c r="P825" s="25" t="s">
        <v>320</v>
      </c>
      <c r="Q825" s="25" t="s">
        <v>26</v>
      </c>
      <c r="R825" s="25" t="s">
        <v>1608</v>
      </c>
      <c r="S825" s="35">
        <v>0</v>
      </c>
      <c r="T825" s="16">
        <v>98.46</v>
      </c>
      <c r="U825" s="19">
        <v>49.23</v>
      </c>
      <c r="V825" s="56">
        <f>Table11[[#This Row],[Profit]]/Table11[[#This Row],[Sales]]</f>
        <v>0.5</v>
      </c>
    </row>
    <row r="826" spans="1:22" x14ac:dyDescent="0.2">
      <c r="A826" s="4">
        <v>825</v>
      </c>
      <c r="B826" s="5" t="s">
        <v>8342</v>
      </c>
      <c r="C826" s="6">
        <v>42210</v>
      </c>
      <c r="D826" s="27">
        <f>MONTH(Table11[[#This Row],[Order Date]])</f>
        <v>7</v>
      </c>
      <c r="E826" s="5" t="s">
        <v>1269</v>
      </c>
      <c r="F826" s="5" t="s">
        <v>1270</v>
      </c>
      <c r="G826" s="24" t="s">
        <v>28</v>
      </c>
      <c r="H826" s="24" t="s">
        <v>50</v>
      </c>
      <c r="I826" s="5" t="s">
        <v>3354</v>
      </c>
      <c r="J826" s="24" t="s">
        <v>36</v>
      </c>
      <c r="K826" s="27">
        <v>2</v>
      </c>
      <c r="L826" s="6">
        <v>42214</v>
      </c>
      <c r="M826" s="27">
        <f>Table11[[#This Row],[Ship Date]]-Table11[[#This Row],[Order Date]]</f>
        <v>4</v>
      </c>
      <c r="N826" s="24" t="s">
        <v>45</v>
      </c>
      <c r="O826" s="24" t="s">
        <v>23</v>
      </c>
      <c r="P826" s="24" t="s">
        <v>320</v>
      </c>
      <c r="Q826" s="24" t="s">
        <v>26</v>
      </c>
      <c r="R826" s="24" t="s">
        <v>1608</v>
      </c>
      <c r="S826" s="34">
        <v>0</v>
      </c>
      <c r="T826" s="15">
        <v>358.58</v>
      </c>
      <c r="U826" s="18">
        <v>39.443800000000003</v>
      </c>
      <c r="V826" s="56">
        <f>Table11[[#This Row],[Profit]]/Table11[[#This Row],[Sales]]</f>
        <v>0.11000000000000001</v>
      </c>
    </row>
    <row r="827" spans="1:22" x14ac:dyDescent="0.2">
      <c r="A827" s="4">
        <v>826</v>
      </c>
      <c r="B827" s="3" t="s">
        <v>8418</v>
      </c>
      <c r="C827" s="7">
        <v>42210</v>
      </c>
      <c r="D827" s="28">
        <f>MONTH(Table11[[#This Row],[Order Date]])</f>
        <v>7</v>
      </c>
      <c r="E827" s="3" t="s">
        <v>8419</v>
      </c>
      <c r="F827" s="3" t="s">
        <v>8420</v>
      </c>
      <c r="G827" s="25" t="s">
        <v>64</v>
      </c>
      <c r="H827" s="25" t="s">
        <v>65</v>
      </c>
      <c r="I827" s="3" t="s">
        <v>5988</v>
      </c>
      <c r="J827" s="25" t="s">
        <v>22</v>
      </c>
      <c r="K827" s="28">
        <v>5</v>
      </c>
      <c r="L827" s="7">
        <v>42215</v>
      </c>
      <c r="M827" s="28">
        <f>Table11[[#This Row],[Ship Date]]-Table11[[#This Row],[Order Date]]</f>
        <v>5</v>
      </c>
      <c r="N827" s="25" t="s">
        <v>45</v>
      </c>
      <c r="O827" s="25" t="s">
        <v>23</v>
      </c>
      <c r="P827" s="25" t="s">
        <v>38</v>
      </c>
      <c r="Q827" s="25" t="s">
        <v>39</v>
      </c>
      <c r="R827" s="25" t="s">
        <v>37</v>
      </c>
      <c r="S827" s="35">
        <v>0.2</v>
      </c>
      <c r="T827" s="16">
        <v>623.96</v>
      </c>
      <c r="U827" s="19">
        <v>38.997500000000002</v>
      </c>
      <c r="V827" s="56">
        <f>Table11[[#This Row],[Profit]]/Table11[[#This Row],[Sales]]</f>
        <v>6.25E-2</v>
      </c>
    </row>
    <row r="828" spans="1:22" x14ac:dyDescent="0.2">
      <c r="A828" s="2">
        <v>827</v>
      </c>
      <c r="B828" s="5" t="s">
        <v>2531</v>
      </c>
      <c r="C828" s="6">
        <v>42211</v>
      </c>
      <c r="D828" s="27">
        <f>MONTH(Table11[[#This Row],[Order Date]])</f>
        <v>7</v>
      </c>
      <c r="E828" s="5" t="s">
        <v>2532</v>
      </c>
      <c r="F828" s="5" t="s">
        <v>2533</v>
      </c>
      <c r="G828" s="24" t="s">
        <v>28</v>
      </c>
      <c r="H828" s="24" t="s">
        <v>50</v>
      </c>
      <c r="I828" s="5" t="s">
        <v>1686</v>
      </c>
      <c r="J828" s="24" t="s">
        <v>22</v>
      </c>
      <c r="K828" s="27">
        <v>3</v>
      </c>
      <c r="L828" s="6">
        <v>42213</v>
      </c>
      <c r="M828" s="27">
        <f>Table11[[#This Row],[Ship Date]]-Table11[[#This Row],[Order Date]]</f>
        <v>2</v>
      </c>
      <c r="N828" s="24" t="s">
        <v>169</v>
      </c>
      <c r="O828" s="24" t="s">
        <v>23</v>
      </c>
      <c r="P828" s="24" t="s">
        <v>277</v>
      </c>
      <c r="Q828" s="24" t="s">
        <v>39</v>
      </c>
      <c r="R828" s="24" t="s">
        <v>1613</v>
      </c>
      <c r="S828" s="34">
        <v>0.5</v>
      </c>
      <c r="T828" s="15">
        <v>393.16500000000002</v>
      </c>
      <c r="U828" s="18">
        <v>-204.44579999999999</v>
      </c>
      <c r="V828" s="56">
        <f>Table11[[#This Row],[Profit]]/Table11[[#This Row],[Sales]]</f>
        <v>-0.51999999999999991</v>
      </c>
    </row>
    <row r="829" spans="1:22" x14ac:dyDescent="0.2">
      <c r="A829" s="4">
        <v>828</v>
      </c>
      <c r="B829" s="3" t="s">
        <v>6668</v>
      </c>
      <c r="C829" s="7">
        <v>42211</v>
      </c>
      <c r="D829" s="28">
        <f>MONTH(Table11[[#This Row],[Order Date]])</f>
        <v>7</v>
      </c>
      <c r="E829" s="3" t="s">
        <v>1902</v>
      </c>
      <c r="F829" s="3" t="s">
        <v>1903</v>
      </c>
      <c r="G829" s="25" t="s">
        <v>41</v>
      </c>
      <c r="H829" s="25" t="s">
        <v>155</v>
      </c>
      <c r="I829" s="3" t="s">
        <v>532</v>
      </c>
      <c r="J829" s="25" t="s">
        <v>22</v>
      </c>
      <c r="K829" s="28">
        <v>2</v>
      </c>
      <c r="L829" s="7">
        <v>42218</v>
      </c>
      <c r="M829" s="28">
        <f>Table11[[#This Row],[Ship Date]]-Table11[[#This Row],[Order Date]]</f>
        <v>7</v>
      </c>
      <c r="N829" s="25" t="s">
        <v>45</v>
      </c>
      <c r="O829" s="25" t="s">
        <v>23</v>
      </c>
      <c r="P829" s="25" t="s">
        <v>38</v>
      </c>
      <c r="Q829" s="25" t="s">
        <v>39</v>
      </c>
      <c r="R829" s="25" t="s">
        <v>114</v>
      </c>
      <c r="S829" s="35">
        <v>0</v>
      </c>
      <c r="T829" s="16">
        <v>167.86</v>
      </c>
      <c r="U829" s="19">
        <v>78.894199999999998</v>
      </c>
      <c r="V829" s="56">
        <f>Table11[[#This Row],[Profit]]/Table11[[#This Row],[Sales]]</f>
        <v>0.47</v>
      </c>
    </row>
    <row r="830" spans="1:22" x14ac:dyDescent="0.2">
      <c r="A830" s="4">
        <v>829</v>
      </c>
      <c r="B830" s="5" t="s">
        <v>8700</v>
      </c>
      <c r="C830" s="6">
        <v>42211</v>
      </c>
      <c r="D830" s="27">
        <f>MONTH(Table11[[#This Row],[Order Date]])</f>
        <v>7</v>
      </c>
      <c r="E830" s="5" t="s">
        <v>1831</v>
      </c>
      <c r="F830" s="5" t="s">
        <v>1832</v>
      </c>
      <c r="G830" s="24" t="s">
        <v>41</v>
      </c>
      <c r="H830" s="24" t="s">
        <v>68</v>
      </c>
      <c r="I830" s="5" t="s">
        <v>1222</v>
      </c>
      <c r="J830" s="24" t="s">
        <v>36</v>
      </c>
      <c r="K830" s="27">
        <v>3</v>
      </c>
      <c r="L830" s="6">
        <v>42216</v>
      </c>
      <c r="M830" s="27">
        <f>Table11[[#This Row],[Ship Date]]-Table11[[#This Row],[Order Date]]</f>
        <v>5</v>
      </c>
      <c r="N830" s="24" t="s">
        <v>45</v>
      </c>
      <c r="O830" s="24" t="s">
        <v>23</v>
      </c>
      <c r="P830" s="24" t="s">
        <v>38</v>
      </c>
      <c r="Q830" s="24" t="s">
        <v>39</v>
      </c>
      <c r="R830" s="24" t="s">
        <v>8055</v>
      </c>
      <c r="S830" s="34">
        <v>0.2</v>
      </c>
      <c r="T830" s="15">
        <v>9.1440000000000001</v>
      </c>
      <c r="U830" s="18">
        <v>3.0861000000000001</v>
      </c>
      <c r="V830" s="56">
        <f>Table11[[#This Row],[Profit]]/Table11[[#This Row],[Sales]]</f>
        <v>0.33750000000000002</v>
      </c>
    </row>
    <row r="831" spans="1:22" x14ac:dyDescent="0.2">
      <c r="A831" s="2">
        <v>830</v>
      </c>
      <c r="B831" s="3" t="s">
        <v>8700</v>
      </c>
      <c r="C831" s="7">
        <v>42211</v>
      </c>
      <c r="D831" s="28">
        <f>MONTH(Table11[[#This Row],[Order Date]])</f>
        <v>7</v>
      </c>
      <c r="E831" s="3" t="s">
        <v>1081</v>
      </c>
      <c r="F831" s="3" t="s">
        <v>1082</v>
      </c>
      <c r="G831" s="25" t="s">
        <v>41</v>
      </c>
      <c r="H831" s="25" t="s">
        <v>68</v>
      </c>
      <c r="I831" s="3" t="s">
        <v>1222</v>
      </c>
      <c r="J831" s="25" t="s">
        <v>36</v>
      </c>
      <c r="K831" s="28">
        <v>6</v>
      </c>
      <c r="L831" s="7">
        <v>42216</v>
      </c>
      <c r="M831" s="28">
        <f>Table11[[#This Row],[Ship Date]]-Table11[[#This Row],[Order Date]]</f>
        <v>5</v>
      </c>
      <c r="N831" s="25" t="s">
        <v>45</v>
      </c>
      <c r="O831" s="25" t="s">
        <v>23</v>
      </c>
      <c r="P831" s="25" t="s">
        <v>38</v>
      </c>
      <c r="Q831" s="25" t="s">
        <v>39</v>
      </c>
      <c r="R831" s="25" t="s">
        <v>8055</v>
      </c>
      <c r="S831" s="35">
        <v>0.2</v>
      </c>
      <c r="T831" s="16">
        <v>23.135999999999999</v>
      </c>
      <c r="U831" s="19">
        <v>8.3867999999999991</v>
      </c>
      <c r="V831" s="56">
        <f>Table11[[#This Row],[Profit]]/Table11[[#This Row],[Sales]]</f>
        <v>0.36249999999999999</v>
      </c>
    </row>
    <row r="832" spans="1:22" x14ac:dyDescent="0.2">
      <c r="A832" s="4">
        <v>831</v>
      </c>
      <c r="B832" s="5" t="s">
        <v>8700</v>
      </c>
      <c r="C832" s="6">
        <v>42211</v>
      </c>
      <c r="D832" s="27">
        <f>MONTH(Table11[[#This Row],[Order Date]])</f>
        <v>7</v>
      </c>
      <c r="E832" s="5" t="s">
        <v>4129</v>
      </c>
      <c r="F832" s="5" t="s">
        <v>4130</v>
      </c>
      <c r="G832" s="24" t="s">
        <v>41</v>
      </c>
      <c r="H832" s="24" t="s">
        <v>61</v>
      </c>
      <c r="I832" s="5" t="s">
        <v>1222</v>
      </c>
      <c r="J832" s="24" t="s">
        <v>36</v>
      </c>
      <c r="K832" s="27">
        <v>5</v>
      </c>
      <c r="L832" s="6">
        <v>42216</v>
      </c>
      <c r="M832" s="27">
        <f>Table11[[#This Row],[Ship Date]]-Table11[[#This Row],[Order Date]]</f>
        <v>5</v>
      </c>
      <c r="N832" s="24" t="s">
        <v>45</v>
      </c>
      <c r="O832" s="24" t="s">
        <v>23</v>
      </c>
      <c r="P832" s="24" t="s">
        <v>38</v>
      </c>
      <c r="Q832" s="24" t="s">
        <v>39</v>
      </c>
      <c r="R832" s="24" t="s">
        <v>8055</v>
      </c>
      <c r="S832" s="34">
        <v>0</v>
      </c>
      <c r="T832" s="15">
        <v>99.2</v>
      </c>
      <c r="U832" s="18">
        <v>25.792000000000002</v>
      </c>
      <c r="V832" s="56">
        <f>Table11[[#This Row],[Profit]]/Table11[[#This Row],[Sales]]</f>
        <v>0.26</v>
      </c>
    </row>
    <row r="833" spans="1:22" x14ac:dyDescent="0.2">
      <c r="A833" s="4">
        <v>832</v>
      </c>
      <c r="B833" s="3" t="s">
        <v>9471</v>
      </c>
      <c r="C833" s="7">
        <v>42211</v>
      </c>
      <c r="D833" s="28">
        <f>MONTH(Table11[[#This Row],[Order Date]])</f>
        <v>7</v>
      </c>
      <c r="E833" s="3" t="s">
        <v>2184</v>
      </c>
      <c r="F833" s="3" t="s">
        <v>2185</v>
      </c>
      <c r="G833" s="25" t="s">
        <v>28</v>
      </c>
      <c r="H833" s="25" t="s">
        <v>32</v>
      </c>
      <c r="I833" s="3" t="s">
        <v>2319</v>
      </c>
      <c r="J833" s="25" t="s">
        <v>36</v>
      </c>
      <c r="K833" s="28">
        <v>3</v>
      </c>
      <c r="L833" s="7">
        <v>42216</v>
      </c>
      <c r="M833" s="28">
        <f>Table11[[#This Row],[Ship Date]]-Table11[[#This Row],[Order Date]]</f>
        <v>5</v>
      </c>
      <c r="N833" s="25" t="s">
        <v>45</v>
      </c>
      <c r="O833" s="25" t="s">
        <v>23</v>
      </c>
      <c r="P833" s="25" t="s">
        <v>277</v>
      </c>
      <c r="Q833" s="25" t="s">
        <v>39</v>
      </c>
      <c r="R833" s="25" t="s">
        <v>3477</v>
      </c>
      <c r="S833" s="35">
        <v>0.2</v>
      </c>
      <c r="T833" s="16">
        <v>266.35199999999998</v>
      </c>
      <c r="U833" s="19">
        <v>13.317600000000001</v>
      </c>
      <c r="V833" s="56">
        <f>Table11[[#This Row],[Profit]]/Table11[[#This Row],[Sales]]</f>
        <v>5.000000000000001E-2</v>
      </c>
    </row>
    <row r="834" spans="1:22" x14ac:dyDescent="0.2">
      <c r="A834" s="2">
        <v>833</v>
      </c>
      <c r="B834" s="5" t="s">
        <v>10129</v>
      </c>
      <c r="C834" s="6">
        <v>42211</v>
      </c>
      <c r="D834" s="27">
        <f>MONTH(Table11[[#This Row],[Order Date]])</f>
        <v>7</v>
      </c>
      <c r="E834" s="5" t="s">
        <v>3209</v>
      </c>
      <c r="F834" s="5" t="s">
        <v>3210</v>
      </c>
      <c r="G834" s="24" t="s">
        <v>41</v>
      </c>
      <c r="H834" s="24" t="s">
        <v>82</v>
      </c>
      <c r="I834" s="5" t="s">
        <v>1773</v>
      </c>
      <c r="J834" s="24" t="s">
        <v>22</v>
      </c>
      <c r="K834" s="27">
        <v>2</v>
      </c>
      <c r="L834" s="6">
        <v>42211</v>
      </c>
      <c r="M834" s="27">
        <f>Table11[[#This Row],[Ship Date]]-Table11[[#This Row],[Order Date]]</f>
        <v>0</v>
      </c>
      <c r="N834" s="24" t="s">
        <v>1141</v>
      </c>
      <c r="O834" s="24" t="s">
        <v>23</v>
      </c>
      <c r="P834" s="24" t="s">
        <v>132</v>
      </c>
      <c r="Q834" s="24" t="s">
        <v>133</v>
      </c>
      <c r="R834" s="24" t="s">
        <v>131</v>
      </c>
      <c r="S834" s="34">
        <v>0.2</v>
      </c>
      <c r="T834" s="15">
        <v>10.368</v>
      </c>
      <c r="U834" s="18">
        <v>3.6288</v>
      </c>
      <c r="V834" s="56">
        <f>Table11[[#This Row],[Profit]]/Table11[[#This Row],[Sales]]</f>
        <v>0.35</v>
      </c>
    </row>
    <row r="835" spans="1:22" x14ac:dyDescent="0.2">
      <c r="A835" s="4">
        <v>834</v>
      </c>
      <c r="B835" s="3" t="s">
        <v>7984</v>
      </c>
      <c r="C835" s="7">
        <v>42212</v>
      </c>
      <c r="D835" s="28">
        <f>MONTH(Table11[[#This Row],[Order Date]])</f>
        <v>7</v>
      </c>
      <c r="E835" s="3" t="s">
        <v>4018</v>
      </c>
      <c r="F835" s="3" t="s">
        <v>4019</v>
      </c>
      <c r="G835" s="25" t="s">
        <v>64</v>
      </c>
      <c r="H835" s="25" t="s">
        <v>65</v>
      </c>
      <c r="I835" s="3" t="s">
        <v>2260</v>
      </c>
      <c r="J835" s="25" t="s">
        <v>22</v>
      </c>
      <c r="K835" s="28">
        <v>3</v>
      </c>
      <c r="L835" s="7">
        <v>42218</v>
      </c>
      <c r="M835" s="28">
        <f>Table11[[#This Row],[Ship Date]]-Table11[[#This Row],[Order Date]]</f>
        <v>6</v>
      </c>
      <c r="N835" s="25" t="s">
        <v>45</v>
      </c>
      <c r="O835" s="25" t="s">
        <v>23</v>
      </c>
      <c r="P835" s="25" t="s">
        <v>25</v>
      </c>
      <c r="Q835" s="25" t="s">
        <v>26</v>
      </c>
      <c r="R835" s="25" t="s">
        <v>1303</v>
      </c>
      <c r="S835" s="35">
        <v>0</v>
      </c>
      <c r="T835" s="16">
        <v>29.97</v>
      </c>
      <c r="U835" s="19">
        <v>0.29970000000000002</v>
      </c>
      <c r="V835" s="56">
        <f>Table11[[#This Row],[Profit]]/Table11[[#This Row],[Sales]]</f>
        <v>1.0000000000000002E-2</v>
      </c>
    </row>
    <row r="836" spans="1:22" x14ac:dyDescent="0.2">
      <c r="A836" s="4">
        <v>835</v>
      </c>
      <c r="B836" s="5" t="s">
        <v>896</v>
      </c>
      <c r="C836" s="6">
        <v>42215</v>
      </c>
      <c r="D836" s="27">
        <f>MONTH(Table11[[#This Row],[Order Date]])</f>
        <v>7</v>
      </c>
      <c r="E836" s="5" t="s">
        <v>897</v>
      </c>
      <c r="F836" s="5" t="s">
        <v>898</v>
      </c>
      <c r="G836" s="24" t="s">
        <v>64</v>
      </c>
      <c r="H836" s="24" t="s">
        <v>144</v>
      </c>
      <c r="I836" s="5" t="s">
        <v>532</v>
      </c>
      <c r="J836" s="24" t="s">
        <v>22</v>
      </c>
      <c r="K836" s="27">
        <v>7</v>
      </c>
      <c r="L836" s="6">
        <v>42216</v>
      </c>
      <c r="M836" s="27">
        <f>Table11[[#This Row],[Ship Date]]-Table11[[#This Row],[Order Date]]</f>
        <v>1</v>
      </c>
      <c r="N836" s="24" t="s">
        <v>169</v>
      </c>
      <c r="O836" s="24" t="s">
        <v>23</v>
      </c>
      <c r="P836" s="24" t="s">
        <v>38</v>
      </c>
      <c r="Q836" s="24" t="s">
        <v>39</v>
      </c>
      <c r="R836" s="24" t="s">
        <v>114</v>
      </c>
      <c r="S836" s="34">
        <v>0</v>
      </c>
      <c r="T836" s="15">
        <v>209.93</v>
      </c>
      <c r="U836" s="18">
        <v>92.369200000000006</v>
      </c>
      <c r="V836" s="56">
        <f>Table11[[#This Row],[Profit]]/Table11[[#This Row],[Sales]]</f>
        <v>0.44</v>
      </c>
    </row>
    <row r="837" spans="1:22" x14ac:dyDescent="0.2">
      <c r="A837" s="2">
        <v>836</v>
      </c>
      <c r="B837" s="3" t="s">
        <v>896</v>
      </c>
      <c r="C837" s="7">
        <v>42215</v>
      </c>
      <c r="D837" s="28">
        <f>MONTH(Table11[[#This Row],[Order Date]])</f>
        <v>7</v>
      </c>
      <c r="E837" s="3" t="s">
        <v>899</v>
      </c>
      <c r="F837" s="3" t="s">
        <v>900</v>
      </c>
      <c r="G837" s="25" t="s">
        <v>28</v>
      </c>
      <c r="H837" s="25" t="s">
        <v>58</v>
      </c>
      <c r="I837" s="3" t="s">
        <v>532</v>
      </c>
      <c r="J837" s="25" t="s">
        <v>22</v>
      </c>
      <c r="K837" s="28">
        <v>3</v>
      </c>
      <c r="L837" s="7">
        <v>42216</v>
      </c>
      <c r="M837" s="28">
        <f>Table11[[#This Row],[Ship Date]]-Table11[[#This Row],[Order Date]]</f>
        <v>1</v>
      </c>
      <c r="N837" s="25" t="s">
        <v>169</v>
      </c>
      <c r="O837" s="25" t="s">
        <v>23</v>
      </c>
      <c r="P837" s="25" t="s">
        <v>38</v>
      </c>
      <c r="Q837" s="25" t="s">
        <v>39</v>
      </c>
      <c r="R837" s="25" t="s">
        <v>114</v>
      </c>
      <c r="S837" s="35">
        <v>0</v>
      </c>
      <c r="T837" s="16">
        <v>5.28</v>
      </c>
      <c r="U837" s="19">
        <v>2.3231999999999999</v>
      </c>
      <c r="V837" s="56">
        <f>Table11[[#This Row],[Profit]]/Table11[[#This Row],[Sales]]</f>
        <v>0.43999999999999995</v>
      </c>
    </row>
    <row r="838" spans="1:22" x14ac:dyDescent="0.2">
      <c r="A838" s="4">
        <v>837</v>
      </c>
      <c r="B838" s="5" t="s">
        <v>896</v>
      </c>
      <c r="C838" s="6">
        <v>42215</v>
      </c>
      <c r="D838" s="27">
        <f>MONTH(Table11[[#This Row],[Order Date]])</f>
        <v>7</v>
      </c>
      <c r="E838" s="5" t="s">
        <v>901</v>
      </c>
      <c r="F838" s="5" t="s">
        <v>902</v>
      </c>
      <c r="G838" s="24" t="s">
        <v>41</v>
      </c>
      <c r="H838" s="24" t="s">
        <v>68</v>
      </c>
      <c r="I838" s="5" t="s">
        <v>532</v>
      </c>
      <c r="J838" s="24" t="s">
        <v>22</v>
      </c>
      <c r="K838" s="27">
        <v>3</v>
      </c>
      <c r="L838" s="6">
        <v>42216</v>
      </c>
      <c r="M838" s="27">
        <f>Table11[[#This Row],[Ship Date]]-Table11[[#This Row],[Order Date]]</f>
        <v>1</v>
      </c>
      <c r="N838" s="24" t="s">
        <v>169</v>
      </c>
      <c r="O838" s="24" t="s">
        <v>23</v>
      </c>
      <c r="P838" s="24" t="s">
        <v>38</v>
      </c>
      <c r="Q838" s="24" t="s">
        <v>39</v>
      </c>
      <c r="R838" s="24" t="s">
        <v>114</v>
      </c>
      <c r="S838" s="34">
        <v>0.2</v>
      </c>
      <c r="T838" s="15">
        <v>10.92</v>
      </c>
      <c r="U838" s="18">
        <v>4.0949999999999998</v>
      </c>
      <c r="V838" s="56">
        <f>Table11[[#This Row],[Profit]]/Table11[[#This Row],[Sales]]</f>
        <v>0.375</v>
      </c>
    </row>
    <row r="839" spans="1:22" x14ac:dyDescent="0.2">
      <c r="A839" s="4">
        <v>838</v>
      </c>
      <c r="B839" s="3" t="s">
        <v>4538</v>
      </c>
      <c r="C839" s="7">
        <v>42215</v>
      </c>
      <c r="D839" s="28">
        <f>MONTH(Table11[[#This Row],[Order Date]])</f>
        <v>7</v>
      </c>
      <c r="E839" s="3" t="s">
        <v>4334</v>
      </c>
      <c r="F839" s="3" t="s">
        <v>4335</v>
      </c>
      <c r="G839" s="25" t="s">
        <v>41</v>
      </c>
      <c r="H839" s="25" t="s">
        <v>53</v>
      </c>
      <c r="I839" s="3" t="s">
        <v>4392</v>
      </c>
      <c r="J839" s="25" t="s">
        <v>36</v>
      </c>
      <c r="K839" s="28">
        <v>4</v>
      </c>
      <c r="L839" s="7">
        <v>42219</v>
      </c>
      <c r="M839" s="28">
        <f>Table11[[#This Row],[Ship Date]]-Table11[[#This Row],[Order Date]]</f>
        <v>4</v>
      </c>
      <c r="N839" s="25" t="s">
        <v>20</v>
      </c>
      <c r="O839" s="25" t="s">
        <v>23</v>
      </c>
      <c r="P839" s="25" t="s">
        <v>94</v>
      </c>
      <c r="Q839" s="25" t="s">
        <v>95</v>
      </c>
      <c r="R839" s="25" t="s">
        <v>165</v>
      </c>
      <c r="S839" s="35">
        <v>0.2</v>
      </c>
      <c r="T839" s="16">
        <v>61.792000000000002</v>
      </c>
      <c r="U839" s="19">
        <v>6.1791999999999998</v>
      </c>
      <c r="V839" s="56">
        <f>Table11[[#This Row],[Profit]]/Table11[[#This Row],[Sales]]</f>
        <v>9.9999999999999992E-2</v>
      </c>
    </row>
    <row r="840" spans="1:22" x14ac:dyDescent="0.2">
      <c r="A840" s="2">
        <v>839</v>
      </c>
      <c r="B840" s="5" t="s">
        <v>8180</v>
      </c>
      <c r="C840" s="6">
        <v>42215</v>
      </c>
      <c r="D840" s="27">
        <f>MONTH(Table11[[#This Row],[Order Date]])</f>
        <v>7</v>
      </c>
      <c r="E840" s="5" t="s">
        <v>2732</v>
      </c>
      <c r="F840" s="5" t="s">
        <v>2733</v>
      </c>
      <c r="G840" s="24" t="s">
        <v>28</v>
      </c>
      <c r="H840" s="24" t="s">
        <v>32</v>
      </c>
      <c r="I840" s="5" t="s">
        <v>5686</v>
      </c>
      <c r="J840" s="24" t="s">
        <v>92</v>
      </c>
      <c r="K840" s="27">
        <v>6</v>
      </c>
      <c r="L840" s="6">
        <v>42217</v>
      </c>
      <c r="M840" s="27">
        <f>Table11[[#This Row],[Ship Date]]-Table11[[#This Row],[Order Date]]</f>
        <v>2</v>
      </c>
      <c r="N840" s="24" t="s">
        <v>169</v>
      </c>
      <c r="O840" s="24" t="s">
        <v>23</v>
      </c>
      <c r="P840" s="24" t="s">
        <v>204</v>
      </c>
      <c r="Q840" s="24" t="s">
        <v>95</v>
      </c>
      <c r="R840" s="24" t="s">
        <v>823</v>
      </c>
      <c r="S840" s="34">
        <v>0</v>
      </c>
      <c r="T840" s="15">
        <v>155.88</v>
      </c>
      <c r="U840" s="18">
        <v>38.97</v>
      </c>
      <c r="V840" s="56">
        <f>Table11[[#This Row],[Profit]]/Table11[[#This Row],[Sales]]</f>
        <v>0.25</v>
      </c>
    </row>
    <row r="841" spans="1:22" x14ac:dyDescent="0.2">
      <c r="A841" s="4">
        <v>840</v>
      </c>
      <c r="B841" s="3" t="s">
        <v>2634</v>
      </c>
      <c r="C841" s="7">
        <v>42216</v>
      </c>
      <c r="D841" s="28">
        <f>MONTH(Table11[[#This Row],[Order Date]])</f>
        <v>7</v>
      </c>
      <c r="E841" s="3" t="s">
        <v>2635</v>
      </c>
      <c r="F841" s="3" t="s">
        <v>2636</v>
      </c>
      <c r="G841" s="25" t="s">
        <v>64</v>
      </c>
      <c r="H841" s="25" t="s">
        <v>144</v>
      </c>
      <c r="I841" s="3" t="s">
        <v>2196</v>
      </c>
      <c r="J841" s="25" t="s">
        <v>22</v>
      </c>
      <c r="K841" s="28">
        <v>7</v>
      </c>
      <c r="L841" s="7">
        <v>42216</v>
      </c>
      <c r="M841" s="28">
        <f>Table11[[#This Row],[Ship Date]]-Table11[[#This Row],[Order Date]]</f>
        <v>0</v>
      </c>
      <c r="N841" s="25" t="s">
        <v>1141</v>
      </c>
      <c r="O841" s="25" t="s">
        <v>23</v>
      </c>
      <c r="P841" s="25" t="s">
        <v>238</v>
      </c>
      <c r="Q841" s="25" t="s">
        <v>133</v>
      </c>
      <c r="R841" s="25" t="s">
        <v>237</v>
      </c>
      <c r="S841" s="35">
        <v>0</v>
      </c>
      <c r="T841" s="16">
        <v>2309.65</v>
      </c>
      <c r="U841" s="19">
        <v>762.18449999999996</v>
      </c>
      <c r="V841" s="56">
        <f>Table11[[#This Row],[Profit]]/Table11[[#This Row],[Sales]]</f>
        <v>0.32999999999999996</v>
      </c>
    </row>
    <row r="842" spans="1:22" x14ac:dyDescent="0.2">
      <c r="A842" s="4">
        <v>841</v>
      </c>
      <c r="B842" s="5" t="s">
        <v>2634</v>
      </c>
      <c r="C842" s="6">
        <v>42216</v>
      </c>
      <c r="D842" s="27">
        <f>MONTH(Table11[[#This Row],[Order Date]])</f>
        <v>7</v>
      </c>
      <c r="E842" s="5" t="s">
        <v>927</v>
      </c>
      <c r="F842" s="5" t="s">
        <v>928</v>
      </c>
      <c r="G842" s="24" t="s">
        <v>28</v>
      </c>
      <c r="H842" s="24" t="s">
        <v>50</v>
      </c>
      <c r="I842" s="5" t="s">
        <v>2196</v>
      </c>
      <c r="J842" s="24" t="s">
        <v>22</v>
      </c>
      <c r="K842" s="27">
        <v>7</v>
      </c>
      <c r="L842" s="6">
        <v>42216</v>
      </c>
      <c r="M842" s="27">
        <f>Table11[[#This Row],[Ship Date]]-Table11[[#This Row],[Order Date]]</f>
        <v>0</v>
      </c>
      <c r="N842" s="24" t="s">
        <v>1141</v>
      </c>
      <c r="O842" s="24" t="s">
        <v>23</v>
      </c>
      <c r="P842" s="24" t="s">
        <v>238</v>
      </c>
      <c r="Q842" s="24" t="s">
        <v>133</v>
      </c>
      <c r="R842" s="24" t="s">
        <v>237</v>
      </c>
      <c r="S842" s="34">
        <v>0.4</v>
      </c>
      <c r="T842" s="15">
        <v>1090.7819999999999</v>
      </c>
      <c r="U842" s="18">
        <v>-290.87520000000001</v>
      </c>
      <c r="V842" s="56">
        <f>Table11[[#This Row],[Profit]]/Table11[[#This Row],[Sales]]</f>
        <v>-0.26666666666666672</v>
      </c>
    </row>
    <row r="843" spans="1:22" x14ac:dyDescent="0.2">
      <c r="A843" s="2">
        <v>842</v>
      </c>
      <c r="B843" s="3" t="s">
        <v>2634</v>
      </c>
      <c r="C843" s="7">
        <v>42216</v>
      </c>
      <c r="D843" s="28">
        <f>MONTH(Table11[[#This Row],[Order Date]])</f>
        <v>7</v>
      </c>
      <c r="E843" s="3" t="s">
        <v>2574</v>
      </c>
      <c r="F843" s="3" t="s">
        <v>2575</v>
      </c>
      <c r="G843" s="25" t="s">
        <v>41</v>
      </c>
      <c r="H843" s="25" t="s">
        <v>82</v>
      </c>
      <c r="I843" s="3" t="s">
        <v>2196</v>
      </c>
      <c r="J843" s="25" t="s">
        <v>22</v>
      </c>
      <c r="K843" s="28">
        <v>3</v>
      </c>
      <c r="L843" s="7">
        <v>42216</v>
      </c>
      <c r="M843" s="28">
        <f>Table11[[#This Row],[Ship Date]]-Table11[[#This Row],[Order Date]]</f>
        <v>0</v>
      </c>
      <c r="N843" s="25" t="s">
        <v>1141</v>
      </c>
      <c r="O843" s="25" t="s">
        <v>23</v>
      </c>
      <c r="P843" s="25" t="s">
        <v>238</v>
      </c>
      <c r="Q843" s="25" t="s">
        <v>133</v>
      </c>
      <c r="R843" s="25" t="s">
        <v>237</v>
      </c>
      <c r="S843" s="35">
        <v>0</v>
      </c>
      <c r="T843" s="16">
        <v>19.440000000000001</v>
      </c>
      <c r="U843" s="19">
        <v>9.3312000000000008</v>
      </c>
      <c r="V843" s="56">
        <f>Table11[[#This Row],[Profit]]/Table11[[#This Row],[Sales]]</f>
        <v>0.48000000000000004</v>
      </c>
    </row>
    <row r="844" spans="1:22" x14ac:dyDescent="0.2">
      <c r="A844" s="4">
        <v>843</v>
      </c>
      <c r="B844" s="5" t="s">
        <v>6876</v>
      </c>
      <c r="C844" s="6">
        <v>42216</v>
      </c>
      <c r="D844" s="27">
        <f>MONTH(Table11[[#This Row],[Order Date]])</f>
        <v>7</v>
      </c>
      <c r="E844" s="5" t="s">
        <v>874</v>
      </c>
      <c r="F844" s="5" t="s">
        <v>875</v>
      </c>
      <c r="G844" s="24" t="s">
        <v>64</v>
      </c>
      <c r="H844" s="24" t="s">
        <v>144</v>
      </c>
      <c r="I844" s="5" t="s">
        <v>1172</v>
      </c>
      <c r="J844" s="24" t="s">
        <v>36</v>
      </c>
      <c r="K844" s="27">
        <v>6</v>
      </c>
      <c r="L844" s="6">
        <v>42222</v>
      </c>
      <c r="M844" s="27">
        <f>Table11[[#This Row],[Ship Date]]-Table11[[#This Row],[Order Date]]</f>
        <v>6</v>
      </c>
      <c r="N844" s="24" t="s">
        <v>45</v>
      </c>
      <c r="O844" s="24" t="s">
        <v>23</v>
      </c>
      <c r="P844" s="24" t="s">
        <v>1315</v>
      </c>
      <c r="Q844" s="24" t="s">
        <v>26</v>
      </c>
      <c r="R844" s="24" t="s">
        <v>6877</v>
      </c>
      <c r="S844" s="34">
        <v>0</v>
      </c>
      <c r="T844" s="15">
        <v>239.7</v>
      </c>
      <c r="U844" s="18">
        <v>105.468</v>
      </c>
      <c r="V844" s="56">
        <f>Table11[[#This Row],[Profit]]/Table11[[#This Row],[Sales]]</f>
        <v>0.44000000000000006</v>
      </c>
    </row>
    <row r="845" spans="1:22" x14ac:dyDescent="0.2">
      <c r="A845" s="4">
        <v>844</v>
      </c>
      <c r="B845" s="3" t="s">
        <v>9423</v>
      </c>
      <c r="C845" s="7">
        <v>42216</v>
      </c>
      <c r="D845" s="28">
        <f>MONTH(Table11[[#This Row],[Order Date]])</f>
        <v>7</v>
      </c>
      <c r="E845" s="3" t="s">
        <v>1241</v>
      </c>
      <c r="F845" s="3" t="s">
        <v>1242</v>
      </c>
      <c r="G845" s="25" t="s">
        <v>41</v>
      </c>
      <c r="H845" s="25" t="s">
        <v>513</v>
      </c>
      <c r="I845" s="3" t="s">
        <v>2049</v>
      </c>
      <c r="J845" s="25" t="s">
        <v>36</v>
      </c>
      <c r="K845" s="28">
        <v>3</v>
      </c>
      <c r="L845" s="7">
        <v>42222</v>
      </c>
      <c r="M845" s="28">
        <f>Table11[[#This Row],[Ship Date]]-Table11[[#This Row],[Order Date]]</f>
        <v>6</v>
      </c>
      <c r="N845" s="25" t="s">
        <v>45</v>
      </c>
      <c r="O845" s="25" t="s">
        <v>23</v>
      </c>
      <c r="P845" s="25" t="s">
        <v>528</v>
      </c>
      <c r="Q845" s="25" t="s">
        <v>95</v>
      </c>
      <c r="R845" s="25" t="s">
        <v>4509</v>
      </c>
      <c r="S845" s="35">
        <v>0</v>
      </c>
      <c r="T845" s="16">
        <v>52.59</v>
      </c>
      <c r="U845" s="19">
        <v>15.776999999999999</v>
      </c>
      <c r="V845" s="56">
        <f>Table11[[#This Row],[Profit]]/Table11[[#This Row],[Sales]]</f>
        <v>0.3</v>
      </c>
    </row>
    <row r="846" spans="1:22" x14ac:dyDescent="0.2">
      <c r="A846" s="2">
        <v>845</v>
      </c>
      <c r="B846" s="5" t="s">
        <v>3549</v>
      </c>
      <c r="C846" s="6">
        <v>42217</v>
      </c>
      <c r="D846" s="27">
        <f>MONTH(Table11[[#This Row],[Order Date]])</f>
        <v>8</v>
      </c>
      <c r="E846" s="5" t="s">
        <v>257</v>
      </c>
      <c r="F846" s="5" t="s">
        <v>258</v>
      </c>
      <c r="G846" s="24" t="s">
        <v>41</v>
      </c>
      <c r="H846" s="24" t="s">
        <v>61</v>
      </c>
      <c r="I846" s="5" t="s">
        <v>3550</v>
      </c>
      <c r="J846" s="24" t="s">
        <v>92</v>
      </c>
      <c r="K846" s="27">
        <v>4</v>
      </c>
      <c r="L846" s="6">
        <v>42223</v>
      </c>
      <c r="M846" s="27">
        <f>Table11[[#This Row],[Ship Date]]-Table11[[#This Row],[Order Date]]</f>
        <v>6</v>
      </c>
      <c r="N846" s="24" t="s">
        <v>45</v>
      </c>
      <c r="O846" s="24" t="s">
        <v>23</v>
      </c>
      <c r="P846" s="24" t="s">
        <v>38</v>
      </c>
      <c r="Q846" s="24" t="s">
        <v>39</v>
      </c>
      <c r="R846" s="24" t="s">
        <v>37</v>
      </c>
      <c r="S846" s="34">
        <v>0</v>
      </c>
      <c r="T846" s="15">
        <v>6.72</v>
      </c>
      <c r="U846" s="18">
        <v>3.36</v>
      </c>
      <c r="V846" s="56">
        <f>Table11[[#This Row],[Profit]]/Table11[[#This Row],[Sales]]</f>
        <v>0.5</v>
      </c>
    </row>
    <row r="847" spans="1:22" x14ac:dyDescent="0.2">
      <c r="A847" s="4">
        <v>846</v>
      </c>
      <c r="B847" s="3" t="s">
        <v>3549</v>
      </c>
      <c r="C847" s="7">
        <v>42217</v>
      </c>
      <c r="D847" s="28">
        <f>MONTH(Table11[[#This Row],[Order Date]])</f>
        <v>8</v>
      </c>
      <c r="E847" s="3" t="s">
        <v>3551</v>
      </c>
      <c r="F847" s="3" t="s">
        <v>3552</v>
      </c>
      <c r="G847" s="25" t="s">
        <v>28</v>
      </c>
      <c r="H847" s="25" t="s">
        <v>50</v>
      </c>
      <c r="I847" s="3" t="s">
        <v>3550</v>
      </c>
      <c r="J847" s="25" t="s">
        <v>92</v>
      </c>
      <c r="K847" s="28">
        <v>6</v>
      </c>
      <c r="L847" s="7">
        <v>42223</v>
      </c>
      <c r="M847" s="28">
        <f>Table11[[#This Row],[Ship Date]]-Table11[[#This Row],[Order Date]]</f>
        <v>6</v>
      </c>
      <c r="N847" s="25" t="s">
        <v>45</v>
      </c>
      <c r="O847" s="25" t="s">
        <v>23</v>
      </c>
      <c r="P847" s="25" t="s">
        <v>38</v>
      </c>
      <c r="Q847" s="25" t="s">
        <v>39</v>
      </c>
      <c r="R847" s="25" t="s">
        <v>37</v>
      </c>
      <c r="S847" s="35">
        <v>0.2</v>
      </c>
      <c r="T847" s="16">
        <v>1004.976</v>
      </c>
      <c r="U847" s="19">
        <v>-175.8708</v>
      </c>
      <c r="V847" s="56">
        <f>Table11[[#This Row],[Profit]]/Table11[[#This Row],[Sales]]</f>
        <v>-0.17500000000000002</v>
      </c>
    </row>
    <row r="848" spans="1:22" x14ac:dyDescent="0.2">
      <c r="A848" s="4">
        <v>847</v>
      </c>
      <c r="B848" s="5" t="s">
        <v>6925</v>
      </c>
      <c r="C848" s="6">
        <v>42218</v>
      </c>
      <c r="D848" s="27">
        <f>MONTH(Table11[[#This Row],[Order Date]])</f>
        <v>8</v>
      </c>
      <c r="E848" s="5" t="s">
        <v>5179</v>
      </c>
      <c r="F848" s="5" t="s">
        <v>5180</v>
      </c>
      <c r="G848" s="24" t="s">
        <v>41</v>
      </c>
      <c r="H848" s="24" t="s">
        <v>68</v>
      </c>
      <c r="I848" s="5" t="s">
        <v>3528</v>
      </c>
      <c r="J848" s="24" t="s">
        <v>22</v>
      </c>
      <c r="K848" s="27">
        <v>2</v>
      </c>
      <c r="L848" s="6">
        <v>42222</v>
      </c>
      <c r="M848" s="27">
        <f>Table11[[#This Row],[Ship Date]]-Table11[[#This Row],[Order Date]]</f>
        <v>4</v>
      </c>
      <c r="N848" s="24" t="s">
        <v>45</v>
      </c>
      <c r="O848" s="24" t="s">
        <v>23</v>
      </c>
      <c r="P848" s="24" t="s">
        <v>87</v>
      </c>
      <c r="Q848" s="24" t="s">
        <v>39</v>
      </c>
      <c r="R848" s="24" t="s">
        <v>86</v>
      </c>
      <c r="S848" s="34">
        <v>0.2</v>
      </c>
      <c r="T848" s="15">
        <v>6.3680000000000003</v>
      </c>
      <c r="U848" s="18">
        <v>2.1492</v>
      </c>
      <c r="V848" s="56">
        <f>Table11[[#This Row],[Profit]]/Table11[[#This Row],[Sales]]</f>
        <v>0.33749999999999997</v>
      </c>
    </row>
    <row r="849" spans="1:22" x14ac:dyDescent="0.2">
      <c r="A849" s="2">
        <v>848</v>
      </c>
      <c r="B849" s="3" t="s">
        <v>6925</v>
      </c>
      <c r="C849" s="7">
        <v>42218</v>
      </c>
      <c r="D849" s="28">
        <f>MONTH(Table11[[#This Row],[Order Date]])</f>
        <v>8</v>
      </c>
      <c r="E849" s="3" t="s">
        <v>5648</v>
      </c>
      <c r="F849" s="3" t="s">
        <v>5649</v>
      </c>
      <c r="G849" s="25" t="s">
        <v>64</v>
      </c>
      <c r="H849" s="25" t="s">
        <v>602</v>
      </c>
      <c r="I849" s="3" t="s">
        <v>3528</v>
      </c>
      <c r="J849" s="25" t="s">
        <v>22</v>
      </c>
      <c r="K849" s="28">
        <v>2</v>
      </c>
      <c r="L849" s="7">
        <v>42222</v>
      </c>
      <c r="M849" s="28">
        <f>Table11[[#This Row],[Ship Date]]-Table11[[#This Row],[Order Date]]</f>
        <v>4</v>
      </c>
      <c r="N849" s="25" t="s">
        <v>45</v>
      </c>
      <c r="O849" s="25" t="s">
        <v>23</v>
      </c>
      <c r="P849" s="25" t="s">
        <v>87</v>
      </c>
      <c r="Q849" s="25" t="s">
        <v>39</v>
      </c>
      <c r="R849" s="25" t="s">
        <v>86</v>
      </c>
      <c r="S849" s="35">
        <v>0.2</v>
      </c>
      <c r="T849" s="16">
        <v>558.4</v>
      </c>
      <c r="U849" s="19">
        <v>41.88</v>
      </c>
      <c r="V849" s="56">
        <f>Table11[[#This Row],[Profit]]/Table11[[#This Row],[Sales]]</f>
        <v>7.5000000000000011E-2</v>
      </c>
    </row>
    <row r="850" spans="1:22" x14ac:dyDescent="0.2">
      <c r="A850" s="4">
        <v>849</v>
      </c>
      <c r="B850" s="5" t="s">
        <v>7152</v>
      </c>
      <c r="C850" s="6">
        <v>42218</v>
      </c>
      <c r="D850" s="27">
        <f>MONTH(Table11[[#This Row],[Order Date]])</f>
        <v>8</v>
      </c>
      <c r="E850" s="5" t="s">
        <v>4710</v>
      </c>
      <c r="F850" s="5" t="s">
        <v>4711</v>
      </c>
      <c r="G850" s="24" t="s">
        <v>64</v>
      </c>
      <c r="H850" s="24" t="s">
        <v>65</v>
      </c>
      <c r="I850" s="5" t="s">
        <v>3999</v>
      </c>
      <c r="J850" s="24" t="s">
        <v>92</v>
      </c>
      <c r="K850" s="27">
        <v>3</v>
      </c>
      <c r="L850" s="6">
        <v>42221</v>
      </c>
      <c r="M850" s="27">
        <f>Table11[[#This Row],[Ship Date]]-Table11[[#This Row],[Order Date]]</f>
        <v>3</v>
      </c>
      <c r="N850" s="24" t="s">
        <v>20</v>
      </c>
      <c r="O850" s="24" t="s">
        <v>23</v>
      </c>
      <c r="P850" s="24" t="s">
        <v>1235</v>
      </c>
      <c r="Q850" s="24" t="s">
        <v>133</v>
      </c>
      <c r="R850" s="24" t="s">
        <v>3161</v>
      </c>
      <c r="S850" s="34">
        <v>0</v>
      </c>
      <c r="T850" s="15">
        <v>128.85</v>
      </c>
      <c r="U850" s="18">
        <v>3.8654999999999999</v>
      </c>
      <c r="V850" s="56">
        <f>Table11[[#This Row],[Profit]]/Table11[[#This Row],[Sales]]</f>
        <v>3.0000000000000002E-2</v>
      </c>
    </row>
    <row r="851" spans="1:22" x14ac:dyDescent="0.2">
      <c r="A851" s="4">
        <v>850</v>
      </c>
      <c r="B851" s="3" t="s">
        <v>7152</v>
      </c>
      <c r="C851" s="7">
        <v>42218</v>
      </c>
      <c r="D851" s="28">
        <f>MONTH(Table11[[#This Row],[Order Date]])</f>
        <v>8</v>
      </c>
      <c r="E851" s="3" t="s">
        <v>2740</v>
      </c>
      <c r="F851" s="3" t="s">
        <v>2741</v>
      </c>
      <c r="G851" s="25" t="s">
        <v>41</v>
      </c>
      <c r="H851" s="25" t="s">
        <v>82</v>
      </c>
      <c r="I851" s="3" t="s">
        <v>3999</v>
      </c>
      <c r="J851" s="25" t="s">
        <v>92</v>
      </c>
      <c r="K851" s="28">
        <v>2</v>
      </c>
      <c r="L851" s="7">
        <v>42221</v>
      </c>
      <c r="M851" s="28">
        <f>Table11[[#This Row],[Ship Date]]-Table11[[#This Row],[Order Date]]</f>
        <v>3</v>
      </c>
      <c r="N851" s="25" t="s">
        <v>20</v>
      </c>
      <c r="O851" s="25" t="s">
        <v>23</v>
      </c>
      <c r="P851" s="25" t="s">
        <v>1235</v>
      </c>
      <c r="Q851" s="25" t="s">
        <v>133</v>
      </c>
      <c r="R851" s="25" t="s">
        <v>3161</v>
      </c>
      <c r="S851" s="35">
        <v>0</v>
      </c>
      <c r="T851" s="16">
        <v>8.4</v>
      </c>
      <c r="U851" s="19">
        <v>4.1159999999999997</v>
      </c>
      <c r="V851" s="56">
        <f>Table11[[#This Row],[Profit]]/Table11[[#This Row],[Sales]]</f>
        <v>0.48999999999999994</v>
      </c>
    </row>
    <row r="852" spans="1:22" x14ac:dyDescent="0.2">
      <c r="A852" s="2">
        <v>851</v>
      </c>
      <c r="B852" s="5" t="s">
        <v>7152</v>
      </c>
      <c r="C852" s="6">
        <v>42218</v>
      </c>
      <c r="D852" s="27">
        <f>MONTH(Table11[[#This Row],[Order Date]])</f>
        <v>8</v>
      </c>
      <c r="E852" s="5" t="s">
        <v>1412</v>
      </c>
      <c r="F852" s="5" t="s">
        <v>1413</v>
      </c>
      <c r="G852" s="24" t="s">
        <v>64</v>
      </c>
      <c r="H852" s="24" t="s">
        <v>144</v>
      </c>
      <c r="I852" s="5" t="s">
        <v>3999</v>
      </c>
      <c r="J852" s="24" t="s">
        <v>92</v>
      </c>
      <c r="K852" s="27">
        <v>2</v>
      </c>
      <c r="L852" s="6">
        <v>42221</v>
      </c>
      <c r="M852" s="27">
        <f>Table11[[#This Row],[Ship Date]]-Table11[[#This Row],[Order Date]]</f>
        <v>3</v>
      </c>
      <c r="N852" s="24" t="s">
        <v>20</v>
      </c>
      <c r="O852" s="24" t="s">
        <v>23</v>
      </c>
      <c r="P852" s="24" t="s">
        <v>1235</v>
      </c>
      <c r="Q852" s="24" t="s">
        <v>133</v>
      </c>
      <c r="R852" s="24" t="s">
        <v>3161</v>
      </c>
      <c r="S852" s="34">
        <v>0</v>
      </c>
      <c r="T852" s="15">
        <v>199.98</v>
      </c>
      <c r="U852" s="18">
        <v>83.991600000000005</v>
      </c>
      <c r="V852" s="56">
        <f>Table11[[#This Row],[Profit]]/Table11[[#This Row],[Sales]]</f>
        <v>0.42000000000000004</v>
      </c>
    </row>
    <row r="853" spans="1:22" x14ac:dyDescent="0.2">
      <c r="A853" s="4">
        <v>852</v>
      </c>
      <c r="B853" s="3" t="s">
        <v>7152</v>
      </c>
      <c r="C853" s="7">
        <v>42218</v>
      </c>
      <c r="D853" s="28">
        <f>MONTH(Table11[[#This Row],[Order Date]])</f>
        <v>8</v>
      </c>
      <c r="E853" s="3" t="s">
        <v>3131</v>
      </c>
      <c r="F853" s="3" t="s">
        <v>3132</v>
      </c>
      <c r="G853" s="25" t="s">
        <v>28</v>
      </c>
      <c r="H853" s="25" t="s">
        <v>32</v>
      </c>
      <c r="I853" s="3" t="s">
        <v>3999</v>
      </c>
      <c r="J853" s="25" t="s">
        <v>92</v>
      </c>
      <c r="K853" s="28">
        <v>1</v>
      </c>
      <c r="L853" s="7">
        <v>42221</v>
      </c>
      <c r="M853" s="28">
        <f>Table11[[#This Row],[Ship Date]]-Table11[[#This Row],[Order Date]]</f>
        <v>3</v>
      </c>
      <c r="N853" s="25" t="s">
        <v>20</v>
      </c>
      <c r="O853" s="25" t="s">
        <v>23</v>
      </c>
      <c r="P853" s="25" t="s">
        <v>1235</v>
      </c>
      <c r="Q853" s="25" t="s">
        <v>133</v>
      </c>
      <c r="R853" s="25" t="s">
        <v>3161</v>
      </c>
      <c r="S853" s="35">
        <v>0</v>
      </c>
      <c r="T853" s="16">
        <v>110.98</v>
      </c>
      <c r="U853" s="19">
        <v>15.5372</v>
      </c>
      <c r="V853" s="56">
        <f>Table11[[#This Row],[Profit]]/Table11[[#This Row],[Sales]]</f>
        <v>0.13999999999999999</v>
      </c>
    </row>
    <row r="854" spans="1:22" x14ac:dyDescent="0.2">
      <c r="A854" s="4">
        <v>853</v>
      </c>
      <c r="B854" s="5" t="s">
        <v>9098</v>
      </c>
      <c r="C854" s="6">
        <v>42218</v>
      </c>
      <c r="D854" s="27">
        <f>MONTH(Table11[[#This Row],[Order Date]])</f>
        <v>8</v>
      </c>
      <c r="E854" s="5" t="s">
        <v>6229</v>
      </c>
      <c r="F854" s="5" t="s">
        <v>6230</v>
      </c>
      <c r="G854" s="24" t="s">
        <v>28</v>
      </c>
      <c r="H854" s="24" t="s">
        <v>50</v>
      </c>
      <c r="I854" s="5" t="s">
        <v>1624</v>
      </c>
      <c r="J854" s="24" t="s">
        <v>22</v>
      </c>
      <c r="K854" s="27">
        <v>4</v>
      </c>
      <c r="L854" s="6">
        <v>42222</v>
      </c>
      <c r="M854" s="27">
        <f>Table11[[#This Row],[Ship Date]]-Table11[[#This Row],[Order Date]]</f>
        <v>4</v>
      </c>
      <c r="N854" s="24" t="s">
        <v>45</v>
      </c>
      <c r="O854" s="24" t="s">
        <v>23</v>
      </c>
      <c r="P854" s="24" t="s">
        <v>374</v>
      </c>
      <c r="Q854" s="24" t="s">
        <v>39</v>
      </c>
      <c r="R854" s="24" t="s">
        <v>284</v>
      </c>
      <c r="S854" s="34">
        <v>0.5</v>
      </c>
      <c r="T854" s="15">
        <v>277.5</v>
      </c>
      <c r="U854" s="18">
        <v>-188.7</v>
      </c>
      <c r="V854" s="56">
        <f>Table11[[#This Row],[Profit]]/Table11[[#This Row],[Sales]]</f>
        <v>-0.67999999999999994</v>
      </c>
    </row>
    <row r="855" spans="1:22" x14ac:dyDescent="0.2">
      <c r="A855" s="2">
        <v>854</v>
      </c>
      <c r="B855" s="3" t="s">
        <v>7764</v>
      </c>
      <c r="C855" s="7">
        <v>42221</v>
      </c>
      <c r="D855" s="28">
        <f>MONTH(Table11[[#This Row],[Order Date]])</f>
        <v>8</v>
      </c>
      <c r="E855" s="3" t="s">
        <v>4253</v>
      </c>
      <c r="F855" s="3" t="s">
        <v>4254</v>
      </c>
      <c r="G855" s="25" t="s">
        <v>41</v>
      </c>
      <c r="H855" s="25" t="s">
        <v>53</v>
      </c>
      <c r="I855" s="3" t="s">
        <v>5937</v>
      </c>
      <c r="J855" s="25" t="s">
        <v>36</v>
      </c>
      <c r="K855" s="28">
        <v>7</v>
      </c>
      <c r="L855" s="7">
        <v>42227</v>
      </c>
      <c r="M855" s="28">
        <f>Table11[[#This Row],[Ship Date]]-Table11[[#This Row],[Order Date]]</f>
        <v>6</v>
      </c>
      <c r="N855" s="25" t="s">
        <v>45</v>
      </c>
      <c r="O855" s="25" t="s">
        <v>23</v>
      </c>
      <c r="P855" s="25" t="s">
        <v>94</v>
      </c>
      <c r="Q855" s="25" t="s">
        <v>95</v>
      </c>
      <c r="R855" s="25" t="s">
        <v>718</v>
      </c>
      <c r="S855" s="35">
        <v>0.2</v>
      </c>
      <c r="T855" s="16">
        <v>33.488</v>
      </c>
      <c r="U855" s="19">
        <v>-1.2558</v>
      </c>
      <c r="V855" s="56">
        <f>Table11[[#This Row],[Profit]]/Table11[[#This Row],[Sales]]</f>
        <v>-3.7499999999999999E-2</v>
      </c>
    </row>
    <row r="856" spans="1:22" x14ac:dyDescent="0.2">
      <c r="A856" s="4">
        <v>855</v>
      </c>
      <c r="B856" s="5" t="s">
        <v>7764</v>
      </c>
      <c r="C856" s="6">
        <v>42221</v>
      </c>
      <c r="D856" s="27">
        <f>MONTH(Table11[[#This Row],[Order Date]])</f>
        <v>8</v>
      </c>
      <c r="E856" s="5" t="s">
        <v>5753</v>
      </c>
      <c r="F856" s="5" t="s">
        <v>5754</v>
      </c>
      <c r="G856" s="24" t="s">
        <v>41</v>
      </c>
      <c r="H856" s="24" t="s">
        <v>513</v>
      </c>
      <c r="I856" s="5" t="s">
        <v>5937</v>
      </c>
      <c r="J856" s="24" t="s">
        <v>36</v>
      </c>
      <c r="K856" s="27">
        <v>3</v>
      </c>
      <c r="L856" s="6">
        <v>42227</v>
      </c>
      <c r="M856" s="27">
        <f>Table11[[#This Row],[Ship Date]]-Table11[[#This Row],[Order Date]]</f>
        <v>6</v>
      </c>
      <c r="N856" s="24" t="s">
        <v>45</v>
      </c>
      <c r="O856" s="24" t="s">
        <v>23</v>
      </c>
      <c r="P856" s="24" t="s">
        <v>94</v>
      </c>
      <c r="Q856" s="24" t="s">
        <v>95</v>
      </c>
      <c r="R856" s="24" t="s">
        <v>718</v>
      </c>
      <c r="S856" s="34">
        <v>0.2</v>
      </c>
      <c r="T856" s="15">
        <v>23.04</v>
      </c>
      <c r="U856" s="18">
        <v>-4.8959999999999999</v>
      </c>
      <c r="V856" s="56">
        <f>Table11[[#This Row],[Profit]]/Table11[[#This Row],[Sales]]</f>
        <v>-0.21249999999999999</v>
      </c>
    </row>
    <row r="857" spans="1:22" x14ac:dyDescent="0.2">
      <c r="A857" s="4">
        <v>856</v>
      </c>
      <c r="B857" s="3" t="s">
        <v>7764</v>
      </c>
      <c r="C857" s="7">
        <v>42221</v>
      </c>
      <c r="D857" s="28">
        <f>MONTH(Table11[[#This Row],[Order Date]])</f>
        <v>8</v>
      </c>
      <c r="E857" s="3" t="s">
        <v>4629</v>
      </c>
      <c r="F857" s="3" t="s">
        <v>4630</v>
      </c>
      <c r="G857" s="25" t="s">
        <v>41</v>
      </c>
      <c r="H857" s="25" t="s">
        <v>68</v>
      </c>
      <c r="I857" s="3" t="s">
        <v>5937</v>
      </c>
      <c r="J857" s="25" t="s">
        <v>36</v>
      </c>
      <c r="K857" s="28">
        <v>1</v>
      </c>
      <c r="L857" s="7">
        <v>42227</v>
      </c>
      <c r="M857" s="28">
        <f>Table11[[#This Row],[Ship Date]]-Table11[[#This Row],[Order Date]]</f>
        <v>6</v>
      </c>
      <c r="N857" s="25" t="s">
        <v>45</v>
      </c>
      <c r="O857" s="25" t="s">
        <v>23</v>
      </c>
      <c r="P857" s="25" t="s">
        <v>94</v>
      </c>
      <c r="Q857" s="25" t="s">
        <v>95</v>
      </c>
      <c r="R857" s="25" t="s">
        <v>718</v>
      </c>
      <c r="S857" s="35">
        <v>0.8</v>
      </c>
      <c r="T857" s="16">
        <v>1.3620000000000001</v>
      </c>
      <c r="U857" s="19">
        <v>-2.1791999999999998</v>
      </c>
      <c r="V857" s="56">
        <f>Table11[[#This Row],[Profit]]/Table11[[#This Row],[Sales]]</f>
        <v>-1.5999999999999996</v>
      </c>
    </row>
    <row r="858" spans="1:22" x14ac:dyDescent="0.2">
      <c r="A858" s="2">
        <v>857</v>
      </c>
      <c r="B858" s="5" t="s">
        <v>7764</v>
      </c>
      <c r="C858" s="6">
        <v>42221</v>
      </c>
      <c r="D858" s="27">
        <f>MONTH(Table11[[#This Row],[Order Date]])</f>
        <v>8</v>
      </c>
      <c r="E858" s="5" t="s">
        <v>4489</v>
      </c>
      <c r="F858" s="5" t="s">
        <v>4490</v>
      </c>
      <c r="G858" s="24" t="s">
        <v>28</v>
      </c>
      <c r="H858" s="24" t="s">
        <v>58</v>
      </c>
      <c r="I858" s="5" t="s">
        <v>5937</v>
      </c>
      <c r="J858" s="24" t="s">
        <v>36</v>
      </c>
      <c r="K858" s="27">
        <v>5</v>
      </c>
      <c r="L858" s="6">
        <v>42227</v>
      </c>
      <c r="M858" s="27">
        <f>Table11[[#This Row],[Ship Date]]-Table11[[#This Row],[Order Date]]</f>
        <v>6</v>
      </c>
      <c r="N858" s="24" t="s">
        <v>45</v>
      </c>
      <c r="O858" s="24" t="s">
        <v>23</v>
      </c>
      <c r="P858" s="24" t="s">
        <v>94</v>
      </c>
      <c r="Q858" s="24" t="s">
        <v>95</v>
      </c>
      <c r="R858" s="24" t="s">
        <v>718</v>
      </c>
      <c r="S858" s="34">
        <v>0.6</v>
      </c>
      <c r="T858" s="15">
        <v>14.76</v>
      </c>
      <c r="U858" s="18">
        <v>-11.439</v>
      </c>
      <c r="V858" s="56">
        <f>Table11[[#This Row],[Profit]]/Table11[[#This Row],[Sales]]</f>
        <v>-0.77500000000000002</v>
      </c>
    </row>
    <row r="859" spans="1:22" x14ac:dyDescent="0.2">
      <c r="A859" s="4">
        <v>858</v>
      </c>
      <c r="B859" s="3" t="s">
        <v>4717</v>
      </c>
      <c r="C859" s="7">
        <v>42222</v>
      </c>
      <c r="D859" s="28">
        <f>MONTH(Table11[[#This Row],[Order Date]])</f>
        <v>8</v>
      </c>
      <c r="E859" s="3" t="s">
        <v>2591</v>
      </c>
      <c r="F859" s="3" t="s">
        <v>2592</v>
      </c>
      <c r="G859" s="25" t="s">
        <v>41</v>
      </c>
      <c r="H859" s="25" t="s">
        <v>82</v>
      </c>
      <c r="I859" s="3" t="s">
        <v>742</v>
      </c>
      <c r="J859" s="25" t="s">
        <v>36</v>
      </c>
      <c r="K859" s="28">
        <v>3</v>
      </c>
      <c r="L859" s="7">
        <v>42224</v>
      </c>
      <c r="M859" s="28">
        <f>Table11[[#This Row],[Ship Date]]-Table11[[#This Row],[Order Date]]</f>
        <v>2</v>
      </c>
      <c r="N859" s="25" t="s">
        <v>169</v>
      </c>
      <c r="O859" s="25" t="s">
        <v>23</v>
      </c>
      <c r="P859" s="25" t="s">
        <v>94</v>
      </c>
      <c r="Q859" s="25" t="s">
        <v>95</v>
      </c>
      <c r="R859" s="25" t="s">
        <v>165</v>
      </c>
      <c r="S859" s="35">
        <v>0.2</v>
      </c>
      <c r="T859" s="16">
        <v>27.216000000000001</v>
      </c>
      <c r="U859" s="19">
        <v>9.8658000000000001</v>
      </c>
      <c r="V859" s="56">
        <f>Table11[[#This Row],[Profit]]/Table11[[#This Row],[Sales]]</f>
        <v>0.36249999999999999</v>
      </c>
    </row>
    <row r="860" spans="1:22" x14ac:dyDescent="0.2">
      <c r="A860" s="4">
        <v>859</v>
      </c>
      <c r="B860" s="5" t="s">
        <v>9903</v>
      </c>
      <c r="C860" s="6">
        <v>42222</v>
      </c>
      <c r="D860" s="27">
        <f>MONTH(Table11[[#This Row],[Order Date]])</f>
        <v>8</v>
      </c>
      <c r="E860" s="5" t="s">
        <v>748</v>
      </c>
      <c r="F860" s="5" t="s">
        <v>749</v>
      </c>
      <c r="G860" s="24" t="s">
        <v>41</v>
      </c>
      <c r="H860" s="24" t="s">
        <v>42</v>
      </c>
      <c r="I860" s="5" t="s">
        <v>2512</v>
      </c>
      <c r="J860" s="24" t="s">
        <v>36</v>
      </c>
      <c r="K860" s="27">
        <v>3</v>
      </c>
      <c r="L860" s="6">
        <v>42226</v>
      </c>
      <c r="M860" s="27">
        <f>Table11[[#This Row],[Ship Date]]-Table11[[#This Row],[Order Date]]</f>
        <v>4</v>
      </c>
      <c r="N860" s="24" t="s">
        <v>45</v>
      </c>
      <c r="O860" s="24" t="s">
        <v>23</v>
      </c>
      <c r="P860" s="24" t="s">
        <v>94</v>
      </c>
      <c r="Q860" s="24" t="s">
        <v>95</v>
      </c>
      <c r="R860" s="24" t="s">
        <v>165</v>
      </c>
      <c r="S860" s="34">
        <v>0.2</v>
      </c>
      <c r="T860" s="15">
        <v>35.520000000000003</v>
      </c>
      <c r="U860" s="18">
        <v>13.32</v>
      </c>
      <c r="V860" s="56">
        <f>Table11[[#This Row],[Profit]]/Table11[[#This Row],[Sales]]</f>
        <v>0.375</v>
      </c>
    </row>
    <row r="861" spans="1:22" x14ac:dyDescent="0.2">
      <c r="A861" s="2">
        <v>860</v>
      </c>
      <c r="B861" s="3" t="s">
        <v>9903</v>
      </c>
      <c r="C861" s="7">
        <v>42222</v>
      </c>
      <c r="D861" s="28">
        <f>MONTH(Table11[[#This Row],[Order Date]])</f>
        <v>8</v>
      </c>
      <c r="E861" s="3" t="s">
        <v>2753</v>
      </c>
      <c r="F861" s="3" t="s">
        <v>2754</v>
      </c>
      <c r="G861" s="25" t="s">
        <v>41</v>
      </c>
      <c r="H861" s="25" t="s">
        <v>68</v>
      </c>
      <c r="I861" s="3" t="s">
        <v>2512</v>
      </c>
      <c r="J861" s="25" t="s">
        <v>36</v>
      </c>
      <c r="K861" s="28">
        <v>5</v>
      </c>
      <c r="L861" s="7">
        <v>42226</v>
      </c>
      <c r="M861" s="28">
        <f>Table11[[#This Row],[Ship Date]]-Table11[[#This Row],[Order Date]]</f>
        <v>4</v>
      </c>
      <c r="N861" s="25" t="s">
        <v>45</v>
      </c>
      <c r="O861" s="25" t="s">
        <v>23</v>
      </c>
      <c r="P861" s="25" t="s">
        <v>94</v>
      </c>
      <c r="Q861" s="25" t="s">
        <v>95</v>
      </c>
      <c r="R861" s="25" t="s">
        <v>165</v>
      </c>
      <c r="S861" s="35">
        <v>0.8</v>
      </c>
      <c r="T861" s="16">
        <v>6.23</v>
      </c>
      <c r="U861" s="19">
        <v>-9.6564999999999994</v>
      </c>
      <c r="V861" s="56">
        <f>Table11[[#This Row],[Profit]]/Table11[[#This Row],[Sales]]</f>
        <v>-1.5499999999999998</v>
      </c>
    </row>
    <row r="862" spans="1:22" x14ac:dyDescent="0.2">
      <c r="A862" s="4">
        <v>861</v>
      </c>
      <c r="B862" s="5" t="s">
        <v>9903</v>
      </c>
      <c r="C862" s="6">
        <v>42222</v>
      </c>
      <c r="D862" s="27">
        <f>MONTH(Table11[[#This Row],[Order Date]])</f>
        <v>8</v>
      </c>
      <c r="E862" s="5" t="s">
        <v>7423</v>
      </c>
      <c r="F862" s="5" t="s">
        <v>7424</v>
      </c>
      <c r="G862" s="24" t="s">
        <v>41</v>
      </c>
      <c r="H862" s="24" t="s">
        <v>82</v>
      </c>
      <c r="I862" s="5" t="s">
        <v>2512</v>
      </c>
      <c r="J862" s="24" t="s">
        <v>36</v>
      </c>
      <c r="K862" s="27">
        <v>2</v>
      </c>
      <c r="L862" s="6">
        <v>42226</v>
      </c>
      <c r="M862" s="27">
        <f>Table11[[#This Row],[Ship Date]]-Table11[[#This Row],[Order Date]]</f>
        <v>4</v>
      </c>
      <c r="N862" s="24" t="s">
        <v>45</v>
      </c>
      <c r="O862" s="24" t="s">
        <v>23</v>
      </c>
      <c r="P862" s="24" t="s">
        <v>94</v>
      </c>
      <c r="Q862" s="24" t="s">
        <v>95</v>
      </c>
      <c r="R862" s="24" t="s">
        <v>165</v>
      </c>
      <c r="S862" s="34">
        <v>0.2</v>
      </c>
      <c r="T862" s="15">
        <v>56.704000000000001</v>
      </c>
      <c r="U862" s="18">
        <v>19.137599999999999</v>
      </c>
      <c r="V862" s="56">
        <f>Table11[[#This Row],[Profit]]/Table11[[#This Row],[Sales]]</f>
        <v>0.33749999999999997</v>
      </c>
    </row>
    <row r="863" spans="1:22" x14ac:dyDescent="0.2">
      <c r="A863" s="4">
        <v>862</v>
      </c>
      <c r="B863" s="3" t="s">
        <v>9903</v>
      </c>
      <c r="C863" s="7">
        <v>42222</v>
      </c>
      <c r="D863" s="28">
        <f>MONTH(Table11[[#This Row],[Order Date]])</f>
        <v>8</v>
      </c>
      <c r="E863" s="3" t="s">
        <v>3890</v>
      </c>
      <c r="F863" s="3" t="s">
        <v>3891</v>
      </c>
      <c r="G863" s="25" t="s">
        <v>28</v>
      </c>
      <c r="H863" s="25" t="s">
        <v>29</v>
      </c>
      <c r="I863" s="3" t="s">
        <v>2512</v>
      </c>
      <c r="J863" s="25" t="s">
        <v>36</v>
      </c>
      <c r="K863" s="28">
        <v>3</v>
      </c>
      <c r="L863" s="7">
        <v>42226</v>
      </c>
      <c r="M863" s="28">
        <f>Table11[[#This Row],[Ship Date]]-Table11[[#This Row],[Order Date]]</f>
        <v>4</v>
      </c>
      <c r="N863" s="25" t="s">
        <v>45</v>
      </c>
      <c r="O863" s="25" t="s">
        <v>23</v>
      </c>
      <c r="P863" s="25" t="s">
        <v>94</v>
      </c>
      <c r="Q863" s="25" t="s">
        <v>95</v>
      </c>
      <c r="R863" s="25" t="s">
        <v>165</v>
      </c>
      <c r="S863" s="35">
        <v>0.32</v>
      </c>
      <c r="T863" s="16">
        <v>369.19920000000002</v>
      </c>
      <c r="U863" s="19">
        <v>-114.01739999999999</v>
      </c>
      <c r="V863" s="56">
        <f>Table11[[#This Row],[Profit]]/Table11[[#This Row],[Sales]]</f>
        <v>-0.30882352941176466</v>
      </c>
    </row>
    <row r="864" spans="1:22" x14ac:dyDescent="0.2">
      <c r="A864" s="2">
        <v>863</v>
      </c>
      <c r="B864" s="5" t="s">
        <v>6780</v>
      </c>
      <c r="C864" s="6">
        <v>42223</v>
      </c>
      <c r="D864" s="27">
        <f>MONTH(Table11[[#This Row],[Order Date]])</f>
        <v>8</v>
      </c>
      <c r="E864" s="5" t="s">
        <v>3170</v>
      </c>
      <c r="F864" s="5" t="s">
        <v>3171</v>
      </c>
      <c r="G864" s="24" t="s">
        <v>41</v>
      </c>
      <c r="H864" s="24" t="s">
        <v>68</v>
      </c>
      <c r="I864" s="5" t="s">
        <v>2725</v>
      </c>
      <c r="J864" s="24" t="s">
        <v>36</v>
      </c>
      <c r="K864" s="27">
        <v>1</v>
      </c>
      <c r="L864" s="6">
        <v>42227</v>
      </c>
      <c r="M864" s="27">
        <f>Table11[[#This Row],[Ship Date]]-Table11[[#This Row],[Order Date]]</f>
        <v>4</v>
      </c>
      <c r="N864" s="24" t="s">
        <v>45</v>
      </c>
      <c r="O864" s="24" t="s">
        <v>23</v>
      </c>
      <c r="P864" s="24" t="s">
        <v>5585</v>
      </c>
      <c r="Q864" s="24" t="s">
        <v>39</v>
      </c>
      <c r="R864" s="24" t="s">
        <v>6566</v>
      </c>
      <c r="S864" s="34">
        <v>0.2</v>
      </c>
      <c r="T864" s="15">
        <v>3.3039999999999998</v>
      </c>
      <c r="U864" s="18">
        <v>1.1151</v>
      </c>
      <c r="V864" s="56">
        <f>Table11[[#This Row],[Profit]]/Table11[[#This Row],[Sales]]</f>
        <v>0.33750000000000002</v>
      </c>
    </row>
    <row r="865" spans="1:22" x14ac:dyDescent="0.2">
      <c r="A865" s="4">
        <v>864</v>
      </c>
      <c r="B865" s="3" t="s">
        <v>7241</v>
      </c>
      <c r="C865" s="7">
        <v>42223</v>
      </c>
      <c r="D865" s="28">
        <f>MONTH(Table11[[#This Row],[Order Date]])</f>
        <v>8</v>
      </c>
      <c r="E865" s="3" t="s">
        <v>1434</v>
      </c>
      <c r="F865" s="3" t="s">
        <v>1435</v>
      </c>
      <c r="G865" s="25" t="s">
        <v>41</v>
      </c>
      <c r="H865" s="25" t="s">
        <v>68</v>
      </c>
      <c r="I865" s="3" t="s">
        <v>378</v>
      </c>
      <c r="J865" s="25" t="s">
        <v>92</v>
      </c>
      <c r="K865" s="28">
        <v>3</v>
      </c>
      <c r="L865" s="7">
        <v>42228</v>
      </c>
      <c r="M865" s="28">
        <f>Table11[[#This Row],[Ship Date]]-Table11[[#This Row],[Order Date]]</f>
        <v>5</v>
      </c>
      <c r="N865" s="25" t="s">
        <v>45</v>
      </c>
      <c r="O865" s="25" t="s">
        <v>23</v>
      </c>
      <c r="P865" s="25" t="s">
        <v>38</v>
      </c>
      <c r="Q865" s="25" t="s">
        <v>39</v>
      </c>
      <c r="R865" s="25" t="s">
        <v>5301</v>
      </c>
      <c r="S865" s="35">
        <v>0.2</v>
      </c>
      <c r="T865" s="16">
        <v>19.152000000000001</v>
      </c>
      <c r="U865" s="19">
        <v>6.4638</v>
      </c>
      <c r="V865" s="56">
        <f>Table11[[#This Row],[Profit]]/Table11[[#This Row],[Sales]]</f>
        <v>0.33749999999999997</v>
      </c>
    </row>
    <row r="866" spans="1:22" x14ac:dyDescent="0.2">
      <c r="A866" s="4">
        <v>865</v>
      </c>
      <c r="B866" s="5" t="s">
        <v>7279</v>
      </c>
      <c r="C866" s="6">
        <v>42223</v>
      </c>
      <c r="D866" s="27">
        <f>MONTH(Table11[[#This Row],[Order Date]])</f>
        <v>8</v>
      </c>
      <c r="E866" s="5" t="s">
        <v>119</v>
      </c>
      <c r="F866" s="5" t="s">
        <v>120</v>
      </c>
      <c r="G866" s="24" t="s">
        <v>41</v>
      </c>
      <c r="H866" s="24" t="s">
        <v>68</v>
      </c>
      <c r="I866" s="5" t="s">
        <v>4748</v>
      </c>
      <c r="J866" s="24" t="s">
        <v>22</v>
      </c>
      <c r="K866" s="27">
        <v>4</v>
      </c>
      <c r="L866" s="6">
        <v>42224</v>
      </c>
      <c r="M866" s="27">
        <f>Table11[[#This Row],[Ship Date]]-Table11[[#This Row],[Order Date]]</f>
        <v>1</v>
      </c>
      <c r="N866" s="24" t="s">
        <v>169</v>
      </c>
      <c r="O866" s="24" t="s">
        <v>23</v>
      </c>
      <c r="P866" s="24" t="s">
        <v>528</v>
      </c>
      <c r="Q866" s="24" t="s">
        <v>95</v>
      </c>
      <c r="R866" s="24" t="s">
        <v>7280</v>
      </c>
      <c r="S866" s="34">
        <v>0</v>
      </c>
      <c r="T866" s="15">
        <v>28.4</v>
      </c>
      <c r="U866" s="18">
        <v>13.064</v>
      </c>
      <c r="V866" s="56">
        <f>Table11[[#This Row],[Profit]]/Table11[[#This Row],[Sales]]</f>
        <v>0.46</v>
      </c>
    </row>
    <row r="867" spans="1:22" x14ac:dyDescent="0.2">
      <c r="A867" s="2">
        <v>866</v>
      </c>
      <c r="B867" s="3" t="s">
        <v>7279</v>
      </c>
      <c r="C867" s="7">
        <v>42223</v>
      </c>
      <c r="D867" s="28">
        <f>MONTH(Table11[[#This Row],[Order Date]])</f>
        <v>8</v>
      </c>
      <c r="E867" s="3" t="s">
        <v>5478</v>
      </c>
      <c r="F867" s="3" t="s">
        <v>5479</v>
      </c>
      <c r="G867" s="25" t="s">
        <v>28</v>
      </c>
      <c r="H867" s="25" t="s">
        <v>58</v>
      </c>
      <c r="I867" s="3" t="s">
        <v>4748</v>
      </c>
      <c r="J867" s="25" t="s">
        <v>22</v>
      </c>
      <c r="K867" s="28">
        <v>3</v>
      </c>
      <c r="L867" s="7">
        <v>42224</v>
      </c>
      <c r="M867" s="28">
        <f>Table11[[#This Row],[Ship Date]]-Table11[[#This Row],[Order Date]]</f>
        <v>1</v>
      </c>
      <c r="N867" s="25" t="s">
        <v>169</v>
      </c>
      <c r="O867" s="25" t="s">
        <v>23</v>
      </c>
      <c r="P867" s="25" t="s">
        <v>528</v>
      </c>
      <c r="Q867" s="25" t="s">
        <v>95</v>
      </c>
      <c r="R867" s="25" t="s">
        <v>7280</v>
      </c>
      <c r="S867" s="35">
        <v>0</v>
      </c>
      <c r="T867" s="16">
        <v>212.94</v>
      </c>
      <c r="U867" s="19">
        <v>34.070399999999999</v>
      </c>
      <c r="V867" s="56">
        <f>Table11[[#This Row],[Profit]]/Table11[[#This Row],[Sales]]</f>
        <v>0.16</v>
      </c>
    </row>
    <row r="868" spans="1:22" x14ac:dyDescent="0.2">
      <c r="A868" s="4">
        <v>867</v>
      </c>
      <c r="B868" s="5" t="s">
        <v>7964</v>
      </c>
      <c r="C868" s="6">
        <v>42223</v>
      </c>
      <c r="D868" s="27">
        <f>MONTH(Table11[[#This Row],[Order Date]])</f>
        <v>8</v>
      </c>
      <c r="E868" s="5" t="s">
        <v>2822</v>
      </c>
      <c r="F868" s="5" t="s">
        <v>2823</v>
      </c>
      <c r="G868" s="24" t="s">
        <v>41</v>
      </c>
      <c r="H868" s="24" t="s">
        <v>61</v>
      </c>
      <c r="I868" s="5" t="s">
        <v>4686</v>
      </c>
      <c r="J868" s="24" t="s">
        <v>22</v>
      </c>
      <c r="K868" s="27">
        <v>10</v>
      </c>
      <c r="L868" s="6">
        <v>42228</v>
      </c>
      <c r="M868" s="27">
        <f>Table11[[#This Row],[Ship Date]]-Table11[[#This Row],[Order Date]]</f>
        <v>5</v>
      </c>
      <c r="N868" s="24" t="s">
        <v>45</v>
      </c>
      <c r="O868" s="24" t="s">
        <v>23</v>
      </c>
      <c r="P868" s="24" t="s">
        <v>132</v>
      </c>
      <c r="Q868" s="24" t="s">
        <v>133</v>
      </c>
      <c r="R868" s="24" t="s">
        <v>131</v>
      </c>
      <c r="S868" s="34">
        <v>0.2</v>
      </c>
      <c r="T868" s="15">
        <v>106.8</v>
      </c>
      <c r="U868" s="18">
        <v>10.68</v>
      </c>
      <c r="V868" s="56">
        <f>Table11[[#This Row],[Profit]]/Table11[[#This Row],[Sales]]</f>
        <v>0.1</v>
      </c>
    </row>
    <row r="869" spans="1:22" x14ac:dyDescent="0.2">
      <c r="A869" s="4">
        <v>868</v>
      </c>
      <c r="B869" s="3" t="s">
        <v>9042</v>
      </c>
      <c r="C869" s="7">
        <v>42223</v>
      </c>
      <c r="D869" s="28">
        <f>MONTH(Table11[[#This Row],[Order Date]])</f>
        <v>8</v>
      </c>
      <c r="E869" s="3" t="s">
        <v>127</v>
      </c>
      <c r="F869" s="3" t="s">
        <v>128</v>
      </c>
      <c r="G869" s="25" t="s">
        <v>41</v>
      </c>
      <c r="H869" s="25" t="s">
        <v>71</v>
      </c>
      <c r="I869" s="3" t="s">
        <v>2725</v>
      </c>
      <c r="J869" s="25" t="s">
        <v>36</v>
      </c>
      <c r="K869" s="28">
        <v>9</v>
      </c>
      <c r="L869" s="7">
        <v>42225</v>
      </c>
      <c r="M869" s="28">
        <f>Table11[[#This Row],[Ship Date]]-Table11[[#This Row],[Order Date]]</f>
        <v>2</v>
      </c>
      <c r="N869" s="25" t="s">
        <v>169</v>
      </c>
      <c r="O869" s="25" t="s">
        <v>23</v>
      </c>
      <c r="P869" s="25" t="s">
        <v>2408</v>
      </c>
      <c r="Q869" s="25" t="s">
        <v>133</v>
      </c>
      <c r="R869" s="25" t="s">
        <v>3967</v>
      </c>
      <c r="S869" s="35">
        <v>0</v>
      </c>
      <c r="T869" s="16">
        <v>77.58</v>
      </c>
      <c r="U869" s="19">
        <v>20.1708</v>
      </c>
      <c r="V869" s="56">
        <f>Table11[[#This Row],[Profit]]/Table11[[#This Row],[Sales]]</f>
        <v>0.26</v>
      </c>
    </row>
    <row r="870" spans="1:22" x14ac:dyDescent="0.2">
      <c r="A870" s="2">
        <v>869</v>
      </c>
      <c r="B870" s="5" t="s">
        <v>9520</v>
      </c>
      <c r="C870" s="6">
        <v>42223</v>
      </c>
      <c r="D870" s="27">
        <f>MONTH(Table11[[#This Row],[Order Date]])</f>
        <v>8</v>
      </c>
      <c r="E870" s="5" t="s">
        <v>5174</v>
      </c>
      <c r="F870" s="5" t="s">
        <v>5175</v>
      </c>
      <c r="G870" s="24" t="s">
        <v>64</v>
      </c>
      <c r="H870" s="24" t="s">
        <v>65</v>
      </c>
      <c r="I870" s="5" t="s">
        <v>2302</v>
      </c>
      <c r="J870" s="24" t="s">
        <v>36</v>
      </c>
      <c r="K870" s="27">
        <v>3</v>
      </c>
      <c r="L870" s="6">
        <v>42225</v>
      </c>
      <c r="M870" s="27">
        <f>Table11[[#This Row],[Ship Date]]-Table11[[#This Row],[Order Date]]</f>
        <v>2</v>
      </c>
      <c r="N870" s="24" t="s">
        <v>20</v>
      </c>
      <c r="O870" s="24" t="s">
        <v>23</v>
      </c>
      <c r="P870" s="24" t="s">
        <v>285</v>
      </c>
      <c r="Q870" s="24" t="s">
        <v>26</v>
      </c>
      <c r="R870" s="24" t="s">
        <v>284</v>
      </c>
      <c r="S870" s="34">
        <v>0</v>
      </c>
      <c r="T870" s="15">
        <v>494.97</v>
      </c>
      <c r="U870" s="18">
        <v>148.49100000000001</v>
      </c>
      <c r="V870" s="56">
        <f>Table11[[#This Row],[Profit]]/Table11[[#This Row],[Sales]]</f>
        <v>0.3</v>
      </c>
    </row>
    <row r="871" spans="1:22" x14ac:dyDescent="0.2">
      <c r="A871" s="4">
        <v>870</v>
      </c>
      <c r="B871" s="3" t="s">
        <v>9520</v>
      </c>
      <c r="C871" s="7">
        <v>42223</v>
      </c>
      <c r="D871" s="28">
        <f>MONTH(Table11[[#This Row],[Order Date]])</f>
        <v>8</v>
      </c>
      <c r="E871" s="3" t="s">
        <v>4928</v>
      </c>
      <c r="F871" s="3" t="s">
        <v>4929</v>
      </c>
      <c r="G871" s="25" t="s">
        <v>41</v>
      </c>
      <c r="H871" s="25" t="s">
        <v>42</v>
      </c>
      <c r="I871" s="3" t="s">
        <v>2302</v>
      </c>
      <c r="J871" s="25" t="s">
        <v>36</v>
      </c>
      <c r="K871" s="28">
        <v>2</v>
      </c>
      <c r="L871" s="7">
        <v>42225</v>
      </c>
      <c r="M871" s="28">
        <f>Table11[[#This Row],[Ship Date]]-Table11[[#This Row],[Order Date]]</f>
        <v>2</v>
      </c>
      <c r="N871" s="25" t="s">
        <v>20</v>
      </c>
      <c r="O871" s="25" t="s">
        <v>23</v>
      </c>
      <c r="P871" s="25" t="s">
        <v>285</v>
      </c>
      <c r="Q871" s="25" t="s">
        <v>26</v>
      </c>
      <c r="R871" s="25" t="s">
        <v>284</v>
      </c>
      <c r="S871" s="35">
        <v>0</v>
      </c>
      <c r="T871" s="16">
        <v>25.06</v>
      </c>
      <c r="U871" s="19">
        <v>11.7782</v>
      </c>
      <c r="V871" s="56">
        <f>Table11[[#This Row],[Profit]]/Table11[[#This Row],[Sales]]</f>
        <v>0.47000000000000003</v>
      </c>
    </row>
    <row r="872" spans="1:22" x14ac:dyDescent="0.2">
      <c r="A872" s="4">
        <v>871</v>
      </c>
      <c r="B872" s="5" t="s">
        <v>5460</v>
      </c>
      <c r="C872" s="6">
        <v>42224</v>
      </c>
      <c r="D872" s="27">
        <f>MONTH(Table11[[#This Row],[Order Date]])</f>
        <v>8</v>
      </c>
      <c r="E872" s="5" t="s">
        <v>3170</v>
      </c>
      <c r="F872" s="5" t="s">
        <v>3171</v>
      </c>
      <c r="G872" s="24" t="s">
        <v>41</v>
      </c>
      <c r="H872" s="24" t="s">
        <v>68</v>
      </c>
      <c r="I872" s="5" t="s">
        <v>4993</v>
      </c>
      <c r="J872" s="24" t="s">
        <v>22</v>
      </c>
      <c r="K872" s="27">
        <v>2</v>
      </c>
      <c r="L872" s="6">
        <v>42224</v>
      </c>
      <c r="M872" s="27">
        <f>Table11[[#This Row],[Ship Date]]-Table11[[#This Row],[Order Date]]</f>
        <v>0</v>
      </c>
      <c r="N872" s="24" t="s">
        <v>1141</v>
      </c>
      <c r="O872" s="24" t="s">
        <v>23</v>
      </c>
      <c r="P872" s="24" t="s">
        <v>38</v>
      </c>
      <c r="Q872" s="24" t="s">
        <v>39</v>
      </c>
      <c r="R872" s="24" t="s">
        <v>114</v>
      </c>
      <c r="S872" s="34">
        <v>0.2</v>
      </c>
      <c r="T872" s="15">
        <v>6.6079999999999997</v>
      </c>
      <c r="U872" s="18">
        <v>2.2302</v>
      </c>
      <c r="V872" s="56">
        <f>Table11[[#This Row],[Profit]]/Table11[[#This Row],[Sales]]</f>
        <v>0.33750000000000002</v>
      </c>
    </row>
    <row r="873" spans="1:22" x14ac:dyDescent="0.2">
      <c r="A873" s="2">
        <v>872</v>
      </c>
      <c r="B873" s="3" t="s">
        <v>5460</v>
      </c>
      <c r="C873" s="7">
        <v>42224</v>
      </c>
      <c r="D873" s="28">
        <f>MONTH(Table11[[#This Row],[Order Date]])</f>
        <v>8</v>
      </c>
      <c r="E873" s="3" t="s">
        <v>901</v>
      </c>
      <c r="F873" s="3" t="s">
        <v>902</v>
      </c>
      <c r="G873" s="25" t="s">
        <v>41</v>
      </c>
      <c r="H873" s="25" t="s">
        <v>68</v>
      </c>
      <c r="I873" s="3" t="s">
        <v>4993</v>
      </c>
      <c r="J873" s="25" t="s">
        <v>22</v>
      </c>
      <c r="K873" s="28">
        <v>2</v>
      </c>
      <c r="L873" s="7">
        <v>42224</v>
      </c>
      <c r="M873" s="28">
        <f>Table11[[#This Row],[Ship Date]]-Table11[[#This Row],[Order Date]]</f>
        <v>0</v>
      </c>
      <c r="N873" s="25" t="s">
        <v>1141</v>
      </c>
      <c r="O873" s="25" t="s">
        <v>23</v>
      </c>
      <c r="P873" s="25" t="s">
        <v>38</v>
      </c>
      <c r="Q873" s="25" t="s">
        <v>39</v>
      </c>
      <c r="R873" s="25" t="s">
        <v>114</v>
      </c>
      <c r="S873" s="35">
        <v>0.2</v>
      </c>
      <c r="T873" s="16">
        <v>7.28</v>
      </c>
      <c r="U873" s="19">
        <v>2.73</v>
      </c>
      <c r="V873" s="56">
        <f>Table11[[#This Row],[Profit]]/Table11[[#This Row],[Sales]]</f>
        <v>0.375</v>
      </c>
    </row>
    <row r="874" spans="1:22" x14ac:dyDescent="0.2">
      <c r="A874" s="4">
        <v>873</v>
      </c>
      <c r="B874" s="5" t="s">
        <v>5460</v>
      </c>
      <c r="C874" s="6">
        <v>42224</v>
      </c>
      <c r="D874" s="27">
        <f>MONTH(Table11[[#This Row],[Order Date]])</f>
        <v>8</v>
      </c>
      <c r="E874" s="5" t="s">
        <v>1132</v>
      </c>
      <c r="F874" s="5" t="s">
        <v>1133</v>
      </c>
      <c r="G874" s="24" t="s">
        <v>28</v>
      </c>
      <c r="H874" s="24" t="s">
        <v>32</v>
      </c>
      <c r="I874" s="5" t="s">
        <v>4993</v>
      </c>
      <c r="J874" s="24" t="s">
        <v>22</v>
      </c>
      <c r="K874" s="27">
        <v>1</v>
      </c>
      <c r="L874" s="6">
        <v>42224</v>
      </c>
      <c r="M874" s="27">
        <f>Table11[[#This Row],[Ship Date]]-Table11[[#This Row],[Order Date]]</f>
        <v>0</v>
      </c>
      <c r="N874" s="24" t="s">
        <v>1141</v>
      </c>
      <c r="O874" s="24" t="s">
        <v>23</v>
      </c>
      <c r="P874" s="24" t="s">
        <v>38</v>
      </c>
      <c r="Q874" s="24" t="s">
        <v>39</v>
      </c>
      <c r="R874" s="24" t="s">
        <v>114</v>
      </c>
      <c r="S874" s="34">
        <v>0.2</v>
      </c>
      <c r="T874" s="15">
        <v>144.78399999999999</v>
      </c>
      <c r="U874" s="18">
        <v>10.8588</v>
      </c>
      <c r="V874" s="56">
        <f>Table11[[#This Row],[Profit]]/Table11[[#This Row],[Sales]]</f>
        <v>7.5000000000000011E-2</v>
      </c>
    </row>
    <row r="875" spans="1:22" x14ac:dyDescent="0.2">
      <c r="A875" s="4">
        <v>874</v>
      </c>
      <c r="B875" s="3" t="s">
        <v>8240</v>
      </c>
      <c r="C875" s="7">
        <v>42224</v>
      </c>
      <c r="D875" s="28">
        <f>MONTH(Table11[[#This Row],[Order Date]])</f>
        <v>8</v>
      </c>
      <c r="E875" s="3" t="s">
        <v>6609</v>
      </c>
      <c r="F875" s="3" t="s">
        <v>6610</v>
      </c>
      <c r="G875" s="25" t="s">
        <v>41</v>
      </c>
      <c r="H875" s="25" t="s">
        <v>61</v>
      </c>
      <c r="I875" s="3" t="s">
        <v>4609</v>
      </c>
      <c r="J875" s="25" t="s">
        <v>22</v>
      </c>
      <c r="K875" s="28">
        <v>2</v>
      </c>
      <c r="L875" s="7">
        <v>42226</v>
      </c>
      <c r="M875" s="28">
        <f>Table11[[#This Row],[Ship Date]]-Table11[[#This Row],[Order Date]]</f>
        <v>2</v>
      </c>
      <c r="N875" s="25" t="s">
        <v>20</v>
      </c>
      <c r="O875" s="25" t="s">
        <v>23</v>
      </c>
      <c r="P875" s="25" t="s">
        <v>1101</v>
      </c>
      <c r="Q875" s="25" t="s">
        <v>133</v>
      </c>
      <c r="R875" s="25" t="s">
        <v>1308</v>
      </c>
      <c r="S875" s="35">
        <v>0</v>
      </c>
      <c r="T875" s="16">
        <v>39.659999999999997</v>
      </c>
      <c r="U875" s="19">
        <v>11.898</v>
      </c>
      <c r="V875" s="56">
        <f>Table11[[#This Row],[Profit]]/Table11[[#This Row],[Sales]]</f>
        <v>0.30000000000000004</v>
      </c>
    </row>
    <row r="876" spans="1:22" x14ac:dyDescent="0.2">
      <c r="A876" s="2">
        <v>875</v>
      </c>
      <c r="B876" s="5" t="s">
        <v>8240</v>
      </c>
      <c r="C876" s="6">
        <v>42224</v>
      </c>
      <c r="D876" s="27">
        <f>MONTH(Table11[[#This Row],[Order Date]])</f>
        <v>8</v>
      </c>
      <c r="E876" s="5" t="s">
        <v>3688</v>
      </c>
      <c r="F876" s="5" t="s">
        <v>3689</v>
      </c>
      <c r="G876" s="24" t="s">
        <v>41</v>
      </c>
      <c r="H876" s="24" t="s">
        <v>71</v>
      </c>
      <c r="I876" s="5" t="s">
        <v>4609</v>
      </c>
      <c r="J876" s="24" t="s">
        <v>22</v>
      </c>
      <c r="K876" s="27">
        <v>2</v>
      </c>
      <c r="L876" s="6">
        <v>42226</v>
      </c>
      <c r="M876" s="27">
        <f>Table11[[#This Row],[Ship Date]]-Table11[[#This Row],[Order Date]]</f>
        <v>2</v>
      </c>
      <c r="N876" s="24" t="s">
        <v>20</v>
      </c>
      <c r="O876" s="24" t="s">
        <v>23</v>
      </c>
      <c r="P876" s="24" t="s">
        <v>1101</v>
      </c>
      <c r="Q876" s="24" t="s">
        <v>133</v>
      </c>
      <c r="R876" s="24" t="s">
        <v>1308</v>
      </c>
      <c r="S876" s="34">
        <v>0</v>
      </c>
      <c r="T876" s="15">
        <v>113.92</v>
      </c>
      <c r="U876" s="18">
        <v>33.036799999999999</v>
      </c>
      <c r="V876" s="56">
        <f>Table11[[#This Row],[Profit]]/Table11[[#This Row],[Sales]]</f>
        <v>0.28999999999999998</v>
      </c>
    </row>
    <row r="877" spans="1:22" x14ac:dyDescent="0.2">
      <c r="A877" s="4">
        <v>876</v>
      </c>
      <c r="B877" s="3" t="s">
        <v>8240</v>
      </c>
      <c r="C877" s="7">
        <v>42224</v>
      </c>
      <c r="D877" s="28">
        <f>MONTH(Table11[[#This Row],[Order Date]])</f>
        <v>8</v>
      </c>
      <c r="E877" s="3" t="s">
        <v>4429</v>
      </c>
      <c r="F877" s="3" t="s">
        <v>4430</v>
      </c>
      <c r="G877" s="25" t="s">
        <v>41</v>
      </c>
      <c r="H877" s="25" t="s">
        <v>68</v>
      </c>
      <c r="I877" s="3" t="s">
        <v>4609</v>
      </c>
      <c r="J877" s="25" t="s">
        <v>22</v>
      </c>
      <c r="K877" s="28">
        <v>7</v>
      </c>
      <c r="L877" s="7">
        <v>42226</v>
      </c>
      <c r="M877" s="28">
        <f>Table11[[#This Row],[Ship Date]]-Table11[[#This Row],[Order Date]]</f>
        <v>2</v>
      </c>
      <c r="N877" s="25" t="s">
        <v>20</v>
      </c>
      <c r="O877" s="25" t="s">
        <v>23</v>
      </c>
      <c r="P877" s="25" t="s">
        <v>1101</v>
      </c>
      <c r="Q877" s="25" t="s">
        <v>133</v>
      </c>
      <c r="R877" s="25" t="s">
        <v>1308</v>
      </c>
      <c r="S877" s="35">
        <v>0</v>
      </c>
      <c r="T877" s="16">
        <v>447.86</v>
      </c>
      <c r="U877" s="19">
        <v>210.49420000000001</v>
      </c>
      <c r="V877" s="56">
        <f>Table11[[#This Row],[Profit]]/Table11[[#This Row],[Sales]]</f>
        <v>0.47</v>
      </c>
    </row>
    <row r="878" spans="1:22" x14ac:dyDescent="0.2">
      <c r="A878" s="4">
        <v>877</v>
      </c>
      <c r="B878" s="5" t="s">
        <v>10092</v>
      </c>
      <c r="C878" s="6">
        <v>42224</v>
      </c>
      <c r="D878" s="27">
        <f>MONTH(Table11[[#This Row],[Order Date]])</f>
        <v>8</v>
      </c>
      <c r="E878" s="5" t="s">
        <v>3897</v>
      </c>
      <c r="F878" s="5" t="s">
        <v>3898</v>
      </c>
      <c r="G878" s="24" t="s">
        <v>64</v>
      </c>
      <c r="H878" s="24" t="s">
        <v>144</v>
      </c>
      <c r="I878" s="5" t="s">
        <v>2626</v>
      </c>
      <c r="J878" s="24" t="s">
        <v>22</v>
      </c>
      <c r="K878" s="27">
        <v>1</v>
      </c>
      <c r="L878" s="6">
        <v>42228</v>
      </c>
      <c r="M878" s="27">
        <f>Table11[[#This Row],[Ship Date]]-Table11[[#This Row],[Order Date]]</f>
        <v>4</v>
      </c>
      <c r="N878" s="24" t="s">
        <v>45</v>
      </c>
      <c r="O878" s="24" t="s">
        <v>23</v>
      </c>
      <c r="P878" s="24" t="s">
        <v>238</v>
      </c>
      <c r="Q878" s="24" t="s">
        <v>133</v>
      </c>
      <c r="R878" s="24" t="s">
        <v>7743</v>
      </c>
      <c r="S878" s="34">
        <v>0</v>
      </c>
      <c r="T878" s="15">
        <v>79.989999999999995</v>
      </c>
      <c r="U878" s="18">
        <v>28.796399999999998</v>
      </c>
      <c r="V878" s="56">
        <f>Table11[[#This Row],[Profit]]/Table11[[#This Row],[Sales]]</f>
        <v>0.36</v>
      </c>
    </row>
    <row r="879" spans="1:22" x14ac:dyDescent="0.2">
      <c r="A879" s="2">
        <v>878</v>
      </c>
      <c r="B879" s="3" t="s">
        <v>773</v>
      </c>
      <c r="C879" s="7">
        <v>42225</v>
      </c>
      <c r="D879" s="28">
        <f>MONTH(Table11[[#This Row],[Order Date]])</f>
        <v>8</v>
      </c>
      <c r="E879" s="3" t="s">
        <v>776</v>
      </c>
      <c r="F879" s="3" t="s">
        <v>777</v>
      </c>
      <c r="G879" s="25" t="s">
        <v>41</v>
      </c>
      <c r="H879" s="25" t="s">
        <v>61</v>
      </c>
      <c r="I879" s="3" t="s">
        <v>774</v>
      </c>
      <c r="J879" s="25" t="s">
        <v>36</v>
      </c>
      <c r="K879" s="28">
        <v>1</v>
      </c>
      <c r="L879" s="7">
        <v>42232</v>
      </c>
      <c r="M879" s="28">
        <f>Table11[[#This Row],[Ship Date]]-Table11[[#This Row],[Order Date]]</f>
        <v>7</v>
      </c>
      <c r="N879" s="25" t="s">
        <v>45</v>
      </c>
      <c r="O879" s="25" t="s">
        <v>23</v>
      </c>
      <c r="P879" s="25" t="s">
        <v>212</v>
      </c>
      <c r="Q879" s="25" t="s">
        <v>95</v>
      </c>
      <c r="R879" s="25" t="s">
        <v>775</v>
      </c>
      <c r="S879" s="35">
        <v>0</v>
      </c>
      <c r="T879" s="16">
        <v>2.2000000000000002</v>
      </c>
      <c r="U879" s="19">
        <v>0.96799999999999997</v>
      </c>
      <c r="V879" s="56">
        <f>Table11[[#This Row],[Profit]]/Table11[[#This Row],[Sales]]</f>
        <v>0.43999999999999995</v>
      </c>
    </row>
    <row r="880" spans="1:22" x14ac:dyDescent="0.2">
      <c r="A880" s="4">
        <v>879</v>
      </c>
      <c r="B880" s="5" t="s">
        <v>773</v>
      </c>
      <c r="C880" s="6">
        <v>42225</v>
      </c>
      <c r="D880" s="27">
        <f>MONTH(Table11[[#This Row],[Order Date]])</f>
        <v>8</v>
      </c>
      <c r="E880" s="5" t="s">
        <v>778</v>
      </c>
      <c r="F880" s="5" t="s">
        <v>779</v>
      </c>
      <c r="G880" s="24" t="s">
        <v>28</v>
      </c>
      <c r="H880" s="24" t="s">
        <v>50</v>
      </c>
      <c r="I880" s="5" t="s">
        <v>774</v>
      </c>
      <c r="J880" s="24" t="s">
        <v>36</v>
      </c>
      <c r="K880" s="27">
        <v>5</v>
      </c>
      <c r="L880" s="6">
        <v>42232</v>
      </c>
      <c r="M880" s="27">
        <f>Table11[[#This Row],[Ship Date]]-Table11[[#This Row],[Order Date]]</f>
        <v>7</v>
      </c>
      <c r="N880" s="24" t="s">
        <v>45</v>
      </c>
      <c r="O880" s="24" t="s">
        <v>23</v>
      </c>
      <c r="P880" s="24" t="s">
        <v>212</v>
      </c>
      <c r="Q880" s="24" t="s">
        <v>95</v>
      </c>
      <c r="R880" s="24" t="s">
        <v>775</v>
      </c>
      <c r="S880" s="34">
        <v>0</v>
      </c>
      <c r="T880" s="15">
        <v>622.45000000000005</v>
      </c>
      <c r="U880" s="18">
        <v>136.93899999999999</v>
      </c>
      <c r="V880" s="56">
        <f>Table11[[#This Row],[Profit]]/Table11[[#This Row],[Sales]]</f>
        <v>0.21999999999999997</v>
      </c>
    </row>
    <row r="881" spans="1:22" x14ac:dyDescent="0.2">
      <c r="A881" s="4">
        <v>880</v>
      </c>
      <c r="B881" s="3" t="s">
        <v>773</v>
      </c>
      <c r="C881" s="7">
        <v>42225</v>
      </c>
      <c r="D881" s="28">
        <f>MONTH(Table11[[#This Row],[Order Date]])</f>
        <v>8</v>
      </c>
      <c r="E881" s="3" t="s">
        <v>780</v>
      </c>
      <c r="F881" s="3" t="s">
        <v>781</v>
      </c>
      <c r="G881" s="25" t="s">
        <v>41</v>
      </c>
      <c r="H881" s="25" t="s">
        <v>53</v>
      </c>
      <c r="I881" s="3" t="s">
        <v>774</v>
      </c>
      <c r="J881" s="25" t="s">
        <v>36</v>
      </c>
      <c r="K881" s="28">
        <v>1</v>
      </c>
      <c r="L881" s="7">
        <v>42232</v>
      </c>
      <c r="M881" s="28">
        <f>Table11[[#This Row],[Ship Date]]-Table11[[#This Row],[Order Date]]</f>
        <v>7</v>
      </c>
      <c r="N881" s="25" t="s">
        <v>45</v>
      </c>
      <c r="O881" s="25" t="s">
        <v>23</v>
      </c>
      <c r="P881" s="25" t="s">
        <v>212</v>
      </c>
      <c r="Q881" s="25" t="s">
        <v>95</v>
      </c>
      <c r="R881" s="25" t="s">
        <v>775</v>
      </c>
      <c r="S881" s="35">
        <v>0</v>
      </c>
      <c r="T881" s="16">
        <v>21.98</v>
      </c>
      <c r="U881" s="19">
        <v>0.2198</v>
      </c>
      <c r="V881" s="56">
        <f>Table11[[#This Row],[Profit]]/Table11[[#This Row],[Sales]]</f>
        <v>0.01</v>
      </c>
    </row>
    <row r="882" spans="1:22" x14ac:dyDescent="0.2">
      <c r="A882" s="2">
        <v>881</v>
      </c>
      <c r="B882" s="5" t="s">
        <v>3690</v>
      </c>
      <c r="C882" s="6">
        <v>42225</v>
      </c>
      <c r="D882" s="27">
        <f>MONTH(Table11[[#This Row],[Order Date]])</f>
        <v>8</v>
      </c>
      <c r="E882" s="5" t="s">
        <v>1217</v>
      </c>
      <c r="F882" s="5" t="s">
        <v>1218</v>
      </c>
      <c r="G882" s="24" t="s">
        <v>64</v>
      </c>
      <c r="H882" s="24" t="s">
        <v>65</v>
      </c>
      <c r="I882" s="5" t="s">
        <v>1969</v>
      </c>
      <c r="J882" s="24" t="s">
        <v>22</v>
      </c>
      <c r="K882" s="27">
        <v>2</v>
      </c>
      <c r="L882" s="6">
        <v>42228</v>
      </c>
      <c r="M882" s="27">
        <f>Table11[[#This Row],[Ship Date]]-Table11[[#This Row],[Order Date]]</f>
        <v>3</v>
      </c>
      <c r="N882" s="24" t="s">
        <v>169</v>
      </c>
      <c r="O882" s="24" t="s">
        <v>23</v>
      </c>
      <c r="P882" s="24" t="s">
        <v>238</v>
      </c>
      <c r="Q882" s="24" t="s">
        <v>133</v>
      </c>
      <c r="R882" s="24" t="s">
        <v>237</v>
      </c>
      <c r="S882" s="34">
        <v>0</v>
      </c>
      <c r="T882" s="15">
        <v>307.98</v>
      </c>
      <c r="U882" s="18">
        <v>89.3142</v>
      </c>
      <c r="V882" s="56">
        <f>Table11[[#This Row],[Profit]]/Table11[[#This Row],[Sales]]</f>
        <v>0.28999999999999998</v>
      </c>
    </row>
    <row r="883" spans="1:22" x14ac:dyDescent="0.2">
      <c r="A883" s="4">
        <v>882</v>
      </c>
      <c r="B883" s="3" t="s">
        <v>3690</v>
      </c>
      <c r="C883" s="7">
        <v>42225</v>
      </c>
      <c r="D883" s="28">
        <f>MONTH(Table11[[#This Row],[Order Date]])</f>
        <v>8</v>
      </c>
      <c r="E883" s="3" t="s">
        <v>817</v>
      </c>
      <c r="F883" s="3" t="s">
        <v>818</v>
      </c>
      <c r="G883" s="25" t="s">
        <v>28</v>
      </c>
      <c r="H883" s="25" t="s">
        <v>50</v>
      </c>
      <c r="I883" s="3" t="s">
        <v>1969</v>
      </c>
      <c r="J883" s="25" t="s">
        <v>22</v>
      </c>
      <c r="K883" s="28">
        <v>9</v>
      </c>
      <c r="L883" s="7">
        <v>42228</v>
      </c>
      <c r="M883" s="28">
        <f>Table11[[#This Row],[Ship Date]]-Table11[[#This Row],[Order Date]]</f>
        <v>3</v>
      </c>
      <c r="N883" s="25" t="s">
        <v>169</v>
      </c>
      <c r="O883" s="25" t="s">
        <v>23</v>
      </c>
      <c r="P883" s="25" t="s">
        <v>238</v>
      </c>
      <c r="Q883" s="25" t="s">
        <v>133</v>
      </c>
      <c r="R883" s="25" t="s">
        <v>237</v>
      </c>
      <c r="S883" s="35">
        <v>0.4</v>
      </c>
      <c r="T883" s="16">
        <v>382.80599999999998</v>
      </c>
      <c r="U883" s="19">
        <v>-153.1224</v>
      </c>
      <c r="V883" s="56">
        <f>Table11[[#This Row],[Profit]]/Table11[[#This Row],[Sales]]</f>
        <v>-0.4</v>
      </c>
    </row>
    <row r="884" spans="1:22" x14ac:dyDescent="0.2">
      <c r="A884" s="4">
        <v>883</v>
      </c>
      <c r="B884" s="5" t="s">
        <v>3690</v>
      </c>
      <c r="C884" s="6">
        <v>42225</v>
      </c>
      <c r="D884" s="27">
        <f>MONTH(Table11[[#This Row],[Order Date]])</f>
        <v>8</v>
      </c>
      <c r="E884" s="5" t="s">
        <v>733</v>
      </c>
      <c r="F884" s="5" t="s">
        <v>734</v>
      </c>
      <c r="G884" s="24" t="s">
        <v>41</v>
      </c>
      <c r="H884" s="24" t="s">
        <v>53</v>
      </c>
      <c r="I884" s="5" t="s">
        <v>1969</v>
      </c>
      <c r="J884" s="24" t="s">
        <v>22</v>
      </c>
      <c r="K884" s="27">
        <v>2</v>
      </c>
      <c r="L884" s="6">
        <v>42228</v>
      </c>
      <c r="M884" s="27">
        <f>Table11[[#This Row],[Ship Date]]-Table11[[#This Row],[Order Date]]</f>
        <v>3</v>
      </c>
      <c r="N884" s="24" t="s">
        <v>169</v>
      </c>
      <c r="O884" s="24" t="s">
        <v>23</v>
      </c>
      <c r="P884" s="24" t="s">
        <v>238</v>
      </c>
      <c r="Q884" s="24" t="s">
        <v>133</v>
      </c>
      <c r="R884" s="24" t="s">
        <v>237</v>
      </c>
      <c r="S884" s="34">
        <v>0</v>
      </c>
      <c r="T884" s="15">
        <v>41.96</v>
      </c>
      <c r="U884" s="18">
        <v>2.9371999999999998</v>
      </c>
      <c r="V884" s="56">
        <f>Table11[[#This Row],[Profit]]/Table11[[#This Row],[Sales]]</f>
        <v>6.9999999999999993E-2</v>
      </c>
    </row>
    <row r="885" spans="1:22" x14ac:dyDescent="0.2">
      <c r="A885" s="2">
        <v>884</v>
      </c>
      <c r="B885" s="3" t="s">
        <v>3690</v>
      </c>
      <c r="C885" s="7">
        <v>42225</v>
      </c>
      <c r="D885" s="28">
        <f>MONTH(Table11[[#This Row],[Order Date]])</f>
        <v>8</v>
      </c>
      <c r="E885" s="3" t="s">
        <v>2370</v>
      </c>
      <c r="F885" s="3" t="s">
        <v>2371</v>
      </c>
      <c r="G885" s="25" t="s">
        <v>41</v>
      </c>
      <c r="H885" s="25" t="s">
        <v>68</v>
      </c>
      <c r="I885" s="3" t="s">
        <v>1969</v>
      </c>
      <c r="J885" s="25" t="s">
        <v>22</v>
      </c>
      <c r="K885" s="28">
        <v>2</v>
      </c>
      <c r="L885" s="7">
        <v>42228</v>
      </c>
      <c r="M885" s="28">
        <f>Table11[[#This Row],[Ship Date]]-Table11[[#This Row],[Order Date]]</f>
        <v>3</v>
      </c>
      <c r="N885" s="25" t="s">
        <v>169</v>
      </c>
      <c r="O885" s="25" t="s">
        <v>23</v>
      </c>
      <c r="P885" s="25" t="s">
        <v>238</v>
      </c>
      <c r="Q885" s="25" t="s">
        <v>133</v>
      </c>
      <c r="R885" s="25" t="s">
        <v>237</v>
      </c>
      <c r="S885" s="35">
        <v>0.2</v>
      </c>
      <c r="T885" s="16">
        <v>1217.568</v>
      </c>
      <c r="U885" s="19">
        <v>456.58800000000002</v>
      </c>
      <c r="V885" s="56">
        <f>Table11[[#This Row],[Profit]]/Table11[[#This Row],[Sales]]</f>
        <v>0.375</v>
      </c>
    </row>
    <row r="886" spans="1:22" x14ac:dyDescent="0.2">
      <c r="A886" s="4">
        <v>885</v>
      </c>
      <c r="B886" s="5" t="s">
        <v>3690</v>
      </c>
      <c r="C886" s="6">
        <v>42225</v>
      </c>
      <c r="D886" s="27">
        <f>MONTH(Table11[[#This Row],[Order Date]])</f>
        <v>8</v>
      </c>
      <c r="E886" s="5" t="s">
        <v>462</v>
      </c>
      <c r="F886" s="5" t="s">
        <v>463</v>
      </c>
      <c r="G886" s="24" t="s">
        <v>28</v>
      </c>
      <c r="H886" s="24" t="s">
        <v>58</v>
      </c>
      <c r="I886" s="5" t="s">
        <v>1969</v>
      </c>
      <c r="J886" s="24" t="s">
        <v>22</v>
      </c>
      <c r="K886" s="27">
        <v>3</v>
      </c>
      <c r="L886" s="6">
        <v>42228</v>
      </c>
      <c r="M886" s="27">
        <f>Table11[[#This Row],[Ship Date]]-Table11[[#This Row],[Order Date]]</f>
        <v>3</v>
      </c>
      <c r="N886" s="24" t="s">
        <v>169</v>
      </c>
      <c r="O886" s="24" t="s">
        <v>23</v>
      </c>
      <c r="P886" s="24" t="s">
        <v>238</v>
      </c>
      <c r="Q886" s="24" t="s">
        <v>133</v>
      </c>
      <c r="R886" s="24" t="s">
        <v>237</v>
      </c>
      <c r="S886" s="34">
        <v>0</v>
      </c>
      <c r="T886" s="15">
        <v>47.04</v>
      </c>
      <c r="U886" s="18">
        <v>18.345600000000001</v>
      </c>
      <c r="V886" s="56">
        <f>Table11[[#This Row],[Profit]]/Table11[[#This Row],[Sales]]</f>
        <v>0.39</v>
      </c>
    </row>
    <row r="887" spans="1:22" x14ac:dyDescent="0.2">
      <c r="A887" s="4">
        <v>886</v>
      </c>
      <c r="B887" s="3" t="s">
        <v>3690</v>
      </c>
      <c r="C887" s="7">
        <v>42225</v>
      </c>
      <c r="D887" s="28">
        <f>MONTH(Table11[[#This Row],[Order Date]])</f>
        <v>8</v>
      </c>
      <c r="E887" s="3" t="s">
        <v>231</v>
      </c>
      <c r="F887" s="3" t="s">
        <v>232</v>
      </c>
      <c r="G887" s="25" t="s">
        <v>28</v>
      </c>
      <c r="H887" s="25" t="s">
        <v>58</v>
      </c>
      <c r="I887" s="3" t="s">
        <v>1969</v>
      </c>
      <c r="J887" s="25" t="s">
        <v>22</v>
      </c>
      <c r="K887" s="28">
        <v>2</v>
      </c>
      <c r="L887" s="7">
        <v>42228</v>
      </c>
      <c r="M887" s="28">
        <f>Table11[[#This Row],[Ship Date]]-Table11[[#This Row],[Order Date]]</f>
        <v>3</v>
      </c>
      <c r="N887" s="25" t="s">
        <v>169</v>
      </c>
      <c r="O887" s="25" t="s">
        <v>23</v>
      </c>
      <c r="P887" s="25" t="s">
        <v>238</v>
      </c>
      <c r="Q887" s="25" t="s">
        <v>133</v>
      </c>
      <c r="R887" s="25" t="s">
        <v>237</v>
      </c>
      <c r="S887" s="35">
        <v>0</v>
      </c>
      <c r="T887" s="16">
        <v>6.16</v>
      </c>
      <c r="U887" s="19">
        <v>2.9567999999999999</v>
      </c>
      <c r="V887" s="56">
        <f>Table11[[#This Row],[Profit]]/Table11[[#This Row],[Sales]]</f>
        <v>0.48</v>
      </c>
    </row>
    <row r="888" spans="1:22" x14ac:dyDescent="0.2">
      <c r="A888" s="2">
        <v>887</v>
      </c>
      <c r="B888" s="5" t="s">
        <v>3690</v>
      </c>
      <c r="C888" s="6">
        <v>42225</v>
      </c>
      <c r="D888" s="27">
        <f>MONTH(Table11[[#This Row],[Order Date]])</f>
        <v>8</v>
      </c>
      <c r="E888" s="5" t="s">
        <v>1609</v>
      </c>
      <c r="F888" s="5" t="s">
        <v>1610</v>
      </c>
      <c r="G888" s="24" t="s">
        <v>64</v>
      </c>
      <c r="H888" s="24" t="s">
        <v>65</v>
      </c>
      <c r="I888" s="5" t="s">
        <v>1969</v>
      </c>
      <c r="J888" s="24" t="s">
        <v>22</v>
      </c>
      <c r="K888" s="27">
        <v>5</v>
      </c>
      <c r="L888" s="6">
        <v>42228</v>
      </c>
      <c r="M888" s="27">
        <f>Table11[[#This Row],[Ship Date]]-Table11[[#This Row],[Order Date]]</f>
        <v>3</v>
      </c>
      <c r="N888" s="24" t="s">
        <v>169</v>
      </c>
      <c r="O888" s="24" t="s">
        <v>23</v>
      </c>
      <c r="P888" s="24" t="s">
        <v>238</v>
      </c>
      <c r="Q888" s="24" t="s">
        <v>133</v>
      </c>
      <c r="R888" s="24" t="s">
        <v>237</v>
      </c>
      <c r="S888" s="34">
        <v>0</v>
      </c>
      <c r="T888" s="15">
        <v>979.95</v>
      </c>
      <c r="U888" s="18">
        <v>274.38600000000002</v>
      </c>
      <c r="V888" s="56">
        <f>Table11[[#This Row],[Profit]]/Table11[[#This Row],[Sales]]</f>
        <v>0.28000000000000003</v>
      </c>
    </row>
    <row r="889" spans="1:22" x14ac:dyDescent="0.2">
      <c r="A889" s="4">
        <v>888</v>
      </c>
      <c r="B889" s="3" t="s">
        <v>3690</v>
      </c>
      <c r="C889" s="7">
        <v>42225</v>
      </c>
      <c r="D889" s="28">
        <f>MONTH(Table11[[#This Row],[Order Date]])</f>
        <v>8</v>
      </c>
      <c r="E889" s="3" t="s">
        <v>3691</v>
      </c>
      <c r="F889" s="3" t="s">
        <v>3692</v>
      </c>
      <c r="G889" s="25" t="s">
        <v>41</v>
      </c>
      <c r="H889" s="25" t="s">
        <v>82</v>
      </c>
      <c r="I889" s="3" t="s">
        <v>1969</v>
      </c>
      <c r="J889" s="25" t="s">
        <v>22</v>
      </c>
      <c r="K889" s="28">
        <v>3</v>
      </c>
      <c r="L889" s="7">
        <v>42228</v>
      </c>
      <c r="M889" s="28">
        <f>Table11[[#This Row],[Ship Date]]-Table11[[#This Row],[Order Date]]</f>
        <v>3</v>
      </c>
      <c r="N889" s="25" t="s">
        <v>169</v>
      </c>
      <c r="O889" s="25" t="s">
        <v>23</v>
      </c>
      <c r="P889" s="25" t="s">
        <v>238</v>
      </c>
      <c r="Q889" s="25" t="s">
        <v>133</v>
      </c>
      <c r="R889" s="25" t="s">
        <v>237</v>
      </c>
      <c r="S889" s="35">
        <v>0</v>
      </c>
      <c r="T889" s="16">
        <v>143.69999999999999</v>
      </c>
      <c r="U889" s="19">
        <v>68.975999999999999</v>
      </c>
      <c r="V889" s="56">
        <f>Table11[[#This Row],[Profit]]/Table11[[#This Row],[Sales]]</f>
        <v>0.48000000000000004</v>
      </c>
    </row>
    <row r="890" spans="1:22" x14ac:dyDescent="0.2">
      <c r="A890" s="4">
        <v>889</v>
      </c>
      <c r="B890" s="5" t="s">
        <v>3690</v>
      </c>
      <c r="C890" s="6">
        <v>42225</v>
      </c>
      <c r="D890" s="27">
        <f>MONTH(Table11[[#This Row],[Order Date]])</f>
        <v>8</v>
      </c>
      <c r="E890" s="5" t="s">
        <v>3693</v>
      </c>
      <c r="F890" s="5" t="s">
        <v>3694</v>
      </c>
      <c r="G890" s="24" t="s">
        <v>41</v>
      </c>
      <c r="H890" s="24" t="s">
        <v>240</v>
      </c>
      <c r="I890" s="5" t="s">
        <v>1969</v>
      </c>
      <c r="J890" s="24" t="s">
        <v>22</v>
      </c>
      <c r="K890" s="27">
        <v>3</v>
      </c>
      <c r="L890" s="6">
        <v>42228</v>
      </c>
      <c r="M890" s="27">
        <f>Table11[[#This Row],[Ship Date]]-Table11[[#This Row],[Order Date]]</f>
        <v>3</v>
      </c>
      <c r="N890" s="24" t="s">
        <v>169</v>
      </c>
      <c r="O890" s="24" t="s">
        <v>23</v>
      </c>
      <c r="P890" s="24" t="s">
        <v>238</v>
      </c>
      <c r="Q890" s="24" t="s">
        <v>133</v>
      </c>
      <c r="R890" s="24" t="s">
        <v>237</v>
      </c>
      <c r="S890" s="34">
        <v>0</v>
      </c>
      <c r="T890" s="15">
        <v>10.65</v>
      </c>
      <c r="U890" s="18">
        <v>5.0054999999999996</v>
      </c>
      <c r="V890" s="56">
        <f>Table11[[#This Row],[Profit]]/Table11[[#This Row],[Sales]]</f>
        <v>0.47</v>
      </c>
    </row>
    <row r="891" spans="1:22" x14ac:dyDescent="0.2">
      <c r="A891" s="2">
        <v>890</v>
      </c>
      <c r="B891" s="3" t="s">
        <v>3690</v>
      </c>
      <c r="C891" s="7">
        <v>42225</v>
      </c>
      <c r="D891" s="28">
        <f>MONTH(Table11[[#This Row],[Order Date]])</f>
        <v>8</v>
      </c>
      <c r="E891" s="3" t="s">
        <v>1348</v>
      </c>
      <c r="F891" s="3" t="s">
        <v>1349</v>
      </c>
      <c r="G891" s="25" t="s">
        <v>64</v>
      </c>
      <c r="H891" s="25" t="s">
        <v>144</v>
      </c>
      <c r="I891" s="3" t="s">
        <v>1969</v>
      </c>
      <c r="J891" s="25" t="s">
        <v>22</v>
      </c>
      <c r="K891" s="28">
        <v>4</v>
      </c>
      <c r="L891" s="7">
        <v>42228</v>
      </c>
      <c r="M891" s="28">
        <f>Table11[[#This Row],[Ship Date]]-Table11[[#This Row],[Order Date]]</f>
        <v>3</v>
      </c>
      <c r="N891" s="25" t="s">
        <v>169</v>
      </c>
      <c r="O891" s="25" t="s">
        <v>23</v>
      </c>
      <c r="P891" s="25" t="s">
        <v>238</v>
      </c>
      <c r="Q891" s="25" t="s">
        <v>133</v>
      </c>
      <c r="R891" s="25" t="s">
        <v>237</v>
      </c>
      <c r="S891" s="35">
        <v>0</v>
      </c>
      <c r="T891" s="16">
        <v>247.8</v>
      </c>
      <c r="U891" s="19">
        <v>34.692</v>
      </c>
      <c r="V891" s="56">
        <f>Table11[[#This Row],[Profit]]/Table11[[#This Row],[Sales]]</f>
        <v>0.13999999999999999</v>
      </c>
    </row>
    <row r="892" spans="1:22" x14ac:dyDescent="0.2">
      <c r="A892" s="4">
        <v>891</v>
      </c>
      <c r="B892" s="5" t="s">
        <v>5784</v>
      </c>
      <c r="C892" s="6">
        <v>42225</v>
      </c>
      <c r="D892" s="27">
        <f>MONTH(Table11[[#This Row],[Order Date]])</f>
        <v>8</v>
      </c>
      <c r="E892" s="5" t="s">
        <v>2568</v>
      </c>
      <c r="F892" s="5" t="s">
        <v>2569</v>
      </c>
      <c r="G892" s="24" t="s">
        <v>41</v>
      </c>
      <c r="H892" s="24" t="s">
        <v>42</v>
      </c>
      <c r="I892" s="5" t="s">
        <v>193</v>
      </c>
      <c r="J892" s="24" t="s">
        <v>36</v>
      </c>
      <c r="K892" s="27">
        <v>2</v>
      </c>
      <c r="L892" s="6">
        <v>42230</v>
      </c>
      <c r="M892" s="27">
        <f>Table11[[#This Row],[Ship Date]]-Table11[[#This Row],[Order Date]]</f>
        <v>5</v>
      </c>
      <c r="N892" s="24" t="s">
        <v>45</v>
      </c>
      <c r="O892" s="24" t="s">
        <v>23</v>
      </c>
      <c r="P892" s="24" t="s">
        <v>48</v>
      </c>
      <c r="Q892" s="24" t="s">
        <v>26</v>
      </c>
      <c r="R892" s="24" t="s">
        <v>1345</v>
      </c>
      <c r="S892" s="34">
        <v>0.2</v>
      </c>
      <c r="T892" s="15">
        <v>4.6079999999999997</v>
      </c>
      <c r="U892" s="18">
        <v>1.6704000000000001</v>
      </c>
      <c r="V892" s="56">
        <f>Table11[[#This Row],[Profit]]/Table11[[#This Row],[Sales]]</f>
        <v>0.36250000000000004</v>
      </c>
    </row>
    <row r="893" spans="1:22" x14ac:dyDescent="0.2">
      <c r="A893" s="4">
        <v>892</v>
      </c>
      <c r="B893" s="3" t="s">
        <v>7203</v>
      </c>
      <c r="C893" s="7">
        <v>42225</v>
      </c>
      <c r="D893" s="28">
        <f>MONTH(Table11[[#This Row],[Order Date]])</f>
        <v>8</v>
      </c>
      <c r="E893" s="3" t="s">
        <v>6725</v>
      </c>
      <c r="F893" s="3" t="s">
        <v>6726</v>
      </c>
      <c r="G893" s="25" t="s">
        <v>28</v>
      </c>
      <c r="H893" s="25" t="s">
        <v>29</v>
      </c>
      <c r="I893" s="3" t="s">
        <v>2682</v>
      </c>
      <c r="J893" s="25" t="s">
        <v>92</v>
      </c>
      <c r="K893" s="28">
        <v>5</v>
      </c>
      <c r="L893" s="7">
        <v>42229</v>
      </c>
      <c r="M893" s="28">
        <f>Table11[[#This Row],[Ship Date]]-Table11[[#This Row],[Order Date]]</f>
        <v>4</v>
      </c>
      <c r="N893" s="25" t="s">
        <v>20</v>
      </c>
      <c r="O893" s="25" t="s">
        <v>23</v>
      </c>
      <c r="P893" s="25" t="s">
        <v>103</v>
      </c>
      <c r="Q893" s="25" t="s">
        <v>95</v>
      </c>
      <c r="R893" s="25" t="s">
        <v>2242</v>
      </c>
      <c r="S893" s="35">
        <v>0</v>
      </c>
      <c r="T893" s="16">
        <v>687.4</v>
      </c>
      <c r="U893" s="19">
        <v>48.118000000000002</v>
      </c>
      <c r="V893" s="56">
        <f>Table11[[#This Row],[Profit]]/Table11[[#This Row],[Sales]]</f>
        <v>7.0000000000000007E-2</v>
      </c>
    </row>
    <row r="894" spans="1:22" x14ac:dyDescent="0.2">
      <c r="A894" s="2">
        <v>893</v>
      </c>
      <c r="B894" s="5" t="s">
        <v>8522</v>
      </c>
      <c r="C894" s="6">
        <v>42225</v>
      </c>
      <c r="D894" s="27">
        <f>MONTH(Table11[[#This Row],[Order Date]])</f>
        <v>8</v>
      </c>
      <c r="E894" s="5" t="s">
        <v>5892</v>
      </c>
      <c r="F894" s="5" t="s">
        <v>5893</v>
      </c>
      <c r="G894" s="24" t="s">
        <v>28</v>
      </c>
      <c r="H894" s="24" t="s">
        <v>58</v>
      </c>
      <c r="I894" s="5" t="s">
        <v>7034</v>
      </c>
      <c r="J894" s="24" t="s">
        <v>36</v>
      </c>
      <c r="K894" s="27">
        <v>3</v>
      </c>
      <c r="L894" s="6">
        <v>42232</v>
      </c>
      <c r="M894" s="27">
        <f>Table11[[#This Row],[Ship Date]]-Table11[[#This Row],[Order Date]]</f>
        <v>7</v>
      </c>
      <c r="N894" s="24" t="s">
        <v>45</v>
      </c>
      <c r="O894" s="24" t="s">
        <v>23</v>
      </c>
      <c r="P894" s="24" t="s">
        <v>238</v>
      </c>
      <c r="Q894" s="24" t="s">
        <v>133</v>
      </c>
      <c r="R894" s="24" t="s">
        <v>237</v>
      </c>
      <c r="S894" s="34">
        <v>0</v>
      </c>
      <c r="T894" s="15">
        <v>10.02</v>
      </c>
      <c r="U894" s="18">
        <v>4.4088000000000003</v>
      </c>
      <c r="V894" s="56">
        <f>Table11[[#This Row],[Profit]]/Table11[[#This Row],[Sales]]</f>
        <v>0.44000000000000006</v>
      </c>
    </row>
    <row r="895" spans="1:22" x14ac:dyDescent="0.2">
      <c r="A895" s="4">
        <v>894</v>
      </c>
      <c r="B895" s="3" t="s">
        <v>8522</v>
      </c>
      <c r="C895" s="7">
        <v>42225</v>
      </c>
      <c r="D895" s="28">
        <f>MONTH(Table11[[#This Row],[Order Date]])</f>
        <v>8</v>
      </c>
      <c r="E895" s="3" t="s">
        <v>5210</v>
      </c>
      <c r="F895" s="3" t="s">
        <v>5211</v>
      </c>
      <c r="G895" s="25" t="s">
        <v>41</v>
      </c>
      <c r="H895" s="25" t="s">
        <v>82</v>
      </c>
      <c r="I895" s="3" t="s">
        <v>7034</v>
      </c>
      <c r="J895" s="25" t="s">
        <v>36</v>
      </c>
      <c r="K895" s="28">
        <v>3</v>
      </c>
      <c r="L895" s="7">
        <v>42232</v>
      </c>
      <c r="M895" s="28">
        <f>Table11[[#This Row],[Ship Date]]-Table11[[#This Row],[Order Date]]</f>
        <v>7</v>
      </c>
      <c r="N895" s="25" t="s">
        <v>45</v>
      </c>
      <c r="O895" s="25" t="s">
        <v>23</v>
      </c>
      <c r="P895" s="25" t="s">
        <v>238</v>
      </c>
      <c r="Q895" s="25" t="s">
        <v>133</v>
      </c>
      <c r="R895" s="25" t="s">
        <v>237</v>
      </c>
      <c r="S895" s="35">
        <v>0</v>
      </c>
      <c r="T895" s="16">
        <v>144.12</v>
      </c>
      <c r="U895" s="19">
        <v>69.177599999999998</v>
      </c>
      <c r="V895" s="56">
        <f>Table11[[#This Row],[Profit]]/Table11[[#This Row],[Sales]]</f>
        <v>0.48</v>
      </c>
    </row>
    <row r="896" spans="1:22" x14ac:dyDescent="0.2">
      <c r="A896" s="4">
        <v>895</v>
      </c>
      <c r="B896" s="5" t="s">
        <v>3745</v>
      </c>
      <c r="C896" s="6">
        <v>42226</v>
      </c>
      <c r="D896" s="27">
        <f>MONTH(Table11[[#This Row],[Order Date]])</f>
        <v>8</v>
      </c>
      <c r="E896" s="5" t="s">
        <v>1868</v>
      </c>
      <c r="F896" s="5" t="s">
        <v>1869</v>
      </c>
      <c r="G896" s="24" t="s">
        <v>41</v>
      </c>
      <c r="H896" s="24" t="s">
        <v>42</v>
      </c>
      <c r="I896" s="5" t="s">
        <v>3342</v>
      </c>
      <c r="J896" s="24" t="s">
        <v>92</v>
      </c>
      <c r="K896" s="27">
        <v>1</v>
      </c>
      <c r="L896" s="6">
        <v>42232</v>
      </c>
      <c r="M896" s="27">
        <f>Table11[[#This Row],[Ship Date]]-Table11[[#This Row],[Order Date]]</f>
        <v>6</v>
      </c>
      <c r="N896" s="24" t="s">
        <v>45</v>
      </c>
      <c r="O896" s="24" t="s">
        <v>23</v>
      </c>
      <c r="P896" s="24" t="s">
        <v>204</v>
      </c>
      <c r="Q896" s="24" t="s">
        <v>95</v>
      </c>
      <c r="R896" s="24" t="s">
        <v>203</v>
      </c>
      <c r="S896" s="34">
        <v>0</v>
      </c>
      <c r="T896" s="15">
        <v>3.75</v>
      </c>
      <c r="U896" s="18">
        <v>1.8</v>
      </c>
      <c r="V896" s="56">
        <f>Table11[[#This Row],[Profit]]/Table11[[#This Row],[Sales]]</f>
        <v>0.48000000000000004</v>
      </c>
    </row>
    <row r="897" spans="1:22" x14ac:dyDescent="0.2">
      <c r="A897" s="2">
        <v>896</v>
      </c>
      <c r="B897" s="3" t="s">
        <v>3745</v>
      </c>
      <c r="C897" s="7">
        <v>42226</v>
      </c>
      <c r="D897" s="28">
        <f>MONTH(Table11[[#This Row],[Order Date]])</f>
        <v>8</v>
      </c>
      <c r="E897" s="3" t="s">
        <v>918</v>
      </c>
      <c r="F897" s="3" t="s">
        <v>919</v>
      </c>
      <c r="G897" s="25" t="s">
        <v>41</v>
      </c>
      <c r="H897" s="25" t="s">
        <v>42</v>
      </c>
      <c r="I897" s="3" t="s">
        <v>3342</v>
      </c>
      <c r="J897" s="25" t="s">
        <v>92</v>
      </c>
      <c r="K897" s="28">
        <v>4</v>
      </c>
      <c r="L897" s="7">
        <v>42232</v>
      </c>
      <c r="M897" s="28">
        <f>Table11[[#This Row],[Ship Date]]-Table11[[#This Row],[Order Date]]</f>
        <v>6</v>
      </c>
      <c r="N897" s="25" t="s">
        <v>45</v>
      </c>
      <c r="O897" s="25" t="s">
        <v>23</v>
      </c>
      <c r="P897" s="25" t="s">
        <v>204</v>
      </c>
      <c r="Q897" s="25" t="s">
        <v>95</v>
      </c>
      <c r="R897" s="25" t="s">
        <v>203</v>
      </c>
      <c r="S897" s="35">
        <v>0</v>
      </c>
      <c r="T897" s="16">
        <v>41.4</v>
      </c>
      <c r="U897" s="19">
        <v>19.872</v>
      </c>
      <c r="V897" s="56">
        <f>Table11[[#This Row],[Profit]]/Table11[[#This Row],[Sales]]</f>
        <v>0.48000000000000004</v>
      </c>
    </row>
    <row r="898" spans="1:22" x14ac:dyDescent="0.2">
      <c r="A898" s="4">
        <v>897</v>
      </c>
      <c r="B898" s="5" t="s">
        <v>3745</v>
      </c>
      <c r="C898" s="6">
        <v>42226</v>
      </c>
      <c r="D898" s="27">
        <f>MONTH(Table11[[#This Row],[Order Date]])</f>
        <v>8</v>
      </c>
      <c r="E898" s="5" t="s">
        <v>3746</v>
      </c>
      <c r="F898" s="5" t="s">
        <v>3747</v>
      </c>
      <c r="G898" s="24" t="s">
        <v>41</v>
      </c>
      <c r="H898" s="24" t="s">
        <v>61</v>
      </c>
      <c r="I898" s="5" t="s">
        <v>3342</v>
      </c>
      <c r="J898" s="24" t="s">
        <v>92</v>
      </c>
      <c r="K898" s="27">
        <v>3</v>
      </c>
      <c r="L898" s="6">
        <v>42232</v>
      </c>
      <c r="M898" s="27">
        <f>Table11[[#This Row],[Ship Date]]-Table11[[#This Row],[Order Date]]</f>
        <v>6</v>
      </c>
      <c r="N898" s="24" t="s">
        <v>45</v>
      </c>
      <c r="O898" s="24" t="s">
        <v>23</v>
      </c>
      <c r="P898" s="24" t="s">
        <v>204</v>
      </c>
      <c r="Q898" s="24" t="s">
        <v>95</v>
      </c>
      <c r="R898" s="24" t="s">
        <v>203</v>
      </c>
      <c r="S898" s="34">
        <v>0</v>
      </c>
      <c r="T898" s="15">
        <v>29.79</v>
      </c>
      <c r="U898" s="18">
        <v>12.511799999999999</v>
      </c>
      <c r="V898" s="56">
        <f>Table11[[#This Row],[Profit]]/Table11[[#This Row],[Sales]]</f>
        <v>0.42</v>
      </c>
    </row>
    <row r="899" spans="1:22" x14ac:dyDescent="0.2">
      <c r="A899" s="4">
        <v>898</v>
      </c>
      <c r="B899" s="3" t="s">
        <v>8236</v>
      </c>
      <c r="C899" s="7">
        <v>42226</v>
      </c>
      <c r="D899" s="28">
        <f>MONTH(Table11[[#This Row],[Order Date]])</f>
        <v>8</v>
      </c>
      <c r="E899" s="3" t="s">
        <v>2824</v>
      </c>
      <c r="F899" s="3" t="s">
        <v>2825</v>
      </c>
      <c r="G899" s="25" t="s">
        <v>64</v>
      </c>
      <c r="H899" s="25" t="s">
        <v>65</v>
      </c>
      <c r="I899" s="3" t="s">
        <v>4484</v>
      </c>
      <c r="J899" s="25" t="s">
        <v>22</v>
      </c>
      <c r="K899" s="28">
        <v>4</v>
      </c>
      <c r="L899" s="7">
        <v>42232</v>
      </c>
      <c r="M899" s="28">
        <f>Table11[[#This Row],[Ship Date]]-Table11[[#This Row],[Order Date]]</f>
        <v>6</v>
      </c>
      <c r="N899" s="25" t="s">
        <v>45</v>
      </c>
      <c r="O899" s="25" t="s">
        <v>23</v>
      </c>
      <c r="P899" s="25" t="s">
        <v>374</v>
      </c>
      <c r="Q899" s="25" t="s">
        <v>39</v>
      </c>
      <c r="R899" s="25" t="s">
        <v>4049</v>
      </c>
      <c r="S899" s="35">
        <v>0.2</v>
      </c>
      <c r="T899" s="16">
        <v>438.36799999999999</v>
      </c>
      <c r="U899" s="19">
        <v>38.357199999999999</v>
      </c>
      <c r="V899" s="56">
        <f>Table11[[#This Row],[Profit]]/Table11[[#This Row],[Sales]]</f>
        <v>8.7499999999999994E-2</v>
      </c>
    </row>
    <row r="900" spans="1:22" x14ac:dyDescent="0.2">
      <c r="A900" s="2">
        <v>899</v>
      </c>
      <c r="B900" s="5" t="s">
        <v>8236</v>
      </c>
      <c r="C900" s="6">
        <v>42226</v>
      </c>
      <c r="D900" s="27">
        <f>MONTH(Table11[[#This Row],[Order Date]])</f>
        <v>8</v>
      </c>
      <c r="E900" s="5" t="s">
        <v>2666</v>
      </c>
      <c r="F900" s="5" t="s">
        <v>2667</v>
      </c>
      <c r="G900" s="24" t="s">
        <v>64</v>
      </c>
      <c r="H900" s="24" t="s">
        <v>65</v>
      </c>
      <c r="I900" s="5" t="s">
        <v>4484</v>
      </c>
      <c r="J900" s="24" t="s">
        <v>22</v>
      </c>
      <c r="K900" s="27">
        <v>7</v>
      </c>
      <c r="L900" s="6">
        <v>42232</v>
      </c>
      <c r="M900" s="27">
        <f>Table11[[#This Row],[Ship Date]]-Table11[[#This Row],[Order Date]]</f>
        <v>6</v>
      </c>
      <c r="N900" s="24" t="s">
        <v>45</v>
      </c>
      <c r="O900" s="24" t="s">
        <v>23</v>
      </c>
      <c r="P900" s="24" t="s">
        <v>374</v>
      </c>
      <c r="Q900" s="24" t="s">
        <v>39</v>
      </c>
      <c r="R900" s="24" t="s">
        <v>4049</v>
      </c>
      <c r="S900" s="34">
        <v>0.2</v>
      </c>
      <c r="T900" s="15">
        <v>139.94399999999999</v>
      </c>
      <c r="U900" s="18">
        <v>-31.487400000000001</v>
      </c>
      <c r="V900" s="56">
        <f>Table11[[#This Row],[Profit]]/Table11[[#This Row],[Sales]]</f>
        <v>-0.22500000000000003</v>
      </c>
    </row>
    <row r="901" spans="1:22" x14ac:dyDescent="0.2">
      <c r="A901" s="4">
        <v>900</v>
      </c>
      <c r="B901" s="3" t="s">
        <v>8236</v>
      </c>
      <c r="C901" s="7">
        <v>42226</v>
      </c>
      <c r="D901" s="28">
        <f>MONTH(Table11[[#This Row],[Order Date]])</f>
        <v>8</v>
      </c>
      <c r="E901" s="3" t="s">
        <v>2005</v>
      </c>
      <c r="F901" s="3" t="s">
        <v>2006</v>
      </c>
      <c r="G901" s="25" t="s">
        <v>41</v>
      </c>
      <c r="H901" s="25" t="s">
        <v>71</v>
      </c>
      <c r="I901" s="3" t="s">
        <v>4484</v>
      </c>
      <c r="J901" s="25" t="s">
        <v>22</v>
      </c>
      <c r="K901" s="28">
        <v>4</v>
      </c>
      <c r="L901" s="7">
        <v>42232</v>
      </c>
      <c r="M901" s="28">
        <f>Table11[[#This Row],[Ship Date]]-Table11[[#This Row],[Order Date]]</f>
        <v>6</v>
      </c>
      <c r="N901" s="25" t="s">
        <v>45</v>
      </c>
      <c r="O901" s="25" t="s">
        <v>23</v>
      </c>
      <c r="P901" s="25" t="s">
        <v>374</v>
      </c>
      <c r="Q901" s="25" t="s">
        <v>39</v>
      </c>
      <c r="R901" s="25" t="s">
        <v>4049</v>
      </c>
      <c r="S901" s="35">
        <v>0.2</v>
      </c>
      <c r="T901" s="16">
        <v>133.47200000000001</v>
      </c>
      <c r="U901" s="19">
        <v>15.015599999999999</v>
      </c>
      <c r="V901" s="56">
        <f>Table11[[#This Row],[Profit]]/Table11[[#This Row],[Sales]]</f>
        <v>0.11249999999999999</v>
      </c>
    </row>
    <row r="902" spans="1:22" x14ac:dyDescent="0.2">
      <c r="A902" s="4">
        <v>901</v>
      </c>
      <c r="B902" s="5" t="s">
        <v>8634</v>
      </c>
      <c r="C902" s="6">
        <v>42226</v>
      </c>
      <c r="D902" s="27">
        <f>MONTH(Table11[[#This Row],[Order Date]])</f>
        <v>8</v>
      </c>
      <c r="E902" s="5" t="s">
        <v>1947</v>
      </c>
      <c r="F902" s="5" t="s">
        <v>3180</v>
      </c>
      <c r="G902" s="24" t="s">
        <v>41</v>
      </c>
      <c r="H902" s="24" t="s">
        <v>68</v>
      </c>
      <c r="I902" s="5" t="s">
        <v>1655</v>
      </c>
      <c r="J902" s="24" t="s">
        <v>22</v>
      </c>
      <c r="K902" s="27">
        <v>5</v>
      </c>
      <c r="L902" s="6">
        <v>42230</v>
      </c>
      <c r="M902" s="27">
        <f>Table11[[#This Row],[Ship Date]]-Table11[[#This Row],[Order Date]]</f>
        <v>4</v>
      </c>
      <c r="N902" s="24" t="s">
        <v>45</v>
      </c>
      <c r="O902" s="24" t="s">
        <v>23</v>
      </c>
      <c r="P902" s="24" t="s">
        <v>212</v>
      </c>
      <c r="Q902" s="24" t="s">
        <v>95</v>
      </c>
      <c r="R902" s="24" t="s">
        <v>775</v>
      </c>
      <c r="S902" s="34">
        <v>0</v>
      </c>
      <c r="T902" s="15">
        <v>64.75</v>
      </c>
      <c r="U902" s="18">
        <v>29.137499999999999</v>
      </c>
      <c r="V902" s="56">
        <f>Table11[[#This Row],[Profit]]/Table11[[#This Row],[Sales]]</f>
        <v>0.45</v>
      </c>
    </row>
    <row r="903" spans="1:22" x14ac:dyDescent="0.2">
      <c r="A903" s="2">
        <v>902</v>
      </c>
      <c r="B903" s="3" t="s">
        <v>7700</v>
      </c>
      <c r="C903" s="7">
        <v>42227</v>
      </c>
      <c r="D903" s="28">
        <f>MONTH(Table11[[#This Row],[Order Date]])</f>
        <v>8</v>
      </c>
      <c r="E903" s="3" t="s">
        <v>3490</v>
      </c>
      <c r="F903" s="3" t="s">
        <v>5133</v>
      </c>
      <c r="G903" s="25" t="s">
        <v>28</v>
      </c>
      <c r="H903" s="25" t="s">
        <v>58</v>
      </c>
      <c r="I903" s="3" t="s">
        <v>7701</v>
      </c>
      <c r="J903" s="25" t="s">
        <v>22</v>
      </c>
      <c r="K903" s="28">
        <v>3</v>
      </c>
      <c r="L903" s="7">
        <v>42232</v>
      </c>
      <c r="M903" s="28">
        <f>Table11[[#This Row],[Ship Date]]-Table11[[#This Row],[Order Date]]</f>
        <v>5</v>
      </c>
      <c r="N903" s="25" t="s">
        <v>45</v>
      </c>
      <c r="O903" s="25" t="s">
        <v>23</v>
      </c>
      <c r="P903" s="25" t="s">
        <v>80</v>
      </c>
      <c r="Q903" s="25" t="s">
        <v>26</v>
      </c>
      <c r="R903" s="25" t="s">
        <v>4054</v>
      </c>
      <c r="S903" s="35">
        <v>0.2</v>
      </c>
      <c r="T903" s="16">
        <v>46.152000000000001</v>
      </c>
      <c r="U903" s="19">
        <v>12.1149</v>
      </c>
      <c r="V903" s="56">
        <f>Table11[[#This Row],[Profit]]/Table11[[#This Row],[Sales]]</f>
        <v>0.26250000000000001</v>
      </c>
    </row>
    <row r="904" spans="1:22" x14ac:dyDescent="0.2">
      <c r="A904" s="4">
        <v>903</v>
      </c>
      <c r="B904" s="5" t="s">
        <v>8563</v>
      </c>
      <c r="C904" s="6">
        <v>42227</v>
      </c>
      <c r="D904" s="27">
        <f>MONTH(Table11[[#This Row],[Order Date]])</f>
        <v>8</v>
      </c>
      <c r="E904" s="5" t="s">
        <v>908</v>
      </c>
      <c r="F904" s="5" t="s">
        <v>909</v>
      </c>
      <c r="G904" s="24" t="s">
        <v>41</v>
      </c>
      <c r="H904" s="24" t="s">
        <v>61</v>
      </c>
      <c r="I904" s="5" t="s">
        <v>1351</v>
      </c>
      <c r="J904" s="24" t="s">
        <v>92</v>
      </c>
      <c r="K904" s="27">
        <v>2</v>
      </c>
      <c r="L904" s="6">
        <v>42231</v>
      </c>
      <c r="M904" s="27">
        <f>Table11[[#This Row],[Ship Date]]-Table11[[#This Row],[Order Date]]</f>
        <v>4</v>
      </c>
      <c r="N904" s="24" t="s">
        <v>45</v>
      </c>
      <c r="O904" s="24" t="s">
        <v>23</v>
      </c>
      <c r="P904" s="24" t="s">
        <v>238</v>
      </c>
      <c r="Q904" s="24" t="s">
        <v>133</v>
      </c>
      <c r="R904" s="24" t="s">
        <v>237</v>
      </c>
      <c r="S904" s="34">
        <v>0</v>
      </c>
      <c r="T904" s="15">
        <v>11.96</v>
      </c>
      <c r="U904" s="18">
        <v>3.1095999999999999</v>
      </c>
      <c r="V904" s="56">
        <f>Table11[[#This Row],[Profit]]/Table11[[#This Row],[Sales]]</f>
        <v>0.25999999999999995</v>
      </c>
    </row>
    <row r="905" spans="1:22" x14ac:dyDescent="0.2">
      <c r="A905" s="4">
        <v>904</v>
      </c>
      <c r="B905" s="3" t="s">
        <v>8563</v>
      </c>
      <c r="C905" s="7">
        <v>42227</v>
      </c>
      <c r="D905" s="28">
        <f>MONTH(Table11[[#This Row],[Order Date]])</f>
        <v>8</v>
      </c>
      <c r="E905" s="3" t="s">
        <v>1064</v>
      </c>
      <c r="F905" s="3" t="s">
        <v>1065</v>
      </c>
      <c r="G905" s="25" t="s">
        <v>64</v>
      </c>
      <c r="H905" s="25" t="s">
        <v>65</v>
      </c>
      <c r="I905" s="3" t="s">
        <v>1351</v>
      </c>
      <c r="J905" s="25" t="s">
        <v>92</v>
      </c>
      <c r="K905" s="28">
        <v>2</v>
      </c>
      <c r="L905" s="7">
        <v>42231</v>
      </c>
      <c r="M905" s="28">
        <f>Table11[[#This Row],[Ship Date]]-Table11[[#This Row],[Order Date]]</f>
        <v>4</v>
      </c>
      <c r="N905" s="25" t="s">
        <v>45</v>
      </c>
      <c r="O905" s="25" t="s">
        <v>23</v>
      </c>
      <c r="P905" s="25" t="s">
        <v>238</v>
      </c>
      <c r="Q905" s="25" t="s">
        <v>133</v>
      </c>
      <c r="R905" s="25" t="s">
        <v>237</v>
      </c>
      <c r="S905" s="35">
        <v>0</v>
      </c>
      <c r="T905" s="16">
        <v>138</v>
      </c>
      <c r="U905" s="19">
        <v>34.5</v>
      </c>
      <c r="V905" s="56">
        <f>Table11[[#This Row],[Profit]]/Table11[[#This Row],[Sales]]</f>
        <v>0.25</v>
      </c>
    </row>
    <row r="906" spans="1:22" x14ac:dyDescent="0.2">
      <c r="A906" s="2">
        <v>905</v>
      </c>
      <c r="B906" s="5" t="s">
        <v>5856</v>
      </c>
      <c r="C906" s="6">
        <v>42229</v>
      </c>
      <c r="D906" s="27">
        <f>MONTH(Table11[[#This Row],[Order Date]])</f>
        <v>8</v>
      </c>
      <c r="E906" s="5" t="s">
        <v>1387</v>
      </c>
      <c r="F906" s="5" t="s">
        <v>1388</v>
      </c>
      <c r="G906" s="24" t="s">
        <v>41</v>
      </c>
      <c r="H906" s="24" t="s">
        <v>61</v>
      </c>
      <c r="I906" s="5" t="s">
        <v>202</v>
      </c>
      <c r="J906" s="24" t="s">
        <v>36</v>
      </c>
      <c r="K906" s="27">
        <v>5</v>
      </c>
      <c r="L906" s="6">
        <v>42236</v>
      </c>
      <c r="M906" s="27">
        <f>Table11[[#This Row],[Ship Date]]-Table11[[#This Row],[Order Date]]</f>
        <v>7</v>
      </c>
      <c r="N906" s="24" t="s">
        <v>45</v>
      </c>
      <c r="O906" s="24" t="s">
        <v>23</v>
      </c>
      <c r="P906" s="24" t="s">
        <v>38</v>
      </c>
      <c r="Q906" s="24" t="s">
        <v>39</v>
      </c>
      <c r="R906" s="24" t="s">
        <v>5857</v>
      </c>
      <c r="S906" s="34">
        <v>0</v>
      </c>
      <c r="T906" s="15">
        <v>50.8</v>
      </c>
      <c r="U906" s="18">
        <v>13.208</v>
      </c>
      <c r="V906" s="56">
        <f>Table11[[#This Row],[Profit]]/Table11[[#This Row],[Sales]]</f>
        <v>0.26</v>
      </c>
    </row>
    <row r="907" spans="1:22" x14ac:dyDescent="0.2">
      <c r="A907" s="4">
        <v>906</v>
      </c>
      <c r="B907" s="3" t="s">
        <v>7035</v>
      </c>
      <c r="C907" s="7">
        <v>42229</v>
      </c>
      <c r="D907" s="28">
        <f>MONTH(Table11[[#This Row],[Order Date]])</f>
        <v>8</v>
      </c>
      <c r="E907" s="3" t="s">
        <v>2134</v>
      </c>
      <c r="F907" s="3" t="s">
        <v>2135</v>
      </c>
      <c r="G907" s="25" t="s">
        <v>41</v>
      </c>
      <c r="H907" s="25" t="s">
        <v>68</v>
      </c>
      <c r="I907" s="3" t="s">
        <v>1795</v>
      </c>
      <c r="J907" s="25" t="s">
        <v>22</v>
      </c>
      <c r="K907" s="28">
        <v>3</v>
      </c>
      <c r="L907" s="7">
        <v>42233</v>
      </c>
      <c r="M907" s="28">
        <f>Table11[[#This Row],[Ship Date]]-Table11[[#This Row],[Order Date]]</f>
        <v>4</v>
      </c>
      <c r="N907" s="25" t="s">
        <v>45</v>
      </c>
      <c r="O907" s="25" t="s">
        <v>23</v>
      </c>
      <c r="P907" s="25" t="s">
        <v>1125</v>
      </c>
      <c r="Q907" s="25" t="s">
        <v>26</v>
      </c>
      <c r="R907" s="25" t="s">
        <v>7036</v>
      </c>
      <c r="S907" s="35">
        <v>0</v>
      </c>
      <c r="T907" s="16">
        <v>5.64</v>
      </c>
      <c r="U907" s="19">
        <v>2.7071999999999998</v>
      </c>
      <c r="V907" s="56">
        <f>Table11[[#This Row],[Profit]]/Table11[[#This Row],[Sales]]</f>
        <v>0.48</v>
      </c>
    </row>
    <row r="908" spans="1:22" x14ac:dyDescent="0.2">
      <c r="A908" s="4">
        <v>907</v>
      </c>
      <c r="B908" s="5" t="s">
        <v>8015</v>
      </c>
      <c r="C908" s="6">
        <v>42229</v>
      </c>
      <c r="D908" s="27">
        <f>MONTH(Table11[[#This Row],[Order Date]])</f>
        <v>8</v>
      </c>
      <c r="E908" s="5" t="s">
        <v>2750</v>
      </c>
      <c r="F908" s="5" t="s">
        <v>2751</v>
      </c>
      <c r="G908" s="24" t="s">
        <v>41</v>
      </c>
      <c r="H908" s="24" t="s">
        <v>68</v>
      </c>
      <c r="I908" s="5" t="s">
        <v>1965</v>
      </c>
      <c r="J908" s="24" t="s">
        <v>22</v>
      </c>
      <c r="K908" s="27">
        <v>4</v>
      </c>
      <c r="L908" s="6">
        <v>42233</v>
      </c>
      <c r="M908" s="27">
        <f>Table11[[#This Row],[Ship Date]]-Table11[[#This Row],[Order Date]]</f>
        <v>4</v>
      </c>
      <c r="N908" s="24" t="s">
        <v>20</v>
      </c>
      <c r="O908" s="24" t="s">
        <v>23</v>
      </c>
      <c r="P908" s="24" t="s">
        <v>226</v>
      </c>
      <c r="Q908" s="24" t="s">
        <v>95</v>
      </c>
      <c r="R908" s="24" t="s">
        <v>1294</v>
      </c>
      <c r="S908" s="34">
        <v>0</v>
      </c>
      <c r="T908" s="15">
        <v>11.36</v>
      </c>
      <c r="U908" s="18">
        <v>5.5663999999999998</v>
      </c>
      <c r="V908" s="56">
        <f>Table11[[#This Row],[Profit]]/Table11[[#This Row],[Sales]]</f>
        <v>0.49</v>
      </c>
    </row>
    <row r="909" spans="1:22" x14ac:dyDescent="0.2">
      <c r="A909" s="2">
        <v>908</v>
      </c>
      <c r="B909" s="3" t="s">
        <v>8768</v>
      </c>
      <c r="C909" s="7">
        <v>42229</v>
      </c>
      <c r="D909" s="28">
        <f>MONTH(Table11[[#This Row],[Order Date]])</f>
        <v>8</v>
      </c>
      <c r="E909" s="3" t="s">
        <v>2462</v>
      </c>
      <c r="F909" s="3" t="s">
        <v>2463</v>
      </c>
      <c r="G909" s="25" t="s">
        <v>41</v>
      </c>
      <c r="H909" s="25" t="s">
        <v>53</v>
      </c>
      <c r="I909" s="3" t="s">
        <v>6228</v>
      </c>
      <c r="J909" s="25" t="s">
        <v>22</v>
      </c>
      <c r="K909" s="28">
        <v>3</v>
      </c>
      <c r="L909" s="7">
        <v>42232</v>
      </c>
      <c r="M909" s="28">
        <f>Table11[[#This Row],[Ship Date]]-Table11[[#This Row],[Order Date]]</f>
        <v>3</v>
      </c>
      <c r="N909" s="25" t="s">
        <v>169</v>
      </c>
      <c r="O909" s="25" t="s">
        <v>23</v>
      </c>
      <c r="P909" s="25" t="s">
        <v>132</v>
      </c>
      <c r="Q909" s="25" t="s">
        <v>133</v>
      </c>
      <c r="R909" s="25" t="s">
        <v>131</v>
      </c>
      <c r="S909" s="35">
        <v>0.2</v>
      </c>
      <c r="T909" s="16">
        <v>422.85599999999999</v>
      </c>
      <c r="U909" s="19">
        <v>15.857100000000001</v>
      </c>
      <c r="V909" s="56">
        <f>Table11[[#This Row],[Profit]]/Table11[[#This Row],[Sales]]</f>
        <v>3.7500000000000006E-2</v>
      </c>
    </row>
    <row r="910" spans="1:22" x14ac:dyDescent="0.2">
      <c r="A910" s="4">
        <v>909</v>
      </c>
      <c r="B910" s="5" t="s">
        <v>9921</v>
      </c>
      <c r="C910" s="6">
        <v>42229</v>
      </c>
      <c r="D910" s="27">
        <f>MONTH(Table11[[#This Row],[Order Date]])</f>
        <v>8</v>
      </c>
      <c r="E910" s="5" t="s">
        <v>4152</v>
      </c>
      <c r="F910" s="5" t="s">
        <v>4153</v>
      </c>
      <c r="G910" s="24" t="s">
        <v>28</v>
      </c>
      <c r="H910" s="24" t="s">
        <v>58</v>
      </c>
      <c r="I910" s="5" t="s">
        <v>130</v>
      </c>
      <c r="J910" s="24" t="s">
        <v>22</v>
      </c>
      <c r="K910" s="27">
        <v>3</v>
      </c>
      <c r="L910" s="6">
        <v>42229</v>
      </c>
      <c r="M910" s="27">
        <f>Table11[[#This Row],[Ship Date]]-Table11[[#This Row],[Order Date]]</f>
        <v>0</v>
      </c>
      <c r="N910" s="24" t="s">
        <v>1141</v>
      </c>
      <c r="O910" s="24" t="s">
        <v>23</v>
      </c>
      <c r="P910" s="24" t="s">
        <v>38</v>
      </c>
      <c r="Q910" s="24" t="s">
        <v>39</v>
      </c>
      <c r="R910" s="24" t="s">
        <v>3563</v>
      </c>
      <c r="S910" s="34">
        <v>0</v>
      </c>
      <c r="T910" s="15">
        <v>31.56</v>
      </c>
      <c r="U910" s="18">
        <v>10.4148</v>
      </c>
      <c r="V910" s="56">
        <f>Table11[[#This Row],[Profit]]/Table11[[#This Row],[Sales]]</f>
        <v>0.33</v>
      </c>
    </row>
    <row r="911" spans="1:22" x14ac:dyDescent="0.2">
      <c r="A911" s="4">
        <v>910</v>
      </c>
      <c r="B911" s="3" t="s">
        <v>9978</v>
      </c>
      <c r="C911" s="7">
        <v>42229</v>
      </c>
      <c r="D911" s="28">
        <f>MONTH(Table11[[#This Row],[Order Date]])</f>
        <v>8</v>
      </c>
      <c r="E911" s="3" t="s">
        <v>4168</v>
      </c>
      <c r="F911" s="3" t="s">
        <v>4169</v>
      </c>
      <c r="G911" s="25" t="s">
        <v>41</v>
      </c>
      <c r="H911" s="25" t="s">
        <v>61</v>
      </c>
      <c r="I911" s="3" t="s">
        <v>1041</v>
      </c>
      <c r="J911" s="25" t="s">
        <v>36</v>
      </c>
      <c r="K911" s="28">
        <v>7</v>
      </c>
      <c r="L911" s="7">
        <v>42231</v>
      </c>
      <c r="M911" s="28">
        <f>Table11[[#This Row],[Ship Date]]-Table11[[#This Row],[Order Date]]</f>
        <v>2</v>
      </c>
      <c r="N911" s="25" t="s">
        <v>169</v>
      </c>
      <c r="O911" s="25" t="s">
        <v>23</v>
      </c>
      <c r="P911" s="25" t="s">
        <v>80</v>
      </c>
      <c r="Q911" s="25" t="s">
        <v>26</v>
      </c>
      <c r="R911" s="25" t="s">
        <v>3963</v>
      </c>
      <c r="S911" s="35">
        <v>0.2</v>
      </c>
      <c r="T911" s="16">
        <v>64.680000000000007</v>
      </c>
      <c r="U911" s="19">
        <v>8.0850000000000009</v>
      </c>
      <c r="V911" s="56">
        <f>Table11[[#This Row],[Profit]]/Table11[[#This Row],[Sales]]</f>
        <v>0.125</v>
      </c>
    </row>
    <row r="912" spans="1:22" x14ac:dyDescent="0.2">
      <c r="A912" s="2">
        <v>911</v>
      </c>
      <c r="B912" s="5" t="s">
        <v>5120</v>
      </c>
      <c r="C912" s="6">
        <v>42231</v>
      </c>
      <c r="D912" s="27">
        <f>MONTH(Table11[[#This Row],[Order Date]])</f>
        <v>8</v>
      </c>
      <c r="E912" s="5" t="s">
        <v>2640</v>
      </c>
      <c r="F912" s="5" t="s">
        <v>2641</v>
      </c>
      <c r="G912" s="24" t="s">
        <v>41</v>
      </c>
      <c r="H912" s="24" t="s">
        <v>53</v>
      </c>
      <c r="I912" s="5" t="s">
        <v>5121</v>
      </c>
      <c r="J912" s="24" t="s">
        <v>36</v>
      </c>
      <c r="K912" s="27">
        <v>2</v>
      </c>
      <c r="L912" s="6">
        <v>42235</v>
      </c>
      <c r="M912" s="27">
        <f>Table11[[#This Row],[Ship Date]]-Table11[[#This Row],[Order Date]]</f>
        <v>4</v>
      </c>
      <c r="N912" s="24" t="s">
        <v>45</v>
      </c>
      <c r="O912" s="24" t="s">
        <v>23</v>
      </c>
      <c r="P912" s="24" t="s">
        <v>38</v>
      </c>
      <c r="Q912" s="24" t="s">
        <v>39</v>
      </c>
      <c r="R912" s="24" t="s">
        <v>37</v>
      </c>
      <c r="S912" s="34">
        <v>0</v>
      </c>
      <c r="T912" s="15">
        <v>323.10000000000002</v>
      </c>
      <c r="U912" s="18">
        <v>61.389000000000003</v>
      </c>
      <c r="V912" s="56">
        <f>Table11[[#This Row],[Profit]]/Table11[[#This Row],[Sales]]</f>
        <v>0.19</v>
      </c>
    </row>
    <row r="913" spans="1:22" x14ac:dyDescent="0.2">
      <c r="A913" s="4">
        <v>912</v>
      </c>
      <c r="B913" s="3" t="s">
        <v>7306</v>
      </c>
      <c r="C913" s="7">
        <v>42231</v>
      </c>
      <c r="D913" s="28">
        <f>MONTH(Table11[[#This Row],[Order Date]])</f>
        <v>8</v>
      </c>
      <c r="E913" s="3" t="s">
        <v>3260</v>
      </c>
      <c r="F913" s="3" t="s">
        <v>3261</v>
      </c>
      <c r="G913" s="25" t="s">
        <v>28</v>
      </c>
      <c r="H913" s="25" t="s">
        <v>58</v>
      </c>
      <c r="I913" s="3" t="s">
        <v>5596</v>
      </c>
      <c r="J913" s="25" t="s">
        <v>22</v>
      </c>
      <c r="K913" s="28">
        <v>7</v>
      </c>
      <c r="L913" s="7">
        <v>42235</v>
      </c>
      <c r="M913" s="28">
        <f>Table11[[#This Row],[Ship Date]]-Table11[[#This Row],[Order Date]]</f>
        <v>4</v>
      </c>
      <c r="N913" s="25" t="s">
        <v>45</v>
      </c>
      <c r="O913" s="25" t="s">
        <v>23</v>
      </c>
      <c r="P913" s="25" t="s">
        <v>38</v>
      </c>
      <c r="Q913" s="25" t="s">
        <v>39</v>
      </c>
      <c r="R913" s="25" t="s">
        <v>2815</v>
      </c>
      <c r="S913" s="35">
        <v>0</v>
      </c>
      <c r="T913" s="16">
        <v>104.23</v>
      </c>
      <c r="U913" s="19">
        <v>28.142099999999999</v>
      </c>
      <c r="V913" s="56">
        <f>Table11[[#This Row],[Profit]]/Table11[[#This Row],[Sales]]</f>
        <v>0.26999999999999996</v>
      </c>
    </row>
    <row r="914" spans="1:22" x14ac:dyDescent="0.2">
      <c r="A914" s="4">
        <v>913</v>
      </c>
      <c r="B914" s="5" t="s">
        <v>7306</v>
      </c>
      <c r="C914" s="6">
        <v>42231</v>
      </c>
      <c r="D914" s="27">
        <f>MONTH(Table11[[#This Row],[Order Date]])</f>
        <v>8</v>
      </c>
      <c r="E914" s="5" t="s">
        <v>4450</v>
      </c>
      <c r="F914" s="5" t="s">
        <v>4451</v>
      </c>
      <c r="G914" s="24" t="s">
        <v>41</v>
      </c>
      <c r="H914" s="24" t="s">
        <v>53</v>
      </c>
      <c r="I914" s="5" t="s">
        <v>5596</v>
      </c>
      <c r="J914" s="24" t="s">
        <v>22</v>
      </c>
      <c r="K914" s="27">
        <v>3</v>
      </c>
      <c r="L914" s="6">
        <v>42235</v>
      </c>
      <c r="M914" s="27">
        <f>Table11[[#This Row],[Ship Date]]-Table11[[#This Row],[Order Date]]</f>
        <v>4</v>
      </c>
      <c r="N914" s="24" t="s">
        <v>45</v>
      </c>
      <c r="O914" s="24" t="s">
        <v>23</v>
      </c>
      <c r="P914" s="24" t="s">
        <v>38</v>
      </c>
      <c r="Q914" s="24" t="s">
        <v>39</v>
      </c>
      <c r="R914" s="24" t="s">
        <v>2815</v>
      </c>
      <c r="S914" s="34">
        <v>0</v>
      </c>
      <c r="T914" s="15">
        <v>70.260000000000005</v>
      </c>
      <c r="U914" s="18">
        <v>18.970199999999998</v>
      </c>
      <c r="V914" s="56">
        <f>Table11[[#This Row],[Profit]]/Table11[[#This Row],[Sales]]</f>
        <v>0.26999999999999996</v>
      </c>
    </row>
    <row r="915" spans="1:22" x14ac:dyDescent="0.2">
      <c r="A915" s="2">
        <v>914</v>
      </c>
      <c r="B915" s="3" t="s">
        <v>5015</v>
      </c>
      <c r="C915" s="7">
        <v>42232</v>
      </c>
      <c r="D915" s="28">
        <f>MONTH(Table11[[#This Row],[Order Date]])</f>
        <v>8</v>
      </c>
      <c r="E915" s="3" t="s">
        <v>2846</v>
      </c>
      <c r="F915" s="3" t="s">
        <v>2847</v>
      </c>
      <c r="G915" s="25" t="s">
        <v>41</v>
      </c>
      <c r="H915" s="25" t="s">
        <v>61</v>
      </c>
      <c r="I915" s="3" t="s">
        <v>4953</v>
      </c>
      <c r="J915" s="25" t="s">
        <v>22</v>
      </c>
      <c r="K915" s="28">
        <v>1</v>
      </c>
      <c r="L915" s="7">
        <v>42238</v>
      </c>
      <c r="M915" s="28">
        <f>Table11[[#This Row],[Ship Date]]-Table11[[#This Row],[Order Date]]</f>
        <v>6</v>
      </c>
      <c r="N915" s="25" t="s">
        <v>45</v>
      </c>
      <c r="O915" s="25" t="s">
        <v>23</v>
      </c>
      <c r="P915" s="25" t="s">
        <v>277</v>
      </c>
      <c r="Q915" s="25" t="s">
        <v>39</v>
      </c>
      <c r="R915" s="25" t="s">
        <v>481</v>
      </c>
      <c r="S915" s="35">
        <v>0.2</v>
      </c>
      <c r="T915" s="16">
        <v>2.3039999999999998</v>
      </c>
      <c r="U915" s="19">
        <v>0.25919999999999999</v>
      </c>
      <c r="V915" s="56">
        <f>Table11[[#This Row],[Profit]]/Table11[[#This Row],[Sales]]</f>
        <v>0.1125</v>
      </c>
    </row>
    <row r="916" spans="1:22" x14ac:dyDescent="0.2">
      <c r="A916" s="4">
        <v>915</v>
      </c>
      <c r="B916" s="5" t="s">
        <v>5015</v>
      </c>
      <c r="C916" s="6">
        <v>42232</v>
      </c>
      <c r="D916" s="27">
        <f>MONTH(Table11[[#This Row],[Order Date]])</f>
        <v>8</v>
      </c>
      <c r="E916" s="5" t="s">
        <v>4055</v>
      </c>
      <c r="F916" s="5" t="s">
        <v>4056</v>
      </c>
      <c r="G916" s="24" t="s">
        <v>64</v>
      </c>
      <c r="H916" s="24" t="s">
        <v>65</v>
      </c>
      <c r="I916" s="5" t="s">
        <v>4953</v>
      </c>
      <c r="J916" s="24" t="s">
        <v>22</v>
      </c>
      <c r="K916" s="27">
        <v>5</v>
      </c>
      <c r="L916" s="6">
        <v>42238</v>
      </c>
      <c r="M916" s="27">
        <f>Table11[[#This Row],[Ship Date]]-Table11[[#This Row],[Order Date]]</f>
        <v>6</v>
      </c>
      <c r="N916" s="24" t="s">
        <v>45</v>
      </c>
      <c r="O916" s="24" t="s">
        <v>23</v>
      </c>
      <c r="P916" s="24" t="s">
        <v>277</v>
      </c>
      <c r="Q916" s="24" t="s">
        <v>39</v>
      </c>
      <c r="R916" s="24" t="s">
        <v>481</v>
      </c>
      <c r="S916" s="34">
        <v>0.2</v>
      </c>
      <c r="T916" s="15">
        <v>1879.96</v>
      </c>
      <c r="U916" s="18">
        <v>211.49549999999999</v>
      </c>
      <c r="V916" s="56">
        <f>Table11[[#This Row],[Profit]]/Table11[[#This Row],[Sales]]</f>
        <v>0.11249999999999999</v>
      </c>
    </row>
    <row r="917" spans="1:22" x14ac:dyDescent="0.2">
      <c r="A917" s="4">
        <v>916</v>
      </c>
      <c r="B917" s="3" t="s">
        <v>5015</v>
      </c>
      <c r="C917" s="7">
        <v>42232</v>
      </c>
      <c r="D917" s="28">
        <f>MONTH(Table11[[#This Row],[Order Date]])</f>
        <v>8</v>
      </c>
      <c r="E917" s="3" t="s">
        <v>4203</v>
      </c>
      <c r="F917" s="3" t="s">
        <v>4204</v>
      </c>
      <c r="G917" s="25" t="s">
        <v>41</v>
      </c>
      <c r="H917" s="25" t="s">
        <v>82</v>
      </c>
      <c r="I917" s="3" t="s">
        <v>4953</v>
      </c>
      <c r="J917" s="25" t="s">
        <v>22</v>
      </c>
      <c r="K917" s="28">
        <v>8</v>
      </c>
      <c r="L917" s="7">
        <v>42238</v>
      </c>
      <c r="M917" s="28">
        <f>Table11[[#This Row],[Ship Date]]-Table11[[#This Row],[Order Date]]</f>
        <v>6</v>
      </c>
      <c r="N917" s="25" t="s">
        <v>45</v>
      </c>
      <c r="O917" s="25" t="s">
        <v>23</v>
      </c>
      <c r="P917" s="25" t="s">
        <v>277</v>
      </c>
      <c r="Q917" s="25" t="s">
        <v>39</v>
      </c>
      <c r="R917" s="25" t="s">
        <v>481</v>
      </c>
      <c r="S917" s="35">
        <v>0.2</v>
      </c>
      <c r="T917" s="16">
        <v>313.024</v>
      </c>
      <c r="U917" s="19">
        <v>105.6456</v>
      </c>
      <c r="V917" s="56">
        <f>Table11[[#This Row],[Profit]]/Table11[[#This Row],[Sales]]</f>
        <v>0.33750000000000002</v>
      </c>
    </row>
    <row r="918" spans="1:22" x14ac:dyDescent="0.2">
      <c r="A918" s="2">
        <v>917</v>
      </c>
      <c r="B918" s="5" t="s">
        <v>5015</v>
      </c>
      <c r="C918" s="6">
        <v>42232</v>
      </c>
      <c r="D918" s="27">
        <f>MONTH(Table11[[#This Row],[Order Date]])</f>
        <v>8</v>
      </c>
      <c r="E918" s="5" t="s">
        <v>2816</v>
      </c>
      <c r="F918" s="5" t="s">
        <v>2817</v>
      </c>
      <c r="G918" s="24" t="s">
        <v>41</v>
      </c>
      <c r="H918" s="24" t="s">
        <v>42</v>
      </c>
      <c r="I918" s="5" t="s">
        <v>4953</v>
      </c>
      <c r="J918" s="24" t="s">
        <v>22</v>
      </c>
      <c r="K918" s="27">
        <v>2</v>
      </c>
      <c r="L918" s="6">
        <v>42238</v>
      </c>
      <c r="M918" s="27">
        <f>Table11[[#This Row],[Ship Date]]-Table11[[#This Row],[Order Date]]</f>
        <v>6</v>
      </c>
      <c r="N918" s="24" t="s">
        <v>45</v>
      </c>
      <c r="O918" s="24" t="s">
        <v>23</v>
      </c>
      <c r="P918" s="24" t="s">
        <v>277</v>
      </c>
      <c r="Q918" s="24" t="s">
        <v>39</v>
      </c>
      <c r="R918" s="24" t="s">
        <v>481</v>
      </c>
      <c r="S918" s="34">
        <v>0.2</v>
      </c>
      <c r="T918" s="15">
        <v>5.04</v>
      </c>
      <c r="U918" s="18">
        <v>1.764</v>
      </c>
      <c r="V918" s="56">
        <f>Table11[[#This Row],[Profit]]/Table11[[#This Row],[Sales]]</f>
        <v>0.35</v>
      </c>
    </row>
    <row r="919" spans="1:22" x14ac:dyDescent="0.2">
      <c r="A919" s="4">
        <v>918</v>
      </c>
      <c r="B919" s="3" t="s">
        <v>8982</v>
      </c>
      <c r="C919" s="7">
        <v>42232</v>
      </c>
      <c r="D919" s="28">
        <f>MONTH(Table11[[#This Row],[Order Date]])</f>
        <v>8</v>
      </c>
      <c r="E919" s="3" t="s">
        <v>3523</v>
      </c>
      <c r="F919" s="3" t="s">
        <v>3524</v>
      </c>
      <c r="G919" s="25" t="s">
        <v>64</v>
      </c>
      <c r="H919" s="25" t="s">
        <v>65</v>
      </c>
      <c r="I919" s="3" t="s">
        <v>1024</v>
      </c>
      <c r="J919" s="25" t="s">
        <v>36</v>
      </c>
      <c r="K919" s="28">
        <v>4</v>
      </c>
      <c r="L919" s="7">
        <v>42236</v>
      </c>
      <c r="M919" s="28">
        <f>Table11[[#This Row],[Ship Date]]-Table11[[#This Row],[Order Date]]</f>
        <v>4</v>
      </c>
      <c r="N919" s="25" t="s">
        <v>45</v>
      </c>
      <c r="O919" s="25" t="s">
        <v>23</v>
      </c>
      <c r="P919" s="25" t="s">
        <v>132</v>
      </c>
      <c r="Q919" s="25" t="s">
        <v>133</v>
      </c>
      <c r="R919" s="25" t="s">
        <v>131</v>
      </c>
      <c r="S919" s="35">
        <v>0.4</v>
      </c>
      <c r="T919" s="16">
        <v>519.79200000000003</v>
      </c>
      <c r="U919" s="19">
        <v>-112.6216</v>
      </c>
      <c r="V919" s="56">
        <f>Table11[[#This Row],[Profit]]/Table11[[#This Row],[Sales]]</f>
        <v>-0.21666666666666665</v>
      </c>
    </row>
    <row r="920" spans="1:22" x14ac:dyDescent="0.2">
      <c r="A920" s="4">
        <v>919</v>
      </c>
      <c r="B920" s="5" t="s">
        <v>8982</v>
      </c>
      <c r="C920" s="6">
        <v>42232</v>
      </c>
      <c r="D920" s="27">
        <f>MONTH(Table11[[#This Row],[Order Date]])</f>
        <v>8</v>
      </c>
      <c r="E920" s="5" t="s">
        <v>5249</v>
      </c>
      <c r="F920" s="5" t="s">
        <v>5250</v>
      </c>
      <c r="G920" s="24" t="s">
        <v>64</v>
      </c>
      <c r="H920" s="24" t="s">
        <v>144</v>
      </c>
      <c r="I920" s="5" t="s">
        <v>1024</v>
      </c>
      <c r="J920" s="24" t="s">
        <v>36</v>
      </c>
      <c r="K920" s="27">
        <v>3</v>
      </c>
      <c r="L920" s="6">
        <v>42236</v>
      </c>
      <c r="M920" s="27">
        <f>Table11[[#This Row],[Ship Date]]-Table11[[#This Row],[Order Date]]</f>
        <v>4</v>
      </c>
      <c r="N920" s="24" t="s">
        <v>45</v>
      </c>
      <c r="O920" s="24" t="s">
        <v>23</v>
      </c>
      <c r="P920" s="24" t="s">
        <v>132</v>
      </c>
      <c r="Q920" s="24" t="s">
        <v>133</v>
      </c>
      <c r="R920" s="24" t="s">
        <v>131</v>
      </c>
      <c r="S920" s="34">
        <v>0.2</v>
      </c>
      <c r="T920" s="15">
        <v>31.175999999999998</v>
      </c>
      <c r="U920" s="18">
        <v>-5.4558</v>
      </c>
      <c r="V920" s="56">
        <f>Table11[[#This Row],[Profit]]/Table11[[#This Row],[Sales]]</f>
        <v>-0.17500000000000002</v>
      </c>
    </row>
    <row r="921" spans="1:22" x14ac:dyDescent="0.2">
      <c r="A921" s="2">
        <v>920</v>
      </c>
      <c r="B921" s="3" t="s">
        <v>8982</v>
      </c>
      <c r="C921" s="7">
        <v>42232</v>
      </c>
      <c r="D921" s="28">
        <f>MONTH(Table11[[#This Row],[Order Date]])</f>
        <v>8</v>
      </c>
      <c r="E921" s="3" t="s">
        <v>4669</v>
      </c>
      <c r="F921" s="3" t="s">
        <v>4670</v>
      </c>
      <c r="G921" s="25" t="s">
        <v>41</v>
      </c>
      <c r="H921" s="25" t="s">
        <v>82</v>
      </c>
      <c r="I921" s="3" t="s">
        <v>1024</v>
      </c>
      <c r="J921" s="25" t="s">
        <v>36</v>
      </c>
      <c r="K921" s="28">
        <v>2</v>
      </c>
      <c r="L921" s="7">
        <v>42236</v>
      </c>
      <c r="M921" s="28">
        <f>Table11[[#This Row],[Ship Date]]-Table11[[#This Row],[Order Date]]</f>
        <v>4</v>
      </c>
      <c r="N921" s="25" t="s">
        <v>45</v>
      </c>
      <c r="O921" s="25" t="s">
        <v>23</v>
      </c>
      <c r="P921" s="25" t="s">
        <v>132</v>
      </c>
      <c r="Q921" s="25" t="s">
        <v>133</v>
      </c>
      <c r="R921" s="25" t="s">
        <v>131</v>
      </c>
      <c r="S921" s="35">
        <v>0.2</v>
      </c>
      <c r="T921" s="16">
        <v>10.368</v>
      </c>
      <c r="U921" s="19">
        <v>3.6288</v>
      </c>
      <c r="V921" s="56">
        <f>Table11[[#This Row],[Profit]]/Table11[[#This Row],[Sales]]</f>
        <v>0.35</v>
      </c>
    </row>
    <row r="922" spans="1:22" x14ac:dyDescent="0.2">
      <c r="A922" s="4">
        <v>921</v>
      </c>
      <c r="B922" s="5" t="s">
        <v>8982</v>
      </c>
      <c r="C922" s="6">
        <v>42232</v>
      </c>
      <c r="D922" s="27">
        <f>MONTH(Table11[[#This Row],[Order Date]])</f>
        <v>8</v>
      </c>
      <c r="E922" s="5" t="s">
        <v>436</v>
      </c>
      <c r="F922" s="5" t="s">
        <v>437</v>
      </c>
      <c r="G922" s="24" t="s">
        <v>41</v>
      </c>
      <c r="H922" s="24" t="s">
        <v>68</v>
      </c>
      <c r="I922" s="5" t="s">
        <v>1024</v>
      </c>
      <c r="J922" s="24" t="s">
        <v>36</v>
      </c>
      <c r="K922" s="27">
        <v>2</v>
      </c>
      <c r="L922" s="6">
        <v>42236</v>
      </c>
      <c r="M922" s="27">
        <f>Table11[[#This Row],[Ship Date]]-Table11[[#This Row],[Order Date]]</f>
        <v>4</v>
      </c>
      <c r="N922" s="24" t="s">
        <v>45</v>
      </c>
      <c r="O922" s="24" t="s">
        <v>23</v>
      </c>
      <c r="P922" s="24" t="s">
        <v>132</v>
      </c>
      <c r="Q922" s="24" t="s">
        <v>133</v>
      </c>
      <c r="R922" s="24" t="s">
        <v>131</v>
      </c>
      <c r="S922" s="34">
        <v>0.7</v>
      </c>
      <c r="T922" s="15">
        <v>2.7240000000000002</v>
      </c>
      <c r="U922" s="18">
        <v>-1.9068000000000001</v>
      </c>
      <c r="V922" s="56">
        <f>Table11[[#This Row],[Profit]]/Table11[[#This Row],[Sales]]</f>
        <v>-0.7</v>
      </c>
    </row>
    <row r="923" spans="1:22" x14ac:dyDescent="0.2">
      <c r="A923" s="4">
        <v>922</v>
      </c>
      <c r="B923" s="3" t="s">
        <v>8982</v>
      </c>
      <c r="C923" s="7">
        <v>42232</v>
      </c>
      <c r="D923" s="28">
        <f>MONTH(Table11[[#This Row],[Order Date]])</f>
        <v>8</v>
      </c>
      <c r="E923" s="3" t="s">
        <v>3722</v>
      </c>
      <c r="F923" s="3" t="s">
        <v>3723</v>
      </c>
      <c r="G923" s="25" t="s">
        <v>28</v>
      </c>
      <c r="H923" s="25" t="s">
        <v>58</v>
      </c>
      <c r="I923" s="3" t="s">
        <v>1024</v>
      </c>
      <c r="J923" s="25" t="s">
        <v>36</v>
      </c>
      <c r="K923" s="28">
        <v>3</v>
      </c>
      <c r="L923" s="7">
        <v>42236</v>
      </c>
      <c r="M923" s="28">
        <f>Table11[[#This Row],[Ship Date]]-Table11[[#This Row],[Order Date]]</f>
        <v>4</v>
      </c>
      <c r="N923" s="25" t="s">
        <v>45</v>
      </c>
      <c r="O923" s="25" t="s">
        <v>23</v>
      </c>
      <c r="P923" s="25" t="s">
        <v>132</v>
      </c>
      <c r="Q923" s="25" t="s">
        <v>133</v>
      </c>
      <c r="R923" s="25" t="s">
        <v>131</v>
      </c>
      <c r="S923" s="35">
        <v>0.2</v>
      </c>
      <c r="T923" s="16">
        <v>254.352</v>
      </c>
      <c r="U923" s="19">
        <v>0</v>
      </c>
      <c r="V923" s="56">
        <f>Table11[[#This Row],[Profit]]/Table11[[#This Row],[Sales]]</f>
        <v>0</v>
      </c>
    </row>
    <row r="924" spans="1:22" x14ac:dyDescent="0.2">
      <c r="A924" s="2">
        <v>923</v>
      </c>
      <c r="B924" s="5" t="s">
        <v>8982</v>
      </c>
      <c r="C924" s="6">
        <v>42232</v>
      </c>
      <c r="D924" s="27">
        <f>MONTH(Table11[[#This Row],[Order Date]])</f>
        <v>8</v>
      </c>
      <c r="E924" s="5" t="s">
        <v>2788</v>
      </c>
      <c r="F924" s="5" t="s">
        <v>2789</v>
      </c>
      <c r="G924" s="24" t="s">
        <v>41</v>
      </c>
      <c r="H924" s="24" t="s">
        <v>68</v>
      </c>
      <c r="I924" s="5" t="s">
        <v>1024</v>
      </c>
      <c r="J924" s="24" t="s">
        <v>36</v>
      </c>
      <c r="K924" s="27">
        <v>3</v>
      </c>
      <c r="L924" s="6">
        <v>42236</v>
      </c>
      <c r="M924" s="27">
        <f>Table11[[#This Row],[Ship Date]]-Table11[[#This Row],[Order Date]]</f>
        <v>4</v>
      </c>
      <c r="N924" s="24" t="s">
        <v>45</v>
      </c>
      <c r="O924" s="24" t="s">
        <v>23</v>
      </c>
      <c r="P924" s="24" t="s">
        <v>132</v>
      </c>
      <c r="Q924" s="24" t="s">
        <v>133</v>
      </c>
      <c r="R924" s="24" t="s">
        <v>131</v>
      </c>
      <c r="S924" s="34">
        <v>0.7</v>
      </c>
      <c r="T924" s="15">
        <v>3.762</v>
      </c>
      <c r="U924" s="18">
        <v>-2.7587999999999999</v>
      </c>
      <c r="V924" s="56">
        <f>Table11[[#This Row],[Profit]]/Table11[[#This Row],[Sales]]</f>
        <v>-0.73333333333333328</v>
      </c>
    </row>
    <row r="925" spans="1:22" x14ac:dyDescent="0.2">
      <c r="A925" s="4">
        <v>924</v>
      </c>
      <c r="B925" s="3" t="s">
        <v>8982</v>
      </c>
      <c r="C925" s="7">
        <v>42232</v>
      </c>
      <c r="D925" s="28">
        <f>MONTH(Table11[[#This Row],[Order Date]])</f>
        <v>8</v>
      </c>
      <c r="E925" s="3" t="s">
        <v>3513</v>
      </c>
      <c r="F925" s="3" t="s">
        <v>3514</v>
      </c>
      <c r="G925" s="25" t="s">
        <v>41</v>
      </c>
      <c r="H925" s="25" t="s">
        <v>82</v>
      </c>
      <c r="I925" s="3" t="s">
        <v>1024</v>
      </c>
      <c r="J925" s="25" t="s">
        <v>36</v>
      </c>
      <c r="K925" s="28">
        <v>3</v>
      </c>
      <c r="L925" s="7">
        <v>42236</v>
      </c>
      <c r="M925" s="28">
        <f>Table11[[#This Row],[Ship Date]]-Table11[[#This Row],[Order Date]]</f>
        <v>4</v>
      </c>
      <c r="N925" s="25" t="s">
        <v>45</v>
      </c>
      <c r="O925" s="25" t="s">
        <v>23</v>
      </c>
      <c r="P925" s="25" t="s">
        <v>132</v>
      </c>
      <c r="Q925" s="25" t="s">
        <v>133</v>
      </c>
      <c r="R925" s="25" t="s">
        <v>131</v>
      </c>
      <c r="S925" s="35">
        <v>0.2</v>
      </c>
      <c r="T925" s="16">
        <v>10.272</v>
      </c>
      <c r="U925" s="19">
        <v>3.21</v>
      </c>
      <c r="V925" s="56">
        <f>Table11[[#This Row],[Profit]]/Table11[[#This Row],[Sales]]</f>
        <v>0.3125</v>
      </c>
    </row>
    <row r="926" spans="1:22" x14ac:dyDescent="0.2">
      <c r="A926" s="4">
        <v>925</v>
      </c>
      <c r="B926" s="5" t="s">
        <v>9710</v>
      </c>
      <c r="C926" s="6">
        <v>42232</v>
      </c>
      <c r="D926" s="27">
        <f>MONTH(Table11[[#This Row],[Order Date]])</f>
        <v>8</v>
      </c>
      <c r="E926" s="5" t="s">
        <v>2959</v>
      </c>
      <c r="F926" s="5" t="s">
        <v>2960</v>
      </c>
      <c r="G926" s="24" t="s">
        <v>41</v>
      </c>
      <c r="H926" s="24" t="s">
        <v>53</v>
      </c>
      <c r="I926" s="5" t="s">
        <v>3937</v>
      </c>
      <c r="J926" s="24" t="s">
        <v>22</v>
      </c>
      <c r="K926" s="27">
        <v>7</v>
      </c>
      <c r="L926" s="6">
        <v>42236</v>
      </c>
      <c r="M926" s="27">
        <f>Table11[[#This Row],[Ship Date]]-Table11[[#This Row],[Order Date]]</f>
        <v>4</v>
      </c>
      <c r="N926" s="24" t="s">
        <v>45</v>
      </c>
      <c r="O926" s="24" t="s">
        <v>23</v>
      </c>
      <c r="P926" s="24" t="s">
        <v>132</v>
      </c>
      <c r="Q926" s="24" t="s">
        <v>133</v>
      </c>
      <c r="R926" s="24" t="s">
        <v>131</v>
      </c>
      <c r="S926" s="34">
        <v>0.2</v>
      </c>
      <c r="T926" s="15">
        <v>44.688000000000002</v>
      </c>
      <c r="U926" s="18">
        <v>3.3515999999999999</v>
      </c>
      <c r="V926" s="56">
        <f>Table11[[#This Row],[Profit]]/Table11[[#This Row],[Sales]]</f>
        <v>7.4999999999999997E-2</v>
      </c>
    </row>
    <row r="927" spans="1:22" x14ac:dyDescent="0.2">
      <c r="A927" s="2">
        <v>926</v>
      </c>
      <c r="B927" s="3" t="s">
        <v>9710</v>
      </c>
      <c r="C927" s="7">
        <v>42232</v>
      </c>
      <c r="D927" s="28">
        <f>MONTH(Table11[[#This Row],[Order Date]])</f>
        <v>8</v>
      </c>
      <c r="E927" s="3" t="s">
        <v>4841</v>
      </c>
      <c r="F927" s="3" t="s">
        <v>4842</v>
      </c>
      <c r="G927" s="25" t="s">
        <v>28</v>
      </c>
      <c r="H927" s="25" t="s">
        <v>29</v>
      </c>
      <c r="I927" s="3" t="s">
        <v>3937</v>
      </c>
      <c r="J927" s="25" t="s">
        <v>22</v>
      </c>
      <c r="K927" s="28">
        <v>3</v>
      </c>
      <c r="L927" s="7">
        <v>42236</v>
      </c>
      <c r="M927" s="28">
        <f>Table11[[#This Row],[Ship Date]]-Table11[[#This Row],[Order Date]]</f>
        <v>4</v>
      </c>
      <c r="N927" s="25" t="s">
        <v>45</v>
      </c>
      <c r="O927" s="25" t="s">
        <v>23</v>
      </c>
      <c r="P927" s="25" t="s">
        <v>132</v>
      </c>
      <c r="Q927" s="25" t="s">
        <v>133</v>
      </c>
      <c r="R927" s="25" t="s">
        <v>131</v>
      </c>
      <c r="S927" s="35">
        <v>0.5</v>
      </c>
      <c r="T927" s="16">
        <v>301.47000000000003</v>
      </c>
      <c r="U927" s="19">
        <v>-204.99959999999999</v>
      </c>
      <c r="V927" s="56">
        <f>Table11[[#This Row],[Profit]]/Table11[[#This Row],[Sales]]</f>
        <v>-0.67999999999999994</v>
      </c>
    </row>
    <row r="928" spans="1:22" x14ac:dyDescent="0.2">
      <c r="A928" s="4">
        <v>927</v>
      </c>
      <c r="B928" s="5" t="s">
        <v>3459</v>
      </c>
      <c r="C928" s="6">
        <v>42233</v>
      </c>
      <c r="D928" s="27">
        <f>MONTH(Table11[[#This Row],[Order Date]])</f>
        <v>8</v>
      </c>
      <c r="E928" s="5" t="s">
        <v>1144</v>
      </c>
      <c r="F928" s="5" t="s">
        <v>1145</v>
      </c>
      <c r="G928" s="24" t="s">
        <v>41</v>
      </c>
      <c r="H928" s="24" t="s">
        <v>68</v>
      </c>
      <c r="I928" s="5" t="s">
        <v>3429</v>
      </c>
      <c r="J928" s="24" t="s">
        <v>36</v>
      </c>
      <c r="K928" s="27">
        <v>9</v>
      </c>
      <c r="L928" s="6">
        <v>42237</v>
      </c>
      <c r="M928" s="27">
        <f>Table11[[#This Row],[Ship Date]]-Table11[[#This Row],[Order Date]]</f>
        <v>4</v>
      </c>
      <c r="N928" s="24" t="s">
        <v>45</v>
      </c>
      <c r="O928" s="24" t="s">
        <v>23</v>
      </c>
      <c r="P928" s="24" t="s">
        <v>1101</v>
      </c>
      <c r="Q928" s="24" t="s">
        <v>133</v>
      </c>
      <c r="R928" s="24" t="s">
        <v>3460</v>
      </c>
      <c r="S928" s="34">
        <v>0</v>
      </c>
      <c r="T928" s="15">
        <v>52.2</v>
      </c>
      <c r="U928" s="18">
        <v>23.49</v>
      </c>
      <c r="V928" s="56">
        <f>Table11[[#This Row],[Profit]]/Table11[[#This Row],[Sales]]</f>
        <v>0.44999999999999996</v>
      </c>
    </row>
    <row r="929" spans="1:22" x14ac:dyDescent="0.2">
      <c r="A929" s="4">
        <v>928</v>
      </c>
      <c r="B929" s="3" t="s">
        <v>9830</v>
      </c>
      <c r="C929" s="7">
        <v>42233</v>
      </c>
      <c r="D929" s="28">
        <f>MONTH(Table11[[#This Row],[Order Date]])</f>
        <v>8</v>
      </c>
      <c r="E929" s="3" t="s">
        <v>4266</v>
      </c>
      <c r="F929" s="3" t="s">
        <v>4267</v>
      </c>
      <c r="G929" s="25" t="s">
        <v>64</v>
      </c>
      <c r="H929" s="25" t="s">
        <v>144</v>
      </c>
      <c r="I929" s="3" t="s">
        <v>460</v>
      </c>
      <c r="J929" s="25" t="s">
        <v>22</v>
      </c>
      <c r="K929" s="28">
        <v>2</v>
      </c>
      <c r="L929" s="7">
        <v>42239</v>
      </c>
      <c r="M929" s="28">
        <f>Table11[[#This Row],[Ship Date]]-Table11[[#This Row],[Order Date]]</f>
        <v>6</v>
      </c>
      <c r="N929" s="25" t="s">
        <v>45</v>
      </c>
      <c r="O929" s="25" t="s">
        <v>23</v>
      </c>
      <c r="P929" s="25" t="s">
        <v>277</v>
      </c>
      <c r="Q929" s="25" t="s">
        <v>39</v>
      </c>
      <c r="R929" s="25" t="s">
        <v>1223</v>
      </c>
      <c r="S929" s="35">
        <v>0.2</v>
      </c>
      <c r="T929" s="16">
        <v>30.08</v>
      </c>
      <c r="U929" s="19">
        <v>-5.2640000000000002</v>
      </c>
      <c r="V929" s="56">
        <f>Table11[[#This Row],[Profit]]/Table11[[#This Row],[Sales]]</f>
        <v>-0.17500000000000002</v>
      </c>
    </row>
    <row r="930" spans="1:22" x14ac:dyDescent="0.2">
      <c r="A930" s="2">
        <v>929</v>
      </c>
      <c r="B930" s="5" t="s">
        <v>9830</v>
      </c>
      <c r="C930" s="6">
        <v>42233</v>
      </c>
      <c r="D930" s="27">
        <f>MONTH(Table11[[#This Row],[Order Date]])</f>
        <v>8</v>
      </c>
      <c r="E930" s="5" t="s">
        <v>1021</v>
      </c>
      <c r="F930" s="5" t="s">
        <v>1022</v>
      </c>
      <c r="G930" s="24" t="s">
        <v>41</v>
      </c>
      <c r="H930" s="24" t="s">
        <v>82</v>
      </c>
      <c r="I930" s="5" t="s">
        <v>460</v>
      </c>
      <c r="J930" s="24" t="s">
        <v>22</v>
      </c>
      <c r="K930" s="27">
        <v>7</v>
      </c>
      <c r="L930" s="6">
        <v>42239</v>
      </c>
      <c r="M930" s="27">
        <f>Table11[[#This Row],[Ship Date]]-Table11[[#This Row],[Order Date]]</f>
        <v>6</v>
      </c>
      <c r="N930" s="24" t="s">
        <v>45</v>
      </c>
      <c r="O930" s="24" t="s">
        <v>23</v>
      </c>
      <c r="P930" s="24" t="s">
        <v>277</v>
      </c>
      <c r="Q930" s="24" t="s">
        <v>39</v>
      </c>
      <c r="R930" s="24" t="s">
        <v>1223</v>
      </c>
      <c r="S930" s="34">
        <v>0.2</v>
      </c>
      <c r="T930" s="15">
        <v>36.287999999999997</v>
      </c>
      <c r="U930" s="18">
        <v>12.700799999999999</v>
      </c>
      <c r="V930" s="56">
        <f>Table11[[#This Row],[Profit]]/Table11[[#This Row],[Sales]]</f>
        <v>0.35000000000000003</v>
      </c>
    </row>
    <row r="931" spans="1:22" x14ac:dyDescent="0.2">
      <c r="A931" s="4">
        <v>930</v>
      </c>
      <c r="B931" s="3" t="s">
        <v>9830</v>
      </c>
      <c r="C931" s="7">
        <v>42233</v>
      </c>
      <c r="D931" s="28">
        <f>MONTH(Table11[[#This Row],[Order Date]])</f>
        <v>8</v>
      </c>
      <c r="E931" s="3" t="s">
        <v>2712</v>
      </c>
      <c r="F931" s="3" t="s">
        <v>2713</v>
      </c>
      <c r="G931" s="25" t="s">
        <v>41</v>
      </c>
      <c r="H931" s="25" t="s">
        <v>61</v>
      </c>
      <c r="I931" s="3" t="s">
        <v>460</v>
      </c>
      <c r="J931" s="25" t="s">
        <v>22</v>
      </c>
      <c r="K931" s="28">
        <v>3</v>
      </c>
      <c r="L931" s="7">
        <v>42239</v>
      </c>
      <c r="M931" s="28">
        <f>Table11[[#This Row],[Ship Date]]-Table11[[#This Row],[Order Date]]</f>
        <v>6</v>
      </c>
      <c r="N931" s="25" t="s">
        <v>45</v>
      </c>
      <c r="O931" s="25" t="s">
        <v>23</v>
      </c>
      <c r="P931" s="25" t="s">
        <v>277</v>
      </c>
      <c r="Q931" s="25" t="s">
        <v>39</v>
      </c>
      <c r="R931" s="25" t="s">
        <v>1223</v>
      </c>
      <c r="S931" s="35">
        <v>0.2</v>
      </c>
      <c r="T931" s="16">
        <v>10.272</v>
      </c>
      <c r="U931" s="19">
        <v>1.1556</v>
      </c>
      <c r="V931" s="56">
        <f>Table11[[#This Row],[Profit]]/Table11[[#This Row],[Sales]]</f>
        <v>0.11249999999999999</v>
      </c>
    </row>
    <row r="932" spans="1:22" x14ac:dyDescent="0.2">
      <c r="A932" s="4">
        <v>931</v>
      </c>
      <c r="B932" s="5" t="s">
        <v>9830</v>
      </c>
      <c r="C932" s="6">
        <v>42233</v>
      </c>
      <c r="D932" s="27">
        <f>MONTH(Table11[[#This Row],[Order Date]])</f>
        <v>8</v>
      </c>
      <c r="E932" s="5" t="s">
        <v>1889</v>
      </c>
      <c r="F932" s="5" t="s">
        <v>1890</v>
      </c>
      <c r="G932" s="24" t="s">
        <v>64</v>
      </c>
      <c r="H932" s="24" t="s">
        <v>144</v>
      </c>
      <c r="I932" s="5" t="s">
        <v>460</v>
      </c>
      <c r="J932" s="24" t="s">
        <v>22</v>
      </c>
      <c r="K932" s="27">
        <v>4</v>
      </c>
      <c r="L932" s="6">
        <v>42239</v>
      </c>
      <c r="M932" s="27">
        <f>Table11[[#This Row],[Ship Date]]-Table11[[#This Row],[Order Date]]</f>
        <v>6</v>
      </c>
      <c r="N932" s="24" t="s">
        <v>45</v>
      </c>
      <c r="O932" s="24" t="s">
        <v>23</v>
      </c>
      <c r="P932" s="24" t="s">
        <v>277</v>
      </c>
      <c r="Q932" s="24" t="s">
        <v>39</v>
      </c>
      <c r="R932" s="24" t="s">
        <v>1223</v>
      </c>
      <c r="S932" s="34">
        <v>0.2</v>
      </c>
      <c r="T932" s="15">
        <v>252.8</v>
      </c>
      <c r="U932" s="18">
        <v>-31.6</v>
      </c>
      <c r="V932" s="56">
        <f>Table11[[#This Row],[Profit]]/Table11[[#This Row],[Sales]]</f>
        <v>-0.125</v>
      </c>
    </row>
    <row r="933" spans="1:22" x14ac:dyDescent="0.2">
      <c r="A933" s="2">
        <v>932</v>
      </c>
      <c r="B933" s="3" t="s">
        <v>2159</v>
      </c>
      <c r="C933" s="7">
        <v>42237</v>
      </c>
      <c r="D933" s="28">
        <f>MONTH(Table11[[#This Row],[Order Date]])</f>
        <v>8</v>
      </c>
      <c r="E933" s="3" t="s">
        <v>2160</v>
      </c>
      <c r="F933" s="3" t="s">
        <v>2161</v>
      </c>
      <c r="G933" s="25" t="s">
        <v>28</v>
      </c>
      <c r="H933" s="25" t="s">
        <v>32</v>
      </c>
      <c r="I933" s="3" t="s">
        <v>943</v>
      </c>
      <c r="J933" s="25" t="s">
        <v>92</v>
      </c>
      <c r="K933" s="28">
        <v>3</v>
      </c>
      <c r="L933" s="7">
        <v>42239</v>
      </c>
      <c r="M933" s="28">
        <f>Table11[[#This Row],[Ship Date]]-Table11[[#This Row],[Order Date]]</f>
        <v>2</v>
      </c>
      <c r="N933" s="25" t="s">
        <v>169</v>
      </c>
      <c r="O933" s="25" t="s">
        <v>23</v>
      </c>
      <c r="P933" s="25" t="s">
        <v>38</v>
      </c>
      <c r="Q933" s="25" t="s">
        <v>39</v>
      </c>
      <c r="R933" s="25" t="s">
        <v>114</v>
      </c>
      <c r="S933" s="35">
        <v>0.2</v>
      </c>
      <c r="T933" s="16">
        <v>544.00800000000004</v>
      </c>
      <c r="U933" s="19">
        <v>40.800600000000003</v>
      </c>
      <c r="V933" s="56">
        <f>Table11[[#This Row],[Profit]]/Table11[[#This Row],[Sales]]</f>
        <v>7.4999999999999997E-2</v>
      </c>
    </row>
    <row r="934" spans="1:22" x14ac:dyDescent="0.2">
      <c r="A934" s="4">
        <v>933</v>
      </c>
      <c r="B934" s="5" t="s">
        <v>2159</v>
      </c>
      <c r="C934" s="6">
        <v>42237</v>
      </c>
      <c r="D934" s="27">
        <f>MONTH(Table11[[#This Row],[Order Date]])</f>
        <v>8</v>
      </c>
      <c r="E934" s="5" t="s">
        <v>1282</v>
      </c>
      <c r="F934" s="5" t="s">
        <v>1283</v>
      </c>
      <c r="G934" s="24" t="s">
        <v>41</v>
      </c>
      <c r="H934" s="24" t="s">
        <v>82</v>
      </c>
      <c r="I934" s="5" t="s">
        <v>943</v>
      </c>
      <c r="J934" s="24" t="s">
        <v>92</v>
      </c>
      <c r="K934" s="27">
        <v>3</v>
      </c>
      <c r="L934" s="6">
        <v>42239</v>
      </c>
      <c r="M934" s="27">
        <f>Table11[[#This Row],[Ship Date]]-Table11[[#This Row],[Order Date]]</f>
        <v>2</v>
      </c>
      <c r="N934" s="24" t="s">
        <v>169</v>
      </c>
      <c r="O934" s="24" t="s">
        <v>23</v>
      </c>
      <c r="P934" s="24" t="s">
        <v>38</v>
      </c>
      <c r="Q934" s="24" t="s">
        <v>39</v>
      </c>
      <c r="R934" s="24" t="s">
        <v>114</v>
      </c>
      <c r="S934" s="34">
        <v>0</v>
      </c>
      <c r="T934" s="15">
        <v>59.94</v>
      </c>
      <c r="U934" s="18">
        <v>28.171800000000001</v>
      </c>
      <c r="V934" s="56">
        <f>Table11[[#This Row],[Profit]]/Table11[[#This Row],[Sales]]</f>
        <v>0.47000000000000003</v>
      </c>
    </row>
    <row r="935" spans="1:22" x14ac:dyDescent="0.2">
      <c r="A935" s="4">
        <v>934</v>
      </c>
      <c r="B935" s="3" t="s">
        <v>2159</v>
      </c>
      <c r="C935" s="7">
        <v>42237</v>
      </c>
      <c r="D935" s="28">
        <f>MONTH(Table11[[#This Row],[Order Date]])</f>
        <v>8</v>
      </c>
      <c r="E935" s="3" t="s">
        <v>1254</v>
      </c>
      <c r="F935" s="3" t="s">
        <v>1255</v>
      </c>
      <c r="G935" s="25" t="s">
        <v>41</v>
      </c>
      <c r="H935" s="25" t="s">
        <v>82</v>
      </c>
      <c r="I935" s="3" t="s">
        <v>943</v>
      </c>
      <c r="J935" s="25" t="s">
        <v>92</v>
      </c>
      <c r="K935" s="28">
        <v>4</v>
      </c>
      <c r="L935" s="7">
        <v>42239</v>
      </c>
      <c r="M935" s="28">
        <f>Table11[[#This Row],[Ship Date]]-Table11[[#This Row],[Order Date]]</f>
        <v>2</v>
      </c>
      <c r="N935" s="25" t="s">
        <v>169</v>
      </c>
      <c r="O935" s="25" t="s">
        <v>23</v>
      </c>
      <c r="P935" s="25" t="s">
        <v>38</v>
      </c>
      <c r="Q935" s="25" t="s">
        <v>39</v>
      </c>
      <c r="R935" s="25" t="s">
        <v>114</v>
      </c>
      <c r="S935" s="35">
        <v>0</v>
      </c>
      <c r="T935" s="16">
        <v>23.92</v>
      </c>
      <c r="U935" s="19">
        <v>11.720800000000001</v>
      </c>
      <c r="V935" s="56">
        <f>Table11[[#This Row],[Profit]]/Table11[[#This Row],[Sales]]</f>
        <v>0.49</v>
      </c>
    </row>
    <row r="936" spans="1:22" x14ac:dyDescent="0.2">
      <c r="A936" s="2">
        <v>935</v>
      </c>
      <c r="B936" s="5" t="s">
        <v>2159</v>
      </c>
      <c r="C936" s="6">
        <v>42237</v>
      </c>
      <c r="D936" s="27">
        <f>MONTH(Table11[[#This Row],[Order Date]])</f>
        <v>8</v>
      </c>
      <c r="E936" s="5" t="s">
        <v>2162</v>
      </c>
      <c r="F936" s="5" t="s">
        <v>2163</v>
      </c>
      <c r="G936" s="24" t="s">
        <v>41</v>
      </c>
      <c r="H936" s="24" t="s">
        <v>82</v>
      </c>
      <c r="I936" s="5" t="s">
        <v>943</v>
      </c>
      <c r="J936" s="24" t="s">
        <v>92</v>
      </c>
      <c r="K936" s="27">
        <v>1</v>
      </c>
      <c r="L936" s="6">
        <v>42239</v>
      </c>
      <c r="M936" s="27">
        <f>Table11[[#This Row],[Ship Date]]-Table11[[#This Row],[Order Date]]</f>
        <v>2</v>
      </c>
      <c r="N936" s="24" t="s">
        <v>169</v>
      </c>
      <c r="O936" s="24" t="s">
        <v>23</v>
      </c>
      <c r="P936" s="24" t="s">
        <v>38</v>
      </c>
      <c r="Q936" s="24" t="s">
        <v>39</v>
      </c>
      <c r="R936" s="24" t="s">
        <v>114</v>
      </c>
      <c r="S936" s="34">
        <v>0</v>
      </c>
      <c r="T936" s="15">
        <v>4.28</v>
      </c>
      <c r="U936" s="18">
        <v>1.9259999999999999</v>
      </c>
      <c r="V936" s="56">
        <f>Table11[[#This Row],[Profit]]/Table11[[#This Row],[Sales]]</f>
        <v>0.44999999999999996</v>
      </c>
    </row>
    <row r="937" spans="1:22" x14ac:dyDescent="0.2">
      <c r="A937" s="4">
        <v>936</v>
      </c>
      <c r="B937" s="3" t="s">
        <v>6914</v>
      </c>
      <c r="C937" s="7">
        <v>42237</v>
      </c>
      <c r="D937" s="28">
        <f>MONTH(Table11[[#This Row],[Order Date]])</f>
        <v>8</v>
      </c>
      <c r="E937" s="3" t="s">
        <v>6915</v>
      </c>
      <c r="F937" s="3" t="s">
        <v>6916</v>
      </c>
      <c r="G937" s="25" t="s">
        <v>28</v>
      </c>
      <c r="H937" s="25" t="s">
        <v>29</v>
      </c>
      <c r="I937" s="3" t="s">
        <v>774</v>
      </c>
      <c r="J937" s="25" t="s">
        <v>36</v>
      </c>
      <c r="K937" s="28">
        <v>6</v>
      </c>
      <c r="L937" s="7">
        <v>42242</v>
      </c>
      <c r="M937" s="28">
        <f>Table11[[#This Row],[Ship Date]]-Table11[[#This Row],[Order Date]]</f>
        <v>5</v>
      </c>
      <c r="N937" s="25" t="s">
        <v>45</v>
      </c>
      <c r="O937" s="25" t="s">
        <v>23</v>
      </c>
      <c r="P937" s="25" t="s">
        <v>38</v>
      </c>
      <c r="Q937" s="25" t="s">
        <v>39</v>
      </c>
      <c r="R937" s="25" t="s">
        <v>114</v>
      </c>
      <c r="S937" s="35">
        <v>0.15</v>
      </c>
      <c r="T937" s="16">
        <v>586.39800000000002</v>
      </c>
      <c r="U937" s="19">
        <v>34.494</v>
      </c>
      <c r="V937" s="56">
        <f>Table11[[#This Row],[Profit]]/Table11[[#This Row],[Sales]]</f>
        <v>5.8823529411764705E-2</v>
      </c>
    </row>
    <row r="938" spans="1:22" x14ac:dyDescent="0.2">
      <c r="A938" s="4">
        <v>937</v>
      </c>
      <c r="B938" s="5" t="s">
        <v>6914</v>
      </c>
      <c r="C938" s="6">
        <v>42237</v>
      </c>
      <c r="D938" s="27">
        <f>MONTH(Table11[[#This Row],[Order Date]])</f>
        <v>8</v>
      </c>
      <c r="E938" s="5" t="s">
        <v>1572</v>
      </c>
      <c r="F938" s="5" t="s">
        <v>1573</v>
      </c>
      <c r="G938" s="24" t="s">
        <v>41</v>
      </c>
      <c r="H938" s="24" t="s">
        <v>53</v>
      </c>
      <c r="I938" s="5" t="s">
        <v>774</v>
      </c>
      <c r="J938" s="24" t="s">
        <v>36</v>
      </c>
      <c r="K938" s="27">
        <v>1</v>
      </c>
      <c r="L938" s="6">
        <v>42242</v>
      </c>
      <c r="M938" s="27">
        <f>Table11[[#This Row],[Ship Date]]-Table11[[#This Row],[Order Date]]</f>
        <v>5</v>
      </c>
      <c r="N938" s="24" t="s">
        <v>45</v>
      </c>
      <c r="O938" s="24" t="s">
        <v>23</v>
      </c>
      <c r="P938" s="24" t="s">
        <v>38</v>
      </c>
      <c r="Q938" s="24" t="s">
        <v>39</v>
      </c>
      <c r="R938" s="24" t="s">
        <v>114</v>
      </c>
      <c r="S938" s="34">
        <v>0</v>
      </c>
      <c r="T938" s="15">
        <v>80.98</v>
      </c>
      <c r="U938" s="18">
        <v>3.2391999999999999</v>
      </c>
      <c r="V938" s="56">
        <f>Table11[[#This Row],[Profit]]/Table11[[#This Row],[Sales]]</f>
        <v>3.9999999999999994E-2</v>
      </c>
    </row>
    <row r="939" spans="1:22" x14ac:dyDescent="0.2">
      <c r="A939" s="2">
        <v>938</v>
      </c>
      <c r="B939" s="3" t="s">
        <v>8462</v>
      </c>
      <c r="C939" s="7">
        <v>42237</v>
      </c>
      <c r="D939" s="28">
        <f>MONTH(Table11[[#This Row],[Order Date]])</f>
        <v>8</v>
      </c>
      <c r="E939" s="3" t="s">
        <v>1414</v>
      </c>
      <c r="F939" s="3" t="s">
        <v>1415</v>
      </c>
      <c r="G939" s="25" t="s">
        <v>41</v>
      </c>
      <c r="H939" s="25" t="s">
        <v>68</v>
      </c>
      <c r="I939" s="3" t="s">
        <v>3488</v>
      </c>
      <c r="J939" s="25" t="s">
        <v>36</v>
      </c>
      <c r="K939" s="28">
        <v>2</v>
      </c>
      <c r="L939" s="7">
        <v>42241</v>
      </c>
      <c r="M939" s="28">
        <f>Table11[[#This Row],[Ship Date]]-Table11[[#This Row],[Order Date]]</f>
        <v>4</v>
      </c>
      <c r="N939" s="25" t="s">
        <v>45</v>
      </c>
      <c r="O939" s="25" t="s">
        <v>23</v>
      </c>
      <c r="P939" s="25" t="s">
        <v>441</v>
      </c>
      <c r="Q939" s="25" t="s">
        <v>133</v>
      </c>
      <c r="R939" s="25" t="s">
        <v>284</v>
      </c>
      <c r="S939" s="35">
        <v>0.7</v>
      </c>
      <c r="T939" s="16">
        <v>12.827999999999999</v>
      </c>
      <c r="U939" s="19">
        <v>-8.9795999999999996</v>
      </c>
      <c r="V939" s="56">
        <f>Table11[[#This Row],[Profit]]/Table11[[#This Row],[Sales]]</f>
        <v>-0.7</v>
      </c>
    </row>
    <row r="940" spans="1:22" x14ac:dyDescent="0.2">
      <c r="A940" s="4">
        <v>939</v>
      </c>
      <c r="B940" s="5" t="s">
        <v>8462</v>
      </c>
      <c r="C940" s="6">
        <v>42237</v>
      </c>
      <c r="D940" s="27">
        <f>MONTH(Table11[[#This Row],[Order Date]])</f>
        <v>8</v>
      </c>
      <c r="E940" s="5" t="s">
        <v>1588</v>
      </c>
      <c r="F940" s="5" t="s">
        <v>1589</v>
      </c>
      <c r="G940" s="24" t="s">
        <v>28</v>
      </c>
      <c r="H940" s="24" t="s">
        <v>32</v>
      </c>
      <c r="I940" s="5" t="s">
        <v>3488</v>
      </c>
      <c r="J940" s="24" t="s">
        <v>36</v>
      </c>
      <c r="K940" s="27">
        <v>3</v>
      </c>
      <c r="L940" s="6">
        <v>42241</v>
      </c>
      <c r="M940" s="27">
        <f>Table11[[#This Row],[Ship Date]]-Table11[[#This Row],[Order Date]]</f>
        <v>4</v>
      </c>
      <c r="N940" s="24" t="s">
        <v>45</v>
      </c>
      <c r="O940" s="24" t="s">
        <v>23</v>
      </c>
      <c r="P940" s="24" t="s">
        <v>441</v>
      </c>
      <c r="Q940" s="24" t="s">
        <v>133</v>
      </c>
      <c r="R940" s="24" t="s">
        <v>284</v>
      </c>
      <c r="S940" s="34">
        <v>0.3</v>
      </c>
      <c r="T940" s="15">
        <v>598.45799999999997</v>
      </c>
      <c r="U940" s="18">
        <v>-42.747</v>
      </c>
      <c r="V940" s="56">
        <f>Table11[[#This Row],[Profit]]/Table11[[#This Row],[Sales]]</f>
        <v>-7.1428571428571438E-2</v>
      </c>
    </row>
    <row r="941" spans="1:22" x14ac:dyDescent="0.2">
      <c r="A941" s="4">
        <v>940</v>
      </c>
      <c r="B941" s="3" t="s">
        <v>8462</v>
      </c>
      <c r="C941" s="7">
        <v>42237</v>
      </c>
      <c r="D941" s="28">
        <f>MONTH(Table11[[#This Row],[Order Date]])</f>
        <v>8</v>
      </c>
      <c r="E941" s="3" t="s">
        <v>5849</v>
      </c>
      <c r="F941" s="3" t="s">
        <v>5850</v>
      </c>
      <c r="G941" s="25" t="s">
        <v>28</v>
      </c>
      <c r="H941" s="25" t="s">
        <v>58</v>
      </c>
      <c r="I941" s="3" t="s">
        <v>3488</v>
      </c>
      <c r="J941" s="25" t="s">
        <v>36</v>
      </c>
      <c r="K941" s="28">
        <v>1</v>
      </c>
      <c r="L941" s="7">
        <v>42241</v>
      </c>
      <c r="M941" s="28">
        <f>Table11[[#This Row],[Ship Date]]-Table11[[#This Row],[Order Date]]</f>
        <v>4</v>
      </c>
      <c r="N941" s="25" t="s">
        <v>45</v>
      </c>
      <c r="O941" s="25" t="s">
        <v>23</v>
      </c>
      <c r="P941" s="25" t="s">
        <v>441</v>
      </c>
      <c r="Q941" s="25" t="s">
        <v>133</v>
      </c>
      <c r="R941" s="25" t="s">
        <v>284</v>
      </c>
      <c r="S941" s="35">
        <v>0.2</v>
      </c>
      <c r="T941" s="16">
        <v>25.984000000000002</v>
      </c>
      <c r="U941" s="19">
        <v>-3.8976000000000002</v>
      </c>
      <c r="V941" s="56">
        <f>Table11[[#This Row],[Profit]]/Table11[[#This Row],[Sales]]</f>
        <v>-0.15</v>
      </c>
    </row>
    <row r="942" spans="1:22" x14ac:dyDescent="0.2">
      <c r="A942" s="2">
        <v>941</v>
      </c>
      <c r="B942" s="5" t="s">
        <v>9297</v>
      </c>
      <c r="C942" s="6">
        <v>42237</v>
      </c>
      <c r="D942" s="27">
        <f>MONTH(Table11[[#This Row],[Order Date]])</f>
        <v>8</v>
      </c>
      <c r="E942" s="5" t="s">
        <v>879</v>
      </c>
      <c r="F942" s="5" t="s">
        <v>880</v>
      </c>
      <c r="G942" s="24" t="s">
        <v>41</v>
      </c>
      <c r="H942" s="24" t="s">
        <v>61</v>
      </c>
      <c r="I942" s="5" t="s">
        <v>3208</v>
      </c>
      <c r="J942" s="24" t="s">
        <v>36</v>
      </c>
      <c r="K942" s="27">
        <v>3</v>
      </c>
      <c r="L942" s="6">
        <v>42242</v>
      </c>
      <c r="M942" s="27">
        <f>Table11[[#This Row],[Ship Date]]-Table11[[#This Row],[Order Date]]</f>
        <v>5</v>
      </c>
      <c r="N942" s="24" t="s">
        <v>45</v>
      </c>
      <c r="O942" s="24" t="s">
        <v>23</v>
      </c>
      <c r="P942" s="24" t="s">
        <v>25</v>
      </c>
      <c r="Q942" s="24" t="s">
        <v>26</v>
      </c>
      <c r="R942" s="24" t="s">
        <v>2271</v>
      </c>
      <c r="S942" s="34">
        <v>0</v>
      </c>
      <c r="T942" s="15">
        <v>17.52</v>
      </c>
      <c r="U942" s="18">
        <v>8.2344000000000008</v>
      </c>
      <c r="V942" s="56">
        <f>Table11[[#This Row],[Profit]]/Table11[[#This Row],[Sales]]</f>
        <v>0.47000000000000008</v>
      </c>
    </row>
    <row r="943" spans="1:22" x14ac:dyDescent="0.2">
      <c r="A943" s="4">
        <v>942</v>
      </c>
      <c r="B943" s="3" t="s">
        <v>9297</v>
      </c>
      <c r="C943" s="7">
        <v>42237</v>
      </c>
      <c r="D943" s="28">
        <f>MONTH(Table11[[#This Row],[Order Date]])</f>
        <v>8</v>
      </c>
      <c r="E943" s="3" t="s">
        <v>327</v>
      </c>
      <c r="F943" s="3" t="s">
        <v>328</v>
      </c>
      <c r="G943" s="25" t="s">
        <v>41</v>
      </c>
      <c r="H943" s="25" t="s">
        <v>61</v>
      </c>
      <c r="I943" s="3" t="s">
        <v>3208</v>
      </c>
      <c r="J943" s="25" t="s">
        <v>36</v>
      </c>
      <c r="K943" s="28">
        <v>12</v>
      </c>
      <c r="L943" s="7">
        <v>42242</v>
      </c>
      <c r="M943" s="28">
        <f>Table11[[#This Row],[Ship Date]]-Table11[[#This Row],[Order Date]]</f>
        <v>5</v>
      </c>
      <c r="N943" s="25" t="s">
        <v>45</v>
      </c>
      <c r="O943" s="25" t="s">
        <v>23</v>
      </c>
      <c r="P943" s="25" t="s">
        <v>25</v>
      </c>
      <c r="Q943" s="25" t="s">
        <v>26</v>
      </c>
      <c r="R943" s="25" t="s">
        <v>2271</v>
      </c>
      <c r="S943" s="35">
        <v>0</v>
      </c>
      <c r="T943" s="16">
        <v>35.76</v>
      </c>
      <c r="U943" s="19">
        <v>10.0128</v>
      </c>
      <c r="V943" s="56">
        <f>Table11[[#This Row],[Profit]]/Table11[[#This Row],[Sales]]</f>
        <v>0.28000000000000003</v>
      </c>
    </row>
    <row r="944" spans="1:22" x14ac:dyDescent="0.2">
      <c r="A944" s="4">
        <v>943</v>
      </c>
      <c r="B944" s="5" t="s">
        <v>9690</v>
      </c>
      <c r="C944" s="6">
        <v>42237</v>
      </c>
      <c r="D944" s="27">
        <f>MONTH(Table11[[#This Row],[Order Date]])</f>
        <v>8</v>
      </c>
      <c r="E944" s="5" t="s">
        <v>1653</v>
      </c>
      <c r="F944" s="5" t="s">
        <v>1147</v>
      </c>
      <c r="G944" s="24" t="s">
        <v>41</v>
      </c>
      <c r="H944" s="24" t="s">
        <v>513</v>
      </c>
      <c r="I944" s="5" t="s">
        <v>4661</v>
      </c>
      <c r="J944" s="24" t="s">
        <v>92</v>
      </c>
      <c r="K944" s="27">
        <v>2</v>
      </c>
      <c r="L944" s="6">
        <v>42241</v>
      </c>
      <c r="M944" s="27">
        <f>Table11[[#This Row],[Ship Date]]-Table11[[#This Row],[Order Date]]</f>
        <v>4</v>
      </c>
      <c r="N944" s="24" t="s">
        <v>45</v>
      </c>
      <c r="O944" s="24" t="s">
        <v>23</v>
      </c>
      <c r="P944" s="24" t="s">
        <v>132</v>
      </c>
      <c r="Q944" s="24" t="s">
        <v>133</v>
      </c>
      <c r="R944" s="24" t="s">
        <v>3581</v>
      </c>
      <c r="S944" s="34">
        <v>0.2</v>
      </c>
      <c r="T944" s="15">
        <v>3.488</v>
      </c>
      <c r="U944" s="18">
        <v>-0.6976</v>
      </c>
      <c r="V944" s="56">
        <f>Table11[[#This Row],[Profit]]/Table11[[#This Row],[Sales]]</f>
        <v>-0.2</v>
      </c>
    </row>
    <row r="945" spans="1:22" x14ac:dyDescent="0.2">
      <c r="A945" s="2">
        <v>944</v>
      </c>
      <c r="B945" s="3" t="s">
        <v>9690</v>
      </c>
      <c r="C945" s="7">
        <v>42237</v>
      </c>
      <c r="D945" s="28">
        <f>MONTH(Table11[[#This Row],[Order Date]])</f>
        <v>8</v>
      </c>
      <c r="E945" s="3" t="s">
        <v>853</v>
      </c>
      <c r="F945" s="3" t="s">
        <v>854</v>
      </c>
      <c r="G945" s="25" t="s">
        <v>64</v>
      </c>
      <c r="H945" s="25" t="s">
        <v>144</v>
      </c>
      <c r="I945" s="3" t="s">
        <v>4661</v>
      </c>
      <c r="J945" s="25" t="s">
        <v>92</v>
      </c>
      <c r="K945" s="28">
        <v>4</v>
      </c>
      <c r="L945" s="7">
        <v>42241</v>
      </c>
      <c r="M945" s="28">
        <f>Table11[[#This Row],[Ship Date]]-Table11[[#This Row],[Order Date]]</f>
        <v>4</v>
      </c>
      <c r="N945" s="25" t="s">
        <v>45</v>
      </c>
      <c r="O945" s="25" t="s">
        <v>23</v>
      </c>
      <c r="P945" s="25" t="s">
        <v>132</v>
      </c>
      <c r="Q945" s="25" t="s">
        <v>133</v>
      </c>
      <c r="R945" s="25" t="s">
        <v>3581</v>
      </c>
      <c r="S945" s="35">
        <v>0.2</v>
      </c>
      <c r="T945" s="16">
        <v>21.728000000000002</v>
      </c>
      <c r="U945" s="19">
        <v>3.8024</v>
      </c>
      <c r="V945" s="56">
        <f>Table11[[#This Row],[Profit]]/Table11[[#This Row],[Sales]]</f>
        <v>0.17499999999999999</v>
      </c>
    </row>
    <row r="946" spans="1:22" x14ac:dyDescent="0.2">
      <c r="A946" s="4">
        <v>945</v>
      </c>
      <c r="B946" s="5" t="s">
        <v>9690</v>
      </c>
      <c r="C946" s="6">
        <v>42237</v>
      </c>
      <c r="D946" s="27">
        <f>MONTH(Table11[[#This Row],[Order Date]])</f>
        <v>8</v>
      </c>
      <c r="E946" s="5" t="s">
        <v>3254</v>
      </c>
      <c r="F946" s="5" t="s">
        <v>3255</v>
      </c>
      <c r="G946" s="24" t="s">
        <v>41</v>
      </c>
      <c r="H946" s="24" t="s">
        <v>53</v>
      </c>
      <c r="I946" s="5" t="s">
        <v>4661</v>
      </c>
      <c r="J946" s="24" t="s">
        <v>92</v>
      </c>
      <c r="K946" s="27">
        <v>6</v>
      </c>
      <c r="L946" s="6">
        <v>42241</v>
      </c>
      <c r="M946" s="27">
        <f>Table11[[#This Row],[Ship Date]]-Table11[[#This Row],[Order Date]]</f>
        <v>4</v>
      </c>
      <c r="N946" s="24" t="s">
        <v>45</v>
      </c>
      <c r="O946" s="24" t="s">
        <v>23</v>
      </c>
      <c r="P946" s="24" t="s">
        <v>132</v>
      </c>
      <c r="Q946" s="24" t="s">
        <v>133</v>
      </c>
      <c r="R946" s="24" t="s">
        <v>3581</v>
      </c>
      <c r="S946" s="34">
        <v>0.2</v>
      </c>
      <c r="T946" s="15">
        <v>663.072</v>
      </c>
      <c r="U946" s="18">
        <v>-165.768</v>
      </c>
      <c r="V946" s="56">
        <f>Table11[[#This Row],[Profit]]/Table11[[#This Row],[Sales]]</f>
        <v>-0.25</v>
      </c>
    </row>
    <row r="947" spans="1:22" x14ac:dyDescent="0.2">
      <c r="A947" s="4">
        <v>946</v>
      </c>
      <c r="B947" s="3" t="s">
        <v>9690</v>
      </c>
      <c r="C947" s="7">
        <v>42237</v>
      </c>
      <c r="D947" s="28">
        <f>MONTH(Table11[[#This Row],[Order Date]])</f>
        <v>8</v>
      </c>
      <c r="E947" s="3" t="s">
        <v>3071</v>
      </c>
      <c r="F947" s="3" t="s">
        <v>3072</v>
      </c>
      <c r="G947" s="25" t="s">
        <v>41</v>
      </c>
      <c r="H947" s="25" t="s">
        <v>68</v>
      </c>
      <c r="I947" s="3" t="s">
        <v>4661</v>
      </c>
      <c r="J947" s="25" t="s">
        <v>92</v>
      </c>
      <c r="K947" s="28">
        <v>2</v>
      </c>
      <c r="L947" s="7">
        <v>42241</v>
      </c>
      <c r="M947" s="28">
        <f>Table11[[#This Row],[Ship Date]]-Table11[[#This Row],[Order Date]]</f>
        <v>4</v>
      </c>
      <c r="N947" s="25" t="s">
        <v>45</v>
      </c>
      <c r="O947" s="25" t="s">
        <v>23</v>
      </c>
      <c r="P947" s="25" t="s">
        <v>132</v>
      </c>
      <c r="Q947" s="25" t="s">
        <v>133</v>
      </c>
      <c r="R947" s="25" t="s">
        <v>3581</v>
      </c>
      <c r="S947" s="35">
        <v>0.7</v>
      </c>
      <c r="T947" s="16">
        <v>99.587999999999994</v>
      </c>
      <c r="U947" s="19">
        <v>-82.99</v>
      </c>
      <c r="V947" s="56">
        <f>Table11[[#This Row],[Profit]]/Table11[[#This Row],[Sales]]</f>
        <v>-0.83333333333333337</v>
      </c>
    </row>
    <row r="948" spans="1:22" x14ac:dyDescent="0.2">
      <c r="A948" s="2">
        <v>947</v>
      </c>
      <c r="B948" s="5" t="s">
        <v>9690</v>
      </c>
      <c r="C948" s="6">
        <v>42237</v>
      </c>
      <c r="D948" s="27">
        <f>MONTH(Table11[[#This Row],[Order Date]])</f>
        <v>8</v>
      </c>
      <c r="E948" s="5" t="s">
        <v>2617</v>
      </c>
      <c r="F948" s="5" t="s">
        <v>2618</v>
      </c>
      <c r="G948" s="24" t="s">
        <v>41</v>
      </c>
      <c r="H948" s="24" t="s">
        <v>82</v>
      </c>
      <c r="I948" s="5" t="s">
        <v>4661</v>
      </c>
      <c r="J948" s="24" t="s">
        <v>92</v>
      </c>
      <c r="K948" s="27">
        <v>2</v>
      </c>
      <c r="L948" s="6">
        <v>42241</v>
      </c>
      <c r="M948" s="27">
        <f>Table11[[#This Row],[Ship Date]]-Table11[[#This Row],[Order Date]]</f>
        <v>4</v>
      </c>
      <c r="N948" s="24" t="s">
        <v>45</v>
      </c>
      <c r="O948" s="24" t="s">
        <v>23</v>
      </c>
      <c r="P948" s="24" t="s">
        <v>132</v>
      </c>
      <c r="Q948" s="24" t="s">
        <v>133</v>
      </c>
      <c r="R948" s="24" t="s">
        <v>3581</v>
      </c>
      <c r="S948" s="34">
        <v>0.2</v>
      </c>
      <c r="T948" s="15">
        <v>49.567999999999998</v>
      </c>
      <c r="U948" s="18">
        <v>15.49</v>
      </c>
      <c r="V948" s="56">
        <f>Table11[[#This Row],[Profit]]/Table11[[#This Row],[Sales]]</f>
        <v>0.3125</v>
      </c>
    </row>
    <row r="949" spans="1:22" x14ac:dyDescent="0.2">
      <c r="A949" s="4">
        <v>948</v>
      </c>
      <c r="B949" s="3" t="s">
        <v>2969</v>
      </c>
      <c r="C949" s="7">
        <v>42238</v>
      </c>
      <c r="D949" s="28">
        <f>MONTH(Table11[[#This Row],[Order Date]])</f>
        <v>8</v>
      </c>
      <c r="E949" s="3" t="s">
        <v>2970</v>
      </c>
      <c r="F949" s="3" t="s">
        <v>2971</v>
      </c>
      <c r="G949" s="25" t="s">
        <v>41</v>
      </c>
      <c r="H949" s="25" t="s">
        <v>68</v>
      </c>
      <c r="I949" s="3" t="s">
        <v>2324</v>
      </c>
      <c r="J949" s="25" t="s">
        <v>36</v>
      </c>
      <c r="K949" s="28">
        <v>6</v>
      </c>
      <c r="L949" s="7">
        <v>42241</v>
      </c>
      <c r="M949" s="28">
        <f>Table11[[#This Row],[Ship Date]]-Table11[[#This Row],[Order Date]]</f>
        <v>3</v>
      </c>
      <c r="N949" s="25" t="s">
        <v>169</v>
      </c>
      <c r="O949" s="25" t="s">
        <v>23</v>
      </c>
      <c r="P949" s="25" t="s">
        <v>238</v>
      </c>
      <c r="Q949" s="25" t="s">
        <v>133</v>
      </c>
      <c r="R949" s="25" t="s">
        <v>237</v>
      </c>
      <c r="S949" s="35">
        <v>0.2</v>
      </c>
      <c r="T949" s="16">
        <v>50.112000000000002</v>
      </c>
      <c r="U949" s="19">
        <v>16.2864</v>
      </c>
      <c r="V949" s="56">
        <f>Table11[[#This Row],[Profit]]/Table11[[#This Row],[Sales]]</f>
        <v>0.32500000000000001</v>
      </c>
    </row>
    <row r="950" spans="1:22" x14ac:dyDescent="0.2">
      <c r="A950" s="4">
        <v>949</v>
      </c>
      <c r="B950" s="5" t="s">
        <v>4573</v>
      </c>
      <c r="C950" s="6">
        <v>42238</v>
      </c>
      <c r="D950" s="27">
        <f>MONTH(Table11[[#This Row],[Order Date]])</f>
        <v>8</v>
      </c>
      <c r="E950" s="5" t="s">
        <v>419</v>
      </c>
      <c r="F950" s="5" t="s">
        <v>420</v>
      </c>
      <c r="G950" s="24" t="s">
        <v>41</v>
      </c>
      <c r="H950" s="24" t="s">
        <v>61</v>
      </c>
      <c r="I950" s="5" t="s">
        <v>372</v>
      </c>
      <c r="J950" s="24" t="s">
        <v>92</v>
      </c>
      <c r="K950" s="27">
        <v>4</v>
      </c>
      <c r="L950" s="6">
        <v>42242</v>
      </c>
      <c r="M950" s="27">
        <f>Table11[[#This Row],[Ship Date]]-Table11[[#This Row],[Order Date]]</f>
        <v>4</v>
      </c>
      <c r="N950" s="24" t="s">
        <v>45</v>
      </c>
      <c r="O950" s="24" t="s">
        <v>23</v>
      </c>
      <c r="P950" s="24" t="s">
        <v>238</v>
      </c>
      <c r="Q950" s="24" t="s">
        <v>133</v>
      </c>
      <c r="R950" s="24" t="s">
        <v>237</v>
      </c>
      <c r="S950" s="34">
        <v>0</v>
      </c>
      <c r="T950" s="15">
        <v>16.52</v>
      </c>
      <c r="U950" s="18">
        <v>7.5991999999999997</v>
      </c>
      <c r="V950" s="56">
        <f>Table11[[#This Row],[Profit]]/Table11[[#This Row],[Sales]]</f>
        <v>0.46</v>
      </c>
    </row>
    <row r="951" spans="1:22" x14ac:dyDescent="0.2">
      <c r="A951" s="2">
        <v>950</v>
      </c>
      <c r="B951" s="3" t="s">
        <v>5627</v>
      </c>
      <c r="C951" s="7">
        <v>42239</v>
      </c>
      <c r="D951" s="28">
        <f>MONTH(Table11[[#This Row],[Order Date]])</f>
        <v>8</v>
      </c>
      <c r="E951" s="3" t="s">
        <v>1914</v>
      </c>
      <c r="F951" s="3" t="s">
        <v>1915</v>
      </c>
      <c r="G951" s="25" t="s">
        <v>41</v>
      </c>
      <c r="H951" s="25" t="s">
        <v>513</v>
      </c>
      <c r="I951" s="3" t="s">
        <v>1099</v>
      </c>
      <c r="J951" s="25" t="s">
        <v>22</v>
      </c>
      <c r="K951" s="28">
        <v>4</v>
      </c>
      <c r="L951" s="7">
        <v>42239</v>
      </c>
      <c r="M951" s="28">
        <f>Table11[[#This Row],[Ship Date]]-Table11[[#This Row],[Order Date]]</f>
        <v>0</v>
      </c>
      <c r="N951" s="25" t="s">
        <v>1141</v>
      </c>
      <c r="O951" s="25" t="s">
        <v>23</v>
      </c>
      <c r="P951" s="25" t="s">
        <v>189</v>
      </c>
      <c r="Q951" s="25" t="s">
        <v>95</v>
      </c>
      <c r="R951" s="25" t="s">
        <v>5628</v>
      </c>
      <c r="S951" s="35">
        <v>0.2</v>
      </c>
      <c r="T951" s="16">
        <v>31.68</v>
      </c>
      <c r="U951" s="19">
        <v>2.7719999999999998</v>
      </c>
      <c r="V951" s="56">
        <f>Table11[[#This Row],[Profit]]/Table11[[#This Row],[Sales]]</f>
        <v>8.7499999999999994E-2</v>
      </c>
    </row>
    <row r="952" spans="1:22" x14ac:dyDescent="0.2">
      <c r="A952" s="4">
        <v>951</v>
      </c>
      <c r="B952" s="5" t="s">
        <v>5627</v>
      </c>
      <c r="C952" s="6">
        <v>42239</v>
      </c>
      <c r="D952" s="27">
        <f>MONTH(Table11[[#This Row],[Order Date]])</f>
        <v>8</v>
      </c>
      <c r="E952" s="5" t="s">
        <v>4046</v>
      </c>
      <c r="F952" s="5" t="s">
        <v>4047</v>
      </c>
      <c r="G952" s="24" t="s">
        <v>41</v>
      </c>
      <c r="H952" s="24" t="s">
        <v>82</v>
      </c>
      <c r="I952" s="5" t="s">
        <v>1099</v>
      </c>
      <c r="J952" s="24" t="s">
        <v>22</v>
      </c>
      <c r="K952" s="27">
        <v>2</v>
      </c>
      <c r="L952" s="6">
        <v>42239</v>
      </c>
      <c r="M952" s="27">
        <f>Table11[[#This Row],[Ship Date]]-Table11[[#This Row],[Order Date]]</f>
        <v>0</v>
      </c>
      <c r="N952" s="24" t="s">
        <v>1141</v>
      </c>
      <c r="O952" s="24" t="s">
        <v>23</v>
      </c>
      <c r="P952" s="24" t="s">
        <v>189</v>
      </c>
      <c r="Q952" s="24" t="s">
        <v>95</v>
      </c>
      <c r="R952" s="24" t="s">
        <v>5628</v>
      </c>
      <c r="S952" s="34">
        <v>0.2</v>
      </c>
      <c r="T952" s="15">
        <v>10.368</v>
      </c>
      <c r="U952" s="18">
        <v>3.6288</v>
      </c>
      <c r="V952" s="56">
        <f>Table11[[#This Row],[Profit]]/Table11[[#This Row],[Sales]]</f>
        <v>0.35</v>
      </c>
    </row>
    <row r="953" spans="1:22" x14ac:dyDescent="0.2">
      <c r="A953" s="4">
        <v>952</v>
      </c>
      <c r="B953" s="3" t="s">
        <v>5627</v>
      </c>
      <c r="C953" s="7">
        <v>42239</v>
      </c>
      <c r="D953" s="28">
        <f>MONTH(Table11[[#This Row],[Order Date]])</f>
        <v>8</v>
      </c>
      <c r="E953" s="3" t="s">
        <v>3520</v>
      </c>
      <c r="F953" s="3" t="s">
        <v>498</v>
      </c>
      <c r="G953" s="25" t="s">
        <v>41</v>
      </c>
      <c r="H953" s="25" t="s">
        <v>240</v>
      </c>
      <c r="I953" s="3" t="s">
        <v>1099</v>
      </c>
      <c r="J953" s="25" t="s">
        <v>22</v>
      </c>
      <c r="K953" s="28">
        <v>8</v>
      </c>
      <c r="L953" s="7">
        <v>42239</v>
      </c>
      <c r="M953" s="28">
        <f>Table11[[#This Row],[Ship Date]]-Table11[[#This Row],[Order Date]]</f>
        <v>0</v>
      </c>
      <c r="N953" s="25" t="s">
        <v>1141</v>
      </c>
      <c r="O953" s="25" t="s">
        <v>23</v>
      </c>
      <c r="P953" s="25" t="s">
        <v>189</v>
      </c>
      <c r="Q953" s="25" t="s">
        <v>95</v>
      </c>
      <c r="R953" s="25" t="s">
        <v>5628</v>
      </c>
      <c r="S953" s="35">
        <v>0.2</v>
      </c>
      <c r="T953" s="16">
        <v>12.032</v>
      </c>
      <c r="U953" s="19">
        <v>2.2559999999999998</v>
      </c>
      <c r="V953" s="56">
        <f>Table11[[#This Row],[Profit]]/Table11[[#This Row],[Sales]]</f>
        <v>0.18749999999999997</v>
      </c>
    </row>
    <row r="954" spans="1:22" x14ac:dyDescent="0.2">
      <c r="A954" s="2">
        <v>953</v>
      </c>
      <c r="B954" s="5" t="s">
        <v>5627</v>
      </c>
      <c r="C954" s="6">
        <v>42239</v>
      </c>
      <c r="D954" s="27">
        <f>MONTH(Table11[[#This Row],[Order Date]])</f>
        <v>8</v>
      </c>
      <c r="E954" s="5" t="s">
        <v>1177</v>
      </c>
      <c r="F954" s="5" t="s">
        <v>1178</v>
      </c>
      <c r="G954" s="24" t="s">
        <v>41</v>
      </c>
      <c r="H954" s="24" t="s">
        <v>71</v>
      </c>
      <c r="I954" s="5" t="s">
        <v>1099</v>
      </c>
      <c r="J954" s="24" t="s">
        <v>22</v>
      </c>
      <c r="K954" s="27">
        <v>2</v>
      </c>
      <c r="L954" s="6">
        <v>42239</v>
      </c>
      <c r="M954" s="27">
        <f>Table11[[#This Row],[Ship Date]]-Table11[[#This Row],[Order Date]]</f>
        <v>0</v>
      </c>
      <c r="N954" s="24" t="s">
        <v>1141</v>
      </c>
      <c r="O954" s="24" t="s">
        <v>23</v>
      </c>
      <c r="P954" s="24" t="s">
        <v>189</v>
      </c>
      <c r="Q954" s="24" t="s">
        <v>95</v>
      </c>
      <c r="R954" s="24" t="s">
        <v>5628</v>
      </c>
      <c r="S954" s="34">
        <v>0.8</v>
      </c>
      <c r="T954" s="15">
        <v>5.7679999999999998</v>
      </c>
      <c r="U954" s="18">
        <v>-13.5548</v>
      </c>
      <c r="V954" s="56">
        <f>Table11[[#This Row],[Profit]]/Table11[[#This Row],[Sales]]</f>
        <v>-2.35</v>
      </c>
    </row>
    <row r="955" spans="1:22" x14ac:dyDescent="0.2">
      <c r="A955" s="4">
        <v>954</v>
      </c>
      <c r="B955" s="3" t="s">
        <v>6428</v>
      </c>
      <c r="C955" s="7">
        <v>42239</v>
      </c>
      <c r="D955" s="28">
        <f>MONTH(Table11[[#This Row],[Order Date]])</f>
        <v>8</v>
      </c>
      <c r="E955" s="3" t="s">
        <v>3902</v>
      </c>
      <c r="F955" s="3" t="s">
        <v>3903</v>
      </c>
      <c r="G955" s="25" t="s">
        <v>41</v>
      </c>
      <c r="H955" s="25" t="s">
        <v>71</v>
      </c>
      <c r="I955" s="3" t="s">
        <v>5238</v>
      </c>
      <c r="J955" s="25" t="s">
        <v>22</v>
      </c>
      <c r="K955" s="28">
        <v>3</v>
      </c>
      <c r="L955" s="7">
        <v>42244</v>
      </c>
      <c r="M955" s="28">
        <f>Table11[[#This Row],[Ship Date]]-Table11[[#This Row],[Order Date]]</f>
        <v>5</v>
      </c>
      <c r="N955" s="25" t="s">
        <v>45</v>
      </c>
      <c r="O955" s="25" t="s">
        <v>23</v>
      </c>
      <c r="P955" s="25" t="s">
        <v>1125</v>
      </c>
      <c r="Q955" s="25" t="s">
        <v>26</v>
      </c>
      <c r="R955" s="25" t="s">
        <v>1537</v>
      </c>
      <c r="S955" s="35">
        <v>0</v>
      </c>
      <c r="T955" s="16">
        <v>542.94000000000005</v>
      </c>
      <c r="U955" s="19">
        <v>152.0232</v>
      </c>
      <c r="V955" s="56">
        <f>Table11[[#This Row],[Profit]]/Table11[[#This Row],[Sales]]</f>
        <v>0.27999999999999997</v>
      </c>
    </row>
    <row r="956" spans="1:22" x14ac:dyDescent="0.2">
      <c r="A956" s="4">
        <v>955</v>
      </c>
      <c r="B956" s="5" t="s">
        <v>6428</v>
      </c>
      <c r="C956" s="6">
        <v>42239</v>
      </c>
      <c r="D956" s="27">
        <f>MONTH(Table11[[#This Row],[Order Date]])</f>
        <v>8</v>
      </c>
      <c r="E956" s="5" t="s">
        <v>4210</v>
      </c>
      <c r="F956" s="5" t="s">
        <v>4211</v>
      </c>
      <c r="G956" s="24" t="s">
        <v>41</v>
      </c>
      <c r="H956" s="24" t="s">
        <v>42</v>
      </c>
      <c r="I956" s="5" t="s">
        <v>5238</v>
      </c>
      <c r="J956" s="24" t="s">
        <v>22</v>
      </c>
      <c r="K956" s="27">
        <v>3</v>
      </c>
      <c r="L956" s="6">
        <v>42244</v>
      </c>
      <c r="M956" s="27">
        <f>Table11[[#This Row],[Ship Date]]-Table11[[#This Row],[Order Date]]</f>
        <v>5</v>
      </c>
      <c r="N956" s="24" t="s">
        <v>45</v>
      </c>
      <c r="O956" s="24" t="s">
        <v>23</v>
      </c>
      <c r="P956" s="24" t="s">
        <v>1125</v>
      </c>
      <c r="Q956" s="24" t="s">
        <v>26</v>
      </c>
      <c r="R956" s="24" t="s">
        <v>1537</v>
      </c>
      <c r="S956" s="34">
        <v>0</v>
      </c>
      <c r="T956" s="15">
        <v>8.64</v>
      </c>
      <c r="U956" s="18">
        <v>4.2336</v>
      </c>
      <c r="V956" s="56">
        <f>Table11[[#This Row],[Profit]]/Table11[[#This Row],[Sales]]</f>
        <v>0.49</v>
      </c>
    </row>
    <row r="957" spans="1:22" x14ac:dyDescent="0.2">
      <c r="A957" s="2">
        <v>956</v>
      </c>
      <c r="B957" s="3" t="s">
        <v>6428</v>
      </c>
      <c r="C957" s="7">
        <v>42239</v>
      </c>
      <c r="D957" s="28">
        <f>MONTH(Table11[[#This Row],[Order Date]])</f>
        <v>8</v>
      </c>
      <c r="E957" s="3" t="s">
        <v>5204</v>
      </c>
      <c r="F957" s="3" t="s">
        <v>5205</v>
      </c>
      <c r="G957" s="25" t="s">
        <v>41</v>
      </c>
      <c r="H957" s="25" t="s">
        <v>82</v>
      </c>
      <c r="I957" s="3" t="s">
        <v>5238</v>
      </c>
      <c r="J957" s="25" t="s">
        <v>22</v>
      </c>
      <c r="K957" s="28">
        <v>5</v>
      </c>
      <c r="L957" s="7">
        <v>42244</v>
      </c>
      <c r="M957" s="28">
        <f>Table11[[#This Row],[Ship Date]]-Table11[[#This Row],[Order Date]]</f>
        <v>5</v>
      </c>
      <c r="N957" s="25" t="s">
        <v>45</v>
      </c>
      <c r="O957" s="25" t="s">
        <v>23</v>
      </c>
      <c r="P957" s="25" t="s">
        <v>1125</v>
      </c>
      <c r="Q957" s="25" t="s">
        <v>26</v>
      </c>
      <c r="R957" s="25" t="s">
        <v>1537</v>
      </c>
      <c r="S957" s="35">
        <v>0</v>
      </c>
      <c r="T957" s="16">
        <v>193.8</v>
      </c>
      <c r="U957" s="19">
        <v>94.962000000000003</v>
      </c>
      <c r="V957" s="56">
        <f>Table11[[#This Row],[Profit]]/Table11[[#This Row],[Sales]]</f>
        <v>0.49</v>
      </c>
    </row>
    <row r="958" spans="1:22" x14ac:dyDescent="0.2">
      <c r="A958" s="4">
        <v>957</v>
      </c>
      <c r="B958" s="5" t="s">
        <v>6428</v>
      </c>
      <c r="C958" s="6">
        <v>42239</v>
      </c>
      <c r="D958" s="27">
        <f>MONTH(Table11[[#This Row],[Order Date]])</f>
        <v>8</v>
      </c>
      <c r="E958" s="5" t="s">
        <v>3939</v>
      </c>
      <c r="F958" s="5" t="s">
        <v>3940</v>
      </c>
      <c r="G958" s="24" t="s">
        <v>41</v>
      </c>
      <c r="H958" s="24" t="s">
        <v>82</v>
      </c>
      <c r="I958" s="5" t="s">
        <v>5238</v>
      </c>
      <c r="J958" s="24" t="s">
        <v>22</v>
      </c>
      <c r="K958" s="27">
        <v>5</v>
      </c>
      <c r="L958" s="6">
        <v>42244</v>
      </c>
      <c r="M958" s="27">
        <f>Table11[[#This Row],[Ship Date]]-Table11[[#This Row],[Order Date]]</f>
        <v>5</v>
      </c>
      <c r="N958" s="24" t="s">
        <v>45</v>
      </c>
      <c r="O958" s="24" t="s">
        <v>23</v>
      </c>
      <c r="P958" s="24" t="s">
        <v>1125</v>
      </c>
      <c r="Q958" s="24" t="s">
        <v>26</v>
      </c>
      <c r="R958" s="24" t="s">
        <v>1537</v>
      </c>
      <c r="S958" s="34">
        <v>0</v>
      </c>
      <c r="T958" s="15">
        <v>21.4</v>
      </c>
      <c r="U958" s="18">
        <v>9.6300000000000008</v>
      </c>
      <c r="V958" s="56">
        <f>Table11[[#This Row],[Profit]]/Table11[[#This Row],[Sales]]</f>
        <v>0.45000000000000007</v>
      </c>
    </row>
    <row r="959" spans="1:22" x14ac:dyDescent="0.2">
      <c r="A959" s="4">
        <v>958</v>
      </c>
      <c r="B959" s="3" t="s">
        <v>6428</v>
      </c>
      <c r="C959" s="7">
        <v>42239</v>
      </c>
      <c r="D959" s="28">
        <f>MONTH(Table11[[#This Row],[Order Date]])</f>
        <v>8</v>
      </c>
      <c r="E959" s="3" t="s">
        <v>6429</v>
      </c>
      <c r="F959" s="3" t="s">
        <v>6430</v>
      </c>
      <c r="G959" s="25" t="s">
        <v>41</v>
      </c>
      <c r="H959" s="25" t="s">
        <v>82</v>
      </c>
      <c r="I959" s="3" t="s">
        <v>5238</v>
      </c>
      <c r="J959" s="25" t="s">
        <v>22</v>
      </c>
      <c r="K959" s="28">
        <v>2</v>
      </c>
      <c r="L959" s="7">
        <v>42244</v>
      </c>
      <c r="M959" s="28">
        <f>Table11[[#This Row],[Ship Date]]-Table11[[#This Row],[Order Date]]</f>
        <v>5</v>
      </c>
      <c r="N959" s="25" t="s">
        <v>45</v>
      </c>
      <c r="O959" s="25" t="s">
        <v>23</v>
      </c>
      <c r="P959" s="25" t="s">
        <v>1125</v>
      </c>
      <c r="Q959" s="25" t="s">
        <v>26</v>
      </c>
      <c r="R959" s="25" t="s">
        <v>1537</v>
      </c>
      <c r="S959" s="35">
        <v>0</v>
      </c>
      <c r="T959" s="16">
        <v>97.88</v>
      </c>
      <c r="U959" s="19">
        <v>48.94</v>
      </c>
      <c r="V959" s="56">
        <f>Table11[[#This Row],[Profit]]/Table11[[#This Row],[Sales]]</f>
        <v>0.5</v>
      </c>
    </row>
    <row r="960" spans="1:22" x14ac:dyDescent="0.2">
      <c r="A960" s="2">
        <v>959</v>
      </c>
      <c r="B960" s="5" t="s">
        <v>6428</v>
      </c>
      <c r="C960" s="6">
        <v>42239</v>
      </c>
      <c r="D960" s="27">
        <f>MONTH(Table11[[#This Row],[Order Date]])</f>
        <v>8</v>
      </c>
      <c r="E960" s="5" t="s">
        <v>3988</v>
      </c>
      <c r="F960" s="5" t="s">
        <v>3989</v>
      </c>
      <c r="G960" s="24" t="s">
        <v>64</v>
      </c>
      <c r="H960" s="24" t="s">
        <v>144</v>
      </c>
      <c r="I960" s="5" t="s">
        <v>5238</v>
      </c>
      <c r="J960" s="24" t="s">
        <v>22</v>
      </c>
      <c r="K960" s="27">
        <v>9</v>
      </c>
      <c r="L960" s="6">
        <v>42244</v>
      </c>
      <c r="M960" s="27">
        <f>Table11[[#This Row],[Ship Date]]-Table11[[#This Row],[Order Date]]</f>
        <v>5</v>
      </c>
      <c r="N960" s="24" t="s">
        <v>45</v>
      </c>
      <c r="O960" s="24" t="s">
        <v>23</v>
      </c>
      <c r="P960" s="24" t="s">
        <v>1125</v>
      </c>
      <c r="Q960" s="24" t="s">
        <v>26</v>
      </c>
      <c r="R960" s="24" t="s">
        <v>1537</v>
      </c>
      <c r="S960" s="34">
        <v>0</v>
      </c>
      <c r="T960" s="15">
        <v>251.91</v>
      </c>
      <c r="U960" s="18">
        <v>47.862900000000003</v>
      </c>
      <c r="V960" s="56">
        <f>Table11[[#This Row],[Profit]]/Table11[[#This Row],[Sales]]</f>
        <v>0.19</v>
      </c>
    </row>
    <row r="961" spans="1:22" x14ac:dyDescent="0.2">
      <c r="A961" s="4">
        <v>960</v>
      </c>
      <c r="B961" s="3" t="s">
        <v>6428</v>
      </c>
      <c r="C961" s="7">
        <v>42239</v>
      </c>
      <c r="D961" s="28">
        <f>MONTH(Table11[[#This Row],[Order Date]])</f>
        <v>8</v>
      </c>
      <c r="E961" s="3" t="s">
        <v>127</v>
      </c>
      <c r="F961" s="3" t="s">
        <v>128</v>
      </c>
      <c r="G961" s="25" t="s">
        <v>41</v>
      </c>
      <c r="H961" s="25" t="s">
        <v>71</v>
      </c>
      <c r="I961" s="3" t="s">
        <v>5238</v>
      </c>
      <c r="J961" s="25" t="s">
        <v>22</v>
      </c>
      <c r="K961" s="28">
        <v>3</v>
      </c>
      <c r="L961" s="7">
        <v>42244</v>
      </c>
      <c r="M961" s="28">
        <f>Table11[[#This Row],[Ship Date]]-Table11[[#This Row],[Order Date]]</f>
        <v>5</v>
      </c>
      <c r="N961" s="25" t="s">
        <v>45</v>
      </c>
      <c r="O961" s="25" t="s">
        <v>23</v>
      </c>
      <c r="P961" s="25" t="s">
        <v>1125</v>
      </c>
      <c r="Q961" s="25" t="s">
        <v>26</v>
      </c>
      <c r="R961" s="25" t="s">
        <v>1537</v>
      </c>
      <c r="S961" s="35">
        <v>0</v>
      </c>
      <c r="T961" s="16">
        <v>25.86</v>
      </c>
      <c r="U961" s="19">
        <v>6.7236000000000002</v>
      </c>
      <c r="V961" s="56">
        <f>Table11[[#This Row],[Profit]]/Table11[[#This Row],[Sales]]</f>
        <v>0.26</v>
      </c>
    </row>
    <row r="962" spans="1:22" x14ac:dyDescent="0.2">
      <c r="A962" s="4">
        <v>961</v>
      </c>
      <c r="B962" s="5" t="s">
        <v>1906</v>
      </c>
      <c r="C962" s="6">
        <v>42240</v>
      </c>
      <c r="D962" s="27">
        <f>MONTH(Table11[[#This Row],[Order Date]])</f>
        <v>8</v>
      </c>
      <c r="E962" s="5" t="s">
        <v>1774</v>
      </c>
      <c r="F962" s="5" t="s">
        <v>1775</v>
      </c>
      <c r="G962" s="24" t="s">
        <v>41</v>
      </c>
      <c r="H962" s="24" t="s">
        <v>53</v>
      </c>
      <c r="I962" s="5" t="s">
        <v>686</v>
      </c>
      <c r="J962" s="24" t="s">
        <v>22</v>
      </c>
      <c r="K962" s="27">
        <v>7</v>
      </c>
      <c r="L962" s="6">
        <v>42244</v>
      </c>
      <c r="M962" s="27">
        <f>Table11[[#This Row],[Ship Date]]-Table11[[#This Row],[Order Date]]</f>
        <v>4</v>
      </c>
      <c r="N962" s="24" t="s">
        <v>45</v>
      </c>
      <c r="O962" s="24" t="s">
        <v>23</v>
      </c>
      <c r="P962" s="24" t="s">
        <v>94</v>
      </c>
      <c r="Q962" s="24" t="s">
        <v>95</v>
      </c>
      <c r="R962" s="24" t="s">
        <v>997</v>
      </c>
      <c r="S962" s="34">
        <v>0.2</v>
      </c>
      <c r="T962" s="15">
        <v>999.43200000000002</v>
      </c>
      <c r="U962" s="18">
        <v>124.929</v>
      </c>
      <c r="V962" s="56">
        <f>Table11[[#This Row],[Profit]]/Table11[[#This Row],[Sales]]</f>
        <v>0.125</v>
      </c>
    </row>
    <row r="963" spans="1:22" x14ac:dyDescent="0.2">
      <c r="A963" s="2">
        <v>962</v>
      </c>
      <c r="B963" s="3" t="s">
        <v>1906</v>
      </c>
      <c r="C963" s="7">
        <v>42240</v>
      </c>
      <c r="D963" s="28">
        <f>MONTH(Table11[[#This Row],[Order Date]])</f>
        <v>8</v>
      </c>
      <c r="E963" s="3" t="s">
        <v>1907</v>
      </c>
      <c r="F963" s="3" t="s">
        <v>1908</v>
      </c>
      <c r="G963" s="25" t="s">
        <v>41</v>
      </c>
      <c r="H963" s="25" t="s">
        <v>53</v>
      </c>
      <c r="I963" s="3" t="s">
        <v>686</v>
      </c>
      <c r="J963" s="25" t="s">
        <v>22</v>
      </c>
      <c r="K963" s="28">
        <v>14</v>
      </c>
      <c r="L963" s="7">
        <v>42244</v>
      </c>
      <c r="M963" s="28">
        <f>Table11[[#This Row],[Ship Date]]-Table11[[#This Row],[Order Date]]</f>
        <v>4</v>
      </c>
      <c r="N963" s="25" t="s">
        <v>45</v>
      </c>
      <c r="O963" s="25" t="s">
        <v>23</v>
      </c>
      <c r="P963" s="25" t="s">
        <v>94</v>
      </c>
      <c r="Q963" s="25" t="s">
        <v>95</v>
      </c>
      <c r="R963" s="25" t="s">
        <v>997</v>
      </c>
      <c r="S963" s="35">
        <v>0.2</v>
      </c>
      <c r="T963" s="16">
        <v>724.08</v>
      </c>
      <c r="U963" s="19">
        <v>-135.76499999999999</v>
      </c>
      <c r="V963" s="56">
        <f>Table11[[#This Row],[Profit]]/Table11[[#This Row],[Sales]]</f>
        <v>-0.18749999999999997</v>
      </c>
    </row>
    <row r="964" spans="1:22" x14ac:dyDescent="0.2">
      <c r="A964" s="4">
        <v>963</v>
      </c>
      <c r="B964" s="5" t="s">
        <v>1906</v>
      </c>
      <c r="C964" s="6">
        <v>42240</v>
      </c>
      <c r="D964" s="27">
        <f>MONTH(Table11[[#This Row],[Order Date]])</f>
        <v>8</v>
      </c>
      <c r="E964" s="5" t="s">
        <v>452</v>
      </c>
      <c r="F964" s="5" t="s">
        <v>453</v>
      </c>
      <c r="G964" s="24" t="s">
        <v>28</v>
      </c>
      <c r="H964" s="24" t="s">
        <v>50</v>
      </c>
      <c r="I964" s="5" t="s">
        <v>686</v>
      </c>
      <c r="J964" s="24" t="s">
        <v>22</v>
      </c>
      <c r="K964" s="27">
        <v>5</v>
      </c>
      <c r="L964" s="6">
        <v>42244</v>
      </c>
      <c r="M964" s="27">
        <f>Table11[[#This Row],[Ship Date]]-Table11[[#This Row],[Order Date]]</f>
        <v>4</v>
      </c>
      <c r="N964" s="24" t="s">
        <v>45</v>
      </c>
      <c r="O964" s="24" t="s">
        <v>23</v>
      </c>
      <c r="P964" s="24" t="s">
        <v>94</v>
      </c>
      <c r="Q964" s="24" t="s">
        <v>95</v>
      </c>
      <c r="R964" s="24" t="s">
        <v>997</v>
      </c>
      <c r="S964" s="34">
        <v>0.3</v>
      </c>
      <c r="T964" s="15">
        <v>918.78499999999997</v>
      </c>
      <c r="U964" s="18">
        <v>-118.12949999999999</v>
      </c>
      <c r="V964" s="56">
        <f>Table11[[#This Row],[Profit]]/Table11[[#This Row],[Sales]]</f>
        <v>-0.12857142857142856</v>
      </c>
    </row>
    <row r="965" spans="1:22" x14ac:dyDescent="0.2">
      <c r="A965" s="4">
        <v>964</v>
      </c>
      <c r="B965" s="3" t="s">
        <v>1906</v>
      </c>
      <c r="C965" s="7">
        <v>42240</v>
      </c>
      <c r="D965" s="28">
        <f>MONTH(Table11[[#This Row],[Order Date]])</f>
        <v>8</v>
      </c>
      <c r="E965" s="3" t="s">
        <v>436</v>
      </c>
      <c r="F965" s="3" t="s">
        <v>437</v>
      </c>
      <c r="G965" s="25" t="s">
        <v>41</v>
      </c>
      <c r="H965" s="25" t="s">
        <v>68</v>
      </c>
      <c r="I965" s="3" t="s">
        <v>686</v>
      </c>
      <c r="J965" s="25" t="s">
        <v>22</v>
      </c>
      <c r="K965" s="28">
        <v>3</v>
      </c>
      <c r="L965" s="7">
        <v>42244</v>
      </c>
      <c r="M965" s="28">
        <f>Table11[[#This Row],[Ship Date]]-Table11[[#This Row],[Order Date]]</f>
        <v>4</v>
      </c>
      <c r="N965" s="25" t="s">
        <v>45</v>
      </c>
      <c r="O965" s="25" t="s">
        <v>23</v>
      </c>
      <c r="P965" s="25" t="s">
        <v>94</v>
      </c>
      <c r="Q965" s="25" t="s">
        <v>95</v>
      </c>
      <c r="R965" s="25" t="s">
        <v>997</v>
      </c>
      <c r="S965" s="35">
        <v>0.8</v>
      </c>
      <c r="T965" s="16">
        <v>2.7240000000000002</v>
      </c>
      <c r="U965" s="19">
        <v>-4.2222</v>
      </c>
      <c r="V965" s="56">
        <f>Table11[[#This Row],[Profit]]/Table11[[#This Row],[Sales]]</f>
        <v>-1.5499999999999998</v>
      </c>
    </row>
    <row r="966" spans="1:22" x14ac:dyDescent="0.2">
      <c r="A966" s="2">
        <v>965</v>
      </c>
      <c r="B966" s="5" t="s">
        <v>5687</v>
      </c>
      <c r="C966" s="6">
        <v>42240</v>
      </c>
      <c r="D966" s="27">
        <f>MONTH(Table11[[#This Row],[Order Date]])</f>
        <v>8</v>
      </c>
      <c r="E966" s="5" t="s">
        <v>73</v>
      </c>
      <c r="F966" s="5" t="s">
        <v>74</v>
      </c>
      <c r="G966" s="24" t="s">
        <v>28</v>
      </c>
      <c r="H966" s="24" t="s">
        <v>50</v>
      </c>
      <c r="I966" s="5" t="s">
        <v>4851</v>
      </c>
      <c r="J966" s="24" t="s">
        <v>36</v>
      </c>
      <c r="K966" s="27">
        <v>2</v>
      </c>
      <c r="L966" s="6">
        <v>42244</v>
      </c>
      <c r="M966" s="27">
        <f>Table11[[#This Row],[Ship Date]]-Table11[[#This Row],[Order Date]]</f>
        <v>4</v>
      </c>
      <c r="N966" s="24" t="s">
        <v>45</v>
      </c>
      <c r="O966" s="24" t="s">
        <v>23</v>
      </c>
      <c r="P966" s="24" t="s">
        <v>238</v>
      </c>
      <c r="Q966" s="24" t="s">
        <v>133</v>
      </c>
      <c r="R966" s="24" t="s">
        <v>237</v>
      </c>
      <c r="S966" s="34">
        <v>0.4</v>
      </c>
      <c r="T966" s="15">
        <v>284.36399999999998</v>
      </c>
      <c r="U966" s="18">
        <v>-75.830399999999997</v>
      </c>
      <c r="V966" s="56">
        <f>Table11[[#This Row],[Profit]]/Table11[[#This Row],[Sales]]</f>
        <v>-0.26666666666666666</v>
      </c>
    </row>
    <row r="967" spans="1:22" x14ac:dyDescent="0.2">
      <c r="A967" s="4">
        <v>966</v>
      </c>
      <c r="B967" s="3" t="s">
        <v>5687</v>
      </c>
      <c r="C967" s="7">
        <v>42240</v>
      </c>
      <c r="D967" s="28">
        <f>MONTH(Table11[[#This Row],[Order Date]])</f>
        <v>8</v>
      </c>
      <c r="E967" s="3" t="s">
        <v>743</v>
      </c>
      <c r="F967" s="3" t="s">
        <v>744</v>
      </c>
      <c r="G967" s="25" t="s">
        <v>64</v>
      </c>
      <c r="H967" s="25" t="s">
        <v>144</v>
      </c>
      <c r="I967" s="3" t="s">
        <v>4851</v>
      </c>
      <c r="J967" s="25" t="s">
        <v>36</v>
      </c>
      <c r="K967" s="28">
        <v>2</v>
      </c>
      <c r="L967" s="7">
        <v>42244</v>
      </c>
      <c r="M967" s="28">
        <f>Table11[[#This Row],[Ship Date]]-Table11[[#This Row],[Order Date]]</f>
        <v>4</v>
      </c>
      <c r="N967" s="25" t="s">
        <v>45</v>
      </c>
      <c r="O967" s="25" t="s">
        <v>23</v>
      </c>
      <c r="P967" s="25" t="s">
        <v>238</v>
      </c>
      <c r="Q967" s="25" t="s">
        <v>133</v>
      </c>
      <c r="R967" s="25" t="s">
        <v>237</v>
      </c>
      <c r="S967" s="35">
        <v>0</v>
      </c>
      <c r="T967" s="16">
        <v>26</v>
      </c>
      <c r="U967" s="19">
        <v>11.7</v>
      </c>
      <c r="V967" s="56">
        <f>Table11[[#This Row],[Profit]]/Table11[[#This Row],[Sales]]</f>
        <v>0.44999999999999996</v>
      </c>
    </row>
    <row r="968" spans="1:22" x14ac:dyDescent="0.2">
      <c r="A968" s="4">
        <v>967</v>
      </c>
      <c r="B968" s="5" t="s">
        <v>6479</v>
      </c>
      <c r="C968" s="6">
        <v>42240</v>
      </c>
      <c r="D968" s="27">
        <f>MONTH(Table11[[#This Row],[Order Date]])</f>
        <v>8</v>
      </c>
      <c r="E968" s="5" t="s">
        <v>752</v>
      </c>
      <c r="F968" s="5" t="s">
        <v>753</v>
      </c>
      <c r="G968" s="24" t="s">
        <v>64</v>
      </c>
      <c r="H968" s="24" t="s">
        <v>602</v>
      </c>
      <c r="I968" s="5" t="s">
        <v>1131</v>
      </c>
      <c r="J968" s="24" t="s">
        <v>22</v>
      </c>
      <c r="K968" s="27">
        <v>7</v>
      </c>
      <c r="L968" s="6">
        <v>42244</v>
      </c>
      <c r="M968" s="27">
        <f>Table11[[#This Row],[Ship Date]]-Table11[[#This Row],[Order Date]]</f>
        <v>4</v>
      </c>
      <c r="N968" s="24" t="s">
        <v>45</v>
      </c>
      <c r="O968" s="24" t="s">
        <v>23</v>
      </c>
      <c r="P968" s="24" t="s">
        <v>25</v>
      </c>
      <c r="Q968" s="24" t="s">
        <v>26</v>
      </c>
      <c r="R968" s="24" t="s">
        <v>2271</v>
      </c>
      <c r="S968" s="34">
        <v>0</v>
      </c>
      <c r="T968" s="15">
        <v>3080</v>
      </c>
      <c r="U968" s="18">
        <v>1416.8</v>
      </c>
      <c r="V968" s="56">
        <f>Table11[[#This Row],[Profit]]/Table11[[#This Row],[Sales]]</f>
        <v>0.45999999999999996</v>
      </c>
    </row>
    <row r="969" spans="1:22" x14ac:dyDescent="0.2">
      <c r="A969" s="2">
        <v>968</v>
      </c>
      <c r="B969" s="3" t="s">
        <v>6479</v>
      </c>
      <c r="C969" s="7">
        <v>42240</v>
      </c>
      <c r="D969" s="28">
        <f>MONTH(Table11[[#This Row],[Order Date]])</f>
        <v>8</v>
      </c>
      <c r="E969" s="3" t="s">
        <v>4399</v>
      </c>
      <c r="F969" s="3" t="s">
        <v>4400</v>
      </c>
      <c r="G969" s="25" t="s">
        <v>64</v>
      </c>
      <c r="H969" s="25" t="s">
        <v>144</v>
      </c>
      <c r="I969" s="3" t="s">
        <v>1131</v>
      </c>
      <c r="J969" s="25" t="s">
        <v>22</v>
      </c>
      <c r="K969" s="28">
        <v>4</v>
      </c>
      <c r="L969" s="7">
        <v>42244</v>
      </c>
      <c r="M969" s="28">
        <f>Table11[[#This Row],[Ship Date]]-Table11[[#This Row],[Order Date]]</f>
        <v>4</v>
      </c>
      <c r="N969" s="25" t="s">
        <v>45</v>
      </c>
      <c r="O969" s="25" t="s">
        <v>23</v>
      </c>
      <c r="P969" s="25" t="s">
        <v>25</v>
      </c>
      <c r="Q969" s="25" t="s">
        <v>26</v>
      </c>
      <c r="R969" s="25" t="s">
        <v>2271</v>
      </c>
      <c r="S969" s="35">
        <v>0</v>
      </c>
      <c r="T969" s="16">
        <v>79.959999999999994</v>
      </c>
      <c r="U969" s="19">
        <v>18.390799999999999</v>
      </c>
      <c r="V969" s="56">
        <f>Table11[[#This Row],[Profit]]/Table11[[#This Row],[Sales]]</f>
        <v>0.23</v>
      </c>
    </row>
    <row r="970" spans="1:22" x14ac:dyDescent="0.2">
      <c r="A970" s="4">
        <v>969</v>
      </c>
      <c r="B970" s="5" t="s">
        <v>6479</v>
      </c>
      <c r="C970" s="6">
        <v>42240</v>
      </c>
      <c r="D970" s="27">
        <f>MONTH(Table11[[#This Row],[Order Date]])</f>
        <v>8</v>
      </c>
      <c r="E970" s="5" t="s">
        <v>6334</v>
      </c>
      <c r="F970" s="5" t="s">
        <v>6335</v>
      </c>
      <c r="G970" s="24" t="s">
        <v>64</v>
      </c>
      <c r="H970" s="24" t="s">
        <v>65</v>
      </c>
      <c r="I970" s="5" t="s">
        <v>1131</v>
      </c>
      <c r="J970" s="24" t="s">
        <v>22</v>
      </c>
      <c r="K970" s="27">
        <v>3</v>
      </c>
      <c r="L970" s="6">
        <v>42244</v>
      </c>
      <c r="M970" s="27">
        <f>Table11[[#This Row],[Ship Date]]-Table11[[#This Row],[Order Date]]</f>
        <v>4</v>
      </c>
      <c r="N970" s="24" t="s">
        <v>45</v>
      </c>
      <c r="O970" s="24" t="s">
        <v>23</v>
      </c>
      <c r="P970" s="24" t="s">
        <v>25</v>
      </c>
      <c r="Q970" s="24" t="s">
        <v>26</v>
      </c>
      <c r="R970" s="24" t="s">
        <v>2271</v>
      </c>
      <c r="S970" s="34">
        <v>0</v>
      </c>
      <c r="T970" s="15">
        <v>587.97</v>
      </c>
      <c r="U970" s="18">
        <v>170.51130000000001</v>
      </c>
      <c r="V970" s="56">
        <f>Table11[[#This Row],[Profit]]/Table11[[#This Row],[Sales]]</f>
        <v>0.28999999999999998</v>
      </c>
    </row>
    <row r="971" spans="1:22" x14ac:dyDescent="0.2">
      <c r="A971" s="4">
        <v>970</v>
      </c>
      <c r="B971" s="3" t="s">
        <v>8785</v>
      </c>
      <c r="C971" s="7">
        <v>42240</v>
      </c>
      <c r="D971" s="28">
        <f>MONTH(Table11[[#This Row],[Order Date]])</f>
        <v>8</v>
      </c>
      <c r="E971" s="3" t="s">
        <v>1803</v>
      </c>
      <c r="F971" s="3" t="s">
        <v>1804</v>
      </c>
      <c r="G971" s="25" t="s">
        <v>28</v>
      </c>
      <c r="H971" s="25" t="s">
        <v>58</v>
      </c>
      <c r="I971" s="3" t="s">
        <v>4910</v>
      </c>
      <c r="J971" s="25" t="s">
        <v>22</v>
      </c>
      <c r="K971" s="28">
        <v>3</v>
      </c>
      <c r="L971" s="7">
        <v>42244</v>
      </c>
      <c r="M971" s="28">
        <f>Table11[[#This Row],[Ship Date]]-Table11[[#This Row],[Order Date]]</f>
        <v>4</v>
      </c>
      <c r="N971" s="25" t="s">
        <v>20</v>
      </c>
      <c r="O971" s="25" t="s">
        <v>23</v>
      </c>
      <c r="P971" s="25" t="s">
        <v>238</v>
      </c>
      <c r="Q971" s="25" t="s">
        <v>133</v>
      </c>
      <c r="R971" s="25" t="s">
        <v>237</v>
      </c>
      <c r="S971" s="35">
        <v>0</v>
      </c>
      <c r="T971" s="16">
        <v>14.91</v>
      </c>
      <c r="U971" s="19">
        <v>4.6220999999999997</v>
      </c>
      <c r="V971" s="56">
        <f>Table11[[#This Row],[Profit]]/Table11[[#This Row],[Sales]]</f>
        <v>0.31</v>
      </c>
    </row>
    <row r="972" spans="1:22" x14ac:dyDescent="0.2">
      <c r="A972" s="2">
        <v>971</v>
      </c>
      <c r="B972" s="5" t="s">
        <v>8877</v>
      </c>
      <c r="C972" s="6">
        <v>42240</v>
      </c>
      <c r="D972" s="27">
        <f>MONTH(Table11[[#This Row],[Order Date]])</f>
        <v>8</v>
      </c>
      <c r="E972" s="5" t="s">
        <v>327</v>
      </c>
      <c r="F972" s="5" t="s">
        <v>328</v>
      </c>
      <c r="G972" s="24" t="s">
        <v>41</v>
      </c>
      <c r="H972" s="24" t="s">
        <v>61</v>
      </c>
      <c r="I972" s="5" t="s">
        <v>1194</v>
      </c>
      <c r="J972" s="24" t="s">
        <v>22</v>
      </c>
      <c r="K972" s="27">
        <v>3</v>
      </c>
      <c r="L972" s="6">
        <v>42242</v>
      </c>
      <c r="M972" s="27">
        <f>Table11[[#This Row],[Ship Date]]-Table11[[#This Row],[Order Date]]</f>
        <v>2</v>
      </c>
      <c r="N972" s="24" t="s">
        <v>169</v>
      </c>
      <c r="O972" s="24" t="s">
        <v>23</v>
      </c>
      <c r="P972" s="24" t="s">
        <v>374</v>
      </c>
      <c r="Q972" s="24" t="s">
        <v>39</v>
      </c>
      <c r="R972" s="24" t="s">
        <v>373</v>
      </c>
      <c r="S972" s="34">
        <v>0.2</v>
      </c>
      <c r="T972" s="15">
        <v>7.1520000000000001</v>
      </c>
      <c r="U972" s="18">
        <v>0.71519999999999995</v>
      </c>
      <c r="V972" s="56">
        <f>Table11[[#This Row],[Profit]]/Table11[[#This Row],[Sales]]</f>
        <v>9.9999999999999992E-2</v>
      </c>
    </row>
    <row r="973" spans="1:22" x14ac:dyDescent="0.2">
      <c r="A973" s="4">
        <v>972</v>
      </c>
      <c r="B973" s="3" t="s">
        <v>9888</v>
      </c>
      <c r="C973" s="7">
        <v>42240</v>
      </c>
      <c r="D973" s="28">
        <f>MONTH(Table11[[#This Row],[Order Date]])</f>
        <v>8</v>
      </c>
      <c r="E973" s="3" t="s">
        <v>4467</v>
      </c>
      <c r="F973" s="3" t="s">
        <v>4468</v>
      </c>
      <c r="G973" s="25" t="s">
        <v>64</v>
      </c>
      <c r="H973" s="25" t="s">
        <v>65</v>
      </c>
      <c r="I973" s="3" t="s">
        <v>2787</v>
      </c>
      <c r="J973" s="25" t="s">
        <v>22</v>
      </c>
      <c r="K973" s="28">
        <v>3</v>
      </c>
      <c r="L973" s="7">
        <v>42242</v>
      </c>
      <c r="M973" s="28">
        <f>Table11[[#This Row],[Ship Date]]-Table11[[#This Row],[Order Date]]</f>
        <v>2</v>
      </c>
      <c r="N973" s="25" t="s">
        <v>20</v>
      </c>
      <c r="O973" s="25" t="s">
        <v>23</v>
      </c>
      <c r="P973" s="25" t="s">
        <v>441</v>
      </c>
      <c r="Q973" s="25" t="s">
        <v>133</v>
      </c>
      <c r="R973" s="25" t="s">
        <v>4081</v>
      </c>
      <c r="S973" s="35">
        <v>0.4</v>
      </c>
      <c r="T973" s="16">
        <v>26.981999999999999</v>
      </c>
      <c r="U973" s="19">
        <v>4.0472999999999999</v>
      </c>
      <c r="V973" s="56">
        <f>Table11[[#This Row],[Profit]]/Table11[[#This Row],[Sales]]</f>
        <v>0.15</v>
      </c>
    </row>
    <row r="974" spans="1:22" x14ac:dyDescent="0.2">
      <c r="A974" s="4">
        <v>973</v>
      </c>
      <c r="B974" s="5" t="s">
        <v>9888</v>
      </c>
      <c r="C974" s="6">
        <v>42240</v>
      </c>
      <c r="D974" s="27">
        <f>MONTH(Table11[[#This Row],[Order Date]])</f>
        <v>8</v>
      </c>
      <c r="E974" s="5" t="s">
        <v>4210</v>
      </c>
      <c r="F974" s="5" t="s">
        <v>4211</v>
      </c>
      <c r="G974" s="24" t="s">
        <v>41</v>
      </c>
      <c r="H974" s="24" t="s">
        <v>42</v>
      </c>
      <c r="I974" s="5" t="s">
        <v>2787</v>
      </c>
      <c r="J974" s="24" t="s">
        <v>22</v>
      </c>
      <c r="K974" s="27">
        <v>3</v>
      </c>
      <c r="L974" s="6">
        <v>42242</v>
      </c>
      <c r="M974" s="27">
        <f>Table11[[#This Row],[Ship Date]]-Table11[[#This Row],[Order Date]]</f>
        <v>2</v>
      </c>
      <c r="N974" s="24" t="s">
        <v>20</v>
      </c>
      <c r="O974" s="24" t="s">
        <v>23</v>
      </c>
      <c r="P974" s="24" t="s">
        <v>441</v>
      </c>
      <c r="Q974" s="24" t="s">
        <v>133</v>
      </c>
      <c r="R974" s="24" t="s">
        <v>4081</v>
      </c>
      <c r="S974" s="34">
        <v>0.2</v>
      </c>
      <c r="T974" s="15">
        <v>6.9119999999999999</v>
      </c>
      <c r="U974" s="18">
        <v>2.5055999999999998</v>
      </c>
      <c r="V974" s="56">
        <f>Table11[[#This Row],[Profit]]/Table11[[#This Row],[Sales]]</f>
        <v>0.36249999999999999</v>
      </c>
    </row>
    <row r="975" spans="1:22" x14ac:dyDescent="0.2">
      <c r="A975" s="2">
        <v>974</v>
      </c>
      <c r="B975" s="3" t="s">
        <v>9888</v>
      </c>
      <c r="C975" s="7">
        <v>42240</v>
      </c>
      <c r="D975" s="28">
        <f>MONTH(Table11[[#This Row],[Order Date]])</f>
        <v>8</v>
      </c>
      <c r="E975" s="3" t="s">
        <v>894</v>
      </c>
      <c r="F975" s="3" t="s">
        <v>895</v>
      </c>
      <c r="G975" s="25" t="s">
        <v>41</v>
      </c>
      <c r="H975" s="25" t="s">
        <v>53</v>
      </c>
      <c r="I975" s="3" t="s">
        <v>2787</v>
      </c>
      <c r="J975" s="25" t="s">
        <v>22</v>
      </c>
      <c r="K975" s="28">
        <v>3</v>
      </c>
      <c r="L975" s="7">
        <v>42242</v>
      </c>
      <c r="M975" s="28">
        <f>Table11[[#This Row],[Ship Date]]-Table11[[#This Row],[Order Date]]</f>
        <v>2</v>
      </c>
      <c r="N975" s="25" t="s">
        <v>20</v>
      </c>
      <c r="O975" s="25" t="s">
        <v>23</v>
      </c>
      <c r="P975" s="25" t="s">
        <v>441</v>
      </c>
      <c r="Q975" s="25" t="s">
        <v>133</v>
      </c>
      <c r="R975" s="25" t="s">
        <v>4081</v>
      </c>
      <c r="S975" s="35">
        <v>0.2</v>
      </c>
      <c r="T975" s="16">
        <v>435.50400000000002</v>
      </c>
      <c r="U975" s="19">
        <v>48.994199999999999</v>
      </c>
      <c r="V975" s="56">
        <f>Table11[[#This Row],[Profit]]/Table11[[#This Row],[Sales]]</f>
        <v>0.11249999999999999</v>
      </c>
    </row>
    <row r="976" spans="1:22" x14ac:dyDescent="0.2">
      <c r="A976" s="4">
        <v>975</v>
      </c>
      <c r="B976" s="5" t="s">
        <v>5156</v>
      </c>
      <c r="C976" s="6">
        <v>42241</v>
      </c>
      <c r="D976" s="27">
        <f>MONTH(Table11[[#This Row],[Order Date]])</f>
        <v>8</v>
      </c>
      <c r="E976" s="5" t="s">
        <v>134</v>
      </c>
      <c r="F976" s="5" t="s">
        <v>135</v>
      </c>
      <c r="G976" s="24" t="s">
        <v>28</v>
      </c>
      <c r="H976" s="24" t="s">
        <v>32</v>
      </c>
      <c r="I976" s="5" t="s">
        <v>5157</v>
      </c>
      <c r="J976" s="24" t="s">
        <v>92</v>
      </c>
      <c r="K976" s="27">
        <v>1</v>
      </c>
      <c r="L976" s="6">
        <v>42246</v>
      </c>
      <c r="M976" s="27">
        <f>Table11[[#This Row],[Ship Date]]-Table11[[#This Row],[Order Date]]</f>
        <v>5</v>
      </c>
      <c r="N976" s="24" t="s">
        <v>45</v>
      </c>
      <c r="O976" s="24" t="s">
        <v>23</v>
      </c>
      <c r="P976" s="24" t="s">
        <v>38</v>
      </c>
      <c r="Q976" s="24" t="s">
        <v>39</v>
      </c>
      <c r="R976" s="24" t="s">
        <v>37</v>
      </c>
      <c r="S976" s="34">
        <v>0.2</v>
      </c>
      <c r="T976" s="15">
        <v>40.783999999999999</v>
      </c>
      <c r="U976" s="18">
        <v>4.5881999999999996</v>
      </c>
      <c r="V976" s="56">
        <f>Table11[[#This Row],[Profit]]/Table11[[#This Row],[Sales]]</f>
        <v>0.11249999999999999</v>
      </c>
    </row>
    <row r="977" spans="1:22" x14ac:dyDescent="0.2">
      <c r="A977" s="4">
        <v>976</v>
      </c>
      <c r="B977" s="3" t="s">
        <v>5156</v>
      </c>
      <c r="C977" s="7">
        <v>42241</v>
      </c>
      <c r="D977" s="28">
        <f>MONTH(Table11[[#This Row],[Order Date]])</f>
        <v>8</v>
      </c>
      <c r="E977" s="3" t="s">
        <v>4606</v>
      </c>
      <c r="F977" s="3" t="s">
        <v>4607</v>
      </c>
      <c r="G977" s="25" t="s">
        <v>41</v>
      </c>
      <c r="H977" s="25" t="s">
        <v>71</v>
      </c>
      <c r="I977" s="3" t="s">
        <v>5157</v>
      </c>
      <c r="J977" s="25" t="s">
        <v>92</v>
      </c>
      <c r="K977" s="28">
        <v>4</v>
      </c>
      <c r="L977" s="7">
        <v>42246</v>
      </c>
      <c r="M977" s="28">
        <f>Table11[[#This Row],[Ship Date]]-Table11[[#This Row],[Order Date]]</f>
        <v>5</v>
      </c>
      <c r="N977" s="25" t="s">
        <v>45</v>
      </c>
      <c r="O977" s="25" t="s">
        <v>23</v>
      </c>
      <c r="P977" s="25" t="s">
        <v>38</v>
      </c>
      <c r="Q977" s="25" t="s">
        <v>39</v>
      </c>
      <c r="R977" s="25" t="s">
        <v>37</v>
      </c>
      <c r="S977" s="35">
        <v>0</v>
      </c>
      <c r="T977" s="16">
        <v>105.96</v>
      </c>
      <c r="U977" s="19">
        <v>29.668800000000001</v>
      </c>
      <c r="V977" s="56">
        <f>Table11[[#This Row],[Profit]]/Table11[[#This Row],[Sales]]</f>
        <v>0.28000000000000003</v>
      </c>
    </row>
    <row r="978" spans="1:22" x14ac:dyDescent="0.2">
      <c r="A978" s="2">
        <v>977</v>
      </c>
      <c r="B978" s="5" t="s">
        <v>8328</v>
      </c>
      <c r="C978" s="6">
        <v>42241</v>
      </c>
      <c r="D978" s="27">
        <f>MONTH(Table11[[#This Row],[Order Date]])</f>
        <v>8</v>
      </c>
      <c r="E978" s="5" t="s">
        <v>3465</v>
      </c>
      <c r="F978" s="5" t="s">
        <v>4567</v>
      </c>
      <c r="G978" s="24" t="s">
        <v>28</v>
      </c>
      <c r="H978" s="24" t="s">
        <v>58</v>
      </c>
      <c r="I978" s="5" t="s">
        <v>3678</v>
      </c>
      <c r="J978" s="24" t="s">
        <v>22</v>
      </c>
      <c r="K978" s="27">
        <v>2</v>
      </c>
      <c r="L978" s="6">
        <v>42241</v>
      </c>
      <c r="M978" s="27">
        <f>Table11[[#This Row],[Ship Date]]-Table11[[#This Row],[Order Date]]</f>
        <v>0</v>
      </c>
      <c r="N978" s="24" t="s">
        <v>1141</v>
      </c>
      <c r="O978" s="24" t="s">
        <v>23</v>
      </c>
      <c r="P978" s="24" t="s">
        <v>94</v>
      </c>
      <c r="Q978" s="24" t="s">
        <v>95</v>
      </c>
      <c r="R978" s="24" t="s">
        <v>165</v>
      </c>
      <c r="S978" s="34">
        <v>0.6</v>
      </c>
      <c r="T978" s="15">
        <v>20.103999999999999</v>
      </c>
      <c r="U978" s="18">
        <v>-16.585799999999999</v>
      </c>
      <c r="V978" s="56">
        <f>Table11[[#This Row],[Profit]]/Table11[[#This Row],[Sales]]</f>
        <v>-0.82499999999999996</v>
      </c>
    </row>
    <row r="979" spans="1:22" x14ac:dyDescent="0.2">
      <c r="A979" s="4">
        <v>978</v>
      </c>
      <c r="B979" s="3" t="s">
        <v>8328</v>
      </c>
      <c r="C979" s="7">
        <v>42241</v>
      </c>
      <c r="D979" s="28">
        <f>MONTH(Table11[[#This Row],[Order Date]])</f>
        <v>8</v>
      </c>
      <c r="E979" s="3" t="s">
        <v>1420</v>
      </c>
      <c r="F979" s="3" t="s">
        <v>1421</v>
      </c>
      <c r="G979" s="25" t="s">
        <v>41</v>
      </c>
      <c r="H979" s="25" t="s">
        <v>68</v>
      </c>
      <c r="I979" s="3" t="s">
        <v>3678</v>
      </c>
      <c r="J979" s="25" t="s">
        <v>22</v>
      </c>
      <c r="K979" s="28">
        <v>1</v>
      </c>
      <c r="L979" s="7">
        <v>42241</v>
      </c>
      <c r="M979" s="28">
        <f>Table11[[#This Row],[Ship Date]]-Table11[[#This Row],[Order Date]]</f>
        <v>0</v>
      </c>
      <c r="N979" s="25" t="s">
        <v>1141</v>
      </c>
      <c r="O979" s="25" t="s">
        <v>23</v>
      </c>
      <c r="P979" s="25" t="s">
        <v>94</v>
      </c>
      <c r="Q979" s="25" t="s">
        <v>95</v>
      </c>
      <c r="R979" s="25" t="s">
        <v>165</v>
      </c>
      <c r="S979" s="35">
        <v>0.8</v>
      </c>
      <c r="T979" s="16">
        <v>3.798</v>
      </c>
      <c r="U979" s="19">
        <v>-6.0768000000000004</v>
      </c>
      <c r="V979" s="56">
        <f>Table11[[#This Row],[Profit]]/Table11[[#This Row],[Sales]]</f>
        <v>-1.6</v>
      </c>
    </row>
    <row r="980" spans="1:22" x14ac:dyDescent="0.2">
      <c r="A980" s="4">
        <v>979</v>
      </c>
      <c r="B980" s="5" t="s">
        <v>8328</v>
      </c>
      <c r="C980" s="6">
        <v>42241</v>
      </c>
      <c r="D980" s="27">
        <f>MONTH(Table11[[#This Row],[Order Date]])</f>
        <v>8</v>
      </c>
      <c r="E980" s="5" t="s">
        <v>8329</v>
      </c>
      <c r="F980" s="5" t="s">
        <v>8330</v>
      </c>
      <c r="G980" s="24" t="s">
        <v>28</v>
      </c>
      <c r="H980" s="24" t="s">
        <v>58</v>
      </c>
      <c r="I980" s="5" t="s">
        <v>3678</v>
      </c>
      <c r="J980" s="24" t="s">
        <v>22</v>
      </c>
      <c r="K980" s="27">
        <v>5</v>
      </c>
      <c r="L980" s="6">
        <v>42241</v>
      </c>
      <c r="M980" s="27">
        <f>Table11[[#This Row],[Ship Date]]-Table11[[#This Row],[Order Date]]</f>
        <v>0</v>
      </c>
      <c r="N980" s="24" t="s">
        <v>1141</v>
      </c>
      <c r="O980" s="24" t="s">
        <v>23</v>
      </c>
      <c r="P980" s="24" t="s">
        <v>94</v>
      </c>
      <c r="Q980" s="24" t="s">
        <v>95</v>
      </c>
      <c r="R980" s="24" t="s">
        <v>165</v>
      </c>
      <c r="S980" s="34">
        <v>0.6</v>
      </c>
      <c r="T980" s="15">
        <v>7.88</v>
      </c>
      <c r="U980" s="18">
        <v>-3.94</v>
      </c>
      <c r="V980" s="56">
        <f>Table11[[#This Row],[Profit]]/Table11[[#This Row],[Sales]]</f>
        <v>-0.5</v>
      </c>
    </row>
    <row r="981" spans="1:22" x14ac:dyDescent="0.2">
      <c r="A981" s="2">
        <v>980</v>
      </c>
      <c r="B981" s="3" t="s">
        <v>2637</v>
      </c>
      <c r="C981" s="7">
        <v>42243</v>
      </c>
      <c r="D981" s="28">
        <f>MONTH(Table11[[#This Row],[Order Date]])</f>
        <v>8</v>
      </c>
      <c r="E981" s="3" t="s">
        <v>2640</v>
      </c>
      <c r="F981" s="3" t="s">
        <v>2641</v>
      </c>
      <c r="G981" s="25" t="s">
        <v>41</v>
      </c>
      <c r="H981" s="25" t="s">
        <v>53</v>
      </c>
      <c r="I981" s="3" t="s">
        <v>2638</v>
      </c>
      <c r="J981" s="25" t="s">
        <v>22</v>
      </c>
      <c r="K981" s="28">
        <v>3</v>
      </c>
      <c r="L981" s="7">
        <v>42247</v>
      </c>
      <c r="M981" s="28">
        <f>Table11[[#This Row],[Ship Date]]-Table11[[#This Row],[Order Date]]</f>
        <v>4</v>
      </c>
      <c r="N981" s="25" t="s">
        <v>45</v>
      </c>
      <c r="O981" s="25" t="s">
        <v>23</v>
      </c>
      <c r="P981" s="25" t="s">
        <v>38</v>
      </c>
      <c r="Q981" s="25" t="s">
        <v>39</v>
      </c>
      <c r="R981" s="25" t="s">
        <v>2639</v>
      </c>
      <c r="S981" s="35">
        <v>0</v>
      </c>
      <c r="T981" s="16">
        <v>484.65</v>
      </c>
      <c r="U981" s="19">
        <v>92.083500000000001</v>
      </c>
      <c r="V981" s="56">
        <f>Table11[[#This Row],[Profit]]/Table11[[#This Row],[Sales]]</f>
        <v>0.19</v>
      </c>
    </row>
    <row r="982" spans="1:22" x14ac:dyDescent="0.2">
      <c r="A982" s="4">
        <v>981</v>
      </c>
      <c r="B982" s="5" t="s">
        <v>3172</v>
      </c>
      <c r="C982" s="6">
        <v>42243</v>
      </c>
      <c r="D982" s="27">
        <f>MONTH(Table11[[#This Row],[Order Date]])</f>
        <v>8</v>
      </c>
      <c r="E982" s="5" t="s">
        <v>512</v>
      </c>
      <c r="F982" s="5" t="s">
        <v>514</v>
      </c>
      <c r="G982" s="24" t="s">
        <v>41</v>
      </c>
      <c r="H982" s="24" t="s">
        <v>513</v>
      </c>
      <c r="I982" s="5" t="s">
        <v>475</v>
      </c>
      <c r="J982" s="24" t="s">
        <v>22</v>
      </c>
      <c r="K982" s="27">
        <v>3</v>
      </c>
      <c r="L982" s="6">
        <v>42248</v>
      </c>
      <c r="M982" s="27">
        <f>Table11[[#This Row],[Ship Date]]-Table11[[#This Row],[Order Date]]</f>
        <v>5</v>
      </c>
      <c r="N982" s="24" t="s">
        <v>45</v>
      </c>
      <c r="O982" s="24" t="s">
        <v>23</v>
      </c>
      <c r="P982" s="24" t="s">
        <v>38</v>
      </c>
      <c r="Q982" s="24" t="s">
        <v>39</v>
      </c>
      <c r="R982" s="24" t="s">
        <v>836</v>
      </c>
      <c r="S982" s="34">
        <v>0</v>
      </c>
      <c r="T982" s="15">
        <v>32.94</v>
      </c>
      <c r="U982" s="18">
        <v>9.2232000000000003</v>
      </c>
      <c r="V982" s="56">
        <f>Table11[[#This Row],[Profit]]/Table11[[#This Row],[Sales]]</f>
        <v>0.28000000000000003</v>
      </c>
    </row>
    <row r="983" spans="1:22" x14ac:dyDescent="0.2">
      <c r="A983" s="4">
        <v>982</v>
      </c>
      <c r="B983" s="3" t="s">
        <v>3172</v>
      </c>
      <c r="C983" s="7">
        <v>42243</v>
      </c>
      <c r="D983" s="28">
        <f>MONTH(Table11[[#This Row],[Order Date]])</f>
        <v>8</v>
      </c>
      <c r="E983" s="3" t="s">
        <v>3173</v>
      </c>
      <c r="F983" s="3" t="s">
        <v>3174</v>
      </c>
      <c r="G983" s="25" t="s">
        <v>41</v>
      </c>
      <c r="H983" s="25" t="s">
        <v>82</v>
      </c>
      <c r="I983" s="3" t="s">
        <v>475</v>
      </c>
      <c r="J983" s="25" t="s">
        <v>22</v>
      </c>
      <c r="K983" s="28">
        <v>5</v>
      </c>
      <c r="L983" s="7">
        <v>42248</v>
      </c>
      <c r="M983" s="28">
        <f>Table11[[#This Row],[Ship Date]]-Table11[[#This Row],[Order Date]]</f>
        <v>5</v>
      </c>
      <c r="N983" s="25" t="s">
        <v>45</v>
      </c>
      <c r="O983" s="25" t="s">
        <v>23</v>
      </c>
      <c r="P983" s="25" t="s">
        <v>38</v>
      </c>
      <c r="Q983" s="25" t="s">
        <v>39</v>
      </c>
      <c r="R983" s="25" t="s">
        <v>836</v>
      </c>
      <c r="S983" s="35">
        <v>0</v>
      </c>
      <c r="T983" s="16">
        <v>114.2</v>
      </c>
      <c r="U983" s="19">
        <v>52.531999999999996</v>
      </c>
      <c r="V983" s="56">
        <f>Table11[[#This Row],[Profit]]/Table11[[#This Row],[Sales]]</f>
        <v>0.45999999999999996</v>
      </c>
    </row>
    <row r="984" spans="1:22" x14ac:dyDescent="0.2">
      <c r="A984" s="2">
        <v>983</v>
      </c>
      <c r="B984" s="5" t="s">
        <v>3172</v>
      </c>
      <c r="C984" s="6">
        <v>42243</v>
      </c>
      <c r="D984" s="27">
        <f>MONTH(Table11[[#This Row],[Order Date]])</f>
        <v>8</v>
      </c>
      <c r="E984" s="5" t="s">
        <v>350</v>
      </c>
      <c r="F984" s="5" t="s">
        <v>351</v>
      </c>
      <c r="G984" s="24" t="s">
        <v>41</v>
      </c>
      <c r="H984" s="24" t="s">
        <v>42</v>
      </c>
      <c r="I984" s="5" t="s">
        <v>475</v>
      </c>
      <c r="J984" s="24" t="s">
        <v>22</v>
      </c>
      <c r="K984" s="27">
        <v>1</v>
      </c>
      <c r="L984" s="6">
        <v>42248</v>
      </c>
      <c r="M984" s="27">
        <f>Table11[[#This Row],[Ship Date]]-Table11[[#This Row],[Order Date]]</f>
        <v>5</v>
      </c>
      <c r="N984" s="24" t="s">
        <v>45</v>
      </c>
      <c r="O984" s="24" t="s">
        <v>23</v>
      </c>
      <c r="P984" s="24" t="s">
        <v>38</v>
      </c>
      <c r="Q984" s="24" t="s">
        <v>39</v>
      </c>
      <c r="R984" s="24" t="s">
        <v>836</v>
      </c>
      <c r="S984" s="34">
        <v>0</v>
      </c>
      <c r="T984" s="15">
        <v>3.08</v>
      </c>
      <c r="U984" s="18">
        <v>1.4783999999999999</v>
      </c>
      <c r="V984" s="56">
        <f>Table11[[#This Row],[Profit]]/Table11[[#This Row],[Sales]]</f>
        <v>0.48</v>
      </c>
    </row>
    <row r="985" spans="1:22" x14ac:dyDescent="0.2">
      <c r="A985" s="4">
        <v>984</v>
      </c>
      <c r="B985" s="3" t="s">
        <v>8984</v>
      </c>
      <c r="C985" s="7">
        <v>42243</v>
      </c>
      <c r="D985" s="28">
        <f>MONTH(Table11[[#This Row],[Order Date]])</f>
        <v>8</v>
      </c>
      <c r="E985" s="3" t="s">
        <v>4280</v>
      </c>
      <c r="F985" s="3" t="s">
        <v>4281</v>
      </c>
      <c r="G985" s="25" t="s">
        <v>41</v>
      </c>
      <c r="H985" s="25" t="s">
        <v>68</v>
      </c>
      <c r="I985" s="3" t="s">
        <v>2793</v>
      </c>
      <c r="J985" s="25" t="s">
        <v>92</v>
      </c>
      <c r="K985" s="28">
        <v>1</v>
      </c>
      <c r="L985" s="7">
        <v>42247</v>
      </c>
      <c r="M985" s="28">
        <f>Table11[[#This Row],[Ship Date]]-Table11[[#This Row],[Order Date]]</f>
        <v>4</v>
      </c>
      <c r="N985" s="25" t="s">
        <v>45</v>
      </c>
      <c r="O985" s="25" t="s">
        <v>23</v>
      </c>
      <c r="P985" s="25" t="s">
        <v>38</v>
      </c>
      <c r="Q985" s="25" t="s">
        <v>39</v>
      </c>
      <c r="R985" s="25" t="s">
        <v>37</v>
      </c>
      <c r="S985" s="35">
        <v>0.2</v>
      </c>
      <c r="T985" s="16">
        <v>5.1040000000000001</v>
      </c>
      <c r="U985" s="19">
        <v>1.6588000000000001</v>
      </c>
      <c r="V985" s="56">
        <f>Table11[[#This Row],[Profit]]/Table11[[#This Row],[Sales]]</f>
        <v>0.32500000000000001</v>
      </c>
    </row>
    <row r="986" spans="1:22" x14ac:dyDescent="0.2">
      <c r="A986" s="4">
        <v>985</v>
      </c>
      <c r="B986" s="5" t="s">
        <v>5590</v>
      </c>
      <c r="C986" s="6">
        <v>42244</v>
      </c>
      <c r="D986" s="27">
        <f>MONTH(Table11[[#This Row],[Order Date]])</f>
        <v>8</v>
      </c>
      <c r="E986" s="5" t="s">
        <v>3053</v>
      </c>
      <c r="F986" s="5" t="s">
        <v>3054</v>
      </c>
      <c r="G986" s="24" t="s">
        <v>64</v>
      </c>
      <c r="H986" s="24" t="s">
        <v>1075</v>
      </c>
      <c r="I986" s="5" t="s">
        <v>3531</v>
      </c>
      <c r="J986" s="24" t="s">
        <v>36</v>
      </c>
      <c r="K986" s="27">
        <v>5</v>
      </c>
      <c r="L986" s="6">
        <v>42248</v>
      </c>
      <c r="M986" s="27">
        <f>Table11[[#This Row],[Ship Date]]-Table11[[#This Row],[Order Date]]</f>
        <v>4</v>
      </c>
      <c r="N986" s="24" t="s">
        <v>45</v>
      </c>
      <c r="O986" s="24" t="s">
        <v>23</v>
      </c>
      <c r="P986" s="24" t="s">
        <v>189</v>
      </c>
      <c r="Q986" s="24" t="s">
        <v>95</v>
      </c>
      <c r="R986" s="24" t="s">
        <v>271</v>
      </c>
      <c r="S986" s="34">
        <v>0.2</v>
      </c>
      <c r="T986" s="15">
        <v>2799.96</v>
      </c>
      <c r="U986" s="18">
        <v>874.98749999999995</v>
      </c>
      <c r="V986" s="56">
        <f>Table11[[#This Row],[Profit]]/Table11[[#This Row],[Sales]]</f>
        <v>0.3125</v>
      </c>
    </row>
    <row r="987" spans="1:22" x14ac:dyDescent="0.2">
      <c r="A987" s="2">
        <v>986</v>
      </c>
      <c r="B987" s="3" t="s">
        <v>9028</v>
      </c>
      <c r="C987" s="7">
        <v>42244</v>
      </c>
      <c r="D987" s="28">
        <f>MONTH(Table11[[#This Row],[Order Date]])</f>
        <v>8</v>
      </c>
      <c r="E987" s="3" t="s">
        <v>1774</v>
      </c>
      <c r="F987" s="3" t="s">
        <v>1775</v>
      </c>
      <c r="G987" s="25" t="s">
        <v>41</v>
      </c>
      <c r="H987" s="25" t="s">
        <v>53</v>
      </c>
      <c r="I987" s="3" t="s">
        <v>686</v>
      </c>
      <c r="J987" s="25" t="s">
        <v>22</v>
      </c>
      <c r="K987" s="28">
        <v>5</v>
      </c>
      <c r="L987" s="7">
        <v>42251</v>
      </c>
      <c r="M987" s="28">
        <f>Table11[[#This Row],[Ship Date]]-Table11[[#This Row],[Order Date]]</f>
        <v>7</v>
      </c>
      <c r="N987" s="25" t="s">
        <v>45</v>
      </c>
      <c r="O987" s="25" t="s">
        <v>23</v>
      </c>
      <c r="P987" s="25" t="s">
        <v>38</v>
      </c>
      <c r="Q987" s="25" t="s">
        <v>39</v>
      </c>
      <c r="R987" s="25" t="s">
        <v>37</v>
      </c>
      <c r="S987" s="35">
        <v>0</v>
      </c>
      <c r="T987" s="16">
        <v>892.35</v>
      </c>
      <c r="U987" s="19">
        <v>267.70499999999998</v>
      </c>
      <c r="V987" s="56">
        <f>Table11[[#This Row],[Profit]]/Table11[[#This Row],[Sales]]</f>
        <v>0.3</v>
      </c>
    </row>
    <row r="988" spans="1:22" x14ac:dyDescent="0.2">
      <c r="A988" s="4">
        <v>987</v>
      </c>
      <c r="B988" s="5" t="s">
        <v>9028</v>
      </c>
      <c r="C988" s="6">
        <v>42244</v>
      </c>
      <c r="D988" s="27">
        <f>MONTH(Table11[[#This Row],[Order Date]])</f>
        <v>8</v>
      </c>
      <c r="E988" s="5" t="s">
        <v>750</v>
      </c>
      <c r="F988" s="5" t="s">
        <v>751</v>
      </c>
      <c r="G988" s="24" t="s">
        <v>28</v>
      </c>
      <c r="H988" s="24" t="s">
        <v>29</v>
      </c>
      <c r="I988" s="5" t="s">
        <v>686</v>
      </c>
      <c r="J988" s="24" t="s">
        <v>22</v>
      </c>
      <c r="K988" s="27">
        <v>2</v>
      </c>
      <c r="L988" s="6">
        <v>42251</v>
      </c>
      <c r="M988" s="27">
        <f>Table11[[#This Row],[Ship Date]]-Table11[[#This Row],[Order Date]]</f>
        <v>7</v>
      </c>
      <c r="N988" s="24" t="s">
        <v>45</v>
      </c>
      <c r="O988" s="24" t="s">
        <v>23</v>
      </c>
      <c r="P988" s="24" t="s">
        <v>38</v>
      </c>
      <c r="Q988" s="24" t="s">
        <v>39</v>
      </c>
      <c r="R988" s="24" t="s">
        <v>37</v>
      </c>
      <c r="S988" s="34">
        <v>0.15</v>
      </c>
      <c r="T988" s="15">
        <v>307.666</v>
      </c>
      <c r="U988" s="18">
        <v>28.956800000000001</v>
      </c>
      <c r="V988" s="56">
        <f>Table11[[#This Row],[Profit]]/Table11[[#This Row],[Sales]]</f>
        <v>9.4117647058823528E-2</v>
      </c>
    </row>
    <row r="989" spans="1:22" x14ac:dyDescent="0.2">
      <c r="A989" s="4">
        <v>988</v>
      </c>
      <c r="B989" s="3" t="s">
        <v>9028</v>
      </c>
      <c r="C989" s="7">
        <v>42244</v>
      </c>
      <c r="D989" s="28">
        <f>MONTH(Table11[[#This Row],[Order Date]])</f>
        <v>8</v>
      </c>
      <c r="E989" s="3" t="s">
        <v>1572</v>
      </c>
      <c r="F989" s="3" t="s">
        <v>1573</v>
      </c>
      <c r="G989" s="25" t="s">
        <v>41</v>
      </c>
      <c r="H989" s="25" t="s">
        <v>53</v>
      </c>
      <c r="I989" s="3" t="s">
        <v>686</v>
      </c>
      <c r="J989" s="25" t="s">
        <v>22</v>
      </c>
      <c r="K989" s="28">
        <v>9</v>
      </c>
      <c r="L989" s="7">
        <v>42251</v>
      </c>
      <c r="M989" s="28">
        <f>Table11[[#This Row],[Ship Date]]-Table11[[#This Row],[Order Date]]</f>
        <v>7</v>
      </c>
      <c r="N989" s="25" t="s">
        <v>45</v>
      </c>
      <c r="O989" s="25" t="s">
        <v>23</v>
      </c>
      <c r="P989" s="25" t="s">
        <v>38</v>
      </c>
      <c r="Q989" s="25" t="s">
        <v>39</v>
      </c>
      <c r="R989" s="25" t="s">
        <v>37</v>
      </c>
      <c r="S989" s="35">
        <v>0</v>
      </c>
      <c r="T989" s="16">
        <v>728.82</v>
      </c>
      <c r="U989" s="19">
        <v>29.152799999999999</v>
      </c>
      <c r="V989" s="56">
        <f>Table11[[#This Row],[Profit]]/Table11[[#This Row],[Sales]]</f>
        <v>3.9999999999999994E-2</v>
      </c>
    </row>
    <row r="990" spans="1:22" x14ac:dyDescent="0.2">
      <c r="A990" s="2">
        <v>989</v>
      </c>
      <c r="B990" s="5" t="s">
        <v>9028</v>
      </c>
      <c r="C990" s="6">
        <v>42244</v>
      </c>
      <c r="D990" s="27">
        <f>MONTH(Table11[[#This Row],[Order Date]])</f>
        <v>8</v>
      </c>
      <c r="E990" s="5" t="s">
        <v>4876</v>
      </c>
      <c r="F990" s="5" t="s">
        <v>4877</v>
      </c>
      <c r="G990" s="24" t="s">
        <v>41</v>
      </c>
      <c r="H990" s="24" t="s">
        <v>68</v>
      </c>
      <c r="I990" s="5" t="s">
        <v>686</v>
      </c>
      <c r="J990" s="24" t="s">
        <v>22</v>
      </c>
      <c r="K990" s="27">
        <v>5</v>
      </c>
      <c r="L990" s="6">
        <v>42251</v>
      </c>
      <c r="M990" s="27">
        <f>Table11[[#This Row],[Ship Date]]-Table11[[#This Row],[Order Date]]</f>
        <v>7</v>
      </c>
      <c r="N990" s="24" t="s">
        <v>45</v>
      </c>
      <c r="O990" s="24" t="s">
        <v>23</v>
      </c>
      <c r="P990" s="24" t="s">
        <v>38</v>
      </c>
      <c r="Q990" s="24" t="s">
        <v>39</v>
      </c>
      <c r="R990" s="24" t="s">
        <v>37</v>
      </c>
      <c r="S990" s="34">
        <v>0.2</v>
      </c>
      <c r="T990" s="15">
        <v>41.36</v>
      </c>
      <c r="U990" s="18">
        <v>13.959</v>
      </c>
      <c r="V990" s="56">
        <f>Table11[[#This Row],[Profit]]/Table11[[#This Row],[Sales]]</f>
        <v>0.33750000000000002</v>
      </c>
    </row>
    <row r="991" spans="1:22" x14ac:dyDescent="0.2">
      <c r="A991" s="4">
        <v>990</v>
      </c>
      <c r="B991" s="3" t="s">
        <v>9028</v>
      </c>
      <c r="C991" s="7">
        <v>42244</v>
      </c>
      <c r="D991" s="28">
        <f>MONTH(Table11[[#This Row],[Order Date]])</f>
        <v>8</v>
      </c>
      <c r="E991" s="3" t="s">
        <v>2859</v>
      </c>
      <c r="F991" s="3" t="s">
        <v>2860</v>
      </c>
      <c r="G991" s="25" t="s">
        <v>64</v>
      </c>
      <c r="H991" s="25" t="s">
        <v>65</v>
      </c>
      <c r="I991" s="3" t="s">
        <v>686</v>
      </c>
      <c r="J991" s="25" t="s">
        <v>22</v>
      </c>
      <c r="K991" s="28">
        <v>3</v>
      </c>
      <c r="L991" s="7">
        <v>42251</v>
      </c>
      <c r="M991" s="28">
        <f>Table11[[#This Row],[Ship Date]]-Table11[[#This Row],[Order Date]]</f>
        <v>7</v>
      </c>
      <c r="N991" s="25" t="s">
        <v>45</v>
      </c>
      <c r="O991" s="25" t="s">
        <v>23</v>
      </c>
      <c r="P991" s="25" t="s">
        <v>38</v>
      </c>
      <c r="Q991" s="25" t="s">
        <v>39</v>
      </c>
      <c r="R991" s="25" t="s">
        <v>37</v>
      </c>
      <c r="S991" s="35">
        <v>0.2</v>
      </c>
      <c r="T991" s="16">
        <v>43.176000000000002</v>
      </c>
      <c r="U991" s="19">
        <v>15.111599999999999</v>
      </c>
      <c r="V991" s="56">
        <f>Table11[[#This Row],[Profit]]/Table11[[#This Row],[Sales]]</f>
        <v>0.35</v>
      </c>
    </row>
    <row r="992" spans="1:22" x14ac:dyDescent="0.2">
      <c r="A992" s="4">
        <v>991</v>
      </c>
      <c r="B992" s="5" t="s">
        <v>9028</v>
      </c>
      <c r="C992" s="6">
        <v>42244</v>
      </c>
      <c r="D992" s="27">
        <f>MONTH(Table11[[#This Row],[Order Date]])</f>
        <v>8</v>
      </c>
      <c r="E992" s="5" t="s">
        <v>3615</v>
      </c>
      <c r="F992" s="5" t="s">
        <v>1137</v>
      </c>
      <c r="G992" s="24" t="s">
        <v>28</v>
      </c>
      <c r="H992" s="24" t="s">
        <v>58</v>
      </c>
      <c r="I992" s="5" t="s">
        <v>686</v>
      </c>
      <c r="J992" s="24" t="s">
        <v>22</v>
      </c>
      <c r="K992" s="27">
        <v>2</v>
      </c>
      <c r="L992" s="6">
        <v>42251</v>
      </c>
      <c r="M992" s="27">
        <f>Table11[[#This Row],[Ship Date]]-Table11[[#This Row],[Order Date]]</f>
        <v>7</v>
      </c>
      <c r="N992" s="24" t="s">
        <v>45</v>
      </c>
      <c r="O992" s="24" t="s">
        <v>23</v>
      </c>
      <c r="P992" s="24" t="s">
        <v>38</v>
      </c>
      <c r="Q992" s="24" t="s">
        <v>39</v>
      </c>
      <c r="R992" s="24" t="s">
        <v>37</v>
      </c>
      <c r="S992" s="34">
        <v>0</v>
      </c>
      <c r="T992" s="15">
        <v>4.16</v>
      </c>
      <c r="U992" s="18">
        <v>1.7472000000000001</v>
      </c>
      <c r="V992" s="56">
        <f>Table11[[#This Row],[Profit]]/Table11[[#This Row],[Sales]]</f>
        <v>0.42</v>
      </c>
    </row>
    <row r="993" spans="1:22" x14ac:dyDescent="0.2">
      <c r="A993" s="2">
        <v>992</v>
      </c>
      <c r="B993" s="3" t="s">
        <v>9828</v>
      </c>
      <c r="C993" s="7">
        <v>42244</v>
      </c>
      <c r="D993" s="28">
        <f>MONTH(Table11[[#This Row],[Order Date]])</f>
        <v>8</v>
      </c>
      <c r="E993" s="3" t="s">
        <v>3092</v>
      </c>
      <c r="F993" s="3" t="s">
        <v>3093</v>
      </c>
      <c r="G993" s="25" t="s">
        <v>64</v>
      </c>
      <c r="H993" s="25" t="s">
        <v>65</v>
      </c>
      <c r="I993" s="3" t="s">
        <v>1001</v>
      </c>
      <c r="J993" s="25" t="s">
        <v>36</v>
      </c>
      <c r="K993" s="28">
        <v>5</v>
      </c>
      <c r="L993" s="7">
        <v>42248</v>
      </c>
      <c r="M993" s="28">
        <f>Table11[[#This Row],[Ship Date]]-Table11[[#This Row],[Order Date]]</f>
        <v>4</v>
      </c>
      <c r="N993" s="25" t="s">
        <v>45</v>
      </c>
      <c r="O993" s="25" t="s">
        <v>23</v>
      </c>
      <c r="P993" s="25" t="s">
        <v>94</v>
      </c>
      <c r="Q993" s="25" t="s">
        <v>95</v>
      </c>
      <c r="R993" s="25" t="s">
        <v>718</v>
      </c>
      <c r="S993" s="35">
        <v>0.2</v>
      </c>
      <c r="T993" s="16">
        <v>1099.96</v>
      </c>
      <c r="U993" s="19">
        <v>82.497</v>
      </c>
      <c r="V993" s="56">
        <f>Table11[[#This Row],[Profit]]/Table11[[#This Row],[Sales]]</f>
        <v>7.4999999999999997E-2</v>
      </c>
    </row>
    <row r="994" spans="1:22" x14ac:dyDescent="0.2">
      <c r="A994" s="4">
        <v>993</v>
      </c>
      <c r="B994" s="5" t="s">
        <v>9828</v>
      </c>
      <c r="C994" s="6">
        <v>42244</v>
      </c>
      <c r="D994" s="27">
        <f>MONTH(Table11[[#This Row],[Order Date]])</f>
        <v>8</v>
      </c>
      <c r="E994" s="5" t="s">
        <v>3934</v>
      </c>
      <c r="F994" s="5" t="s">
        <v>3935</v>
      </c>
      <c r="G994" s="24" t="s">
        <v>28</v>
      </c>
      <c r="H994" s="24" t="s">
        <v>50</v>
      </c>
      <c r="I994" s="5" t="s">
        <v>1001</v>
      </c>
      <c r="J994" s="24" t="s">
        <v>36</v>
      </c>
      <c r="K994" s="27">
        <v>1</v>
      </c>
      <c r="L994" s="6">
        <v>42248</v>
      </c>
      <c r="M994" s="27">
        <f>Table11[[#This Row],[Ship Date]]-Table11[[#This Row],[Order Date]]</f>
        <v>4</v>
      </c>
      <c r="N994" s="24" t="s">
        <v>45</v>
      </c>
      <c r="O994" s="24" t="s">
        <v>23</v>
      </c>
      <c r="P994" s="24" t="s">
        <v>94</v>
      </c>
      <c r="Q994" s="24" t="s">
        <v>95</v>
      </c>
      <c r="R994" s="24" t="s">
        <v>718</v>
      </c>
      <c r="S994" s="34">
        <v>0.3</v>
      </c>
      <c r="T994" s="15">
        <v>103.48099999999999</v>
      </c>
      <c r="U994" s="18">
        <v>-16.261299999999999</v>
      </c>
      <c r="V994" s="56">
        <f>Table11[[#This Row],[Profit]]/Table11[[#This Row],[Sales]]</f>
        <v>-0.15714285714285714</v>
      </c>
    </row>
    <row r="995" spans="1:22" x14ac:dyDescent="0.2">
      <c r="A995" s="4">
        <v>994</v>
      </c>
      <c r="B995" s="3" t="s">
        <v>9995</v>
      </c>
      <c r="C995" s="7">
        <v>42244</v>
      </c>
      <c r="D995" s="28">
        <f>MONTH(Table11[[#This Row],[Order Date]])</f>
        <v>8</v>
      </c>
      <c r="E995" s="3" t="s">
        <v>4941</v>
      </c>
      <c r="F995" s="3" t="s">
        <v>4942</v>
      </c>
      <c r="G995" s="25" t="s">
        <v>41</v>
      </c>
      <c r="H995" s="25" t="s">
        <v>53</v>
      </c>
      <c r="I995" s="3" t="s">
        <v>3108</v>
      </c>
      <c r="J995" s="25" t="s">
        <v>36</v>
      </c>
      <c r="K995" s="28">
        <v>11</v>
      </c>
      <c r="L995" s="7">
        <v>42249</v>
      </c>
      <c r="M995" s="28">
        <f>Table11[[#This Row],[Ship Date]]-Table11[[#This Row],[Order Date]]</f>
        <v>5</v>
      </c>
      <c r="N995" s="25" t="s">
        <v>45</v>
      </c>
      <c r="O995" s="25" t="s">
        <v>23</v>
      </c>
      <c r="P995" s="25" t="s">
        <v>660</v>
      </c>
      <c r="Q995" s="25" t="s">
        <v>133</v>
      </c>
      <c r="R995" s="25" t="s">
        <v>659</v>
      </c>
      <c r="S995" s="35">
        <v>0</v>
      </c>
      <c r="T995" s="16">
        <v>470.36</v>
      </c>
      <c r="U995" s="19">
        <v>122.2936</v>
      </c>
      <c r="V995" s="56">
        <f>Table11[[#This Row],[Profit]]/Table11[[#This Row],[Sales]]</f>
        <v>0.26</v>
      </c>
    </row>
    <row r="996" spans="1:22" x14ac:dyDescent="0.2">
      <c r="A996" s="2">
        <v>995</v>
      </c>
      <c r="B996" s="5" t="s">
        <v>8143</v>
      </c>
      <c r="C996" s="6">
        <v>42245</v>
      </c>
      <c r="D996" s="27">
        <f>MONTH(Table11[[#This Row],[Order Date]])</f>
        <v>8</v>
      </c>
      <c r="E996" s="5" t="s">
        <v>3399</v>
      </c>
      <c r="F996" s="5" t="s">
        <v>3400</v>
      </c>
      <c r="G996" s="24" t="s">
        <v>64</v>
      </c>
      <c r="H996" s="24" t="s">
        <v>65</v>
      </c>
      <c r="I996" s="5" t="s">
        <v>2793</v>
      </c>
      <c r="J996" s="24" t="s">
        <v>92</v>
      </c>
      <c r="K996" s="27">
        <v>2</v>
      </c>
      <c r="L996" s="6">
        <v>42249</v>
      </c>
      <c r="M996" s="27">
        <f>Table11[[#This Row],[Ship Date]]-Table11[[#This Row],[Order Date]]</f>
        <v>4</v>
      </c>
      <c r="N996" s="24" t="s">
        <v>45</v>
      </c>
      <c r="O996" s="24" t="s">
        <v>23</v>
      </c>
      <c r="P996" s="24" t="s">
        <v>212</v>
      </c>
      <c r="Q996" s="24" t="s">
        <v>95</v>
      </c>
      <c r="R996" s="24" t="s">
        <v>775</v>
      </c>
      <c r="S996" s="34">
        <v>0</v>
      </c>
      <c r="T996" s="15">
        <v>131.97999999999999</v>
      </c>
      <c r="U996" s="18">
        <v>35.634599999999999</v>
      </c>
      <c r="V996" s="56">
        <f>Table11[[#This Row],[Profit]]/Table11[[#This Row],[Sales]]</f>
        <v>0.27</v>
      </c>
    </row>
    <row r="997" spans="1:22" x14ac:dyDescent="0.2">
      <c r="A997" s="4">
        <v>996</v>
      </c>
      <c r="B997" s="3" t="s">
        <v>8143</v>
      </c>
      <c r="C997" s="7">
        <v>42245</v>
      </c>
      <c r="D997" s="28">
        <f>MONTH(Table11[[#This Row],[Order Date]])</f>
        <v>8</v>
      </c>
      <c r="E997" s="3" t="s">
        <v>3320</v>
      </c>
      <c r="F997" s="3" t="s">
        <v>3321</v>
      </c>
      <c r="G997" s="25" t="s">
        <v>64</v>
      </c>
      <c r="H997" s="25" t="s">
        <v>144</v>
      </c>
      <c r="I997" s="3" t="s">
        <v>2793</v>
      </c>
      <c r="J997" s="25" t="s">
        <v>92</v>
      </c>
      <c r="K997" s="28">
        <v>7</v>
      </c>
      <c r="L997" s="7">
        <v>42249</v>
      </c>
      <c r="M997" s="28">
        <f>Table11[[#This Row],[Ship Date]]-Table11[[#This Row],[Order Date]]</f>
        <v>4</v>
      </c>
      <c r="N997" s="25" t="s">
        <v>45</v>
      </c>
      <c r="O997" s="25" t="s">
        <v>23</v>
      </c>
      <c r="P997" s="25" t="s">
        <v>212</v>
      </c>
      <c r="Q997" s="25" t="s">
        <v>95</v>
      </c>
      <c r="R997" s="25" t="s">
        <v>775</v>
      </c>
      <c r="S997" s="35">
        <v>0</v>
      </c>
      <c r="T997" s="16">
        <v>114.52</v>
      </c>
      <c r="U997" s="19">
        <v>11.452</v>
      </c>
      <c r="V997" s="56">
        <f>Table11[[#This Row],[Profit]]/Table11[[#This Row],[Sales]]</f>
        <v>0.1</v>
      </c>
    </row>
    <row r="998" spans="1:22" x14ac:dyDescent="0.2">
      <c r="A998" s="4">
        <v>997</v>
      </c>
      <c r="B998" s="5" t="s">
        <v>2121</v>
      </c>
      <c r="C998" s="6">
        <v>42247</v>
      </c>
      <c r="D998" s="27">
        <f>MONTH(Table11[[#This Row],[Order Date]])</f>
        <v>8</v>
      </c>
      <c r="E998" s="5" t="s">
        <v>1679</v>
      </c>
      <c r="F998" s="5" t="s">
        <v>1680</v>
      </c>
      <c r="G998" s="24" t="s">
        <v>41</v>
      </c>
      <c r="H998" s="24" t="s">
        <v>82</v>
      </c>
      <c r="I998" s="5" t="s">
        <v>1779</v>
      </c>
      <c r="J998" s="24" t="s">
        <v>22</v>
      </c>
      <c r="K998" s="27">
        <v>9</v>
      </c>
      <c r="L998" s="6">
        <v>42252</v>
      </c>
      <c r="M998" s="27">
        <f>Table11[[#This Row],[Ship Date]]-Table11[[#This Row],[Order Date]]</f>
        <v>5</v>
      </c>
      <c r="N998" s="24" t="s">
        <v>45</v>
      </c>
      <c r="O998" s="24" t="s">
        <v>23</v>
      </c>
      <c r="P998" s="24" t="s">
        <v>38</v>
      </c>
      <c r="Q998" s="24" t="s">
        <v>39</v>
      </c>
      <c r="R998" s="24" t="s">
        <v>37</v>
      </c>
      <c r="S998" s="34">
        <v>0</v>
      </c>
      <c r="T998" s="15">
        <v>58.32</v>
      </c>
      <c r="U998" s="18">
        <v>27.993600000000001</v>
      </c>
      <c r="V998" s="56">
        <f>Table11[[#This Row],[Profit]]/Table11[[#This Row],[Sales]]</f>
        <v>0.48</v>
      </c>
    </row>
    <row r="999" spans="1:22" x14ac:dyDescent="0.2">
      <c r="A999" s="2">
        <v>998</v>
      </c>
      <c r="B999" s="3" t="s">
        <v>4772</v>
      </c>
      <c r="C999" s="7">
        <v>42247</v>
      </c>
      <c r="D999" s="28">
        <f>MONTH(Table11[[#This Row],[Order Date]])</f>
        <v>8</v>
      </c>
      <c r="E999" s="3" t="s">
        <v>180</v>
      </c>
      <c r="F999" s="3" t="s">
        <v>181</v>
      </c>
      <c r="G999" s="25" t="s">
        <v>28</v>
      </c>
      <c r="H999" s="25" t="s">
        <v>29</v>
      </c>
      <c r="I999" s="3" t="s">
        <v>4773</v>
      </c>
      <c r="J999" s="25" t="s">
        <v>36</v>
      </c>
      <c r="K999" s="28">
        <v>7</v>
      </c>
      <c r="L999" s="7">
        <v>42249</v>
      </c>
      <c r="M999" s="28">
        <f>Table11[[#This Row],[Ship Date]]-Table11[[#This Row],[Order Date]]</f>
        <v>2</v>
      </c>
      <c r="N999" s="25" t="s">
        <v>169</v>
      </c>
      <c r="O999" s="25" t="s">
        <v>23</v>
      </c>
      <c r="P999" s="25" t="s">
        <v>38</v>
      </c>
      <c r="Q999" s="25" t="s">
        <v>39</v>
      </c>
      <c r="R999" s="25" t="s">
        <v>114</v>
      </c>
      <c r="S999" s="35">
        <v>0.15</v>
      </c>
      <c r="T999" s="16">
        <v>1552.8309999999999</v>
      </c>
      <c r="U999" s="19">
        <v>200.9546</v>
      </c>
      <c r="V999" s="56">
        <f>Table11[[#This Row],[Profit]]/Table11[[#This Row],[Sales]]</f>
        <v>0.12941176470588237</v>
      </c>
    </row>
    <row r="1000" spans="1:22" x14ac:dyDescent="0.2">
      <c r="A1000" s="4">
        <v>999</v>
      </c>
      <c r="B1000" s="5" t="s">
        <v>4772</v>
      </c>
      <c r="C1000" s="6">
        <v>42247</v>
      </c>
      <c r="D1000" s="27">
        <f>MONTH(Table11[[#This Row],[Order Date]])</f>
        <v>8</v>
      </c>
      <c r="E1000" s="5" t="s">
        <v>546</v>
      </c>
      <c r="F1000" s="5" t="s">
        <v>547</v>
      </c>
      <c r="G1000" s="24" t="s">
        <v>41</v>
      </c>
      <c r="H1000" s="24" t="s">
        <v>68</v>
      </c>
      <c r="I1000" s="5" t="s">
        <v>4773</v>
      </c>
      <c r="J1000" s="24" t="s">
        <v>36</v>
      </c>
      <c r="K1000" s="27">
        <v>5</v>
      </c>
      <c r="L1000" s="6">
        <v>42249</v>
      </c>
      <c r="M1000" s="27">
        <f>Table11[[#This Row],[Ship Date]]-Table11[[#This Row],[Order Date]]</f>
        <v>2</v>
      </c>
      <c r="N1000" s="24" t="s">
        <v>169</v>
      </c>
      <c r="O1000" s="24" t="s">
        <v>23</v>
      </c>
      <c r="P1000" s="24" t="s">
        <v>38</v>
      </c>
      <c r="Q1000" s="24" t="s">
        <v>39</v>
      </c>
      <c r="R1000" s="24" t="s">
        <v>114</v>
      </c>
      <c r="S1000" s="34">
        <v>0.2</v>
      </c>
      <c r="T1000" s="15">
        <v>137.24</v>
      </c>
      <c r="U1000" s="18">
        <v>46.3185</v>
      </c>
      <c r="V1000" s="56">
        <f>Table11[[#This Row],[Profit]]/Table11[[#This Row],[Sales]]</f>
        <v>0.33749999999999997</v>
      </c>
    </row>
    <row r="1001" spans="1:22" x14ac:dyDescent="0.2">
      <c r="A1001" s="4">
        <v>1000</v>
      </c>
      <c r="B1001" s="3" t="s">
        <v>4772</v>
      </c>
      <c r="C1001" s="7">
        <v>42247</v>
      </c>
      <c r="D1001" s="28">
        <f>MONTH(Table11[[#This Row],[Order Date]])</f>
        <v>8</v>
      </c>
      <c r="E1001" s="3" t="s">
        <v>4774</v>
      </c>
      <c r="F1001" s="3" t="s">
        <v>4775</v>
      </c>
      <c r="G1001" s="25" t="s">
        <v>64</v>
      </c>
      <c r="H1001" s="25" t="s">
        <v>144</v>
      </c>
      <c r="I1001" s="3" t="s">
        <v>4773</v>
      </c>
      <c r="J1001" s="25" t="s">
        <v>36</v>
      </c>
      <c r="K1001" s="28">
        <v>1</v>
      </c>
      <c r="L1001" s="7">
        <v>42249</v>
      </c>
      <c r="M1001" s="28">
        <f>Table11[[#This Row],[Ship Date]]-Table11[[#This Row],[Order Date]]</f>
        <v>2</v>
      </c>
      <c r="N1001" s="25" t="s">
        <v>169</v>
      </c>
      <c r="O1001" s="25" t="s">
        <v>23</v>
      </c>
      <c r="P1001" s="25" t="s">
        <v>38</v>
      </c>
      <c r="Q1001" s="25" t="s">
        <v>39</v>
      </c>
      <c r="R1001" s="25" t="s">
        <v>114</v>
      </c>
      <c r="S1001" s="35">
        <v>0</v>
      </c>
      <c r="T1001" s="16">
        <v>36.51</v>
      </c>
      <c r="U1001" s="19">
        <v>15.699299999999999</v>
      </c>
      <c r="V1001" s="56">
        <f>Table11[[#This Row],[Profit]]/Table11[[#This Row],[Sales]]</f>
        <v>0.43</v>
      </c>
    </row>
    <row r="1002" spans="1:22" x14ac:dyDescent="0.2">
      <c r="A1002" s="2">
        <v>1001</v>
      </c>
      <c r="B1002" s="5" t="s">
        <v>4772</v>
      </c>
      <c r="C1002" s="6">
        <v>42247</v>
      </c>
      <c r="D1002" s="27">
        <f>MONTH(Table11[[#This Row],[Order Date]])</f>
        <v>8</v>
      </c>
      <c r="E1002" s="5" t="s">
        <v>4776</v>
      </c>
      <c r="F1002" s="5" t="s">
        <v>4777</v>
      </c>
      <c r="G1002" s="24" t="s">
        <v>64</v>
      </c>
      <c r="H1002" s="24" t="s">
        <v>602</v>
      </c>
      <c r="I1002" s="5" t="s">
        <v>4773</v>
      </c>
      <c r="J1002" s="24" t="s">
        <v>36</v>
      </c>
      <c r="K1002" s="27">
        <v>3</v>
      </c>
      <c r="L1002" s="6">
        <v>42249</v>
      </c>
      <c r="M1002" s="27">
        <f>Table11[[#This Row],[Ship Date]]-Table11[[#This Row],[Order Date]]</f>
        <v>2</v>
      </c>
      <c r="N1002" s="24" t="s">
        <v>169</v>
      </c>
      <c r="O1002" s="24" t="s">
        <v>23</v>
      </c>
      <c r="P1002" s="24" t="s">
        <v>38</v>
      </c>
      <c r="Q1002" s="24" t="s">
        <v>39</v>
      </c>
      <c r="R1002" s="24" t="s">
        <v>114</v>
      </c>
      <c r="S1002" s="34">
        <v>0.2</v>
      </c>
      <c r="T1002" s="15">
        <v>239.976</v>
      </c>
      <c r="U1002" s="18">
        <v>80.991900000000001</v>
      </c>
      <c r="V1002" s="56">
        <f>Table11[[#This Row],[Profit]]/Table11[[#This Row],[Sales]]</f>
        <v>0.33750000000000002</v>
      </c>
    </row>
    <row r="1003" spans="1:22" x14ac:dyDescent="0.2">
      <c r="A1003" s="4">
        <v>1002</v>
      </c>
      <c r="B1003" s="3" t="s">
        <v>7920</v>
      </c>
      <c r="C1003" s="7">
        <v>42247</v>
      </c>
      <c r="D1003" s="28">
        <f>MONTH(Table11[[#This Row],[Order Date]])</f>
        <v>8</v>
      </c>
      <c r="E1003" s="3" t="s">
        <v>4481</v>
      </c>
      <c r="F1003" s="3" t="s">
        <v>4482</v>
      </c>
      <c r="G1003" s="25" t="s">
        <v>41</v>
      </c>
      <c r="H1003" s="25" t="s">
        <v>82</v>
      </c>
      <c r="I1003" s="3" t="s">
        <v>1325</v>
      </c>
      <c r="J1003" s="25" t="s">
        <v>92</v>
      </c>
      <c r="K1003" s="28">
        <v>4</v>
      </c>
      <c r="L1003" s="7">
        <v>42252</v>
      </c>
      <c r="M1003" s="28">
        <f>Table11[[#This Row],[Ship Date]]-Table11[[#This Row],[Order Date]]</f>
        <v>5</v>
      </c>
      <c r="N1003" s="25" t="s">
        <v>45</v>
      </c>
      <c r="O1003" s="25" t="s">
        <v>23</v>
      </c>
      <c r="P1003" s="25" t="s">
        <v>94</v>
      </c>
      <c r="Q1003" s="25" t="s">
        <v>95</v>
      </c>
      <c r="R1003" s="25" t="s">
        <v>6437</v>
      </c>
      <c r="S1003" s="35">
        <v>0.2</v>
      </c>
      <c r="T1003" s="16">
        <v>20.96</v>
      </c>
      <c r="U1003" s="19">
        <v>6.8120000000000003</v>
      </c>
      <c r="V1003" s="56">
        <f>Table11[[#This Row],[Profit]]/Table11[[#This Row],[Sales]]</f>
        <v>0.32500000000000001</v>
      </c>
    </row>
    <row r="1004" spans="1:22" x14ac:dyDescent="0.2">
      <c r="A1004" s="4">
        <v>1003</v>
      </c>
      <c r="B1004" s="5" t="s">
        <v>9662</v>
      </c>
      <c r="C1004" s="6">
        <v>42247</v>
      </c>
      <c r="D1004" s="27">
        <f>MONTH(Table11[[#This Row],[Order Date]])</f>
        <v>8</v>
      </c>
      <c r="E1004" s="5" t="s">
        <v>2999</v>
      </c>
      <c r="F1004" s="5" t="s">
        <v>3000</v>
      </c>
      <c r="G1004" s="24" t="s">
        <v>64</v>
      </c>
      <c r="H1004" s="24" t="s">
        <v>65</v>
      </c>
      <c r="I1004" s="5" t="s">
        <v>4343</v>
      </c>
      <c r="J1004" s="24" t="s">
        <v>92</v>
      </c>
      <c r="K1004" s="27">
        <v>5</v>
      </c>
      <c r="L1004" s="6">
        <v>42251</v>
      </c>
      <c r="M1004" s="27">
        <f>Table11[[#This Row],[Ship Date]]-Table11[[#This Row],[Order Date]]</f>
        <v>4</v>
      </c>
      <c r="N1004" s="24" t="s">
        <v>45</v>
      </c>
      <c r="O1004" s="24" t="s">
        <v>23</v>
      </c>
      <c r="P1004" s="24" t="s">
        <v>38</v>
      </c>
      <c r="Q1004" s="24" t="s">
        <v>39</v>
      </c>
      <c r="R1004" s="24" t="s">
        <v>836</v>
      </c>
      <c r="S1004" s="34">
        <v>0.2</v>
      </c>
      <c r="T1004" s="15">
        <v>555.96</v>
      </c>
      <c r="U1004" s="18">
        <v>41.697000000000003</v>
      </c>
      <c r="V1004" s="56">
        <f>Table11[[#This Row],[Profit]]/Table11[[#This Row],[Sales]]</f>
        <v>7.4999999999999997E-2</v>
      </c>
    </row>
    <row r="1005" spans="1:22" x14ac:dyDescent="0.2">
      <c r="A1005" s="2">
        <v>1004</v>
      </c>
      <c r="B1005" s="3" t="s">
        <v>1070</v>
      </c>
      <c r="C1005" s="7">
        <v>42248</v>
      </c>
      <c r="D1005" s="28">
        <f>MONTH(Table11[[#This Row],[Order Date]])</f>
        <v>9</v>
      </c>
      <c r="E1005" s="3" t="s">
        <v>1072</v>
      </c>
      <c r="F1005" s="3" t="s">
        <v>1073</v>
      </c>
      <c r="G1005" s="25" t="s">
        <v>41</v>
      </c>
      <c r="H1005" s="25" t="s">
        <v>68</v>
      </c>
      <c r="I1005" s="3" t="s">
        <v>1071</v>
      </c>
      <c r="J1005" s="25" t="s">
        <v>22</v>
      </c>
      <c r="K1005" s="28">
        <v>1</v>
      </c>
      <c r="L1005" s="7">
        <v>42251</v>
      </c>
      <c r="M1005" s="28">
        <f>Table11[[#This Row],[Ship Date]]-Table11[[#This Row],[Order Date]]</f>
        <v>3</v>
      </c>
      <c r="N1005" s="25" t="s">
        <v>20</v>
      </c>
      <c r="O1005" s="25" t="s">
        <v>23</v>
      </c>
      <c r="P1005" s="25" t="s">
        <v>38</v>
      </c>
      <c r="Q1005" s="25" t="s">
        <v>39</v>
      </c>
      <c r="R1005" s="25" t="s">
        <v>37</v>
      </c>
      <c r="S1005" s="35">
        <v>0.2</v>
      </c>
      <c r="T1005" s="16">
        <v>4.7519999999999998</v>
      </c>
      <c r="U1005" s="19">
        <v>1.6037999999999999</v>
      </c>
      <c r="V1005" s="56">
        <f>Table11[[#This Row],[Profit]]/Table11[[#This Row],[Sales]]</f>
        <v>0.33749999999999997</v>
      </c>
    </row>
    <row r="1006" spans="1:22" x14ac:dyDescent="0.2">
      <c r="A1006" s="4">
        <v>1005</v>
      </c>
      <c r="B1006" s="5" t="s">
        <v>1070</v>
      </c>
      <c r="C1006" s="6">
        <v>42248</v>
      </c>
      <c r="D1006" s="27">
        <f>MONTH(Table11[[#This Row],[Order Date]])</f>
        <v>9</v>
      </c>
      <c r="E1006" s="5" t="s">
        <v>1074</v>
      </c>
      <c r="F1006" s="5" t="s">
        <v>1076</v>
      </c>
      <c r="G1006" s="24" t="s">
        <v>64</v>
      </c>
      <c r="H1006" s="24" t="s">
        <v>1075</v>
      </c>
      <c r="I1006" s="5" t="s">
        <v>1071</v>
      </c>
      <c r="J1006" s="24" t="s">
        <v>22</v>
      </c>
      <c r="K1006" s="27">
        <v>2</v>
      </c>
      <c r="L1006" s="6">
        <v>42251</v>
      </c>
      <c r="M1006" s="27">
        <f>Table11[[#This Row],[Ship Date]]-Table11[[#This Row],[Order Date]]</f>
        <v>3</v>
      </c>
      <c r="N1006" s="24" t="s">
        <v>20</v>
      </c>
      <c r="O1006" s="24" t="s">
        <v>23</v>
      </c>
      <c r="P1006" s="24" t="s">
        <v>38</v>
      </c>
      <c r="Q1006" s="24" t="s">
        <v>39</v>
      </c>
      <c r="R1006" s="24" t="s">
        <v>37</v>
      </c>
      <c r="S1006" s="34">
        <v>0.2</v>
      </c>
      <c r="T1006" s="15">
        <v>959.98400000000004</v>
      </c>
      <c r="U1006" s="18">
        <v>335.99439999999998</v>
      </c>
      <c r="V1006" s="56">
        <f>Table11[[#This Row],[Profit]]/Table11[[#This Row],[Sales]]</f>
        <v>0.35</v>
      </c>
    </row>
    <row r="1007" spans="1:22" x14ac:dyDescent="0.2">
      <c r="A1007" s="4">
        <v>1006</v>
      </c>
      <c r="B1007" s="3" t="s">
        <v>1070</v>
      </c>
      <c r="C1007" s="7">
        <v>42248</v>
      </c>
      <c r="D1007" s="28">
        <f>MONTH(Table11[[#This Row],[Order Date]])</f>
        <v>9</v>
      </c>
      <c r="E1007" s="3" t="s">
        <v>1077</v>
      </c>
      <c r="F1007" s="3" t="s">
        <v>1078</v>
      </c>
      <c r="G1007" s="25" t="s">
        <v>41</v>
      </c>
      <c r="H1007" s="25" t="s">
        <v>68</v>
      </c>
      <c r="I1007" s="3" t="s">
        <v>1071</v>
      </c>
      <c r="J1007" s="25" t="s">
        <v>22</v>
      </c>
      <c r="K1007" s="28">
        <v>4</v>
      </c>
      <c r="L1007" s="7">
        <v>42251</v>
      </c>
      <c r="M1007" s="28">
        <f>Table11[[#This Row],[Ship Date]]-Table11[[#This Row],[Order Date]]</f>
        <v>3</v>
      </c>
      <c r="N1007" s="25" t="s">
        <v>20</v>
      </c>
      <c r="O1007" s="25" t="s">
        <v>23</v>
      </c>
      <c r="P1007" s="25" t="s">
        <v>38</v>
      </c>
      <c r="Q1007" s="25" t="s">
        <v>39</v>
      </c>
      <c r="R1007" s="25" t="s">
        <v>37</v>
      </c>
      <c r="S1007" s="35">
        <v>0.2</v>
      </c>
      <c r="T1007" s="16">
        <v>14.368</v>
      </c>
      <c r="U1007" s="19">
        <v>4.49</v>
      </c>
      <c r="V1007" s="56">
        <f>Table11[[#This Row],[Profit]]/Table11[[#This Row],[Sales]]</f>
        <v>0.3125</v>
      </c>
    </row>
    <row r="1008" spans="1:22" x14ac:dyDescent="0.2">
      <c r="A1008" s="2">
        <v>1007</v>
      </c>
      <c r="B1008" s="5" t="s">
        <v>5337</v>
      </c>
      <c r="C1008" s="6">
        <v>42248</v>
      </c>
      <c r="D1008" s="27">
        <f>MONTH(Table11[[#This Row],[Order Date]])</f>
        <v>9</v>
      </c>
      <c r="E1008" s="5" t="s">
        <v>2441</v>
      </c>
      <c r="F1008" s="5" t="s">
        <v>2442</v>
      </c>
      <c r="G1008" s="24" t="s">
        <v>41</v>
      </c>
      <c r="H1008" s="24" t="s">
        <v>68</v>
      </c>
      <c r="I1008" s="5" t="s">
        <v>5338</v>
      </c>
      <c r="J1008" s="24" t="s">
        <v>92</v>
      </c>
      <c r="K1008" s="27">
        <v>5</v>
      </c>
      <c r="L1008" s="6">
        <v>42255</v>
      </c>
      <c r="M1008" s="27">
        <f>Table11[[#This Row],[Ship Date]]-Table11[[#This Row],[Order Date]]</f>
        <v>7</v>
      </c>
      <c r="N1008" s="24" t="s">
        <v>45</v>
      </c>
      <c r="O1008" s="24" t="s">
        <v>23</v>
      </c>
      <c r="P1008" s="24" t="s">
        <v>1101</v>
      </c>
      <c r="Q1008" s="24" t="s">
        <v>133</v>
      </c>
      <c r="R1008" s="24" t="s">
        <v>541</v>
      </c>
      <c r="S1008" s="34">
        <v>0</v>
      </c>
      <c r="T1008" s="15">
        <v>114.6</v>
      </c>
      <c r="U1008" s="18">
        <v>51.57</v>
      </c>
      <c r="V1008" s="56">
        <f>Table11[[#This Row],[Profit]]/Table11[[#This Row],[Sales]]</f>
        <v>0.45</v>
      </c>
    </row>
    <row r="1009" spans="1:22" x14ac:dyDescent="0.2">
      <c r="A1009" s="4">
        <v>1008</v>
      </c>
      <c r="B1009" s="3" t="s">
        <v>5337</v>
      </c>
      <c r="C1009" s="7">
        <v>42248</v>
      </c>
      <c r="D1009" s="28">
        <f>MONTH(Table11[[#This Row],[Order Date]])</f>
        <v>9</v>
      </c>
      <c r="E1009" s="3" t="s">
        <v>620</v>
      </c>
      <c r="F1009" s="3" t="s">
        <v>621</v>
      </c>
      <c r="G1009" s="25" t="s">
        <v>28</v>
      </c>
      <c r="H1009" s="25" t="s">
        <v>32</v>
      </c>
      <c r="I1009" s="3" t="s">
        <v>5338</v>
      </c>
      <c r="J1009" s="25" t="s">
        <v>92</v>
      </c>
      <c r="K1009" s="28">
        <v>1</v>
      </c>
      <c r="L1009" s="7">
        <v>42255</v>
      </c>
      <c r="M1009" s="28">
        <f>Table11[[#This Row],[Ship Date]]-Table11[[#This Row],[Order Date]]</f>
        <v>7</v>
      </c>
      <c r="N1009" s="25" t="s">
        <v>45</v>
      </c>
      <c r="O1009" s="25" t="s">
        <v>23</v>
      </c>
      <c r="P1009" s="25" t="s">
        <v>1101</v>
      </c>
      <c r="Q1009" s="25" t="s">
        <v>133</v>
      </c>
      <c r="R1009" s="25" t="s">
        <v>541</v>
      </c>
      <c r="S1009" s="35">
        <v>0</v>
      </c>
      <c r="T1009" s="16">
        <v>60.74</v>
      </c>
      <c r="U1009" s="19">
        <v>15.185</v>
      </c>
      <c r="V1009" s="56">
        <f>Table11[[#This Row],[Profit]]/Table11[[#This Row],[Sales]]</f>
        <v>0.25</v>
      </c>
    </row>
    <row r="1010" spans="1:22" x14ac:dyDescent="0.2">
      <c r="A1010" s="4">
        <v>1009</v>
      </c>
      <c r="B1010" s="5" t="s">
        <v>5337</v>
      </c>
      <c r="C1010" s="6">
        <v>42248</v>
      </c>
      <c r="D1010" s="27">
        <f>MONTH(Table11[[#This Row],[Order Date]])</f>
        <v>9</v>
      </c>
      <c r="E1010" s="5" t="s">
        <v>4676</v>
      </c>
      <c r="F1010" s="5" t="s">
        <v>4677</v>
      </c>
      <c r="G1010" s="24" t="s">
        <v>28</v>
      </c>
      <c r="H1010" s="24" t="s">
        <v>58</v>
      </c>
      <c r="I1010" s="5" t="s">
        <v>5338</v>
      </c>
      <c r="J1010" s="24" t="s">
        <v>92</v>
      </c>
      <c r="K1010" s="27">
        <v>2</v>
      </c>
      <c r="L1010" s="6">
        <v>42255</v>
      </c>
      <c r="M1010" s="27">
        <f>Table11[[#This Row],[Ship Date]]-Table11[[#This Row],[Order Date]]</f>
        <v>7</v>
      </c>
      <c r="N1010" s="24" t="s">
        <v>45</v>
      </c>
      <c r="O1010" s="24" t="s">
        <v>23</v>
      </c>
      <c r="P1010" s="24" t="s">
        <v>1101</v>
      </c>
      <c r="Q1010" s="24" t="s">
        <v>133</v>
      </c>
      <c r="R1010" s="24" t="s">
        <v>541</v>
      </c>
      <c r="S1010" s="34">
        <v>0</v>
      </c>
      <c r="T1010" s="15">
        <v>124.36</v>
      </c>
      <c r="U1010" s="18">
        <v>27.359200000000001</v>
      </c>
      <c r="V1010" s="56">
        <f>Table11[[#This Row],[Profit]]/Table11[[#This Row],[Sales]]</f>
        <v>0.22</v>
      </c>
    </row>
    <row r="1011" spans="1:22" x14ac:dyDescent="0.2">
      <c r="A1011" s="2">
        <v>1010</v>
      </c>
      <c r="B1011" s="3" t="s">
        <v>5337</v>
      </c>
      <c r="C1011" s="7">
        <v>42248</v>
      </c>
      <c r="D1011" s="28">
        <f>MONTH(Table11[[#This Row],[Order Date]])</f>
        <v>9</v>
      </c>
      <c r="E1011" s="3" t="s">
        <v>894</v>
      </c>
      <c r="F1011" s="3" t="s">
        <v>895</v>
      </c>
      <c r="G1011" s="25" t="s">
        <v>41</v>
      </c>
      <c r="H1011" s="25" t="s">
        <v>53</v>
      </c>
      <c r="I1011" s="3" t="s">
        <v>5338</v>
      </c>
      <c r="J1011" s="25" t="s">
        <v>92</v>
      </c>
      <c r="K1011" s="28">
        <v>6</v>
      </c>
      <c r="L1011" s="7">
        <v>42255</v>
      </c>
      <c r="M1011" s="28">
        <f>Table11[[#This Row],[Ship Date]]-Table11[[#This Row],[Order Date]]</f>
        <v>7</v>
      </c>
      <c r="N1011" s="25" t="s">
        <v>45</v>
      </c>
      <c r="O1011" s="25" t="s">
        <v>23</v>
      </c>
      <c r="P1011" s="25" t="s">
        <v>1101</v>
      </c>
      <c r="Q1011" s="25" t="s">
        <v>133</v>
      </c>
      <c r="R1011" s="25" t="s">
        <v>541</v>
      </c>
      <c r="S1011" s="35">
        <v>0</v>
      </c>
      <c r="T1011" s="16">
        <v>1088.76</v>
      </c>
      <c r="U1011" s="19">
        <v>315.74040000000002</v>
      </c>
      <c r="V1011" s="56">
        <f>Table11[[#This Row],[Profit]]/Table11[[#This Row],[Sales]]</f>
        <v>0.29000000000000004</v>
      </c>
    </row>
    <row r="1012" spans="1:22" x14ac:dyDescent="0.2">
      <c r="A1012" s="4">
        <v>1011</v>
      </c>
      <c r="B1012" s="5" t="s">
        <v>331</v>
      </c>
      <c r="C1012" s="6">
        <v>42250</v>
      </c>
      <c r="D1012" s="27">
        <f>MONTH(Table11[[#This Row],[Order Date]])</f>
        <v>9</v>
      </c>
      <c r="E1012" s="5" t="s">
        <v>334</v>
      </c>
      <c r="F1012" s="5" t="s">
        <v>335</v>
      </c>
      <c r="G1012" s="24" t="s">
        <v>41</v>
      </c>
      <c r="H1012" s="24" t="s">
        <v>155</v>
      </c>
      <c r="I1012" s="5" t="s">
        <v>332</v>
      </c>
      <c r="J1012" s="24" t="s">
        <v>36</v>
      </c>
      <c r="K1012" s="27">
        <v>7</v>
      </c>
      <c r="L1012" s="6">
        <v>42255</v>
      </c>
      <c r="M1012" s="27">
        <f>Table11[[#This Row],[Ship Date]]-Table11[[#This Row],[Order Date]]</f>
        <v>5</v>
      </c>
      <c r="N1012" s="24" t="s">
        <v>45</v>
      </c>
      <c r="O1012" s="24" t="s">
        <v>23</v>
      </c>
      <c r="P1012" s="24" t="s">
        <v>80</v>
      </c>
      <c r="Q1012" s="24" t="s">
        <v>26</v>
      </c>
      <c r="R1012" s="24" t="s">
        <v>333</v>
      </c>
      <c r="S1012" s="34">
        <v>0.2</v>
      </c>
      <c r="T1012" s="15">
        <v>200.98400000000001</v>
      </c>
      <c r="U1012" s="18">
        <v>62.807499999999997</v>
      </c>
      <c r="V1012" s="56">
        <f>Table11[[#This Row],[Profit]]/Table11[[#This Row],[Sales]]</f>
        <v>0.3125</v>
      </c>
    </row>
    <row r="1013" spans="1:22" x14ac:dyDescent="0.2">
      <c r="A1013" s="4">
        <v>1012</v>
      </c>
      <c r="B1013" s="3" t="s">
        <v>1590</v>
      </c>
      <c r="C1013" s="7">
        <v>42250</v>
      </c>
      <c r="D1013" s="28">
        <f>MONTH(Table11[[#This Row],[Order Date]])</f>
        <v>9</v>
      </c>
      <c r="E1013" s="3" t="s">
        <v>1592</v>
      </c>
      <c r="F1013" s="3" t="s">
        <v>1593</v>
      </c>
      <c r="G1013" s="25" t="s">
        <v>41</v>
      </c>
      <c r="H1013" s="25" t="s">
        <v>53</v>
      </c>
      <c r="I1013" s="3" t="s">
        <v>1591</v>
      </c>
      <c r="J1013" s="25" t="s">
        <v>22</v>
      </c>
      <c r="K1013" s="28">
        <v>3</v>
      </c>
      <c r="L1013" s="7">
        <v>42254</v>
      </c>
      <c r="M1013" s="28">
        <f>Table11[[#This Row],[Ship Date]]-Table11[[#This Row],[Order Date]]</f>
        <v>4</v>
      </c>
      <c r="N1013" s="25" t="s">
        <v>45</v>
      </c>
      <c r="O1013" s="25" t="s">
        <v>23</v>
      </c>
      <c r="P1013" s="25" t="s">
        <v>132</v>
      </c>
      <c r="Q1013" s="25" t="s">
        <v>133</v>
      </c>
      <c r="R1013" s="25" t="s">
        <v>131</v>
      </c>
      <c r="S1013" s="35">
        <v>0.2</v>
      </c>
      <c r="T1013" s="16">
        <v>36.335999999999999</v>
      </c>
      <c r="U1013" s="19">
        <v>-7.2671999999999999</v>
      </c>
      <c r="V1013" s="56">
        <f>Table11[[#This Row],[Profit]]/Table11[[#This Row],[Sales]]</f>
        <v>-0.2</v>
      </c>
    </row>
    <row r="1014" spans="1:22" x14ac:dyDescent="0.2">
      <c r="A1014" s="2">
        <v>1013</v>
      </c>
      <c r="B1014" s="5" t="s">
        <v>1590</v>
      </c>
      <c r="C1014" s="6">
        <v>42250</v>
      </c>
      <c r="D1014" s="27">
        <f>MONTH(Table11[[#This Row],[Order Date]])</f>
        <v>9</v>
      </c>
      <c r="E1014" s="5" t="s">
        <v>1594</v>
      </c>
      <c r="F1014" s="5" t="s">
        <v>1595</v>
      </c>
      <c r="G1014" s="24" t="s">
        <v>41</v>
      </c>
      <c r="H1014" s="24" t="s">
        <v>513</v>
      </c>
      <c r="I1014" s="5" t="s">
        <v>1591</v>
      </c>
      <c r="J1014" s="24" t="s">
        <v>22</v>
      </c>
      <c r="K1014" s="27">
        <v>1</v>
      </c>
      <c r="L1014" s="6">
        <v>42254</v>
      </c>
      <c r="M1014" s="27">
        <f>Table11[[#This Row],[Ship Date]]-Table11[[#This Row],[Order Date]]</f>
        <v>4</v>
      </c>
      <c r="N1014" s="24" t="s">
        <v>45</v>
      </c>
      <c r="O1014" s="24" t="s">
        <v>23</v>
      </c>
      <c r="P1014" s="24" t="s">
        <v>132</v>
      </c>
      <c r="Q1014" s="24" t="s">
        <v>133</v>
      </c>
      <c r="R1014" s="24" t="s">
        <v>131</v>
      </c>
      <c r="S1014" s="34">
        <v>0.2</v>
      </c>
      <c r="T1014" s="15">
        <v>666.24800000000005</v>
      </c>
      <c r="U1014" s="18">
        <v>-149.9058</v>
      </c>
      <c r="V1014" s="56">
        <f>Table11[[#This Row],[Profit]]/Table11[[#This Row],[Sales]]</f>
        <v>-0.22499999999999998</v>
      </c>
    </row>
    <row r="1015" spans="1:22" x14ac:dyDescent="0.2">
      <c r="A1015" s="4">
        <v>1014</v>
      </c>
      <c r="B1015" s="3" t="s">
        <v>1590</v>
      </c>
      <c r="C1015" s="7">
        <v>42250</v>
      </c>
      <c r="D1015" s="28">
        <f>MONTH(Table11[[#This Row],[Order Date]])</f>
        <v>9</v>
      </c>
      <c r="E1015" s="3" t="s">
        <v>1596</v>
      </c>
      <c r="F1015" s="3" t="s">
        <v>1597</v>
      </c>
      <c r="G1015" s="25" t="s">
        <v>41</v>
      </c>
      <c r="H1015" s="25" t="s">
        <v>155</v>
      </c>
      <c r="I1015" s="3" t="s">
        <v>1591</v>
      </c>
      <c r="J1015" s="25" t="s">
        <v>22</v>
      </c>
      <c r="K1015" s="28">
        <v>6</v>
      </c>
      <c r="L1015" s="7">
        <v>42254</v>
      </c>
      <c r="M1015" s="28">
        <f>Table11[[#This Row],[Ship Date]]-Table11[[#This Row],[Order Date]]</f>
        <v>4</v>
      </c>
      <c r="N1015" s="25" t="s">
        <v>45</v>
      </c>
      <c r="O1015" s="25" t="s">
        <v>23</v>
      </c>
      <c r="P1015" s="25" t="s">
        <v>132</v>
      </c>
      <c r="Q1015" s="25" t="s">
        <v>133</v>
      </c>
      <c r="R1015" s="25" t="s">
        <v>131</v>
      </c>
      <c r="S1015" s="35">
        <v>0.2</v>
      </c>
      <c r="T1015" s="16">
        <v>52.512</v>
      </c>
      <c r="U1015" s="19">
        <v>19.692</v>
      </c>
      <c r="V1015" s="56">
        <f>Table11[[#This Row],[Profit]]/Table11[[#This Row],[Sales]]</f>
        <v>0.375</v>
      </c>
    </row>
    <row r="1016" spans="1:22" x14ac:dyDescent="0.2">
      <c r="A1016" s="4">
        <v>1015</v>
      </c>
      <c r="B1016" s="5" t="s">
        <v>3920</v>
      </c>
      <c r="C1016" s="6">
        <v>42250</v>
      </c>
      <c r="D1016" s="27">
        <f>MONTH(Table11[[#This Row],[Order Date]])</f>
        <v>9</v>
      </c>
      <c r="E1016" s="5" t="s">
        <v>1614</v>
      </c>
      <c r="F1016" s="5" t="s">
        <v>1615</v>
      </c>
      <c r="G1016" s="24" t="s">
        <v>41</v>
      </c>
      <c r="H1016" s="24" t="s">
        <v>53</v>
      </c>
      <c r="I1016" s="5" t="s">
        <v>803</v>
      </c>
      <c r="J1016" s="24" t="s">
        <v>36</v>
      </c>
      <c r="K1016" s="27">
        <v>3</v>
      </c>
      <c r="L1016" s="6">
        <v>42256</v>
      </c>
      <c r="M1016" s="27">
        <f>Table11[[#This Row],[Ship Date]]-Table11[[#This Row],[Order Date]]</f>
        <v>6</v>
      </c>
      <c r="N1016" s="24" t="s">
        <v>45</v>
      </c>
      <c r="O1016" s="24" t="s">
        <v>23</v>
      </c>
      <c r="P1016" s="24" t="s">
        <v>38</v>
      </c>
      <c r="Q1016" s="24" t="s">
        <v>39</v>
      </c>
      <c r="R1016" s="24" t="s">
        <v>114</v>
      </c>
      <c r="S1016" s="34">
        <v>0</v>
      </c>
      <c r="T1016" s="15">
        <v>31.44</v>
      </c>
      <c r="U1016" s="18">
        <v>8.4887999999999995</v>
      </c>
      <c r="V1016" s="56">
        <f>Table11[[#This Row],[Profit]]/Table11[[#This Row],[Sales]]</f>
        <v>0.26999999999999996</v>
      </c>
    </row>
    <row r="1017" spans="1:22" x14ac:dyDescent="0.2">
      <c r="A1017" s="2">
        <v>1016</v>
      </c>
      <c r="B1017" s="3" t="s">
        <v>3920</v>
      </c>
      <c r="C1017" s="7">
        <v>42250</v>
      </c>
      <c r="D1017" s="28">
        <f>MONTH(Table11[[#This Row],[Order Date]])</f>
        <v>9</v>
      </c>
      <c r="E1017" s="3" t="s">
        <v>3664</v>
      </c>
      <c r="F1017" s="3" t="s">
        <v>3665</v>
      </c>
      <c r="G1017" s="25" t="s">
        <v>64</v>
      </c>
      <c r="H1017" s="25" t="s">
        <v>144</v>
      </c>
      <c r="I1017" s="3" t="s">
        <v>803</v>
      </c>
      <c r="J1017" s="25" t="s">
        <v>36</v>
      </c>
      <c r="K1017" s="28">
        <v>2</v>
      </c>
      <c r="L1017" s="7">
        <v>42256</v>
      </c>
      <c r="M1017" s="28">
        <f>Table11[[#This Row],[Ship Date]]-Table11[[#This Row],[Order Date]]</f>
        <v>6</v>
      </c>
      <c r="N1017" s="25" t="s">
        <v>45</v>
      </c>
      <c r="O1017" s="25" t="s">
        <v>23</v>
      </c>
      <c r="P1017" s="25" t="s">
        <v>38</v>
      </c>
      <c r="Q1017" s="25" t="s">
        <v>39</v>
      </c>
      <c r="R1017" s="25" t="s">
        <v>114</v>
      </c>
      <c r="S1017" s="35">
        <v>0</v>
      </c>
      <c r="T1017" s="16">
        <v>17.899999999999999</v>
      </c>
      <c r="U1017" s="19">
        <v>3.4009999999999998</v>
      </c>
      <c r="V1017" s="56">
        <f>Table11[[#This Row],[Profit]]/Table11[[#This Row],[Sales]]</f>
        <v>0.19</v>
      </c>
    </row>
    <row r="1018" spans="1:22" x14ac:dyDescent="0.2">
      <c r="A1018" s="4">
        <v>1017</v>
      </c>
      <c r="B1018" s="5" t="s">
        <v>3920</v>
      </c>
      <c r="C1018" s="6">
        <v>42250</v>
      </c>
      <c r="D1018" s="27">
        <f>MONTH(Table11[[#This Row],[Order Date]])</f>
        <v>9</v>
      </c>
      <c r="E1018" s="5" t="s">
        <v>3921</v>
      </c>
      <c r="F1018" s="5" t="s">
        <v>3922</v>
      </c>
      <c r="G1018" s="24" t="s">
        <v>64</v>
      </c>
      <c r="H1018" s="24" t="s">
        <v>144</v>
      </c>
      <c r="I1018" s="5" t="s">
        <v>803</v>
      </c>
      <c r="J1018" s="24" t="s">
        <v>36</v>
      </c>
      <c r="K1018" s="27">
        <v>5</v>
      </c>
      <c r="L1018" s="6">
        <v>42256</v>
      </c>
      <c r="M1018" s="27">
        <f>Table11[[#This Row],[Ship Date]]-Table11[[#This Row],[Order Date]]</f>
        <v>6</v>
      </c>
      <c r="N1018" s="24" t="s">
        <v>45</v>
      </c>
      <c r="O1018" s="24" t="s">
        <v>23</v>
      </c>
      <c r="P1018" s="24" t="s">
        <v>38</v>
      </c>
      <c r="Q1018" s="24" t="s">
        <v>39</v>
      </c>
      <c r="R1018" s="24" t="s">
        <v>114</v>
      </c>
      <c r="S1018" s="34">
        <v>0</v>
      </c>
      <c r="T1018" s="15">
        <v>129.44999999999999</v>
      </c>
      <c r="U1018" s="18">
        <v>46.601999999999997</v>
      </c>
      <c r="V1018" s="56">
        <f>Table11[[#This Row],[Profit]]/Table11[[#This Row],[Sales]]</f>
        <v>0.36</v>
      </c>
    </row>
    <row r="1019" spans="1:22" x14ac:dyDescent="0.2">
      <c r="A1019" s="4">
        <v>1018</v>
      </c>
      <c r="B1019" s="3" t="s">
        <v>4106</v>
      </c>
      <c r="C1019" s="7">
        <v>42250</v>
      </c>
      <c r="D1019" s="28">
        <f>MONTH(Table11[[#This Row],[Order Date]])</f>
        <v>9</v>
      </c>
      <c r="E1019" s="3" t="s">
        <v>96</v>
      </c>
      <c r="F1019" s="3" t="s">
        <v>97</v>
      </c>
      <c r="G1019" s="25" t="s">
        <v>41</v>
      </c>
      <c r="H1019" s="25" t="s">
        <v>71</v>
      </c>
      <c r="I1019" s="3" t="s">
        <v>623</v>
      </c>
      <c r="J1019" s="25" t="s">
        <v>36</v>
      </c>
      <c r="K1019" s="28">
        <v>2</v>
      </c>
      <c r="L1019" s="7">
        <v>42252</v>
      </c>
      <c r="M1019" s="28">
        <f>Table11[[#This Row],[Ship Date]]-Table11[[#This Row],[Order Date]]</f>
        <v>2</v>
      </c>
      <c r="N1019" s="25" t="s">
        <v>169</v>
      </c>
      <c r="O1019" s="25" t="s">
        <v>23</v>
      </c>
      <c r="P1019" s="25" t="s">
        <v>660</v>
      </c>
      <c r="Q1019" s="25" t="s">
        <v>133</v>
      </c>
      <c r="R1019" s="25" t="s">
        <v>456</v>
      </c>
      <c r="S1019" s="35">
        <v>0</v>
      </c>
      <c r="T1019" s="16">
        <v>137.62</v>
      </c>
      <c r="U1019" s="19">
        <v>60.552799999999998</v>
      </c>
      <c r="V1019" s="56">
        <f>Table11[[#This Row],[Profit]]/Table11[[#This Row],[Sales]]</f>
        <v>0.43999999999999995</v>
      </c>
    </row>
    <row r="1020" spans="1:22" x14ac:dyDescent="0.2">
      <c r="A1020" s="2">
        <v>1019</v>
      </c>
      <c r="B1020" s="5" t="s">
        <v>4106</v>
      </c>
      <c r="C1020" s="6">
        <v>42250</v>
      </c>
      <c r="D1020" s="27">
        <f>MONTH(Table11[[#This Row],[Order Date]])</f>
        <v>9</v>
      </c>
      <c r="E1020" s="5" t="s">
        <v>4107</v>
      </c>
      <c r="F1020" s="5" t="s">
        <v>4108</v>
      </c>
      <c r="G1020" s="24" t="s">
        <v>64</v>
      </c>
      <c r="H1020" s="24" t="s">
        <v>65</v>
      </c>
      <c r="I1020" s="5" t="s">
        <v>623</v>
      </c>
      <c r="J1020" s="24" t="s">
        <v>36</v>
      </c>
      <c r="K1020" s="27">
        <v>1</v>
      </c>
      <c r="L1020" s="6">
        <v>42252</v>
      </c>
      <c r="M1020" s="27">
        <f>Table11[[#This Row],[Ship Date]]-Table11[[#This Row],[Order Date]]</f>
        <v>2</v>
      </c>
      <c r="N1020" s="24" t="s">
        <v>169</v>
      </c>
      <c r="O1020" s="24" t="s">
        <v>23</v>
      </c>
      <c r="P1020" s="24" t="s">
        <v>660</v>
      </c>
      <c r="Q1020" s="24" t="s">
        <v>133</v>
      </c>
      <c r="R1020" s="24" t="s">
        <v>456</v>
      </c>
      <c r="S1020" s="34">
        <v>0</v>
      </c>
      <c r="T1020" s="15">
        <v>100.49</v>
      </c>
      <c r="U1020" s="18">
        <v>25.122499999999999</v>
      </c>
      <c r="V1020" s="56">
        <f>Table11[[#This Row],[Profit]]/Table11[[#This Row],[Sales]]</f>
        <v>0.25</v>
      </c>
    </row>
    <row r="1021" spans="1:22" x14ac:dyDescent="0.2">
      <c r="A1021" s="4">
        <v>1020</v>
      </c>
      <c r="B1021" s="3" t="s">
        <v>5360</v>
      </c>
      <c r="C1021" s="7">
        <v>42250</v>
      </c>
      <c r="D1021" s="28">
        <f>MONTH(Table11[[#This Row],[Order Date]])</f>
        <v>9</v>
      </c>
      <c r="E1021" s="3" t="s">
        <v>2668</v>
      </c>
      <c r="F1021" s="3" t="s">
        <v>2669</v>
      </c>
      <c r="G1021" s="25" t="s">
        <v>41</v>
      </c>
      <c r="H1021" s="25" t="s">
        <v>53</v>
      </c>
      <c r="I1021" s="3" t="s">
        <v>623</v>
      </c>
      <c r="J1021" s="25" t="s">
        <v>36</v>
      </c>
      <c r="K1021" s="28">
        <v>1</v>
      </c>
      <c r="L1021" s="7">
        <v>42255</v>
      </c>
      <c r="M1021" s="28">
        <f>Table11[[#This Row],[Ship Date]]-Table11[[#This Row],[Order Date]]</f>
        <v>5</v>
      </c>
      <c r="N1021" s="25" t="s">
        <v>20</v>
      </c>
      <c r="O1021" s="25" t="s">
        <v>23</v>
      </c>
      <c r="P1021" s="25" t="s">
        <v>238</v>
      </c>
      <c r="Q1021" s="25" t="s">
        <v>133</v>
      </c>
      <c r="R1021" s="25" t="s">
        <v>237</v>
      </c>
      <c r="S1021" s="35">
        <v>0</v>
      </c>
      <c r="T1021" s="16">
        <v>120.33</v>
      </c>
      <c r="U1021" s="19">
        <v>31.285799999999998</v>
      </c>
      <c r="V1021" s="56">
        <f>Table11[[#This Row],[Profit]]/Table11[[#This Row],[Sales]]</f>
        <v>0.26</v>
      </c>
    </row>
    <row r="1022" spans="1:22" x14ac:dyDescent="0.2">
      <c r="A1022" s="4">
        <v>1021</v>
      </c>
      <c r="B1022" s="5" t="s">
        <v>6774</v>
      </c>
      <c r="C1022" s="6">
        <v>42250</v>
      </c>
      <c r="D1022" s="27">
        <f>MONTH(Table11[[#This Row],[Order Date]])</f>
        <v>9</v>
      </c>
      <c r="E1022" s="5" t="s">
        <v>1370</v>
      </c>
      <c r="F1022" s="5" t="s">
        <v>1371</v>
      </c>
      <c r="G1022" s="24" t="s">
        <v>28</v>
      </c>
      <c r="H1022" s="24" t="s">
        <v>32</v>
      </c>
      <c r="I1022" s="5" t="s">
        <v>2601</v>
      </c>
      <c r="J1022" s="24" t="s">
        <v>92</v>
      </c>
      <c r="K1022" s="27">
        <v>2</v>
      </c>
      <c r="L1022" s="6">
        <v>42255</v>
      </c>
      <c r="M1022" s="27">
        <f>Table11[[#This Row],[Ship Date]]-Table11[[#This Row],[Order Date]]</f>
        <v>5</v>
      </c>
      <c r="N1022" s="24" t="s">
        <v>45</v>
      </c>
      <c r="O1022" s="24" t="s">
        <v>23</v>
      </c>
      <c r="P1022" s="24" t="s">
        <v>38</v>
      </c>
      <c r="Q1022" s="24" t="s">
        <v>39</v>
      </c>
      <c r="R1022" s="24" t="s">
        <v>114</v>
      </c>
      <c r="S1022" s="34">
        <v>0.2</v>
      </c>
      <c r="T1022" s="15">
        <v>129.56800000000001</v>
      </c>
      <c r="U1022" s="18">
        <v>-12.956799999999999</v>
      </c>
      <c r="V1022" s="56">
        <f>Table11[[#This Row],[Profit]]/Table11[[#This Row],[Sales]]</f>
        <v>-9.9999999999999992E-2</v>
      </c>
    </row>
    <row r="1023" spans="1:22" x14ac:dyDescent="0.2">
      <c r="A1023" s="2">
        <v>1022</v>
      </c>
      <c r="B1023" s="3" t="s">
        <v>6774</v>
      </c>
      <c r="C1023" s="7">
        <v>42250</v>
      </c>
      <c r="D1023" s="28">
        <f>MONTH(Table11[[#This Row],[Order Date]])</f>
        <v>9</v>
      </c>
      <c r="E1023" s="3" t="s">
        <v>482</v>
      </c>
      <c r="F1023" s="3" t="s">
        <v>483</v>
      </c>
      <c r="G1023" s="25" t="s">
        <v>41</v>
      </c>
      <c r="H1023" s="25" t="s">
        <v>68</v>
      </c>
      <c r="I1023" s="3" t="s">
        <v>2601</v>
      </c>
      <c r="J1023" s="25" t="s">
        <v>92</v>
      </c>
      <c r="K1023" s="28">
        <v>2</v>
      </c>
      <c r="L1023" s="7">
        <v>42255</v>
      </c>
      <c r="M1023" s="28">
        <f>Table11[[#This Row],[Ship Date]]-Table11[[#This Row],[Order Date]]</f>
        <v>5</v>
      </c>
      <c r="N1023" s="25" t="s">
        <v>45</v>
      </c>
      <c r="O1023" s="25" t="s">
        <v>23</v>
      </c>
      <c r="P1023" s="25" t="s">
        <v>38</v>
      </c>
      <c r="Q1023" s="25" t="s">
        <v>39</v>
      </c>
      <c r="R1023" s="25" t="s">
        <v>114</v>
      </c>
      <c r="S1023" s="35">
        <v>0.2</v>
      </c>
      <c r="T1023" s="16">
        <v>6.3680000000000003</v>
      </c>
      <c r="U1023" s="19">
        <v>2.1492</v>
      </c>
      <c r="V1023" s="56">
        <f>Table11[[#This Row],[Profit]]/Table11[[#This Row],[Sales]]</f>
        <v>0.33749999999999997</v>
      </c>
    </row>
    <row r="1024" spans="1:22" x14ac:dyDescent="0.2">
      <c r="A1024" s="4">
        <v>1023</v>
      </c>
      <c r="B1024" s="5" t="s">
        <v>7877</v>
      </c>
      <c r="C1024" s="6">
        <v>42250</v>
      </c>
      <c r="D1024" s="27">
        <f>MONTH(Table11[[#This Row],[Order Date]])</f>
        <v>9</v>
      </c>
      <c r="E1024" s="5" t="s">
        <v>3756</v>
      </c>
      <c r="F1024" s="5" t="s">
        <v>3757</v>
      </c>
      <c r="G1024" s="24" t="s">
        <v>28</v>
      </c>
      <c r="H1024" s="24" t="s">
        <v>58</v>
      </c>
      <c r="I1024" s="5" t="s">
        <v>3237</v>
      </c>
      <c r="J1024" s="24" t="s">
        <v>36</v>
      </c>
      <c r="K1024" s="27">
        <v>3</v>
      </c>
      <c r="L1024" s="6">
        <v>42255</v>
      </c>
      <c r="M1024" s="27">
        <f>Table11[[#This Row],[Ship Date]]-Table11[[#This Row],[Order Date]]</f>
        <v>5</v>
      </c>
      <c r="N1024" s="24" t="s">
        <v>45</v>
      </c>
      <c r="O1024" s="24" t="s">
        <v>23</v>
      </c>
      <c r="P1024" s="24" t="s">
        <v>277</v>
      </c>
      <c r="Q1024" s="24" t="s">
        <v>39</v>
      </c>
      <c r="R1024" s="24" t="s">
        <v>1159</v>
      </c>
      <c r="S1024" s="34">
        <v>0.2</v>
      </c>
      <c r="T1024" s="15">
        <v>238.15199999999999</v>
      </c>
      <c r="U1024" s="18">
        <v>89.307000000000002</v>
      </c>
      <c r="V1024" s="56">
        <f>Table11[[#This Row],[Profit]]/Table11[[#This Row],[Sales]]</f>
        <v>0.37500000000000006</v>
      </c>
    </row>
    <row r="1025" spans="1:22" x14ac:dyDescent="0.2">
      <c r="A1025" s="4">
        <v>1024</v>
      </c>
      <c r="B1025" s="3" t="s">
        <v>9261</v>
      </c>
      <c r="C1025" s="7">
        <v>42250</v>
      </c>
      <c r="D1025" s="28">
        <f>MONTH(Table11[[#This Row],[Order Date]])</f>
        <v>9</v>
      </c>
      <c r="E1025" s="3" t="s">
        <v>6024</v>
      </c>
      <c r="F1025" s="3" t="s">
        <v>6025</v>
      </c>
      <c r="G1025" s="25" t="s">
        <v>41</v>
      </c>
      <c r="H1025" s="25" t="s">
        <v>42</v>
      </c>
      <c r="I1025" s="3" t="s">
        <v>4530</v>
      </c>
      <c r="J1025" s="25" t="s">
        <v>22</v>
      </c>
      <c r="K1025" s="28">
        <v>2</v>
      </c>
      <c r="L1025" s="7">
        <v>42254</v>
      </c>
      <c r="M1025" s="28">
        <f>Table11[[#This Row],[Ship Date]]-Table11[[#This Row],[Order Date]]</f>
        <v>4</v>
      </c>
      <c r="N1025" s="25" t="s">
        <v>20</v>
      </c>
      <c r="O1025" s="25" t="s">
        <v>23</v>
      </c>
      <c r="P1025" s="25" t="s">
        <v>212</v>
      </c>
      <c r="Q1025" s="25" t="s">
        <v>95</v>
      </c>
      <c r="R1025" s="25" t="s">
        <v>7657</v>
      </c>
      <c r="S1025" s="35">
        <v>0</v>
      </c>
      <c r="T1025" s="16">
        <v>7.5</v>
      </c>
      <c r="U1025" s="19">
        <v>3.6</v>
      </c>
      <c r="V1025" s="56">
        <f>Table11[[#This Row],[Profit]]/Table11[[#This Row],[Sales]]</f>
        <v>0.48000000000000004</v>
      </c>
    </row>
    <row r="1026" spans="1:22" x14ac:dyDescent="0.2">
      <c r="A1026" s="2">
        <v>1025</v>
      </c>
      <c r="B1026" s="5" t="s">
        <v>2869</v>
      </c>
      <c r="C1026" s="6">
        <v>42251</v>
      </c>
      <c r="D1026" s="27">
        <f>MONTH(Table11[[#This Row],[Order Date]])</f>
        <v>9</v>
      </c>
      <c r="E1026" s="5" t="s">
        <v>1106</v>
      </c>
      <c r="F1026" s="5" t="s">
        <v>1275</v>
      </c>
      <c r="G1026" s="24" t="s">
        <v>41</v>
      </c>
      <c r="H1026" s="24" t="s">
        <v>82</v>
      </c>
      <c r="I1026" s="5" t="s">
        <v>2870</v>
      </c>
      <c r="J1026" s="24" t="s">
        <v>22</v>
      </c>
      <c r="K1026" s="27">
        <v>5</v>
      </c>
      <c r="L1026" s="6">
        <v>42255</v>
      </c>
      <c r="M1026" s="27">
        <f>Table11[[#This Row],[Ship Date]]-Table11[[#This Row],[Order Date]]</f>
        <v>4</v>
      </c>
      <c r="N1026" s="24" t="s">
        <v>45</v>
      </c>
      <c r="O1026" s="24" t="s">
        <v>23</v>
      </c>
      <c r="P1026" s="24" t="s">
        <v>1125</v>
      </c>
      <c r="Q1026" s="24" t="s">
        <v>26</v>
      </c>
      <c r="R1026" s="24" t="s">
        <v>2871</v>
      </c>
      <c r="S1026" s="34">
        <v>0</v>
      </c>
      <c r="T1026" s="15">
        <v>279.89999999999998</v>
      </c>
      <c r="U1026" s="18">
        <v>137.15100000000001</v>
      </c>
      <c r="V1026" s="56">
        <f>Table11[[#This Row],[Profit]]/Table11[[#This Row],[Sales]]</f>
        <v>0.4900000000000001</v>
      </c>
    </row>
    <row r="1027" spans="1:22" x14ac:dyDescent="0.2">
      <c r="A1027" s="4">
        <v>1026</v>
      </c>
      <c r="B1027" s="3" t="s">
        <v>2869</v>
      </c>
      <c r="C1027" s="7">
        <v>42251</v>
      </c>
      <c r="D1027" s="28">
        <f>MONTH(Table11[[#This Row],[Order Date]])</f>
        <v>9</v>
      </c>
      <c r="E1027" s="3" t="s">
        <v>2382</v>
      </c>
      <c r="F1027" s="3" t="s">
        <v>2383</v>
      </c>
      <c r="G1027" s="25" t="s">
        <v>64</v>
      </c>
      <c r="H1027" s="25" t="s">
        <v>144</v>
      </c>
      <c r="I1027" s="3" t="s">
        <v>2870</v>
      </c>
      <c r="J1027" s="25" t="s">
        <v>22</v>
      </c>
      <c r="K1027" s="28">
        <v>5</v>
      </c>
      <c r="L1027" s="7">
        <v>42255</v>
      </c>
      <c r="M1027" s="28">
        <f>Table11[[#This Row],[Ship Date]]-Table11[[#This Row],[Order Date]]</f>
        <v>4</v>
      </c>
      <c r="N1027" s="25" t="s">
        <v>45</v>
      </c>
      <c r="O1027" s="25" t="s">
        <v>23</v>
      </c>
      <c r="P1027" s="25" t="s">
        <v>1125</v>
      </c>
      <c r="Q1027" s="25" t="s">
        <v>26</v>
      </c>
      <c r="R1027" s="25" t="s">
        <v>2871</v>
      </c>
      <c r="S1027" s="35">
        <v>0</v>
      </c>
      <c r="T1027" s="16">
        <v>619.95000000000005</v>
      </c>
      <c r="U1027" s="19">
        <v>111.59099999999999</v>
      </c>
      <c r="V1027" s="56">
        <f>Table11[[#This Row],[Profit]]/Table11[[#This Row],[Sales]]</f>
        <v>0.17999999999999997</v>
      </c>
    </row>
    <row r="1028" spans="1:22" x14ac:dyDescent="0.2">
      <c r="A1028" s="4">
        <v>1027</v>
      </c>
      <c r="B1028" s="5" t="s">
        <v>2869</v>
      </c>
      <c r="C1028" s="6">
        <v>42251</v>
      </c>
      <c r="D1028" s="27">
        <f>MONTH(Table11[[#This Row],[Order Date]])</f>
        <v>9</v>
      </c>
      <c r="E1028" s="5" t="s">
        <v>2872</v>
      </c>
      <c r="F1028" s="5" t="s">
        <v>2873</v>
      </c>
      <c r="G1028" s="24" t="s">
        <v>41</v>
      </c>
      <c r="H1028" s="24" t="s">
        <v>82</v>
      </c>
      <c r="I1028" s="5" t="s">
        <v>2870</v>
      </c>
      <c r="J1028" s="24" t="s">
        <v>22</v>
      </c>
      <c r="K1028" s="27">
        <v>2</v>
      </c>
      <c r="L1028" s="6">
        <v>42255</v>
      </c>
      <c r="M1028" s="27">
        <f>Table11[[#This Row],[Ship Date]]-Table11[[#This Row],[Order Date]]</f>
        <v>4</v>
      </c>
      <c r="N1028" s="24" t="s">
        <v>45</v>
      </c>
      <c r="O1028" s="24" t="s">
        <v>23</v>
      </c>
      <c r="P1028" s="24" t="s">
        <v>1125</v>
      </c>
      <c r="Q1028" s="24" t="s">
        <v>26</v>
      </c>
      <c r="R1028" s="24" t="s">
        <v>2871</v>
      </c>
      <c r="S1028" s="34">
        <v>0</v>
      </c>
      <c r="T1028" s="15">
        <v>4.3600000000000003</v>
      </c>
      <c r="U1028" s="18">
        <v>2.0491999999999999</v>
      </c>
      <c r="V1028" s="56">
        <f>Table11[[#This Row],[Profit]]/Table11[[#This Row],[Sales]]</f>
        <v>0.46999999999999992</v>
      </c>
    </row>
    <row r="1029" spans="1:22" x14ac:dyDescent="0.2">
      <c r="A1029" s="2">
        <v>1028</v>
      </c>
      <c r="B1029" s="3" t="s">
        <v>2869</v>
      </c>
      <c r="C1029" s="7">
        <v>42251</v>
      </c>
      <c r="D1029" s="28">
        <f>MONTH(Table11[[#This Row],[Order Date]])</f>
        <v>9</v>
      </c>
      <c r="E1029" s="3" t="s">
        <v>2268</v>
      </c>
      <c r="F1029" s="3" t="s">
        <v>2269</v>
      </c>
      <c r="G1029" s="25" t="s">
        <v>41</v>
      </c>
      <c r="H1029" s="25" t="s">
        <v>155</v>
      </c>
      <c r="I1029" s="3" t="s">
        <v>2870</v>
      </c>
      <c r="J1029" s="25" t="s">
        <v>22</v>
      </c>
      <c r="K1029" s="28">
        <v>2</v>
      </c>
      <c r="L1029" s="7">
        <v>42255</v>
      </c>
      <c r="M1029" s="28">
        <f>Table11[[#This Row],[Ship Date]]-Table11[[#This Row],[Order Date]]</f>
        <v>4</v>
      </c>
      <c r="N1029" s="25" t="s">
        <v>45</v>
      </c>
      <c r="O1029" s="25" t="s">
        <v>23</v>
      </c>
      <c r="P1029" s="25" t="s">
        <v>1125</v>
      </c>
      <c r="Q1029" s="25" t="s">
        <v>26</v>
      </c>
      <c r="R1029" s="25" t="s">
        <v>2871</v>
      </c>
      <c r="S1029" s="35">
        <v>0</v>
      </c>
      <c r="T1029" s="16">
        <v>15.28</v>
      </c>
      <c r="U1029" s="19">
        <v>7.4871999999999996</v>
      </c>
      <c r="V1029" s="56">
        <f>Table11[[#This Row],[Profit]]/Table11[[#This Row],[Sales]]</f>
        <v>0.49</v>
      </c>
    </row>
    <row r="1030" spans="1:22" x14ac:dyDescent="0.2">
      <c r="A1030" s="4">
        <v>1029</v>
      </c>
      <c r="B1030" s="5" t="s">
        <v>6622</v>
      </c>
      <c r="C1030" s="6">
        <v>42251</v>
      </c>
      <c r="D1030" s="27">
        <f>MONTH(Table11[[#This Row],[Order Date]])</f>
        <v>9</v>
      </c>
      <c r="E1030" s="5" t="s">
        <v>5851</v>
      </c>
      <c r="F1030" s="5" t="s">
        <v>5852</v>
      </c>
      <c r="G1030" s="24" t="s">
        <v>41</v>
      </c>
      <c r="H1030" s="24" t="s">
        <v>68</v>
      </c>
      <c r="I1030" s="5" t="s">
        <v>122</v>
      </c>
      <c r="J1030" s="24" t="s">
        <v>36</v>
      </c>
      <c r="K1030" s="27">
        <v>2</v>
      </c>
      <c r="L1030" s="6">
        <v>42256</v>
      </c>
      <c r="M1030" s="27">
        <f>Table11[[#This Row],[Ship Date]]-Table11[[#This Row],[Order Date]]</f>
        <v>5</v>
      </c>
      <c r="N1030" s="24" t="s">
        <v>45</v>
      </c>
      <c r="O1030" s="24" t="s">
        <v>23</v>
      </c>
      <c r="P1030" s="24" t="s">
        <v>374</v>
      </c>
      <c r="Q1030" s="24" t="s">
        <v>39</v>
      </c>
      <c r="R1030" s="24" t="s">
        <v>4162</v>
      </c>
      <c r="S1030" s="34">
        <v>0.7</v>
      </c>
      <c r="T1030" s="15">
        <v>9.7620000000000005</v>
      </c>
      <c r="U1030" s="18">
        <v>-6.8334000000000001</v>
      </c>
      <c r="V1030" s="56">
        <f>Table11[[#This Row],[Profit]]/Table11[[#This Row],[Sales]]</f>
        <v>-0.7</v>
      </c>
    </row>
    <row r="1031" spans="1:22" x14ac:dyDescent="0.2">
      <c r="A1031" s="4">
        <v>1030</v>
      </c>
      <c r="B1031" s="3" t="s">
        <v>6904</v>
      </c>
      <c r="C1031" s="7">
        <v>42251</v>
      </c>
      <c r="D1031" s="28">
        <f>MONTH(Table11[[#This Row],[Order Date]])</f>
        <v>9</v>
      </c>
      <c r="E1031" s="3" t="s">
        <v>754</v>
      </c>
      <c r="F1031" s="3" t="s">
        <v>755</v>
      </c>
      <c r="G1031" s="25" t="s">
        <v>64</v>
      </c>
      <c r="H1031" s="25" t="s">
        <v>144</v>
      </c>
      <c r="I1031" s="3" t="s">
        <v>774</v>
      </c>
      <c r="J1031" s="25" t="s">
        <v>36</v>
      </c>
      <c r="K1031" s="28">
        <v>3</v>
      </c>
      <c r="L1031" s="7">
        <v>42254</v>
      </c>
      <c r="M1031" s="28">
        <f>Table11[[#This Row],[Ship Date]]-Table11[[#This Row],[Order Date]]</f>
        <v>3</v>
      </c>
      <c r="N1031" s="25" t="s">
        <v>20</v>
      </c>
      <c r="O1031" s="25" t="s">
        <v>23</v>
      </c>
      <c r="P1031" s="25" t="s">
        <v>94</v>
      </c>
      <c r="Q1031" s="25" t="s">
        <v>95</v>
      </c>
      <c r="R1031" s="25" t="s">
        <v>165</v>
      </c>
      <c r="S1031" s="35">
        <v>0.2</v>
      </c>
      <c r="T1031" s="16">
        <v>134.376</v>
      </c>
      <c r="U1031" s="19">
        <v>6.7187999999999999</v>
      </c>
      <c r="V1031" s="56">
        <f>Table11[[#This Row],[Profit]]/Table11[[#This Row],[Sales]]</f>
        <v>4.9999999999999996E-2</v>
      </c>
    </row>
    <row r="1032" spans="1:22" x14ac:dyDescent="0.2">
      <c r="A1032" s="2">
        <v>1031</v>
      </c>
      <c r="B1032" s="5" t="s">
        <v>7525</v>
      </c>
      <c r="C1032" s="6">
        <v>42251</v>
      </c>
      <c r="D1032" s="27">
        <f>MONTH(Table11[[#This Row],[Order Date]])</f>
        <v>9</v>
      </c>
      <c r="E1032" s="5" t="s">
        <v>4280</v>
      </c>
      <c r="F1032" s="5" t="s">
        <v>4281</v>
      </c>
      <c r="G1032" s="24" t="s">
        <v>41</v>
      </c>
      <c r="H1032" s="24" t="s">
        <v>68</v>
      </c>
      <c r="I1032" s="5" t="s">
        <v>3429</v>
      </c>
      <c r="J1032" s="24" t="s">
        <v>36</v>
      </c>
      <c r="K1032" s="27">
        <v>4</v>
      </c>
      <c r="L1032" s="6">
        <v>42255</v>
      </c>
      <c r="M1032" s="27">
        <f>Table11[[#This Row],[Ship Date]]-Table11[[#This Row],[Order Date]]</f>
        <v>4</v>
      </c>
      <c r="N1032" s="24" t="s">
        <v>45</v>
      </c>
      <c r="O1032" s="24" t="s">
        <v>23</v>
      </c>
      <c r="P1032" s="24" t="s">
        <v>132</v>
      </c>
      <c r="Q1032" s="24" t="s">
        <v>133</v>
      </c>
      <c r="R1032" s="24" t="s">
        <v>131</v>
      </c>
      <c r="S1032" s="34">
        <v>0.7</v>
      </c>
      <c r="T1032" s="15">
        <v>7.6559999999999997</v>
      </c>
      <c r="U1032" s="18">
        <v>-6.1247999999999996</v>
      </c>
      <c r="V1032" s="56">
        <f>Table11[[#This Row],[Profit]]/Table11[[#This Row],[Sales]]</f>
        <v>-0.79999999999999993</v>
      </c>
    </row>
    <row r="1033" spans="1:22" x14ac:dyDescent="0.2">
      <c r="A1033" s="4">
        <v>1032</v>
      </c>
      <c r="B1033" s="3" t="s">
        <v>3948</v>
      </c>
      <c r="C1033" s="7">
        <v>42252</v>
      </c>
      <c r="D1033" s="28">
        <f>MONTH(Table11[[#This Row],[Order Date]])</f>
        <v>9</v>
      </c>
      <c r="E1033" s="3" t="s">
        <v>3949</v>
      </c>
      <c r="F1033" s="3" t="s">
        <v>3950</v>
      </c>
      <c r="G1033" s="25" t="s">
        <v>28</v>
      </c>
      <c r="H1033" s="25" t="s">
        <v>29</v>
      </c>
      <c r="I1033" s="3" t="s">
        <v>1158</v>
      </c>
      <c r="J1033" s="25" t="s">
        <v>22</v>
      </c>
      <c r="K1033" s="28">
        <v>4</v>
      </c>
      <c r="L1033" s="7">
        <v>42256</v>
      </c>
      <c r="M1033" s="28">
        <f>Table11[[#This Row],[Ship Date]]-Table11[[#This Row],[Order Date]]</f>
        <v>4</v>
      </c>
      <c r="N1033" s="25" t="s">
        <v>45</v>
      </c>
      <c r="O1033" s="25" t="s">
        <v>23</v>
      </c>
      <c r="P1033" s="25" t="s">
        <v>38</v>
      </c>
      <c r="Q1033" s="25" t="s">
        <v>39</v>
      </c>
      <c r="R1033" s="25" t="s">
        <v>836</v>
      </c>
      <c r="S1033" s="35">
        <v>0.15</v>
      </c>
      <c r="T1033" s="16">
        <v>411.33199999999999</v>
      </c>
      <c r="U1033" s="19">
        <v>-4.8391999999999999</v>
      </c>
      <c r="V1033" s="56">
        <f>Table11[[#This Row],[Profit]]/Table11[[#This Row],[Sales]]</f>
        <v>-1.1764705882352941E-2</v>
      </c>
    </row>
    <row r="1034" spans="1:22" x14ac:dyDescent="0.2">
      <c r="A1034" s="4">
        <v>1033</v>
      </c>
      <c r="B1034" s="5" t="s">
        <v>3948</v>
      </c>
      <c r="C1034" s="6">
        <v>42252</v>
      </c>
      <c r="D1034" s="27">
        <f>MONTH(Table11[[#This Row],[Order Date]])</f>
        <v>9</v>
      </c>
      <c r="E1034" s="5" t="s">
        <v>3951</v>
      </c>
      <c r="F1034" s="5" t="s">
        <v>3952</v>
      </c>
      <c r="G1034" s="24" t="s">
        <v>41</v>
      </c>
      <c r="H1034" s="24" t="s">
        <v>68</v>
      </c>
      <c r="I1034" s="5" t="s">
        <v>1158</v>
      </c>
      <c r="J1034" s="24" t="s">
        <v>22</v>
      </c>
      <c r="K1034" s="27">
        <v>6</v>
      </c>
      <c r="L1034" s="6">
        <v>42256</v>
      </c>
      <c r="M1034" s="27">
        <f>Table11[[#This Row],[Ship Date]]-Table11[[#This Row],[Order Date]]</f>
        <v>4</v>
      </c>
      <c r="N1034" s="24" t="s">
        <v>45</v>
      </c>
      <c r="O1034" s="24" t="s">
        <v>23</v>
      </c>
      <c r="P1034" s="24" t="s">
        <v>38</v>
      </c>
      <c r="Q1034" s="24" t="s">
        <v>39</v>
      </c>
      <c r="R1034" s="24" t="s">
        <v>836</v>
      </c>
      <c r="S1034" s="34">
        <v>0.2</v>
      </c>
      <c r="T1034" s="15">
        <v>28.751999999999999</v>
      </c>
      <c r="U1034" s="18">
        <v>9.7037999999999993</v>
      </c>
      <c r="V1034" s="56">
        <f>Table11[[#This Row],[Profit]]/Table11[[#This Row],[Sales]]</f>
        <v>0.33749999999999997</v>
      </c>
    </row>
    <row r="1035" spans="1:22" x14ac:dyDescent="0.2">
      <c r="A1035" s="2">
        <v>1034</v>
      </c>
      <c r="B1035" s="3" t="s">
        <v>3948</v>
      </c>
      <c r="C1035" s="7">
        <v>42252</v>
      </c>
      <c r="D1035" s="28">
        <f>MONTH(Table11[[#This Row],[Order Date]])</f>
        <v>9</v>
      </c>
      <c r="E1035" s="3" t="s">
        <v>3953</v>
      </c>
      <c r="F1035" s="3" t="s">
        <v>3954</v>
      </c>
      <c r="G1035" s="25" t="s">
        <v>28</v>
      </c>
      <c r="H1035" s="25" t="s">
        <v>29</v>
      </c>
      <c r="I1035" s="3" t="s">
        <v>1158</v>
      </c>
      <c r="J1035" s="25" t="s">
        <v>22</v>
      </c>
      <c r="K1035" s="28">
        <v>3</v>
      </c>
      <c r="L1035" s="7">
        <v>42256</v>
      </c>
      <c r="M1035" s="28">
        <f>Table11[[#This Row],[Ship Date]]-Table11[[#This Row],[Order Date]]</f>
        <v>4</v>
      </c>
      <c r="N1035" s="25" t="s">
        <v>45</v>
      </c>
      <c r="O1035" s="25" t="s">
        <v>23</v>
      </c>
      <c r="P1035" s="25" t="s">
        <v>38</v>
      </c>
      <c r="Q1035" s="25" t="s">
        <v>39</v>
      </c>
      <c r="R1035" s="25" t="s">
        <v>836</v>
      </c>
      <c r="S1035" s="35">
        <v>0.15</v>
      </c>
      <c r="T1035" s="16">
        <v>293.19900000000001</v>
      </c>
      <c r="U1035" s="19">
        <v>-20.696400000000001</v>
      </c>
      <c r="V1035" s="56">
        <f>Table11[[#This Row],[Profit]]/Table11[[#This Row],[Sales]]</f>
        <v>-7.0588235294117646E-2</v>
      </c>
    </row>
    <row r="1036" spans="1:22" x14ac:dyDescent="0.2">
      <c r="A1036" s="4">
        <v>1035</v>
      </c>
      <c r="B1036" s="5" t="s">
        <v>6797</v>
      </c>
      <c r="C1036" s="6">
        <v>42252</v>
      </c>
      <c r="D1036" s="27">
        <f>MONTH(Table11[[#This Row],[Order Date]])</f>
        <v>9</v>
      </c>
      <c r="E1036" s="5" t="s">
        <v>5851</v>
      </c>
      <c r="F1036" s="5" t="s">
        <v>5852</v>
      </c>
      <c r="G1036" s="24" t="s">
        <v>41</v>
      </c>
      <c r="H1036" s="24" t="s">
        <v>68</v>
      </c>
      <c r="I1036" s="5" t="s">
        <v>2982</v>
      </c>
      <c r="J1036" s="24" t="s">
        <v>92</v>
      </c>
      <c r="K1036" s="27">
        <v>5</v>
      </c>
      <c r="L1036" s="6">
        <v>42258</v>
      </c>
      <c r="M1036" s="27">
        <f>Table11[[#This Row],[Ship Date]]-Table11[[#This Row],[Order Date]]</f>
        <v>6</v>
      </c>
      <c r="N1036" s="24" t="s">
        <v>45</v>
      </c>
      <c r="O1036" s="24" t="s">
        <v>23</v>
      </c>
      <c r="P1036" s="24" t="s">
        <v>94</v>
      </c>
      <c r="Q1036" s="24" t="s">
        <v>95</v>
      </c>
      <c r="R1036" s="24" t="s">
        <v>165</v>
      </c>
      <c r="S1036" s="34">
        <v>0.8</v>
      </c>
      <c r="T1036" s="15">
        <v>16.27</v>
      </c>
      <c r="U1036" s="18">
        <v>-25.218499999999999</v>
      </c>
      <c r="V1036" s="56">
        <f>Table11[[#This Row],[Profit]]/Table11[[#This Row],[Sales]]</f>
        <v>-1.55</v>
      </c>
    </row>
    <row r="1037" spans="1:22" x14ac:dyDescent="0.2">
      <c r="A1037" s="4">
        <v>1036</v>
      </c>
      <c r="B1037" s="3" t="s">
        <v>6797</v>
      </c>
      <c r="C1037" s="7">
        <v>42252</v>
      </c>
      <c r="D1037" s="28">
        <f>MONTH(Table11[[#This Row],[Order Date]])</f>
        <v>9</v>
      </c>
      <c r="E1037" s="3" t="s">
        <v>5753</v>
      </c>
      <c r="F1037" s="3" t="s">
        <v>5754</v>
      </c>
      <c r="G1037" s="25" t="s">
        <v>41</v>
      </c>
      <c r="H1037" s="25" t="s">
        <v>513</v>
      </c>
      <c r="I1037" s="3" t="s">
        <v>2982</v>
      </c>
      <c r="J1037" s="25" t="s">
        <v>92</v>
      </c>
      <c r="K1037" s="28">
        <v>9</v>
      </c>
      <c r="L1037" s="7">
        <v>42258</v>
      </c>
      <c r="M1037" s="28">
        <f>Table11[[#This Row],[Ship Date]]-Table11[[#This Row],[Order Date]]</f>
        <v>6</v>
      </c>
      <c r="N1037" s="25" t="s">
        <v>45</v>
      </c>
      <c r="O1037" s="25" t="s">
        <v>23</v>
      </c>
      <c r="P1037" s="25" t="s">
        <v>94</v>
      </c>
      <c r="Q1037" s="25" t="s">
        <v>95</v>
      </c>
      <c r="R1037" s="25" t="s">
        <v>165</v>
      </c>
      <c r="S1037" s="35">
        <v>0.2</v>
      </c>
      <c r="T1037" s="16">
        <v>69.12</v>
      </c>
      <c r="U1037" s="19">
        <v>-14.688000000000001</v>
      </c>
      <c r="V1037" s="56">
        <f>Table11[[#This Row],[Profit]]/Table11[[#This Row],[Sales]]</f>
        <v>-0.21249999999999999</v>
      </c>
    </row>
    <row r="1038" spans="1:22" x14ac:dyDescent="0.2">
      <c r="A1038" s="2">
        <v>1037</v>
      </c>
      <c r="B1038" s="5" t="s">
        <v>6797</v>
      </c>
      <c r="C1038" s="6">
        <v>42252</v>
      </c>
      <c r="D1038" s="27">
        <f>MONTH(Table11[[#This Row],[Order Date]])</f>
        <v>9</v>
      </c>
      <c r="E1038" s="5" t="s">
        <v>3403</v>
      </c>
      <c r="F1038" s="5" t="s">
        <v>3404</v>
      </c>
      <c r="G1038" s="24" t="s">
        <v>41</v>
      </c>
      <c r="H1038" s="24" t="s">
        <v>68</v>
      </c>
      <c r="I1038" s="5" t="s">
        <v>2982</v>
      </c>
      <c r="J1038" s="24" t="s">
        <v>92</v>
      </c>
      <c r="K1038" s="27">
        <v>3</v>
      </c>
      <c r="L1038" s="6">
        <v>42258</v>
      </c>
      <c r="M1038" s="27">
        <f>Table11[[#This Row],[Ship Date]]-Table11[[#This Row],[Order Date]]</f>
        <v>6</v>
      </c>
      <c r="N1038" s="24" t="s">
        <v>45</v>
      </c>
      <c r="O1038" s="24" t="s">
        <v>23</v>
      </c>
      <c r="P1038" s="24" t="s">
        <v>94</v>
      </c>
      <c r="Q1038" s="24" t="s">
        <v>95</v>
      </c>
      <c r="R1038" s="24" t="s">
        <v>165</v>
      </c>
      <c r="S1038" s="34">
        <v>0.8</v>
      </c>
      <c r="T1038" s="15">
        <v>4.47</v>
      </c>
      <c r="U1038" s="18">
        <v>-7.8224999999999998</v>
      </c>
      <c r="V1038" s="56">
        <f>Table11[[#This Row],[Profit]]/Table11[[#This Row],[Sales]]</f>
        <v>-1.75</v>
      </c>
    </row>
    <row r="1039" spans="1:22" x14ac:dyDescent="0.2">
      <c r="A1039" s="4">
        <v>1038</v>
      </c>
      <c r="B1039" s="3" t="s">
        <v>7363</v>
      </c>
      <c r="C1039" s="7">
        <v>42252</v>
      </c>
      <c r="D1039" s="28">
        <f>MONTH(Table11[[#This Row],[Order Date]])</f>
        <v>9</v>
      </c>
      <c r="E1039" s="3" t="s">
        <v>231</v>
      </c>
      <c r="F1039" s="3" t="s">
        <v>232</v>
      </c>
      <c r="G1039" s="25" t="s">
        <v>28</v>
      </c>
      <c r="H1039" s="25" t="s">
        <v>58</v>
      </c>
      <c r="I1039" s="3" t="s">
        <v>1024</v>
      </c>
      <c r="J1039" s="25" t="s">
        <v>36</v>
      </c>
      <c r="K1039" s="28">
        <v>2</v>
      </c>
      <c r="L1039" s="7">
        <v>42257</v>
      </c>
      <c r="M1039" s="28">
        <f>Table11[[#This Row],[Ship Date]]-Table11[[#This Row],[Order Date]]</f>
        <v>5</v>
      </c>
      <c r="N1039" s="25" t="s">
        <v>45</v>
      </c>
      <c r="O1039" s="25" t="s">
        <v>23</v>
      </c>
      <c r="P1039" s="25" t="s">
        <v>204</v>
      </c>
      <c r="Q1039" s="25" t="s">
        <v>95</v>
      </c>
      <c r="R1039" s="25" t="s">
        <v>347</v>
      </c>
      <c r="S1039" s="35">
        <v>0</v>
      </c>
      <c r="T1039" s="16">
        <v>6.16</v>
      </c>
      <c r="U1039" s="19">
        <v>2.9567999999999999</v>
      </c>
      <c r="V1039" s="56">
        <f>Table11[[#This Row],[Profit]]/Table11[[#This Row],[Sales]]</f>
        <v>0.48</v>
      </c>
    </row>
    <row r="1040" spans="1:22" x14ac:dyDescent="0.2">
      <c r="A1040" s="4">
        <v>1039</v>
      </c>
      <c r="B1040" s="5" t="s">
        <v>7363</v>
      </c>
      <c r="C1040" s="6">
        <v>42252</v>
      </c>
      <c r="D1040" s="27">
        <f>MONTH(Table11[[#This Row],[Order Date]])</f>
        <v>9</v>
      </c>
      <c r="E1040" s="5" t="s">
        <v>1106</v>
      </c>
      <c r="F1040" s="5" t="s">
        <v>1107</v>
      </c>
      <c r="G1040" s="24" t="s">
        <v>41</v>
      </c>
      <c r="H1040" s="24" t="s">
        <v>82</v>
      </c>
      <c r="I1040" s="5" t="s">
        <v>1024</v>
      </c>
      <c r="J1040" s="24" t="s">
        <v>36</v>
      </c>
      <c r="K1040" s="27">
        <v>3</v>
      </c>
      <c r="L1040" s="6">
        <v>42257</v>
      </c>
      <c r="M1040" s="27">
        <f>Table11[[#This Row],[Ship Date]]-Table11[[#This Row],[Order Date]]</f>
        <v>5</v>
      </c>
      <c r="N1040" s="24" t="s">
        <v>45</v>
      </c>
      <c r="O1040" s="24" t="s">
        <v>23</v>
      </c>
      <c r="P1040" s="24" t="s">
        <v>204</v>
      </c>
      <c r="Q1040" s="24" t="s">
        <v>95</v>
      </c>
      <c r="R1040" s="24" t="s">
        <v>347</v>
      </c>
      <c r="S1040" s="34">
        <v>0</v>
      </c>
      <c r="T1040" s="15">
        <v>36.840000000000003</v>
      </c>
      <c r="U1040" s="18">
        <v>17.314800000000002</v>
      </c>
      <c r="V1040" s="56">
        <f>Table11[[#This Row],[Profit]]/Table11[[#This Row],[Sales]]</f>
        <v>0.47000000000000003</v>
      </c>
    </row>
    <row r="1041" spans="1:22" x14ac:dyDescent="0.2">
      <c r="A1041" s="2">
        <v>1040</v>
      </c>
      <c r="B1041" s="3" t="s">
        <v>8247</v>
      </c>
      <c r="C1041" s="7">
        <v>42252</v>
      </c>
      <c r="D1041" s="28">
        <f>MONTH(Table11[[#This Row],[Order Date]])</f>
        <v>9</v>
      </c>
      <c r="E1041" s="3" t="s">
        <v>8248</v>
      </c>
      <c r="F1041" s="3" t="s">
        <v>8249</v>
      </c>
      <c r="G1041" s="25" t="s">
        <v>28</v>
      </c>
      <c r="H1041" s="25" t="s">
        <v>58</v>
      </c>
      <c r="I1041" s="3" t="s">
        <v>549</v>
      </c>
      <c r="J1041" s="25" t="s">
        <v>92</v>
      </c>
      <c r="K1041" s="28">
        <v>4</v>
      </c>
      <c r="L1041" s="7">
        <v>42259</v>
      </c>
      <c r="M1041" s="28">
        <f>Table11[[#This Row],[Ship Date]]-Table11[[#This Row],[Order Date]]</f>
        <v>7</v>
      </c>
      <c r="N1041" s="25" t="s">
        <v>45</v>
      </c>
      <c r="O1041" s="25" t="s">
        <v>23</v>
      </c>
      <c r="P1041" s="25" t="s">
        <v>285</v>
      </c>
      <c r="Q1041" s="25" t="s">
        <v>26</v>
      </c>
      <c r="R1041" s="25" t="s">
        <v>4167</v>
      </c>
      <c r="S1041" s="35">
        <v>0</v>
      </c>
      <c r="T1041" s="16">
        <v>67.959999999999994</v>
      </c>
      <c r="U1041" s="19">
        <v>12.232799999999999</v>
      </c>
      <c r="V1041" s="56">
        <f>Table11[[#This Row],[Profit]]/Table11[[#This Row],[Sales]]</f>
        <v>0.18</v>
      </c>
    </row>
    <row r="1042" spans="1:22" x14ac:dyDescent="0.2">
      <c r="A1042" s="4">
        <v>1041</v>
      </c>
      <c r="B1042" s="5" t="s">
        <v>4563</v>
      </c>
      <c r="C1042" s="6">
        <v>42253</v>
      </c>
      <c r="D1042" s="27">
        <f>MONTH(Table11[[#This Row],[Order Date]])</f>
        <v>9</v>
      </c>
      <c r="E1042" s="5" t="s">
        <v>1108</v>
      </c>
      <c r="F1042" s="5" t="s">
        <v>1109</v>
      </c>
      <c r="G1042" s="24" t="s">
        <v>41</v>
      </c>
      <c r="H1042" s="24" t="s">
        <v>68</v>
      </c>
      <c r="I1042" s="5" t="s">
        <v>3386</v>
      </c>
      <c r="J1042" s="24" t="s">
        <v>92</v>
      </c>
      <c r="K1042" s="27">
        <v>2</v>
      </c>
      <c r="L1042" s="6">
        <v>42259</v>
      </c>
      <c r="M1042" s="27">
        <f>Table11[[#This Row],[Ship Date]]-Table11[[#This Row],[Order Date]]</f>
        <v>6</v>
      </c>
      <c r="N1042" s="24" t="s">
        <v>45</v>
      </c>
      <c r="O1042" s="24" t="s">
        <v>23</v>
      </c>
      <c r="P1042" s="24" t="s">
        <v>87</v>
      </c>
      <c r="Q1042" s="24" t="s">
        <v>39</v>
      </c>
      <c r="R1042" s="24" t="s">
        <v>86</v>
      </c>
      <c r="S1042" s="34">
        <v>0.2</v>
      </c>
      <c r="T1042" s="15">
        <v>6.0960000000000001</v>
      </c>
      <c r="U1042" s="18">
        <v>2.1335999999999999</v>
      </c>
      <c r="V1042" s="56">
        <f>Table11[[#This Row],[Profit]]/Table11[[#This Row],[Sales]]</f>
        <v>0.35</v>
      </c>
    </row>
    <row r="1043" spans="1:22" x14ac:dyDescent="0.2">
      <c r="A1043" s="4">
        <v>1042</v>
      </c>
      <c r="B1043" s="3" t="s">
        <v>4563</v>
      </c>
      <c r="C1043" s="7">
        <v>42253</v>
      </c>
      <c r="D1043" s="28">
        <f>MONTH(Table11[[#This Row],[Order Date]])</f>
        <v>9</v>
      </c>
      <c r="E1043" s="3" t="s">
        <v>4564</v>
      </c>
      <c r="F1043" s="3" t="s">
        <v>4565</v>
      </c>
      <c r="G1043" s="25" t="s">
        <v>28</v>
      </c>
      <c r="H1043" s="25" t="s">
        <v>58</v>
      </c>
      <c r="I1043" s="3" t="s">
        <v>3386</v>
      </c>
      <c r="J1043" s="25" t="s">
        <v>92</v>
      </c>
      <c r="K1043" s="28">
        <v>3</v>
      </c>
      <c r="L1043" s="7">
        <v>42259</v>
      </c>
      <c r="M1043" s="28">
        <f>Table11[[#This Row],[Ship Date]]-Table11[[#This Row],[Order Date]]</f>
        <v>6</v>
      </c>
      <c r="N1043" s="25" t="s">
        <v>45</v>
      </c>
      <c r="O1043" s="25" t="s">
        <v>23</v>
      </c>
      <c r="P1043" s="25" t="s">
        <v>87</v>
      </c>
      <c r="Q1043" s="25" t="s">
        <v>39</v>
      </c>
      <c r="R1043" s="25" t="s">
        <v>86</v>
      </c>
      <c r="S1043" s="35">
        <v>0</v>
      </c>
      <c r="T1043" s="16">
        <v>191.82</v>
      </c>
      <c r="U1043" s="19">
        <v>74.809799999999996</v>
      </c>
      <c r="V1043" s="56">
        <f>Table11[[#This Row],[Profit]]/Table11[[#This Row],[Sales]]</f>
        <v>0.39</v>
      </c>
    </row>
    <row r="1044" spans="1:22" x14ac:dyDescent="0.2">
      <c r="A1044" s="2">
        <v>1043</v>
      </c>
      <c r="B1044" s="5" t="s">
        <v>5000</v>
      </c>
      <c r="C1044" s="6">
        <v>42253</v>
      </c>
      <c r="D1044" s="27">
        <f>MONTH(Table11[[#This Row],[Order Date]])</f>
        <v>9</v>
      </c>
      <c r="E1044" s="5" t="s">
        <v>415</v>
      </c>
      <c r="F1044" s="5" t="s">
        <v>416</v>
      </c>
      <c r="G1044" s="24" t="s">
        <v>64</v>
      </c>
      <c r="H1044" s="24" t="s">
        <v>144</v>
      </c>
      <c r="I1044" s="5" t="s">
        <v>5001</v>
      </c>
      <c r="J1044" s="24" t="s">
        <v>36</v>
      </c>
      <c r="K1044" s="27">
        <v>4</v>
      </c>
      <c r="L1044" s="6">
        <v>42255</v>
      </c>
      <c r="M1044" s="27">
        <f>Table11[[#This Row],[Ship Date]]-Table11[[#This Row],[Order Date]]</f>
        <v>2</v>
      </c>
      <c r="N1044" s="24" t="s">
        <v>169</v>
      </c>
      <c r="O1044" s="24" t="s">
        <v>23</v>
      </c>
      <c r="P1044" s="24" t="s">
        <v>38</v>
      </c>
      <c r="Q1044" s="24" t="s">
        <v>39</v>
      </c>
      <c r="R1044" s="24" t="s">
        <v>5002</v>
      </c>
      <c r="S1044" s="34">
        <v>0</v>
      </c>
      <c r="T1044" s="15">
        <v>46.32</v>
      </c>
      <c r="U1044" s="18">
        <v>18.064800000000002</v>
      </c>
      <c r="V1044" s="56">
        <f>Table11[[#This Row],[Profit]]/Table11[[#This Row],[Sales]]</f>
        <v>0.39</v>
      </c>
    </row>
    <row r="1045" spans="1:22" x14ac:dyDescent="0.2">
      <c r="A1045" s="4">
        <v>1044</v>
      </c>
      <c r="B1045" s="3" t="s">
        <v>5917</v>
      </c>
      <c r="C1045" s="7">
        <v>42253</v>
      </c>
      <c r="D1045" s="28">
        <f>MONTH(Table11[[#This Row],[Order Date]])</f>
        <v>9</v>
      </c>
      <c r="E1045" s="3" t="s">
        <v>2272</v>
      </c>
      <c r="F1045" s="3" t="s">
        <v>2273</v>
      </c>
      <c r="G1045" s="25" t="s">
        <v>28</v>
      </c>
      <c r="H1045" s="25" t="s">
        <v>32</v>
      </c>
      <c r="I1045" s="3" t="s">
        <v>1878</v>
      </c>
      <c r="J1045" s="25" t="s">
        <v>92</v>
      </c>
      <c r="K1045" s="28">
        <v>2</v>
      </c>
      <c r="L1045" s="7">
        <v>42260</v>
      </c>
      <c r="M1045" s="28">
        <f>Table11[[#This Row],[Ship Date]]-Table11[[#This Row],[Order Date]]</f>
        <v>7</v>
      </c>
      <c r="N1045" s="25" t="s">
        <v>45</v>
      </c>
      <c r="O1045" s="25" t="s">
        <v>23</v>
      </c>
      <c r="P1045" s="25" t="s">
        <v>238</v>
      </c>
      <c r="Q1045" s="25" t="s">
        <v>133</v>
      </c>
      <c r="R1045" s="25" t="s">
        <v>237</v>
      </c>
      <c r="S1045" s="35">
        <v>0.1</v>
      </c>
      <c r="T1045" s="16">
        <v>271.76400000000001</v>
      </c>
      <c r="U1045" s="19">
        <v>60.392000000000003</v>
      </c>
      <c r="V1045" s="56">
        <f>Table11[[#This Row],[Profit]]/Table11[[#This Row],[Sales]]</f>
        <v>0.22222222222222224</v>
      </c>
    </row>
    <row r="1046" spans="1:22" x14ac:dyDescent="0.2">
      <c r="A1046" s="4">
        <v>1045</v>
      </c>
      <c r="B1046" s="5" t="s">
        <v>7160</v>
      </c>
      <c r="C1046" s="6">
        <v>42253</v>
      </c>
      <c r="D1046" s="27">
        <f>MONTH(Table11[[#This Row],[Order Date]])</f>
        <v>9</v>
      </c>
      <c r="E1046" s="5" t="s">
        <v>2768</v>
      </c>
      <c r="F1046" s="5" t="s">
        <v>2769</v>
      </c>
      <c r="G1046" s="24" t="s">
        <v>41</v>
      </c>
      <c r="H1046" s="24" t="s">
        <v>240</v>
      </c>
      <c r="I1046" s="5" t="s">
        <v>2319</v>
      </c>
      <c r="J1046" s="24" t="s">
        <v>36</v>
      </c>
      <c r="K1046" s="27">
        <v>5</v>
      </c>
      <c r="L1046" s="6">
        <v>42257</v>
      </c>
      <c r="M1046" s="27">
        <f>Table11[[#This Row],[Ship Date]]-Table11[[#This Row],[Order Date]]</f>
        <v>4</v>
      </c>
      <c r="N1046" s="24" t="s">
        <v>45</v>
      </c>
      <c r="O1046" s="24" t="s">
        <v>23</v>
      </c>
      <c r="P1046" s="24" t="s">
        <v>299</v>
      </c>
      <c r="Q1046" s="24" t="s">
        <v>26</v>
      </c>
      <c r="R1046" s="24" t="s">
        <v>5035</v>
      </c>
      <c r="S1046" s="34">
        <v>0.2</v>
      </c>
      <c r="T1046" s="15">
        <v>7.24</v>
      </c>
      <c r="U1046" s="18">
        <v>1.1765000000000001</v>
      </c>
      <c r="V1046" s="56">
        <f>Table11[[#This Row],[Profit]]/Table11[[#This Row],[Sales]]</f>
        <v>0.16250000000000001</v>
      </c>
    </row>
    <row r="1047" spans="1:22" x14ac:dyDescent="0.2">
      <c r="A1047" s="2">
        <v>1046</v>
      </c>
      <c r="B1047" s="3" t="s">
        <v>8012</v>
      </c>
      <c r="C1047" s="7">
        <v>42253</v>
      </c>
      <c r="D1047" s="28">
        <f>MONTH(Table11[[#This Row],[Order Date]])</f>
        <v>9</v>
      </c>
      <c r="E1047" s="3" t="s">
        <v>5282</v>
      </c>
      <c r="F1047" s="3" t="s">
        <v>5283</v>
      </c>
      <c r="G1047" s="25" t="s">
        <v>41</v>
      </c>
      <c r="H1047" s="25" t="s">
        <v>68</v>
      </c>
      <c r="I1047" s="3" t="s">
        <v>2974</v>
      </c>
      <c r="J1047" s="25" t="s">
        <v>92</v>
      </c>
      <c r="K1047" s="28">
        <v>1</v>
      </c>
      <c r="L1047" s="7">
        <v>42255</v>
      </c>
      <c r="M1047" s="28">
        <f>Table11[[#This Row],[Ship Date]]-Table11[[#This Row],[Order Date]]</f>
        <v>2</v>
      </c>
      <c r="N1047" s="25" t="s">
        <v>20</v>
      </c>
      <c r="O1047" s="25" t="s">
        <v>23</v>
      </c>
      <c r="P1047" s="25" t="s">
        <v>48</v>
      </c>
      <c r="Q1047" s="25" t="s">
        <v>26</v>
      </c>
      <c r="R1047" s="25" t="s">
        <v>937</v>
      </c>
      <c r="S1047" s="35">
        <v>0.7</v>
      </c>
      <c r="T1047" s="16">
        <v>3.444</v>
      </c>
      <c r="U1047" s="19">
        <v>-2.5255999999999998</v>
      </c>
      <c r="V1047" s="56">
        <f>Table11[[#This Row],[Profit]]/Table11[[#This Row],[Sales]]</f>
        <v>-0.73333333333333328</v>
      </c>
    </row>
    <row r="1048" spans="1:22" x14ac:dyDescent="0.2">
      <c r="A1048" s="4">
        <v>1047</v>
      </c>
      <c r="B1048" s="5" t="s">
        <v>8075</v>
      </c>
      <c r="C1048" s="6">
        <v>42253</v>
      </c>
      <c r="D1048" s="27">
        <f>MONTH(Table11[[#This Row],[Order Date]])</f>
        <v>9</v>
      </c>
      <c r="E1048" s="5" t="s">
        <v>6396</v>
      </c>
      <c r="F1048" s="5" t="s">
        <v>6397</v>
      </c>
      <c r="G1048" s="24" t="s">
        <v>41</v>
      </c>
      <c r="H1048" s="24" t="s">
        <v>71</v>
      </c>
      <c r="I1048" s="5" t="s">
        <v>275</v>
      </c>
      <c r="J1048" s="24" t="s">
        <v>36</v>
      </c>
      <c r="K1048" s="27">
        <v>1</v>
      </c>
      <c r="L1048" s="6">
        <v>42259</v>
      </c>
      <c r="M1048" s="27">
        <f>Table11[[#This Row],[Ship Date]]-Table11[[#This Row],[Order Date]]</f>
        <v>6</v>
      </c>
      <c r="N1048" s="24" t="s">
        <v>45</v>
      </c>
      <c r="O1048" s="24" t="s">
        <v>23</v>
      </c>
      <c r="P1048" s="24" t="s">
        <v>238</v>
      </c>
      <c r="Q1048" s="24" t="s">
        <v>133</v>
      </c>
      <c r="R1048" s="24" t="s">
        <v>237</v>
      </c>
      <c r="S1048" s="34">
        <v>0</v>
      </c>
      <c r="T1048" s="15">
        <v>8.39</v>
      </c>
      <c r="U1048" s="18">
        <v>2.0975000000000001</v>
      </c>
      <c r="V1048" s="56">
        <f>Table11[[#This Row],[Profit]]/Table11[[#This Row],[Sales]]</f>
        <v>0.25</v>
      </c>
    </row>
    <row r="1049" spans="1:22" x14ac:dyDescent="0.2">
      <c r="A1049" s="4">
        <v>1048</v>
      </c>
      <c r="B1049" s="3" t="s">
        <v>8075</v>
      </c>
      <c r="C1049" s="7">
        <v>42253</v>
      </c>
      <c r="D1049" s="28">
        <f>MONTH(Table11[[#This Row],[Order Date]])</f>
        <v>9</v>
      </c>
      <c r="E1049" s="3" t="s">
        <v>3391</v>
      </c>
      <c r="F1049" s="3" t="s">
        <v>3392</v>
      </c>
      <c r="G1049" s="25" t="s">
        <v>64</v>
      </c>
      <c r="H1049" s="25" t="s">
        <v>65</v>
      </c>
      <c r="I1049" s="3" t="s">
        <v>275</v>
      </c>
      <c r="J1049" s="25" t="s">
        <v>36</v>
      </c>
      <c r="K1049" s="28">
        <v>2</v>
      </c>
      <c r="L1049" s="7">
        <v>42259</v>
      </c>
      <c r="M1049" s="28">
        <f>Table11[[#This Row],[Ship Date]]-Table11[[#This Row],[Order Date]]</f>
        <v>6</v>
      </c>
      <c r="N1049" s="25" t="s">
        <v>45</v>
      </c>
      <c r="O1049" s="25" t="s">
        <v>23</v>
      </c>
      <c r="P1049" s="25" t="s">
        <v>238</v>
      </c>
      <c r="Q1049" s="25" t="s">
        <v>133</v>
      </c>
      <c r="R1049" s="25" t="s">
        <v>237</v>
      </c>
      <c r="S1049" s="35">
        <v>0</v>
      </c>
      <c r="T1049" s="16">
        <v>337.98</v>
      </c>
      <c r="U1049" s="19">
        <v>101.39400000000001</v>
      </c>
      <c r="V1049" s="56">
        <f>Table11[[#This Row],[Profit]]/Table11[[#This Row],[Sales]]</f>
        <v>0.3</v>
      </c>
    </row>
    <row r="1050" spans="1:22" x14ac:dyDescent="0.2">
      <c r="A1050" s="2">
        <v>1049</v>
      </c>
      <c r="B1050" s="5" t="s">
        <v>9457</v>
      </c>
      <c r="C1050" s="6">
        <v>42253</v>
      </c>
      <c r="D1050" s="27">
        <f>MONTH(Table11[[#This Row],[Order Date]])</f>
        <v>9</v>
      </c>
      <c r="E1050" s="5" t="s">
        <v>5554</v>
      </c>
      <c r="F1050" s="5" t="s">
        <v>5555</v>
      </c>
      <c r="G1050" s="24" t="s">
        <v>41</v>
      </c>
      <c r="H1050" s="24" t="s">
        <v>68</v>
      </c>
      <c r="I1050" s="5" t="s">
        <v>1017</v>
      </c>
      <c r="J1050" s="24" t="s">
        <v>36</v>
      </c>
      <c r="K1050" s="27">
        <v>9</v>
      </c>
      <c r="L1050" s="6">
        <v>42259</v>
      </c>
      <c r="M1050" s="27">
        <f>Table11[[#This Row],[Ship Date]]-Table11[[#This Row],[Order Date]]</f>
        <v>6</v>
      </c>
      <c r="N1050" s="24" t="s">
        <v>45</v>
      </c>
      <c r="O1050" s="24" t="s">
        <v>23</v>
      </c>
      <c r="P1050" s="24" t="s">
        <v>285</v>
      </c>
      <c r="Q1050" s="24" t="s">
        <v>26</v>
      </c>
      <c r="R1050" s="24" t="s">
        <v>1294</v>
      </c>
      <c r="S1050" s="34">
        <v>0</v>
      </c>
      <c r="T1050" s="15">
        <v>46.62</v>
      </c>
      <c r="U1050" s="18">
        <v>21.4452</v>
      </c>
      <c r="V1050" s="56">
        <f>Table11[[#This Row],[Profit]]/Table11[[#This Row],[Sales]]</f>
        <v>0.46</v>
      </c>
    </row>
    <row r="1051" spans="1:22" x14ac:dyDescent="0.2">
      <c r="A1051" s="4">
        <v>1050</v>
      </c>
      <c r="B1051" s="3" t="s">
        <v>10135</v>
      </c>
      <c r="C1051" s="7">
        <v>42253</v>
      </c>
      <c r="D1051" s="28">
        <f>MONTH(Table11[[#This Row],[Order Date]])</f>
        <v>9</v>
      </c>
      <c r="E1051" s="3" t="s">
        <v>3373</v>
      </c>
      <c r="F1051" s="3" t="s">
        <v>2884</v>
      </c>
      <c r="G1051" s="25" t="s">
        <v>28</v>
      </c>
      <c r="H1051" s="25" t="s">
        <v>50</v>
      </c>
      <c r="I1051" s="3" t="s">
        <v>3837</v>
      </c>
      <c r="J1051" s="25" t="s">
        <v>22</v>
      </c>
      <c r="K1051" s="28">
        <v>1</v>
      </c>
      <c r="L1051" s="7">
        <v>42256</v>
      </c>
      <c r="M1051" s="28">
        <f>Table11[[#This Row],[Ship Date]]-Table11[[#This Row],[Order Date]]</f>
        <v>3</v>
      </c>
      <c r="N1051" s="25" t="s">
        <v>20</v>
      </c>
      <c r="O1051" s="25" t="s">
        <v>23</v>
      </c>
      <c r="P1051" s="25" t="s">
        <v>650</v>
      </c>
      <c r="Q1051" s="25" t="s">
        <v>26</v>
      </c>
      <c r="R1051" s="25" t="s">
        <v>3766</v>
      </c>
      <c r="S1051" s="35">
        <v>0</v>
      </c>
      <c r="T1051" s="16">
        <v>85.98</v>
      </c>
      <c r="U1051" s="19">
        <v>22.354800000000001</v>
      </c>
      <c r="V1051" s="56">
        <f>Table11[[#This Row],[Profit]]/Table11[[#This Row],[Sales]]</f>
        <v>0.26</v>
      </c>
    </row>
    <row r="1052" spans="1:22" x14ac:dyDescent="0.2">
      <c r="A1052" s="4">
        <v>1051</v>
      </c>
      <c r="B1052" s="5" t="s">
        <v>531</v>
      </c>
      <c r="C1052" s="6">
        <v>42254</v>
      </c>
      <c r="D1052" s="27">
        <f>MONTH(Table11[[#This Row],[Order Date]])</f>
        <v>9</v>
      </c>
      <c r="E1052" s="5" t="s">
        <v>338</v>
      </c>
      <c r="F1052" s="5" t="s">
        <v>339</v>
      </c>
      <c r="G1052" s="24" t="s">
        <v>41</v>
      </c>
      <c r="H1052" s="24" t="s">
        <v>53</v>
      </c>
      <c r="I1052" s="5" t="s">
        <v>532</v>
      </c>
      <c r="J1052" s="24" t="s">
        <v>22</v>
      </c>
      <c r="K1052" s="27">
        <v>7</v>
      </c>
      <c r="L1052" s="6">
        <v>42259</v>
      </c>
      <c r="M1052" s="27">
        <f>Table11[[#This Row],[Ship Date]]-Table11[[#This Row],[Order Date]]</f>
        <v>5</v>
      </c>
      <c r="N1052" s="24" t="s">
        <v>45</v>
      </c>
      <c r="O1052" s="24" t="s">
        <v>23</v>
      </c>
      <c r="P1052" s="24" t="s">
        <v>38</v>
      </c>
      <c r="Q1052" s="24" t="s">
        <v>39</v>
      </c>
      <c r="R1052" s="24" t="s">
        <v>533</v>
      </c>
      <c r="S1052" s="34">
        <v>0</v>
      </c>
      <c r="T1052" s="15">
        <v>671.93</v>
      </c>
      <c r="U1052" s="18">
        <v>20.157900000000001</v>
      </c>
      <c r="V1052" s="56">
        <f>Table11[[#This Row],[Profit]]/Table11[[#This Row],[Sales]]</f>
        <v>3.0000000000000006E-2</v>
      </c>
    </row>
    <row r="1053" spans="1:22" x14ac:dyDescent="0.2">
      <c r="A1053" s="2">
        <v>1052</v>
      </c>
      <c r="B1053" s="3" t="s">
        <v>5329</v>
      </c>
      <c r="C1053" s="7">
        <v>42254</v>
      </c>
      <c r="D1053" s="28">
        <f>MONTH(Table11[[#This Row],[Order Date]])</f>
        <v>9</v>
      </c>
      <c r="E1053" s="3" t="s">
        <v>4584</v>
      </c>
      <c r="F1053" s="3" t="s">
        <v>4585</v>
      </c>
      <c r="G1053" s="25" t="s">
        <v>28</v>
      </c>
      <c r="H1053" s="25" t="s">
        <v>32</v>
      </c>
      <c r="I1053" s="3" t="s">
        <v>1729</v>
      </c>
      <c r="J1053" s="25" t="s">
        <v>22</v>
      </c>
      <c r="K1053" s="28">
        <v>2</v>
      </c>
      <c r="L1053" s="7">
        <v>42258</v>
      </c>
      <c r="M1053" s="28">
        <f>Table11[[#This Row],[Ship Date]]-Table11[[#This Row],[Order Date]]</f>
        <v>4</v>
      </c>
      <c r="N1053" s="25" t="s">
        <v>45</v>
      </c>
      <c r="O1053" s="25" t="s">
        <v>23</v>
      </c>
      <c r="P1053" s="25" t="s">
        <v>94</v>
      </c>
      <c r="Q1053" s="25" t="s">
        <v>95</v>
      </c>
      <c r="R1053" s="25" t="s">
        <v>3679</v>
      </c>
      <c r="S1053" s="35">
        <v>0.3</v>
      </c>
      <c r="T1053" s="16">
        <v>47.515999999999998</v>
      </c>
      <c r="U1053" s="19">
        <v>-2.0364</v>
      </c>
      <c r="V1053" s="56">
        <f>Table11[[#This Row],[Profit]]/Table11[[#This Row],[Sales]]</f>
        <v>-4.2857142857142858E-2</v>
      </c>
    </row>
    <row r="1054" spans="1:22" x14ac:dyDescent="0.2">
      <c r="A1054" s="4">
        <v>1053</v>
      </c>
      <c r="B1054" s="5" t="s">
        <v>6490</v>
      </c>
      <c r="C1054" s="6">
        <v>42254</v>
      </c>
      <c r="D1054" s="27">
        <f>MONTH(Table11[[#This Row],[Order Date]])</f>
        <v>9</v>
      </c>
      <c r="E1054" s="5" t="s">
        <v>2404</v>
      </c>
      <c r="F1054" s="5" t="s">
        <v>2405</v>
      </c>
      <c r="G1054" s="24" t="s">
        <v>41</v>
      </c>
      <c r="H1054" s="24" t="s">
        <v>53</v>
      </c>
      <c r="I1054" s="5" t="s">
        <v>3765</v>
      </c>
      <c r="J1054" s="24" t="s">
        <v>22</v>
      </c>
      <c r="K1054" s="27">
        <v>2</v>
      </c>
      <c r="L1054" s="6">
        <v>42254</v>
      </c>
      <c r="M1054" s="27">
        <f>Table11[[#This Row],[Ship Date]]-Table11[[#This Row],[Order Date]]</f>
        <v>0</v>
      </c>
      <c r="N1054" s="24" t="s">
        <v>1141</v>
      </c>
      <c r="O1054" s="24" t="s">
        <v>23</v>
      </c>
      <c r="P1054" s="24" t="s">
        <v>238</v>
      </c>
      <c r="Q1054" s="24" t="s">
        <v>133</v>
      </c>
      <c r="R1054" s="24" t="s">
        <v>237</v>
      </c>
      <c r="S1054" s="34">
        <v>0</v>
      </c>
      <c r="T1054" s="15">
        <v>13.96</v>
      </c>
      <c r="U1054" s="18">
        <v>0.2792</v>
      </c>
      <c r="V1054" s="56">
        <f>Table11[[#This Row],[Profit]]/Table11[[#This Row],[Sales]]</f>
        <v>0.02</v>
      </c>
    </row>
    <row r="1055" spans="1:22" x14ac:dyDescent="0.2">
      <c r="A1055" s="4">
        <v>1054</v>
      </c>
      <c r="B1055" s="3" t="s">
        <v>6490</v>
      </c>
      <c r="C1055" s="7">
        <v>42254</v>
      </c>
      <c r="D1055" s="28">
        <f>MONTH(Table11[[#This Row],[Order Date]])</f>
        <v>9</v>
      </c>
      <c r="E1055" s="3" t="s">
        <v>5592</v>
      </c>
      <c r="F1055" s="3" t="s">
        <v>5593</v>
      </c>
      <c r="G1055" s="25" t="s">
        <v>28</v>
      </c>
      <c r="H1055" s="25" t="s">
        <v>50</v>
      </c>
      <c r="I1055" s="3" t="s">
        <v>3765</v>
      </c>
      <c r="J1055" s="25" t="s">
        <v>22</v>
      </c>
      <c r="K1055" s="28">
        <v>3</v>
      </c>
      <c r="L1055" s="7">
        <v>42254</v>
      </c>
      <c r="M1055" s="28">
        <f>Table11[[#This Row],[Ship Date]]-Table11[[#This Row],[Order Date]]</f>
        <v>0</v>
      </c>
      <c r="N1055" s="25" t="s">
        <v>1141</v>
      </c>
      <c r="O1055" s="25" t="s">
        <v>23</v>
      </c>
      <c r="P1055" s="25" t="s">
        <v>238</v>
      </c>
      <c r="Q1055" s="25" t="s">
        <v>133</v>
      </c>
      <c r="R1055" s="25" t="s">
        <v>237</v>
      </c>
      <c r="S1055" s="35">
        <v>0.4</v>
      </c>
      <c r="T1055" s="16">
        <v>27.414000000000001</v>
      </c>
      <c r="U1055" s="19">
        <v>-14.1639</v>
      </c>
      <c r="V1055" s="56">
        <f>Table11[[#This Row],[Profit]]/Table11[[#This Row],[Sales]]</f>
        <v>-0.51666666666666661</v>
      </c>
    </row>
    <row r="1056" spans="1:22" x14ac:dyDescent="0.2">
      <c r="A1056" s="2">
        <v>1055</v>
      </c>
      <c r="B1056" s="5" t="s">
        <v>7182</v>
      </c>
      <c r="C1056" s="6">
        <v>42254</v>
      </c>
      <c r="D1056" s="27">
        <f>MONTH(Table11[[#This Row],[Order Date]])</f>
        <v>9</v>
      </c>
      <c r="E1056" s="5" t="s">
        <v>510</v>
      </c>
      <c r="F1056" s="5" t="s">
        <v>511</v>
      </c>
      <c r="G1056" s="24" t="s">
        <v>41</v>
      </c>
      <c r="H1056" s="24" t="s">
        <v>68</v>
      </c>
      <c r="I1056" s="5" t="s">
        <v>7183</v>
      </c>
      <c r="J1056" s="24" t="s">
        <v>36</v>
      </c>
      <c r="K1056" s="27">
        <v>1</v>
      </c>
      <c r="L1056" s="6">
        <v>42261</v>
      </c>
      <c r="M1056" s="27">
        <f>Table11[[#This Row],[Ship Date]]-Table11[[#This Row],[Order Date]]</f>
        <v>7</v>
      </c>
      <c r="N1056" s="24" t="s">
        <v>45</v>
      </c>
      <c r="O1056" s="24" t="s">
        <v>23</v>
      </c>
      <c r="P1056" s="24" t="s">
        <v>132</v>
      </c>
      <c r="Q1056" s="24" t="s">
        <v>133</v>
      </c>
      <c r="R1056" s="24" t="s">
        <v>131</v>
      </c>
      <c r="S1056" s="34">
        <v>0.7</v>
      </c>
      <c r="T1056" s="15">
        <v>9.5220000000000002</v>
      </c>
      <c r="U1056" s="18">
        <v>-6.9828000000000001</v>
      </c>
      <c r="V1056" s="56">
        <f>Table11[[#This Row],[Profit]]/Table11[[#This Row],[Sales]]</f>
        <v>-0.73333333333333328</v>
      </c>
    </row>
    <row r="1057" spans="1:22" x14ac:dyDescent="0.2">
      <c r="A1057" s="4">
        <v>1056</v>
      </c>
      <c r="B1057" s="3" t="s">
        <v>7182</v>
      </c>
      <c r="C1057" s="7">
        <v>42254</v>
      </c>
      <c r="D1057" s="28">
        <f>MONTH(Table11[[#This Row],[Order Date]])</f>
        <v>9</v>
      </c>
      <c r="E1057" s="3" t="s">
        <v>1447</v>
      </c>
      <c r="F1057" s="3" t="s">
        <v>1448</v>
      </c>
      <c r="G1057" s="25" t="s">
        <v>64</v>
      </c>
      <c r="H1057" s="25" t="s">
        <v>65</v>
      </c>
      <c r="I1057" s="3" t="s">
        <v>7183</v>
      </c>
      <c r="J1057" s="25" t="s">
        <v>36</v>
      </c>
      <c r="K1057" s="28">
        <v>6</v>
      </c>
      <c r="L1057" s="7">
        <v>42261</v>
      </c>
      <c r="M1057" s="28">
        <f>Table11[[#This Row],[Ship Date]]-Table11[[#This Row],[Order Date]]</f>
        <v>7</v>
      </c>
      <c r="N1057" s="25" t="s">
        <v>45</v>
      </c>
      <c r="O1057" s="25" t="s">
        <v>23</v>
      </c>
      <c r="P1057" s="25" t="s">
        <v>132</v>
      </c>
      <c r="Q1057" s="25" t="s">
        <v>133</v>
      </c>
      <c r="R1057" s="25" t="s">
        <v>131</v>
      </c>
      <c r="S1057" s="35">
        <v>0.4</v>
      </c>
      <c r="T1057" s="16">
        <v>791.96400000000006</v>
      </c>
      <c r="U1057" s="19">
        <v>-131.994</v>
      </c>
      <c r="V1057" s="56">
        <f>Table11[[#This Row],[Profit]]/Table11[[#This Row],[Sales]]</f>
        <v>-0.16666666666666666</v>
      </c>
    </row>
    <row r="1058" spans="1:22" x14ac:dyDescent="0.2">
      <c r="A1058" s="4">
        <v>1057</v>
      </c>
      <c r="B1058" s="5" t="s">
        <v>7182</v>
      </c>
      <c r="C1058" s="6">
        <v>42254</v>
      </c>
      <c r="D1058" s="27">
        <f>MONTH(Table11[[#This Row],[Order Date]])</f>
        <v>9</v>
      </c>
      <c r="E1058" s="5" t="s">
        <v>1780</v>
      </c>
      <c r="F1058" s="5" t="s">
        <v>1781</v>
      </c>
      <c r="G1058" s="24" t="s">
        <v>41</v>
      </c>
      <c r="H1058" s="24" t="s">
        <v>68</v>
      </c>
      <c r="I1058" s="5" t="s">
        <v>7183</v>
      </c>
      <c r="J1058" s="24" t="s">
        <v>36</v>
      </c>
      <c r="K1058" s="27">
        <v>3</v>
      </c>
      <c r="L1058" s="6">
        <v>42261</v>
      </c>
      <c r="M1058" s="27">
        <f>Table11[[#This Row],[Ship Date]]-Table11[[#This Row],[Order Date]]</f>
        <v>7</v>
      </c>
      <c r="N1058" s="24" t="s">
        <v>45</v>
      </c>
      <c r="O1058" s="24" t="s">
        <v>23</v>
      </c>
      <c r="P1058" s="24" t="s">
        <v>132</v>
      </c>
      <c r="Q1058" s="24" t="s">
        <v>133</v>
      </c>
      <c r="R1058" s="24" t="s">
        <v>131</v>
      </c>
      <c r="S1058" s="34">
        <v>0.7</v>
      </c>
      <c r="T1058" s="15">
        <v>4.923</v>
      </c>
      <c r="U1058" s="18">
        <v>-3.9384000000000001</v>
      </c>
      <c r="V1058" s="56">
        <f>Table11[[#This Row],[Profit]]/Table11[[#This Row],[Sales]]</f>
        <v>-0.8</v>
      </c>
    </row>
    <row r="1059" spans="1:22" x14ac:dyDescent="0.2">
      <c r="A1059" s="2">
        <v>1058</v>
      </c>
      <c r="B1059" s="3" t="s">
        <v>8322</v>
      </c>
      <c r="C1059" s="7">
        <v>42254</v>
      </c>
      <c r="D1059" s="28">
        <f>MONTH(Table11[[#This Row],[Order Date]])</f>
        <v>9</v>
      </c>
      <c r="E1059" s="3" t="s">
        <v>1385</v>
      </c>
      <c r="F1059" s="3" t="s">
        <v>1386</v>
      </c>
      <c r="G1059" s="25" t="s">
        <v>41</v>
      </c>
      <c r="H1059" s="25" t="s">
        <v>61</v>
      </c>
      <c r="I1059" s="3" t="s">
        <v>4392</v>
      </c>
      <c r="J1059" s="25" t="s">
        <v>36</v>
      </c>
      <c r="K1059" s="28">
        <v>4</v>
      </c>
      <c r="L1059" s="7">
        <v>42256</v>
      </c>
      <c r="M1059" s="28">
        <f>Table11[[#This Row],[Ship Date]]-Table11[[#This Row],[Order Date]]</f>
        <v>2</v>
      </c>
      <c r="N1059" s="25" t="s">
        <v>20</v>
      </c>
      <c r="O1059" s="25" t="s">
        <v>23</v>
      </c>
      <c r="P1059" s="25" t="s">
        <v>80</v>
      </c>
      <c r="Q1059" s="25" t="s">
        <v>26</v>
      </c>
      <c r="R1059" s="25" t="s">
        <v>333</v>
      </c>
      <c r="S1059" s="35">
        <v>0.2</v>
      </c>
      <c r="T1059" s="16">
        <v>140.73599999999999</v>
      </c>
      <c r="U1059" s="19">
        <v>12.314399999999999</v>
      </c>
      <c r="V1059" s="56">
        <f>Table11[[#This Row],[Profit]]/Table11[[#This Row],[Sales]]</f>
        <v>8.7499999999999994E-2</v>
      </c>
    </row>
    <row r="1060" spans="1:22" x14ac:dyDescent="0.2">
      <c r="A1060" s="4">
        <v>1059</v>
      </c>
      <c r="B1060" s="5" t="s">
        <v>8381</v>
      </c>
      <c r="C1060" s="6">
        <v>42254</v>
      </c>
      <c r="D1060" s="27">
        <f>MONTH(Table11[[#This Row],[Order Date]])</f>
        <v>9</v>
      </c>
      <c r="E1060" s="5" t="s">
        <v>2257</v>
      </c>
      <c r="F1060" s="5" t="s">
        <v>2258</v>
      </c>
      <c r="G1060" s="24" t="s">
        <v>64</v>
      </c>
      <c r="H1060" s="24" t="s">
        <v>144</v>
      </c>
      <c r="I1060" s="5" t="s">
        <v>1417</v>
      </c>
      <c r="J1060" s="24" t="s">
        <v>92</v>
      </c>
      <c r="K1060" s="27">
        <v>7</v>
      </c>
      <c r="L1060" s="6">
        <v>42258</v>
      </c>
      <c r="M1060" s="27">
        <f>Table11[[#This Row],[Ship Date]]-Table11[[#This Row],[Order Date]]</f>
        <v>4</v>
      </c>
      <c r="N1060" s="24" t="s">
        <v>45</v>
      </c>
      <c r="O1060" s="24" t="s">
        <v>23</v>
      </c>
      <c r="P1060" s="24" t="s">
        <v>238</v>
      </c>
      <c r="Q1060" s="24" t="s">
        <v>133</v>
      </c>
      <c r="R1060" s="24" t="s">
        <v>237</v>
      </c>
      <c r="S1060" s="34">
        <v>0</v>
      </c>
      <c r="T1060" s="15">
        <v>559.92999999999995</v>
      </c>
      <c r="U1060" s="18">
        <v>167.97900000000001</v>
      </c>
      <c r="V1060" s="56">
        <f>Table11[[#This Row],[Profit]]/Table11[[#This Row],[Sales]]</f>
        <v>0.30000000000000004</v>
      </c>
    </row>
    <row r="1061" spans="1:22" x14ac:dyDescent="0.2">
      <c r="A1061" s="4">
        <v>1060</v>
      </c>
      <c r="B1061" s="3" t="s">
        <v>9366</v>
      </c>
      <c r="C1061" s="7">
        <v>42254</v>
      </c>
      <c r="D1061" s="28">
        <f>MONTH(Table11[[#This Row],[Order Date]])</f>
        <v>9</v>
      </c>
      <c r="E1061" s="3" t="s">
        <v>4450</v>
      </c>
      <c r="F1061" s="3" t="s">
        <v>4451</v>
      </c>
      <c r="G1061" s="25" t="s">
        <v>41</v>
      </c>
      <c r="H1061" s="25" t="s">
        <v>53</v>
      </c>
      <c r="I1061" s="3" t="s">
        <v>1017</v>
      </c>
      <c r="J1061" s="25" t="s">
        <v>36</v>
      </c>
      <c r="K1061" s="28">
        <v>3</v>
      </c>
      <c r="L1061" s="7">
        <v>42259</v>
      </c>
      <c r="M1061" s="28">
        <f>Table11[[#This Row],[Ship Date]]-Table11[[#This Row],[Order Date]]</f>
        <v>5</v>
      </c>
      <c r="N1061" s="25" t="s">
        <v>45</v>
      </c>
      <c r="O1061" s="25" t="s">
        <v>23</v>
      </c>
      <c r="P1061" s="25" t="s">
        <v>238</v>
      </c>
      <c r="Q1061" s="25" t="s">
        <v>133</v>
      </c>
      <c r="R1061" s="25" t="s">
        <v>237</v>
      </c>
      <c r="S1061" s="35">
        <v>0</v>
      </c>
      <c r="T1061" s="16">
        <v>70.260000000000005</v>
      </c>
      <c r="U1061" s="19">
        <v>18.970199999999998</v>
      </c>
      <c r="V1061" s="56">
        <f>Table11[[#This Row],[Profit]]/Table11[[#This Row],[Sales]]</f>
        <v>0.26999999999999996</v>
      </c>
    </row>
    <row r="1062" spans="1:22" x14ac:dyDescent="0.2">
      <c r="A1062" s="2">
        <v>1061</v>
      </c>
      <c r="B1062" s="5" t="s">
        <v>9366</v>
      </c>
      <c r="C1062" s="6">
        <v>42254</v>
      </c>
      <c r="D1062" s="27">
        <f>MONTH(Table11[[#This Row],[Order Date]])</f>
        <v>9</v>
      </c>
      <c r="E1062" s="5" t="s">
        <v>5981</v>
      </c>
      <c r="F1062" s="5" t="s">
        <v>5982</v>
      </c>
      <c r="G1062" s="24" t="s">
        <v>64</v>
      </c>
      <c r="H1062" s="24" t="s">
        <v>144</v>
      </c>
      <c r="I1062" s="5" t="s">
        <v>1017</v>
      </c>
      <c r="J1062" s="24" t="s">
        <v>36</v>
      </c>
      <c r="K1062" s="27">
        <v>5</v>
      </c>
      <c r="L1062" s="6">
        <v>42259</v>
      </c>
      <c r="M1062" s="27">
        <f>Table11[[#This Row],[Ship Date]]-Table11[[#This Row],[Order Date]]</f>
        <v>5</v>
      </c>
      <c r="N1062" s="24" t="s">
        <v>45</v>
      </c>
      <c r="O1062" s="24" t="s">
        <v>23</v>
      </c>
      <c r="P1062" s="24" t="s">
        <v>238</v>
      </c>
      <c r="Q1062" s="24" t="s">
        <v>133</v>
      </c>
      <c r="R1062" s="24" t="s">
        <v>237</v>
      </c>
      <c r="S1062" s="34">
        <v>0</v>
      </c>
      <c r="T1062" s="15">
        <v>90</v>
      </c>
      <c r="U1062" s="18">
        <v>16.2</v>
      </c>
      <c r="V1062" s="56">
        <f>Table11[[#This Row],[Profit]]/Table11[[#This Row],[Sales]]</f>
        <v>0.18</v>
      </c>
    </row>
    <row r="1063" spans="1:22" x14ac:dyDescent="0.2">
      <c r="A1063" s="4">
        <v>1062</v>
      </c>
      <c r="B1063" s="3" t="s">
        <v>9366</v>
      </c>
      <c r="C1063" s="7">
        <v>42254</v>
      </c>
      <c r="D1063" s="28">
        <f>MONTH(Table11[[#This Row],[Order Date]])</f>
        <v>9</v>
      </c>
      <c r="E1063" s="3" t="s">
        <v>1831</v>
      </c>
      <c r="F1063" s="3" t="s">
        <v>1832</v>
      </c>
      <c r="G1063" s="25" t="s">
        <v>41</v>
      </c>
      <c r="H1063" s="25" t="s">
        <v>68</v>
      </c>
      <c r="I1063" s="3" t="s">
        <v>1017</v>
      </c>
      <c r="J1063" s="25" t="s">
        <v>36</v>
      </c>
      <c r="K1063" s="28">
        <v>2</v>
      </c>
      <c r="L1063" s="7">
        <v>42259</v>
      </c>
      <c r="M1063" s="28">
        <f>Table11[[#This Row],[Ship Date]]-Table11[[#This Row],[Order Date]]</f>
        <v>5</v>
      </c>
      <c r="N1063" s="25" t="s">
        <v>45</v>
      </c>
      <c r="O1063" s="25" t="s">
        <v>23</v>
      </c>
      <c r="P1063" s="25" t="s">
        <v>238</v>
      </c>
      <c r="Q1063" s="25" t="s">
        <v>133</v>
      </c>
      <c r="R1063" s="25" t="s">
        <v>237</v>
      </c>
      <c r="S1063" s="35">
        <v>0.2</v>
      </c>
      <c r="T1063" s="16">
        <v>6.0960000000000001</v>
      </c>
      <c r="U1063" s="19">
        <v>2.0573999999999999</v>
      </c>
      <c r="V1063" s="56">
        <f>Table11[[#This Row],[Profit]]/Table11[[#This Row],[Sales]]</f>
        <v>0.33749999999999997</v>
      </c>
    </row>
    <row r="1064" spans="1:22" x14ac:dyDescent="0.2">
      <c r="A1064" s="4">
        <v>1063</v>
      </c>
      <c r="B1064" s="5" t="s">
        <v>9366</v>
      </c>
      <c r="C1064" s="6">
        <v>42254</v>
      </c>
      <c r="D1064" s="27">
        <f>MONTH(Table11[[#This Row],[Order Date]])</f>
        <v>9</v>
      </c>
      <c r="E1064" s="5" t="s">
        <v>5072</v>
      </c>
      <c r="F1064" s="5" t="s">
        <v>5073</v>
      </c>
      <c r="G1064" s="24" t="s">
        <v>28</v>
      </c>
      <c r="H1064" s="24" t="s">
        <v>50</v>
      </c>
      <c r="I1064" s="5" t="s">
        <v>1017</v>
      </c>
      <c r="J1064" s="24" t="s">
        <v>36</v>
      </c>
      <c r="K1064" s="27">
        <v>2</v>
      </c>
      <c r="L1064" s="6">
        <v>42259</v>
      </c>
      <c r="M1064" s="27">
        <f>Table11[[#This Row],[Ship Date]]-Table11[[#This Row],[Order Date]]</f>
        <v>5</v>
      </c>
      <c r="N1064" s="24" t="s">
        <v>45</v>
      </c>
      <c r="O1064" s="24" t="s">
        <v>23</v>
      </c>
      <c r="P1064" s="24" t="s">
        <v>238</v>
      </c>
      <c r="Q1064" s="24" t="s">
        <v>133</v>
      </c>
      <c r="R1064" s="24" t="s">
        <v>237</v>
      </c>
      <c r="S1064" s="34">
        <v>0.4</v>
      </c>
      <c r="T1064" s="15">
        <v>481.17599999999999</v>
      </c>
      <c r="U1064" s="18">
        <v>-120.294</v>
      </c>
      <c r="V1064" s="56">
        <f>Table11[[#This Row],[Profit]]/Table11[[#This Row],[Sales]]</f>
        <v>-0.25</v>
      </c>
    </row>
    <row r="1065" spans="1:22" x14ac:dyDescent="0.2">
      <c r="A1065" s="2">
        <v>1064</v>
      </c>
      <c r="B1065" s="3" t="s">
        <v>9366</v>
      </c>
      <c r="C1065" s="7">
        <v>42254</v>
      </c>
      <c r="D1065" s="28">
        <f>MONTH(Table11[[#This Row],[Order Date]])</f>
        <v>9</v>
      </c>
      <c r="E1065" s="3" t="s">
        <v>2768</v>
      </c>
      <c r="F1065" s="3" t="s">
        <v>2769</v>
      </c>
      <c r="G1065" s="25" t="s">
        <v>41</v>
      </c>
      <c r="H1065" s="25" t="s">
        <v>240</v>
      </c>
      <c r="I1065" s="3" t="s">
        <v>1017</v>
      </c>
      <c r="J1065" s="25" t="s">
        <v>36</v>
      </c>
      <c r="K1065" s="28">
        <v>4</v>
      </c>
      <c r="L1065" s="7">
        <v>42259</v>
      </c>
      <c r="M1065" s="28">
        <f>Table11[[#This Row],[Ship Date]]-Table11[[#This Row],[Order Date]]</f>
        <v>5</v>
      </c>
      <c r="N1065" s="25" t="s">
        <v>45</v>
      </c>
      <c r="O1065" s="25" t="s">
        <v>23</v>
      </c>
      <c r="P1065" s="25" t="s">
        <v>238</v>
      </c>
      <c r="Q1065" s="25" t="s">
        <v>133</v>
      </c>
      <c r="R1065" s="25" t="s">
        <v>237</v>
      </c>
      <c r="S1065" s="35">
        <v>0</v>
      </c>
      <c r="T1065" s="16">
        <v>7.24</v>
      </c>
      <c r="U1065" s="19">
        <v>2.3892000000000002</v>
      </c>
      <c r="V1065" s="56">
        <f>Table11[[#This Row],[Profit]]/Table11[[#This Row],[Sales]]</f>
        <v>0.33</v>
      </c>
    </row>
    <row r="1066" spans="1:22" x14ac:dyDescent="0.2">
      <c r="A1066" s="4">
        <v>1065</v>
      </c>
      <c r="B1066" s="5" t="s">
        <v>7213</v>
      </c>
      <c r="C1066" s="6">
        <v>42255</v>
      </c>
      <c r="D1066" s="27">
        <f>MONTH(Table11[[#This Row],[Order Date]])</f>
        <v>9</v>
      </c>
      <c r="E1066" s="5" t="s">
        <v>6381</v>
      </c>
      <c r="F1066" s="5" t="s">
        <v>6382</v>
      </c>
      <c r="G1066" s="24" t="s">
        <v>41</v>
      </c>
      <c r="H1066" s="24" t="s">
        <v>82</v>
      </c>
      <c r="I1066" s="5" t="s">
        <v>2850</v>
      </c>
      <c r="J1066" s="24" t="s">
        <v>22</v>
      </c>
      <c r="K1066" s="27">
        <v>5</v>
      </c>
      <c r="L1066" s="6">
        <v>42258</v>
      </c>
      <c r="M1066" s="27">
        <f>Table11[[#This Row],[Ship Date]]-Table11[[#This Row],[Order Date]]</f>
        <v>3</v>
      </c>
      <c r="N1066" s="24" t="s">
        <v>169</v>
      </c>
      <c r="O1066" s="24" t="s">
        <v>23</v>
      </c>
      <c r="P1066" s="24" t="s">
        <v>38</v>
      </c>
      <c r="Q1066" s="24" t="s">
        <v>39</v>
      </c>
      <c r="R1066" s="24" t="s">
        <v>7214</v>
      </c>
      <c r="S1066" s="34">
        <v>0</v>
      </c>
      <c r="T1066" s="15">
        <v>26.4</v>
      </c>
      <c r="U1066" s="18">
        <v>11.88</v>
      </c>
      <c r="V1066" s="56">
        <f>Table11[[#This Row],[Profit]]/Table11[[#This Row],[Sales]]</f>
        <v>0.45000000000000007</v>
      </c>
    </row>
    <row r="1067" spans="1:22" x14ac:dyDescent="0.2">
      <c r="A1067" s="4">
        <v>1066</v>
      </c>
      <c r="B1067" s="3" t="s">
        <v>7213</v>
      </c>
      <c r="C1067" s="7">
        <v>42255</v>
      </c>
      <c r="D1067" s="28">
        <f>MONTH(Table11[[#This Row],[Order Date]])</f>
        <v>9</v>
      </c>
      <c r="E1067" s="3" t="s">
        <v>2404</v>
      </c>
      <c r="F1067" s="3" t="s">
        <v>2405</v>
      </c>
      <c r="G1067" s="25" t="s">
        <v>41</v>
      </c>
      <c r="H1067" s="25" t="s">
        <v>53</v>
      </c>
      <c r="I1067" s="3" t="s">
        <v>2850</v>
      </c>
      <c r="J1067" s="25" t="s">
        <v>22</v>
      </c>
      <c r="K1067" s="28">
        <v>6</v>
      </c>
      <c r="L1067" s="7">
        <v>42258</v>
      </c>
      <c r="M1067" s="28">
        <f>Table11[[#This Row],[Ship Date]]-Table11[[#This Row],[Order Date]]</f>
        <v>3</v>
      </c>
      <c r="N1067" s="25" t="s">
        <v>169</v>
      </c>
      <c r="O1067" s="25" t="s">
        <v>23</v>
      </c>
      <c r="P1067" s="25" t="s">
        <v>38</v>
      </c>
      <c r="Q1067" s="25" t="s">
        <v>39</v>
      </c>
      <c r="R1067" s="25" t="s">
        <v>7214</v>
      </c>
      <c r="S1067" s="35">
        <v>0</v>
      </c>
      <c r="T1067" s="16">
        <v>41.88</v>
      </c>
      <c r="U1067" s="19">
        <v>0.83760000000000001</v>
      </c>
      <c r="V1067" s="56">
        <f>Table11[[#This Row],[Profit]]/Table11[[#This Row],[Sales]]</f>
        <v>0.02</v>
      </c>
    </row>
    <row r="1068" spans="1:22" x14ac:dyDescent="0.2">
      <c r="A1068" s="2">
        <v>1067</v>
      </c>
      <c r="B1068" s="5" t="s">
        <v>8010</v>
      </c>
      <c r="C1068" s="6">
        <v>42255</v>
      </c>
      <c r="D1068" s="27">
        <f>MONTH(Table11[[#This Row],[Order Date]])</f>
        <v>9</v>
      </c>
      <c r="E1068" s="5" t="s">
        <v>6115</v>
      </c>
      <c r="F1068" s="5" t="s">
        <v>6116</v>
      </c>
      <c r="G1068" s="24" t="s">
        <v>28</v>
      </c>
      <c r="H1068" s="24" t="s">
        <v>58</v>
      </c>
      <c r="I1068" s="5" t="s">
        <v>746</v>
      </c>
      <c r="J1068" s="24" t="s">
        <v>36</v>
      </c>
      <c r="K1068" s="27">
        <v>8</v>
      </c>
      <c r="L1068" s="6">
        <v>42261</v>
      </c>
      <c r="M1068" s="27">
        <f>Table11[[#This Row],[Ship Date]]-Table11[[#This Row],[Order Date]]</f>
        <v>6</v>
      </c>
      <c r="N1068" s="24" t="s">
        <v>45</v>
      </c>
      <c r="O1068" s="24" t="s">
        <v>23</v>
      </c>
      <c r="P1068" s="24" t="s">
        <v>320</v>
      </c>
      <c r="Q1068" s="24" t="s">
        <v>26</v>
      </c>
      <c r="R1068" s="24" t="s">
        <v>1608</v>
      </c>
      <c r="S1068" s="34">
        <v>0</v>
      </c>
      <c r="T1068" s="15">
        <v>21.36</v>
      </c>
      <c r="U1068" s="18">
        <v>8.1167999999999996</v>
      </c>
      <c r="V1068" s="56">
        <f>Table11[[#This Row],[Profit]]/Table11[[#This Row],[Sales]]</f>
        <v>0.38</v>
      </c>
    </row>
    <row r="1069" spans="1:22" x14ac:dyDescent="0.2">
      <c r="A1069" s="4">
        <v>1068</v>
      </c>
      <c r="B1069" s="3" t="s">
        <v>1728</v>
      </c>
      <c r="C1069" s="7">
        <v>42257</v>
      </c>
      <c r="D1069" s="28">
        <f>MONTH(Table11[[#This Row],[Order Date]])</f>
        <v>9</v>
      </c>
      <c r="E1069" s="3" t="s">
        <v>1730</v>
      </c>
      <c r="F1069" s="3" t="s">
        <v>1731</v>
      </c>
      <c r="G1069" s="25" t="s">
        <v>41</v>
      </c>
      <c r="H1069" s="25" t="s">
        <v>513</v>
      </c>
      <c r="I1069" s="3" t="s">
        <v>1729</v>
      </c>
      <c r="J1069" s="25" t="s">
        <v>22</v>
      </c>
      <c r="K1069" s="28">
        <v>4</v>
      </c>
      <c r="L1069" s="7">
        <v>42261</v>
      </c>
      <c r="M1069" s="28">
        <f>Table11[[#This Row],[Ship Date]]-Table11[[#This Row],[Order Date]]</f>
        <v>4</v>
      </c>
      <c r="N1069" s="25" t="s">
        <v>45</v>
      </c>
      <c r="O1069" s="25" t="s">
        <v>23</v>
      </c>
      <c r="P1069" s="25" t="s">
        <v>38</v>
      </c>
      <c r="Q1069" s="25" t="s">
        <v>39</v>
      </c>
      <c r="R1069" s="25" t="s">
        <v>37</v>
      </c>
      <c r="S1069" s="35">
        <v>0</v>
      </c>
      <c r="T1069" s="16">
        <v>51.52</v>
      </c>
      <c r="U1069" s="19">
        <v>1.5456000000000001</v>
      </c>
      <c r="V1069" s="56">
        <f>Table11[[#This Row],[Profit]]/Table11[[#This Row],[Sales]]</f>
        <v>0.03</v>
      </c>
    </row>
    <row r="1070" spans="1:22" x14ac:dyDescent="0.2">
      <c r="A1070" s="4">
        <v>1069</v>
      </c>
      <c r="B1070" s="5" t="s">
        <v>5112</v>
      </c>
      <c r="C1070" s="6">
        <v>42257</v>
      </c>
      <c r="D1070" s="27">
        <f>MONTH(Table11[[#This Row],[Order Date]])</f>
        <v>9</v>
      </c>
      <c r="E1070" s="5" t="s">
        <v>4382</v>
      </c>
      <c r="F1070" s="5" t="s">
        <v>4383</v>
      </c>
      <c r="G1070" s="24" t="s">
        <v>41</v>
      </c>
      <c r="H1070" s="24" t="s">
        <v>82</v>
      </c>
      <c r="I1070" s="5" t="s">
        <v>3640</v>
      </c>
      <c r="J1070" s="24" t="s">
        <v>22</v>
      </c>
      <c r="K1070" s="27">
        <v>3</v>
      </c>
      <c r="L1070" s="6">
        <v>42262</v>
      </c>
      <c r="M1070" s="27">
        <f>Table11[[#This Row],[Ship Date]]-Table11[[#This Row],[Order Date]]</f>
        <v>5</v>
      </c>
      <c r="N1070" s="24" t="s">
        <v>45</v>
      </c>
      <c r="O1070" s="24" t="s">
        <v>23</v>
      </c>
      <c r="P1070" s="24" t="s">
        <v>573</v>
      </c>
      <c r="Q1070" s="24" t="s">
        <v>95</v>
      </c>
      <c r="R1070" s="24" t="s">
        <v>4017</v>
      </c>
      <c r="S1070" s="34">
        <v>0</v>
      </c>
      <c r="T1070" s="15">
        <v>14.94</v>
      </c>
      <c r="U1070" s="18">
        <v>7.0217999999999998</v>
      </c>
      <c r="V1070" s="56">
        <f>Table11[[#This Row],[Profit]]/Table11[[#This Row],[Sales]]</f>
        <v>0.47000000000000003</v>
      </c>
    </row>
    <row r="1071" spans="1:22" x14ac:dyDescent="0.2">
      <c r="A1071" s="2">
        <v>1070</v>
      </c>
      <c r="B1071" s="3" t="s">
        <v>5957</v>
      </c>
      <c r="C1071" s="7">
        <v>42257</v>
      </c>
      <c r="D1071" s="28">
        <f>MONTH(Table11[[#This Row],[Order Date]])</f>
        <v>9</v>
      </c>
      <c r="E1071" s="3" t="s">
        <v>4580</v>
      </c>
      <c r="F1071" s="3" t="s">
        <v>4581</v>
      </c>
      <c r="G1071" s="25" t="s">
        <v>41</v>
      </c>
      <c r="H1071" s="25" t="s">
        <v>71</v>
      </c>
      <c r="I1071" s="3" t="s">
        <v>4217</v>
      </c>
      <c r="J1071" s="25" t="s">
        <v>36</v>
      </c>
      <c r="K1071" s="28">
        <v>2</v>
      </c>
      <c r="L1071" s="7">
        <v>42261</v>
      </c>
      <c r="M1071" s="28">
        <f>Table11[[#This Row],[Ship Date]]-Table11[[#This Row],[Order Date]]</f>
        <v>4</v>
      </c>
      <c r="N1071" s="25" t="s">
        <v>45</v>
      </c>
      <c r="O1071" s="25" t="s">
        <v>23</v>
      </c>
      <c r="P1071" s="25" t="s">
        <v>1101</v>
      </c>
      <c r="Q1071" s="25" t="s">
        <v>133</v>
      </c>
      <c r="R1071" s="25" t="s">
        <v>5873</v>
      </c>
      <c r="S1071" s="35">
        <v>0</v>
      </c>
      <c r="T1071" s="16">
        <v>61.96</v>
      </c>
      <c r="U1071" s="19">
        <v>16.1096</v>
      </c>
      <c r="V1071" s="56">
        <f>Table11[[#This Row],[Profit]]/Table11[[#This Row],[Sales]]</f>
        <v>0.26</v>
      </c>
    </row>
    <row r="1072" spans="1:22" x14ac:dyDescent="0.2">
      <c r="A1072" s="4">
        <v>1071</v>
      </c>
      <c r="B1072" s="5" t="s">
        <v>5957</v>
      </c>
      <c r="C1072" s="6">
        <v>42257</v>
      </c>
      <c r="D1072" s="27">
        <f>MONTH(Table11[[#This Row],[Order Date]])</f>
        <v>9</v>
      </c>
      <c r="E1072" s="5" t="s">
        <v>750</v>
      </c>
      <c r="F1072" s="5" t="s">
        <v>751</v>
      </c>
      <c r="G1072" s="24" t="s">
        <v>28</v>
      </c>
      <c r="H1072" s="24" t="s">
        <v>29</v>
      </c>
      <c r="I1072" s="5" t="s">
        <v>4217</v>
      </c>
      <c r="J1072" s="24" t="s">
        <v>36</v>
      </c>
      <c r="K1072" s="27">
        <v>2</v>
      </c>
      <c r="L1072" s="6">
        <v>42261</v>
      </c>
      <c r="M1072" s="27">
        <f>Table11[[#This Row],[Ship Date]]-Table11[[#This Row],[Order Date]]</f>
        <v>4</v>
      </c>
      <c r="N1072" s="24" t="s">
        <v>45</v>
      </c>
      <c r="O1072" s="24" t="s">
        <v>23</v>
      </c>
      <c r="P1072" s="24" t="s">
        <v>1101</v>
      </c>
      <c r="Q1072" s="24" t="s">
        <v>133</v>
      </c>
      <c r="R1072" s="24" t="s">
        <v>5873</v>
      </c>
      <c r="S1072" s="34">
        <v>0</v>
      </c>
      <c r="T1072" s="15">
        <v>361.96</v>
      </c>
      <c r="U1072" s="18">
        <v>83.250799999999998</v>
      </c>
      <c r="V1072" s="56">
        <f>Table11[[#This Row],[Profit]]/Table11[[#This Row],[Sales]]</f>
        <v>0.23</v>
      </c>
    </row>
    <row r="1073" spans="1:22" x14ac:dyDescent="0.2">
      <c r="A1073" s="4">
        <v>1072</v>
      </c>
      <c r="B1073" s="3" t="s">
        <v>5957</v>
      </c>
      <c r="C1073" s="7">
        <v>42257</v>
      </c>
      <c r="D1073" s="28">
        <f>MONTH(Table11[[#This Row],[Order Date]])</f>
        <v>9</v>
      </c>
      <c r="E1073" s="3" t="s">
        <v>1169</v>
      </c>
      <c r="F1073" s="3" t="s">
        <v>1170</v>
      </c>
      <c r="G1073" s="25" t="s">
        <v>41</v>
      </c>
      <c r="H1073" s="25" t="s">
        <v>82</v>
      </c>
      <c r="I1073" s="3" t="s">
        <v>4217</v>
      </c>
      <c r="J1073" s="25" t="s">
        <v>36</v>
      </c>
      <c r="K1073" s="28">
        <v>9</v>
      </c>
      <c r="L1073" s="7">
        <v>42261</v>
      </c>
      <c r="M1073" s="28">
        <f>Table11[[#This Row],[Ship Date]]-Table11[[#This Row],[Order Date]]</f>
        <v>4</v>
      </c>
      <c r="N1073" s="25" t="s">
        <v>45</v>
      </c>
      <c r="O1073" s="25" t="s">
        <v>23</v>
      </c>
      <c r="P1073" s="25" t="s">
        <v>1101</v>
      </c>
      <c r="Q1073" s="25" t="s">
        <v>133</v>
      </c>
      <c r="R1073" s="25" t="s">
        <v>5873</v>
      </c>
      <c r="S1073" s="35">
        <v>0</v>
      </c>
      <c r="T1073" s="16">
        <v>278.82</v>
      </c>
      <c r="U1073" s="19">
        <v>125.46899999999999</v>
      </c>
      <c r="V1073" s="56">
        <f>Table11[[#This Row],[Profit]]/Table11[[#This Row],[Sales]]</f>
        <v>0.45</v>
      </c>
    </row>
    <row r="1074" spans="1:22" x14ac:dyDescent="0.2">
      <c r="A1074" s="2">
        <v>1073</v>
      </c>
      <c r="B1074" s="5" t="s">
        <v>7707</v>
      </c>
      <c r="C1074" s="6">
        <v>42257</v>
      </c>
      <c r="D1074" s="27">
        <f>MONTH(Table11[[#This Row],[Order Date]])</f>
        <v>9</v>
      </c>
      <c r="E1074" s="5" t="s">
        <v>7610</v>
      </c>
      <c r="F1074" s="5" t="s">
        <v>7611</v>
      </c>
      <c r="G1074" s="24" t="s">
        <v>41</v>
      </c>
      <c r="H1074" s="24" t="s">
        <v>53</v>
      </c>
      <c r="I1074" s="5" t="s">
        <v>3220</v>
      </c>
      <c r="J1074" s="24" t="s">
        <v>22</v>
      </c>
      <c r="K1074" s="27">
        <v>6</v>
      </c>
      <c r="L1074" s="6">
        <v>42259</v>
      </c>
      <c r="M1074" s="27">
        <f>Table11[[#This Row],[Ship Date]]-Table11[[#This Row],[Order Date]]</f>
        <v>2</v>
      </c>
      <c r="N1074" s="24" t="s">
        <v>20</v>
      </c>
      <c r="O1074" s="24" t="s">
        <v>23</v>
      </c>
      <c r="P1074" s="24" t="s">
        <v>87</v>
      </c>
      <c r="Q1074" s="24" t="s">
        <v>39</v>
      </c>
      <c r="R1074" s="24" t="s">
        <v>86</v>
      </c>
      <c r="S1074" s="34">
        <v>0</v>
      </c>
      <c r="T1074" s="15">
        <v>353.88</v>
      </c>
      <c r="U1074" s="18">
        <v>17.693999999999999</v>
      </c>
      <c r="V1074" s="56">
        <f>Table11[[#This Row],[Profit]]/Table11[[#This Row],[Sales]]</f>
        <v>4.9999999999999996E-2</v>
      </c>
    </row>
    <row r="1075" spans="1:22" x14ac:dyDescent="0.2">
      <c r="A1075" s="4">
        <v>1074</v>
      </c>
      <c r="B1075" s="3" t="s">
        <v>8569</v>
      </c>
      <c r="C1075" s="7">
        <v>42257</v>
      </c>
      <c r="D1075" s="28">
        <f>MONTH(Table11[[#This Row],[Order Date]])</f>
        <v>9</v>
      </c>
      <c r="E1075" s="3" t="s">
        <v>4619</v>
      </c>
      <c r="F1075" s="3" t="s">
        <v>4620</v>
      </c>
      <c r="G1075" s="25" t="s">
        <v>41</v>
      </c>
      <c r="H1075" s="25" t="s">
        <v>61</v>
      </c>
      <c r="I1075" s="3" t="s">
        <v>3634</v>
      </c>
      <c r="J1075" s="25" t="s">
        <v>22</v>
      </c>
      <c r="K1075" s="28">
        <v>2</v>
      </c>
      <c r="L1075" s="7">
        <v>42264</v>
      </c>
      <c r="M1075" s="28">
        <f>Table11[[#This Row],[Ship Date]]-Table11[[#This Row],[Order Date]]</f>
        <v>7</v>
      </c>
      <c r="N1075" s="25" t="s">
        <v>45</v>
      </c>
      <c r="O1075" s="25" t="s">
        <v>23</v>
      </c>
      <c r="P1075" s="25" t="s">
        <v>238</v>
      </c>
      <c r="Q1075" s="25" t="s">
        <v>133</v>
      </c>
      <c r="R1075" s="25" t="s">
        <v>237</v>
      </c>
      <c r="S1075" s="35">
        <v>0</v>
      </c>
      <c r="T1075" s="16">
        <v>6.08</v>
      </c>
      <c r="U1075" s="19">
        <v>2.0672000000000001</v>
      </c>
      <c r="V1075" s="56">
        <f>Table11[[#This Row],[Profit]]/Table11[[#This Row],[Sales]]</f>
        <v>0.34</v>
      </c>
    </row>
    <row r="1076" spans="1:22" x14ac:dyDescent="0.2">
      <c r="A1076" s="4">
        <v>1075</v>
      </c>
      <c r="B1076" s="5" t="s">
        <v>8729</v>
      </c>
      <c r="C1076" s="6">
        <v>42257</v>
      </c>
      <c r="D1076" s="27">
        <f>MONTH(Table11[[#This Row],[Order Date]])</f>
        <v>9</v>
      </c>
      <c r="E1076" s="5" t="s">
        <v>367</v>
      </c>
      <c r="F1076" s="5" t="s">
        <v>368</v>
      </c>
      <c r="G1076" s="24" t="s">
        <v>28</v>
      </c>
      <c r="H1076" s="24" t="s">
        <v>58</v>
      </c>
      <c r="I1076" s="5" t="s">
        <v>1036</v>
      </c>
      <c r="J1076" s="24" t="s">
        <v>36</v>
      </c>
      <c r="K1076" s="27">
        <v>6</v>
      </c>
      <c r="L1076" s="6">
        <v>42263</v>
      </c>
      <c r="M1076" s="27">
        <f>Table11[[#This Row],[Ship Date]]-Table11[[#This Row],[Order Date]]</f>
        <v>6</v>
      </c>
      <c r="N1076" s="24" t="s">
        <v>45</v>
      </c>
      <c r="O1076" s="24" t="s">
        <v>23</v>
      </c>
      <c r="P1076" s="24" t="s">
        <v>38</v>
      </c>
      <c r="Q1076" s="24" t="s">
        <v>39</v>
      </c>
      <c r="R1076" s="24" t="s">
        <v>37</v>
      </c>
      <c r="S1076" s="34">
        <v>0</v>
      </c>
      <c r="T1076" s="15">
        <v>106.68</v>
      </c>
      <c r="U1076" s="18">
        <v>33.070799999999998</v>
      </c>
      <c r="V1076" s="56">
        <f>Table11[[#This Row],[Profit]]/Table11[[#This Row],[Sales]]</f>
        <v>0.30999999999999994</v>
      </c>
    </row>
    <row r="1077" spans="1:22" x14ac:dyDescent="0.2">
      <c r="A1077" s="2">
        <v>1076</v>
      </c>
      <c r="B1077" s="3" t="s">
        <v>8844</v>
      </c>
      <c r="C1077" s="7">
        <v>42257</v>
      </c>
      <c r="D1077" s="28">
        <f>MONTH(Table11[[#This Row],[Order Date]])</f>
        <v>9</v>
      </c>
      <c r="E1077" s="3" t="s">
        <v>4220</v>
      </c>
      <c r="F1077" s="3" t="s">
        <v>4221</v>
      </c>
      <c r="G1077" s="25" t="s">
        <v>28</v>
      </c>
      <c r="H1077" s="25" t="s">
        <v>32</v>
      </c>
      <c r="I1077" s="3" t="s">
        <v>7119</v>
      </c>
      <c r="J1077" s="25" t="s">
        <v>36</v>
      </c>
      <c r="K1077" s="28">
        <v>1</v>
      </c>
      <c r="L1077" s="7">
        <v>42261</v>
      </c>
      <c r="M1077" s="28">
        <f>Table11[[#This Row],[Ship Date]]-Table11[[#This Row],[Order Date]]</f>
        <v>4</v>
      </c>
      <c r="N1077" s="25" t="s">
        <v>45</v>
      </c>
      <c r="O1077" s="25" t="s">
        <v>23</v>
      </c>
      <c r="P1077" s="25" t="s">
        <v>94</v>
      </c>
      <c r="Q1077" s="25" t="s">
        <v>95</v>
      </c>
      <c r="R1077" s="25" t="s">
        <v>1095</v>
      </c>
      <c r="S1077" s="35">
        <v>0.3</v>
      </c>
      <c r="T1077" s="16">
        <v>179.886</v>
      </c>
      <c r="U1077" s="19">
        <v>-2.5697999999999999</v>
      </c>
      <c r="V1077" s="56">
        <f>Table11[[#This Row],[Profit]]/Table11[[#This Row],[Sales]]</f>
        <v>-1.4285714285714285E-2</v>
      </c>
    </row>
    <row r="1078" spans="1:22" x14ac:dyDescent="0.2">
      <c r="A1078" s="4">
        <v>1077</v>
      </c>
      <c r="B1078" s="5" t="s">
        <v>5835</v>
      </c>
      <c r="C1078" s="6">
        <v>42258</v>
      </c>
      <c r="D1078" s="27">
        <f>MONTH(Table11[[#This Row],[Order Date]])</f>
        <v>9</v>
      </c>
      <c r="E1078" s="5" t="s">
        <v>2151</v>
      </c>
      <c r="F1078" s="5" t="s">
        <v>2152</v>
      </c>
      <c r="G1078" s="24" t="s">
        <v>41</v>
      </c>
      <c r="H1078" s="24" t="s">
        <v>61</v>
      </c>
      <c r="I1078" s="5" t="s">
        <v>460</v>
      </c>
      <c r="J1078" s="24" t="s">
        <v>22</v>
      </c>
      <c r="K1078" s="27">
        <v>9</v>
      </c>
      <c r="L1078" s="6">
        <v>42262</v>
      </c>
      <c r="M1078" s="27">
        <f>Table11[[#This Row],[Ship Date]]-Table11[[#This Row],[Order Date]]</f>
        <v>4</v>
      </c>
      <c r="N1078" s="24" t="s">
        <v>45</v>
      </c>
      <c r="O1078" s="24" t="s">
        <v>23</v>
      </c>
      <c r="P1078" s="24" t="s">
        <v>38</v>
      </c>
      <c r="Q1078" s="24" t="s">
        <v>39</v>
      </c>
      <c r="R1078" s="24" t="s">
        <v>684</v>
      </c>
      <c r="S1078" s="34">
        <v>0</v>
      </c>
      <c r="T1078" s="15">
        <v>181.35</v>
      </c>
      <c r="U1078" s="18">
        <v>48.964500000000001</v>
      </c>
      <c r="V1078" s="56">
        <f>Table11[[#This Row],[Profit]]/Table11[[#This Row],[Sales]]</f>
        <v>0.27</v>
      </c>
    </row>
    <row r="1079" spans="1:22" x14ac:dyDescent="0.2">
      <c r="A1079" s="4">
        <v>1078</v>
      </c>
      <c r="B1079" s="3" t="s">
        <v>5835</v>
      </c>
      <c r="C1079" s="7">
        <v>42258</v>
      </c>
      <c r="D1079" s="28">
        <f>MONTH(Table11[[#This Row],[Order Date]])</f>
        <v>9</v>
      </c>
      <c r="E1079" s="3" t="s">
        <v>4210</v>
      </c>
      <c r="F1079" s="3" t="s">
        <v>4211</v>
      </c>
      <c r="G1079" s="25" t="s">
        <v>41</v>
      </c>
      <c r="H1079" s="25" t="s">
        <v>42</v>
      </c>
      <c r="I1079" s="3" t="s">
        <v>460</v>
      </c>
      <c r="J1079" s="25" t="s">
        <v>22</v>
      </c>
      <c r="K1079" s="28">
        <v>3</v>
      </c>
      <c r="L1079" s="7">
        <v>42262</v>
      </c>
      <c r="M1079" s="28">
        <f>Table11[[#This Row],[Ship Date]]-Table11[[#This Row],[Order Date]]</f>
        <v>4</v>
      </c>
      <c r="N1079" s="25" t="s">
        <v>45</v>
      </c>
      <c r="O1079" s="25" t="s">
        <v>23</v>
      </c>
      <c r="P1079" s="25" t="s">
        <v>38</v>
      </c>
      <c r="Q1079" s="25" t="s">
        <v>39</v>
      </c>
      <c r="R1079" s="25" t="s">
        <v>684</v>
      </c>
      <c r="S1079" s="35">
        <v>0</v>
      </c>
      <c r="T1079" s="16">
        <v>8.64</v>
      </c>
      <c r="U1079" s="19">
        <v>4.2336</v>
      </c>
      <c r="V1079" s="56">
        <f>Table11[[#This Row],[Profit]]/Table11[[#This Row],[Sales]]</f>
        <v>0.49</v>
      </c>
    </row>
    <row r="1080" spans="1:22" x14ac:dyDescent="0.2">
      <c r="A1080" s="2">
        <v>1079</v>
      </c>
      <c r="B1080" s="5" t="s">
        <v>8246</v>
      </c>
      <c r="C1080" s="6">
        <v>42258</v>
      </c>
      <c r="D1080" s="27">
        <f>MONTH(Table11[[#This Row],[Order Date]])</f>
        <v>9</v>
      </c>
      <c r="E1080" s="5" t="s">
        <v>434</v>
      </c>
      <c r="F1080" s="5" t="s">
        <v>435</v>
      </c>
      <c r="G1080" s="24" t="s">
        <v>41</v>
      </c>
      <c r="H1080" s="24" t="s">
        <v>61</v>
      </c>
      <c r="I1080" s="5" t="s">
        <v>864</v>
      </c>
      <c r="J1080" s="24" t="s">
        <v>36</v>
      </c>
      <c r="K1080" s="27">
        <v>7</v>
      </c>
      <c r="L1080" s="6">
        <v>42263</v>
      </c>
      <c r="M1080" s="27">
        <f>Table11[[#This Row],[Ship Date]]-Table11[[#This Row],[Order Date]]</f>
        <v>5</v>
      </c>
      <c r="N1080" s="24" t="s">
        <v>45</v>
      </c>
      <c r="O1080" s="24" t="s">
        <v>23</v>
      </c>
      <c r="P1080" s="24" t="s">
        <v>38</v>
      </c>
      <c r="Q1080" s="24" t="s">
        <v>39</v>
      </c>
      <c r="R1080" s="24" t="s">
        <v>836</v>
      </c>
      <c r="S1080" s="34">
        <v>0</v>
      </c>
      <c r="T1080" s="15">
        <v>265.86</v>
      </c>
      <c r="U1080" s="18">
        <v>79.757999999999996</v>
      </c>
      <c r="V1080" s="56">
        <f>Table11[[#This Row],[Profit]]/Table11[[#This Row],[Sales]]</f>
        <v>0.3</v>
      </c>
    </row>
    <row r="1081" spans="1:22" x14ac:dyDescent="0.2">
      <c r="A1081" s="4">
        <v>1080</v>
      </c>
      <c r="B1081" s="3" t="s">
        <v>9009</v>
      </c>
      <c r="C1081" s="7">
        <v>42258</v>
      </c>
      <c r="D1081" s="28">
        <f>MONTH(Table11[[#This Row],[Order Date]])</f>
        <v>9</v>
      </c>
      <c r="E1081" s="3" t="s">
        <v>8411</v>
      </c>
      <c r="F1081" s="3" t="s">
        <v>8412</v>
      </c>
      <c r="G1081" s="25" t="s">
        <v>28</v>
      </c>
      <c r="H1081" s="25" t="s">
        <v>58</v>
      </c>
      <c r="I1081" s="3" t="s">
        <v>7433</v>
      </c>
      <c r="J1081" s="25" t="s">
        <v>36</v>
      </c>
      <c r="K1081" s="28">
        <v>2</v>
      </c>
      <c r="L1081" s="7">
        <v>42262</v>
      </c>
      <c r="M1081" s="28">
        <f>Table11[[#This Row],[Ship Date]]-Table11[[#This Row],[Order Date]]</f>
        <v>4</v>
      </c>
      <c r="N1081" s="25" t="s">
        <v>20</v>
      </c>
      <c r="O1081" s="25" t="s">
        <v>23</v>
      </c>
      <c r="P1081" s="25" t="s">
        <v>238</v>
      </c>
      <c r="Q1081" s="25" t="s">
        <v>133</v>
      </c>
      <c r="R1081" s="25" t="s">
        <v>237</v>
      </c>
      <c r="S1081" s="35">
        <v>0</v>
      </c>
      <c r="T1081" s="16">
        <v>210.68</v>
      </c>
      <c r="U1081" s="19">
        <v>50.563200000000002</v>
      </c>
      <c r="V1081" s="56">
        <f>Table11[[#This Row],[Profit]]/Table11[[#This Row],[Sales]]</f>
        <v>0.24</v>
      </c>
    </row>
    <row r="1082" spans="1:22" x14ac:dyDescent="0.2">
      <c r="A1082" s="4">
        <v>1081</v>
      </c>
      <c r="B1082" s="5" t="s">
        <v>9009</v>
      </c>
      <c r="C1082" s="6">
        <v>42258</v>
      </c>
      <c r="D1082" s="27">
        <f>MONTH(Table11[[#This Row],[Order Date]])</f>
        <v>9</v>
      </c>
      <c r="E1082" s="5" t="s">
        <v>8694</v>
      </c>
      <c r="F1082" s="5" t="s">
        <v>8695</v>
      </c>
      <c r="G1082" s="24" t="s">
        <v>41</v>
      </c>
      <c r="H1082" s="24" t="s">
        <v>53</v>
      </c>
      <c r="I1082" s="5" t="s">
        <v>7433</v>
      </c>
      <c r="J1082" s="24" t="s">
        <v>36</v>
      </c>
      <c r="K1082" s="27">
        <v>1</v>
      </c>
      <c r="L1082" s="6">
        <v>42262</v>
      </c>
      <c r="M1082" s="27">
        <f>Table11[[#This Row],[Ship Date]]-Table11[[#This Row],[Order Date]]</f>
        <v>4</v>
      </c>
      <c r="N1082" s="24" t="s">
        <v>20</v>
      </c>
      <c r="O1082" s="24" t="s">
        <v>23</v>
      </c>
      <c r="P1082" s="24" t="s">
        <v>238</v>
      </c>
      <c r="Q1082" s="24" t="s">
        <v>133</v>
      </c>
      <c r="R1082" s="24" t="s">
        <v>237</v>
      </c>
      <c r="S1082" s="34">
        <v>0</v>
      </c>
      <c r="T1082" s="15">
        <v>78.8</v>
      </c>
      <c r="U1082" s="18">
        <v>1.5760000000000001</v>
      </c>
      <c r="V1082" s="56">
        <f>Table11[[#This Row],[Profit]]/Table11[[#This Row],[Sales]]</f>
        <v>0.02</v>
      </c>
    </row>
    <row r="1083" spans="1:22" x14ac:dyDescent="0.2">
      <c r="A1083" s="2">
        <v>1082</v>
      </c>
      <c r="B1083" s="3" t="s">
        <v>9009</v>
      </c>
      <c r="C1083" s="7">
        <v>42258</v>
      </c>
      <c r="D1083" s="28">
        <f>MONTH(Table11[[#This Row],[Order Date]])</f>
        <v>9</v>
      </c>
      <c r="E1083" s="3" t="s">
        <v>348</v>
      </c>
      <c r="F1083" s="3" t="s">
        <v>349</v>
      </c>
      <c r="G1083" s="25" t="s">
        <v>64</v>
      </c>
      <c r="H1083" s="25" t="s">
        <v>144</v>
      </c>
      <c r="I1083" s="3" t="s">
        <v>7433</v>
      </c>
      <c r="J1083" s="25" t="s">
        <v>36</v>
      </c>
      <c r="K1083" s="28">
        <v>1</v>
      </c>
      <c r="L1083" s="7">
        <v>42262</v>
      </c>
      <c r="M1083" s="28">
        <f>Table11[[#This Row],[Ship Date]]-Table11[[#This Row],[Order Date]]</f>
        <v>4</v>
      </c>
      <c r="N1083" s="25" t="s">
        <v>20</v>
      </c>
      <c r="O1083" s="25" t="s">
        <v>23</v>
      </c>
      <c r="P1083" s="25" t="s">
        <v>238</v>
      </c>
      <c r="Q1083" s="25" t="s">
        <v>133</v>
      </c>
      <c r="R1083" s="25" t="s">
        <v>237</v>
      </c>
      <c r="S1083" s="35">
        <v>0</v>
      </c>
      <c r="T1083" s="16">
        <v>19.989999999999998</v>
      </c>
      <c r="U1083" s="19">
        <v>6.7965999999999998</v>
      </c>
      <c r="V1083" s="56">
        <f>Table11[[#This Row],[Profit]]/Table11[[#This Row],[Sales]]</f>
        <v>0.34</v>
      </c>
    </row>
    <row r="1084" spans="1:22" x14ac:dyDescent="0.2">
      <c r="A1084" s="4">
        <v>1083</v>
      </c>
      <c r="B1084" s="5" t="s">
        <v>9009</v>
      </c>
      <c r="C1084" s="6">
        <v>42258</v>
      </c>
      <c r="D1084" s="27">
        <f>MONTH(Table11[[#This Row],[Order Date]])</f>
        <v>9</v>
      </c>
      <c r="E1084" s="5" t="s">
        <v>6765</v>
      </c>
      <c r="F1084" s="5" t="s">
        <v>6766</v>
      </c>
      <c r="G1084" s="24" t="s">
        <v>41</v>
      </c>
      <c r="H1084" s="24" t="s">
        <v>53</v>
      </c>
      <c r="I1084" s="5" t="s">
        <v>7433</v>
      </c>
      <c r="J1084" s="24" t="s">
        <v>36</v>
      </c>
      <c r="K1084" s="27">
        <v>4</v>
      </c>
      <c r="L1084" s="6">
        <v>42262</v>
      </c>
      <c r="M1084" s="27">
        <f>Table11[[#This Row],[Ship Date]]-Table11[[#This Row],[Order Date]]</f>
        <v>4</v>
      </c>
      <c r="N1084" s="24" t="s">
        <v>20</v>
      </c>
      <c r="O1084" s="24" t="s">
        <v>23</v>
      </c>
      <c r="P1084" s="24" t="s">
        <v>238</v>
      </c>
      <c r="Q1084" s="24" t="s">
        <v>133</v>
      </c>
      <c r="R1084" s="24" t="s">
        <v>237</v>
      </c>
      <c r="S1084" s="34">
        <v>0</v>
      </c>
      <c r="T1084" s="15">
        <v>772.68</v>
      </c>
      <c r="U1084" s="18">
        <v>108.1752</v>
      </c>
      <c r="V1084" s="56">
        <f>Table11[[#This Row],[Profit]]/Table11[[#This Row],[Sales]]</f>
        <v>0.14000000000000001</v>
      </c>
    </row>
    <row r="1085" spans="1:22" x14ac:dyDescent="0.2">
      <c r="A1085" s="4">
        <v>1084</v>
      </c>
      <c r="B1085" s="3" t="s">
        <v>9316</v>
      </c>
      <c r="C1085" s="7">
        <v>42258</v>
      </c>
      <c r="D1085" s="28">
        <f>MONTH(Table11[[#This Row],[Order Date]])</f>
        <v>9</v>
      </c>
      <c r="E1085" s="3" t="s">
        <v>1519</v>
      </c>
      <c r="F1085" s="3" t="s">
        <v>1520</v>
      </c>
      <c r="G1085" s="25" t="s">
        <v>28</v>
      </c>
      <c r="H1085" s="25" t="s">
        <v>58</v>
      </c>
      <c r="I1085" s="3" t="s">
        <v>2430</v>
      </c>
      <c r="J1085" s="25" t="s">
        <v>36</v>
      </c>
      <c r="K1085" s="28">
        <v>4</v>
      </c>
      <c r="L1085" s="7">
        <v>42259</v>
      </c>
      <c r="M1085" s="28">
        <f>Table11[[#This Row],[Ship Date]]-Table11[[#This Row],[Order Date]]</f>
        <v>1</v>
      </c>
      <c r="N1085" s="25" t="s">
        <v>169</v>
      </c>
      <c r="O1085" s="25" t="s">
        <v>23</v>
      </c>
      <c r="P1085" s="25" t="s">
        <v>405</v>
      </c>
      <c r="Q1085" s="25" t="s">
        <v>39</v>
      </c>
      <c r="R1085" s="25" t="s">
        <v>404</v>
      </c>
      <c r="S1085" s="35">
        <v>0.2</v>
      </c>
      <c r="T1085" s="16">
        <v>24.64</v>
      </c>
      <c r="U1085" s="19">
        <v>4.0039999999999996</v>
      </c>
      <c r="V1085" s="56">
        <f>Table11[[#This Row],[Profit]]/Table11[[#This Row],[Sales]]</f>
        <v>0.16249999999999998</v>
      </c>
    </row>
    <row r="1086" spans="1:22" x14ac:dyDescent="0.2">
      <c r="A1086" s="2">
        <v>1085</v>
      </c>
      <c r="B1086" s="5" t="s">
        <v>9496</v>
      </c>
      <c r="C1086" s="6">
        <v>42258</v>
      </c>
      <c r="D1086" s="27">
        <f>MONTH(Table11[[#This Row],[Order Date]])</f>
        <v>9</v>
      </c>
      <c r="E1086" s="5" t="s">
        <v>6713</v>
      </c>
      <c r="F1086" s="5" t="s">
        <v>6714</v>
      </c>
      <c r="G1086" s="24" t="s">
        <v>41</v>
      </c>
      <c r="H1086" s="24" t="s">
        <v>42</v>
      </c>
      <c r="I1086" s="5" t="s">
        <v>2779</v>
      </c>
      <c r="J1086" s="24" t="s">
        <v>92</v>
      </c>
      <c r="K1086" s="27">
        <v>3</v>
      </c>
      <c r="L1086" s="6">
        <v>42265</v>
      </c>
      <c r="M1086" s="27">
        <f>Table11[[#This Row],[Ship Date]]-Table11[[#This Row],[Order Date]]</f>
        <v>7</v>
      </c>
      <c r="N1086" s="24" t="s">
        <v>45</v>
      </c>
      <c r="O1086" s="24" t="s">
        <v>23</v>
      </c>
      <c r="P1086" s="24" t="s">
        <v>695</v>
      </c>
      <c r="Q1086" s="24" t="s">
        <v>133</v>
      </c>
      <c r="R1086" s="24" t="s">
        <v>4273</v>
      </c>
      <c r="S1086" s="34">
        <v>0</v>
      </c>
      <c r="T1086" s="15">
        <v>31.05</v>
      </c>
      <c r="U1086" s="18">
        <v>14.904</v>
      </c>
      <c r="V1086" s="56">
        <f>Table11[[#This Row],[Profit]]/Table11[[#This Row],[Sales]]</f>
        <v>0.48</v>
      </c>
    </row>
    <row r="1087" spans="1:22" x14ac:dyDescent="0.2">
      <c r="A1087" s="4">
        <v>1086</v>
      </c>
      <c r="B1087" s="3" t="s">
        <v>9496</v>
      </c>
      <c r="C1087" s="7">
        <v>42258</v>
      </c>
      <c r="D1087" s="28">
        <f>MONTH(Table11[[#This Row],[Order Date]])</f>
        <v>9</v>
      </c>
      <c r="E1087" s="3" t="s">
        <v>4920</v>
      </c>
      <c r="F1087" s="3" t="s">
        <v>4921</v>
      </c>
      <c r="G1087" s="25" t="s">
        <v>28</v>
      </c>
      <c r="H1087" s="25" t="s">
        <v>58</v>
      </c>
      <c r="I1087" s="3" t="s">
        <v>2779</v>
      </c>
      <c r="J1087" s="25" t="s">
        <v>92</v>
      </c>
      <c r="K1087" s="28">
        <v>4</v>
      </c>
      <c r="L1087" s="7">
        <v>42265</v>
      </c>
      <c r="M1087" s="28">
        <f>Table11[[#This Row],[Ship Date]]-Table11[[#This Row],[Order Date]]</f>
        <v>7</v>
      </c>
      <c r="N1087" s="25" t="s">
        <v>45</v>
      </c>
      <c r="O1087" s="25" t="s">
        <v>23</v>
      </c>
      <c r="P1087" s="25" t="s">
        <v>695</v>
      </c>
      <c r="Q1087" s="25" t="s">
        <v>133</v>
      </c>
      <c r="R1087" s="25" t="s">
        <v>4273</v>
      </c>
      <c r="S1087" s="35">
        <v>0</v>
      </c>
      <c r="T1087" s="16">
        <v>8.92</v>
      </c>
      <c r="U1087" s="19">
        <v>3.9247999999999998</v>
      </c>
      <c r="V1087" s="56">
        <f>Table11[[#This Row],[Profit]]/Table11[[#This Row],[Sales]]</f>
        <v>0.44</v>
      </c>
    </row>
    <row r="1088" spans="1:22" x14ac:dyDescent="0.2">
      <c r="A1088" s="4">
        <v>1087</v>
      </c>
      <c r="B1088" s="5" t="s">
        <v>9496</v>
      </c>
      <c r="C1088" s="6">
        <v>42258</v>
      </c>
      <c r="D1088" s="27">
        <f>MONTH(Table11[[#This Row],[Order Date]])</f>
        <v>9</v>
      </c>
      <c r="E1088" s="5" t="s">
        <v>961</v>
      </c>
      <c r="F1088" s="5" t="s">
        <v>962</v>
      </c>
      <c r="G1088" s="24" t="s">
        <v>41</v>
      </c>
      <c r="H1088" s="24" t="s">
        <v>68</v>
      </c>
      <c r="I1088" s="5" t="s">
        <v>2779</v>
      </c>
      <c r="J1088" s="24" t="s">
        <v>92</v>
      </c>
      <c r="K1088" s="27">
        <v>4</v>
      </c>
      <c r="L1088" s="6">
        <v>42265</v>
      </c>
      <c r="M1088" s="27">
        <f>Table11[[#This Row],[Ship Date]]-Table11[[#This Row],[Order Date]]</f>
        <v>7</v>
      </c>
      <c r="N1088" s="24" t="s">
        <v>45</v>
      </c>
      <c r="O1088" s="24" t="s">
        <v>23</v>
      </c>
      <c r="P1088" s="24" t="s">
        <v>695</v>
      </c>
      <c r="Q1088" s="24" t="s">
        <v>133</v>
      </c>
      <c r="R1088" s="24" t="s">
        <v>4273</v>
      </c>
      <c r="S1088" s="34">
        <v>0</v>
      </c>
      <c r="T1088" s="15">
        <v>209.6</v>
      </c>
      <c r="U1088" s="18">
        <v>96.415999999999997</v>
      </c>
      <c r="V1088" s="56">
        <f>Table11[[#This Row],[Profit]]/Table11[[#This Row],[Sales]]</f>
        <v>0.46</v>
      </c>
    </row>
    <row r="1089" spans="1:22" x14ac:dyDescent="0.2">
      <c r="A1089" s="2">
        <v>1088</v>
      </c>
      <c r="B1089" s="3" t="s">
        <v>9496</v>
      </c>
      <c r="C1089" s="7">
        <v>42258</v>
      </c>
      <c r="D1089" s="28">
        <f>MONTH(Table11[[#This Row],[Order Date]])</f>
        <v>9</v>
      </c>
      <c r="E1089" s="3" t="s">
        <v>3906</v>
      </c>
      <c r="F1089" s="3" t="s">
        <v>3907</v>
      </c>
      <c r="G1089" s="25" t="s">
        <v>41</v>
      </c>
      <c r="H1089" s="25" t="s">
        <v>71</v>
      </c>
      <c r="I1089" s="3" t="s">
        <v>2779</v>
      </c>
      <c r="J1089" s="25" t="s">
        <v>92</v>
      </c>
      <c r="K1089" s="28">
        <v>4</v>
      </c>
      <c r="L1089" s="7">
        <v>42265</v>
      </c>
      <c r="M1089" s="28">
        <f>Table11[[#This Row],[Ship Date]]-Table11[[#This Row],[Order Date]]</f>
        <v>7</v>
      </c>
      <c r="N1089" s="25" t="s">
        <v>45</v>
      </c>
      <c r="O1089" s="25" t="s">
        <v>23</v>
      </c>
      <c r="P1089" s="25" t="s">
        <v>695</v>
      </c>
      <c r="Q1089" s="25" t="s">
        <v>133</v>
      </c>
      <c r="R1089" s="25" t="s">
        <v>4273</v>
      </c>
      <c r="S1089" s="35">
        <v>0</v>
      </c>
      <c r="T1089" s="16">
        <v>111.04</v>
      </c>
      <c r="U1089" s="19">
        <v>29.980799999999999</v>
      </c>
      <c r="V1089" s="56">
        <f>Table11[[#This Row],[Profit]]/Table11[[#This Row],[Sales]]</f>
        <v>0.26999999999999996</v>
      </c>
    </row>
    <row r="1090" spans="1:22" x14ac:dyDescent="0.2">
      <c r="A1090" s="4">
        <v>1089</v>
      </c>
      <c r="B1090" s="5" t="s">
        <v>9496</v>
      </c>
      <c r="C1090" s="6">
        <v>42258</v>
      </c>
      <c r="D1090" s="27">
        <f>MONTH(Table11[[#This Row],[Order Date]])</f>
        <v>9</v>
      </c>
      <c r="E1090" s="5" t="s">
        <v>6677</v>
      </c>
      <c r="F1090" s="5" t="s">
        <v>6678</v>
      </c>
      <c r="G1090" s="24" t="s">
        <v>41</v>
      </c>
      <c r="H1090" s="24" t="s">
        <v>82</v>
      </c>
      <c r="I1090" s="5" t="s">
        <v>2779</v>
      </c>
      <c r="J1090" s="24" t="s">
        <v>92</v>
      </c>
      <c r="K1090" s="27">
        <v>6</v>
      </c>
      <c r="L1090" s="6">
        <v>42265</v>
      </c>
      <c r="M1090" s="27">
        <f>Table11[[#This Row],[Ship Date]]-Table11[[#This Row],[Order Date]]</f>
        <v>7</v>
      </c>
      <c r="N1090" s="24" t="s">
        <v>45</v>
      </c>
      <c r="O1090" s="24" t="s">
        <v>23</v>
      </c>
      <c r="P1090" s="24" t="s">
        <v>695</v>
      </c>
      <c r="Q1090" s="24" t="s">
        <v>133</v>
      </c>
      <c r="R1090" s="24" t="s">
        <v>4273</v>
      </c>
      <c r="S1090" s="34">
        <v>0</v>
      </c>
      <c r="T1090" s="15">
        <v>38.880000000000003</v>
      </c>
      <c r="U1090" s="18">
        <v>18.662400000000002</v>
      </c>
      <c r="V1090" s="56">
        <f>Table11[[#This Row],[Profit]]/Table11[[#This Row],[Sales]]</f>
        <v>0.48000000000000004</v>
      </c>
    </row>
    <row r="1091" spans="1:22" x14ac:dyDescent="0.2">
      <c r="A1091" s="4">
        <v>1090</v>
      </c>
      <c r="B1091" s="3" t="s">
        <v>5424</v>
      </c>
      <c r="C1091" s="7">
        <v>42259</v>
      </c>
      <c r="D1091" s="28">
        <f>MONTH(Table11[[#This Row],[Order Date]])</f>
        <v>9</v>
      </c>
      <c r="E1091" s="3" t="s">
        <v>4820</v>
      </c>
      <c r="F1091" s="3" t="s">
        <v>4821</v>
      </c>
      <c r="G1091" s="25" t="s">
        <v>64</v>
      </c>
      <c r="H1091" s="25" t="s">
        <v>1075</v>
      </c>
      <c r="I1091" s="3" t="s">
        <v>346</v>
      </c>
      <c r="J1091" s="25" t="s">
        <v>22</v>
      </c>
      <c r="K1091" s="28">
        <v>2</v>
      </c>
      <c r="L1091" s="7">
        <v>42264</v>
      </c>
      <c r="M1091" s="28">
        <f>Table11[[#This Row],[Ship Date]]-Table11[[#This Row],[Order Date]]</f>
        <v>5</v>
      </c>
      <c r="N1091" s="25" t="s">
        <v>45</v>
      </c>
      <c r="O1091" s="25" t="s">
        <v>23</v>
      </c>
      <c r="P1091" s="25" t="s">
        <v>238</v>
      </c>
      <c r="Q1091" s="25" t="s">
        <v>133</v>
      </c>
      <c r="R1091" s="25" t="s">
        <v>237</v>
      </c>
      <c r="S1091" s="35">
        <v>0.2</v>
      </c>
      <c r="T1091" s="16">
        <v>479.98399999999998</v>
      </c>
      <c r="U1091" s="19">
        <v>59.997999999999998</v>
      </c>
      <c r="V1091" s="56">
        <f>Table11[[#This Row],[Profit]]/Table11[[#This Row],[Sales]]</f>
        <v>0.125</v>
      </c>
    </row>
    <row r="1092" spans="1:22" x14ac:dyDescent="0.2">
      <c r="A1092" s="2">
        <v>1091</v>
      </c>
      <c r="B1092" s="5" t="s">
        <v>5424</v>
      </c>
      <c r="C1092" s="6">
        <v>42259</v>
      </c>
      <c r="D1092" s="27">
        <f>MONTH(Table11[[#This Row],[Order Date]])</f>
        <v>9</v>
      </c>
      <c r="E1092" s="5" t="s">
        <v>1372</v>
      </c>
      <c r="F1092" s="5" t="s">
        <v>1373</v>
      </c>
      <c r="G1092" s="24" t="s">
        <v>41</v>
      </c>
      <c r="H1092" s="24" t="s">
        <v>42</v>
      </c>
      <c r="I1092" s="5" t="s">
        <v>346</v>
      </c>
      <c r="J1092" s="24" t="s">
        <v>22</v>
      </c>
      <c r="K1092" s="27">
        <v>4</v>
      </c>
      <c r="L1092" s="6">
        <v>42264</v>
      </c>
      <c r="M1092" s="27">
        <f>Table11[[#This Row],[Ship Date]]-Table11[[#This Row],[Order Date]]</f>
        <v>5</v>
      </c>
      <c r="N1092" s="24" t="s">
        <v>45</v>
      </c>
      <c r="O1092" s="24" t="s">
        <v>23</v>
      </c>
      <c r="P1092" s="24" t="s">
        <v>238</v>
      </c>
      <c r="Q1092" s="24" t="s">
        <v>133</v>
      </c>
      <c r="R1092" s="24" t="s">
        <v>237</v>
      </c>
      <c r="S1092" s="34">
        <v>0</v>
      </c>
      <c r="T1092" s="15">
        <v>12.6</v>
      </c>
      <c r="U1092" s="18">
        <v>6.048</v>
      </c>
      <c r="V1092" s="56">
        <f>Table11[[#This Row],[Profit]]/Table11[[#This Row],[Sales]]</f>
        <v>0.48000000000000004</v>
      </c>
    </row>
    <row r="1093" spans="1:22" x14ac:dyDescent="0.2">
      <c r="A1093" s="4">
        <v>1092</v>
      </c>
      <c r="B1093" s="3" t="s">
        <v>7307</v>
      </c>
      <c r="C1093" s="7">
        <v>42259</v>
      </c>
      <c r="D1093" s="28">
        <f>MONTH(Table11[[#This Row],[Order Date]])</f>
        <v>9</v>
      </c>
      <c r="E1093" s="3" t="s">
        <v>688</v>
      </c>
      <c r="F1093" s="3" t="s">
        <v>689</v>
      </c>
      <c r="G1093" s="25" t="s">
        <v>41</v>
      </c>
      <c r="H1093" s="25" t="s">
        <v>61</v>
      </c>
      <c r="I1093" s="3" t="s">
        <v>4845</v>
      </c>
      <c r="J1093" s="25" t="s">
        <v>22</v>
      </c>
      <c r="K1093" s="28">
        <v>2</v>
      </c>
      <c r="L1093" s="7">
        <v>42265</v>
      </c>
      <c r="M1093" s="28">
        <f>Table11[[#This Row],[Ship Date]]-Table11[[#This Row],[Order Date]]</f>
        <v>6</v>
      </c>
      <c r="N1093" s="25" t="s">
        <v>45</v>
      </c>
      <c r="O1093" s="25" t="s">
        <v>23</v>
      </c>
      <c r="P1093" s="25" t="s">
        <v>238</v>
      </c>
      <c r="Q1093" s="25" t="s">
        <v>133</v>
      </c>
      <c r="R1093" s="25" t="s">
        <v>1380</v>
      </c>
      <c r="S1093" s="35">
        <v>0</v>
      </c>
      <c r="T1093" s="16">
        <v>9.26</v>
      </c>
      <c r="U1093" s="19">
        <v>3.0558000000000001</v>
      </c>
      <c r="V1093" s="56">
        <f>Table11[[#This Row],[Profit]]/Table11[[#This Row],[Sales]]</f>
        <v>0.33</v>
      </c>
    </row>
    <row r="1094" spans="1:22" x14ac:dyDescent="0.2">
      <c r="A1094" s="4">
        <v>1093</v>
      </c>
      <c r="B1094" s="5" t="s">
        <v>7307</v>
      </c>
      <c r="C1094" s="6">
        <v>42259</v>
      </c>
      <c r="D1094" s="27">
        <f>MONTH(Table11[[#This Row],[Order Date]])</f>
        <v>9</v>
      </c>
      <c r="E1094" s="5" t="s">
        <v>213</v>
      </c>
      <c r="F1094" s="5" t="s">
        <v>214</v>
      </c>
      <c r="G1094" s="24" t="s">
        <v>41</v>
      </c>
      <c r="H1094" s="24" t="s">
        <v>53</v>
      </c>
      <c r="I1094" s="5" t="s">
        <v>4845</v>
      </c>
      <c r="J1094" s="24" t="s">
        <v>22</v>
      </c>
      <c r="K1094" s="27">
        <v>2</v>
      </c>
      <c r="L1094" s="6">
        <v>42265</v>
      </c>
      <c r="M1094" s="27">
        <f>Table11[[#This Row],[Ship Date]]-Table11[[#This Row],[Order Date]]</f>
        <v>6</v>
      </c>
      <c r="N1094" s="24" t="s">
        <v>45</v>
      </c>
      <c r="O1094" s="24" t="s">
        <v>23</v>
      </c>
      <c r="P1094" s="24" t="s">
        <v>238</v>
      </c>
      <c r="Q1094" s="24" t="s">
        <v>133</v>
      </c>
      <c r="R1094" s="24" t="s">
        <v>1380</v>
      </c>
      <c r="S1094" s="34">
        <v>0</v>
      </c>
      <c r="T1094" s="15">
        <v>105.98</v>
      </c>
      <c r="U1094" s="18">
        <v>4.2392000000000003</v>
      </c>
      <c r="V1094" s="56">
        <f>Table11[[#This Row],[Profit]]/Table11[[#This Row],[Sales]]</f>
        <v>0.04</v>
      </c>
    </row>
    <row r="1095" spans="1:22" x14ac:dyDescent="0.2">
      <c r="A1095" s="2">
        <v>1094</v>
      </c>
      <c r="B1095" s="3" t="s">
        <v>7307</v>
      </c>
      <c r="C1095" s="7">
        <v>42259</v>
      </c>
      <c r="D1095" s="28">
        <f>MONTH(Table11[[#This Row],[Order Date]])</f>
        <v>9</v>
      </c>
      <c r="E1095" s="3" t="s">
        <v>1087</v>
      </c>
      <c r="F1095" s="3" t="s">
        <v>1088</v>
      </c>
      <c r="G1095" s="25" t="s">
        <v>41</v>
      </c>
      <c r="H1095" s="25" t="s">
        <v>240</v>
      </c>
      <c r="I1095" s="3" t="s">
        <v>4845</v>
      </c>
      <c r="J1095" s="25" t="s">
        <v>22</v>
      </c>
      <c r="K1095" s="28">
        <v>1</v>
      </c>
      <c r="L1095" s="7">
        <v>42265</v>
      </c>
      <c r="M1095" s="28">
        <f>Table11[[#This Row],[Ship Date]]-Table11[[#This Row],[Order Date]]</f>
        <v>6</v>
      </c>
      <c r="N1095" s="25" t="s">
        <v>45</v>
      </c>
      <c r="O1095" s="25" t="s">
        <v>23</v>
      </c>
      <c r="P1095" s="25" t="s">
        <v>238</v>
      </c>
      <c r="Q1095" s="25" t="s">
        <v>133</v>
      </c>
      <c r="R1095" s="25" t="s">
        <v>1380</v>
      </c>
      <c r="S1095" s="35">
        <v>0</v>
      </c>
      <c r="T1095" s="16">
        <v>1.24</v>
      </c>
      <c r="U1095" s="19">
        <v>0.58279999999999998</v>
      </c>
      <c r="V1095" s="56">
        <f>Table11[[#This Row],[Profit]]/Table11[[#This Row],[Sales]]</f>
        <v>0.47</v>
      </c>
    </row>
    <row r="1096" spans="1:22" x14ac:dyDescent="0.2">
      <c r="A1096" s="4">
        <v>1095</v>
      </c>
      <c r="B1096" s="5" t="s">
        <v>7307</v>
      </c>
      <c r="C1096" s="6">
        <v>42259</v>
      </c>
      <c r="D1096" s="27">
        <f>MONTH(Table11[[#This Row],[Order Date]])</f>
        <v>9</v>
      </c>
      <c r="E1096" s="5" t="s">
        <v>918</v>
      </c>
      <c r="F1096" s="5" t="s">
        <v>919</v>
      </c>
      <c r="G1096" s="24" t="s">
        <v>41</v>
      </c>
      <c r="H1096" s="24" t="s">
        <v>42</v>
      </c>
      <c r="I1096" s="5" t="s">
        <v>4845</v>
      </c>
      <c r="J1096" s="24" t="s">
        <v>22</v>
      </c>
      <c r="K1096" s="27">
        <v>2</v>
      </c>
      <c r="L1096" s="6">
        <v>42265</v>
      </c>
      <c r="M1096" s="27">
        <f>Table11[[#This Row],[Ship Date]]-Table11[[#This Row],[Order Date]]</f>
        <v>6</v>
      </c>
      <c r="N1096" s="24" t="s">
        <v>45</v>
      </c>
      <c r="O1096" s="24" t="s">
        <v>23</v>
      </c>
      <c r="P1096" s="24" t="s">
        <v>238</v>
      </c>
      <c r="Q1096" s="24" t="s">
        <v>133</v>
      </c>
      <c r="R1096" s="24" t="s">
        <v>1380</v>
      </c>
      <c r="S1096" s="34">
        <v>0</v>
      </c>
      <c r="T1096" s="15">
        <v>20.7</v>
      </c>
      <c r="U1096" s="18">
        <v>9.9359999999999999</v>
      </c>
      <c r="V1096" s="56">
        <f>Table11[[#This Row],[Profit]]/Table11[[#This Row],[Sales]]</f>
        <v>0.48000000000000004</v>
      </c>
    </row>
    <row r="1097" spans="1:22" x14ac:dyDescent="0.2">
      <c r="A1097" s="4">
        <v>1096</v>
      </c>
      <c r="B1097" s="3" t="s">
        <v>7307</v>
      </c>
      <c r="C1097" s="7">
        <v>42259</v>
      </c>
      <c r="D1097" s="28">
        <f>MONTH(Table11[[#This Row],[Order Date]])</f>
        <v>9</v>
      </c>
      <c r="E1097" s="3" t="s">
        <v>3508</v>
      </c>
      <c r="F1097" s="3" t="s">
        <v>3509</v>
      </c>
      <c r="G1097" s="25" t="s">
        <v>41</v>
      </c>
      <c r="H1097" s="25" t="s">
        <v>82</v>
      </c>
      <c r="I1097" s="3" t="s">
        <v>4845</v>
      </c>
      <c r="J1097" s="25" t="s">
        <v>22</v>
      </c>
      <c r="K1097" s="28">
        <v>5</v>
      </c>
      <c r="L1097" s="7">
        <v>42265</v>
      </c>
      <c r="M1097" s="28">
        <f>Table11[[#This Row],[Ship Date]]-Table11[[#This Row],[Order Date]]</f>
        <v>6</v>
      </c>
      <c r="N1097" s="25" t="s">
        <v>45</v>
      </c>
      <c r="O1097" s="25" t="s">
        <v>23</v>
      </c>
      <c r="P1097" s="25" t="s">
        <v>238</v>
      </c>
      <c r="Q1097" s="25" t="s">
        <v>133</v>
      </c>
      <c r="R1097" s="25" t="s">
        <v>1380</v>
      </c>
      <c r="S1097" s="35">
        <v>0</v>
      </c>
      <c r="T1097" s="16">
        <v>28.9</v>
      </c>
      <c r="U1097" s="19">
        <v>14.161</v>
      </c>
      <c r="V1097" s="56">
        <f>Table11[[#This Row],[Profit]]/Table11[[#This Row],[Sales]]</f>
        <v>0.49</v>
      </c>
    </row>
    <row r="1098" spans="1:22" x14ac:dyDescent="0.2">
      <c r="A1098" s="2">
        <v>1097</v>
      </c>
      <c r="B1098" s="5" t="s">
        <v>7307</v>
      </c>
      <c r="C1098" s="6">
        <v>42259</v>
      </c>
      <c r="D1098" s="27">
        <f>MONTH(Table11[[#This Row],[Order Date]])</f>
        <v>9</v>
      </c>
      <c r="E1098" s="5" t="s">
        <v>448</v>
      </c>
      <c r="F1098" s="5" t="s">
        <v>449</v>
      </c>
      <c r="G1098" s="24" t="s">
        <v>41</v>
      </c>
      <c r="H1098" s="24" t="s">
        <v>155</v>
      </c>
      <c r="I1098" s="5" t="s">
        <v>4845</v>
      </c>
      <c r="J1098" s="24" t="s">
        <v>22</v>
      </c>
      <c r="K1098" s="27">
        <v>1</v>
      </c>
      <c r="L1098" s="6">
        <v>42265</v>
      </c>
      <c r="M1098" s="27">
        <f>Table11[[#This Row],[Ship Date]]-Table11[[#This Row],[Order Date]]</f>
        <v>6</v>
      </c>
      <c r="N1098" s="24" t="s">
        <v>45</v>
      </c>
      <c r="O1098" s="24" t="s">
        <v>23</v>
      </c>
      <c r="P1098" s="24" t="s">
        <v>238</v>
      </c>
      <c r="Q1098" s="24" t="s">
        <v>133</v>
      </c>
      <c r="R1098" s="24" t="s">
        <v>1380</v>
      </c>
      <c r="S1098" s="34">
        <v>0</v>
      </c>
      <c r="T1098" s="15">
        <v>27.18</v>
      </c>
      <c r="U1098" s="18">
        <v>12.7746</v>
      </c>
      <c r="V1098" s="56">
        <f>Table11[[#This Row],[Profit]]/Table11[[#This Row],[Sales]]</f>
        <v>0.47</v>
      </c>
    </row>
    <row r="1099" spans="1:22" x14ac:dyDescent="0.2">
      <c r="A1099" s="4">
        <v>1098</v>
      </c>
      <c r="B1099" s="3" t="s">
        <v>9615</v>
      </c>
      <c r="C1099" s="7">
        <v>42259</v>
      </c>
      <c r="D1099" s="28">
        <f>MONTH(Table11[[#This Row],[Order Date]])</f>
        <v>9</v>
      </c>
      <c r="E1099" s="3" t="s">
        <v>3141</v>
      </c>
      <c r="F1099" s="3" t="s">
        <v>3142</v>
      </c>
      <c r="G1099" s="25" t="s">
        <v>64</v>
      </c>
      <c r="H1099" s="25" t="s">
        <v>144</v>
      </c>
      <c r="I1099" s="3" t="s">
        <v>852</v>
      </c>
      <c r="J1099" s="25" t="s">
        <v>22</v>
      </c>
      <c r="K1099" s="28">
        <v>2</v>
      </c>
      <c r="L1099" s="7">
        <v>42264</v>
      </c>
      <c r="M1099" s="28">
        <f>Table11[[#This Row],[Ship Date]]-Table11[[#This Row],[Order Date]]</f>
        <v>5</v>
      </c>
      <c r="N1099" s="25" t="s">
        <v>20</v>
      </c>
      <c r="O1099" s="25" t="s">
        <v>23</v>
      </c>
      <c r="P1099" s="25" t="s">
        <v>87</v>
      </c>
      <c r="Q1099" s="25" t="s">
        <v>39</v>
      </c>
      <c r="R1099" s="25" t="s">
        <v>86</v>
      </c>
      <c r="S1099" s="35">
        <v>0</v>
      </c>
      <c r="T1099" s="16">
        <v>21.98</v>
      </c>
      <c r="U1099" s="19">
        <v>8.5722000000000005</v>
      </c>
      <c r="V1099" s="56">
        <f>Table11[[#This Row],[Profit]]/Table11[[#This Row],[Sales]]</f>
        <v>0.39</v>
      </c>
    </row>
    <row r="1100" spans="1:22" x14ac:dyDescent="0.2">
      <c r="A1100" s="4">
        <v>1099</v>
      </c>
      <c r="B1100" s="5" t="s">
        <v>7298</v>
      </c>
      <c r="C1100" s="6">
        <v>42260</v>
      </c>
      <c r="D1100" s="27">
        <f>MONTH(Table11[[#This Row],[Order Date]])</f>
        <v>9</v>
      </c>
      <c r="E1100" s="5" t="s">
        <v>3312</v>
      </c>
      <c r="F1100" s="5" t="s">
        <v>3313</v>
      </c>
      <c r="G1100" s="24" t="s">
        <v>64</v>
      </c>
      <c r="H1100" s="24" t="s">
        <v>144</v>
      </c>
      <c r="I1100" s="5" t="s">
        <v>1743</v>
      </c>
      <c r="J1100" s="24" t="s">
        <v>22</v>
      </c>
      <c r="K1100" s="27">
        <v>4</v>
      </c>
      <c r="L1100" s="6">
        <v>42265</v>
      </c>
      <c r="M1100" s="27">
        <f>Table11[[#This Row],[Ship Date]]-Table11[[#This Row],[Order Date]]</f>
        <v>5</v>
      </c>
      <c r="N1100" s="24" t="s">
        <v>45</v>
      </c>
      <c r="O1100" s="24" t="s">
        <v>23</v>
      </c>
      <c r="P1100" s="24" t="s">
        <v>226</v>
      </c>
      <c r="Q1100" s="24" t="s">
        <v>95</v>
      </c>
      <c r="R1100" s="24" t="s">
        <v>440</v>
      </c>
      <c r="S1100" s="34">
        <v>0</v>
      </c>
      <c r="T1100" s="15">
        <v>199.96</v>
      </c>
      <c r="U1100" s="18">
        <v>15.9968</v>
      </c>
      <c r="V1100" s="56">
        <f>Table11[[#This Row],[Profit]]/Table11[[#This Row],[Sales]]</f>
        <v>0.08</v>
      </c>
    </row>
    <row r="1101" spans="1:22" x14ac:dyDescent="0.2">
      <c r="A1101" s="2">
        <v>1100</v>
      </c>
      <c r="B1101" s="3" t="s">
        <v>7298</v>
      </c>
      <c r="C1101" s="7">
        <v>42260</v>
      </c>
      <c r="D1101" s="28">
        <f>MONTH(Table11[[#This Row],[Order Date]])</f>
        <v>9</v>
      </c>
      <c r="E1101" s="3" t="s">
        <v>1316</v>
      </c>
      <c r="F1101" s="3" t="s">
        <v>1317</v>
      </c>
      <c r="G1101" s="25" t="s">
        <v>28</v>
      </c>
      <c r="H1101" s="25" t="s">
        <v>32</v>
      </c>
      <c r="I1101" s="3" t="s">
        <v>1743</v>
      </c>
      <c r="J1101" s="25" t="s">
        <v>22</v>
      </c>
      <c r="K1101" s="28">
        <v>7</v>
      </c>
      <c r="L1101" s="7">
        <v>42265</v>
      </c>
      <c r="M1101" s="28">
        <f>Table11[[#This Row],[Ship Date]]-Table11[[#This Row],[Order Date]]</f>
        <v>5</v>
      </c>
      <c r="N1101" s="25" t="s">
        <v>45</v>
      </c>
      <c r="O1101" s="25" t="s">
        <v>23</v>
      </c>
      <c r="P1101" s="25" t="s">
        <v>226</v>
      </c>
      <c r="Q1101" s="25" t="s">
        <v>95</v>
      </c>
      <c r="R1101" s="25" t="s">
        <v>440</v>
      </c>
      <c r="S1101" s="35">
        <v>0</v>
      </c>
      <c r="T1101" s="16">
        <v>1516.2</v>
      </c>
      <c r="U1101" s="19">
        <v>394.21199999999999</v>
      </c>
      <c r="V1101" s="56">
        <f>Table11[[#This Row],[Profit]]/Table11[[#This Row],[Sales]]</f>
        <v>0.26</v>
      </c>
    </row>
    <row r="1102" spans="1:22" x14ac:dyDescent="0.2">
      <c r="A1102" s="4">
        <v>1101</v>
      </c>
      <c r="B1102" s="5" t="s">
        <v>8074</v>
      </c>
      <c r="C1102" s="6">
        <v>42260</v>
      </c>
      <c r="D1102" s="27">
        <f>MONTH(Table11[[#This Row],[Order Date]])</f>
        <v>9</v>
      </c>
      <c r="E1102" s="5" t="s">
        <v>4384</v>
      </c>
      <c r="F1102" s="5" t="s">
        <v>4385</v>
      </c>
      <c r="G1102" s="24" t="s">
        <v>41</v>
      </c>
      <c r="H1102" s="24" t="s">
        <v>68</v>
      </c>
      <c r="I1102" s="5" t="s">
        <v>5414</v>
      </c>
      <c r="J1102" s="24" t="s">
        <v>22</v>
      </c>
      <c r="K1102" s="27">
        <v>1</v>
      </c>
      <c r="L1102" s="6">
        <v>42266</v>
      </c>
      <c r="M1102" s="27">
        <f>Table11[[#This Row],[Ship Date]]-Table11[[#This Row],[Order Date]]</f>
        <v>6</v>
      </c>
      <c r="N1102" s="24" t="s">
        <v>45</v>
      </c>
      <c r="O1102" s="24" t="s">
        <v>23</v>
      </c>
      <c r="P1102" s="24" t="s">
        <v>132</v>
      </c>
      <c r="Q1102" s="24" t="s">
        <v>133</v>
      </c>
      <c r="R1102" s="24" t="s">
        <v>131</v>
      </c>
      <c r="S1102" s="34">
        <v>0.7</v>
      </c>
      <c r="T1102" s="15">
        <v>2.4119999999999999</v>
      </c>
      <c r="U1102" s="18">
        <v>-2.0099999999999998</v>
      </c>
      <c r="V1102" s="56">
        <f>Table11[[#This Row],[Profit]]/Table11[[#This Row],[Sales]]</f>
        <v>-0.83333333333333326</v>
      </c>
    </row>
    <row r="1103" spans="1:22" x14ac:dyDescent="0.2">
      <c r="A1103" s="4">
        <v>1102</v>
      </c>
      <c r="B1103" s="3" t="s">
        <v>8321</v>
      </c>
      <c r="C1103" s="7">
        <v>42260</v>
      </c>
      <c r="D1103" s="28">
        <f>MONTH(Table11[[#This Row],[Order Date]])</f>
        <v>9</v>
      </c>
      <c r="E1103" s="3" t="s">
        <v>2704</v>
      </c>
      <c r="F1103" s="3" t="s">
        <v>2705</v>
      </c>
      <c r="G1103" s="25" t="s">
        <v>28</v>
      </c>
      <c r="H1103" s="25" t="s">
        <v>58</v>
      </c>
      <c r="I1103" s="3" t="s">
        <v>757</v>
      </c>
      <c r="J1103" s="25" t="s">
        <v>22</v>
      </c>
      <c r="K1103" s="28">
        <v>3</v>
      </c>
      <c r="L1103" s="7">
        <v>42267</v>
      </c>
      <c r="M1103" s="28">
        <f>Table11[[#This Row],[Ship Date]]-Table11[[#This Row],[Order Date]]</f>
        <v>7</v>
      </c>
      <c r="N1103" s="25" t="s">
        <v>45</v>
      </c>
      <c r="O1103" s="25" t="s">
        <v>23</v>
      </c>
      <c r="P1103" s="25" t="s">
        <v>1125</v>
      </c>
      <c r="Q1103" s="25" t="s">
        <v>26</v>
      </c>
      <c r="R1103" s="25" t="s">
        <v>1537</v>
      </c>
      <c r="S1103" s="35">
        <v>0</v>
      </c>
      <c r="T1103" s="16">
        <v>129.93</v>
      </c>
      <c r="U1103" s="19">
        <v>12.993</v>
      </c>
      <c r="V1103" s="56">
        <f>Table11[[#This Row],[Profit]]/Table11[[#This Row],[Sales]]</f>
        <v>9.9999999999999992E-2</v>
      </c>
    </row>
    <row r="1104" spans="1:22" x14ac:dyDescent="0.2">
      <c r="A1104" s="2">
        <v>1103</v>
      </c>
      <c r="B1104" s="5" t="s">
        <v>8321</v>
      </c>
      <c r="C1104" s="6">
        <v>42260</v>
      </c>
      <c r="D1104" s="27">
        <f>MONTH(Table11[[#This Row],[Order Date]])</f>
        <v>9</v>
      </c>
      <c r="E1104" s="5" t="s">
        <v>3422</v>
      </c>
      <c r="F1104" s="5" t="s">
        <v>3423</v>
      </c>
      <c r="G1104" s="24" t="s">
        <v>41</v>
      </c>
      <c r="H1104" s="24" t="s">
        <v>82</v>
      </c>
      <c r="I1104" s="5" t="s">
        <v>757</v>
      </c>
      <c r="J1104" s="24" t="s">
        <v>22</v>
      </c>
      <c r="K1104" s="27">
        <v>7</v>
      </c>
      <c r="L1104" s="6">
        <v>42267</v>
      </c>
      <c r="M1104" s="27">
        <f>Table11[[#This Row],[Ship Date]]-Table11[[#This Row],[Order Date]]</f>
        <v>7</v>
      </c>
      <c r="N1104" s="24" t="s">
        <v>45</v>
      </c>
      <c r="O1104" s="24" t="s">
        <v>23</v>
      </c>
      <c r="P1104" s="24" t="s">
        <v>1125</v>
      </c>
      <c r="Q1104" s="24" t="s">
        <v>26</v>
      </c>
      <c r="R1104" s="24" t="s">
        <v>1537</v>
      </c>
      <c r="S1104" s="34">
        <v>0</v>
      </c>
      <c r="T1104" s="15">
        <v>69.930000000000007</v>
      </c>
      <c r="U1104" s="18">
        <v>31.468499999999999</v>
      </c>
      <c r="V1104" s="56">
        <f>Table11[[#This Row],[Profit]]/Table11[[#This Row],[Sales]]</f>
        <v>0.44999999999999996</v>
      </c>
    </row>
    <row r="1105" spans="1:22" x14ac:dyDescent="0.2">
      <c r="A1105" s="4">
        <v>1104</v>
      </c>
      <c r="B1105" s="3" t="s">
        <v>9102</v>
      </c>
      <c r="C1105" s="7">
        <v>42260</v>
      </c>
      <c r="D1105" s="28">
        <f>MONTH(Table11[[#This Row],[Order Date]])</f>
        <v>9</v>
      </c>
      <c r="E1105" s="3" t="s">
        <v>4145</v>
      </c>
      <c r="F1105" s="3" t="s">
        <v>591</v>
      </c>
      <c r="G1105" s="25" t="s">
        <v>41</v>
      </c>
      <c r="H1105" s="25" t="s">
        <v>155</v>
      </c>
      <c r="I1105" s="3" t="s">
        <v>1158</v>
      </c>
      <c r="J1105" s="25" t="s">
        <v>22</v>
      </c>
      <c r="K1105" s="28">
        <v>1</v>
      </c>
      <c r="L1105" s="7">
        <v>42264</v>
      </c>
      <c r="M1105" s="28">
        <f>Table11[[#This Row],[Ship Date]]-Table11[[#This Row],[Order Date]]</f>
        <v>4</v>
      </c>
      <c r="N1105" s="25" t="s">
        <v>20</v>
      </c>
      <c r="O1105" s="25" t="s">
        <v>23</v>
      </c>
      <c r="P1105" s="25" t="s">
        <v>189</v>
      </c>
      <c r="Q1105" s="25" t="s">
        <v>95</v>
      </c>
      <c r="R1105" s="25" t="s">
        <v>271</v>
      </c>
      <c r="S1105" s="35">
        <v>0.2</v>
      </c>
      <c r="T1105" s="16">
        <v>7.8239999999999998</v>
      </c>
      <c r="U1105" s="19">
        <v>2.9340000000000002</v>
      </c>
      <c r="V1105" s="56">
        <f>Table11[[#This Row],[Profit]]/Table11[[#This Row],[Sales]]</f>
        <v>0.37500000000000006</v>
      </c>
    </row>
    <row r="1106" spans="1:22" x14ac:dyDescent="0.2">
      <c r="A1106" s="4">
        <v>1105</v>
      </c>
      <c r="B1106" s="5" t="s">
        <v>9102</v>
      </c>
      <c r="C1106" s="6">
        <v>42260</v>
      </c>
      <c r="D1106" s="27">
        <f>MONTH(Table11[[#This Row],[Order Date]])</f>
        <v>9</v>
      </c>
      <c r="E1106" s="5" t="s">
        <v>620</v>
      </c>
      <c r="F1106" s="5" t="s">
        <v>621</v>
      </c>
      <c r="G1106" s="24" t="s">
        <v>28</v>
      </c>
      <c r="H1106" s="24" t="s">
        <v>32</v>
      </c>
      <c r="I1106" s="5" t="s">
        <v>1158</v>
      </c>
      <c r="J1106" s="24" t="s">
        <v>22</v>
      </c>
      <c r="K1106" s="27">
        <v>4</v>
      </c>
      <c r="L1106" s="6">
        <v>42264</v>
      </c>
      <c r="M1106" s="27">
        <f>Table11[[#This Row],[Ship Date]]-Table11[[#This Row],[Order Date]]</f>
        <v>4</v>
      </c>
      <c r="N1106" s="24" t="s">
        <v>20</v>
      </c>
      <c r="O1106" s="24" t="s">
        <v>23</v>
      </c>
      <c r="P1106" s="24" t="s">
        <v>189</v>
      </c>
      <c r="Q1106" s="24" t="s">
        <v>95</v>
      </c>
      <c r="R1106" s="24" t="s">
        <v>271</v>
      </c>
      <c r="S1106" s="34">
        <v>0.3</v>
      </c>
      <c r="T1106" s="15">
        <v>170.072</v>
      </c>
      <c r="U1106" s="18">
        <v>-12.148</v>
      </c>
      <c r="V1106" s="56">
        <f>Table11[[#This Row],[Profit]]/Table11[[#This Row],[Sales]]</f>
        <v>-7.1428571428571425E-2</v>
      </c>
    </row>
    <row r="1107" spans="1:22" x14ac:dyDescent="0.2">
      <c r="A1107" s="2">
        <v>1106</v>
      </c>
      <c r="B1107" s="3" t="s">
        <v>9138</v>
      </c>
      <c r="C1107" s="7">
        <v>42260</v>
      </c>
      <c r="D1107" s="28">
        <f>MONTH(Table11[[#This Row],[Order Date]])</f>
        <v>9</v>
      </c>
      <c r="E1107" s="3" t="s">
        <v>2175</v>
      </c>
      <c r="F1107" s="3" t="s">
        <v>2176</v>
      </c>
      <c r="G1107" s="25" t="s">
        <v>41</v>
      </c>
      <c r="H1107" s="25" t="s">
        <v>68</v>
      </c>
      <c r="I1107" s="3" t="s">
        <v>4337</v>
      </c>
      <c r="J1107" s="25" t="s">
        <v>22</v>
      </c>
      <c r="K1107" s="28">
        <v>4</v>
      </c>
      <c r="L1107" s="7">
        <v>42264</v>
      </c>
      <c r="M1107" s="28">
        <f>Table11[[#This Row],[Ship Date]]-Table11[[#This Row],[Order Date]]</f>
        <v>4</v>
      </c>
      <c r="N1107" s="25" t="s">
        <v>45</v>
      </c>
      <c r="O1107" s="25" t="s">
        <v>23</v>
      </c>
      <c r="P1107" s="25" t="s">
        <v>80</v>
      </c>
      <c r="Q1107" s="25" t="s">
        <v>26</v>
      </c>
      <c r="R1107" s="25" t="s">
        <v>1345</v>
      </c>
      <c r="S1107" s="35">
        <v>0.7</v>
      </c>
      <c r="T1107" s="16">
        <v>13.092000000000001</v>
      </c>
      <c r="U1107" s="19">
        <v>-10.0372</v>
      </c>
      <c r="V1107" s="56">
        <f>Table11[[#This Row],[Profit]]/Table11[[#This Row],[Sales]]</f>
        <v>-0.76666666666666661</v>
      </c>
    </row>
    <row r="1108" spans="1:22" x14ac:dyDescent="0.2">
      <c r="A1108" s="4">
        <v>1107</v>
      </c>
      <c r="B1108" s="5" t="s">
        <v>10101</v>
      </c>
      <c r="C1108" s="6">
        <v>42260</v>
      </c>
      <c r="D1108" s="27">
        <f>MONTH(Table11[[#This Row],[Order Date]])</f>
        <v>9</v>
      </c>
      <c r="E1108" s="5" t="s">
        <v>4090</v>
      </c>
      <c r="F1108" s="5" t="s">
        <v>4091</v>
      </c>
      <c r="G1108" s="24" t="s">
        <v>28</v>
      </c>
      <c r="H1108" s="24" t="s">
        <v>58</v>
      </c>
      <c r="I1108" s="5" t="s">
        <v>5008</v>
      </c>
      <c r="J1108" s="24" t="s">
        <v>36</v>
      </c>
      <c r="K1108" s="27">
        <v>7</v>
      </c>
      <c r="L1108" s="6">
        <v>42262</v>
      </c>
      <c r="M1108" s="27">
        <f>Table11[[#This Row],[Ship Date]]-Table11[[#This Row],[Order Date]]</f>
        <v>2</v>
      </c>
      <c r="N1108" s="24" t="s">
        <v>169</v>
      </c>
      <c r="O1108" s="24" t="s">
        <v>23</v>
      </c>
      <c r="P1108" s="24" t="s">
        <v>38</v>
      </c>
      <c r="Q1108" s="24" t="s">
        <v>39</v>
      </c>
      <c r="R1108" s="24" t="s">
        <v>1666</v>
      </c>
      <c r="S1108" s="34">
        <v>0</v>
      </c>
      <c r="T1108" s="15">
        <v>131.88</v>
      </c>
      <c r="U1108" s="18">
        <v>55.389600000000002</v>
      </c>
      <c r="V1108" s="56">
        <f>Table11[[#This Row],[Profit]]/Table11[[#This Row],[Sales]]</f>
        <v>0.42000000000000004</v>
      </c>
    </row>
    <row r="1109" spans="1:22" x14ac:dyDescent="0.2">
      <c r="A1109" s="4">
        <v>1108</v>
      </c>
      <c r="B1109" s="3" t="s">
        <v>10101</v>
      </c>
      <c r="C1109" s="7">
        <v>42260</v>
      </c>
      <c r="D1109" s="28">
        <f>MONTH(Table11[[#This Row],[Order Date]])</f>
        <v>9</v>
      </c>
      <c r="E1109" s="3" t="s">
        <v>3968</v>
      </c>
      <c r="F1109" s="3" t="s">
        <v>3969</v>
      </c>
      <c r="G1109" s="25" t="s">
        <v>41</v>
      </c>
      <c r="H1109" s="25" t="s">
        <v>68</v>
      </c>
      <c r="I1109" s="3" t="s">
        <v>5008</v>
      </c>
      <c r="J1109" s="25" t="s">
        <v>36</v>
      </c>
      <c r="K1109" s="28">
        <v>3</v>
      </c>
      <c r="L1109" s="7">
        <v>42262</v>
      </c>
      <c r="M1109" s="28">
        <f>Table11[[#This Row],[Ship Date]]-Table11[[#This Row],[Order Date]]</f>
        <v>2</v>
      </c>
      <c r="N1109" s="25" t="s">
        <v>169</v>
      </c>
      <c r="O1109" s="25" t="s">
        <v>23</v>
      </c>
      <c r="P1109" s="25" t="s">
        <v>38</v>
      </c>
      <c r="Q1109" s="25" t="s">
        <v>39</v>
      </c>
      <c r="R1109" s="25" t="s">
        <v>1666</v>
      </c>
      <c r="S1109" s="35">
        <v>0.2</v>
      </c>
      <c r="T1109" s="16">
        <v>25.032</v>
      </c>
      <c r="U1109" s="19">
        <v>7.8224999999999998</v>
      </c>
      <c r="V1109" s="56">
        <f>Table11[[#This Row],[Profit]]/Table11[[#This Row],[Sales]]</f>
        <v>0.3125</v>
      </c>
    </row>
    <row r="1110" spans="1:22" x14ac:dyDescent="0.2">
      <c r="A1110" s="2">
        <v>1109</v>
      </c>
      <c r="B1110" s="5" t="s">
        <v>10101</v>
      </c>
      <c r="C1110" s="6">
        <v>42260</v>
      </c>
      <c r="D1110" s="27">
        <f>MONTH(Table11[[#This Row],[Order Date]])</f>
        <v>9</v>
      </c>
      <c r="E1110" s="5" t="s">
        <v>4186</v>
      </c>
      <c r="F1110" s="5" t="s">
        <v>4187</v>
      </c>
      <c r="G1110" s="24" t="s">
        <v>28</v>
      </c>
      <c r="H1110" s="24" t="s">
        <v>32</v>
      </c>
      <c r="I1110" s="5" t="s">
        <v>5008</v>
      </c>
      <c r="J1110" s="24" t="s">
        <v>36</v>
      </c>
      <c r="K1110" s="27">
        <v>3</v>
      </c>
      <c r="L1110" s="6">
        <v>42262</v>
      </c>
      <c r="M1110" s="27">
        <f>Table11[[#This Row],[Ship Date]]-Table11[[#This Row],[Order Date]]</f>
        <v>2</v>
      </c>
      <c r="N1110" s="24" t="s">
        <v>169</v>
      </c>
      <c r="O1110" s="24" t="s">
        <v>23</v>
      </c>
      <c r="P1110" s="24" t="s">
        <v>38</v>
      </c>
      <c r="Q1110" s="24" t="s">
        <v>39</v>
      </c>
      <c r="R1110" s="24" t="s">
        <v>1666</v>
      </c>
      <c r="S1110" s="34">
        <v>0.2</v>
      </c>
      <c r="T1110" s="15">
        <v>717.72</v>
      </c>
      <c r="U1110" s="18">
        <v>71.772000000000006</v>
      </c>
      <c r="V1110" s="56">
        <f>Table11[[#This Row],[Profit]]/Table11[[#This Row],[Sales]]</f>
        <v>0.1</v>
      </c>
    </row>
    <row r="1111" spans="1:22" x14ac:dyDescent="0.2">
      <c r="A1111" s="4">
        <v>1110</v>
      </c>
      <c r="B1111" s="3" t="s">
        <v>10101</v>
      </c>
      <c r="C1111" s="7">
        <v>42260</v>
      </c>
      <c r="D1111" s="28">
        <f>MONTH(Table11[[#This Row],[Order Date]])</f>
        <v>9</v>
      </c>
      <c r="E1111" s="3" t="s">
        <v>5610</v>
      </c>
      <c r="F1111" s="3" t="s">
        <v>5611</v>
      </c>
      <c r="G1111" s="25" t="s">
        <v>28</v>
      </c>
      <c r="H1111" s="25" t="s">
        <v>58</v>
      </c>
      <c r="I1111" s="3" t="s">
        <v>5008</v>
      </c>
      <c r="J1111" s="25" t="s">
        <v>36</v>
      </c>
      <c r="K1111" s="28">
        <v>5</v>
      </c>
      <c r="L1111" s="7">
        <v>42262</v>
      </c>
      <c r="M1111" s="28">
        <f>Table11[[#This Row],[Ship Date]]-Table11[[#This Row],[Order Date]]</f>
        <v>2</v>
      </c>
      <c r="N1111" s="25" t="s">
        <v>169</v>
      </c>
      <c r="O1111" s="25" t="s">
        <v>23</v>
      </c>
      <c r="P1111" s="25" t="s">
        <v>38</v>
      </c>
      <c r="Q1111" s="25" t="s">
        <v>39</v>
      </c>
      <c r="R1111" s="25" t="s">
        <v>1666</v>
      </c>
      <c r="S1111" s="35">
        <v>0</v>
      </c>
      <c r="T1111" s="16">
        <v>207.35</v>
      </c>
      <c r="U1111" s="19">
        <v>24.882000000000001</v>
      </c>
      <c r="V1111" s="56">
        <f>Table11[[#This Row],[Profit]]/Table11[[#This Row],[Sales]]</f>
        <v>0.12000000000000001</v>
      </c>
    </row>
    <row r="1112" spans="1:22" x14ac:dyDescent="0.2">
      <c r="A1112" s="4">
        <v>1111</v>
      </c>
      <c r="B1112" s="5" t="s">
        <v>10101</v>
      </c>
      <c r="C1112" s="6">
        <v>42260</v>
      </c>
      <c r="D1112" s="27">
        <f>MONTH(Table11[[#This Row],[Order Date]])</f>
        <v>9</v>
      </c>
      <c r="E1112" s="5" t="s">
        <v>3260</v>
      </c>
      <c r="F1112" s="5" t="s">
        <v>3261</v>
      </c>
      <c r="G1112" s="24" t="s">
        <v>28</v>
      </c>
      <c r="H1112" s="24" t="s">
        <v>58</v>
      </c>
      <c r="I1112" s="5" t="s">
        <v>5008</v>
      </c>
      <c r="J1112" s="24" t="s">
        <v>36</v>
      </c>
      <c r="K1112" s="27">
        <v>3</v>
      </c>
      <c r="L1112" s="6">
        <v>42262</v>
      </c>
      <c r="M1112" s="27">
        <f>Table11[[#This Row],[Ship Date]]-Table11[[#This Row],[Order Date]]</f>
        <v>2</v>
      </c>
      <c r="N1112" s="24" t="s">
        <v>169</v>
      </c>
      <c r="O1112" s="24" t="s">
        <v>23</v>
      </c>
      <c r="P1112" s="24" t="s">
        <v>38</v>
      </c>
      <c r="Q1112" s="24" t="s">
        <v>39</v>
      </c>
      <c r="R1112" s="24" t="s">
        <v>1666</v>
      </c>
      <c r="S1112" s="34">
        <v>0</v>
      </c>
      <c r="T1112" s="15">
        <v>44.67</v>
      </c>
      <c r="U1112" s="18">
        <v>12.0609</v>
      </c>
      <c r="V1112" s="56">
        <f>Table11[[#This Row],[Profit]]/Table11[[#This Row],[Sales]]</f>
        <v>0.27</v>
      </c>
    </row>
    <row r="1113" spans="1:22" x14ac:dyDescent="0.2">
      <c r="A1113" s="2">
        <v>1112</v>
      </c>
      <c r="B1113" s="3" t="s">
        <v>10101</v>
      </c>
      <c r="C1113" s="7">
        <v>42260</v>
      </c>
      <c r="D1113" s="28">
        <f>MONTH(Table11[[#This Row],[Order Date]])</f>
        <v>9</v>
      </c>
      <c r="E1113" s="3" t="s">
        <v>3154</v>
      </c>
      <c r="F1113" s="3" t="s">
        <v>3155</v>
      </c>
      <c r="G1113" s="25" t="s">
        <v>41</v>
      </c>
      <c r="H1113" s="25" t="s">
        <v>82</v>
      </c>
      <c r="I1113" s="3" t="s">
        <v>5008</v>
      </c>
      <c r="J1113" s="25" t="s">
        <v>36</v>
      </c>
      <c r="K1113" s="28">
        <v>2</v>
      </c>
      <c r="L1113" s="7">
        <v>42262</v>
      </c>
      <c r="M1113" s="28">
        <f>Table11[[#This Row],[Ship Date]]-Table11[[#This Row],[Order Date]]</f>
        <v>2</v>
      </c>
      <c r="N1113" s="25" t="s">
        <v>169</v>
      </c>
      <c r="O1113" s="25" t="s">
        <v>23</v>
      </c>
      <c r="P1113" s="25" t="s">
        <v>38</v>
      </c>
      <c r="Q1113" s="25" t="s">
        <v>39</v>
      </c>
      <c r="R1113" s="25" t="s">
        <v>1666</v>
      </c>
      <c r="S1113" s="35">
        <v>0</v>
      </c>
      <c r="T1113" s="16">
        <v>209.7</v>
      </c>
      <c r="U1113" s="19">
        <v>100.65600000000001</v>
      </c>
      <c r="V1113" s="56">
        <f>Table11[[#This Row],[Profit]]/Table11[[#This Row],[Sales]]</f>
        <v>0.48000000000000004</v>
      </c>
    </row>
    <row r="1114" spans="1:22" x14ac:dyDescent="0.2">
      <c r="A1114" s="4">
        <v>1113</v>
      </c>
      <c r="B1114" s="5" t="s">
        <v>3325</v>
      </c>
      <c r="C1114" s="6">
        <v>42261</v>
      </c>
      <c r="D1114" s="27">
        <f>MONTH(Table11[[#This Row],[Order Date]])</f>
        <v>9</v>
      </c>
      <c r="E1114" s="5" t="s">
        <v>3327</v>
      </c>
      <c r="F1114" s="5" t="s">
        <v>3328</v>
      </c>
      <c r="G1114" s="24" t="s">
        <v>28</v>
      </c>
      <c r="H1114" s="24" t="s">
        <v>50</v>
      </c>
      <c r="I1114" s="5" t="s">
        <v>1810</v>
      </c>
      <c r="J1114" s="24" t="s">
        <v>22</v>
      </c>
      <c r="K1114" s="27">
        <v>5</v>
      </c>
      <c r="L1114" s="6">
        <v>42266</v>
      </c>
      <c r="M1114" s="27">
        <f>Table11[[#This Row],[Ship Date]]-Table11[[#This Row],[Order Date]]</f>
        <v>5</v>
      </c>
      <c r="N1114" s="24" t="s">
        <v>45</v>
      </c>
      <c r="O1114" s="24" t="s">
        <v>23</v>
      </c>
      <c r="P1114" s="24" t="s">
        <v>109</v>
      </c>
      <c r="Q1114" s="24" t="s">
        <v>39</v>
      </c>
      <c r="R1114" s="24" t="s">
        <v>3326</v>
      </c>
      <c r="S1114" s="34">
        <v>0</v>
      </c>
      <c r="T1114" s="15">
        <v>912.75</v>
      </c>
      <c r="U1114" s="18">
        <v>118.6575</v>
      </c>
      <c r="V1114" s="56">
        <f>Table11[[#This Row],[Profit]]/Table11[[#This Row],[Sales]]</f>
        <v>0.13</v>
      </c>
    </row>
    <row r="1115" spans="1:22" x14ac:dyDescent="0.2">
      <c r="A1115" s="4">
        <v>1114</v>
      </c>
      <c r="B1115" s="3" t="s">
        <v>4028</v>
      </c>
      <c r="C1115" s="7">
        <v>42261</v>
      </c>
      <c r="D1115" s="28">
        <f>MONTH(Table11[[#This Row],[Order Date]])</f>
        <v>9</v>
      </c>
      <c r="E1115" s="3" t="s">
        <v>817</v>
      </c>
      <c r="F1115" s="3" t="s">
        <v>818</v>
      </c>
      <c r="G1115" s="25" t="s">
        <v>28</v>
      </c>
      <c r="H1115" s="25" t="s">
        <v>50</v>
      </c>
      <c r="I1115" s="3" t="s">
        <v>3026</v>
      </c>
      <c r="J1115" s="25" t="s">
        <v>36</v>
      </c>
      <c r="K1115" s="28">
        <v>3</v>
      </c>
      <c r="L1115" s="7">
        <v>42265</v>
      </c>
      <c r="M1115" s="28">
        <f>Table11[[#This Row],[Ship Date]]-Table11[[#This Row],[Order Date]]</f>
        <v>4</v>
      </c>
      <c r="N1115" s="25" t="s">
        <v>45</v>
      </c>
      <c r="O1115" s="25" t="s">
        <v>23</v>
      </c>
      <c r="P1115" s="25" t="s">
        <v>38</v>
      </c>
      <c r="Q1115" s="25" t="s">
        <v>39</v>
      </c>
      <c r="R1115" s="25" t="s">
        <v>37</v>
      </c>
      <c r="S1115" s="35">
        <v>0.2</v>
      </c>
      <c r="T1115" s="16">
        <v>170.136</v>
      </c>
      <c r="U1115" s="19">
        <v>-8.5068000000000001</v>
      </c>
      <c r="V1115" s="56">
        <f>Table11[[#This Row],[Profit]]/Table11[[#This Row],[Sales]]</f>
        <v>-0.05</v>
      </c>
    </row>
    <row r="1116" spans="1:22" x14ac:dyDescent="0.2">
      <c r="A1116" s="2">
        <v>1115</v>
      </c>
      <c r="B1116" s="5" t="s">
        <v>4900</v>
      </c>
      <c r="C1116" s="6">
        <v>42261</v>
      </c>
      <c r="D1116" s="27">
        <f>MONTH(Table11[[#This Row],[Order Date]])</f>
        <v>9</v>
      </c>
      <c r="E1116" s="5" t="s">
        <v>1495</v>
      </c>
      <c r="F1116" s="5" t="s">
        <v>1496</v>
      </c>
      <c r="G1116" s="24" t="s">
        <v>41</v>
      </c>
      <c r="H1116" s="24" t="s">
        <v>53</v>
      </c>
      <c r="I1116" s="5" t="s">
        <v>1536</v>
      </c>
      <c r="J1116" s="24" t="s">
        <v>22</v>
      </c>
      <c r="K1116" s="27">
        <v>3</v>
      </c>
      <c r="L1116" s="6">
        <v>42264</v>
      </c>
      <c r="M1116" s="27">
        <f>Table11[[#This Row],[Ship Date]]-Table11[[#This Row],[Order Date]]</f>
        <v>3</v>
      </c>
      <c r="N1116" s="24" t="s">
        <v>20</v>
      </c>
      <c r="O1116" s="24" t="s">
        <v>23</v>
      </c>
      <c r="P1116" s="24" t="s">
        <v>342</v>
      </c>
      <c r="Q1116" s="24" t="s">
        <v>26</v>
      </c>
      <c r="R1116" s="24" t="s">
        <v>4901</v>
      </c>
      <c r="S1116" s="34">
        <v>0</v>
      </c>
      <c r="T1116" s="15">
        <v>269.49</v>
      </c>
      <c r="U1116" s="18">
        <v>5.3898000000000001</v>
      </c>
      <c r="V1116" s="56">
        <f>Table11[[#This Row],[Profit]]/Table11[[#This Row],[Sales]]</f>
        <v>0.02</v>
      </c>
    </row>
    <row r="1117" spans="1:22" x14ac:dyDescent="0.2">
      <c r="A1117" s="4">
        <v>1116</v>
      </c>
      <c r="B1117" s="3" t="s">
        <v>6251</v>
      </c>
      <c r="C1117" s="7">
        <v>42261</v>
      </c>
      <c r="D1117" s="28">
        <f>MONTH(Table11[[#This Row],[Order Date]])</f>
        <v>9</v>
      </c>
      <c r="E1117" s="3" t="s">
        <v>1866</v>
      </c>
      <c r="F1117" s="3" t="s">
        <v>1867</v>
      </c>
      <c r="G1117" s="25" t="s">
        <v>41</v>
      </c>
      <c r="H1117" s="25" t="s">
        <v>53</v>
      </c>
      <c r="I1117" s="3" t="s">
        <v>3962</v>
      </c>
      <c r="J1117" s="25" t="s">
        <v>22</v>
      </c>
      <c r="K1117" s="28">
        <v>6</v>
      </c>
      <c r="L1117" s="7">
        <v>42265</v>
      </c>
      <c r="M1117" s="28">
        <f>Table11[[#This Row],[Ship Date]]-Table11[[#This Row],[Order Date]]</f>
        <v>4</v>
      </c>
      <c r="N1117" s="25" t="s">
        <v>45</v>
      </c>
      <c r="O1117" s="25" t="s">
        <v>23</v>
      </c>
      <c r="P1117" s="25" t="s">
        <v>238</v>
      </c>
      <c r="Q1117" s="25" t="s">
        <v>133</v>
      </c>
      <c r="R1117" s="25" t="s">
        <v>237</v>
      </c>
      <c r="S1117" s="35">
        <v>0</v>
      </c>
      <c r="T1117" s="16">
        <v>991.2</v>
      </c>
      <c r="U1117" s="19">
        <v>257.71199999999999</v>
      </c>
      <c r="V1117" s="56">
        <f>Table11[[#This Row],[Profit]]/Table11[[#This Row],[Sales]]</f>
        <v>0.25999999999999995</v>
      </c>
    </row>
    <row r="1118" spans="1:22" x14ac:dyDescent="0.2">
      <c r="A1118" s="4">
        <v>1117</v>
      </c>
      <c r="B1118" s="5" t="s">
        <v>6251</v>
      </c>
      <c r="C1118" s="6">
        <v>42261</v>
      </c>
      <c r="D1118" s="27">
        <f>MONTH(Table11[[#This Row],[Order Date]])</f>
        <v>9</v>
      </c>
      <c r="E1118" s="5" t="s">
        <v>6142</v>
      </c>
      <c r="F1118" s="5" t="s">
        <v>6143</v>
      </c>
      <c r="G1118" s="24" t="s">
        <v>64</v>
      </c>
      <c r="H1118" s="24" t="s">
        <v>1075</v>
      </c>
      <c r="I1118" s="5" t="s">
        <v>3962</v>
      </c>
      <c r="J1118" s="24" t="s">
        <v>22</v>
      </c>
      <c r="K1118" s="27">
        <v>2</v>
      </c>
      <c r="L1118" s="6">
        <v>42265</v>
      </c>
      <c r="M1118" s="27">
        <f>Table11[[#This Row],[Ship Date]]-Table11[[#This Row],[Order Date]]</f>
        <v>4</v>
      </c>
      <c r="N1118" s="24" t="s">
        <v>45</v>
      </c>
      <c r="O1118" s="24" t="s">
        <v>23</v>
      </c>
      <c r="P1118" s="24" t="s">
        <v>238</v>
      </c>
      <c r="Q1118" s="24" t="s">
        <v>133</v>
      </c>
      <c r="R1118" s="24" t="s">
        <v>237</v>
      </c>
      <c r="S1118" s="34">
        <v>0.2</v>
      </c>
      <c r="T1118" s="15">
        <v>879.98400000000004</v>
      </c>
      <c r="U1118" s="18">
        <v>329.99400000000003</v>
      </c>
      <c r="V1118" s="56">
        <f>Table11[[#This Row],[Profit]]/Table11[[#This Row],[Sales]]</f>
        <v>0.375</v>
      </c>
    </row>
    <row r="1119" spans="1:22" x14ac:dyDescent="0.2">
      <c r="A1119" s="2">
        <v>1118</v>
      </c>
      <c r="B1119" s="3" t="s">
        <v>6251</v>
      </c>
      <c r="C1119" s="7">
        <v>42261</v>
      </c>
      <c r="D1119" s="28">
        <f>MONTH(Table11[[#This Row],[Order Date]])</f>
        <v>9</v>
      </c>
      <c r="E1119" s="3" t="s">
        <v>2585</v>
      </c>
      <c r="F1119" s="3" t="s">
        <v>2586</v>
      </c>
      <c r="G1119" s="25" t="s">
        <v>41</v>
      </c>
      <c r="H1119" s="25" t="s">
        <v>68</v>
      </c>
      <c r="I1119" s="3" t="s">
        <v>3962</v>
      </c>
      <c r="J1119" s="25" t="s">
        <v>22</v>
      </c>
      <c r="K1119" s="28">
        <v>9</v>
      </c>
      <c r="L1119" s="7">
        <v>42265</v>
      </c>
      <c r="M1119" s="28">
        <f>Table11[[#This Row],[Ship Date]]-Table11[[#This Row],[Order Date]]</f>
        <v>4</v>
      </c>
      <c r="N1119" s="25" t="s">
        <v>45</v>
      </c>
      <c r="O1119" s="25" t="s">
        <v>23</v>
      </c>
      <c r="P1119" s="25" t="s">
        <v>238</v>
      </c>
      <c r="Q1119" s="25" t="s">
        <v>133</v>
      </c>
      <c r="R1119" s="25" t="s">
        <v>237</v>
      </c>
      <c r="S1119" s="35">
        <v>0.2</v>
      </c>
      <c r="T1119" s="16">
        <v>12.96</v>
      </c>
      <c r="U1119" s="19">
        <v>4.5359999999999996</v>
      </c>
      <c r="V1119" s="56">
        <f>Table11[[#This Row],[Profit]]/Table11[[#This Row],[Sales]]</f>
        <v>0.34999999999999992</v>
      </c>
    </row>
    <row r="1120" spans="1:22" x14ac:dyDescent="0.2">
      <c r="A1120" s="4">
        <v>1119</v>
      </c>
      <c r="B1120" s="5" t="s">
        <v>7820</v>
      </c>
      <c r="C1120" s="6">
        <v>42261</v>
      </c>
      <c r="D1120" s="27">
        <f>MONTH(Table11[[#This Row],[Order Date]])</f>
        <v>9</v>
      </c>
      <c r="E1120" s="5" t="s">
        <v>5691</v>
      </c>
      <c r="F1120" s="5" t="s">
        <v>5692</v>
      </c>
      <c r="G1120" s="24" t="s">
        <v>41</v>
      </c>
      <c r="H1120" s="24" t="s">
        <v>68</v>
      </c>
      <c r="I1120" s="5" t="s">
        <v>3999</v>
      </c>
      <c r="J1120" s="24" t="s">
        <v>92</v>
      </c>
      <c r="K1120" s="27">
        <v>5</v>
      </c>
      <c r="L1120" s="6">
        <v>42265</v>
      </c>
      <c r="M1120" s="27">
        <f>Table11[[#This Row],[Ship Date]]-Table11[[#This Row],[Order Date]]</f>
        <v>4</v>
      </c>
      <c r="N1120" s="24" t="s">
        <v>20</v>
      </c>
      <c r="O1120" s="24" t="s">
        <v>23</v>
      </c>
      <c r="P1120" s="24" t="s">
        <v>433</v>
      </c>
      <c r="Q1120" s="24" t="s">
        <v>95</v>
      </c>
      <c r="R1120" s="24" t="s">
        <v>1216</v>
      </c>
      <c r="S1120" s="34">
        <v>0</v>
      </c>
      <c r="T1120" s="15">
        <v>25.9</v>
      </c>
      <c r="U1120" s="18">
        <v>12.691000000000001</v>
      </c>
      <c r="V1120" s="56">
        <f>Table11[[#This Row],[Profit]]/Table11[[#This Row],[Sales]]</f>
        <v>0.49000000000000005</v>
      </c>
    </row>
    <row r="1121" spans="1:22" x14ac:dyDescent="0.2">
      <c r="A1121" s="4">
        <v>1120</v>
      </c>
      <c r="B1121" s="3" t="s">
        <v>3005</v>
      </c>
      <c r="C1121" s="7">
        <v>42262</v>
      </c>
      <c r="D1121" s="28">
        <f>MONTH(Table11[[#This Row],[Order Date]])</f>
        <v>9</v>
      </c>
      <c r="E1121" s="3" t="s">
        <v>1021</v>
      </c>
      <c r="F1121" s="3" t="s">
        <v>1022</v>
      </c>
      <c r="G1121" s="25" t="s">
        <v>41</v>
      </c>
      <c r="H1121" s="25" t="s">
        <v>82</v>
      </c>
      <c r="I1121" s="3" t="s">
        <v>1800</v>
      </c>
      <c r="J1121" s="25" t="s">
        <v>36</v>
      </c>
      <c r="K1121" s="28">
        <v>3</v>
      </c>
      <c r="L1121" s="7">
        <v>42262</v>
      </c>
      <c r="M1121" s="28">
        <f>Table11[[#This Row],[Ship Date]]-Table11[[#This Row],[Order Date]]</f>
        <v>0</v>
      </c>
      <c r="N1121" s="25" t="s">
        <v>1141</v>
      </c>
      <c r="O1121" s="25" t="s">
        <v>23</v>
      </c>
      <c r="P1121" s="25" t="s">
        <v>48</v>
      </c>
      <c r="Q1121" s="25" t="s">
        <v>26</v>
      </c>
      <c r="R1121" s="25" t="s">
        <v>3006</v>
      </c>
      <c r="S1121" s="35">
        <v>0.2</v>
      </c>
      <c r="T1121" s="16">
        <v>15.552</v>
      </c>
      <c r="U1121" s="19">
        <v>5.4432</v>
      </c>
      <c r="V1121" s="56">
        <f>Table11[[#This Row],[Profit]]/Table11[[#This Row],[Sales]]</f>
        <v>0.35000000000000003</v>
      </c>
    </row>
    <row r="1122" spans="1:22" x14ac:dyDescent="0.2">
      <c r="A1122" s="2">
        <v>1121</v>
      </c>
      <c r="B1122" s="5" t="s">
        <v>3005</v>
      </c>
      <c r="C1122" s="6">
        <v>42262</v>
      </c>
      <c r="D1122" s="27">
        <f>MONTH(Table11[[#This Row],[Order Date]])</f>
        <v>9</v>
      </c>
      <c r="E1122" s="5" t="s">
        <v>3007</v>
      </c>
      <c r="F1122" s="5" t="s">
        <v>3008</v>
      </c>
      <c r="G1122" s="24" t="s">
        <v>28</v>
      </c>
      <c r="H1122" s="24" t="s">
        <v>58</v>
      </c>
      <c r="I1122" s="5" t="s">
        <v>1800</v>
      </c>
      <c r="J1122" s="24" t="s">
        <v>36</v>
      </c>
      <c r="K1122" s="27">
        <v>4</v>
      </c>
      <c r="L1122" s="6">
        <v>42262</v>
      </c>
      <c r="M1122" s="27">
        <f>Table11[[#This Row],[Ship Date]]-Table11[[#This Row],[Order Date]]</f>
        <v>0</v>
      </c>
      <c r="N1122" s="24" t="s">
        <v>1141</v>
      </c>
      <c r="O1122" s="24" t="s">
        <v>23</v>
      </c>
      <c r="P1122" s="24" t="s">
        <v>48</v>
      </c>
      <c r="Q1122" s="24" t="s">
        <v>26</v>
      </c>
      <c r="R1122" s="24" t="s">
        <v>3006</v>
      </c>
      <c r="S1122" s="34">
        <v>0.2</v>
      </c>
      <c r="T1122" s="15">
        <v>15.712</v>
      </c>
      <c r="U1122" s="18">
        <v>2.5531999999999999</v>
      </c>
      <c r="V1122" s="56">
        <f>Table11[[#This Row],[Profit]]/Table11[[#This Row],[Sales]]</f>
        <v>0.16250000000000001</v>
      </c>
    </row>
    <row r="1123" spans="1:22" x14ac:dyDescent="0.2">
      <c r="A1123" s="4">
        <v>1122</v>
      </c>
      <c r="B1123" s="3" t="s">
        <v>3005</v>
      </c>
      <c r="C1123" s="7">
        <v>42262</v>
      </c>
      <c r="D1123" s="28">
        <f>MONTH(Table11[[#This Row],[Order Date]])</f>
        <v>9</v>
      </c>
      <c r="E1123" s="3" t="s">
        <v>1449</v>
      </c>
      <c r="F1123" s="3" t="s">
        <v>1450</v>
      </c>
      <c r="G1123" s="25" t="s">
        <v>41</v>
      </c>
      <c r="H1123" s="25" t="s">
        <v>53</v>
      </c>
      <c r="I1123" s="3" t="s">
        <v>1800</v>
      </c>
      <c r="J1123" s="25" t="s">
        <v>36</v>
      </c>
      <c r="K1123" s="28">
        <v>2</v>
      </c>
      <c r="L1123" s="7">
        <v>42262</v>
      </c>
      <c r="M1123" s="28">
        <f>Table11[[#This Row],[Ship Date]]-Table11[[#This Row],[Order Date]]</f>
        <v>0</v>
      </c>
      <c r="N1123" s="25" t="s">
        <v>1141</v>
      </c>
      <c r="O1123" s="25" t="s">
        <v>23</v>
      </c>
      <c r="P1123" s="25" t="s">
        <v>48</v>
      </c>
      <c r="Q1123" s="25" t="s">
        <v>26</v>
      </c>
      <c r="R1123" s="25" t="s">
        <v>3006</v>
      </c>
      <c r="S1123" s="35">
        <v>0.2</v>
      </c>
      <c r="T1123" s="16">
        <v>24.672000000000001</v>
      </c>
      <c r="U1123" s="19">
        <v>2.1587999999999998</v>
      </c>
      <c r="V1123" s="56">
        <f>Table11[[#This Row],[Profit]]/Table11[[#This Row],[Sales]]</f>
        <v>8.7499999999999994E-2</v>
      </c>
    </row>
    <row r="1124" spans="1:22" x14ac:dyDescent="0.2">
      <c r="A1124" s="4">
        <v>1123</v>
      </c>
      <c r="B1124" s="5" t="s">
        <v>3005</v>
      </c>
      <c r="C1124" s="6">
        <v>42262</v>
      </c>
      <c r="D1124" s="27">
        <f>MONTH(Table11[[#This Row],[Order Date]])</f>
        <v>9</v>
      </c>
      <c r="E1124" s="5" t="s">
        <v>1994</v>
      </c>
      <c r="F1124" s="5" t="s">
        <v>1995</v>
      </c>
      <c r="G1124" s="24" t="s">
        <v>28</v>
      </c>
      <c r="H1124" s="24" t="s">
        <v>58</v>
      </c>
      <c r="I1124" s="5" t="s">
        <v>1800</v>
      </c>
      <c r="J1124" s="24" t="s">
        <v>36</v>
      </c>
      <c r="K1124" s="27">
        <v>1</v>
      </c>
      <c r="L1124" s="6">
        <v>42262</v>
      </c>
      <c r="M1124" s="27">
        <f>Table11[[#This Row],[Ship Date]]-Table11[[#This Row],[Order Date]]</f>
        <v>0</v>
      </c>
      <c r="N1124" s="24" t="s">
        <v>1141</v>
      </c>
      <c r="O1124" s="24" t="s">
        <v>23</v>
      </c>
      <c r="P1124" s="24" t="s">
        <v>48</v>
      </c>
      <c r="Q1124" s="24" t="s">
        <v>26</v>
      </c>
      <c r="R1124" s="24" t="s">
        <v>3006</v>
      </c>
      <c r="S1124" s="34">
        <v>0.2</v>
      </c>
      <c r="T1124" s="15">
        <v>55.968000000000004</v>
      </c>
      <c r="U1124" s="18">
        <v>-2.0988000000000002</v>
      </c>
      <c r="V1124" s="56">
        <f>Table11[[#This Row],[Profit]]/Table11[[#This Row],[Sales]]</f>
        <v>-3.7499999999999999E-2</v>
      </c>
    </row>
    <row r="1125" spans="1:22" x14ac:dyDescent="0.2">
      <c r="A1125" s="2">
        <v>1124</v>
      </c>
      <c r="B1125" s="3" t="s">
        <v>4618</v>
      </c>
      <c r="C1125" s="7">
        <v>42262</v>
      </c>
      <c r="D1125" s="28">
        <f>MONTH(Table11[[#This Row],[Order Date]])</f>
        <v>9</v>
      </c>
      <c r="E1125" s="3" t="s">
        <v>2136</v>
      </c>
      <c r="F1125" s="3" t="s">
        <v>2137</v>
      </c>
      <c r="G1125" s="25" t="s">
        <v>41</v>
      </c>
      <c r="H1125" s="25" t="s">
        <v>53</v>
      </c>
      <c r="I1125" s="3" t="s">
        <v>4353</v>
      </c>
      <c r="J1125" s="25" t="s">
        <v>22</v>
      </c>
      <c r="K1125" s="28">
        <v>2</v>
      </c>
      <c r="L1125" s="7">
        <v>42264</v>
      </c>
      <c r="M1125" s="28">
        <f>Table11[[#This Row],[Ship Date]]-Table11[[#This Row],[Order Date]]</f>
        <v>2</v>
      </c>
      <c r="N1125" s="25" t="s">
        <v>20</v>
      </c>
      <c r="O1125" s="25" t="s">
        <v>23</v>
      </c>
      <c r="P1125" s="25" t="s">
        <v>226</v>
      </c>
      <c r="Q1125" s="25" t="s">
        <v>95</v>
      </c>
      <c r="R1125" s="25" t="s">
        <v>3859</v>
      </c>
      <c r="S1125" s="35">
        <v>0</v>
      </c>
      <c r="T1125" s="16">
        <v>190.86</v>
      </c>
      <c r="U1125" s="19">
        <v>11.451599999999999</v>
      </c>
      <c r="V1125" s="56">
        <f>Table11[[#This Row],[Profit]]/Table11[[#This Row],[Sales]]</f>
        <v>5.9999999999999991E-2</v>
      </c>
    </row>
    <row r="1126" spans="1:22" x14ac:dyDescent="0.2">
      <c r="A1126" s="4">
        <v>1125</v>
      </c>
      <c r="B1126" s="5" t="s">
        <v>4618</v>
      </c>
      <c r="C1126" s="6">
        <v>42262</v>
      </c>
      <c r="D1126" s="27">
        <f>MONTH(Table11[[#This Row],[Order Date]])</f>
        <v>9</v>
      </c>
      <c r="E1126" s="5" t="s">
        <v>4619</v>
      </c>
      <c r="F1126" s="5" t="s">
        <v>4620</v>
      </c>
      <c r="G1126" s="24" t="s">
        <v>41</v>
      </c>
      <c r="H1126" s="24" t="s">
        <v>61</v>
      </c>
      <c r="I1126" s="5" t="s">
        <v>4353</v>
      </c>
      <c r="J1126" s="24" t="s">
        <v>22</v>
      </c>
      <c r="K1126" s="27">
        <v>8</v>
      </c>
      <c r="L1126" s="6">
        <v>42264</v>
      </c>
      <c r="M1126" s="27">
        <f>Table11[[#This Row],[Ship Date]]-Table11[[#This Row],[Order Date]]</f>
        <v>2</v>
      </c>
      <c r="N1126" s="24" t="s">
        <v>20</v>
      </c>
      <c r="O1126" s="24" t="s">
        <v>23</v>
      </c>
      <c r="P1126" s="24" t="s">
        <v>226</v>
      </c>
      <c r="Q1126" s="24" t="s">
        <v>95</v>
      </c>
      <c r="R1126" s="24" t="s">
        <v>3859</v>
      </c>
      <c r="S1126" s="34">
        <v>0</v>
      </c>
      <c r="T1126" s="15">
        <v>24.32</v>
      </c>
      <c r="U1126" s="18">
        <v>8.2688000000000006</v>
      </c>
      <c r="V1126" s="56">
        <f>Table11[[#This Row],[Profit]]/Table11[[#This Row],[Sales]]</f>
        <v>0.34</v>
      </c>
    </row>
    <row r="1127" spans="1:22" x14ac:dyDescent="0.2">
      <c r="A1127" s="4">
        <v>1126</v>
      </c>
      <c r="B1127" s="3" t="s">
        <v>4733</v>
      </c>
      <c r="C1127" s="7">
        <v>42262</v>
      </c>
      <c r="D1127" s="28">
        <f>MONTH(Table11[[#This Row],[Order Date]])</f>
        <v>9</v>
      </c>
      <c r="E1127" s="3" t="s">
        <v>4251</v>
      </c>
      <c r="F1127" s="3" t="s">
        <v>4252</v>
      </c>
      <c r="G1127" s="25" t="s">
        <v>41</v>
      </c>
      <c r="H1127" s="25" t="s">
        <v>68</v>
      </c>
      <c r="I1127" s="3" t="s">
        <v>4734</v>
      </c>
      <c r="J1127" s="25" t="s">
        <v>36</v>
      </c>
      <c r="K1127" s="28">
        <v>3</v>
      </c>
      <c r="L1127" s="7">
        <v>42266</v>
      </c>
      <c r="M1127" s="28">
        <f>Table11[[#This Row],[Ship Date]]-Table11[[#This Row],[Order Date]]</f>
        <v>4</v>
      </c>
      <c r="N1127" s="25" t="s">
        <v>20</v>
      </c>
      <c r="O1127" s="25" t="s">
        <v>23</v>
      </c>
      <c r="P1127" s="25" t="s">
        <v>238</v>
      </c>
      <c r="Q1127" s="25" t="s">
        <v>133</v>
      </c>
      <c r="R1127" s="25" t="s">
        <v>237</v>
      </c>
      <c r="S1127" s="35">
        <v>0.2</v>
      </c>
      <c r="T1127" s="16">
        <v>79.872</v>
      </c>
      <c r="U1127" s="19">
        <v>29.952000000000002</v>
      </c>
      <c r="V1127" s="56">
        <f>Table11[[#This Row],[Profit]]/Table11[[#This Row],[Sales]]</f>
        <v>0.375</v>
      </c>
    </row>
    <row r="1128" spans="1:22" x14ac:dyDescent="0.2">
      <c r="A1128" s="2">
        <v>1127</v>
      </c>
      <c r="B1128" s="5" t="s">
        <v>4733</v>
      </c>
      <c r="C1128" s="6">
        <v>42262</v>
      </c>
      <c r="D1128" s="27">
        <f>MONTH(Table11[[#This Row],[Order Date]])</f>
        <v>9</v>
      </c>
      <c r="E1128" s="5" t="s">
        <v>950</v>
      </c>
      <c r="F1128" s="5" t="s">
        <v>951</v>
      </c>
      <c r="G1128" s="24" t="s">
        <v>28</v>
      </c>
      <c r="H1128" s="24" t="s">
        <v>29</v>
      </c>
      <c r="I1128" s="5" t="s">
        <v>4734</v>
      </c>
      <c r="J1128" s="24" t="s">
        <v>36</v>
      </c>
      <c r="K1128" s="27">
        <v>1</v>
      </c>
      <c r="L1128" s="6">
        <v>42266</v>
      </c>
      <c r="M1128" s="27">
        <f>Table11[[#This Row],[Ship Date]]-Table11[[#This Row],[Order Date]]</f>
        <v>4</v>
      </c>
      <c r="N1128" s="24" t="s">
        <v>20</v>
      </c>
      <c r="O1128" s="24" t="s">
        <v>23</v>
      </c>
      <c r="P1128" s="24" t="s">
        <v>238</v>
      </c>
      <c r="Q1128" s="24" t="s">
        <v>133</v>
      </c>
      <c r="R1128" s="24" t="s">
        <v>237</v>
      </c>
      <c r="S1128" s="34">
        <v>0.2</v>
      </c>
      <c r="T1128" s="15">
        <v>46.384</v>
      </c>
      <c r="U1128" s="18">
        <v>1.1596</v>
      </c>
      <c r="V1128" s="56">
        <f>Table11[[#This Row],[Profit]]/Table11[[#This Row],[Sales]]</f>
        <v>2.4999999999999998E-2</v>
      </c>
    </row>
    <row r="1129" spans="1:22" x14ac:dyDescent="0.2">
      <c r="A1129" s="4">
        <v>1128</v>
      </c>
      <c r="B1129" s="3" t="s">
        <v>4733</v>
      </c>
      <c r="C1129" s="7">
        <v>42262</v>
      </c>
      <c r="D1129" s="28">
        <f>MONTH(Table11[[#This Row],[Order Date]])</f>
        <v>9</v>
      </c>
      <c r="E1129" s="3" t="s">
        <v>81</v>
      </c>
      <c r="F1129" s="3" t="s">
        <v>83</v>
      </c>
      <c r="G1129" s="25" t="s">
        <v>41</v>
      </c>
      <c r="H1129" s="25" t="s">
        <v>82</v>
      </c>
      <c r="I1129" s="3" t="s">
        <v>4734</v>
      </c>
      <c r="J1129" s="25" t="s">
        <v>36</v>
      </c>
      <c r="K1129" s="28">
        <v>2</v>
      </c>
      <c r="L1129" s="7">
        <v>42266</v>
      </c>
      <c r="M1129" s="28">
        <f>Table11[[#This Row],[Ship Date]]-Table11[[#This Row],[Order Date]]</f>
        <v>4</v>
      </c>
      <c r="N1129" s="25" t="s">
        <v>20</v>
      </c>
      <c r="O1129" s="25" t="s">
        <v>23</v>
      </c>
      <c r="P1129" s="25" t="s">
        <v>238</v>
      </c>
      <c r="Q1129" s="25" t="s">
        <v>133</v>
      </c>
      <c r="R1129" s="25" t="s">
        <v>237</v>
      </c>
      <c r="S1129" s="35">
        <v>0</v>
      </c>
      <c r="T1129" s="16">
        <v>12.96</v>
      </c>
      <c r="U1129" s="19">
        <v>6.2207999999999997</v>
      </c>
      <c r="V1129" s="56">
        <f>Table11[[#This Row],[Profit]]/Table11[[#This Row],[Sales]]</f>
        <v>0.47999999999999993</v>
      </c>
    </row>
    <row r="1130" spans="1:22" x14ac:dyDescent="0.2">
      <c r="A1130" s="4">
        <v>1129</v>
      </c>
      <c r="B1130" s="5" t="s">
        <v>6247</v>
      </c>
      <c r="C1130" s="6">
        <v>42262</v>
      </c>
      <c r="D1130" s="27">
        <f>MONTH(Table11[[#This Row],[Order Date]])</f>
        <v>9</v>
      </c>
      <c r="E1130" s="5" t="s">
        <v>5072</v>
      </c>
      <c r="F1130" s="5" t="s">
        <v>5073</v>
      </c>
      <c r="G1130" s="24" t="s">
        <v>28</v>
      </c>
      <c r="H1130" s="24" t="s">
        <v>50</v>
      </c>
      <c r="I1130" s="5" t="s">
        <v>3774</v>
      </c>
      <c r="J1130" s="24" t="s">
        <v>22</v>
      </c>
      <c r="K1130" s="27">
        <v>2</v>
      </c>
      <c r="L1130" s="6">
        <v>42266</v>
      </c>
      <c r="M1130" s="27">
        <f>Table11[[#This Row],[Ship Date]]-Table11[[#This Row],[Order Date]]</f>
        <v>4</v>
      </c>
      <c r="N1130" s="24" t="s">
        <v>45</v>
      </c>
      <c r="O1130" s="24" t="s">
        <v>23</v>
      </c>
      <c r="P1130" s="24" t="s">
        <v>320</v>
      </c>
      <c r="Q1130" s="24" t="s">
        <v>26</v>
      </c>
      <c r="R1130" s="24" t="s">
        <v>3448</v>
      </c>
      <c r="S1130" s="34">
        <v>0</v>
      </c>
      <c r="T1130" s="15">
        <v>801.96</v>
      </c>
      <c r="U1130" s="18">
        <v>200.49</v>
      </c>
      <c r="V1130" s="56">
        <f>Table11[[#This Row],[Profit]]/Table11[[#This Row],[Sales]]</f>
        <v>0.25</v>
      </c>
    </row>
    <row r="1131" spans="1:22" x14ac:dyDescent="0.2">
      <c r="A1131" s="2">
        <v>1130</v>
      </c>
      <c r="B1131" s="3" t="s">
        <v>6247</v>
      </c>
      <c r="C1131" s="7">
        <v>42262</v>
      </c>
      <c r="D1131" s="28">
        <f>MONTH(Table11[[#This Row],[Order Date]])</f>
        <v>9</v>
      </c>
      <c r="E1131" s="3" t="s">
        <v>5310</v>
      </c>
      <c r="F1131" s="3" t="s">
        <v>5311</v>
      </c>
      <c r="G1131" s="25" t="s">
        <v>64</v>
      </c>
      <c r="H1131" s="25" t="s">
        <v>65</v>
      </c>
      <c r="I1131" s="3" t="s">
        <v>3774</v>
      </c>
      <c r="J1131" s="25" t="s">
        <v>22</v>
      </c>
      <c r="K1131" s="28">
        <v>3</v>
      </c>
      <c r="L1131" s="7">
        <v>42266</v>
      </c>
      <c r="M1131" s="28">
        <f>Table11[[#This Row],[Ship Date]]-Table11[[#This Row],[Order Date]]</f>
        <v>4</v>
      </c>
      <c r="N1131" s="25" t="s">
        <v>45</v>
      </c>
      <c r="O1131" s="25" t="s">
        <v>23</v>
      </c>
      <c r="P1131" s="25" t="s">
        <v>320</v>
      </c>
      <c r="Q1131" s="25" t="s">
        <v>26</v>
      </c>
      <c r="R1131" s="25" t="s">
        <v>3448</v>
      </c>
      <c r="S1131" s="35">
        <v>0</v>
      </c>
      <c r="T1131" s="16">
        <v>59.97</v>
      </c>
      <c r="U1131" s="19">
        <v>0</v>
      </c>
      <c r="V1131" s="56">
        <f>Table11[[#This Row],[Profit]]/Table11[[#This Row],[Sales]]</f>
        <v>0</v>
      </c>
    </row>
    <row r="1132" spans="1:22" x14ac:dyDescent="0.2">
      <c r="A1132" s="4">
        <v>1131</v>
      </c>
      <c r="B1132" s="5" t="s">
        <v>6247</v>
      </c>
      <c r="C1132" s="6">
        <v>42262</v>
      </c>
      <c r="D1132" s="27">
        <f>MONTH(Table11[[#This Row],[Order Date]])</f>
        <v>9</v>
      </c>
      <c r="E1132" s="5" t="s">
        <v>1816</v>
      </c>
      <c r="F1132" s="5" t="s">
        <v>1817</v>
      </c>
      <c r="G1132" s="24" t="s">
        <v>28</v>
      </c>
      <c r="H1132" s="24" t="s">
        <v>32</v>
      </c>
      <c r="I1132" s="5" t="s">
        <v>3774</v>
      </c>
      <c r="J1132" s="24" t="s">
        <v>22</v>
      </c>
      <c r="K1132" s="27">
        <v>7</v>
      </c>
      <c r="L1132" s="6">
        <v>42266</v>
      </c>
      <c r="M1132" s="27">
        <f>Table11[[#This Row],[Ship Date]]-Table11[[#This Row],[Order Date]]</f>
        <v>4</v>
      </c>
      <c r="N1132" s="24" t="s">
        <v>45</v>
      </c>
      <c r="O1132" s="24" t="s">
        <v>23</v>
      </c>
      <c r="P1132" s="24" t="s">
        <v>320</v>
      </c>
      <c r="Q1132" s="24" t="s">
        <v>26</v>
      </c>
      <c r="R1132" s="24" t="s">
        <v>3448</v>
      </c>
      <c r="S1132" s="34">
        <v>0</v>
      </c>
      <c r="T1132" s="15">
        <v>1056.8599999999999</v>
      </c>
      <c r="U1132" s="18">
        <v>306.48939999999999</v>
      </c>
      <c r="V1132" s="56">
        <f>Table11[[#This Row],[Profit]]/Table11[[#This Row],[Sales]]</f>
        <v>0.29000000000000004</v>
      </c>
    </row>
    <row r="1133" spans="1:22" x14ac:dyDescent="0.2">
      <c r="A1133" s="4">
        <v>1132</v>
      </c>
      <c r="B1133" s="3" t="s">
        <v>8718</v>
      </c>
      <c r="C1133" s="7">
        <v>42262</v>
      </c>
      <c r="D1133" s="28">
        <f>MONTH(Table11[[#This Row],[Order Date]])</f>
        <v>9</v>
      </c>
      <c r="E1133" s="3" t="s">
        <v>396</v>
      </c>
      <c r="F1133" s="3" t="s">
        <v>397</v>
      </c>
      <c r="G1133" s="25" t="s">
        <v>41</v>
      </c>
      <c r="H1133" s="25" t="s">
        <v>68</v>
      </c>
      <c r="I1133" s="3" t="s">
        <v>4258</v>
      </c>
      <c r="J1133" s="25" t="s">
        <v>36</v>
      </c>
      <c r="K1133" s="28">
        <v>4</v>
      </c>
      <c r="L1133" s="7">
        <v>42267</v>
      </c>
      <c r="M1133" s="28">
        <f>Table11[[#This Row],[Ship Date]]-Table11[[#This Row],[Order Date]]</f>
        <v>5</v>
      </c>
      <c r="N1133" s="25" t="s">
        <v>45</v>
      </c>
      <c r="O1133" s="25" t="s">
        <v>23</v>
      </c>
      <c r="P1133" s="25" t="s">
        <v>132</v>
      </c>
      <c r="Q1133" s="25" t="s">
        <v>133</v>
      </c>
      <c r="R1133" s="25" t="s">
        <v>131</v>
      </c>
      <c r="S1133" s="35">
        <v>0.7</v>
      </c>
      <c r="T1133" s="16">
        <v>3.5760000000000001</v>
      </c>
      <c r="U1133" s="19">
        <v>-2.8607999999999998</v>
      </c>
      <c r="V1133" s="56">
        <f>Table11[[#This Row],[Profit]]/Table11[[#This Row],[Sales]]</f>
        <v>-0.79999999999999993</v>
      </c>
    </row>
    <row r="1134" spans="1:22" x14ac:dyDescent="0.2">
      <c r="A1134" s="2">
        <v>1133</v>
      </c>
      <c r="B1134" s="5" t="s">
        <v>8718</v>
      </c>
      <c r="C1134" s="6">
        <v>42262</v>
      </c>
      <c r="D1134" s="27">
        <f>MONTH(Table11[[#This Row],[Order Date]])</f>
        <v>9</v>
      </c>
      <c r="E1134" s="5" t="s">
        <v>739</v>
      </c>
      <c r="F1134" s="5" t="s">
        <v>740</v>
      </c>
      <c r="G1134" s="24" t="s">
        <v>41</v>
      </c>
      <c r="H1134" s="24" t="s">
        <v>53</v>
      </c>
      <c r="I1134" s="5" t="s">
        <v>4258</v>
      </c>
      <c r="J1134" s="24" t="s">
        <v>36</v>
      </c>
      <c r="K1134" s="27">
        <v>2</v>
      </c>
      <c r="L1134" s="6">
        <v>42267</v>
      </c>
      <c r="M1134" s="27">
        <f>Table11[[#This Row],[Ship Date]]-Table11[[#This Row],[Order Date]]</f>
        <v>5</v>
      </c>
      <c r="N1134" s="24" t="s">
        <v>45</v>
      </c>
      <c r="O1134" s="24" t="s">
        <v>23</v>
      </c>
      <c r="P1134" s="24" t="s">
        <v>132</v>
      </c>
      <c r="Q1134" s="24" t="s">
        <v>133</v>
      </c>
      <c r="R1134" s="24" t="s">
        <v>131</v>
      </c>
      <c r="S1134" s="34">
        <v>0.2</v>
      </c>
      <c r="T1134" s="15">
        <v>147.184</v>
      </c>
      <c r="U1134" s="18">
        <v>-29.436800000000002</v>
      </c>
      <c r="V1134" s="56">
        <f>Table11[[#This Row],[Profit]]/Table11[[#This Row],[Sales]]</f>
        <v>-0.2</v>
      </c>
    </row>
    <row r="1135" spans="1:22" x14ac:dyDescent="0.2">
      <c r="A1135" s="4">
        <v>1134</v>
      </c>
      <c r="B1135" s="3" t="s">
        <v>9810</v>
      </c>
      <c r="C1135" s="7">
        <v>42263</v>
      </c>
      <c r="D1135" s="28">
        <f>MONTH(Table11[[#This Row],[Order Date]])</f>
        <v>9</v>
      </c>
      <c r="E1135" s="3" t="s">
        <v>2880</v>
      </c>
      <c r="F1135" s="3" t="s">
        <v>591</v>
      </c>
      <c r="G1135" s="25" t="s">
        <v>41</v>
      </c>
      <c r="H1135" s="25" t="s">
        <v>155</v>
      </c>
      <c r="I1135" s="3" t="s">
        <v>1630</v>
      </c>
      <c r="J1135" s="25" t="s">
        <v>22</v>
      </c>
      <c r="K1135" s="28">
        <v>4</v>
      </c>
      <c r="L1135" s="7">
        <v>42268</v>
      </c>
      <c r="M1135" s="28">
        <f>Table11[[#This Row],[Ship Date]]-Table11[[#This Row],[Order Date]]</f>
        <v>5</v>
      </c>
      <c r="N1135" s="25" t="s">
        <v>45</v>
      </c>
      <c r="O1135" s="25" t="s">
        <v>23</v>
      </c>
      <c r="P1135" s="25" t="s">
        <v>285</v>
      </c>
      <c r="Q1135" s="25" t="s">
        <v>26</v>
      </c>
      <c r="R1135" s="25" t="s">
        <v>4913</v>
      </c>
      <c r="S1135" s="35">
        <v>0</v>
      </c>
      <c r="T1135" s="16">
        <v>31.12</v>
      </c>
      <c r="U1135" s="19">
        <v>14.6264</v>
      </c>
      <c r="V1135" s="56">
        <f>Table11[[#This Row],[Profit]]/Table11[[#This Row],[Sales]]</f>
        <v>0.47</v>
      </c>
    </row>
    <row r="1136" spans="1:22" x14ac:dyDescent="0.2">
      <c r="A1136" s="4">
        <v>1135</v>
      </c>
      <c r="B1136" s="5" t="s">
        <v>146</v>
      </c>
      <c r="C1136" s="6">
        <v>42264</v>
      </c>
      <c r="D1136" s="27">
        <f>MONTH(Table11[[#This Row],[Order Date]])</f>
        <v>9</v>
      </c>
      <c r="E1136" s="5" t="s">
        <v>148</v>
      </c>
      <c r="F1136" s="5" t="s">
        <v>149</v>
      </c>
      <c r="G1136" s="24" t="s">
        <v>28</v>
      </c>
      <c r="H1136" s="24" t="s">
        <v>29</v>
      </c>
      <c r="I1136" s="5" t="s">
        <v>147</v>
      </c>
      <c r="J1136" s="24" t="s">
        <v>22</v>
      </c>
      <c r="K1136" s="27">
        <v>7</v>
      </c>
      <c r="L1136" s="6">
        <v>42268</v>
      </c>
      <c r="M1136" s="27">
        <f>Table11[[#This Row],[Ship Date]]-Table11[[#This Row],[Order Date]]</f>
        <v>4</v>
      </c>
      <c r="N1136" s="24" t="s">
        <v>45</v>
      </c>
      <c r="O1136" s="24" t="s">
        <v>23</v>
      </c>
      <c r="P1136" s="24" t="s">
        <v>132</v>
      </c>
      <c r="Q1136" s="24" t="s">
        <v>133</v>
      </c>
      <c r="R1136" s="24" t="s">
        <v>131</v>
      </c>
      <c r="S1136" s="34">
        <v>0.5</v>
      </c>
      <c r="T1136" s="15">
        <v>3083.43</v>
      </c>
      <c r="U1136" s="18">
        <v>-1665.0522000000001</v>
      </c>
      <c r="V1136" s="56">
        <f>Table11[[#This Row],[Profit]]/Table11[[#This Row],[Sales]]</f>
        <v>-0.54</v>
      </c>
    </row>
    <row r="1137" spans="1:22" x14ac:dyDescent="0.2">
      <c r="A1137" s="2">
        <v>1136</v>
      </c>
      <c r="B1137" s="3" t="s">
        <v>146</v>
      </c>
      <c r="C1137" s="7">
        <v>42264</v>
      </c>
      <c r="D1137" s="28">
        <f>MONTH(Table11[[#This Row],[Order Date]])</f>
        <v>9</v>
      </c>
      <c r="E1137" s="3" t="s">
        <v>150</v>
      </c>
      <c r="F1137" s="3" t="s">
        <v>151</v>
      </c>
      <c r="G1137" s="25" t="s">
        <v>41</v>
      </c>
      <c r="H1137" s="25" t="s">
        <v>68</v>
      </c>
      <c r="I1137" s="3" t="s">
        <v>147</v>
      </c>
      <c r="J1137" s="25" t="s">
        <v>22</v>
      </c>
      <c r="K1137" s="28">
        <v>2</v>
      </c>
      <c r="L1137" s="7">
        <v>42268</v>
      </c>
      <c r="M1137" s="28">
        <f>Table11[[#This Row],[Ship Date]]-Table11[[#This Row],[Order Date]]</f>
        <v>4</v>
      </c>
      <c r="N1137" s="25" t="s">
        <v>45</v>
      </c>
      <c r="O1137" s="25" t="s">
        <v>23</v>
      </c>
      <c r="P1137" s="25" t="s">
        <v>132</v>
      </c>
      <c r="Q1137" s="25" t="s">
        <v>133</v>
      </c>
      <c r="R1137" s="25" t="s">
        <v>131</v>
      </c>
      <c r="S1137" s="35">
        <v>0.7</v>
      </c>
      <c r="T1137" s="16">
        <v>9.6180000000000003</v>
      </c>
      <c r="U1137" s="19">
        <v>-7.0532000000000004</v>
      </c>
      <c r="V1137" s="56">
        <f>Table11[[#This Row],[Profit]]/Table11[[#This Row],[Sales]]</f>
        <v>-0.73333333333333339</v>
      </c>
    </row>
    <row r="1138" spans="1:22" x14ac:dyDescent="0.2">
      <c r="A1138" s="4">
        <v>1137</v>
      </c>
      <c r="B1138" s="5" t="s">
        <v>146</v>
      </c>
      <c r="C1138" s="6">
        <v>42264</v>
      </c>
      <c r="D1138" s="27">
        <f>MONTH(Table11[[#This Row],[Order Date]])</f>
        <v>9</v>
      </c>
      <c r="E1138" s="5" t="s">
        <v>152</v>
      </c>
      <c r="F1138" s="5" t="s">
        <v>153</v>
      </c>
      <c r="G1138" s="24" t="s">
        <v>28</v>
      </c>
      <c r="H1138" s="24" t="s">
        <v>58</v>
      </c>
      <c r="I1138" s="5" t="s">
        <v>147</v>
      </c>
      <c r="J1138" s="24" t="s">
        <v>22</v>
      </c>
      <c r="K1138" s="27">
        <v>3</v>
      </c>
      <c r="L1138" s="6">
        <v>42268</v>
      </c>
      <c r="M1138" s="27">
        <f>Table11[[#This Row],[Ship Date]]-Table11[[#This Row],[Order Date]]</f>
        <v>4</v>
      </c>
      <c r="N1138" s="24" t="s">
        <v>45</v>
      </c>
      <c r="O1138" s="24" t="s">
        <v>23</v>
      </c>
      <c r="P1138" s="24" t="s">
        <v>132</v>
      </c>
      <c r="Q1138" s="24" t="s">
        <v>133</v>
      </c>
      <c r="R1138" s="24" t="s">
        <v>131</v>
      </c>
      <c r="S1138" s="34">
        <v>0.2</v>
      </c>
      <c r="T1138" s="15">
        <v>124.2</v>
      </c>
      <c r="U1138" s="18">
        <v>15.525</v>
      </c>
      <c r="V1138" s="56">
        <f>Table11[[#This Row],[Profit]]/Table11[[#This Row],[Sales]]</f>
        <v>0.125</v>
      </c>
    </row>
    <row r="1139" spans="1:22" x14ac:dyDescent="0.2">
      <c r="A1139" s="4">
        <v>1138</v>
      </c>
      <c r="B1139" s="3" t="s">
        <v>146</v>
      </c>
      <c r="C1139" s="7">
        <v>42264</v>
      </c>
      <c r="D1139" s="28">
        <f>MONTH(Table11[[#This Row],[Order Date]])</f>
        <v>9</v>
      </c>
      <c r="E1139" s="3" t="s">
        <v>154</v>
      </c>
      <c r="F1139" s="3" t="s">
        <v>156</v>
      </c>
      <c r="G1139" s="25" t="s">
        <v>41</v>
      </c>
      <c r="H1139" s="25" t="s">
        <v>155</v>
      </c>
      <c r="I1139" s="3" t="s">
        <v>147</v>
      </c>
      <c r="J1139" s="25" t="s">
        <v>22</v>
      </c>
      <c r="K1139" s="28">
        <v>2</v>
      </c>
      <c r="L1139" s="7">
        <v>42268</v>
      </c>
      <c r="M1139" s="28">
        <f>Table11[[#This Row],[Ship Date]]-Table11[[#This Row],[Order Date]]</f>
        <v>4</v>
      </c>
      <c r="N1139" s="25" t="s">
        <v>45</v>
      </c>
      <c r="O1139" s="25" t="s">
        <v>23</v>
      </c>
      <c r="P1139" s="25" t="s">
        <v>132</v>
      </c>
      <c r="Q1139" s="25" t="s">
        <v>133</v>
      </c>
      <c r="R1139" s="25" t="s">
        <v>131</v>
      </c>
      <c r="S1139" s="35">
        <v>0.2</v>
      </c>
      <c r="T1139" s="16">
        <v>3.2639999999999998</v>
      </c>
      <c r="U1139" s="19">
        <v>1.1015999999999999</v>
      </c>
      <c r="V1139" s="56">
        <f>Table11[[#This Row],[Profit]]/Table11[[#This Row],[Sales]]</f>
        <v>0.33750000000000002</v>
      </c>
    </row>
    <row r="1140" spans="1:22" x14ac:dyDescent="0.2">
      <c r="A1140" s="2">
        <v>1139</v>
      </c>
      <c r="B1140" s="5" t="s">
        <v>146</v>
      </c>
      <c r="C1140" s="6">
        <v>42264</v>
      </c>
      <c r="D1140" s="27">
        <f>MONTH(Table11[[#This Row],[Order Date]])</f>
        <v>9</v>
      </c>
      <c r="E1140" s="5" t="s">
        <v>157</v>
      </c>
      <c r="F1140" s="5" t="s">
        <v>158</v>
      </c>
      <c r="G1140" s="24" t="s">
        <v>41</v>
      </c>
      <c r="H1140" s="24" t="s">
        <v>61</v>
      </c>
      <c r="I1140" s="5" t="s">
        <v>147</v>
      </c>
      <c r="J1140" s="24" t="s">
        <v>22</v>
      </c>
      <c r="K1140" s="27">
        <v>6</v>
      </c>
      <c r="L1140" s="6">
        <v>42268</v>
      </c>
      <c r="M1140" s="27">
        <f>Table11[[#This Row],[Ship Date]]-Table11[[#This Row],[Order Date]]</f>
        <v>4</v>
      </c>
      <c r="N1140" s="24" t="s">
        <v>45</v>
      </c>
      <c r="O1140" s="24" t="s">
        <v>23</v>
      </c>
      <c r="P1140" s="24" t="s">
        <v>132</v>
      </c>
      <c r="Q1140" s="24" t="s">
        <v>133</v>
      </c>
      <c r="R1140" s="24" t="s">
        <v>131</v>
      </c>
      <c r="S1140" s="34">
        <v>0.2</v>
      </c>
      <c r="T1140" s="15">
        <v>86.304000000000002</v>
      </c>
      <c r="U1140" s="18">
        <v>9.7091999999999992</v>
      </c>
      <c r="V1140" s="56">
        <f>Table11[[#This Row],[Profit]]/Table11[[#This Row],[Sales]]</f>
        <v>0.11249999999999999</v>
      </c>
    </row>
    <row r="1141" spans="1:22" x14ac:dyDescent="0.2">
      <c r="A1141" s="4">
        <v>1140</v>
      </c>
      <c r="B1141" s="3" t="s">
        <v>146</v>
      </c>
      <c r="C1141" s="7">
        <v>42264</v>
      </c>
      <c r="D1141" s="28">
        <f>MONTH(Table11[[#This Row],[Order Date]])</f>
        <v>9</v>
      </c>
      <c r="E1141" s="3" t="s">
        <v>159</v>
      </c>
      <c r="F1141" s="3" t="s">
        <v>160</v>
      </c>
      <c r="G1141" s="25" t="s">
        <v>41</v>
      </c>
      <c r="H1141" s="25" t="s">
        <v>68</v>
      </c>
      <c r="I1141" s="3" t="s">
        <v>147</v>
      </c>
      <c r="J1141" s="25" t="s">
        <v>22</v>
      </c>
      <c r="K1141" s="28">
        <v>6</v>
      </c>
      <c r="L1141" s="7">
        <v>42268</v>
      </c>
      <c r="M1141" s="28">
        <f>Table11[[#This Row],[Ship Date]]-Table11[[#This Row],[Order Date]]</f>
        <v>4</v>
      </c>
      <c r="N1141" s="25" t="s">
        <v>45</v>
      </c>
      <c r="O1141" s="25" t="s">
        <v>23</v>
      </c>
      <c r="P1141" s="25" t="s">
        <v>132</v>
      </c>
      <c r="Q1141" s="25" t="s">
        <v>133</v>
      </c>
      <c r="R1141" s="25" t="s">
        <v>131</v>
      </c>
      <c r="S1141" s="35">
        <v>0.7</v>
      </c>
      <c r="T1141" s="16">
        <v>6.8579999999999997</v>
      </c>
      <c r="U1141" s="19">
        <v>-5.7149999999999999</v>
      </c>
      <c r="V1141" s="56">
        <f>Table11[[#This Row],[Profit]]/Table11[[#This Row],[Sales]]</f>
        <v>-0.83333333333333337</v>
      </c>
    </row>
    <row r="1142" spans="1:22" x14ac:dyDescent="0.2">
      <c r="A1142" s="4">
        <v>1141</v>
      </c>
      <c r="B1142" s="5" t="s">
        <v>146</v>
      </c>
      <c r="C1142" s="6">
        <v>42264</v>
      </c>
      <c r="D1142" s="27">
        <f>MONTH(Table11[[#This Row],[Order Date]])</f>
        <v>9</v>
      </c>
      <c r="E1142" s="5" t="s">
        <v>161</v>
      </c>
      <c r="F1142" s="5" t="s">
        <v>162</v>
      </c>
      <c r="G1142" s="24" t="s">
        <v>41</v>
      </c>
      <c r="H1142" s="24" t="s">
        <v>61</v>
      </c>
      <c r="I1142" s="5" t="s">
        <v>147</v>
      </c>
      <c r="J1142" s="24" t="s">
        <v>22</v>
      </c>
      <c r="K1142" s="27">
        <v>2</v>
      </c>
      <c r="L1142" s="6">
        <v>42268</v>
      </c>
      <c r="M1142" s="27">
        <f>Table11[[#This Row],[Ship Date]]-Table11[[#This Row],[Order Date]]</f>
        <v>4</v>
      </c>
      <c r="N1142" s="24" t="s">
        <v>45</v>
      </c>
      <c r="O1142" s="24" t="s">
        <v>23</v>
      </c>
      <c r="P1142" s="24" t="s">
        <v>132</v>
      </c>
      <c r="Q1142" s="24" t="s">
        <v>133</v>
      </c>
      <c r="R1142" s="24" t="s">
        <v>131</v>
      </c>
      <c r="S1142" s="34">
        <v>0.2</v>
      </c>
      <c r="T1142" s="15">
        <v>15.76</v>
      </c>
      <c r="U1142" s="18">
        <v>3.5459999999999998</v>
      </c>
      <c r="V1142" s="56">
        <f>Table11[[#This Row],[Profit]]/Table11[[#This Row],[Sales]]</f>
        <v>0.22499999999999998</v>
      </c>
    </row>
    <row r="1143" spans="1:22" x14ac:dyDescent="0.2">
      <c r="A1143" s="2">
        <v>1142</v>
      </c>
      <c r="B1143" s="3" t="s">
        <v>2661</v>
      </c>
      <c r="C1143" s="7">
        <v>42264</v>
      </c>
      <c r="D1143" s="28">
        <f>MONTH(Table11[[#This Row],[Order Date]])</f>
        <v>9</v>
      </c>
      <c r="E1143" s="3" t="s">
        <v>933</v>
      </c>
      <c r="F1143" s="3" t="s">
        <v>934</v>
      </c>
      <c r="G1143" s="25" t="s">
        <v>41</v>
      </c>
      <c r="H1143" s="25" t="s">
        <v>82</v>
      </c>
      <c r="I1143" s="3" t="s">
        <v>1823</v>
      </c>
      <c r="J1143" s="25" t="s">
        <v>92</v>
      </c>
      <c r="K1143" s="28">
        <v>5</v>
      </c>
      <c r="L1143" s="7">
        <v>42266</v>
      </c>
      <c r="M1143" s="28">
        <f>Table11[[#This Row],[Ship Date]]-Table11[[#This Row],[Order Date]]</f>
        <v>2</v>
      </c>
      <c r="N1143" s="25" t="s">
        <v>20</v>
      </c>
      <c r="O1143" s="25" t="s">
        <v>23</v>
      </c>
      <c r="P1143" s="25" t="s">
        <v>38</v>
      </c>
      <c r="Q1143" s="25" t="s">
        <v>39</v>
      </c>
      <c r="R1143" s="25" t="s">
        <v>37</v>
      </c>
      <c r="S1143" s="35">
        <v>0</v>
      </c>
      <c r="T1143" s="16">
        <v>32.4</v>
      </c>
      <c r="U1143" s="19">
        <v>15.552</v>
      </c>
      <c r="V1143" s="56">
        <f>Table11[[#This Row],[Profit]]/Table11[[#This Row],[Sales]]</f>
        <v>0.48</v>
      </c>
    </row>
    <row r="1144" spans="1:22" x14ac:dyDescent="0.2">
      <c r="A1144" s="4">
        <v>1143</v>
      </c>
      <c r="B1144" s="5" t="s">
        <v>3839</v>
      </c>
      <c r="C1144" s="6">
        <v>42264</v>
      </c>
      <c r="D1144" s="27">
        <f>MONTH(Table11[[#This Row],[Order Date]])</f>
        <v>9</v>
      </c>
      <c r="E1144" s="5" t="s">
        <v>3098</v>
      </c>
      <c r="F1144" s="5" t="s">
        <v>3099</v>
      </c>
      <c r="G1144" s="24" t="s">
        <v>28</v>
      </c>
      <c r="H1144" s="24" t="s">
        <v>58</v>
      </c>
      <c r="I1144" s="5" t="s">
        <v>1814</v>
      </c>
      <c r="J1144" s="24" t="s">
        <v>36</v>
      </c>
      <c r="K1144" s="27">
        <v>2</v>
      </c>
      <c r="L1144" s="6">
        <v>42268</v>
      </c>
      <c r="M1144" s="27">
        <f>Table11[[#This Row],[Ship Date]]-Table11[[#This Row],[Order Date]]</f>
        <v>4</v>
      </c>
      <c r="N1144" s="24" t="s">
        <v>45</v>
      </c>
      <c r="O1144" s="24" t="s">
        <v>23</v>
      </c>
      <c r="P1144" s="24" t="s">
        <v>94</v>
      </c>
      <c r="Q1144" s="24" t="s">
        <v>95</v>
      </c>
      <c r="R1144" s="24" t="s">
        <v>165</v>
      </c>
      <c r="S1144" s="34">
        <v>0.6</v>
      </c>
      <c r="T1144" s="15">
        <v>21.936</v>
      </c>
      <c r="U1144" s="18">
        <v>-10.419600000000001</v>
      </c>
      <c r="V1144" s="56">
        <f>Table11[[#This Row],[Profit]]/Table11[[#This Row],[Sales]]</f>
        <v>-0.47500000000000003</v>
      </c>
    </row>
    <row r="1145" spans="1:22" x14ac:dyDescent="0.2">
      <c r="A1145" s="4">
        <v>1144</v>
      </c>
      <c r="B1145" s="3" t="s">
        <v>3839</v>
      </c>
      <c r="C1145" s="7">
        <v>42264</v>
      </c>
      <c r="D1145" s="28">
        <f>MONTH(Table11[[#This Row],[Order Date]])</f>
        <v>9</v>
      </c>
      <c r="E1145" s="3" t="s">
        <v>3666</v>
      </c>
      <c r="F1145" s="3" t="s">
        <v>3667</v>
      </c>
      <c r="G1145" s="25" t="s">
        <v>41</v>
      </c>
      <c r="H1145" s="25" t="s">
        <v>68</v>
      </c>
      <c r="I1145" s="3" t="s">
        <v>1814</v>
      </c>
      <c r="J1145" s="25" t="s">
        <v>36</v>
      </c>
      <c r="K1145" s="28">
        <v>3</v>
      </c>
      <c r="L1145" s="7">
        <v>42268</v>
      </c>
      <c r="M1145" s="28">
        <f>Table11[[#This Row],[Ship Date]]-Table11[[#This Row],[Order Date]]</f>
        <v>4</v>
      </c>
      <c r="N1145" s="25" t="s">
        <v>45</v>
      </c>
      <c r="O1145" s="25" t="s">
        <v>23</v>
      </c>
      <c r="P1145" s="25" t="s">
        <v>94</v>
      </c>
      <c r="Q1145" s="25" t="s">
        <v>95</v>
      </c>
      <c r="R1145" s="25" t="s">
        <v>165</v>
      </c>
      <c r="S1145" s="35">
        <v>0.8</v>
      </c>
      <c r="T1145" s="16">
        <v>6.5880000000000001</v>
      </c>
      <c r="U1145" s="19">
        <v>-10.211399999999999</v>
      </c>
      <c r="V1145" s="56">
        <f>Table11[[#This Row],[Profit]]/Table11[[#This Row],[Sales]]</f>
        <v>-1.5499999999999998</v>
      </c>
    </row>
    <row r="1146" spans="1:22" x14ac:dyDescent="0.2">
      <c r="A1146" s="2">
        <v>1145</v>
      </c>
      <c r="B1146" s="5" t="s">
        <v>5542</v>
      </c>
      <c r="C1146" s="6">
        <v>42264</v>
      </c>
      <c r="D1146" s="27">
        <f>MONTH(Table11[[#This Row],[Order Date]])</f>
        <v>9</v>
      </c>
      <c r="E1146" s="5" t="s">
        <v>2537</v>
      </c>
      <c r="F1146" s="5" t="s">
        <v>2538</v>
      </c>
      <c r="G1146" s="24" t="s">
        <v>28</v>
      </c>
      <c r="H1146" s="24" t="s">
        <v>50</v>
      </c>
      <c r="I1146" s="5" t="s">
        <v>487</v>
      </c>
      <c r="J1146" s="24" t="s">
        <v>92</v>
      </c>
      <c r="K1146" s="27">
        <v>2</v>
      </c>
      <c r="L1146" s="6">
        <v>42268</v>
      </c>
      <c r="M1146" s="27">
        <f>Table11[[#This Row],[Ship Date]]-Table11[[#This Row],[Order Date]]</f>
        <v>4</v>
      </c>
      <c r="N1146" s="24" t="s">
        <v>45</v>
      </c>
      <c r="O1146" s="24" t="s">
        <v>23</v>
      </c>
      <c r="P1146" s="24" t="s">
        <v>238</v>
      </c>
      <c r="Q1146" s="24" t="s">
        <v>133</v>
      </c>
      <c r="R1146" s="24" t="s">
        <v>237</v>
      </c>
      <c r="S1146" s="34">
        <v>0.4</v>
      </c>
      <c r="T1146" s="15">
        <v>344.22</v>
      </c>
      <c r="U1146" s="18">
        <v>-103.26600000000001</v>
      </c>
      <c r="V1146" s="56">
        <f>Table11[[#This Row],[Profit]]/Table11[[#This Row],[Sales]]</f>
        <v>-0.3</v>
      </c>
    </row>
    <row r="1147" spans="1:22" x14ac:dyDescent="0.2">
      <c r="A1147" s="4">
        <v>1146</v>
      </c>
      <c r="B1147" s="3" t="s">
        <v>6011</v>
      </c>
      <c r="C1147" s="7">
        <v>42264</v>
      </c>
      <c r="D1147" s="28">
        <f>MONTH(Table11[[#This Row],[Order Date]])</f>
        <v>9</v>
      </c>
      <c r="E1147" s="3" t="s">
        <v>1640</v>
      </c>
      <c r="F1147" s="3" t="s">
        <v>1641</v>
      </c>
      <c r="G1147" s="25" t="s">
        <v>64</v>
      </c>
      <c r="H1147" s="25" t="s">
        <v>144</v>
      </c>
      <c r="I1147" s="3" t="s">
        <v>4609</v>
      </c>
      <c r="J1147" s="25" t="s">
        <v>22</v>
      </c>
      <c r="K1147" s="28">
        <v>3</v>
      </c>
      <c r="L1147" s="7">
        <v>42270</v>
      </c>
      <c r="M1147" s="28">
        <f>Table11[[#This Row],[Ship Date]]-Table11[[#This Row],[Order Date]]</f>
        <v>6</v>
      </c>
      <c r="N1147" s="25" t="s">
        <v>45</v>
      </c>
      <c r="O1147" s="25" t="s">
        <v>23</v>
      </c>
      <c r="P1147" s="25" t="s">
        <v>48</v>
      </c>
      <c r="Q1147" s="25" t="s">
        <v>26</v>
      </c>
      <c r="R1147" s="25" t="s">
        <v>5389</v>
      </c>
      <c r="S1147" s="35">
        <v>0.2</v>
      </c>
      <c r="T1147" s="16">
        <v>87.168000000000006</v>
      </c>
      <c r="U1147" s="19">
        <v>10.896000000000001</v>
      </c>
      <c r="V1147" s="56">
        <f>Table11[[#This Row],[Profit]]/Table11[[#This Row],[Sales]]</f>
        <v>0.125</v>
      </c>
    </row>
    <row r="1148" spans="1:22" x14ac:dyDescent="0.2">
      <c r="A1148" s="4">
        <v>1147</v>
      </c>
      <c r="B1148" s="5" t="s">
        <v>6455</v>
      </c>
      <c r="C1148" s="6">
        <v>42264</v>
      </c>
      <c r="D1148" s="27">
        <f>MONTH(Table11[[#This Row],[Order Date]])</f>
        <v>9</v>
      </c>
      <c r="E1148" s="5" t="s">
        <v>3968</v>
      </c>
      <c r="F1148" s="5" t="s">
        <v>3969</v>
      </c>
      <c r="G1148" s="24" t="s">
        <v>41</v>
      </c>
      <c r="H1148" s="24" t="s">
        <v>68</v>
      </c>
      <c r="I1148" s="5" t="s">
        <v>5672</v>
      </c>
      <c r="J1148" s="24" t="s">
        <v>36</v>
      </c>
      <c r="K1148" s="27">
        <v>3</v>
      </c>
      <c r="L1148" s="6">
        <v>42267</v>
      </c>
      <c r="M1148" s="27">
        <f>Table11[[#This Row],[Ship Date]]-Table11[[#This Row],[Order Date]]</f>
        <v>3</v>
      </c>
      <c r="N1148" s="24" t="s">
        <v>169</v>
      </c>
      <c r="O1148" s="24" t="s">
        <v>23</v>
      </c>
      <c r="P1148" s="24" t="s">
        <v>87</v>
      </c>
      <c r="Q1148" s="24" t="s">
        <v>39</v>
      </c>
      <c r="R1148" s="24" t="s">
        <v>86</v>
      </c>
      <c r="S1148" s="34">
        <v>0.2</v>
      </c>
      <c r="T1148" s="15">
        <v>25.032</v>
      </c>
      <c r="U1148" s="18">
        <v>7.8224999999999998</v>
      </c>
      <c r="V1148" s="56">
        <f>Table11[[#This Row],[Profit]]/Table11[[#This Row],[Sales]]</f>
        <v>0.3125</v>
      </c>
    </row>
    <row r="1149" spans="1:22" x14ac:dyDescent="0.2">
      <c r="A1149" s="2">
        <v>1148</v>
      </c>
      <c r="B1149" s="3" t="s">
        <v>7808</v>
      </c>
      <c r="C1149" s="7">
        <v>42264</v>
      </c>
      <c r="D1149" s="28">
        <f>MONTH(Table11[[#This Row],[Order Date]])</f>
        <v>9</v>
      </c>
      <c r="E1149" s="3" t="s">
        <v>1338</v>
      </c>
      <c r="F1149" s="3" t="s">
        <v>1339</v>
      </c>
      <c r="G1149" s="25" t="s">
        <v>41</v>
      </c>
      <c r="H1149" s="25" t="s">
        <v>53</v>
      </c>
      <c r="I1149" s="3" t="s">
        <v>6305</v>
      </c>
      <c r="J1149" s="25" t="s">
        <v>22</v>
      </c>
      <c r="K1149" s="28">
        <v>5</v>
      </c>
      <c r="L1149" s="7">
        <v>42270</v>
      </c>
      <c r="M1149" s="28">
        <f>Table11[[#This Row],[Ship Date]]-Table11[[#This Row],[Order Date]]</f>
        <v>6</v>
      </c>
      <c r="N1149" s="25" t="s">
        <v>45</v>
      </c>
      <c r="O1149" s="25" t="s">
        <v>23</v>
      </c>
      <c r="P1149" s="25" t="s">
        <v>238</v>
      </c>
      <c r="Q1149" s="25" t="s">
        <v>133</v>
      </c>
      <c r="R1149" s="25" t="s">
        <v>237</v>
      </c>
      <c r="S1149" s="35">
        <v>0</v>
      </c>
      <c r="T1149" s="16">
        <v>14.9</v>
      </c>
      <c r="U1149" s="19">
        <v>1.0429999999999999</v>
      </c>
      <c r="V1149" s="56">
        <f>Table11[[#This Row],[Profit]]/Table11[[#This Row],[Sales]]</f>
        <v>6.9999999999999993E-2</v>
      </c>
    </row>
    <row r="1150" spans="1:22" x14ac:dyDescent="0.2">
      <c r="A1150" s="4">
        <v>1149</v>
      </c>
      <c r="B1150" s="5" t="s">
        <v>7808</v>
      </c>
      <c r="C1150" s="6">
        <v>42264</v>
      </c>
      <c r="D1150" s="27">
        <f>MONTH(Table11[[#This Row],[Order Date]])</f>
        <v>9</v>
      </c>
      <c r="E1150" s="5" t="s">
        <v>229</v>
      </c>
      <c r="F1150" s="5" t="s">
        <v>230</v>
      </c>
      <c r="G1150" s="24" t="s">
        <v>41</v>
      </c>
      <c r="H1150" s="24" t="s">
        <v>42</v>
      </c>
      <c r="I1150" s="5" t="s">
        <v>6305</v>
      </c>
      <c r="J1150" s="24" t="s">
        <v>22</v>
      </c>
      <c r="K1150" s="27">
        <v>7</v>
      </c>
      <c r="L1150" s="6">
        <v>42270</v>
      </c>
      <c r="M1150" s="27">
        <f>Table11[[#This Row],[Ship Date]]-Table11[[#This Row],[Order Date]]</f>
        <v>6</v>
      </c>
      <c r="N1150" s="24" t="s">
        <v>45</v>
      </c>
      <c r="O1150" s="24" t="s">
        <v>23</v>
      </c>
      <c r="P1150" s="24" t="s">
        <v>238</v>
      </c>
      <c r="Q1150" s="24" t="s">
        <v>133</v>
      </c>
      <c r="R1150" s="24" t="s">
        <v>237</v>
      </c>
      <c r="S1150" s="34">
        <v>0</v>
      </c>
      <c r="T1150" s="15">
        <v>87.71</v>
      </c>
      <c r="U1150" s="18">
        <v>41.223700000000001</v>
      </c>
      <c r="V1150" s="56">
        <f>Table11[[#This Row],[Profit]]/Table11[[#This Row],[Sales]]</f>
        <v>0.47000000000000003</v>
      </c>
    </row>
    <row r="1151" spans="1:22" x14ac:dyDescent="0.2">
      <c r="A1151" s="4">
        <v>1150</v>
      </c>
      <c r="B1151" s="3" t="s">
        <v>7808</v>
      </c>
      <c r="C1151" s="7">
        <v>42264</v>
      </c>
      <c r="D1151" s="28">
        <f>MONTH(Table11[[#This Row],[Order Date]])</f>
        <v>9</v>
      </c>
      <c r="E1151" s="3" t="s">
        <v>3131</v>
      </c>
      <c r="F1151" s="3" t="s">
        <v>3132</v>
      </c>
      <c r="G1151" s="25" t="s">
        <v>28</v>
      </c>
      <c r="H1151" s="25" t="s">
        <v>32</v>
      </c>
      <c r="I1151" s="3" t="s">
        <v>6305</v>
      </c>
      <c r="J1151" s="25" t="s">
        <v>22</v>
      </c>
      <c r="K1151" s="28">
        <v>2</v>
      </c>
      <c r="L1151" s="7">
        <v>42270</v>
      </c>
      <c r="M1151" s="28">
        <f>Table11[[#This Row],[Ship Date]]-Table11[[#This Row],[Order Date]]</f>
        <v>6</v>
      </c>
      <c r="N1151" s="25" t="s">
        <v>45</v>
      </c>
      <c r="O1151" s="25" t="s">
        <v>23</v>
      </c>
      <c r="P1151" s="25" t="s">
        <v>238</v>
      </c>
      <c r="Q1151" s="25" t="s">
        <v>133</v>
      </c>
      <c r="R1151" s="25" t="s">
        <v>237</v>
      </c>
      <c r="S1151" s="35">
        <v>0.1</v>
      </c>
      <c r="T1151" s="16">
        <v>199.76400000000001</v>
      </c>
      <c r="U1151" s="19">
        <v>8.8783999999999992</v>
      </c>
      <c r="V1151" s="56">
        <f>Table11[[#This Row],[Profit]]/Table11[[#This Row],[Sales]]</f>
        <v>4.4444444444444439E-2</v>
      </c>
    </row>
    <row r="1152" spans="1:22" x14ac:dyDescent="0.2">
      <c r="A1152" s="2">
        <v>1151</v>
      </c>
      <c r="B1152" s="5" t="s">
        <v>7808</v>
      </c>
      <c r="C1152" s="6">
        <v>42264</v>
      </c>
      <c r="D1152" s="27">
        <f>MONTH(Table11[[#This Row],[Order Date]])</f>
        <v>9</v>
      </c>
      <c r="E1152" s="5" t="s">
        <v>1366</v>
      </c>
      <c r="F1152" s="5" t="s">
        <v>1367</v>
      </c>
      <c r="G1152" s="24" t="s">
        <v>41</v>
      </c>
      <c r="H1152" s="24" t="s">
        <v>53</v>
      </c>
      <c r="I1152" s="5" t="s">
        <v>6305</v>
      </c>
      <c r="J1152" s="24" t="s">
        <v>22</v>
      </c>
      <c r="K1152" s="27">
        <v>4</v>
      </c>
      <c r="L1152" s="6">
        <v>42270</v>
      </c>
      <c r="M1152" s="27">
        <f>Table11[[#This Row],[Ship Date]]-Table11[[#This Row],[Order Date]]</f>
        <v>6</v>
      </c>
      <c r="N1152" s="24" t="s">
        <v>45</v>
      </c>
      <c r="O1152" s="24" t="s">
        <v>23</v>
      </c>
      <c r="P1152" s="24" t="s">
        <v>238</v>
      </c>
      <c r="Q1152" s="24" t="s">
        <v>133</v>
      </c>
      <c r="R1152" s="24" t="s">
        <v>237</v>
      </c>
      <c r="S1152" s="34">
        <v>0</v>
      </c>
      <c r="T1152" s="15">
        <v>94.6</v>
      </c>
      <c r="U1152" s="18">
        <v>27.434000000000001</v>
      </c>
      <c r="V1152" s="56">
        <f>Table11[[#This Row],[Profit]]/Table11[[#This Row],[Sales]]</f>
        <v>0.29000000000000004</v>
      </c>
    </row>
    <row r="1153" spans="1:22" x14ac:dyDescent="0.2">
      <c r="A1153" s="4">
        <v>1152</v>
      </c>
      <c r="B1153" s="3" t="s">
        <v>7808</v>
      </c>
      <c r="C1153" s="7">
        <v>42264</v>
      </c>
      <c r="D1153" s="28">
        <f>MONTH(Table11[[#This Row],[Order Date]])</f>
        <v>9</v>
      </c>
      <c r="E1153" s="3" t="s">
        <v>148</v>
      </c>
      <c r="F1153" s="3" t="s">
        <v>149</v>
      </c>
      <c r="G1153" s="25" t="s">
        <v>28</v>
      </c>
      <c r="H1153" s="25" t="s">
        <v>29</v>
      </c>
      <c r="I1153" s="3" t="s">
        <v>6305</v>
      </c>
      <c r="J1153" s="25" t="s">
        <v>22</v>
      </c>
      <c r="K1153" s="28">
        <v>6</v>
      </c>
      <c r="L1153" s="7">
        <v>42270</v>
      </c>
      <c r="M1153" s="28">
        <f>Table11[[#This Row],[Ship Date]]-Table11[[#This Row],[Order Date]]</f>
        <v>6</v>
      </c>
      <c r="N1153" s="25" t="s">
        <v>45</v>
      </c>
      <c r="O1153" s="25" t="s">
        <v>23</v>
      </c>
      <c r="P1153" s="25" t="s">
        <v>238</v>
      </c>
      <c r="Q1153" s="25" t="s">
        <v>133</v>
      </c>
      <c r="R1153" s="25" t="s">
        <v>237</v>
      </c>
      <c r="S1153" s="35">
        <v>0.2</v>
      </c>
      <c r="T1153" s="16">
        <v>4228.7039999999997</v>
      </c>
      <c r="U1153" s="19">
        <v>158.57640000000001</v>
      </c>
      <c r="V1153" s="56">
        <f>Table11[[#This Row],[Profit]]/Table11[[#This Row],[Sales]]</f>
        <v>3.7500000000000006E-2</v>
      </c>
    </row>
    <row r="1154" spans="1:22" x14ac:dyDescent="0.2">
      <c r="A1154" s="4">
        <v>1153</v>
      </c>
      <c r="B1154" s="5" t="s">
        <v>7808</v>
      </c>
      <c r="C1154" s="6">
        <v>42264</v>
      </c>
      <c r="D1154" s="27">
        <f>MONTH(Table11[[#This Row],[Order Date]])</f>
        <v>9</v>
      </c>
      <c r="E1154" s="5" t="s">
        <v>4452</v>
      </c>
      <c r="F1154" s="5" t="s">
        <v>4453</v>
      </c>
      <c r="G1154" s="24" t="s">
        <v>28</v>
      </c>
      <c r="H1154" s="24" t="s">
        <v>29</v>
      </c>
      <c r="I1154" s="5" t="s">
        <v>6305</v>
      </c>
      <c r="J1154" s="24" t="s">
        <v>22</v>
      </c>
      <c r="K1154" s="27">
        <v>5</v>
      </c>
      <c r="L1154" s="6">
        <v>42270</v>
      </c>
      <c r="M1154" s="27">
        <f>Table11[[#This Row],[Ship Date]]-Table11[[#This Row],[Order Date]]</f>
        <v>6</v>
      </c>
      <c r="N1154" s="24" t="s">
        <v>45</v>
      </c>
      <c r="O1154" s="24" t="s">
        <v>23</v>
      </c>
      <c r="P1154" s="24" t="s">
        <v>238</v>
      </c>
      <c r="Q1154" s="24" t="s">
        <v>133</v>
      </c>
      <c r="R1154" s="24" t="s">
        <v>237</v>
      </c>
      <c r="S1154" s="34">
        <v>0.2</v>
      </c>
      <c r="T1154" s="15">
        <v>2003.92</v>
      </c>
      <c r="U1154" s="18">
        <v>-25.048999999999999</v>
      </c>
      <c r="V1154" s="56">
        <f>Table11[[#This Row],[Profit]]/Table11[[#This Row],[Sales]]</f>
        <v>-1.2499999999999999E-2</v>
      </c>
    </row>
    <row r="1155" spans="1:22" x14ac:dyDescent="0.2">
      <c r="A1155" s="2">
        <v>1154</v>
      </c>
      <c r="B1155" s="3" t="s">
        <v>7808</v>
      </c>
      <c r="C1155" s="7">
        <v>42264</v>
      </c>
      <c r="D1155" s="28">
        <f>MONTH(Table11[[#This Row],[Order Date]])</f>
        <v>9</v>
      </c>
      <c r="E1155" s="3" t="s">
        <v>2057</v>
      </c>
      <c r="F1155" s="3" t="s">
        <v>2058</v>
      </c>
      <c r="G1155" s="25" t="s">
        <v>64</v>
      </c>
      <c r="H1155" s="25" t="s">
        <v>65</v>
      </c>
      <c r="I1155" s="3" t="s">
        <v>6305</v>
      </c>
      <c r="J1155" s="25" t="s">
        <v>22</v>
      </c>
      <c r="K1155" s="28">
        <v>3</v>
      </c>
      <c r="L1155" s="7">
        <v>42270</v>
      </c>
      <c r="M1155" s="28">
        <f>Table11[[#This Row],[Ship Date]]-Table11[[#This Row],[Order Date]]</f>
        <v>6</v>
      </c>
      <c r="N1155" s="25" t="s">
        <v>45</v>
      </c>
      <c r="O1155" s="25" t="s">
        <v>23</v>
      </c>
      <c r="P1155" s="25" t="s">
        <v>238</v>
      </c>
      <c r="Q1155" s="25" t="s">
        <v>133</v>
      </c>
      <c r="R1155" s="25" t="s">
        <v>237</v>
      </c>
      <c r="S1155" s="35">
        <v>0</v>
      </c>
      <c r="T1155" s="16">
        <v>209.97</v>
      </c>
      <c r="U1155" s="19">
        <v>58.791600000000003</v>
      </c>
      <c r="V1155" s="56">
        <f>Table11[[#This Row],[Profit]]/Table11[[#This Row],[Sales]]</f>
        <v>0.28000000000000003</v>
      </c>
    </row>
    <row r="1156" spans="1:22" x14ac:dyDescent="0.2">
      <c r="A1156" s="4">
        <v>1155</v>
      </c>
      <c r="B1156" s="5" t="s">
        <v>7808</v>
      </c>
      <c r="C1156" s="6">
        <v>42264</v>
      </c>
      <c r="D1156" s="27">
        <f>MONTH(Table11[[#This Row],[Order Date]])</f>
        <v>9</v>
      </c>
      <c r="E1156" s="5" t="s">
        <v>2635</v>
      </c>
      <c r="F1156" s="5" t="s">
        <v>2636</v>
      </c>
      <c r="G1156" s="24" t="s">
        <v>64</v>
      </c>
      <c r="H1156" s="24" t="s">
        <v>144</v>
      </c>
      <c r="I1156" s="5" t="s">
        <v>6305</v>
      </c>
      <c r="J1156" s="24" t="s">
        <v>22</v>
      </c>
      <c r="K1156" s="27">
        <v>2</v>
      </c>
      <c r="L1156" s="6">
        <v>42270</v>
      </c>
      <c r="M1156" s="27">
        <f>Table11[[#This Row],[Ship Date]]-Table11[[#This Row],[Order Date]]</f>
        <v>6</v>
      </c>
      <c r="N1156" s="24" t="s">
        <v>45</v>
      </c>
      <c r="O1156" s="24" t="s">
        <v>23</v>
      </c>
      <c r="P1156" s="24" t="s">
        <v>238</v>
      </c>
      <c r="Q1156" s="24" t="s">
        <v>133</v>
      </c>
      <c r="R1156" s="24" t="s">
        <v>237</v>
      </c>
      <c r="S1156" s="34">
        <v>0</v>
      </c>
      <c r="T1156" s="15">
        <v>659.9</v>
      </c>
      <c r="U1156" s="18">
        <v>217.767</v>
      </c>
      <c r="V1156" s="56">
        <f>Table11[[#This Row],[Profit]]/Table11[[#This Row],[Sales]]</f>
        <v>0.33</v>
      </c>
    </row>
    <row r="1157" spans="1:22" x14ac:dyDescent="0.2">
      <c r="A1157" s="4">
        <v>1156</v>
      </c>
      <c r="B1157" s="3" t="s">
        <v>7808</v>
      </c>
      <c r="C1157" s="7">
        <v>42264</v>
      </c>
      <c r="D1157" s="28">
        <f>MONTH(Table11[[#This Row],[Order Date]])</f>
        <v>9</v>
      </c>
      <c r="E1157" s="3" t="s">
        <v>1439</v>
      </c>
      <c r="F1157" s="3" t="s">
        <v>1440</v>
      </c>
      <c r="G1157" s="25" t="s">
        <v>41</v>
      </c>
      <c r="H1157" s="25" t="s">
        <v>82</v>
      </c>
      <c r="I1157" s="3" t="s">
        <v>6305</v>
      </c>
      <c r="J1157" s="25" t="s">
        <v>22</v>
      </c>
      <c r="K1157" s="28">
        <v>2</v>
      </c>
      <c r="L1157" s="7">
        <v>42270</v>
      </c>
      <c r="M1157" s="28">
        <f>Table11[[#This Row],[Ship Date]]-Table11[[#This Row],[Order Date]]</f>
        <v>6</v>
      </c>
      <c r="N1157" s="25" t="s">
        <v>45</v>
      </c>
      <c r="O1157" s="25" t="s">
        <v>23</v>
      </c>
      <c r="P1157" s="25" t="s">
        <v>238</v>
      </c>
      <c r="Q1157" s="25" t="s">
        <v>133</v>
      </c>
      <c r="R1157" s="25" t="s">
        <v>237</v>
      </c>
      <c r="S1157" s="35">
        <v>0</v>
      </c>
      <c r="T1157" s="16">
        <v>110.96</v>
      </c>
      <c r="U1157" s="19">
        <v>53.260800000000003</v>
      </c>
      <c r="V1157" s="56">
        <f>Table11[[#This Row],[Profit]]/Table11[[#This Row],[Sales]]</f>
        <v>0.48000000000000004</v>
      </c>
    </row>
    <row r="1158" spans="1:22" x14ac:dyDescent="0.2">
      <c r="A1158" s="2">
        <v>1157</v>
      </c>
      <c r="B1158" s="5" t="s">
        <v>7808</v>
      </c>
      <c r="C1158" s="6">
        <v>42264</v>
      </c>
      <c r="D1158" s="27">
        <f>MONTH(Table11[[#This Row],[Order Date]])</f>
        <v>9</v>
      </c>
      <c r="E1158" s="5" t="s">
        <v>3680</v>
      </c>
      <c r="F1158" s="5" t="s">
        <v>3681</v>
      </c>
      <c r="G1158" s="24" t="s">
        <v>64</v>
      </c>
      <c r="H1158" s="24" t="s">
        <v>65</v>
      </c>
      <c r="I1158" s="5" t="s">
        <v>6305</v>
      </c>
      <c r="J1158" s="24" t="s">
        <v>22</v>
      </c>
      <c r="K1158" s="27">
        <v>4</v>
      </c>
      <c r="L1158" s="6">
        <v>42270</v>
      </c>
      <c r="M1158" s="27">
        <f>Table11[[#This Row],[Ship Date]]-Table11[[#This Row],[Order Date]]</f>
        <v>6</v>
      </c>
      <c r="N1158" s="24" t="s">
        <v>45</v>
      </c>
      <c r="O1158" s="24" t="s">
        <v>23</v>
      </c>
      <c r="P1158" s="24" t="s">
        <v>238</v>
      </c>
      <c r="Q1158" s="24" t="s">
        <v>133</v>
      </c>
      <c r="R1158" s="24" t="s">
        <v>237</v>
      </c>
      <c r="S1158" s="34">
        <v>0</v>
      </c>
      <c r="T1158" s="15">
        <v>67.8</v>
      </c>
      <c r="U1158" s="18">
        <v>1.3560000000000001</v>
      </c>
      <c r="V1158" s="56">
        <f>Table11[[#This Row],[Profit]]/Table11[[#This Row],[Sales]]</f>
        <v>2.0000000000000004E-2</v>
      </c>
    </row>
    <row r="1159" spans="1:22" x14ac:dyDescent="0.2">
      <c r="A1159" s="4">
        <v>1158</v>
      </c>
      <c r="B1159" s="3" t="s">
        <v>1718</v>
      </c>
      <c r="C1159" s="7">
        <v>42265</v>
      </c>
      <c r="D1159" s="28">
        <f>MONTH(Table11[[#This Row],[Order Date]])</f>
        <v>9</v>
      </c>
      <c r="E1159" s="3" t="s">
        <v>1701</v>
      </c>
      <c r="F1159" s="3" t="s">
        <v>1702</v>
      </c>
      <c r="G1159" s="25" t="s">
        <v>41</v>
      </c>
      <c r="H1159" s="25" t="s">
        <v>82</v>
      </c>
      <c r="I1159" s="3" t="s">
        <v>1719</v>
      </c>
      <c r="J1159" s="25" t="s">
        <v>22</v>
      </c>
      <c r="K1159" s="28">
        <v>14</v>
      </c>
      <c r="L1159" s="7">
        <v>42269</v>
      </c>
      <c r="M1159" s="28">
        <f>Table11[[#This Row],[Ship Date]]-Table11[[#This Row],[Order Date]]</f>
        <v>4</v>
      </c>
      <c r="N1159" s="25" t="s">
        <v>20</v>
      </c>
      <c r="O1159" s="25" t="s">
        <v>23</v>
      </c>
      <c r="P1159" s="25" t="s">
        <v>38</v>
      </c>
      <c r="Q1159" s="25" t="s">
        <v>39</v>
      </c>
      <c r="R1159" s="25" t="s">
        <v>1037</v>
      </c>
      <c r="S1159" s="35">
        <v>0</v>
      </c>
      <c r="T1159" s="16">
        <v>160.72</v>
      </c>
      <c r="U1159" s="19">
        <v>78.752799999999993</v>
      </c>
      <c r="V1159" s="56">
        <f>Table11[[#This Row],[Profit]]/Table11[[#This Row],[Sales]]</f>
        <v>0.48999999999999994</v>
      </c>
    </row>
    <row r="1160" spans="1:22" x14ac:dyDescent="0.2">
      <c r="A1160" s="4">
        <v>1159</v>
      </c>
      <c r="B1160" s="5" t="s">
        <v>1718</v>
      </c>
      <c r="C1160" s="6">
        <v>42265</v>
      </c>
      <c r="D1160" s="27">
        <f>MONTH(Table11[[#This Row],[Order Date]])</f>
        <v>9</v>
      </c>
      <c r="E1160" s="5" t="s">
        <v>1720</v>
      </c>
      <c r="F1160" s="5" t="s">
        <v>1721</v>
      </c>
      <c r="G1160" s="24" t="s">
        <v>41</v>
      </c>
      <c r="H1160" s="24" t="s">
        <v>82</v>
      </c>
      <c r="I1160" s="5" t="s">
        <v>1719</v>
      </c>
      <c r="J1160" s="24" t="s">
        <v>22</v>
      </c>
      <c r="K1160" s="27">
        <v>4</v>
      </c>
      <c r="L1160" s="6">
        <v>42269</v>
      </c>
      <c r="M1160" s="27">
        <f>Table11[[#This Row],[Ship Date]]-Table11[[#This Row],[Order Date]]</f>
        <v>4</v>
      </c>
      <c r="N1160" s="24" t="s">
        <v>20</v>
      </c>
      <c r="O1160" s="24" t="s">
        <v>23</v>
      </c>
      <c r="P1160" s="24" t="s">
        <v>38</v>
      </c>
      <c r="Q1160" s="24" t="s">
        <v>39</v>
      </c>
      <c r="R1160" s="24" t="s">
        <v>1037</v>
      </c>
      <c r="S1160" s="34">
        <v>0</v>
      </c>
      <c r="T1160" s="15">
        <v>19.920000000000002</v>
      </c>
      <c r="U1160" s="18">
        <v>9.7607999999999997</v>
      </c>
      <c r="V1160" s="56">
        <f>Table11[[#This Row],[Profit]]/Table11[[#This Row],[Sales]]</f>
        <v>0.48999999999999994</v>
      </c>
    </row>
    <row r="1161" spans="1:22" x14ac:dyDescent="0.2">
      <c r="A1161" s="2">
        <v>1160</v>
      </c>
      <c r="B1161" s="3" t="s">
        <v>1718</v>
      </c>
      <c r="C1161" s="7">
        <v>42265</v>
      </c>
      <c r="D1161" s="28">
        <f>MONTH(Table11[[#This Row],[Order Date]])</f>
        <v>9</v>
      </c>
      <c r="E1161" s="3" t="s">
        <v>1722</v>
      </c>
      <c r="F1161" s="3" t="s">
        <v>1723</v>
      </c>
      <c r="G1161" s="25" t="s">
        <v>41</v>
      </c>
      <c r="H1161" s="25" t="s">
        <v>513</v>
      </c>
      <c r="I1161" s="3" t="s">
        <v>1719</v>
      </c>
      <c r="J1161" s="25" t="s">
        <v>22</v>
      </c>
      <c r="K1161" s="28">
        <v>2</v>
      </c>
      <c r="L1161" s="7">
        <v>42269</v>
      </c>
      <c r="M1161" s="28">
        <f>Table11[[#This Row],[Ship Date]]-Table11[[#This Row],[Order Date]]</f>
        <v>4</v>
      </c>
      <c r="N1161" s="25" t="s">
        <v>20</v>
      </c>
      <c r="O1161" s="25" t="s">
        <v>23</v>
      </c>
      <c r="P1161" s="25" t="s">
        <v>38</v>
      </c>
      <c r="Q1161" s="25" t="s">
        <v>39</v>
      </c>
      <c r="R1161" s="25" t="s">
        <v>1037</v>
      </c>
      <c r="S1161" s="35">
        <v>0</v>
      </c>
      <c r="T1161" s="16">
        <v>7.3</v>
      </c>
      <c r="U1161" s="19">
        <v>2.19</v>
      </c>
      <c r="V1161" s="56">
        <f>Table11[[#This Row],[Profit]]/Table11[[#This Row],[Sales]]</f>
        <v>0.3</v>
      </c>
    </row>
    <row r="1162" spans="1:22" x14ac:dyDescent="0.2">
      <c r="A1162" s="4">
        <v>1161</v>
      </c>
      <c r="B1162" s="5" t="s">
        <v>6174</v>
      </c>
      <c r="C1162" s="6">
        <v>42265</v>
      </c>
      <c r="D1162" s="27">
        <f>MONTH(Table11[[#This Row],[Order Date]])</f>
        <v>9</v>
      </c>
      <c r="E1162" s="5" t="s">
        <v>3540</v>
      </c>
      <c r="F1162" s="5" t="s">
        <v>3541</v>
      </c>
      <c r="G1162" s="24" t="s">
        <v>41</v>
      </c>
      <c r="H1162" s="24" t="s">
        <v>53</v>
      </c>
      <c r="I1162" s="5" t="s">
        <v>1330</v>
      </c>
      <c r="J1162" s="24" t="s">
        <v>36</v>
      </c>
      <c r="K1162" s="27">
        <v>2</v>
      </c>
      <c r="L1162" s="6">
        <v>42270</v>
      </c>
      <c r="M1162" s="27">
        <f>Table11[[#This Row],[Ship Date]]-Table11[[#This Row],[Order Date]]</f>
        <v>5</v>
      </c>
      <c r="N1162" s="24" t="s">
        <v>45</v>
      </c>
      <c r="O1162" s="24" t="s">
        <v>23</v>
      </c>
      <c r="P1162" s="24" t="s">
        <v>2408</v>
      </c>
      <c r="Q1162" s="24" t="s">
        <v>133</v>
      </c>
      <c r="R1162" s="24" t="s">
        <v>2828</v>
      </c>
      <c r="S1162" s="34">
        <v>0</v>
      </c>
      <c r="T1162" s="15">
        <v>41.96</v>
      </c>
      <c r="U1162" s="18">
        <v>7.9724000000000004</v>
      </c>
      <c r="V1162" s="56">
        <f>Table11[[#This Row],[Profit]]/Table11[[#This Row],[Sales]]</f>
        <v>0.19</v>
      </c>
    </row>
    <row r="1163" spans="1:22" x14ac:dyDescent="0.2">
      <c r="A1163" s="4">
        <v>1162</v>
      </c>
      <c r="B1163" s="3" t="s">
        <v>6174</v>
      </c>
      <c r="C1163" s="7">
        <v>42265</v>
      </c>
      <c r="D1163" s="28">
        <f>MONTH(Table11[[#This Row],[Order Date]])</f>
        <v>9</v>
      </c>
      <c r="E1163" s="3" t="s">
        <v>304</v>
      </c>
      <c r="F1163" s="3" t="s">
        <v>305</v>
      </c>
      <c r="G1163" s="25" t="s">
        <v>41</v>
      </c>
      <c r="H1163" s="25" t="s">
        <v>53</v>
      </c>
      <c r="I1163" s="3" t="s">
        <v>1330</v>
      </c>
      <c r="J1163" s="25" t="s">
        <v>36</v>
      </c>
      <c r="K1163" s="28">
        <v>7</v>
      </c>
      <c r="L1163" s="7">
        <v>42270</v>
      </c>
      <c r="M1163" s="28">
        <f>Table11[[#This Row],[Ship Date]]-Table11[[#This Row],[Order Date]]</f>
        <v>5</v>
      </c>
      <c r="N1163" s="25" t="s">
        <v>45</v>
      </c>
      <c r="O1163" s="25" t="s">
        <v>23</v>
      </c>
      <c r="P1163" s="25" t="s">
        <v>2408</v>
      </c>
      <c r="Q1163" s="25" t="s">
        <v>133</v>
      </c>
      <c r="R1163" s="25" t="s">
        <v>2828</v>
      </c>
      <c r="S1163" s="35">
        <v>0</v>
      </c>
      <c r="T1163" s="16">
        <v>636.86</v>
      </c>
      <c r="U1163" s="19">
        <v>0</v>
      </c>
      <c r="V1163" s="56">
        <f>Table11[[#This Row],[Profit]]/Table11[[#This Row],[Sales]]</f>
        <v>0</v>
      </c>
    </row>
    <row r="1164" spans="1:22" x14ac:dyDescent="0.2">
      <c r="A1164" s="2">
        <v>1163</v>
      </c>
      <c r="B1164" s="5" t="s">
        <v>6174</v>
      </c>
      <c r="C1164" s="6">
        <v>42265</v>
      </c>
      <c r="D1164" s="27">
        <f>MONTH(Table11[[#This Row],[Order Date]])</f>
        <v>9</v>
      </c>
      <c r="E1164" s="5" t="s">
        <v>6175</v>
      </c>
      <c r="F1164" s="5" t="s">
        <v>6176</v>
      </c>
      <c r="G1164" s="24" t="s">
        <v>64</v>
      </c>
      <c r="H1164" s="24" t="s">
        <v>65</v>
      </c>
      <c r="I1164" s="5" t="s">
        <v>1330</v>
      </c>
      <c r="J1164" s="24" t="s">
        <v>36</v>
      </c>
      <c r="K1164" s="27">
        <v>1</v>
      </c>
      <c r="L1164" s="6">
        <v>42270</v>
      </c>
      <c r="M1164" s="27">
        <f>Table11[[#This Row],[Ship Date]]-Table11[[#This Row],[Order Date]]</f>
        <v>5</v>
      </c>
      <c r="N1164" s="24" t="s">
        <v>45</v>
      </c>
      <c r="O1164" s="24" t="s">
        <v>23</v>
      </c>
      <c r="P1164" s="24" t="s">
        <v>2408</v>
      </c>
      <c r="Q1164" s="24" t="s">
        <v>133</v>
      </c>
      <c r="R1164" s="24" t="s">
        <v>2828</v>
      </c>
      <c r="S1164" s="34">
        <v>0</v>
      </c>
      <c r="T1164" s="15">
        <v>499.99</v>
      </c>
      <c r="U1164" s="18">
        <v>129.9974</v>
      </c>
      <c r="V1164" s="56">
        <f>Table11[[#This Row],[Profit]]/Table11[[#This Row],[Sales]]</f>
        <v>0.26</v>
      </c>
    </row>
    <row r="1165" spans="1:22" x14ac:dyDescent="0.2">
      <c r="A1165" s="4">
        <v>1164</v>
      </c>
      <c r="B1165" s="3" t="s">
        <v>6174</v>
      </c>
      <c r="C1165" s="7">
        <v>42265</v>
      </c>
      <c r="D1165" s="28">
        <f>MONTH(Table11[[#This Row],[Order Date]])</f>
        <v>9</v>
      </c>
      <c r="E1165" s="3" t="s">
        <v>4064</v>
      </c>
      <c r="F1165" s="3" t="s">
        <v>4065</v>
      </c>
      <c r="G1165" s="25" t="s">
        <v>64</v>
      </c>
      <c r="H1165" s="25" t="s">
        <v>65</v>
      </c>
      <c r="I1165" s="3" t="s">
        <v>1330</v>
      </c>
      <c r="J1165" s="25" t="s">
        <v>36</v>
      </c>
      <c r="K1165" s="28">
        <v>7</v>
      </c>
      <c r="L1165" s="7">
        <v>42270</v>
      </c>
      <c r="M1165" s="28">
        <f>Table11[[#This Row],[Ship Date]]-Table11[[#This Row],[Order Date]]</f>
        <v>5</v>
      </c>
      <c r="N1165" s="25" t="s">
        <v>45</v>
      </c>
      <c r="O1165" s="25" t="s">
        <v>23</v>
      </c>
      <c r="P1165" s="25" t="s">
        <v>2408</v>
      </c>
      <c r="Q1165" s="25" t="s">
        <v>133</v>
      </c>
      <c r="R1165" s="25" t="s">
        <v>2828</v>
      </c>
      <c r="S1165" s="35">
        <v>0</v>
      </c>
      <c r="T1165" s="16">
        <v>1259.93</v>
      </c>
      <c r="U1165" s="19">
        <v>327.58179999999999</v>
      </c>
      <c r="V1165" s="56">
        <f>Table11[[#This Row],[Profit]]/Table11[[#This Row],[Sales]]</f>
        <v>0.25999999999999995</v>
      </c>
    </row>
    <row r="1166" spans="1:22" x14ac:dyDescent="0.2">
      <c r="A1166" s="4">
        <v>1165</v>
      </c>
      <c r="B1166" s="5" t="s">
        <v>6174</v>
      </c>
      <c r="C1166" s="6">
        <v>42265</v>
      </c>
      <c r="D1166" s="27">
        <f>MONTH(Table11[[#This Row],[Order Date]])</f>
        <v>9</v>
      </c>
      <c r="E1166" s="5" t="s">
        <v>5851</v>
      </c>
      <c r="F1166" s="5" t="s">
        <v>5852</v>
      </c>
      <c r="G1166" s="24" t="s">
        <v>41</v>
      </c>
      <c r="H1166" s="24" t="s">
        <v>68</v>
      </c>
      <c r="I1166" s="5" t="s">
        <v>1330</v>
      </c>
      <c r="J1166" s="24" t="s">
        <v>36</v>
      </c>
      <c r="K1166" s="27">
        <v>4</v>
      </c>
      <c r="L1166" s="6">
        <v>42270</v>
      </c>
      <c r="M1166" s="27">
        <f>Table11[[#This Row],[Ship Date]]-Table11[[#This Row],[Order Date]]</f>
        <v>5</v>
      </c>
      <c r="N1166" s="24" t="s">
        <v>45</v>
      </c>
      <c r="O1166" s="24" t="s">
        <v>23</v>
      </c>
      <c r="P1166" s="24" t="s">
        <v>2408</v>
      </c>
      <c r="Q1166" s="24" t="s">
        <v>133</v>
      </c>
      <c r="R1166" s="24" t="s">
        <v>2828</v>
      </c>
      <c r="S1166" s="34">
        <v>0</v>
      </c>
      <c r="T1166" s="15">
        <v>65.08</v>
      </c>
      <c r="U1166" s="18">
        <v>31.889199999999999</v>
      </c>
      <c r="V1166" s="56">
        <f>Table11[[#This Row],[Profit]]/Table11[[#This Row],[Sales]]</f>
        <v>0.49</v>
      </c>
    </row>
    <row r="1167" spans="1:22" x14ac:dyDescent="0.2">
      <c r="A1167" s="2">
        <v>1166</v>
      </c>
      <c r="B1167" s="3" t="s">
        <v>6192</v>
      </c>
      <c r="C1167" s="7">
        <v>42265</v>
      </c>
      <c r="D1167" s="28">
        <f>MONTH(Table11[[#This Row],[Order Date]])</f>
        <v>9</v>
      </c>
      <c r="E1167" s="3" t="s">
        <v>879</v>
      </c>
      <c r="F1167" s="3" t="s">
        <v>880</v>
      </c>
      <c r="G1167" s="25" t="s">
        <v>41</v>
      </c>
      <c r="H1167" s="25" t="s">
        <v>61</v>
      </c>
      <c r="I1167" s="3" t="s">
        <v>2430</v>
      </c>
      <c r="J1167" s="25" t="s">
        <v>36</v>
      </c>
      <c r="K1167" s="28">
        <v>2</v>
      </c>
      <c r="L1167" s="7">
        <v>42270</v>
      </c>
      <c r="M1167" s="28">
        <f>Table11[[#This Row],[Ship Date]]-Table11[[#This Row],[Order Date]]</f>
        <v>5</v>
      </c>
      <c r="N1167" s="25" t="s">
        <v>45</v>
      </c>
      <c r="O1167" s="25" t="s">
        <v>23</v>
      </c>
      <c r="P1167" s="25" t="s">
        <v>38</v>
      </c>
      <c r="Q1167" s="25" t="s">
        <v>39</v>
      </c>
      <c r="R1167" s="25" t="s">
        <v>37</v>
      </c>
      <c r="S1167" s="35">
        <v>0</v>
      </c>
      <c r="T1167" s="16">
        <v>11.68</v>
      </c>
      <c r="U1167" s="19">
        <v>5.4896000000000003</v>
      </c>
      <c r="V1167" s="56">
        <f>Table11[[#This Row],[Profit]]/Table11[[#This Row],[Sales]]</f>
        <v>0.47000000000000003</v>
      </c>
    </row>
    <row r="1168" spans="1:22" x14ac:dyDescent="0.2">
      <c r="A1168" s="4">
        <v>1167</v>
      </c>
      <c r="B1168" s="5" t="s">
        <v>6192</v>
      </c>
      <c r="C1168" s="6">
        <v>42265</v>
      </c>
      <c r="D1168" s="27">
        <f>MONTH(Table11[[#This Row],[Order Date]])</f>
        <v>9</v>
      </c>
      <c r="E1168" s="5" t="s">
        <v>6118</v>
      </c>
      <c r="F1168" s="5" t="s">
        <v>6119</v>
      </c>
      <c r="G1168" s="24" t="s">
        <v>41</v>
      </c>
      <c r="H1168" s="24" t="s">
        <v>513</v>
      </c>
      <c r="I1168" s="5" t="s">
        <v>2430</v>
      </c>
      <c r="J1168" s="24" t="s">
        <v>36</v>
      </c>
      <c r="K1168" s="27">
        <v>2</v>
      </c>
      <c r="L1168" s="6">
        <v>42270</v>
      </c>
      <c r="M1168" s="27">
        <f>Table11[[#This Row],[Ship Date]]-Table11[[#This Row],[Order Date]]</f>
        <v>5</v>
      </c>
      <c r="N1168" s="24" t="s">
        <v>45</v>
      </c>
      <c r="O1168" s="24" t="s">
        <v>23</v>
      </c>
      <c r="P1168" s="24" t="s">
        <v>38</v>
      </c>
      <c r="Q1168" s="24" t="s">
        <v>39</v>
      </c>
      <c r="R1168" s="24" t="s">
        <v>37</v>
      </c>
      <c r="S1168" s="34">
        <v>0</v>
      </c>
      <c r="T1168" s="15">
        <v>16.899999999999999</v>
      </c>
      <c r="U1168" s="18">
        <v>5.07</v>
      </c>
      <c r="V1168" s="56">
        <f>Table11[[#This Row],[Profit]]/Table11[[#This Row],[Sales]]</f>
        <v>0.30000000000000004</v>
      </c>
    </row>
    <row r="1169" spans="1:22" x14ac:dyDescent="0.2">
      <c r="A1169" s="4">
        <v>1168</v>
      </c>
      <c r="B1169" s="3" t="s">
        <v>6192</v>
      </c>
      <c r="C1169" s="7">
        <v>42265</v>
      </c>
      <c r="D1169" s="28">
        <f>MONTH(Table11[[#This Row],[Order Date]])</f>
        <v>9</v>
      </c>
      <c r="E1169" s="3" t="s">
        <v>3957</v>
      </c>
      <c r="F1169" s="3" t="s">
        <v>3958</v>
      </c>
      <c r="G1169" s="25" t="s">
        <v>28</v>
      </c>
      <c r="H1169" s="25" t="s">
        <v>58</v>
      </c>
      <c r="I1169" s="3" t="s">
        <v>2430</v>
      </c>
      <c r="J1169" s="25" t="s">
        <v>36</v>
      </c>
      <c r="K1169" s="28">
        <v>2</v>
      </c>
      <c r="L1169" s="7">
        <v>42270</v>
      </c>
      <c r="M1169" s="28">
        <f>Table11[[#This Row],[Ship Date]]-Table11[[#This Row],[Order Date]]</f>
        <v>5</v>
      </c>
      <c r="N1169" s="25" t="s">
        <v>45</v>
      </c>
      <c r="O1169" s="25" t="s">
        <v>23</v>
      </c>
      <c r="P1169" s="25" t="s">
        <v>38</v>
      </c>
      <c r="Q1169" s="25" t="s">
        <v>39</v>
      </c>
      <c r="R1169" s="25" t="s">
        <v>37</v>
      </c>
      <c r="S1169" s="35">
        <v>0</v>
      </c>
      <c r="T1169" s="16">
        <v>24.4</v>
      </c>
      <c r="U1169" s="19">
        <v>10.247999999999999</v>
      </c>
      <c r="V1169" s="56">
        <f>Table11[[#This Row],[Profit]]/Table11[[#This Row],[Sales]]</f>
        <v>0.42</v>
      </c>
    </row>
    <row r="1170" spans="1:22" x14ac:dyDescent="0.2">
      <c r="A1170" s="2">
        <v>1169</v>
      </c>
      <c r="B1170" s="5" t="s">
        <v>7155</v>
      </c>
      <c r="C1170" s="6">
        <v>42265</v>
      </c>
      <c r="D1170" s="27">
        <f>MONTH(Table11[[#This Row],[Order Date]])</f>
        <v>9</v>
      </c>
      <c r="E1170" s="5" t="s">
        <v>2659</v>
      </c>
      <c r="F1170" s="5" t="s">
        <v>2660</v>
      </c>
      <c r="G1170" s="24" t="s">
        <v>64</v>
      </c>
      <c r="H1170" s="24" t="s">
        <v>144</v>
      </c>
      <c r="I1170" s="5" t="s">
        <v>2434</v>
      </c>
      <c r="J1170" s="24" t="s">
        <v>36</v>
      </c>
      <c r="K1170" s="27">
        <v>9</v>
      </c>
      <c r="L1170" s="6">
        <v>42270</v>
      </c>
      <c r="M1170" s="27">
        <f>Table11[[#This Row],[Ship Date]]-Table11[[#This Row],[Order Date]]</f>
        <v>5</v>
      </c>
      <c r="N1170" s="24" t="s">
        <v>20</v>
      </c>
      <c r="O1170" s="24" t="s">
        <v>23</v>
      </c>
      <c r="P1170" s="24" t="s">
        <v>48</v>
      </c>
      <c r="Q1170" s="24" t="s">
        <v>26</v>
      </c>
      <c r="R1170" s="24" t="s">
        <v>1345</v>
      </c>
      <c r="S1170" s="34">
        <v>0.2</v>
      </c>
      <c r="T1170" s="15">
        <v>717.12</v>
      </c>
      <c r="U1170" s="18">
        <v>152.38800000000001</v>
      </c>
      <c r="V1170" s="56">
        <f>Table11[[#This Row],[Profit]]/Table11[[#This Row],[Sales]]</f>
        <v>0.21249999999999999</v>
      </c>
    </row>
    <row r="1171" spans="1:22" x14ac:dyDescent="0.2">
      <c r="A1171" s="4">
        <v>1170</v>
      </c>
      <c r="B1171" s="3" t="s">
        <v>7209</v>
      </c>
      <c r="C1171" s="7">
        <v>42265</v>
      </c>
      <c r="D1171" s="28">
        <f>MONTH(Table11[[#This Row],[Order Date]])</f>
        <v>9</v>
      </c>
      <c r="E1171" s="3" t="s">
        <v>4649</v>
      </c>
      <c r="F1171" s="3" t="s">
        <v>4650</v>
      </c>
      <c r="G1171" s="25" t="s">
        <v>41</v>
      </c>
      <c r="H1171" s="25" t="s">
        <v>82</v>
      </c>
      <c r="I1171" s="3" t="s">
        <v>1105</v>
      </c>
      <c r="J1171" s="25" t="s">
        <v>92</v>
      </c>
      <c r="K1171" s="28">
        <v>2</v>
      </c>
      <c r="L1171" s="7">
        <v>42271</v>
      </c>
      <c r="M1171" s="28">
        <f>Table11[[#This Row],[Ship Date]]-Table11[[#This Row],[Order Date]]</f>
        <v>6</v>
      </c>
      <c r="N1171" s="25" t="s">
        <v>45</v>
      </c>
      <c r="O1171" s="25" t="s">
        <v>23</v>
      </c>
      <c r="P1171" s="25" t="s">
        <v>87</v>
      </c>
      <c r="Q1171" s="25" t="s">
        <v>39</v>
      </c>
      <c r="R1171" s="25" t="s">
        <v>1216</v>
      </c>
      <c r="S1171" s="35">
        <v>0</v>
      </c>
      <c r="T1171" s="16">
        <v>18.54</v>
      </c>
      <c r="U1171" s="19">
        <v>8.7138000000000009</v>
      </c>
      <c r="V1171" s="56">
        <f>Table11[[#This Row],[Profit]]/Table11[[#This Row],[Sales]]</f>
        <v>0.47000000000000008</v>
      </c>
    </row>
    <row r="1172" spans="1:22" x14ac:dyDescent="0.2">
      <c r="A1172" s="4">
        <v>1171</v>
      </c>
      <c r="B1172" s="5" t="s">
        <v>7614</v>
      </c>
      <c r="C1172" s="6">
        <v>42265</v>
      </c>
      <c r="D1172" s="27">
        <f>MONTH(Table11[[#This Row],[Order Date]])</f>
        <v>9</v>
      </c>
      <c r="E1172" s="5" t="s">
        <v>104</v>
      </c>
      <c r="F1172" s="5" t="s">
        <v>105</v>
      </c>
      <c r="G1172" s="24" t="s">
        <v>41</v>
      </c>
      <c r="H1172" s="24" t="s">
        <v>53</v>
      </c>
      <c r="I1172" s="5" t="s">
        <v>3656</v>
      </c>
      <c r="J1172" s="24" t="s">
        <v>22</v>
      </c>
      <c r="K1172" s="27">
        <v>4</v>
      </c>
      <c r="L1172" s="6">
        <v>42268</v>
      </c>
      <c r="M1172" s="27">
        <f>Table11[[#This Row],[Ship Date]]-Table11[[#This Row],[Order Date]]</f>
        <v>3</v>
      </c>
      <c r="N1172" s="24" t="s">
        <v>169</v>
      </c>
      <c r="O1172" s="24" t="s">
        <v>23</v>
      </c>
      <c r="P1172" s="24" t="s">
        <v>38</v>
      </c>
      <c r="Q1172" s="24" t="s">
        <v>39</v>
      </c>
      <c r="R1172" s="24" t="s">
        <v>836</v>
      </c>
      <c r="S1172" s="34">
        <v>0</v>
      </c>
      <c r="T1172" s="15">
        <v>443.92</v>
      </c>
      <c r="U1172" s="18">
        <v>8.8783999999999992</v>
      </c>
      <c r="V1172" s="56">
        <f>Table11[[#This Row],[Profit]]/Table11[[#This Row],[Sales]]</f>
        <v>1.9999999999999997E-2</v>
      </c>
    </row>
    <row r="1173" spans="1:22" x14ac:dyDescent="0.2">
      <c r="A1173" s="2">
        <v>1172</v>
      </c>
      <c r="B1173" s="3" t="s">
        <v>3185</v>
      </c>
      <c r="C1173" s="7">
        <v>42266</v>
      </c>
      <c r="D1173" s="28">
        <f>MONTH(Table11[[#This Row],[Order Date]])</f>
        <v>9</v>
      </c>
      <c r="E1173" s="3" t="s">
        <v>3187</v>
      </c>
      <c r="F1173" s="3" t="s">
        <v>3188</v>
      </c>
      <c r="G1173" s="25" t="s">
        <v>28</v>
      </c>
      <c r="H1173" s="25" t="s">
        <v>29</v>
      </c>
      <c r="I1173" s="3" t="s">
        <v>3186</v>
      </c>
      <c r="J1173" s="25" t="s">
        <v>92</v>
      </c>
      <c r="K1173" s="28">
        <v>2</v>
      </c>
      <c r="L1173" s="7">
        <v>42271</v>
      </c>
      <c r="M1173" s="28">
        <f>Table11[[#This Row],[Ship Date]]-Table11[[#This Row],[Order Date]]</f>
        <v>5</v>
      </c>
      <c r="N1173" s="25" t="s">
        <v>20</v>
      </c>
      <c r="O1173" s="25" t="s">
        <v>23</v>
      </c>
      <c r="P1173" s="25" t="s">
        <v>285</v>
      </c>
      <c r="Q1173" s="25" t="s">
        <v>26</v>
      </c>
      <c r="R1173" s="25" t="s">
        <v>997</v>
      </c>
      <c r="S1173" s="35">
        <v>0</v>
      </c>
      <c r="T1173" s="16">
        <v>61.96</v>
      </c>
      <c r="U1173" s="19">
        <v>4.3372000000000002</v>
      </c>
      <c r="V1173" s="56">
        <f>Table11[[#This Row],[Profit]]/Table11[[#This Row],[Sales]]</f>
        <v>7.0000000000000007E-2</v>
      </c>
    </row>
    <row r="1174" spans="1:22" x14ac:dyDescent="0.2">
      <c r="A1174" s="4">
        <v>1173</v>
      </c>
      <c r="B1174" s="5" t="s">
        <v>7245</v>
      </c>
      <c r="C1174" s="6">
        <v>42266</v>
      </c>
      <c r="D1174" s="27">
        <f>MONTH(Table11[[#This Row],[Order Date]])</f>
        <v>9</v>
      </c>
      <c r="E1174" s="5" t="s">
        <v>4926</v>
      </c>
      <c r="F1174" s="5" t="s">
        <v>4927</v>
      </c>
      <c r="G1174" s="24" t="s">
        <v>64</v>
      </c>
      <c r="H1174" s="24" t="s">
        <v>144</v>
      </c>
      <c r="I1174" s="5" t="s">
        <v>3462</v>
      </c>
      <c r="J1174" s="24" t="s">
        <v>36</v>
      </c>
      <c r="K1174" s="27">
        <v>4</v>
      </c>
      <c r="L1174" s="6">
        <v>42273</v>
      </c>
      <c r="M1174" s="27">
        <f>Table11[[#This Row],[Ship Date]]-Table11[[#This Row],[Order Date]]</f>
        <v>7</v>
      </c>
      <c r="N1174" s="24" t="s">
        <v>45</v>
      </c>
      <c r="O1174" s="24" t="s">
        <v>23</v>
      </c>
      <c r="P1174" s="24" t="s">
        <v>1125</v>
      </c>
      <c r="Q1174" s="24" t="s">
        <v>26</v>
      </c>
      <c r="R1174" s="24" t="s">
        <v>440</v>
      </c>
      <c r="S1174" s="34">
        <v>0</v>
      </c>
      <c r="T1174" s="15">
        <v>66.36</v>
      </c>
      <c r="U1174" s="18">
        <v>23.225999999999999</v>
      </c>
      <c r="V1174" s="56">
        <f>Table11[[#This Row],[Profit]]/Table11[[#This Row],[Sales]]</f>
        <v>0.35</v>
      </c>
    </row>
    <row r="1175" spans="1:22" x14ac:dyDescent="0.2">
      <c r="A1175" s="4">
        <v>1174</v>
      </c>
      <c r="B1175" s="3" t="s">
        <v>7955</v>
      </c>
      <c r="C1175" s="7">
        <v>42266</v>
      </c>
      <c r="D1175" s="28">
        <f>MONTH(Table11[[#This Row],[Order Date]])</f>
        <v>9</v>
      </c>
      <c r="E1175" s="3" t="s">
        <v>1701</v>
      </c>
      <c r="F1175" s="3" t="s">
        <v>1702</v>
      </c>
      <c r="G1175" s="25" t="s">
        <v>41</v>
      </c>
      <c r="H1175" s="25" t="s">
        <v>82</v>
      </c>
      <c r="I1175" s="3" t="s">
        <v>3394</v>
      </c>
      <c r="J1175" s="25" t="s">
        <v>36</v>
      </c>
      <c r="K1175" s="28">
        <v>2</v>
      </c>
      <c r="L1175" s="7">
        <v>42269</v>
      </c>
      <c r="M1175" s="28">
        <f>Table11[[#This Row],[Ship Date]]-Table11[[#This Row],[Order Date]]</f>
        <v>3</v>
      </c>
      <c r="N1175" s="25" t="s">
        <v>20</v>
      </c>
      <c r="O1175" s="25" t="s">
        <v>23</v>
      </c>
      <c r="P1175" s="25" t="s">
        <v>38</v>
      </c>
      <c r="Q1175" s="25" t="s">
        <v>39</v>
      </c>
      <c r="R1175" s="25" t="s">
        <v>37</v>
      </c>
      <c r="S1175" s="35">
        <v>0</v>
      </c>
      <c r="T1175" s="16">
        <v>22.96</v>
      </c>
      <c r="U1175" s="19">
        <v>11.250400000000001</v>
      </c>
      <c r="V1175" s="56">
        <f>Table11[[#This Row],[Profit]]/Table11[[#This Row],[Sales]]</f>
        <v>0.49</v>
      </c>
    </row>
    <row r="1176" spans="1:22" x14ac:dyDescent="0.2">
      <c r="A1176" s="2">
        <v>1175</v>
      </c>
      <c r="B1176" s="5" t="s">
        <v>8226</v>
      </c>
      <c r="C1176" s="6">
        <v>42266</v>
      </c>
      <c r="D1176" s="27">
        <f>MONTH(Table11[[#This Row],[Order Date]])</f>
        <v>9</v>
      </c>
      <c r="E1176" s="5" t="s">
        <v>815</v>
      </c>
      <c r="F1176" s="5" t="s">
        <v>816</v>
      </c>
      <c r="G1176" s="24" t="s">
        <v>64</v>
      </c>
      <c r="H1176" s="24" t="s">
        <v>65</v>
      </c>
      <c r="I1176" s="5" t="s">
        <v>4088</v>
      </c>
      <c r="J1176" s="24" t="s">
        <v>22</v>
      </c>
      <c r="K1176" s="27">
        <v>14</v>
      </c>
      <c r="L1176" s="6">
        <v>42269</v>
      </c>
      <c r="M1176" s="27">
        <f>Table11[[#This Row],[Ship Date]]-Table11[[#This Row],[Order Date]]</f>
        <v>3</v>
      </c>
      <c r="N1176" s="24" t="s">
        <v>20</v>
      </c>
      <c r="O1176" s="24" t="s">
        <v>23</v>
      </c>
      <c r="P1176" s="24" t="s">
        <v>238</v>
      </c>
      <c r="Q1176" s="24" t="s">
        <v>133</v>
      </c>
      <c r="R1176" s="24" t="s">
        <v>237</v>
      </c>
      <c r="S1176" s="34">
        <v>0</v>
      </c>
      <c r="T1176" s="15">
        <v>279.86</v>
      </c>
      <c r="U1176" s="18">
        <v>134.33279999999999</v>
      </c>
      <c r="V1176" s="56">
        <f>Table11[[#This Row],[Profit]]/Table11[[#This Row],[Sales]]</f>
        <v>0.47999999999999993</v>
      </c>
    </row>
    <row r="1177" spans="1:22" x14ac:dyDescent="0.2">
      <c r="A1177" s="4">
        <v>1176</v>
      </c>
      <c r="B1177" s="3" t="s">
        <v>9757</v>
      </c>
      <c r="C1177" s="7">
        <v>42266</v>
      </c>
      <c r="D1177" s="28">
        <f>MONTH(Table11[[#This Row],[Order Date]])</f>
        <v>9</v>
      </c>
      <c r="E1177" s="3" t="s">
        <v>6606</v>
      </c>
      <c r="F1177" s="3" t="s">
        <v>6607</v>
      </c>
      <c r="G1177" s="25" t="s">
        <v>41</v>
      </c>
      <c r="H1177" s="25" t="s">
        <v>61</v>
      </c>
      <c r="I1177" s="3" t="s">
        <v>7471</v>
      </c>
      <c r="J1177" s="25" t="s">
        <v>92</v>
      </c>
      <c r="K1177" s="28">
        <v>5</v>
      </c>
      <c r="L1177" s="7">
        <v>42271</v>
      </c>
      <c r="M1177" s="28">
        <f>Table11[[#This Row],[Ship Date]]-Table11[[#This Row],[Order Date]]</f>
        <v>5</v>
      </c>
      <c r="N1177" s="25" t="s">
        <v>45</v>
      </c>
      <c r="O1177" s="25" t="s">
        <v>23</v>
      </c>
      <c r="P1177" s="25" t="s">
        <v>589</v>
      </c>
      <c r="Q1177" s="25" t="s">
        <v>39</v>
      </c>
      <c r="R1177" s="25" t="s">
        <v>5967</v>
      </c>
      <c r="S1177" s="35">
        <v>0</v>
      </c>
      <c r="T1177" s="16">
        <v>8.4</v>
      </c>
      <c r="U1177" s="19">
        <v>2.1840000000000002</v>
      </c>
      <c r="V1177" s="56">
        <f>Table11[[#This Row],[Profit]]/Table11[[#This Row],[Sales]]</f>
        <v>0.26</v>
      </c>
    </row>
    <row r="1178" spans="1:22" x14ac:dyDescent="0.2">
      <c r="A1178" s="4">
        <v>1177</v>
      </c>
      <c r="B1178" s="5" t="s">
        <v>9935</v>
      </c>
      <c r="C1178" s="6">
        <v>42266</v>
      </c>
      <c r="D1178" s="27">
        <f>MONTH(Table11[[#This Row],[Order Date]])</f>
        <v>9</v>
      </c>
      <c r="E1178" s="5" t="s">
        <v>5651</v>
      </c>
      <c r="F1178" s="5" t="s">
        <v>5652</v>
      </c>
      <c r="G1178" s="24" t="s">
        <v>28</v>
      </c>
      <c r="H1178" s="24" t="s">
        <v>58</v>
      </c>
      <c r="I1178" s="5" t="s">
        <v>7475</v>
      </c>
      <c r="J1178" s="24" t="s">
        <v>92</v>
      </c>
      <c r="K1178" s="27">
        <v>3</v>
      </c>
      <c r="L1178" s="6">
        <v>42270</v>
      </c>
      <c r="M1178" s="27">
        <f>Table11[[#This Row],[Ship Date]]-Table11[[#This Row],[Order Date]]</f>
        <v>4</v>
      </c>
      <c r="N1178" s="24" t="s">
        <v>45</v>
      </c>
      <c r="O1178" s="24" t="s">
        <v>23</v>
      </c>
      <c r="P1178" s="24" t="s">
        <v>38</v>
      </c>
      <c r="Q1178" s="24" t="s">
        <v>39</v>
      </c>
      <c r="R1178" s="24" t="s">
        <v>4790</v>
      </c>
      <c r="S1178" s="34">
        <v>0</v>
      </c>
      <c r="T1178" s="15">
        <v>60.84</v>
      </c>
      <c r="U1178" s="18">
        <v>19.468800000000002</v>
      </c>
      <c r="V1178" s="56">
        <f>Table11[[#This Row],[Profit]]/Table11[[#This Row],[Sales]]</f>
        <v>0.32</v>
      </c>
    </row>
    <row r="1179" spans="1:22" x14ac:dyDescent="0.2">
      <c r="A1179" s="2">
        <v>1178</v>
      </c>
      <c r="B1179" s="3" t="s">
        <v>9013</v>
      </c>
      <c r="C1179" s="7">
        <v>42267</v>
      </c>
      <c r="D1179" s="28">
        <f>MONTH(Table11[[#This Row],[Order Date]])</f>
        <v>9</v>
      </c>
      <c r="E1179" s="3" t="s">
        <v>5043</v>
      </c>
      <c r="F1179" s="3" t="s">
        <v>5044</v>
      </c>
      <c r="G1179" s="25" t="s">
        <v>41</v>
      </c>
      <c r="H1179" s="25" t="s">
        <v>68</v>
      </c>
      <c r="I1179" s="3" t="s">
        <v>107</v>
      </c>
      <c r="J1179" s="25" t="s">
        <v>22</v>
      </c>
      <c r="K1179" s="28">
        <v>6</v>
      </c>
      <c r="L1179" s="7">
        <v>42269</v>
      </c>
      <c r="M1179" s="28">
        <f>Table11[[#This Row],[Ship Date]]-Table11[[#This Row],[Order Date]]</f>
        <v>2</v>
      </c>
      <c r="N1179" s="25" t="s">
        <v>169</v>
      </c>
      <c r="O1179" s="25" t="s">
        <v>23</v>
      </c>
      <c r="P1179" s="25" t="s">
        <v>1101</v>
      </c>
      <c r="Q1179" s="25" t="s">
        <v>133</v>
      </c>
      <c r="R1179" s="25" t="s">
        <v>1308</v>
      </c>
      <c r="S1179" s="35">
        <v>0</v>
      </c>
      <c r="T1179" s="16">
        <v>37.68</v>
      </c>
      <c r="U1179" s="19">
        <v>16.956</v>
      </c>
      <c r="V1179" s="56">
        <f>Table11[[#This Row],[Profit]]/Table11[[#This Row],[Sales]]</f>
        <v>0.45</v>
      </c>
    </row>
    <row r="1180" spans="1:22" x14ac:dyDescent="0.2">
      <c r="A1180" s="4">
        <v>1179</v>
      </c>
      <c r="B1180" s="5" t="s">
        <v>9029</v>
      </c>
      <c r="C1180" s="6">
        <v>42267</v>
      </c>
      <c r="D1180" s="27">
        <f>MONTH(Table11[[#This Row],[Order Date]])</f>
        <v>9</v>
      </c>
      <c r="E1180" s="5" t="s">
        <v>1106</v>
      </c>
      <c r="F1180" s="5" t="s">
        <v>1107</v>
      </c>
      <c r="G1180" s="24" t="s">
        <v>41</v>
      </c>
      <c r="H1180" s="24" t="s">
        <v>82</v>
      </c>
      <c r="I1180" s="5" t="s">
        <v>4397</v>
      </c>
      <c r="J1180" s="24" t="s">
        <v>36</v>
      </c>
      <c r="K1180" s="27">
        <v>5</v>
      </c>
      <c r="L1180" s="6">
        <v>42273</v>
      </c>
      <c r="M1180" s="27">
        <f>Table11[[#This Row],[Ship Date]]-Table11[[#This Row],[Order Date]]</f>
        <v>6</v>
      </c>
      <c r="N1180" s="24" t="s">
        <v>45</v>
      </c>
      <c r="O1180" s="24" t="s">
        <v>23</v>
      </c>
      <c r="P1180" s="24" t="s">
        <v>238</v>
      </c>
      <c r="Q1180" s="24" t="s">
        <v>133</v>
      </c>
      <c r="R1180" s="24" t="s">
        <v>1037</v>
      </c>
      <c r="S1180" s="34">
        <v>0</v>
      </c>
      <c r="T1180" s="15">
        <v>61.4</v>
      </c>
      <c r="U1180" s="18">
        <v>28.858000000000001</v>
      </c>
      <c r="V1180" s="56">
        <f>Table11[[#This Row],[Profit]]/Table11[[#This Row],[Sales]]</f>
        <v>0.47000000000000003</v>
      </c>
    </row>
    <row r="1181" spans="1:22" x14ac:dyDescent="0.2">
      <c r="A1181" s="4">
        <v>1180</v>
      </c>
      <c r="B1181" s="3" t="s">
        <v>9029</v>
      </c>
      <c r="C1181" s="7">
        <v>42267</v>
      </c>
      <c r="D1181" s="28">
        <f>MONTH(Table11[[#This Row],[Order Date]])</f>
        <v>9</v>
      </c>
      <c r="E1181" s="3" t="s">
        <v>4824</v>
      </c>
      <c r="F1181" s="3" t="s">
        <v>4825</v>
      </c>
      <c r="G1181" s="25" t="s">
        <v>41</v>
      </c>
      <c r="H1181" s="25" t="s">
        <v>68</v>
      </c>
      <c r="I1181" s="3" t="s">
        <v>4397</v>
      </c>
      <c r="J1181" s="25" t="s">
        <v>36</v>
      </c>
      <c r="K1181" s="28">
        <v>2</v>
      </c>
      <c r="L1181" s="7">
        <v>42273</v>
      </c>
      <c r="M1181" s="28">
        <f>Table11[[#This Row],[Ship Date]]-Table11[[#This Row],[Order Date]]</f>
        <v>6</v>
      </c>
      <c r="N1181" s="25" t="s">
        <v>45</v>
      </c>
      <c r="O1181" s="25" t="s">
        <v>23</v>
      </c>
      <c r="P1181" s="25" t="s">
        <v>238</v>
      </c>
      <c r="Q1181" s="25" t="s">
        <v>133</v>
      </c>
      <c r="R1181" s="25" t="s">
        <v>1037</v>
      </c>
      <c r="S1181" s="35">
        <v>0.2</v>
      </c>
      <c r="T1181" s="16">
        <v>24.448</v>
      </c>
      <c r="U1181" s="19">
        <v>8.8623999999999992</v>
      </c>
      <c r="V1181" s="56">
        <f>Table11[[#This Row],[Profit]]/Table11[[#This Row],[Sales]]</f>
        <v>0.36249999999999993</v>
      </c>
    </row>
    <row r="1182" spans="1:22" x14ac:dyDescent="0.2">
      <c r="A1182" s="2">
        <v>1181</v>
      </c>
      <c r="B1182" s="5" t="s">
        <v>9112</v>
      </c>
      <c r="C1182" s="6">
        <v>42267</v>
      </c>
      <c r="D1182" s="27">
        <f>MONTH(Table11[[#This Row],[Order Date]])</f>
        <v>9</v>
      </c>
      <c r="E1182" s="5" t="s">
        <v>2370</v>
      </c>
      <c r="F1182" s="5" t="s">
        <v>2371</v>
      </c>
      <c r="G1182" s="24" t="s">
        <v>41</v>
      </c>
      <c r="H1182" s="24" t="s">
        <v>68</v>
      </c>
      <c r="I1182" s="5" t="s">
        <v>7606</v>
      </c>
      <c r="J1182" s="24" t="s">
        <v>22</v>
      </c>
      <c r="K1182" s="27">
        <v>6</v>
      </c>
      <c r="L1182" s="6">
        <v>42271</v>
      </c>
      <c r="M1182" s="27">
        <f>Table11[[#This Row],[Ship Date]]-Table11[[#This Row],[Order Date]]</f>
        <v>4</v>
      </c>
      <c r="N1182" s="24" t="s">
        <v>45</v>
      </c>
      <c r="O1182" s="24" t="s">
        <v>23</v>
      </c>
      <c r="P1182" s="24" t="s">
        <v>299</v>
      </c>
      <c r="Q1182" s="24" t="s">
        <v>26</v>
      </c>
      <c r="R1182" s="24" t="s">
        <v>5035</v>
      </c>
      <c r="S1182" s="34">
        <v>0.7</v>
      </c>
      <c r="T1182" s="15">
        <v>1369.7639999999999</v>
      </c>
      <c r="U1182" s="18">
        <v>-913.17600000000004</v>
      </c>
      <c r="V1182" s="56">
        <f>Table11[[#This Row],[Profit]]/Table11[[#This Row],[Sales]]</f>
        <v>-0.66666666666666674</v>
      </c>
    </row>
    <row r="1183" spans="1:22" x14ac:dyDescent="0.2">
      <c r="A1183" s="4">
        <v>1182</v>
      </c>
      <c r="B1183" s="3" t="s">
        <v>9112</v>
      </c>
      <c r="C1183" s="7">
        <v>42267</v>
      </c>
      <c r="D1183" s="28">
        <f>MONTH(Table11[[#This Row],[Order Date]])</f>
        <v>9</v>
      </c>
      <c r="E1183" s="3" t="s">
        <v>739</v>
      </c>
      <c r="F1183" s="3" t="s">
        <v>740</v>
      </c>
      <c r="G1183" s="25" t="s">
        <v>41</v>
      </c>
      <c r="H1183" s="25" t="s">
        <v>53</v>
      </c>
      <c r="I1183" s="3" t="s">
        <v>7606</v>
      </c>
      <c r="J1183" s="25" t="s">
        <v>22</v>
      </c>
      <c r="K1183" s="28">
        <v>4</v>
      </c>
      <c r="L1183" s="7">
        <v>42271</v>
      </c>
      <c r="M1183" s="28">
        <f>Table11[[#This Row],[Ship Date]]-Table11[[#This Row],[Order Date]]</f>
        <v>4</v>
      </c>
      <c r="N1183" s="25" t="s">
        <v>45</v>
      </c>
      <c r="O1183" s="25" t="s">
        <v>23</v>
      </c>
      <c r="P1183" s="25" t="s">
        <v>299</v>
      </c>
      <c r="Q1183" s="25" t="s">
        <v>26</v>
      </c>
      <c r="R1183" s="25" t="s">
        <v>5035</v>
      </c>
      <c r="S1183" s="35">
        <v>0.2</v>
      </c>
      <c r="T1183" s="16">
        <v>294.36799999999999</v>
      </c>
      <c r="U1183" s="19">
        <v>-58.873600000000003</v>
      </c>
      <c r="V1183" s="56">
        <f>Table11[[#This Row],[Profit]]/Table11[[#This Row],[Sales]]</f>
        <v>-0.2</v>
      </c>
    </row>
    <row r="1184" spans="1:22" x14ac:dyDescent="0.2">
      <c r="A1184" s="4">
        <v>1183</v>
      </c>
      <c r="B1184" s="5" t="s">
        <v>9247</v>
      </c>
      <c r="C1184" s="6">
        <v>42267</v>
      </c>
      <c r="D1184" s="27">
        <f>MONTH(Table11[[#This Row],[Order Date]])</f>
        <v>9</v>
      </c>
      <c r="E1184" s="5" t="s">
        <v>5691</v>
      </c>
      <c r="F1184" s="5" t="s">
        <v>5692</v>
      </c>
      <c r="G1184" s="24" t="s">
        <v>41</v>
      </c>
      <c r="H1184" s="24" t="s">
        <v>68</v>
      </c>
      <c r="I1184" s="5" t="s">
        <v>4337</v>
      </c>
      <c r="J1184" s="24" t="s">
        <v>22</v>
      </c>
      <c r="K1184" s="27">
        <v>11</v>
      </c>
      <c r="L1184" s="6">
        <v>42273</v>
      </c>
      <c r="M1184" s="27">
        <f>Table11[[#This Row],[Ship Date]]-Table11[[#This Row],[Order Date]]</f>
        <v>6</v>
      </c>
      <c r="N1184" s="24" t="s">
        <v>45</v>
      </c>
      <c r="O1184" s="24" t="s">
        <v>23</v>
      </c>
      <c r="P1184" s="24" t="s">
        <v>1229</v>
      </c>
      <c r="Q1184" s="24" t="s">
        <v>39</v>
      </c>
      <c r="R1184" s="24" t="s">
        <v>1228</v>
      </c>
      <c r="S1184" s="34">
        <v>0.2</v>
      </c>
      <c r="T1184" s="15">
        <v>45.584000000000003</v>
      </c>
      <c r="U1184" s="18">
        <v>16.5242</v>
      </c>
      <c r="V1184" s="56">
        <f>Table11[[#This Row],[Profit]]/Table11[[#This Row],[Sales]]</f>
        <v>0.36249999999999999</v>
      </c>
    </row>
    <row r="1185" spans="1:22" x14ac:dyDescent="0.2">
      <c r="A1185" s="2">
        <v>1184</v>
      </c>
      <c r="B1185" s="3" t="s">
        <v>9669</v>
      </c>
      <c r="C1185" s="7">
        <v>42267</v>
      </c>
      <c r="D1185" s="28">
        <f>MONTH(Table11[[#This Row],[Order Date]])</f>
        <v>9</v>
      </c>
      <c r="E1185" s="3" t="s">
        <v>2074</v>
      </c>
      <c r="F1185" s="3" t="s">
        <v>2075</v>
      </c>
      <c r="G1185" s="25" t="s">
        <v>41</v>
      </c>
      <c r="H1185" s="25" t="s">
        <v>68</v>
      </c>
      <c r="I1185" s="3" t="s">
        <v>1763</v>
      </c>
      <c r="J1185" s="25" t="s">
        <v>22</v>
      </c>
      <c r="K1185" s="28">
        <v>3</v>
      </c>
      <c r="L1185" s="7">
        <v>42271</v>
      </c>
      <c r="M1185" s="28">
        <f>Table11[[#This Row],[Ship Date]]-Table11[[#This Row],[Order Date]]</f>
        <v>4</v>
      </c>
      <c r="N1185" s="25" t="s">
        <v>45</v>
      </c>
      <c r="O1185" s="25" t="s">
        <v>23</v>
      </c>
      <c r="P1185" s="25" t="s">
        <v>189</v>
      </c>
      <c r="Q1185" s="25" t="s">
        <v>95</v>
      </c>
      <c r="R1185" s="25" t="s">
        <v>188</v>
      </c>
      <c r="S1185" s="35">
        <v>0.8</v>
      </c>
      <c r="T1185" s="16">
        <v>2.8079999999999998</v>
      </c>
      <c r="U1185" s="19">
        <v>-4.4927999999999999</v>
      </c>
      <c r="V1185" s="56">
        <f>Table11[[#This Row],[Profit]]/Table11[[#This Row],[Sales]]</f>
        <v>-1.6</v>
      </c>
    </row>
    <row r="1186" spans="1:22" x14ac:dyDescent="0.2">
      <c r="A1186" s="4">
        <v>1185</v>
      </c>
      <c r="B1186" s="5" t="s">
        <v>3389</v>
      </c>
      <c r="C1186" s="6">
        <v>42268</v>
      </c>
      <c r="D1186" s="27">
        <f>MONTH(Table11[[#This Row],[Order Date]])</f>
        <v>9</v>
      </c>
      <c r="E1186" s="5" t="s">
        <v>3391</v>
      </c>
      <c r="F1186" s="5" t="s">
        <v>3392</v>
      </c>
      <c r="G1186" s="24" t="s">
        <v>64</v>
      </c>
      <c r="H1186" s="24" t="s">
        <v>65</v>
      </c>
      <c r="I1186" s="5" t="s">
        <v>3390</v>
      </c>
      <c r="J1186" s="24" t="s">
        <v>36</v>
      </c>
      <c r="K1186" s="27">
        <v>7</v>
      </c>
      <c r="L1186" s="6">
        <v>42271</v>
      </c>
      <c r="M1186" s="27">
        <f>Table11[[#This Row],[Ship Date]]-Table11[[#This Row],[Order Date]]</f>
        <v>3</v>
      </c>
      <c r="N1186" s="24" t="s">
        <v>169</v>
      </c>
      <c r="O1186" s="24" t="s">
        <v>23</v>
      </c>
      <c r="P1186" s="24" t="s">
        <v>94</v>
      </c>
      <c r="Q1186" s="24" t="s">
        <v>95</v>
      </c>
      <c r="R1186" s="24" t="s">
        <v>165</v>
      </c>
      <c r="S1186" s="34">
        <v>0.2</v>
      </c>
      <c r="T1186" s="15">
        <v>946.34400000000005</v>
      </c>
      <c r="U1186" s="18">
        <v>118.29300000000001</v>
      </c>
      <c r="V1186" s="56">
        <f>Table11[[#This Row],[Profit]]/Table11[[#This Row],[Sales]]</f>
        <v>0.125</v>
      </c>
    </row>
    <row r="1187" spans="1:22" x14ac:dyDescent="0.2">
      <c r="A1187" s="4">
        <v>1186</v>
      </c>
      <c r="B1187" s="3" t="s">
        <v>3389</v>
      </c>
      <c r="C1187" s="7">
        <v>42268</v>
      </c>
      <c r="D1187" s="28">
        <f>MONTH(Table11[[#This Row],[Order Date]])</f>
        <v>9</v>
      </c>
      <c r="E1187" s="3" t="s">
        <v>2491</v>
      </c>
      <c r="F1187" s="3" t="s">
        <v>2492</v>
      </c>
      <c r="G1187" s="25" t="s">
        <v>64</v>
      </c>
      <c r="H1187" s="25" t="s">
        <v>144</v>
      </c>
      <c r="I1187" s="3" t="s">
        <v>3390</v>
      </c>
      <c r="J1187" s="25" t="s">
        <v>36</v>
      </c>
      <c r="K1187" s="28">
        <v>3</v>
      </c>
      <c r="L1187" s="7">
        <v>42271</v>
      </c>
      <c r="M1187" s="28">
        <f>Table11[[#This Row],[Ship Date]]-Table11[[#This Row],[Order Date]]</f>
        <v>3</v>
      </c>
      <c r="N1187" s="25" t="s">
        <v>169</v>
      </c>
      <c r="O1187" s="25" t="s">
        <v>23</v>
      </c>
      <c r="P1187" s="25" t="s">
        <v>94</v>
      </c>
      <c r="Q1187" s="25" t="s">
        <v>95</v>
      </c>
      <c r="R1187" s="25" t="s">
        <v>165</v>
      </c>
      <c r="S1187" s="35">
        <v>0.2</v>
      </c>
      <c r="T1187" s="16">
        <v>151.19999999999999</v>
      </c>
      <c r="U1187" s="19">
        <v>32.130000000000003</v>
      </c>
      <c r="V1187" s="56">
        <f>Table11[[#This Row],[Profit]]/Table11[[#This Row],[Sales]]</f>
        <v>0.21250000000000002</v>
      </c>
    </row>
    <row r="1188" spans="1:22" x14ac:dyDescent="0.2">
      <c r="A1188" s="2">
        <v>1187</v>
      </c>
      <c r="B1188" s="5" t="s">
        <v>3389</v>
      </c>
      <c r="C1188" s="6">
        <v>42268</v>
      </c>
      <c r="D1188" s="27">
        <f>MONTH(Table11[[#This Row],[Order Date]])</f>
        <v>9</v>
      </c>
      <c r="E1188" s="5" t="s">
        <v>231</v>
      </c>
      <c r="F1188" s="5" t="s">
        <v>232</v>
      </c>
      <c r="G1188" s="24" t="s">
        <v>28</v>
      </c>
      <c r="H1188" s="24" t="s">
        <v>58</v>
      </c>
      <c r="I1188" s="5" t="s">
        <v>3390</v>
      </c>
      <c r="J1188" s="24" t="s">
        <v>36</v>
      </c>
      <c r="K1188" s="27">
        <v>4</v>
      </c>
      <c r="L1188" s="6">
        <v>42271</v>
      </c>
      <c r="M1188" s="27">
        <f>Table11[[#This Row],[Ship Date]]-Table11[[#This Row],[Order Date]]</f>
        <v>3</v>
      </c>
      <c r="N1188" s="24" t="s">
        <v>169</v>
      </c>
      <c r="O1188" s="24" t="s">
        <v>23</v>
      </c>
      <c r="P1188" s="24" t="s">
        <v>94</v>
      </c>
      <c r="Q1188" s="24" t="s">
        <v>95</v>
      </c>
      <c r="R1188" s="24" t="s">
        <v>165</v>
      </c>
      <c r="S1188" s="34">
        <v>0.6</v>
      </c>
      <c r="T1188" s="15">
        <v>4.9279999999999999</v>
      </c>
      <c r="U1188" s="18">
        <v>-1.4783999999999999</v>
      </c>
      <c r="V1188" s="56">
        <f>Table11[[#This Row],[Profit]]/Table11[[#This Row],[Sales]]</f>
        <v>-0.3</v>
      </c>
    </row>
    <row r="1189" spans="1:22" x14ac:dyDescent="0.2">
      <c r="A1189" s="4">
        <v>1188</v>
      </c>
      <c r="B1189" s="3" t="s">
        <v>4672</v>
      </c>
      <c r="C1189" s="7">
        <v>42268</v>
      </c>
      <c r="D1189" s="28">
        <f>MONTH(Table11[[#This Row],[Order Date]])</f>
        <v>9</v>
      </c>
      <c r="E1189" s="3" t="s">
        <v>4673</v>
      </c>
      <c r="F1189" s="3" t="s">
        <v>4674</v>
      </c>
      <c r="G1189" s="25" t="s">
        <v>41</v>
      </c>
      <c r="H1189" s="25" t="s">
        <v>53</v>
      </c>
      <c r="I1189" s="3" t="s">
        <v>615</v>
      </c>
      <c r="J1189" s="25" t="s">
        <v>22</v>
      </c>
      <c r="K1189" s="28">
        <v>6</v>
      </c>
      <c r="L1189" s="7">
        <v>42274</v>
      </c>
      <c r="M1189" s="28">
        <f>Table11[[#This Row],[Ship Date]]-Table11[[#This Row],[Order Date]]</f>
        <v>6</v>
      </c>
      <c r="N1189" s="25" t="s">
        <v>45</v>
      </c>
      <c r="O1189" s="25" t="s">
        <v>23</v>
      </c>
      <c r="P1189" s="25" t="s">
        <v>87</v>
      </c>
      <c r="Q1189" s="25" t="s">
        <v>39</v>
      </c>
      <c r="R1189" s="25" t="s">
        <v>86</v>
      </c>
      <c r="S1189" s="35">
        <v>0</v>
      </c>
      <c r="T1189" s="16">
        <v>199.74</v>
      </c>
      <c r="U1189" s="19">
        <v>47.937600000000003</v>
      </c>
      <c r="V1189" s="56">
        <f>Table11[[#This Row],[Profit]]/Table11[[#This Row],[Sales]]</f>
        <v>0.24000000000000002</v>
      </c>
    </row>
    <row r="1190" spans="1:22" x14ac:dyDescent="0.2">
      <c r="A1190" s="4">
        <v>1189</v>
      </c>
      <c r="B1190" s="5" t="s">
        <v>5313</v>
      </c>
      <c r="C1190" s="6">
        <v>42268</v>
      </c>
      <c r="D1190" s="27">
        <f>MONTH(Table11[[#This Row],[Order Date]])</f>
        <v>9</v>
      </c>
      <c r="E1190" s="5" t="s">
        <v>1707</v>
      </c>
      <c r="F1190" s="5" t="s">
        <v>1708</v>
      </c>
      <c r="G1190" s="24" t="s">
        <v>28</v>
      </c>
      <c r="H1190" s="24" t="s">
        <v>32</v>
      </c>
      <c r="I1190" s="5" t="s">
        <v>3875</v>
      </c>
      <c r="J1190" s="24" t="s">
        <v>92</v>
      </c>
      <c r="K1190" s="27">
        <v>4</v>
      </c>
      <c r="L1190" s="6">
        <v>42270</v>
      </c>
      <c r="M1190" s="27">
        <f>Table11[[#This Row],[Ship Date]]-Table11[[#This Row],[Order Date]]</f>
        <v>2</v>
      </c>
      <c r="N1190" s="24" t="s">
        <v>169</v>
      </c>
      <c r="O1190" s="24" t="s">
        <v>23</v>
      </c>
      <c r="P1190" s="24" t="s">
        <v>38</v>
      </c>
      <c r="Q1190" s="24" t="s">
        <v>39</v>
      </c>
      <c r="R1190" s="24" t="s">
        <v>37</v>
      </c>
      <c r="S1190" s="34">
        <v>0.2</v>
      </c>
      <c r="T1190" s="15">
        <v>601.53599999999994</v>
      </c>
      <c r="U1190" s="18">
        <v>0</v>
      </c>
      <c r="V1190" s="56">
        <f>Table11[[#This Row],[Profit]]/Table11[[#This Row],[Sales]]</f>
        <v>0</v>
      </c>
    </row>
    <row r="1191" spans="1:22" x14ac:dyDescent="0.2">
      <c r="A1191" s="2">
        <v>1190</v>
      </c>
      <c r="B1191" s="3" t="s">
        <v>5313</v>
      </c>
      <c r="C1191" s="7">
        <v>42268</v>
      </c>
      <c r="D1191" s="28">
        <f>MONTH(Table11[[#This Row],[Order Date]])</f>
        <v>9</v>
      </c>
      <c r="E1191" s="3" t="s">
        <v>5314</v>
      </c>
      <c r="F1191" s="3" t="s">
        <v>5315</v>
      </c>
      <c r="G1191" s="25" t="s">
        <v>41</v>
      </c>
      <c r="H1191" s="25" t="s">
        <v>240</v>
      </c>
      <c r="I1191" s="3" t="s">
        <v>3875</v>
      </c>
      <c r="J1191" s="25" t="s">
        <v>92</v>
      </c>
      <c r="K1191" s="28">
        <v>2</v>
      </c>
      <c r="L1191" s="7">
        <v>42270</v>
      </c>
      <c r="M1191" s="28">
        <f>Table11[[#This Row],[Ship Date]]-Table11[[#This Row],[Order Date]]</f>
        <v>2</v>
      </c>
      <c r="N1191" s="25" t="s">
        <v>169</v>
      </c>
      <c r="O1191" s="25" t="s">
        <v>23</v>
      </c>
      <c r="P1191" s="25" t="s">
        <v>38</v>
      </c>
      <c r="Q1191" s="25" t="s">
        <v>39</v>
      </c>
      <c r="R1191" s="25" t="s">
        <v>37</v>
      </c>
      <c r="S1191" s="35">
        <v>0</v>
      </c>
      <c r="T1191" s="16">
        <v>7.9</v>
      </c>
      <c r="U1191" s="19">
        <v>2.528</v>
      </c>
      <c r="V1191" s="56">
        <f>Table11[[#This Row],[Profit]]/Table11[[#This Row],[Sales]]</f>
        <v>0.32</v>
      </c>
    </row>
    <row r="1192" spans="1:22" x14ac:dyDescent="0.2">
      <c r="A1192" s="4">
        <v>1191</v>
      </c>
      <c r="B1192" s="5" t="s">
        <v>5559</v>
      </c>
      <c r="C1192" s="6">
        <v>42268</v>
      </c>
      <c r="D1192" s="27">
        <f>MONTH(Table11[[#This Row],[Order Date]])</f>
        <v>9</v>
      </c>
      <c r="E1192" s="5" t="s">
        <v>4242</v>
      </c>
      <c r="F1192" s="5" t="s">
        <v>4243</v>
      </c>
      <c r="G1192" s="24" t="s">
        <v>28</v>
      </c>
      <c r="H1192" s="24" t="s">
        <v>29</v>
      </c>
      <c r="I1192" s="5" t="s">
        <v>5560</v>
      </c>
      <c r="J1192" s="24" t="s">
        <v>36</v>
      </c>
      <c r="K1192" s="27">
        <v>4</v>
      </c>
      <c r="L1192" s="6">
        <v>42274</v>
      </c>
      <c r="M1192" s="27">
        <f>Table11[[#This Row],[Ship Date]]-Table11[[#This Row],[Order Date]]</f>
        <v>6</v>
      </c>
      <c r="N1192" s="24" t="s">
        <v>45</v>
      </c>
      <c r="O1192" s="24" t="s">
        <v>23</v>
      </c>
      <c r="P1192" s="24" t="s">
        <v>212</v>
      </c>
      <c r="Q1192" s="24" t="s">
        <v>95</v>
      </c>
      <c r="R1192" s="24" t="s">
        <v>4579</v>
      </c>
      <c r="S1192" s="34">
        <v>0</v>
      </c>
      <c r="T1192" s="15">
        <v>194.32</v>
      </c>
      <c r="U1192" s="18">
        <v>31.091200000000001</v>
      </c>
      <c r="V1192" s="56">
        <f>Table11[[#This Row],[Profit]]/Table11[[#This Row],[Sales]]</f>
        <v>0.16</v>
      </c>
    </row>
    <row r="1193" spans="1:22" x14ac:dyDescent="0.2">
      <c r="A1193" s="4">
        <v>1192</v>
      </c>
      <c r="B1193" s="3" t="s">
        <v>5559</v>
      </c>
      <c r="C1193" s="7">
        <v>42268</v>
      </c>
      <c r="D1193" s="28">
        <f>MONTH(Table11[[#This Row],[Order Date]])</f>
        <v>9</v>
      </c>
      <c r="E1193" s="3" t="s">
        <v>3728</v>
      </c>
      <c r="F1193" s="3" t="s">
        <v>3729</v>
      </c>
      <c r="G1193" s="25" t="s">
        <v>41</v>
      </c>
      <c r="H1193" s="25" t="s">
        <v>61</v>
      </c>
      <c r="I1193" s="3" t="s">
        <v>5560</v>
      </c>
      <c r="J1193" s="25" t="s">
        <v>36</v>
      </c>
      <c r="K1193" s="28">
        <v>1</v>
      </c>
      <c r="L1193" s="7">
        <v>42274</v>
      </c>
      <c r="M1193" s="28">
        <f>Table11[[#This Row],[Ship Date]]-Table11[[#This Row],[Order Date]]</f>
        <v>6</v>
      </c>
      <c r="N1193" s="25" t="s">
        <v>45</v>
      </c>
      <c r="O1193" s="25" t="s">
        <v>23</v>
      </c>
      <c r="P1193" s="25" t="s">
        <v>212</v>
      </c>
      <c r="Q1193" s="25" t="s">
        <v>95</v>
      </c>
      <c r="R1193" s="25" t="s">
        <v>4579</v>
      </c>
      <c r="S1193" s="35">
        <v>0</v>
      </c>
      <c r="T1193" s="16">
        <v>25.99</v>
      </c>
      <c r="U1193" s="19">
        <v>7.5370999999999997</v>
      </c>
      <c r="V1193" s="56">
        <f>Table11[[#This Row],[Profit]]/Table11[[#This Row],[Sales]]</f>
        <v>0.28999999999999998</v>
      </c>
    </row>
    <row r="1194" spans="1:22" x14ac:dyDescent="0.2">
      <c r="A1194" s="2">
        <v>1193</v>
      </c>
      <c r="B1194" s="5" t="s">
        <v>6274</v>
      </c>
      <c r="C1194" s="6">
        <v>42268</v>
      </c>
      <c r="D1194" s="27">
        <f>MONTH(Table11[[#This Row],[Order Date]])</f>
        <v>9</v>
      </c>
      <c r="E1194" s="5" t="s">
        <v>408</v>
      </c>
      <c r="F1194" s="5" t="s">
        <v>409</v>
      </c>
      <c r="G1194" s="24" t="s">
        <v>28</v>
      </c>
      <c r="H1194" s="24" t="s">
        <v>58</v>
      </c>
      <c r="I1194" s="5" t="s">
        <v>6275</v>
      </c>
      <c r="J1194" s="24" t="s">
        <v>92</v>
      </c>
      <c r="K1194" s="27">
        <v>2</v>
      </c>
      <c r="L1194" s="6">
        <v>42268</v>
      </c>
      <c r="M1194" s="27">
        <f>Table11[[#This Row],[Ship Date]]-Table11[[#This Row],[Order Date]]</f>
        <v>0</v>
      </c>
      <c r="N1194" s="24" t="s">
        <v>1141</v>
      </c>
      <c r="O1194" s="24" t="s">
        <v>23</v>
      </c>
      <c r="P1194" s="24" t="s">
        <v>1101</v>
      </c>
      <c r="Q1194" s="24" t="s">
        <v>133</v>
      </c>
      <c r="R1194" s="24" t="s">
        <v>1168</v>
      </c>
      <c r="S1194" s="34">
        <v>0</v>
      </c>
      <c r="T1194" s="15">
        <v>85.3</v>
      </c>
      <c r="U1194" s="18">
        <v>14.500999999999999</v>
      </c>
      <c r="V1194" s="56">
        <f>Table11[[#This Row],[Profit]]/Table11[[#This Row],[Sales]]</f>
        <v>0.17</v>
      </c>
    </row>
    <row r="1195" spans="1:22" x14ac:dyDescent="0.2">
      <c r="A1195" s="4">
        <v>1194</v>
      </c>
      <c r="B1195" s="3" t="s">
        <v>6905</v>
      </c>
      <c r="C1195" s="7">
        <v>42268</v>
      </c>
      <c r="D1195" s="28">
        <f>MONTH(Table11[[#This Row],[Order Date]])</f>
        <v>9</v>
      </c>
      <c r="E1195" s="3" t="s">
        <v>5942</v>
      </c>
      <c r="F1195" s="3" t="s">
        <v>5943</v>
      </c>
      <c r="G1195" s="25" t="s">
        <v>64</v>
      </c>
      <c r="H1195" s="25" t="s">
        <v>65</v>
      </c>
      <c r="I1195" s="3" t="s">
        <v>2012</v>
      </c>
      <c r="J1195" s="25" t="s">
        <v>92</v>
      </c>
      <c r="K1195" s="28">
        <v>2</v>
      </c>
      <c r="L1195" s="7">
        <v>42273</v>
      </c>
      <c r="M1195" s="28">
        <f>Table11[[#This Row],[Ship Date]]-Table11[[#This Row],[Order Date]]</f>
        <v>5</v>
      </c>
      <c r="N1195" s="25" t="s">
        <v>45</v>
      </c>
      <c r="O1195" s="25" t="s">
        <v>23</v>
      </c>
      <c r="P1195" s="25" t="s">
        <v>1101</v>
      </c>
      <c r="Q1195" s="25" t="s">
        <v>133</v>
      </c>
      <c r="R1195" s="25" t="s">
        <v>3613</v>
      </c>
      <c r="S1195" s="35">
        <v>0</v>
      </c>
      <c r="T1195" s="16">
        <v>589.9</v>
      </c>
      <c r="U1195" s="19">
        <v>147.47499999999999</v>
      </c>
      <c r="V1195" s="56">
        <f>Table11[[#This Row],[Profit]]/Table11[[#This Row],[Sales]]</f>
        <v>0.25</v>
      </c>
    </row>
    <row r="1196" spans="1:22" x14ac:dyDescent="0.2">
      <c r="A1196" s="4">
        <v>1195</v>
      </c>
      <c r="B1196" s="5" t="s">
        <v>6905</v>
      </c>
      <c r="C1196" s="6">
        <v>42268</v>
      </c>
      <c r="D1196" s="27">
        <f>MONTH(Table11[[#This Row],[Order Date]])</f>
        <v>9</v>
      </c>
      <c r="E1196" s="5" t="s">
        <v>1132</v>
      </c>
      <c r="F1196" s="5" t="s">
        <v>1133</v>
      </c>
      <c r="G1196" s="24" t="s">
        <v>28</v>
      </c>
      <c r="H1196" s="24" t="s">
        <v>32</v>
      </c>
      <c r="I1196" s="5" t="s">
        <v>2012</v>
      </c>
      <c r="J1196" s="24" t="s">
        <v>92</v>
      </c>
      <c r="K1196" s="27">
        <v>3</v>
      </c>
      <c r="L1196" s="6">
        <v>42273</v>
      </c>
      <c r="M1196" s="27">
        <f>Table11[[#This Row],[Ship Date]]-Table11[[#This Row],[Order Date]]</f>
        <v>5</v>
      </c>
      <c r="N1196" s="24" t="s">
        <v>45</v>
      </c>
      <c r="O1196" s="24" t="s">
        <v>23</v>
      </c>
      <c r="P1196" s="24" t="s">
        <v>1101</v>
      </c>
      <c r="Q1196" s="24" t="s">
        <v>133</v>
      </c>
      <c r="R1196" s="24" t="s">
        <v>3613</v>
      </c>
      <c r="S1196" s="34">
        <v>0</v>
      </c>
      <c r="T1196" s="15">
        <v>542.94000000000005</v>
      </c>
      <c r="U1196" s="18">
        <v>141.1644</v>
      </c>
      <c r="V1196" s="56">
        <f>Table11[[#This Row],[Profit]]/Table11[[#This Row],[Sales]]</f>
        <v>0.25999999999999995</v>
      </c>
    </row>
    <row r="1197" spans="1:22" x14ac:dyDescent="0.2">
      <c r="A1197" s="2">
        <v>1196</v>
      </c>
      <c r="B1197" s="3" t="s">
        <v>7960</v>
      </c>
      <c r="C1197" s="7">
        <v>42268</v>
      </c>
      <c r="D1197" s="28">
        <f>MONTH(Table11[[#This Row],[Order Date]])</f>
        <v>9</v>
      </c>
      <c r="E1197" s="3" t="s">
        <v>2674</v>
      </c>
      <c r="F1197" s="3" t="s">
        <v>2675</v>
      </c>
      <c r="G1197" s="25" t="s">
        <v>28</v>
      </c>
      <c r="H1197" s="25" t="s">
        <v>32</v>
      </c>
      <c r="I1197" s="3" t="s">
        <v>5505</v>
      </c>
      <c r="J1197" s="25" t="s">
        <v>22</v>
      </c>
      <c r="K1197" s="28">
        <v>4</v>
      </c>
      <c r="L1197" s="7">
        <v>42273</v>
      </c>
      <c r="M1197" s="28">
        <f>Table11[[#This Row],[Ship Date]]-Table11[[#This Row],[Order Date]]</f>
        <v>5</v>
      </c>
      <c r="N1197" s="25" t="s">
        <v>45</v>
      </c>
      <c r="O1197" s="25" t="s">
        <v>23</v>
      </c>
      <c r="P1197" s="25" t="s">
        <v>342</v>
      </c>
      <c r="Q1197" s="25" t="s">
        <v>26</v>
      </c>
      <c r="R1197" s="25" t="s">
        <v>341</v>
      </c>
      <c r="S1197" s="35">
        <v>0</v>
      </c>
      <c r="T1197" s="16">
        <v>1690.04</v>
      </c>
      <c r="U1197" s="19">
        <v>422.51</v>
      </c>
      <c r="V1197" s="56">
        <f>Table11[[#This Row],[Profit]]/Table11[[#This Row],[Sales]]</f>
        <v>0.25</v>
      </c>
    </row>
    <row r="1198" spans="1:22" x14ac:dyDescent="0.2">
      <c r="A1198" s="4">
        <v>1197</v>
      </c>
      <c r="B1198" s="5" t="s">
        <v>7960</v>
      </c>
      <c r="C1198" s="6">
        <v>42268</v>
      </c>
      <c r="D1198" s="27">
        <f>MONTH(Table11[[#This Row],[Order Date]])</f>
        <v>9</v>
      </c>
      <c r="E1198" s="5" t="s">
        <v>1973</v>
      </c>
      <c r="F1198" s="5" t="s">
        <v>1974</v>
      </c>
      <c r="G1198" s="24" t="s">
        <v>41</v>
      </c>
      <c r="H1198" s="24" t="s">
        <v>53</v>
      </c>
      <c r="I1198" s="5" t="s">
        <v>5505</v>
      </c>
      <c r="J1198" s="24" t="s">
        <v>22</v>
      </c>
      <c r="K1198" s="27">
        <v>7</v>
      </c>
      <c r="L1198" s="6">
        <v>42273</v>
      </c>
      <c r="M1198" s="27">
        <f>Table11[[#This Row],[Ship Date]]-Table11[[#This Row],[Order Date]]</f>
        <v>5</v>
      </c>
      <c r="N1198" s="24" t="s">
        <v>45</v>
      </c>
      <c r="O1198" s="24" t="s">
        <v>23</v>
      </c>
      <c r="P1198" s="24" t="s">
        <v>342</v>
      </c>
      <c r="Q1198" s="24" t="s">
        <v>26</v>
      </c>
      <c r="R1198" s="24" t="s">
        <v>341</v>
      </c>
      <c r="S1198" s="34">
        <v>0</v>
      </c>
      <c r="T1198" s="15">
        <v>85.96</v>
      </c>
      <c r="U1198" s="18">
        <v>24.0688</v>
      </c>
      <c r="V1198" s="56">
        <f>Table11[[#This Row],[Profit]]/Table11[[#This Row],[Sales]]</f>
        <v>0.28000000000000003</v>
      </c>
    </row>
    <row r="1199" spans="1:22" x14ac:dyDescent="0.2">
      <c r="A1199" s="4">
        <v>1198</v>
      </c>
      <c r="B1199" s="3" t="s">
        <v>7960</v>
      </c>
      <c r="C1199" s="7">
        <v>42268</v>
      </c>
      <c r="D1199" s="28">
        <f>MONTH(Table11[[#This Row],[Order Date]])</f>
        <v>9</v>
      </c>
      <c r="E1199" s="3" t="s">
        <v>7007</v>
      </c>
      <c r="F1199" s="3" t="s">
        <v>7008</v>
      </c>
      <c r="G1199" s="25" t="s">
        <v>41</v>
      </c>
      <c r="H1199" s="25" t="s">
        <v>155</v>
      </c>
      <c r="I1199" s="3" t="s">
        <v>5505</v>
      </c>
      <c r="J1199" s="25" t="s">
        <v>22</v>
      </c>
      <c r="K1199" s="28">
        <v>2</v>
      </c>
      <c r="L1199" s="7">
        <v>42273</v>
      </c>
      <c r="M1199" s="28">
        <f>Table11[[#This Row],[Ship Date]]-Table11[[#This Row],[Order Date]]</f>
        <v>5</v>
      </c>
      <c r="N1199" s="25" t="s">
        <v>45</v>
      </c>
      <c r="O1199" s="25" t="s">
        <v>23</v>
      </c>
      <c r="P1199" s="25" t="s">
        <v>342</v>
      </c>
      <c r="Q1199" s="25" t="s">
        <v>26</v>
      </c>
      <c r="R1199" s="25" t="s">
        <v>341</v>
      </c>
      <c r="S1199" s="35">
        <v>0</v>
      </c>
      <c r="T1199" s="16">
        <v>121.96</v>
      </c>
      <c r="U1199" s="19">
        <v>57.321199999999997</v>
      </c>
      <c r="V1199" s="56">
        <f>Table11[[#This Row],[Profit]]/Table11[[#This Row],[Sales]]</f>
        <v>0.47000000000000003</v>
      </c>
    </row>
    <row r="1200" spans="1:22" x14ac:dyDescent="0.2">
      <c r="A1200" s="2">
        <v>1199</v>
      </c>
      <c r="B1200" s="5" t="s">
        <v>7960</v>
      </c>
      <c r="C1200" s="6">
        <v>42268</v>
      </c>
      <c r="D1200" s="27">
        <f>MONTH(Table11[[#This Row],[Order Date]])</f>
        <v>9</v>
      </c>
      <c r="E1200" s="5" t="s">
        <v>7961</v>
      </c>
      <c r="F1200" s="5" t="s">
        <v>7962</v>
      </c>
      <c r="G1200" s="24" t="s">
        <v>41</v>
      </c>
      <c r="H1200" s="24" t="s">
        <v>82</v>
      </c>
      <c r="I1200" s="5" t="s">
        <v>5505</v>
      </c>
      <c r="J1200" s="24" t="s">
        <v>22</v>
      </c>
      <c r="K1200" s="27">
        <v>4</v>
      </c>
      <c r="L1200" s="6">
        <v>42273</v>
      </c>
      <c r="M1200" s="27">
        <f>Table11[[#This Row],[Ship Date]]-Table11[[#This Row],[Order Date]]</f>
        <v>5</v>
      </c>
      <c r="N1200" s="24" t="s">
        <v>45</v>
      </c>
      <c r="O1200" s="24" t="s">
        <v>23</v>
      </c>
      <c r="P1200" s="24" t="s">
        <v>342</v>
      </c>
      <c r="Q1200" s="24" t="s">
        <v>26</v>
      </c>
      <c r="R1200" s="24" t="s">
        <v>341</v>
      </c>
      <c r="S1200" s="34">
        <v>0</v>
      </c>
      <c r="T1200" s="15">
        <v>23.92</v>
      </c>
      <c r="U1200" s="18">
        <v>11.720800000000001</v>
      </c>
      <c r="V1200" s="56">
        <f>Table11[[#This Row],[Profit]]/Table11[[#This Row],[Sales]]</f>
        <v>0.49</v>
      </c>
    </row>
    <row r="1201" spans="1:22" x14ac:dyDescent="0.2">
      <c r="A1201" s="4">
        <v>1200</v>
      </c>
      <c r="B1201" s="3" t="s">
        <v>7960</v>
      </c>
      <c r="C1201" s="7">
        <v>42268</v>
      </c>
      <c r="D1201" s="28">
        <f>MONTH(Table11[[#This Row],[Order Date]])</f>
        <v>9</v>
      </c>
      <c r="E1201" s="3" t="s">
        <v>3126</v>
      </c>
      <c r="F1201" s="3" t="s">
        <v>3127</v>
      </c>
      <c r="G1201" s="25" t="s">
        <v>41</v>
      </c>
      <c r="H1201" s="25" t="s">
        <v>53</v>
      </c>
      <c r="I1201" s="3" t="s">
        <v>5505</v>
      </c>
      <c r="J1201" s="25" t="s">
        <v>22</v>
      </c>
      <c r="K1201" s="28">
        <v>2</v>
      </c>
      <c r="L1201" s="7">
        <v>42273</v>
      </c>
      <c r="M1201" s="28">
        <f>Table11[[#This Row],[Ship Date]]-Table11[[#This Row],[Order Date]]</f>
        <v>5</v>
      </c>
      <c r="N1201" s="25" t="s">
        <v>45</v>
      </c>
      <c r="O1201" s="25" t="s">
        <v>23</v>
      </c>
      <c r="P1201" s="25" t="s">
        <v>342</v>
      </c>
      <c r="Q1201" s="25" t="s">
        <v>26</v>
      </c>
      <c r="R1201" s="25" t="s">
        <v>341</v>
      </c>
      <c r="S1201" s="35">
        <v>0</v>
      </c>
      <c r="T1201" s="16">
        <v>63.96</v>
      </c>
      <c r="U1201" s="19">
        <v>6.3959999999999999</v>
      </c>
      <c r="V1201" s="56">
        <f>Table11[[#This Row],[Profit]]/Table11[[#This Row],[Sales]]</f>
        <v>9.9999999999999992E-2</v>
      </c>
    </row>
    <row r="1202" spans="1:22" x14ac:dyDescent="0.2">
      <c r="A1202" s="4">
        <v>1201</v>
      </c>
      <c r="B1202" s="5" t="s">
        <v>7960</v>
      </c>
      <c r="C1202" s="6">
        <v>42268</v>
      </c>
      <c r="D1202" s="27">
        <f>MONTH(Table11[[#This Row],[Order Date]])</f>
        <v>9</v>
      </c>
      <c r="E1202" s="5" t="s">
        <v>5022</v>
      </c>
      <c r="F1202" s="5" t="s">
        <v>5023</v>
      </c>
      <c r="G1202" s="24" t="s">
        <v>64</v>
      </c>
      <c r="H1202" s="24" t="s">
        <v>65</v>
      </c>
      <c r="I1202" s="5" t="s">
        <v>5505</v>
      </c>
      <c r="J1202" s="24" t="s">
        <v>22</v>
      </c>
      <c r="K1202" s="27">
        <v>5</v>
      </c>
      <c r="L1202" s="6">
        <v>42273</v>
      </c>
      <c r="M1202" s="27">
        <f>Table11[[#This Row],[Ship Date]]-Table11[[#This Row],[Order Date]]</f>
        <v>5</v>
      </c>
      <c r="N1202" s="24" t="s">
        <v>45</v>
      </c>
      <c r="O1202" s="24" t="s">
        <v>23</v>
      </c>
      <c r="P1202" s="24" t="s">
        <v>342</v>
      </c>
      <c r="Q1202" s="24" t="s">
        <v>26</v>
      </c>
      <c r="R1202" s="24" t="s">
        <v>341</v>
      </c>
      <c r="S1202" s="34">
        <v>0</v>
      </c>
      <c r="T1202" s="15">
        <v>629.95000000000005</v>
      </c>
      <c r="U1202" s="18">
        <v>176.386</v>
      </c>
      <c r="V1202" s="56">
        <f>Table11[[#This Row],[Profit]]/Table11[[#This Row],[Sales]]</f>
        <v>0.27999999999999997</v>
      </c>
    </row>
    <row r="1203" spans="1:22" x14ac:dyDescent="0.2">
      <c r="A1203" s="2">
        <v>1202</v>
      </c>
      <c r="B1203" s="3" t="s">
        <v>7960</v>
      </c>
      <c r="C1203" s="7">
        <v>42268</v>
      </c>
      <c r="D1203" s="28">
        <f>MONTH(Table11[[#This Row],[Order Date]])</f>
        <v>9</v>
      </c>
      <c r="E1203" s="3" t="s">
        <v>1807</v>
      </c>
      <c r="F1203" s="3" t="s">
        <v>1808</v>
      </c>
      <c r="G1203" s="25" t="s">
        <v>64</v>
      </c>
      <c r="H1203" s="25" t="s">
        <v>65</v>
      </c>
      <c r="I1203" s="3" t="s">
        <v>5505</v>
      </c>
      <c r="J1203" s="25" t="s">
        <v>22</v>
      </c>
      <c r="K1203" s="28">
        <v>3</v>
      </c>
      <c r="L1203" s="7">
        <v>42273</v>
      </c>
      <c r="M1203" s="28">
        <f>Table11[[#This Row],[Ship Date]]-Table11[[#This Row],[Order Date]]</f>
        <v>5</v>
      </c>
      <c r="N1203" s="25" t="s">
        <v>45</v>
      </c>
      <c r="O1203" s="25" t="s">
        <v>23</v>
      </c>
      <c r="P1203" s="25" t="s">
        <v>342</v>
      </c>
      <c r="Q1203" s="25" t="s">
        <v>26</v>
      </c>
      <c r="R1203" s="25" t="s">
        <v>341</v>
      </c>
      <c r="S1203" s="35">
        <v>0</v>
      </c>
      <c r="T1203" s="16">
        <v>113.73</v>
      </c>
      <c r="U1203" s="19">
        <v>32.981699999999996</v>
      </c>
      <c r="V1203" s="56">
        <f>Table11[[#This Row],[Profit]]/Table11[[#This Row],[Sales]]</f>
        <v>0.28999999999999998</v>
      </c>
    </row>
    <row r="1204" spans="1:22" x14ac:dyDescent="0.2">
      <c r="A1204" s="4">
        <v>1203</v>
      </c>
      <c r="B1204" s="5" t="s">
        <v>7960</v>
      </c>
      <c r="C1204" s="6">
        <v>42268</v>
      </c>
      <c r="D1204" s="27">
        <f>MONTH(Table11[[#This Row],[Order Date]])</f>
        <v>9</v>
      </c>
      <c r="E1204" s="5" t="s">
        <v>1212</v>
      </c>
      <c r="F1204" s="5" t="s">
        <v>1213</v>
      </c>
      <c r="G1204" s="24" t="s">
        <v>41</v>
      </c>
      <c r="H1204" s="24" t="s">
        <v>68</v>
      </c>
      <c r="I1204" s="5" t="s">
        <v>5505</v>
      </c>
      <c r="J1204" s="24" t="s">
        <v>22</v>
      </c>
      <c r="K1204" s="27">
        <v>2</v>
      </c>
      <c r="L1204" s="6">
        <v>42273</v>
      </c>
      <c r="M1204" s="27">
        <f>Table11[[#This Row],[Ship Date]]-Table11[[#This Row],[Order Date]]</f>
        <v>5</v>
      </c>
      <c r="N1204" s="24" t="s">
        <v>45</v>
      </c>
      <c r="O1204" s="24" t="s">
        <v>23</v>
      </c>
      <c r="P1204" s="24" t="s">
        <v>342</v>
      </c>
      <c r="Q1204" s="24" t="s">
        <v>26</v>
      </c>
      <c r="R1204" s="24" t="s">
        <v>341</v>
      </c>
      <c r="S1204" s="34">
        <v>0</v>
      </c>
      <c r="T1204" s="15">
        <v>14.6</v>
      </c>
      <c r="U1204" s="18">
        <v>6.8620000000000001</v>
      </c>
      <c r="V1204" s="56">
        <f>Table11[[#This Row],[Profit]]/Table11[[#This Row],[Sales]]</f>
        <v>0.47000000000000003</v>
      </c>
    </row>
    <row r="1205" spans="1:22" x14ac:dyDescent="0.2">
      <c r="A1205" s="4">
        <v>1204</v>
      </c>
      <c r="B1205" s="3" t="s">
        <v>7960</v>
      </c>
      <c r="C1205" s="7">
        <v>42268</v>
      </c>
      <c r="D1205" s="28">
        <f>MONTH(Table11[[#This Row],[Order Date]])</f>
        <v>9</v>
      </c>
      <c r="E1205" s="3" t="s">
        <v>104</v>
      </c>
      <c r="F1205" s="3" t="s">
        <v>105</v>
      </c>
      <c r="G1205" s="25" t="s">
        <v>41</v>
      </c>
      <c r="H1205" s="25" t="s">
        <v>53</v>
      </c>
      <c r="I1205" s="3" t="s">
        <v>5505</v>
      </c>
      <c r="J1205" s="25" t="s">
        <v>22</v>
      </c>
      <c r="K1205" s="28">
        <v>8</v>
      </c>
      <c r="L1205" s="7">
        <v>42273</v>
      </c>
      <c r="M1205" s="28">
        <f>Table11[[#This Row],[Ship Date]]-Table11[[#This Row],[Order Date]]</f>
        <v>5</v>
      </c>
      <c r="N1205" s="25" t="s">
        <v>45</v>
      </c>
      <c r="O1205" s="25" t="s">
        <v>23</v>
      </c>
      <c r="P1205" s="25" t="s">
        <v>342</v>
      </c>
      <c r="Q1205" s="25" t="s">
        <v>26</v>
      </c>
      <c r="R1205" s="25" t="s">
        <v>341</v>
      </c>
      <c r="S1205" s="35">
        <v>0</v>
      </c>
      <c r="T1205" s="16">
        <v>887.84</v>
      </c>
      <c r="U1205" s="19">
        <v>17.756799999999998</v>
      </c>
      <c r="V1205" s="56">
        <f>Table11[[#This Row],[Profit]]/Table11[[#This Row],[Sales]]</f>
        <v>1.9999999999999997E-2</v>
      </c>
    </row>
    <row r="1206" spans="1:22" x14ac:dyDescent="0.2">
      <c r="A1206" s="2">
        <v>1205</v>
      </c>
      <c r="B1206" s="5" t="s">
        <v>2555</v>
      </c>
      <c r="C1206" s="6">
        <v>42269</v>
      </c>
      <c r="D1206" s="27">
        <f>MONTH(Table11[[#This Row],[Order Date]])</f>
        <v>9</v>
      </c>
      <c r="E1206" s="5" t="s">
        <v>2557</v>
      </c>
      <c r="F1206" s="5" t="s">
        <v>2558</v>
      </c>
      <c r="G1206" s="24" t="s">
        <v>28</v>
      </c>
      <c r="H1206" s="24" t="s">
        <v>58</v>
      </c>
      <c r="I1206" s="5" t="s">
        <v>2556</v>
      </c>
      <c r="J1206" s="24" t="s">
        <v>22</v>
      </c>
      <c r="K1206" s="27">
        <v>2</v>
      </c>
      <c r="L1206" s="6">
        <v>42269</v>
      </c>
      <c r="M1206" s="27">
        <f>Table11[[#This Row],[Ship Date]]-Table11[[#This Row],[Order Date]]</f>
        <v>0</v>
      </c>
      <c r="N1206" s="24" t="s">
        <v>1141</v>
      </c>
      <c r="O1206" s="24" t="s">
        <v>23</v>
      </c>
      <c r="P1206" s="24" t="s">
        <v>38</v>
      </c>
      <c r="Q1206" s="24" t="s">
        <v>39</v>
      </c>
      <c r="R1206" s="24" t="s">
        <v>2061</v>
      </c>
      <c r="S1206" s="34">
        <v>0</v>
      </c>
      <c r="T1206" s="15">
        <v>204.6</v>
      </c>
      <c r="U1206" s="18">
        <v>53.195999999999998</v>
      </c>
      <c r="V1206" s="56">
        <f>Table11[[#This Row],[Profit]]/Table11[[#This Row],[Sales]]</f>
        <v>0.26</v>
      </c>
    </row>
    <row r="1207" spans="1:22" x14ac:dyDescent="0.2">
      <c r="A1207" s="4">
        <v>1206</v>
      </c>
      <c r="B1207" s="3" t="s">
        <v>7758</v>
      </c>
      <c r="C1207" s="7">
        <v>42269</v>
      </c>
      <c r="D1207" s="28">
        <f>MONTH(Table11[[#This Row],[Order Date]])</f>
        <v>9</v>
      </c>
      <c r="E1207" s="3" t="s">
        <v>4236</v>
      </c>
      <c r="F1207" s="3" t="s">
        <v>4237</v>
      </c>
      <c r="G1207" s="25" t="s">
        <v>41</v>
      </c>
      <c r="H1207" s="25" t="s">
        <v>82</v>
      </c>
      <c r="I1207" s="3" t="s">
        <v>5531</v>
      </c>
      <c r="J1207" s="25" t="s">
        <v>92</v>
      </c>
      <c r="K1207" s="28">
        <v>5</v>
      </c>
      <c r="L1207" s="7">
        <v>42273</v>
      </c>
      <c r="M1207" s="28">
        <f>Table11[[#This Row],[Ship Date]]-Table11[[#This Row],[Order Date]]</f>
        <v>4</v>
      </c>
      <c r="N1207" s="25" t="s">
        <v>20</v>
      </c>
      <c r="O1207" s="25" t="s">
        <v>23</v>
      </c>
      <c r="P1207" s="25" t="s">
        <v>285</v>
      </c>
      <c r="Q1207" s="25" t="s">
        <v>26</v>
      </c>
      <c r="R1207" s="25" t="s">
        <v>997</v>
      </c>
      <c r="S1207" s="35">
        <v>0</v>
      </c>
      <c r="T1207" s="16">
        <v>32.4</v>
      </c>
      <c r="U1207" s="19">
        <v>15.552</v>
      </c>
      <c r="V1207" s="56">
        <f>Table11[[#This Row],[Profit]]/Table11[[#This Row],[Sales]]</f>
        <v>0.48</v>
      </c>
    </row>
    <row r="1208" spans="1:22" x14ac:dyDescent="0.2">
      <c r="A1208" s="4">
        <v>1207</v>
      </c>
      <c r="B1208" s="5" t="s">
        <v>7758</v>
      </c>
      <c r="C1208" s="6">
        <v>42269</v>
      </c>
      <c r="D1208" s="27">
        <f>MONTH(Table11[[#This Row],[Order Date]])</f>
        <v>9</v>
      </c>
      <c r="E1208" s="5" t="s">
        <v>3191</v>
      </c>
      <c r="F1208" s="5" t="s">
        <v>3192</v>
      </c>
      <c r="G1208" s="24" t="s">
        <v>28</v>
      </c>
      <c r="H1208" s="24" t="s">
        <v>58</v>
      </c>
      <c r="I1208" s="5" t="s">
        <v>5531</v>
      </c>
      <c r="J1208" s="24" t="s">
        <v>92</v>
      </c>
      <c r="K1208" s="27">
        <v>2</v>
      </c>
      <c r="L1208" s="6">
        <v>42273</v>
      </c>
      <c r="M1208" s="27">
        <f>Table11[[#This Row],[Ship Date]]-Table11[[#This Row],[Order Date]]</f>
        <v>4</v>
      </c>
      <c r="N1208" s="24" t="s">
        <v>20</v>
      </c>
      <c r="O1208" s="24" t="s">
        <v>23</v>
      </c>
      <c r="P1208" s="24" t="s">
        <v>285</v>
      </c>
      <c r="Q1208" s="24" t="s">
        <v>26</v>
      </c>
      <c r="R1208" s="24" t="s">
        <v>997</v>
      </c>
      <c r="S1208" s="34">
        <v>0</v>
      </c>
      <c r="T1208" s="15">
        <v>47.98</v>
      </c>
      <c r="U1208" s="18">
        <v>11.035399999999999</v>
      </c>
      <c r="V1208" s="56">
        <f>Table11[[#This Row],[Profit]]/Table11[[#This Row],[Sales]]</f>
        <v>0.23</v>
      </c>
    </row>
    <row r="1209" spans="1:22" x14ac:dyDescent="0.2">
      <c r="A1209" s="2">
        <v>1208</v>
      </c>
      <c r="B1209" s="3" t="s">
        <v>8899</v>
      </c>
      <c r="C1209" s="7">
        <v>42269</v>
      </c>
      <c r="D1209" s="28">
        <f>MONTH(Table11[[#This Row],[Order Date]])</f>
        <v>9</v>
      </c>
      <c r="E1209" s="3" t="s">
        <v>4149</v>
      </c>
      <c r="F1209" s="3" t="s">
        <v>4150</v>
      </c>
      <c r="G1209" s="25" t="s">
        <v>41</v>
      </c>
      <c r="H1209" s="25" t="s">
        <v>42</v>
      </c>
      <c r="I1209" s="3" t="s">
        <v>2341</v>
      </c>
      <c r="J1209" s="25" t="s">
        <v>92</v>
      </c>
      <c r="K1209" s="28">
        <v>4</v>
      </c>
      <c r="L1209" s="7">
        <v>42273</v>
      </c>
      <c r="M1209" s="28">
        <f>Table11[[#This Row],[Ship Date]]-Table11[[#This Row],[Order Date]]</f>
        <v>4</v>
      </c>
      <c r="N1209" s="25" t="s">
        <v>45</v>
      </c>
      <c r="O1209" s="25" t="s">
        <v>23</v>
      </c>
      <c r="P1209" s="25" t="s">
        <v>299</v>
      </c>
      <c r="Q1209" s="25" t="s">
        <v>26</v>
      </c>
      <c r="R1209" s="25" t="s">
        <v>541</v>
      </c>
      <c r="S1209" s="35">
        <v>0.2</v>
      </c>
      <c r="T1209" s="16">
        <v>12</v>
      </c>
      <c r="U1209" s="19">
        <v>4.2</v>
      </c>
      <c r="V1209" s="56">
        <f>Table11[[#This Row],[Profit]]/Table11[[#This Row],[Sales]]</f>
        <v>0.35000000000000003</v>
      </c>
    </row>
    <row r="1210" spans="1:22" x14ac:dyDescent="0.2">
      <c r="A1210" s="4">
        <v>1209</v>
      </c>
      <c r="B1210" s="5" t="s">
        <v>8899</v>
      </c>
      <c r="C1210" s="6">
        <v>42269</v>
      </c>
      <c r="D1210" s="27">
        <f>MONTH(Table11[[#This Row],[Order Date]])</f>
        <v>9</v>
      </c>
      <c r="E1210" s="5" t="s">
        <v>3101</v>
      </c>
      <c r="F1210" s="5" t="s">
        <v>3102</v>
      </c>
      <c r="G1210" s="24" t="s">
        <v>41</v>
      </c>
      <c r="H1210" s="24" t="s">
        <v>53</v>
      </c>
      <c r="I1210" s="5" t="s">
        <v>2341</v>
      </c>
      <c r="J1210" s="24" t="s">
        <v>92</v>
      </c>
      <c r="K1210" s="27">
        <v>4</v>
      </c>
      <c r="L1210" s="6">
        <v>42273</v>
      </c>
      <c r="M1210" s="27">
        <f>Table11[[#This Row],[Ship Date]]-Table11[[#This Row],[Order Date]]</f>
        <v>4</v>
      </c>
      <c r="N1210" s="24" t="s">
        <v>45</v>
      </c>
      <c r="O1210" s="24" t="s">
        <v>23</v>
      </c>
      <c r="P1210" s="24" t="s">
        <v>299</v>
      </c>
      <c r="Q1210" s="24" t="s">
        <v>26</v>
      </c>
      <c r="R1210" s="24" t="s">
        <v>541</v>
      </c>
      <c r="S1210" s="34">
        <v>0.2</v>
      </c>
      <c r="T1210" s="15">
        <v>720.06399999999996</v>
      </c>
      <c r="U1210" s="18">
        <v>-63.005600000000001</v>
      </c>
      <c r="V1210" s="56">
        <f>Table11[[#This Row],[Profit]]/Table11[[#This Row],[Sales]]</f>
        <v>-8.7500000000000008E-2</v>
      </c>
    </row>
    <row r="1211" spans="1:22" x14ac:dyDescent="0.2">
      <c r="A1211" s="4">
        <v>1210</v>
      </c>
      <c r="B1211" s="3" t="s">
        <v>8899</v>
      </c>
      <c r="C1211" s="7">
        <v>42269</v>
      </c>
      <c r="D1211" s="28">
        <f>MONTH(Table11[[#This Row],[Order Date]])</f>
        <v>9</v>
      </c>
      <c r="E1211" s="3" t="s">
        <v>3339</v>
      </c>
      <c r="F1211" s="3" t="s">
        <v>3340</v>
      </c>
      <c r="G1211" s="25" t="s">
        <v>41</v>
      </c>
      <c r="H1211" s="25" t="s">
        <v>53</v>
      </c>
      <c r="I1211" s="3" t="s">
        <v>2341</v>
      </c>
      <c r="J1211" s="25" t="s">
        <v>92</v>
      </c>
      <c r="K1211" s="28">
        <v>1</v>
      </c>
      <c r="L1211" s="7">
        <v>42273</v>
      </c>
      <c r="M1211" s="28">
        <f>Table11[[#This Row],[Ship Date]]-Table11[[#This Row],[Order Date]]</f>
        <v>4</v>
      </c>
      <c r="N1211" s="25" t="s">
        <v>45</v>
      </c>
      <c r="O1211" s="25" t="s">
        <v>23</v>
      </c>
      <c r="P1211" s="25" t="s">
        <v>299</v>
      </c>
      <c r="Q1211" s="25" t="s">
        <v>26</v>
      </c>
      <c r="R1211" s="25" t="s">
        <v>541</v>
      </c>
      <c r="S1211" s="35">
        <v>0.2</v>
      </c>
      <c r="T1211" s="16">
        <v>25.423999999999999</v>
      </c>
      <c r="U1211" s="19">
        <v>-4.7670000000000003</v>
      </c>
      <c r="V1211" s="56">
        <f>Table11[[#This Row],[Profit]]/Table11[[#This Row],[Sales]]</f>
        <v>-0.18750000000000003</v>
      </c>
    </row>
    <row r="1212" spans="1:22" x14ac:dyDescent="0.2">
      <c r="A1212" s="2">
        <v>1211</v>
      </c>
      <c r="B1212" s="5" t="s">
        <v>8899</v>
      </c>
      <c r="C1212" s="6">
        <v>42269</v>
      </c>
      <c r="D1212" s="27">
        <f>MONTH(Table11[[#This Row],[Order Date]])</f>
        <v>9</v>
      </c>
      <c r="E1212" s="5" t="s">
        <v>3637</v>
      </c>
      <c r="F1212" s="5" t="s">
        <v>3638</v>
      </c>
      <c r="G1212" s="24" t="s">
        <v>41</v>
      </c>
      <c r="H1212" s="24" t="s">
        <v>61</v>
      </c>
      <c r="I1212" s="5" t="s">
        <v>2341</v>
      </c>
      <c r="J1212" s="24" t="s">
        <v>92</v>
      </c>
      <c r="K1212" s="27">
        <v>2</v>
      </c>
      <c r="L1212" s="6">
        <v>42273</v>
      </c>
      <c r="M1212" s="27">
        <f>Table11[[#This Row],[Ship Date]]-Table11[[#This Row],[Order Date]]</f>
        <v>4</v>
      </c>
      <c r="N1212" s="24" t="s">
        <v>45</v>
      </c>
      <c r="O1212" s="24" t="s">
        <v>23</v>
      </c>
      <c r="P1212" s="24" t="s">
        <v>299</v>
      </c>
      <c r="Q1212" s="24" t="s">
        <v>26</v>
      </c>
      <c r="R1212" s="24" t="s">
        <v>541</v>
      </c>
      <c r="S1212" s="34">
        <v>0.2</v>
      </c>
      <c r="T1212" s="15">
        <v>2.8159999999999998</v>
      </c>
      <c r="U1212" s="18">
        <v>0.31680000000000003</v>
      </c>
      <c r="V1212" s="56">
        <f>Table11[[#This Row],[Profit]]/Table11[[#This Row],[Sales]]</f>
        <v>0.11250000000000002</v>
      </c>
    </row>
    <row r="1213" spans="1:22" x14ac:dyDescent="0.2">
      <c r="A1213" s="4">
        <v>1212</v>
      </c>
      <c r="B1213" s="3" t="s">
        <v>8899</v>
      </c>
      <c r="C1213" s="7">
        <v>42269</v>
      </c>
      <c r="D1213" s="28">
        <f>MONTH(Table11[[#This Row],[Order Date]])</f>
        <v>9</v>
      </c>
      <c r="E1213" s="3" t="s">
        <v>3323</v>
      </c>
      <c r="F1213" s="3" t="s">
        <v>3324</v>
      </c>
      <c r="G1213" s="25" t="s">
        <v>41</v>
      </c>
      <c r="H1213" s="25" t="s">
        <v>68</v>
      </c>
      <c r="I1213" s="3" t="s">
        <v>2341</v>
      </c>
      <c r="J1213" s="25" t="s">
        <v>92</v>
      </c>
      <c r="K1213" s="28">
        <v>2</v>
      </c>
      <c r="L1213" s="7">
        <v>42273</v>
      </c>
      <c r="M1213" s="28">
        <f>Table11[[#This Row],[Ship Date]]-Table11[[#This Row],[Order Date]]</f>
        <v>4</v>
      </c>
      <c r="N1213" s="25" t="s">
        <v>45</v>
      </c>
      <c r="O1213" s="25" t="s">
        <v>23</v>
      </c>
      <c r="P1213" s="25" t="s">
        <v>299</v>
      </c>
      <c r="Q1213" s="25" t="s">
        <v>26</v>
      </c>
      <c r="R1213" s="25" t="s">
        <v>541</v>
      </c>
      <c r="S1213" s="35">
        <v>0.7</v>
      </c>
      <c r="T1213" s="16">
        <v>3.2040000000000002</v>
      </c>
      <c r="U1213" s="19">
        <v>-2.5632000000000001</v>
      </c>
      <c r="V1213" s="56">
        <f>Table11[[#This Row],[Profit]]/Table11[[#This Row],[Sales]]</f>
        <v>-0.8</v>
      </c>
    </row>
    <row r="1214" spans="1:22" x14ac:dyDescent="0.2">
      <c r="A1214" s="4">
        <v>1213</v>
      </c>
      <c r="B1214" s="5" t="s">
        <v>9492</v>
      </c>
      <c r="C1214" s="6">
        <v>42269</v>
      </c>
      <c r="D1214" s="27">
        <f>MONTH(Table11[[#This Row],[Order Date]])</f>
        <v>9</v>
      </c>
      <c r="E1214" s="5" t="s">
        <v>4274</v>
      </c>
      <c r="F1214" s="5" t="s">
        <v>4275</v>
      </c>
      <c r="G1214" s="24" t="s">
        <v>41</v>
      </c>
      <c r="H1214" s="24" t="s">
        <v>513</v>
      </c>
      <c r="I1214" s="5" t="s">
        <v>2783</v>
      </c>
      <c r="J1214" s="24" t="s">
        <v>22</v>
      </c>
      <c r="K1214" s="27">
        <v>5</v>
      </c>
      <c r="L1214" s="6">
        <v>42272</v>
      </c>
      <c r="M1214" s="27">
        <f>Table11[[#This Row],[Ship Date]]-Table11[[#This Row],[Order Date]]</f>
        <v>3</v>
      </c>
      <c r="N1214" s="24" t="s">
        <v>169</v>
      </c>
      <c r="O1214" s="24" t="s">
        <v>23</v>
      </c>
      <c r="P1214" s="24" t="s">
        <v>132</v>
      </c>
      <c r="Q1214" s="24" t="s">
        <v>133</v>
      </c>
      <c r="R1214" s="24" t="s">
        <v>131</v>
      </c>
      <c r="S1214" s="34">
        <v>0.2</v>
      </c>
      <c r="T1214" s="15">
        <v>55.6</v>
      </c>
      <c r="U1214" s="18">
        <v>6.2549999999999999</v>
      </c>
      <c r="V1214" s="56">
        <f>Table11[[#This Row],[Profit]]/Table11[[#This Row],[Sales]]</f>
        <v>0.11249999999999999</v>
      </c>
    </row>
    <row r="1215" spans="1:22" x14ac:dyDescent="0.2">
      <c r="A1215" s="2">
        <v>1214</v>
      </c>
      <c r="B1215" s="3" t="s">
        <v>9492</v>
      </c>
      <c r="C1215" s="7">
        <v>42269</v>
      </c>
      <c r="D1215" s="28">
        <f>MONTH(Table11[[#This Row],[Order Date]])</f>
        <v>9</v>
      </c>
      <c r="E1215" s="3" t="s">
        <v>800</v>
      </c>
      <c r="F1215" s="3" t="s">
        <v>801</v>
      </c>
      <c r="G1215" s="25" t="s">
        <v>64</v>
      </c>
      <c r="H1215" s="25" t="s">
        <v>144</v>
      </c>
      <c r="I1215" s="3" t="s">
        <v>2783</v>
      </c>
      <c r="J1215" s="25" t="s">
        <v>22</v>
      </c>
      <c r="K1215" s="28">
        <v>3</v>
      </c>
      <c r="L1215" s="7">
        <v>42272</v>
      </c>
      <c r="M1215" s="28">
        <f>Table11[[#This Row],[Ship Date]]-Table11[[#This Row],[Order Date]]</f>
        <v>3</v>
      </c>
      <c r="N1215" s="25" t="s">
        <v>169</v>
      </c>
      <c r="O1215" s="25" t="s">
        <v>23</v>
      </c>
      <c r="P1215" s="25" t="s">
        <v>132</v>
      </c>
      <c r="Q1215" s="25" t="s">
        <v>133</v>
      </c>
      <c r="R1215" s="25" t="s">
        <v>131</v>
      </c>
      <c r="S1215" s="35">
        <v>0.2</v>
      </c>
      <c r="T1215" s="16">
        <v>617.976</v>
      </c>
      <c r="U1215" s="19">
        <v>-7.7247000000000003</v>
      </c>
      <c r="V1215" s="56">
        <f>Table11[[#This Row],[Profit]]/Table11[[#This Row],[Sales]]</f>
        <v>-1.2500000000000001E-2</v>
      </c>
    </row>
    <row r="1216" spans="1:22" x14ac:dyDescent="0.2">
      <c r="A1216" s="4">
        <v>1215</v>
      </c>
      <c r="B1216" s="5" t="s">
        <v>9608</v>
      </c>
      <c r="C1216" s="6">
        <v>42269</v>
      </c>
      <c r="D1216" s="27">
        <f>MONTH(Table11[[#This Row],[Order Date]])</f>
        <v>9</v>
      </c>
      <c r="E1216" s="5" t="s">
        <v>1934</v>
      </c>
      <c r="F1216" s="5" t="s">
        <v>1935</v>
      </c>
      <c r="G1216" s="24" t="s">
        <v>41</v>
      </c>
      <c r="H1216" s="24" t="s">
        <v>71</v>
      </c>
      <c r="I1216" s="5" t="s">
        <v>1167</v>
      </c>
      <c r="J1216" s="24" t="s">
        <v>36</v>
      </c>
      <c r="K1216" s="27">
        <v>3</v>
      </c>
      <c r="L1216" s="6">
        <v>42273</v>
      </c>
      <c r="M1216" s="27">
        <f>Table11[[#This Row],[Ship Date]]-Table11[[#This Row],[Order Date]]</f>
        <v>4</v>
      </c>
      <c r="N1216" s="24" t="s">
        <v>20</v>
      </c>
      <c r="O1216" s="24" t="s">
        <v>23</v>
      </c>
      <c r="P1216" s="24" t="s">
        <v>38</v>
      </c>
      <c r="Q1216" s="24" t="s">
        <v>39</v>
      </c>
      <c r="R1216" s="24" t="s">
        <v>37</v>
      </c>
      <c r="S1216" s="34">
        <v>0</v>
      </c>
      <c r="T1216" s="15">
        <v>61.44</v>
      </c>
      <c r="U1216" s="18">
        <v>16.588799999999999</v>
      </c>
      <c r="V1216" s="56">
        <f>Table11[[#This Row],[Profit]]/Table11[[#This Row],[Sales]]</f>
        <v>0.27</v>
      </c>
    </row>
    <row r="1217" spans="1:22" x14ac:dyDescent="0.2">
      <c r="A1217" s="4">
        <v>1216</v>
      </c>
      <c r="B1217" s="3" t="s">
        <v>3484</v>
      </c>
      <c r="C1217" s="7">
        <v>42271</v>
      </c>
      <c r="D1217" s="28">
        <f>MONTH(Table11[[#This Row],[Order Date]])</f>
        <v>9</v>
      </c>
      <c r="E1217" s="3" t="s">
        <v>3485</v>
      </c>
      <c r="F1217" s="3" t="s">
        <v>3486</v>
      </c>
      <c r="G1217" s="25" t="s">
        <v>41</v>
      </c>
      <c r="H1217" s="25" t="s">
        <v>61</v>
      </c>
      <c r="I1217" s="3" t="s">
        <v>202</v>
      </c>
      <c r="J1217" s="25" t="s">
        <v>36</v>
      </c>
      <c r="K1217" s="28">
        <v>2</v>
      </c>
      <c r="L1217" s="7">
        <v>42274</v>
      </c>
      <c r="M1217" s="28">
        <f>Table11[[#This Row],[Ship Date]]-Table11[[#This Row],[Order Date]]</f>
        <v>3</v>
      </c>
      <c r="N1217" s="25" t="s">
        <v>20</v>
      </c>
      <c r="O1217" s="25" t="s">
        <v>23</v>
      </c>
      <c r="P1217" s="25" t="s">
        <v>132</v>
      </c>
      <c r="Q1217" s="25" t="s">
        <v>133</v>
      </c>
      <c r="R1217" s="25" t="s">
        <v>131</v>
      </c>
      <c r="S1217" s="35">
        <v>0.2</v>
      </c>
      <c r="T1217" s="16">
        <v>6.8479999999999999</v>
      </c>
      <c r="U1217" s="19">
        <v>0.59919999999999995</v>
      </c>
      <c r="V1217" s="56">
        <f>Table11[[#This Row],[Profit]]/Table11[[#This Row],[Sales]]</f>
        <v>8.7499999999999994E-2</v>
      </c>
    </row>
    <row r="1218" spans="1:22" x14ac:dyDescent="0.2">
      <c r="A1218" s="2">
        <v>1217</v>
      </c>
      <c r="B1218" s="5" t="s">
        <v>3764</v>
      </c>
      <c r="C1218" s="6">
        <v>42271</v>
      </c>
      <c r="D1218" s="27">
        <f>MONTH(Table11[[#This Row],[Order Date]])</f>
        <v>9</v>
      </c>
      <c r="E1218" s="5" t="s">
        <v>2979</v>
      </c>
      <c r="F1218" s="5" t="s">
        <v>2980</v>
      </c>
      <c r="G1218" s="24" t="s">
        <v>28</v>
      </c>
      <c r="H1218" s="24" t="s">
        <v>32</v>
      </c>
      <c r="I1218" s="5" t="s">
        <v>3765</v>
      </c>
      <c r="J1218" s="24" t="s">
        <v>22</v>
      </c>
      <c r="K1218" s="27">
        <v>6</v>
      </c>
      <c r="L1218" s="6">
        <v>42277</v>
      </c>
      <c r="M1218" s="27">
        <f>Table11[[#This Row],[Ship Date]]-Table11[[#This Row],[Order Date]]</f>
        <v>6</v>
      </c>
      <c r="N1218" s="24" t="s">
        <v>45</v>
      </c>
      <c r="O1218" s="24" t="s">
        <v>23</v>
      </c>
      <c r="P1218" s="24" t="s">
        <v>650</v>
      </c>
      <c r="Q1218" s="24" t="s">
        <v>26</v>
      </c>
      <c r="R1218" s="24" t="s">
        <v>3766</v>
      </c>
      <c r="S1218" s="34">
        <v>0</v>
      </c>
      <c r="T1218" s="15">
        <v>517.5</v>
      </c>
      <c r="U1218" s="18">
        <v>155.25</v>
      </c>
      <c r="V1218" s="56">
        <f>Table11[[#This Row],[Profit]]/Table11[[#This Row],[Sales]]</f>
        <v>0.3</v>
      </c>
    </row>
    <row r="1219" spans="1:22" x14ac:dyDescent="0.2">
      <c r="A1219" s="4">
        <v>1218</v>
      </c>
      <c r="B1219" s="3" t="s">
        <v>5919</v>
      </c>
      <c r="C1219" s="7">
        <v>42271</v>
      </c>
      <c r="D1219" s="28">
        <f>MONTH(Table11[[#This Row],[Order Date]])</f>
        <v>9</v>
      </c>
      <c r="E1219" s="3" t="s">
        <v>159</v>
      </c>
      <c r="F1219" s="3" t="s">
        <v>160</v>
      </c>
      <c r="G1219" s="25" t="s">
        <v>41</v>
      </c>
      <c r="H1219" s="25" t="s">
        <v>68</v>
      </c>
      <c r="I1219" s="3" t="s">
        <v>2686</v>
      </c>
      <c r="J1219" s="25" t="s">
        <v>92</v>
      </c>
      <c r="K1219" s="28">
        <v>4</v>
      </c>
      <c r="L1219" s="7">
        <v>42275</v>
      </c>
      <c r="M1219" s="28">
        <f>Table11[[#This Row],[Ship Date]]-Table11[[#This Row],[Order Date]]</f>
        <v>4</v>
      </c>
      <c r="N1219" s="25" t="s">
        <v>45</v>
      </c>
      <c r="O1219" s="25" t="s">
        <v>23</v>
      </c>
      <c r="P1219" s="25" t="s">
        <v>433</v>
      </c>
      <c r="Q1219" s="25" t="s">
        <v>95</v>
      </c>
      <c r="R1219" s="25" t="s">
        <v>5920</v>
      </c>
      <c r="S1219" s="35">
        <v>0</v>
      </c>
      <c r="T1219" s="16">
        <v>15.24</v>
      </c>
      <c r="U1219" s="19">
        <v>6.8579999999999997</v>
      </c>
      <c r="V1219" s="56">
        <f>Table11[[#This Row],[Profit]]/Table11[[#This Row],[Sales]]</f>
        <v>0.44999999999999996</v>
      </c>
    </row>
    <row r="1220" spans="1:22" x14ac:dyDescent="0.2">
      <c r="A1220" s="4">
        <v>1219</v>
      </c>
      <c r="B1220" s="5" t="s">
        <v>5919</v>
      </c>
      <c r="C1220" s="6">
        <v>42271</v>
      </c>
      <c r="D1220" s="27">
        <f>MONTH(Table11[[#This Row],[Order Date]])</f>
        <v>9</v>
      </c>
      <c r="E1220" s="5" t="s">
        <v>4082</v>
      </c>
      <c r="F1220" s="5" t="s">
        <v>4083</v>
      </c>
      <c r="G1220" s="24" t="s">
        <v>28</v>
      </c>
      <c r="H1220" s="24" t="s">
        <v>32</v>
      </c>
      <c r="I1220" s="5" t="s">
        <v>2686</v>
      </c>
      <c r="J1220" s="24" t="s">
        <v>92</v>
      </c>
      <c r="K1220" s="27">
        <v>10</v>
      </c>
      <c r="L1220" s="6">
        <v>42275</v>
      </c>
      <c r="M1220" s="27">
        <f>Table11[[#This Row],[Ship Date]]-Table11[[#This Row],[Order Date]]</f>
        <v>4</v>
      </c>
      <c r="N1220" s="24" t="s">
        <v>45</v>
      </c>
      <c r="O1220" s="24" t="s">
        <v>23</v>
      </c>
      <c r="P1220" s="24" t="s">
        <v>433</v>
      </c>
      <c r="Q1220" s="24" t="s">
        <v>95</v>
      </c>
      <c r="R1220" s="24" t="s">
        <v>5920</v>
      </c>
      <c r="S1220" s="34">
        <v>0</v>
      </c>
      <c r="T1220" s="15">
        <v>1408.1</v>
      </c>
      <c r="U1220" s="18">
        <v>394.26799999999997</v>
      </c>
      <c r="V1220" s="56">
        <f>Table11[[#This Row],[Profit]]/Table11[[#This Row],[Sales]]</f>
        <v>0.27999999999999997</v>
      </c>
    </row>
    <row r="1221" spans="1:22" x14ac:dyDescent="0.2">
      <c r="A1221" s="2">
        <v>1220</v>
      </c>
      <c r="B1221" s="3" t="s">
        <v>6464</v>
      </c>
      <c r="C1221" s="7">
        <v>42271</v>
      </c>
      <c r="D1221" s="28">
        <f>MONTH(Table11[[#This Row],[Order Date]])</f>
        <v>9</v>
      </c>
      <c r="E1221" s="3" t="s">
        <v>6004</v>
      </c>
      <c r="F1221" s="3" t="s">
        <v>6005</v>
      </c>
      <c r="G1221" s="25" t="s">
        <v>64</v>
      </c>
      <c r="H1221" s="25" t="s">
        <v>65</v>
      </c>
      <c r="I1221" s="3" t="s">
        <v>5225</v>
      </c>
      <c r="J1221" s="25" t="s">
        <v>92</v>
      </c>
      <c r="K1221" s="28">
        <v>6</v>
      </c>
      <c r="L1221" s="7">
        <v>42274</v>
      </c>
      <c r="M1221" s="28">
        <f>Table11[[#This Row],[Ship Date]]-Table11[[#This Row],[Order Date]]</f>
        <v>3</v>
      </c>
      <c r="N1221" s="25" t="s">
        <v>169</v>
      </c>
      <c r="O1221" s="25" t="s">
        <v>23</v>
      </c>
      <c r="P1221" s="25" t="s">
        <v>573</v>
      </c>
      <c r="Q1221" s="25" t="s">
        <v>95</v>
      </c>
      <c r="R1221" s="25" t="s">
        <v>6465</v>
      </c>
      <c r="S1221" s="35">
        <v>0</v>
      </c>
      <c r="T1221" s="16">
        <v>821.94</v>
      </c>
      <c r="U1221" s="19">
        <v>213.70439999999999</v>
      </c>
      <c r="V1221" s="56">
        <f>Table11[[#This Row],[Profit]]/Table11[[#This Row],[Sales]]</f>
        <v>0.25999999999999995</v>
      </c>
    </row>
    <row r="1222" spans="1:22" x14ac:dyDescent="0.2">
      <c r="A1222" s="4">
        <v>1221</v>
      </c>
      <c r="B1222" s="5" t="s">
        <v>7109</v>
      </c>
      <c r="C1222" s="6">
        <v>42271</v>
      </c>
      <c r="D1222" s="27">
        <f>MONTH(Table11[[#This Row],[Order Date]])</f>
        <v>9</v>
      </c>
      <c r="E1222" s="5" t="s">
        <v>157</v>
      </c>
      <c r="F1222" s="5" t="s">
        <v>158</v>
      </c>
      <c r="G1222" s="24" t="s">
        <v>41</v>
      </c>
      <c r="H1222" s="24" t="s">
        <v>61</v>
      </c>
      <c r="I1222" s="5" t="s">
        <v>1850</v>
      </c>
      <c r="J1222" s="24" t="s">
        <v>22</v>
      </c>
      <c r="K1222" s="27">
        <v>2</v>
      </c>
      <c r="L1222" s="6">
        <v>42273</v>
      </c>
      <c r="M1222" s="27">
        <f>Table11[[#This Row],[Ship Date]]-Table11[[#This Row],[Order Date]]</f>
        <v>2</v>
      </c>
      <c r="N1222" s="24" t="s">
        <v>20</v>
      </c>
      <c r="O1222" s="24" t="s">
        <v>23</v>
      </c>
      <c r="P1222" s="24" t="s">
        <v>87</v>
      </c>
      <c r="Q1222" s="24" t="s">
        <v>39</v>
      </c>
      <c r="R1222" s="24" t="s">
        <v>86</v>
      </c>
      <c r="S1222" s="34">
        <v>0</v>
      </c>
      <c r="T1222" s="15">
        <v>35.96</v>
      </c>
      <c r="U1222" s="18">
        <v>10.4284</v>
      </c>
      <c r="V1222" s="56">
        <f>Table11[[#This Row],[Profit]]/Table11[[#This Row],[Sales]]</f>
        <v>0.28999999999999998</v>
      </c>
    </row>
    <row r="1223" spans="1:22" x14ac:dyDescent="0.2">
      <c r="A1223" s="4">
        <v>1222</v>
      </c>
      <c r="B1223" s="3" t="s">
        <v>7109</v>
      </c>
      <c r="C1223" s="7">
        <v>42271</v>
      </c>
      <c r="D1223" s="28">
        <f>MONTH(Table11[[#This Row],[Order Date]])</f>
        <v>9</v>
      </c>
      <c r="E1223" s="3" t="s">
        <v>2753</v>
      </c>
      <c r="F1223" s="3" t="s">
        <v>2754</v>
      </c>
      <c r="G1223" s="25" t="s">
        <v>41</v>
      </c>
      <c r="H1223" s="25" t="s">
        <v>68</v>
      </c>
      <c r="I1223" s="3" t="s">
        <v>1850</v>
      </c>
      <c r="J1223" s="25" t="s">
        <v>22</v>
      </c>
      <c r="K1223" s="28">
        <v>3</v>
      </c>
      <c r="L1223" s="7">
        <v>42273</v>
      </c>
      <c r="M1223" s="28">
        <f>Table11[[#This Row],[Ship Date]]-Table11[[#This Row],[Order Date]]</f>
        <v>2</v>
      </c>
      <c r="N1223" s="25" t="s">
        <v>20</v>
      </c>
      <c r="O1223" s="25" t="s">
        <v>23</v>
      </c>
      <c r="P1223" s="25" t="s">
        <v>87</v>
      </c>
      <c r="Q1223" s="25" t="s">
        <v>39</v>
      </c>
      <c r="R1223" s="25" t="s">
        <v>86</v>
      </c>
      <c r="S1223" s="35">
        <v>0.2</v>
      </c>
      <c r="T1223" s="16">
        <v>14.952</v>
      </c>
      <c r="U1223" s="19">
        <v>5.4200999999999997</v>
      </c>
      <c r="V1223" s="56">
        <f>Table11[[#This Row],[Profit]]/Table11[[#This Row],[Sales]]</f>
        <v>0.36249999999999999</v>
      </c>
    </row>
    <row r="1224" spans="1:22" x14ac:dyDescent="0.2">
      <c r="A1224" s="2">
        <v>1223</v>
      </c>
      <c r="B1224" s="5" t="s">
        <v>7713</v>
      </c>
      <c r="C1224" s="6">
        <v>42271</v>
      </c>
      <c r="D1224" s="27">
        <f>MONTH(Table11[[#This Row],[Order Date]])</f>
        <v>9</v>
      </c>
      <c r="E1224" s="5" t="s">
        <v>1803</v>
      </c>
      <c r="F1224" s="5" t="s">
        <v>1804</v>
      </c>
      <c r="G1224" s="24" t="s">
        <v>28</v>
      </c>
      <c r="H1224" s="24" t="s">
        <v>58</v>
      </c>
      <c r="I1224" s="5" t="s">
        <v>3429</v>
      </c>
      <c r="J1224" s="24" t="s">
        <v>36</v>
      </c>
      <c r="K1224" s="27">
        <v>3</v>
      </c>
      <c r="L1224" s="6">
        <v>42275</v>
      </c>
      <c r="M1224" s="27">
        <f>Table11[[#This Row],[Ship Date]]-Table11[[#This Row],[Order Date]]</f>
        <v>4</v>
      </c>
      <c r="N1224" s="24" t="s">
        <v>45</v>
      </c>
      <c r="O1224" s="24" t="s">
        <v>23</v>
      </c>
      <c r="P1224" s="24" t="s">
        <v>38</v>
      </c>
      <c r="Q1224" s="24" t="s">
        <v>39</v>
      </c>
      <c r="R1224" s="24" t="s">
        <v>37</v>
      </c>
      <c r="S1224" s="34">
        <v>0</v>
      </c>
      <c r="T1224" s="15">
        <v>14.91</v>
      </c>
      <c r="U1224" s="18">
        <v>4.6220999999999997</v>
      </c>
      <c r="V1224" s="56">
        <f>Table11[[#This Row],[Profit]]/Table11[[#This Row],[Sales]]</f>
        <v>0.31</v>
      </c>
    </row>
    <row r="1225" spans="1:22" x14ac:dyDescent="0.2">
      <c r="A1225" s="4">
        <v>1224</v>
      </c>
      <c r="B1225" s="3" t="s">
        <v>7713</v>
      </c>
      <c r="C1225" s="7">
        <v>42271</v>
      </c>
      <c r="D1225" s="28">
        <f>MONTH(Table11[[#This Row],[Order Date]])</f>
        <v>9</v>
      </c>
      <c r="E1225" s="3" t="s">
        <v>4990</v>
      </c>
      <c r="F1225" s="3" t="s">
        <v>4991</v>
      </c>
      <c r="G1225" s="25" t="s">
        <v>41</v>
      </c>
      <c r="H1225" s="25" t="s">
        <v>71</v>
      </c>
      <c r="I1225" s="3" t="s">
        <v>3429</v>
      </c>
      <c r="J1225" s="25" t="s">
        <v>36</v>
      </c>
      <c r="K1225" s="28">
        <v>4</v>
      </c>
      <c r="L1225" s="7">
        <v>42275</v>
      </c>
      <c r="M1225" s="28">
        <f>Table11[[#This Row],[Ship Date]]-Table11[[#This Row],[Order Date]]</f>
        <v>4</v>
      </c>
      <c r="N1225" s="25" t="s">
        <v>45</v>
      </c>
      <c r="O1225" s="25" t="s">
        <v>23</v>
      </c>
      <c r="P1225" s="25" t="s">
        <v>38</v>
      </c>
      <c r="Q1225" s="25" t="s">
        <v>39</v>
      </c>
      <c r="R1225" s="25" t="s">
        <v>37</v>
      </c>
      <c r="S1225" s="35">
        <v>0</v>
      </c>
      <c r="T1225" s="16">
        <v>1158.1199999999999</v>
      </c>
      <c r="U1225" s="19">
        <v>335.85480000000001</v>
      </c>
      <c r="V1225" s="56">
        <f>Table11[[#This Row],[Profit]]/Table11[[#This Row],[Sales]]</f>
        <v>0.29000000000000004</v>
      </c>
    </row>
    <row r="1226" spans="1:22" x14ac:dyDescent="0.2">
      <c r="A1226" s="4">
        <v>1225</v>
      </c>
      <c r="B1226" s="5" t="s">
        <v>8859</v>
      </c>
      <c r="C1226" s="6">
        <v>42271</v>
      </c>
      <c r="D1226" s="27">
        <f>MONTH(Table11[[#This Row],[Order Date]])</f>
        <v>9</v>
      </c>
      <c r="E1226" s="5" t="s">
        <v>5766</v>
      </c>
      <c r="F1226" s="5" t="s">
        <v>5767</v>
      </c>
      <c r="G1226" s="24" t="s">
        <v>64</v>
      </c>
      <c r="H1226" s="24" t="s">
        <v>65</v>
      </c>
      <c r="I1226" s="5" t="s">
        <v>4919</v>
      </c>
      <c r="J1226" s="24" t="s">
        <v>22</v>
      </c>
      <c r="K1226" s="27">
        <v>2</v>
      </c>
      <c r="L1226" s="6">
        <v>42273</v>
      </c>
      <c r="M1226" s="27">
        <f>Table11[[#This Row],[Ship Date]]-Table11[[#This Row],[Order Date]]</f>
        <v>2</v>
      </c>
      <c r="N1226" s="24" t="s">
        <v>20</v>
      </c>
      <c r="O1226" s="24" t="s">
        <v>23</v>
      </c>
      <c r="P1226" s="24" t="s">
        <v>277</v>
      </c>
      <c r="Q1226" s="24" t="s">
        <v>39</v>
      </c>
      <c r="R1226" s="24" t="s">
        <v>1159</v>
      </c>
      <c r="S1226" s="34">
        <v>0.2</v>
      </c>
      <c r="T1226" s="15">
        <v>35.119999999999997</v>
      </c>
      <c r="U1226" s="18">
        <v>13.17</v>
      </c>
      <c r="V1226" s="56">
        <f>Table11[[#This Row],[Profit]]/Table11[[#This Row],[Sales]]</f>
        <v>0.375</v>
      </c>
    </row>
    <row r="1227" spans="1:22" x14ac:dyDescent="0.2">
      <c r="A1227" s="2">
        <v>1226</v>
      </c>
      <c r="B1227" s="3" t="s">
        <v>9674</v>
      </c>
      <c r="C1227" s="7">
        <v>42271</v>
      </c>
      <c r="D1227" s="28">
        <f>MONTH(Table11[[#This Row],[Order Date]])</f>
        <v>9</v>
      </c>
      <c r="E1227" s="3" t="s">
        <v>6231</v>
      </c>
      <c r="F1227" s="3" t="s">
        <v>6232</v>
      </c>
      <c r="G1227" s="25" t="s">
        <v>41</v>
      </c>
      <c r="H1227" s="25" t="s">
        <v>61</v>
      </c>
      <c r="I1227" s="3" t="s">
        <v>260</v>
      </c>
      <c r="J1227" s="25" t="s">
        <v>22</v>
      </c>
      <c r="K1227" s="28">
        <v>2</v>
      </c>
      <c r="L1227" s="7">
        <v>42276</v>
      </c>
      <c r="M1227" s="28">
        <f>Table11[[#This Row],[Ship Date]]-Table11[[#This Row],[Order Date]]</f>
        <v>5</v>
      </c>
      <c r="N1227" s="25" t="s">
        <v>20</v>
      </c>
      <c r="O1227" s="25" t="s">
        <v>23</v>
      </c>
      <c r="P1227" s="25" t="s">
        <v>277</v>
      </c>
      <c r="Q1227" s="25" t="s">
        <v>39</v>
      </c>
      <c r="R1227" s="25" t="s">
        <v>7018</v>
      </c>
      <c r="S1227" s="35">
        <v>0.2</v>
      </c>
      <c r="T1227" s="16">
        <v>14.576000000000001</v>
      </c>
      <c r="U1227" s="19">
        <v>2.3685999999999998</v>
      </c>
      <c r="V1227" s="56">
        <f>Table11[[#This Row],[Profit]]/Table11[[#This Row],[Sales]]</f>
        <v>0.16249999999999998</v>
      </c>
    </row>
    <row r="1228" spans="1:22" x14ac:dyDescent="0.2">
      <c r="A1228" s="4">
        <v>1227</v>
      </c>
      <c r="B1228" s="5" t="s">
        <v>9674</v>
      </c>
      <c r="C1228" s="6">
        <v>42271</v>
      </c>
      <c r="D1228" s="27">
        <f>MONTH(Table11[[#This Row],[Order Date]])</f>
        <v>9</v>
      </c>
      <c r="E1228" s="5" t="s">
        <v>655</v>
      </c>
      <c r="F1228" s="5" t="s">
        <v>656</v>
      </c>
      <c r="G1228" s="24" t="s">
        <v>64</v>
      </c>
      <c r="H1228" s="24" t="s">
        <v>144</v>
      </c>
      <c r="I1228" s="5" t="s">
        <v>260</v>
      </c>
      <c r="J1228" s="24" t="s">
        <v>22</v>
      </c>
      <c r="K1228" s="27">
        <v>2</v>
      </c>
      <c r="L1228" s="6">
        <v>42276</v>
      </c>
      <c r="M1228" s="27">
        <f>Table11[[#This Row],[Ship Date]]-Table11[[#This Row],[Order Date]]</f>
        <v>5</v>
      </c>
      <c r="N1228" s="24" t="s">
        <v>20</v>
      </c>
      <c r="O1228" s="24" t="s">
        <v>23</v>
      </c>
      <c r="P1228" s="24" t="s">
        <v>277</v>
      </c>
      <c r="Q1228" s="24" t="s">
        <v>39</v>
      </c>
      <c r="R1228" s="24" t="s">
        <v>7018</v>
      </c>
      <c r="S1228" s="34">
        <v>0.2</v>
      </c>
      <c r="T1228" s="15">
        <v>23.2</v>
      </c>
      <c r="U1228" s="18">
        <v>1.45</v>
      </c>
      <c r="V1228" s="56">
        <f>Table11[[#This Row],[Profit]]/Table11[[#This Row],[Sales]]</f>
        <v>6.25E-2</v>
      </c>
    </row>
    <row r="1229" spans="1:22" x14ac:dyDescent="0.2">
      <c r="A1229" s="4">
        <v>1228</v>
      </c>
      <c r="B1229" s="3" t="s">
        <v>9674</v>
      </c>
      <c r="C1229" s="7">
        <v>42271</v>
      </c>
      <c r="D1229" s="28">
        <f>MONTH(Table11[[#This Row],[Order Date]])</f>
        <v>9</v>
      </c>
      <c r="E1229" s="3" t="s">
        <v>1557</v>
      </c>
      <c r="F1229" s="3" t="s">
        <v>1558</v>
      </c>
      <c r="G1229" s="25" t="s">
        <v>41</v>
      </c>
      <c r="H1229" s="25" t="s">
        <v>61</v>
      </c>
      <c r="I1229" s="3" t="s">
        <v>260</v>
      </c>
      <c r="J1229" s="25" t="s">
        <v>22</v>
      </c>
      <c r="K1229" s="28">
        <v>7</v>
      </c>
      <c r="L1229" s="7">
        <v>42276</v>
      </c>
      <c r="M1229" s="28">
        <f>Table11[[#This Row],[Ship Date]]-Table11[[#This Row],[Order Date]]</f>
        <v>5</v>
      </c>
      <c r="N1229" s="25" t="s">
        <v>20</v>
      </c>
      <c r="O1229" s="25" t="s">
        <v>23</v>
      </c>
      <c r="P1229" s="25" t="s">
        <v>277</v>
      </c>
      <c r="Q1229" s="25" t="s">
        <v>39</v>
      </c>
      <c r="R1229" s="25" t="s">
        <v>7018</v>
      </c>
      <c r="S1229" s="35">
        <v>0.2</v>
      </c>
      <c r="T1229" s="16">
        <v>16.463999999999999</v>
      </c>
      <c r="U1229" s="19">
        <v>1.8522000000000001</v>
      </c>
      <c r="V1229" s="56">
        <f>Table11[[#This Row],[Profit]]/Table11[[#This Row],[Sales]]</f>
        <v>0.11250000000000002</v>
      </c>
    </row>
    <row r="1230" spans="1:22" x14ac:dyDescent="0.2">
      <c r="A1230" s="2">
        <v>1229</v>
      </c>
      <c r="B1230" s="5" t="s">
        <v>9920</v>
      </c>
      <c r="C1230" s="6">
        <v>42271</v>
      </c>
      <c r="D1230" s="27">
        <f>MONTH(Table11[[#This Row],[Order Date]])</f>
        <v>9</v>
      </c>
      <c r="E1230" s="5" t="s">
        <v>5110</v>
      </c>
      <c r="F1230" s="5" t="s">
        <v>5111</v>
      </c>
      <c r="G1230" s="24" t="s">
        <v>41</v>
      </c>
      <c r="H1230" s="24" t="s">
        <v>68</v>
      </c>
      <c r="I1230" s="5" t="s">
        <v>705</v>
      </c>
      <c r="J1230" s="24" t="s">
        <v>22</v>
      </c>
      <c r="K1230" s="27">
        <v>6</v>
      </c>
      <c r="L1230" s="6">
        <v>42271</v>
      </c>
      <c r="M1230" s="27">
        <f>Table11[[#This Row],[Ship Date]]-Table11[[#This Row],[Order Date]]</f>
        <v>0</v>
      </c>
      <c r="N1230" s="24" t="s">
        <v>1141</v>
      </c>
      <c r="O1230" s="24" t="s">
        <v>23</v>
      </c>
      <c r="P1230" s="24" t="s">
        <v>441</v>
      </c>
      <c r="Q1230" s="24" t="s">
        <v>133</v>
      </c>
      <c r="R1230" s="24" t="s">
        <v>440</v>
      </c>
      <c r="S1230" s="34">
        <v>0.7</v>
      </c>
      <c r="T1230" s="15">
        <v>6.7320000000000002</v>
      </c>
      <c r="U1230" s="18">
        <v>-4.4880000000000004</v>
      </c>
      <c r="V1230" s="56">
        <f>Table11[[#This Row],[Profit]]/Table11[[#This Row],[Sales]]</f>
        <v>-0.66666666666666674</v>
      </c>
    </row>
    <row r="1231" spans="1:22" x14ac:dyDescent="0.2">
      <c r="A1231" s="4">
        <v>1230</v>
      </c>
      <c r="B1231" s="3" t="s">
        <v>9920</v>
      </c>
      <c r="C1231" s="7">
        <v>42271</v>
      </c>
      <c r="D1231" s="28">
        <f>MONTH(Table11[[#This Row],[Order Date]])</f>
        <v>9</v>
      </c>
      <c r="E1231" s="3" t="s">
        <v>4349</v>
      </c>
      <c r="F1231" s="3" t="s">
        <v>4350</v>
      </c>
      <c r="G1231" s="25" t="s">
        <v>41</v>
      </c>
      <c r="H1231" s="25" t="s">
        <v>53</v>
      </c>
      <c r="I1231" s="3" t="s">
        <v>705</v>
      </c>
      <c r="J1231" s="25" t="s">
        <v>22</v>
      </c>
      <c r="K1231" s="28">
        <v>2</v>
      </c>
      <c r="L1231" s="7">
        <v>42271</v>
      </c>
      <c r="M1231" s="28">
        <f>Table11[[#This Row],[Ship Date]]-Table11[[#This Row],[Order Date]]</f>
        <v>0</v>
      </c>
      <c r="N1231" s="25" t="s">
        <v>1141</v>
      </c>
      <c r="O1231" s="25" t="s">
        <v>23</v>
      </c>
      <c r="P1231" s="25" t="s">
        <v>441</v>
      </c>
      <c r="Q1231" s="25" t="s">
        <v>133</v>
      </c>
      <c r="R1231" s="25" t="s">
        <v>440</v>
      </c>
      <c r="S1231" s="35">
        <v>0.2</v>
      </c>
      <c r="T1231" s="16">
        <v>33.567999999999998</v>
      </c>
      <c r="U1231" s="19">
        <v>1.6783999999999999</v>
      </c>
      <c r="V1231" s="56">
        <f>Table11[[#This Row],[Profit]]/Table11[[#This Row],[Sales]]</f>
        <v>0.05</v>
      </c>
    </row>
    <row r="1232" spans="1:22" x14ac:dyDescent="0.2">
      <c r="A1232" s="4">
        <v>1231</v>
      </c>
      <c r="B1232" s="5" t="s">
        <v>9920</v>
      </c>
      <c r="C1232" s="6">
        <v>42271</v>
      </c>
      <c r="D1232" s="27">
        <f>MONTH(Table11[[#This Row],[Order Date]])</f>
        <v>9</v>
      </c>
      <c r="E1232" s="5" t="s">
        <v>6687</v>
      </c>
      <c r="F1232" s="5" t="s">
        <v>6688</v>
      </c>
      <c r="G1232" s="24" t="s">
        <v>41</v>
      </c>
      <c r="H1232" s="24" t="s">
        <v>155</v>
      </c>
      <c r="I1232" s="5" t="s">
        <v>705</v>
      </c>
      <c r="J1232" s="24" t="s">
        <v>22</v>
      </c>
      <c r="K1232" s="27">
        <v>2</v>
      </c>
      <c r="L1232" s="6">
        <v>42271</v>
      </c>
      <c r="M1232" s="27">
        <f>Table11[[#This Row],[Ship Date]]-Table11[[#This Row],[Order Date]]</f>
        <v>0</v>
      </c>
      <c r="N1232" s="24" t="s">
        <v>1141</v>
      </c>
      <c r="O1232" s="24" t="s">
        <v>23</v>
      </c>
      <c r="P1232" s="24" t="s">
        <v>441</v>
      </c>
      <c r="Q1232" s="24" t="s">
        <v>133</v>
      </c>
      <c r="R1232" s="24" t="s">
        <v>440</v>
      </c>
      <c r="S1232" s="34">
        <v>0.2</v>
      </c>
      <c r="T1232" s="15">
        <v>15.84</v>
      </c>
      <c r="U1232" s="18">
        <v>5.5439999999999996</v>
      </c>
      <c r="V1232" s="56">
        <f>Table11[[#This Row],[Profit]]/Table11[[#This Row],[Sales]]</f>
        <v>0.35</v>
      </c>
    </row>
    <row r="1233" spans="1:22" x14ac:dyDescent="0.2">
      <c r="A1233" s="2">
        <v>1232</v>
      </c>
      <c r="B1233" s="3" t="s">
        <v>9920</v>
      </c>
      <c r="C1233" s="7">
        <v>42271</v>
      </c>
      <c r="D1233" s="28">
        <f>MONTH(Table11[[#This Row],[Order Date]])</f>
        <v>9</v>
      </c>
      <c r="E1233" s="3" t="s">
        <v>1986</v>
      </c>
      <c r="F1233" s="3" t="s">
        <v>1987</v>
      </c>
      <c r="G1233" s="25" t="s">
        <v>41</v>
      </c>
      <c r="H1233" s="25" t="s">
        <v>42</v>
      </c>
      <c r="I1233" s="3" t="s">
        <v>705</v>
      </c>
      <c r="J1233" s="25" t="s">
        <v>22</v>
      </c>
      <c r="K1233" s="28">
        <v>1</v>
      </c>
      <c r="L1233" s="7">
        <v>42271</v>
      </c>
      <c r="M1233" s="28">
        <f>Table11[[#This Row],[Ship Date]]-Table11[[#This Row],[Order Date]]</f>
        <v>0</v>
      </c>
      <c r="N1233" s="25" t="s">
        <v>1141</v>
      </c>
      <c r="O1233" s="25" t="s">
        <v>23</v>
      </c>
      <c r="P1233" s="25" t="s">
        <v>441</v>
      </c>
      <c r="Q1233" s="25" t="s">
        <v>133</v>
      </c>
      <c r="R1233" s="25" t="s">
        <v>440</v>
      </c>
      <c r="S1233" s="35">
        <v>0.2</v>
      </c>
      <c r="T1233" s="16">
        <v>24.423999999999999</v>
      </c>
      <c r="U1233" s="19">
        <v>7.9378000000000002</v>
      </c>
      <c r="V1233" s="56">
        <f>Table11[[#This Row],[Profit]]/Table11[[#This Row],[Sales]]</f>
        <v>0.32500000000000001</v>
      </c>
    </row>
    <row r="1234" spans="1:22" x14ac:dyDescent="0.2">
      <c r="A1234" s="4">
        <v>1233</v>
      </c>
      <c r="B1234" s="5" t="s">
        <v>9920</v>
      </c>
      <c r="C1234" s="6">
        <v>42271</v>
      </c>
      <c r="D1234" s="27">
        <f>MONTH(Table11[[#This Row],[Order Date]])</f>
        <v>9</v>
      </c>
      <c r="E1234" s="5" t="s">
        <v>3670</v>
      </c>
      <c r="F1234" s="5" t="s">
        <v>3671</v>
      </c>
      <c r="G1234" s="24" t="s">
        <v>41</v>
      </c>
      <c r="H1234" s="24" t="s">
        <v>61</v>
      </c>
      <c r="I1234" s="5" t="s">
        <v>705</v>
      </c>
      <c r="J1234" s="24" t="s">
        <v>22</v>
      </c>
      <c r="K1234" s="27">
        <v>5</v>
      </c>
      <c r="L1234" s="6">
        <v>42271</v>
      </c>
      <c r="M1234" s="27">
        <f>Table11[[#This Row],[Ship Date]]-Table11[[#This Row],[Order Date]]</f>
        <v>0</v>
      </c>
      <c r="N1234" s="24" t="s">
        <v>1141</v>
      </c>
      <c r="O1234" s="24" t="s">
        <v>23</v>
      </c>
      <c r="P1234" s="24" t="s">
        <v>441</v>
      </c>
      <c r="Q1234" s="24" t="s">
        <v>133</v>
      </c>
      <c r="R1234" s="24" t="s">
        <v>440</v>
      </c>
      <c r="S1234" s="34">
        <v>0.2</v>
      </c>
      <c r="T1234" s="15">
        <v>17.12</v>
      </c>
      <c r="U1234" s="18">
        <v>1.9259999999999999</v>
      </c>
      <c r="V1234" s="56">
        <f>Table11[[#This Row],[Profit]]/Table11[[#This Row],[Sales]]</f>
        <v>0.11249999999999999</v>
      </c>
    </row>
    <row r="1235" spans="1:22" x14ac:dyDescent="0.2">
      <c r="A1235" s="4">
        <v>1234</v>
      </c>
      <c r="B1235" s="3" t="s">
        <v>10105</v>
      </c>
      <c r="C1235" s="7">
        <v>42271</v>
      </c>
      <c r="D1235" s="28">
        <f>MONTH(Table11[[#This Row],[Order Date]])</f>
        <v>9</v>
      </c>
      <c r="E1235" s="3" t="s">
        <v>3049</v>
      </c>
      <c r="F1235" s="3" t="s">
        <v>3050</v>
      </c>
      <c r="G1235" s="25" t="s">
        <v>41</v>
      </c>
      <c r="H1235" s="25" t="s">
        <v>155</v>
      </c>
      <c r="I1235" s="3" t="s">
        <v>3257</v>
      </c>
      <c r="J1235" s="25" t="s">
        <v>22</v>
      </c>
      <c r="K1235" s="28">
        <v>1</v>
      </c>
      <c r="L1235" s="7">
        <v>42276</v>
      </c>
      <c r="M1235" s="28">
        <f>Table11[[#This Row],[Ship Date]]-Table11[[#This Row],[Order Date]]</f>
        <v>5</v>
      </c>
      <c r="N1235" s="25" t="s">
        <v>45</v>
      </c>
      <c r="O1235" s="25" t="s">
        <v>23</v>
      </c>
      <c r="P1235" s="25" t="s">
        <v>238</v>
      </c>
      <c r="Q1235" s="25" t="s">
        <v>133</v>
      </c>
      <c r="R1235" s="25" t="s">
        <v>237</v>
      </c>
      <c r="S1235" s="35">
        <v>0</v>
      </c>
      <c r="T1235" s="16">
        <v>39.979999999999997</v>
      </c>
      <c r="U1235" s="19">
        <v>17.991</v>
      </c>
      <c r="V1235" s="56">
        <f>Table11[[#This Row],[Profit]]/Table11[[#This Row],[Sales]]</f>
        <v>0.45</v>
      </c>
    </row>
    <row r="1236" spans="1:22" x14ac:dyDescent="0.2">
      <c r="A1236" s="2">
        <v>1235</v>
      </c>
      <c r="B1236" s="5" t="s">
        <v>136</v>
      </c>
      <c r="C1236" s="6">
        <v>42272</v>
      </c>
      <c r="D1236" s="27">
        <f>MONTH(Table11[[#This Row],[Order Date]])</f>
        <v>9</v>
      </c>
      <c r="E1236" s="5" t="s">
        <v>49</v>
      </c>
      <c r="F1236" s="5" t="s">
        <v>51</v>
      </c>
      <c r="G1236" s="24" t="s">
        <v>28</v>
      </c>
      <c r="H1236" s="24" t="s">
        <v>50</v>
      </c>
      <c r="I1236" s="5" t="s">
        <v>137</v>
      </c>
      <c r="J1236" s="24" t="s">
        <v>22</v>
      </c>
      <c r="K1236" s="27">
        <v>3</v>
      </c>
      <c r="L1236" s="6">
        <v>42277</v>
      </c>
      <c r="M1236" s="27">
        <f>Table11[[#This Row],[Ship Date]]-Table11[[#This Row],[Order Date]]</f>
        <v>5</v>
      </c>
      <c r="N1236" s="24" t="s">
        <v>45</v>
      </c>
      <c r="O1236" s="24" t="s">
        <v>23</v>
      </c>
      <c r="P1236" s="24" t="s">
        <v>109</v>
      </c>
      <c r="Q1236" s="24" t="s">
        <v>39</v>
      </c>
      <c r="R1236" s="24" t="s">
        <v>138</v>
      </c>
      <c r="S1236" s="34">
        <v>0</v>
      </c>
      <c r="T1236" s="15">
        <v>1044.6300000000001</v>
      </c>
      <c r="U1236" s="18">
        <v>240.26490000000001</v>
      </c>
      <c r="V1236" s="56">
        <f>Table11[[#This Row],[Profit]]/Table11[[#This Row],[Sales]]</f>
        <v>0.22999999999999998</v>
      </c>
    </row>
    <row r="1237" spans="1:22" x14ac:dyDescent="0.2">
      <c r="A1237" s="4">
        <v>1236</v>
      </c>
      <c r="B1237" s="3" t="s">
        <v>3865</v>
      </c>
      <c r="C1237" s="7">
        <v>42272</v>
      </c>
      <c r="D1237" s="28">
        <f>MONTH(Table11[[#This Row],[Order Date]])</f>
        <v>9</v>
      </c>
      <c r="E1237" s="3" t="s">
        <v>3867</v>
      </c>
      <c r="F1237" s="3" t="s">
        <v>3868</v>
      </c>
      <c r="G1237" s="25" t="s">
        <v>64</v>
      </c>
      <c r="H1237" s="25" t="s">
        <v>144</v>
      </c>
      <c r="I1237" s="3" t="s">
        <v>2080</v>
      </c>
      <c r="J1237" s="25" t="s">
        <v>92</v>
      </c>
      <c r="K1237" s="28">
        <v>4</v>
      </c>
      <c r="L1237" s="7">
        <v>42275</v>
      </c>
      <c r="M1237" s="28">
        <f>Table11[[#This Row],[Ship Date]]-Table11[[#This Row],[Order Date]]</f>
        <v>3</v>
      </c>
      <c r="N1237" s="25" t="s">
        <v>20</v>
      </c>
      <c r="O1237" s="25" t="s">
        <v>23</v>
      </c>
      <c r="P1237" s="25" t="s">
        <v>695</v>
      </c>
      <c r="Q1237" s="25" t="s">
        <v>133</v>
      </c>
      <c r="R1237" s="25" t="s">
        <v>3866</v>
      </c>
      <c r="S1237" s="35">
        <v>0</v>
      </c>
      <c r="T1237" s="16">
        <v>63.96</v>
      </c>
      <c r="U1237" s="19">
        <v>19.8276</v>
      </c>
      <c r="V1237" s="56">
        <f>Table11[[#This Row],[Profit]]/Table11[[#This Row],[Sales]]</f>
        <v>0.31</v>
      </c>
    </row>
    <row r="1238" spans="1:22" x14ac:dyDescent="0.2">
      <c r="A1238" s="4">
        <v>1237</v>
      </c>
      <c r="B1238" s="5" t="s">
        <v>3865</v>
      </c>
      <c r="C1238" s="6">
        <v>42272</v>
      </c>
      <c r="D1238" s="27">
        <f>MONTH(Table11[[#This Row],[Order Date]])</f>
        <v>9</v>
      </c>
      <c r="E1238" s="5" t="s">
        <v>1081</v>
      </c>
      <c r="F1238" s="5" t="s">
        <v>1082</v>
      </c>
      <c r="G1238" s="24" t="s">
        <v>41</v>
      </c>
      <c r="H1238" s="24" t="s">
        <v>68</v>
      </c>
      <c r="I1238" s="5" t="s">
        <v>2080</v>
      </c>
      <c r="J1238" s="24" t="s">
        <v>92</v>
      </c>
      <c r="K1238" s="27">
        <v>3</v>
      </c>
      <c r="L1238" s="6">
        <v>42275</v>
      </c>
      <c r="M1238" s="27">
        <f>Table11[[#This Row],[Ship Date]]-Table11[[#This Row],[Order Date]]</f>
        <v>3</v>
      </c>
      <c r="N1238" s="24" t="s">
        <v>20</v>
      </c>
      <c r="O1238" s="24" t="s">
        <v>23</v>
      </c>
      <c r="P1238" s="24" t="s">
        <v>695</v>
      </c>
      <c r="Q1238" s="24" t="s">
        <v>133</v>
      </c>
      <c r="R1238" s="24" t="s">
        <v>3866</v>
      </c>
      <c r="S1238" s="34">
        <v>0</v>
      </c>
      <c r="T1238" s="15">
        <v>14.46</v>
      </c>
      <c r="U1238" s="18">
        <v>7.0853999999999999</v>
      </c>
      <c r="V1238" s="56">
        <f>Table11[[#This Row],[Profit]]/Table11[[#This Row],[Sales]]</f>
        <v>0.49</v>
      </c>
    </row>
    <row r="1239" spans="1:22" x14ac:dyDescent="0.2">
      <c r="A1239" s="2">
        <v>1238</v>
      </c>
      <c r="B1239" s="3" t="s">
        <v>3865</v>
      </c>
      <c r="C1239" s="7">
        <v>42272</v>
      </c>
      <c r="D1239" s="28">
        <f>MONTH(Table11[[#This Row],[Order Date]])</f>
        <v>9</v>
      </c>
      <c r="E1239" s="3" t="s">
        <v>280</v>
      </c>
      <c r="F1239" s="3" t="s">
        <v>281</v>
      </c>
      <c r="G1239" s="25" t="s">
        <v>64</v>
      </c>
      <c r="H1239" s="25" t="s">
        <v>65</v>
      </c>
      <c r="I1239" s="3" t="s">
        <v>2080</v>
      </c>
      <c r="J1239" s="25" t="s">
        <v>92</v>
      </c>
      <c r="K1239" s="28">
        <v>2</v>
      </c>
      <c r="L1239" s="7">
        <v>42275</v>
      </c>
      <c r="M1239" s="28">
        <f>Table11[[#This Row],[Ship Date]]-Table11[[#This Row],[Order Date]]</f>
        <v>3</v>
      </c>
      <c r="N1239" s="25" t="s">
        <v>20</v>
      </c>
      <c r="O1239" s="25" t="s">
        <v>23</v>
      </c>
      <c r="P1239" s="25" t="s">
        <v>695</v>
      </c>
      <c r="Q1239" s="25" t="s">
        <v>133</v>
      </c>
      <c r="R1239" s="25" t="s">
        <v>3866</v>
      </c>
      <c r="S1239" s="35">
        <v>0</v>
      </c>
      <c r="T1239" s="16">
        <v>104.98</v>
      </c>
      <c r="U1239" s="19">
        <v>52.49</v>
      </c>
      <c r="V1239" s="56">
        <f>Table11[[#This Row],[Profit]]/Table11[[#This Row],[Sales]]</f>
        <v>0.5</v>
      </c>
    </row>
    <row r="1240" spans="1:22" x14ac:dyDescent="0.2">
      <c r="A1240" s="4">
        <v>1239</v>
      </c>
      <c r="B1240" s="5" t="s">
        <v>4898</v>
      </c>
      <c r="C1240" s="6">
        <v>42272</v>
      </c>
      <c r="D1240" s="27">
        <f>MONTH(Table11[[#This Row],[Order Date]])</f>
        <v>9</v>
      </c>
      <c r="E1240" s="5" t="s">
        <v>2602</v>
      </c>
      <c r="F1240" s="5" t="s">
        <v>2603</v>
      </c>
      <c r="G1240" s="24" t="s">
        <v>41</v>
      </c>
      <c r="H1240" s="24" t="s">
        <v>155</v>
      </c>
      <c r="I1240" s="5" t="s">
        <v>4337</v>
      </c>
      <c r="J1240" s="24" t="s">
        <v>22</v>
      </c>
      <c r="K1240" s="27">
        <v>2</v>
      </c>
      <c r="L1240" s="6">
        <v>42278</v>
      </c>
      <c r="M1240" s="27">
        <f>Table11[[#This Row],[Ship Date]]-Table11[[#This Row],[Order Date]]</f>
        <v>6</v>
      </c>
      <c r="N1240" s="24" t="s">
        <v>45</v>
      </c>
      <c r="O1240" s="24" t="s">
        <v>23</v>
      </c>
      <c r="P1240" s="24" t="s">
        <v>38</v>
      </c>
      <c r="Q1240" s="24" t="s">
        <v>39</v>
      </c>
      <c r="R1240" s="24" t="s">
        <v>37</v>
      </c>
      <c r="S1240" s="34">
        <v>0</v>
      </c>
      <c r="T1240" s="15">
        <v>17.48</v>
      </c>
      <c r="U1240" s="18">
        <v>8.2156000000000002</v>
      </c>
      <c r="V1240" s="56">
        <f>Table11[[#This Row],[Profit]]/Table11[[#This Row],[Sales]]</f>
        <v>0.47000000000000003</v>
      </c>
    </row>
    <row r="1241" spans="1:22" x14ac:dyDescent="0.2">
      <c r="A1241" s="4">
        <v>1240</v>
      </c>
      <c r="B1241" s="3" t="s">
        <v>7592</v>
      </c>
      <c r="C1241" s="7">
        <v>42272</v>
      </c>
      <c r="D1241" s="28">
        <f>MONTH(Table11[[#This Row],[Order Date]])</f>
        <v>9</v>
      </c>
      <c r="E1241" s="3" t="s">
        <v>546</v>
      </c>
      <c r="F1241" s="3" t="s">
        <v>547</v>
      </c>
      <c r="G1241" s="25" t="s">
        <v>41</v>
      </c>
      <c r="H1241" s="25" t="s">
        <v>68</v>
      </c>
      <c r="I1241" s="3" t="s">
        <v>7593</v>
      </c>
      <c r="J1241" s="25" t="s">
        <v>22</v>
      </c>
      <c r="K1241" s="28">
        <v>2</v>
      </c>
      <c r="L1241" s="7">
        <v>42276</v>
      </c>
      <c r="M1241" s="28">
        <f>Table11[[#This Row],[Ship Date]]-Table11[[#This Row],[Order Date]]</f>
        <v>4</v>
      </c>
      <c r="N1241" s="25" t="s">
        <v>45</v>
      </c>
      <c r="O1241" s="25" t="s">
        <v>23</v>
      </c>
      <c r="P1241" s="25" t="s">
        <v>2373</v>
      </c>
      <c r="Q1241" s="25" t="s">
        <v>133</v>
      </c>
      <c r="R1241" s="25" t="s">
        <v>79</v>
      </c>
      <c r="S1241" s="35">
        <v>0</v>
      </c>
      <c r="T1241" s="16">
        <v>68.62</v>
      </c>
      <c r="U1241" s="19">
        <v>32.251399999999997</v>
      </c>
      <c r="V1241" s="56">
        <f>Table11[[#This Row],[Profit]]/Table11[[#This Row],[Sales]]</f>
        <v>0.46999999999999992</v>
      </c>
    </row>
    <row r="1242" spans="1:22" x14ac:dyDescent="0.2">
      <c r="A1242" s="2">
        <v>1241</v>
      </c>
      <c r="B1242" s="5" t="s">
        <v>7681</v>
      </c>
      <c r="C1242" s="6">
        <v>42272</v>
      </c>
      <c r="D1242" s="27">
        <f>MONTH(Table11[[#This Row],[Order Date]])</f>
        <v>9</v>
      </c>
      <c r="E1242" s="5" t="s">
        <v>4865</v>
      </c>
      <c r="F1242" s="5" t="s">
        <v>4866</v>
      </c>
      <c r="G1242" s="24" t="s">
        <v>64</v>
      </c>
      <c r="H1242" s="24" t="s">
        <v>144</v>
      </c>
      <c r="I1242" s="5" t="s">
        <v>846</v>
      </c>
      <c r="J1242" s="24" t="s">
        <v>36</v>
      </c>
      <c r="K1242" s="27">
        <v>9</v>
      </c>
      <c r="L1242" s="6">
        <v>42274</v>
      </c>
      <c r="M1242" s="27">
        <f>Table11[[#This Row],[Ship Date]]-Table11[[#This Row],[Order Date]]</f>
        <v>2</v>
      </c>
      <c r="N1242" s="24" t="s">
        <v>169</v>
      </c>
      <c r="O1242" s="24" t="s">
        <v>23</v>
      </c>
      <c r="P1242" s="24" t="s">
        <v>238</v>
      </c>
      <c r="Q1242" s="24" t="s">
        <v>133</v>
      </c>
      <c r="R1242" s="24" t="s">
        <v>237</v>
      </c>
      <c r="S1242" s="34">
        <v>0</v>
      </c>
      <c r="T1242" s="15">
        <v>899.91</v>
      </c>
      <c r="U1242" s="18">
        <v>395.96039999999999</v>
      </c>
      <c r="V1242" s="56">
        <f>Table11[[#This Row],[Profit]]/Table11[[#This Row],[Sales]]</f>
        <v>0.44</v>
      </c>
    </row>
    <row r="1243" spans="1:22" x14ac:dyDescent="0.2">
      <c r="A1243" s="4">
        <v>1242</v>
      </c>
      <c r="B1243" s="3" t="s">
        <v>8132</v>
      </c>
      <c r="C1243" s="7">
        <v>42272</v>
      </c>
      <c r="D1243" s="28">
        <f>MONTH(Table11[[#This Row],[Order Date]])</f>
        <v>9</v>
      </c>
      <c r="E1243" s="3" t="s">
        <v>3361</v>
      </c>
      <c r="F1243" s="3" t="s">
        <v>3362</v>
      </c>
      <c r="G1243" s="25" t="s">
        <v>41</v>
      </c>
      <c r="H1243" s="25" t="s">
        <v>68</v>
      </c>
      <c r="I1243" s="3" t="s">
        <v>4208</v>
      </c>
      <c r="J1243" s="25" t="s">
        <v>22</v>
      </c>
      <c r="K1243" s="28">
        <v>2</v>
      </c>
      <c r="L1243" s="7">
        <v>42276</v>
      </c>
      <c r="M1243" s="28">
        <f>Table11[[#This Row],[Ship Date]]-Table11[[#This Row],[Order Date]]</f>
        <v>4</v>
      </c>
      <c r="N1243" s="25" t="s">
        <v>45</v>
      </c>
      <c r="O1243" s="25" t="s">
        <v>23</v>
      </c>
      <c r="P1243" s="25" t="s">
        <v>660</v>
      </c>
      <c r="Q1243" s="25" t="s">
        <v>133</v>
      </c>
      <c r="R1243" s="25" t="s">
        <v>4073</v>
      </c>
      <c r="S1243" s="35">
        <v>0</v>
      </c>
      <c r="T1243" s="16">
        <v>10.76</v>
      </c>
      <c r="U1243" s="19">
        <v>5.1647999999999996</v>
      </c>
      <c r="V1243" s="56">
        <f>Table11[[#This Row],[Profit]]/Table11[[#This Row],[Sales]]</f>
        <v>0.48</v>
      </c>
    </row>
    <row r="1244" spans="1:22" x14ac:dyDescent="0.2">
      <c r="A1244" s="4">
        <v>1243</v>
      </c>
      <c r="B1244" s="5" t="s">
        <v>8132</v>
      </c>
      <c r="C1244" s="6">
        <v>42272</v>
      </c>
      <c r="D1244" s="27">
        <f>MONTH(Table11[[#This Row],[Order Date]])</f>
        <v>9</v>
      </c>
      <c r="E1244" s="5" t="s">
        <v>1368</v>
      </c>
      <c r="F1244" s="5" t="s">
        <v>1369</v>
      </c>
      <c r="G1244" s="24" t="s">
        <v>41</v>
      </c>
      <c r="H1244" s="24" t="s">
        <v>82</v>
      </c>
      <c r="I1244" s="5" t="s">
        <v>4208</v>
      </c>
      <c r="J1244" s="24" t="s">
        <v>22</v>
      </c>
      <c r="K1244" s="27">
        <v>2</v>
      </c>
      <c r="L1244" s="6">
        <v>42276</v>
      </c>
      <c r="M1244" s="27">
        <f>Table11[[#This Row],[Ship Date]]-Table11[[#This Row],[Order Date]]</f>
        <v>4</v>
      </c>
      <c r="N1244" s="24" t="s">
        <v>45</v>
      </c>
      <c r="O1244" s="24" t="s">
        <v>23</v>
      </c>
      <c r="P1244" s="24" t="s">
        <v>660</v>
      </c>
      <c r="Q1244" s="24" t="s">
        <v>133</v>
      </c>
      <c r="R1244" s="24" t="s">
        <v>4073</v>
      </c>
      <c r="S1244" s="34">
        <v>0</v>
      </c>
      <c r="T1244" s="15">
        <v>45.68</v>
      </c>
      <c r="U1244" s="18">
        <v>21.012799999999999</v>
      </c>
      <c r="V1244" s="56">
        <f>Table11[[#This Row],[Profit]]/Table11[[#This Row],[Sales]]</f>
        <v>0.45999999999999996</v>
      </c>
    </row>
    <row r="1245" spans="1:22" x14ac:dyDescent="0.2">
      <c r="A1245" s="2">
        <v>1244</v>
      </c>
      <c r="B1245" s="3" t="s">
        <v>8132</v>
      </c>
      <c r="C1245" s="7">
        <v>42272</v>
      </c>
      <c r="D1245" s="28">
        <f>MONTH(Table11[[#This Row],[Order Date]])</f>
        <v>9</v>
      </c>
      <c r="E1245" s="3" t="s">
        <v>358</v>
      </c>
      <c r="F1245" s="3" t="s">
        <v>359</v>
      </c>
      <c r="G1245" s="25" t="s">
        <v>41</v>
      </c>
      <c r="H1245" s="25" t="s">
        <v>61</v>
      </c>
      <c r="I1245" s="3" t="s">
        <v>4208</v>
      </c>
      <c r="J1245" s="25" t="s">
        <v>22</v>
      </c>
      <c r="K1245" s="28">
        <v>1</v>
      </c>
      <c r="L1245" s="7">
        <v>42276</v>
      </c>
      <c r="M1245" s="28">
        <f>Table11[[#This Row],[Ship Date]]-Table11[[#This Row],[Order Date]]</f>
        <v>4</v>
      </c>
      <c r="N1245" s="25" t="s">
        <v>45</v>
      </c>
      <c r="O1245" s="25" t="s">
        <v>23</v>
      </c>
      <c r="P1245" s="25" t="s">
        <v>660</v>
      </c>
      <c r="Q1245" s="25" t="s">
        <v>133</v>
      </c>
      <c r="R1245" s="25" t="s">
        <v>4073</v>
      </c>
      <c r="S1245" s="35">
        <v>0</v>
      </c>
      <c r="T1245" s="16">
        <v>6.7</v>
      </c>
      <c r="U1245" s="19">
        <v>2.2109999999999999</v>
      </c>
      <c r="V1245" s="56">
        <f>Table11[[#This Row],[Profit]]/Table11[[#This Row],[Sales]]</f>
        <v>0.32999999999999996</v>
      </c>
    </row>
    <row r="1246" spans="1:22" x14ac:dyDescent="0.2">
      <c r="A1246" s="4">
        <v>1245</v>
      </c>
      <c r="B1246" s="5" t="s">
        <v>8772</v>
      </c>
      <c r="C1246" s="6">
        <v>42272</v>
      </c>
      <c r="D1246" s="27">
        <f>MONTH(Table11[[#This Row],[Order Date]])</f>
        <v>9</v>
      </c>
      <c r="E1246" s="5" t="s">
        <v>4431</v>
      </c>
      <c r="F1246" s="5" t="s">
        <v>4432</v>
      </c>
      <c r="G1246" s="24" t="s">
        <v>41</v>
      </c>
      <c r="H1246" s="24" t="s">
        <v>61</v>
      </c>
      <c r="I1246" s="5" t="s">
        <v>6407</v>
      </c>
      <c r="J1246" s="24" t="s">
        <v>22</v>
      </c>
      <c r="K1246" s="27">
        <v>7</v>
      </c>
      <c r="L1246" s="6">
        <v>42276</v>
      </c>
      <c r="M1246" s="27">
        <f>Table11[[#This Row],[Ship Date]]-Table11[[#This Row],[Order Date]]</f>
        <v>4</v>
      </c>
      <c r="N1246" s="24" t="s">
        <v>45</v>
      </c>
      <c r="O1246" s="24" t="s">
        <v>23</v>
      </c>
      <c r="P1246" s="24" t="s">
        <v>189</v>
      </c>
      <c r="Q1246" s="24" t="s">
        <v>95</v>
      </c>
      <c r="R1246" s="24" t="s">
        <v>2731</v>
      </c>
      <c r="S1246" s="34">
        <v>0.2</v>
      </c>
      <c r="T1246" s="15">
        <v>128.744</v>
      </c>
      <c r="U1246" s="18">
        <v>12.8744</v>
      </c>
      <c r="V1246" s="56">
        <f>Table11[[#This Row],[Profit]]/Table11[[#This Row],[Sales]]</f>
        <v>9.9999999999999992E-2</v>
      </c>
    </row>
    <row r="1247" spans="1:22" x14ac:dyDescent="0.2">
      <c r="A1247" s="4">
        <v>1246</v>
      </c>
      <c r="B1247" s="3" t="s">
        <v>8915</v>
      </c>
      <c r="C1247" s="7">
        <v>42272</v>
      </c>
      <c r="D1247" s="28">
        <f>MONTH(Table11[[#This Row],[Order Date]])</f>
        <v>9</v>
      </c>
      <c r="E1247" s="3" t="s">
        <v>3432</v>
      </c>
      <c r="F1247" s="3" t="s">
        <v>3433</v>
      </c>
      <c r="G1247" s="25" t="s">
        <v>28</v>
      </c>
      <c r="H1247" s="25" t="s">
        <v>32</v>
      </c>
      <c r="I1247" s="3" t="s">
        <v>518</v>
      </c>
      <c r="J1247" s="25" t="s">
        <v>36</v>
      </c>
      <c r="K1247" s="28">
        <v>4</v>
      </c>
      <c r="L1247" s="7">
        <v>42277</v>
      </c>
      <c r="M1247" s="28">
        <f>Table11[[#This Row],[Ship Date]]-Table11[[#This Row],[Order Date]]</f>
        <v>5</v>
      </c>
      <c r="N1247" s="25" t="s">
        <v>45</v>
      </c>
      <c r="O1247" s="25" t="s">
        <v>23</v>
      </c>
      <c r="P1247" s="25" t="s">
        <v>87</v>
      </c>
      <c r="Q1247" s="25" t="s">
        <v>39</v>
      </c>
      <c r="R1247" s="25" t="s">
        <v>86</v>
      </c>
      <c r="S1247" s="35">
        <v>0.2</v>
      </c>
      <c r="T1247" s="16">
        <v>307.13600000000002</v>
      </c>
      <c r="U1247" s="19">
        <v>-11.5176</v>
      </c>
      <c r="V1247" s="56">
        <f>Table11[[#This Row],[Profit]]/Table11[[#This Row],[Sales]]</f>
        <v>-3.7499999999999999E-2</v>
      </c>
    </row>
    <row r="1248" spans="1:22" x14ac:dyDescent="0.2">
      <c r="A1248" s="2">
        <v>1247</v>
      </c>
      <c r="B1248" s="5" t="s">
        <v>8915</v>
      </c>
      <c r="C1248" s="6">
        <v>42272</v>
      </c>
      <c r="D1248" s="27">
        <f>MONTH(Table11[[#This Row],[Order Date]])</f>
        <v>9</v>
      </c>
      <c r="E1248" s="5" t="s">
        <v>6450</v>
      </c>
      <c r="F1248" s="5" t="s">
        <v>6451</v>
      </c>
      <c r="G1248" s="24" t="s">
        <v>41</v>
      </c>
      <c r="H1248" s="24" t="s">
        <v>42</v>
      </c>
      <c r="I1248" s="5" t="s">
        <v>518</v>
      </c>
      <c r="J1248" s="24" t="s">
        <v>36</v>
      </c>
      <c r="K1248" s="27">
        <v>2</v>
      </c>
      <c r="L1248" s="6">
        <v>42277</v>
      </c>
      <c r="M1248" s="27">
        <f>Table11[[#This Row],[Ship Date]]-Table11[[#This Row],[Order Date]]</f>
        <v>5</v>
      </c>
      <c r="N1248" s="24" t="s">
        <v>45</v>
      </c>
      <c r="O1248" s="24" t="s">
        <v>23</v>
      </c>
      <c r="P1248" s="24" t="s">
        <v>87</v>
      </c>
      <c r="Q1248" s="24" t="s">
        <v>39</v>
      </c>
      <c r="R1248" s="24" t="s">
        <v>86</v>
      </c>
      <c r="S1248" s="34">
        <v>0</v>
      </c>
      <c r="T1248" s="15">
        <v>12.6</v>
      </c>
      <c r="U1248" s="18">
        <v>5.7960000000000003</v>
      </c>
      <c r="V1248" s="56">
        <f>Table11[[#This Row],[Profit]]/Table11[[#This Row],[Sales]]</f>
        <v>0.46</v>
      </c>
    </row>
    <row r="1249" spans="1:22" x14ac:dyDescent="0.2">
      <c r="A1249" s="4">
        <v>1248</v>
      </c>
      <c r="B1249" s="3" t="s">
        <v>8915</v>
      </c>
      <c r="C1249" s="7">
        <v>42272</v>
      </c>
      <c r="D1249" s="28">
        <f>MONTH(Table11[[#This Row],[Order Date]])</f>
        <v>9</v>
      </c>
      <c r="E1249" s="3" t="s">
        <v>1472</v>
      </c>
      <c r="F1249" s="3" t="s">
        <v>1473</v>
      </c>
      <c r="G1249" s="25" t="s">
        <v>64</v>
      </c>
      <c r="H1249" s="25" t="s">
        <v>144</v>
      </c>
      <c r="I1249" s="3" t="s">
        <v>518</v>
      </c>
      <c r="J1249" s="25" t="s">
        <v>36</v>
      </c>
      <c r="K1249" s="28">
        <v>2</v>
      </c>
      <c r="L1249" s="7">
        <v>42277</v>
      </c>
      <c r="M1249" s="28">
        <f>Table11[[#This Row],[Ship Date]]-Table11[[#This Row],[Order Date]]</f>
        <v>5</v>
      </c>
      <c r="N1249" s="25" t="s">
        <v>45</v>
      </c>
      <c r="O1249" s="25" t="s">
        <v>23</v>
      </c>
      <c r="P1249" s="25" t="s">
        <v>87</v>
      </c>
      <c r="Q1249" s="25" t="s">
        <v>39</v>
      </c>
      <c r="R1249" s="25" t="s">
        <v>86</v>
      </c>
      <c r="S1249" s="35">
        <v>0</v>
      </c>
      <c r="T1249" s="16">
        <v>159.97999999999999</v>
      </c>
      <c r="U1249" s="19">
        <v>57.592799999999997</v>
      </c>
      <c r="V1249" s="56">
        <f>Table11[[#This Row],[Profit]]/Table11[[#This Row],[Sales]]</f>
        <v>0.36</v>
      </c>
    </row>
    <row r="1250" spans="1:22" x14ac:dyDescent="0.2">
      <c r="A1250" s="4">
        <v>1249</v>
      </c>
      <c r="B1250" s="5" t="s">
        <v>9117</v>
      </c>
      <c r="C1250" s="6">
        <v>42272</v>
      </c>
      <c r="D1250" s="27">
        <f>MONTH(Table11[[#This Row],[Order Date]])</f>
        <v>9</v>
      </c>
      <c r="E1250" s="5" t="s">
        <v>3808</v>
      </c>
      <c r="F1250" s="5" t="s">
        <v>3809</v>
      </c>
      <c r="G1250" s="24" t="s">
        <v>41</v>
      </c>
      <c r="H1250" s="24" t="s">
        <v>68</v>
      </c>
      <c r="I1250" s="5" t="s">
        <v>3738</v>
      </c>
      <c r="J1250" s="24" t="s">
        <v>36</v>
      </c>
      <c r="K1250" s="27">
        <v>4</v>
      </c>
      <c r="L1250" s="6">
        <v>42279</v>
      </c>
      <c r="M1250" s="27">
        <f>Table11[[#This Row],[Ship Date]]-Table11[[#This Row],[Order Date]]</f>
        <v>7</v>
      </c>
      <c r="N1250" s="24" t="s">
        <v>45</v>
      </c>
      <c r="O1250" s="24" t="s">
        <v>23</v>
      </c>
      <c r="P1250" s="24" t="s">
        <v>299</v>
      </c>
      <c r="Q1250" s="24" t="s">
        <v>26</v>
      </c>
      <c r="R1250" s="24" t="s">
        <v>1047</v>
      </c>
      <c r="S1250" s="34">
        <v>0.7</v>
      </c>
      <c r="T1250" s="15">
        <v>6.3360000000000003</v>
      </c>
      <c r="U1250" s="18">
        <v>-4.6463999999999999</v>
      </c>
      <c r="V1250" s="56">
        <f>Table11[[#This Row],[Profit]]/Table11[[#This Row],[Sales]]</f>
        <v>-0.73333333333333328</v>
      </c>
    </row>
    <row r="1251" spans="1:22" x14ac:dyDescent="0.2">
      <c r="A1251" s="2">
        <v>1250</v>
      </c>
      <c r="B1251" s="3" t="s">
        <v>9117</v>
      </c>
      <c r="C1251" s="7">
        <v>42272</v>
      </c>
      <c r="D1251" s="28">
        <f>MONTH(Table11[[#This Row],[Order Date]])</f>
        <v>9</v>
      </c>
      <c r="E1251" s="3" t="s">
        <v>5162</v>
      </c>
      <c r="F1251" s="3" t="s">
        <v>5163</v>
      </c>
      <c r="G1251" s="25" t="s">
        <v>41</v>
      </c>
      <c r="H1251" s="25" t="s">
        <v>82</v>
      </c>
      <c r="I1251" s="3" t="s">
        <v>3738</v>
      </c>
      <c r="J1251" s="25" t="s">
        <v>36</v>
      </c>
      <c r="K1251" s="28">
        <v>1</v>
      </c>
      <c r="L1251" s="7">
        <v>42279</v>
      </c>
      <c r="M1251" s="28">
        <f>Table11[[#This Row],[Ship Date]]-Table11[[#This Row],[Order Date]]</f>
        <v>7</v>
      </c>
      <c r="N1251" s="25" t="s">
        <v>45</v>
      </c>
      <c r="O1251" s="25" t="s">
        <v>23</v>
      </c>
      <c r="P1251" s="25" t="s">
        <v>299</v>
      </c>
      <c r="Q1251" s="25" t="s">
        <v>26</v>
      </c>
      <c r="R1251" s="25" t="s">
        <v>1047</v>
      </c>
      <c r="S1251" s="35">
        <v>0.2</v>
      </c>
      <c r="T1251" s="16">
        <v>10.48</v>
      </c>
      <c r="U1251" s="19">
        <v>3.7989999999999999</v>
      </c>
      <c r="V1251" s="56">
        <f>Table11[[#This Row],[Profit]]/Table11[[#This Row],[Sales]]</f>
        <v>0.36249999999999999</v>
      </c>
    </row>
    <row r="1252" spans="1:22" x14ac:dyDescent="0.2">
      <c r="A1252" s="4">
        <v>1251</v>
      </c>
      <c r="B1252" s="5" t="s">
        <v>9117</v>
      </c>
      <c r="C1252" s="6">
        <v>42272</v>
      </c>
      <c r="D1252" s="27">
        <f>MONTH(Table11[[#This Row],[Order Date]])</f>
        <v>9</v>
      </c>
      <c r="E1252" s="5" t="s">
        <v>4535</v>
      </c>
      <c r="F1252" s="5" t="s">
        <v>4536</v>
      </c>
      <c r="G1252" s="24" t="s">
        <v>41</v>
      </c>
      <c r="H1252" s="24" t="s">
        <v>68</v>
      </c>
      <c r="I1252" s="5" t="s">
        <v>3738</v>
      </c>
      <c r="J1252" s="24" t="s">
        <v>36</v>
      </c>
      <c r="K1252" s="27">
        <v>1</v>
      </c>
      <c r="L1252" s="6">
        <v>42279</v>
      </c>
      <c r="M1252" s="27">
        <f>Table11[[#This Row],[Ship Date]]-Table11[[#This Row],[Order Date]]</f>
        <v>7</v>
      </c>
      <c r="N1252" s="24" t="s">
        <v>45</v>
      </c>
      <c r="O1252" s="24" t="s">
        <v>23</v>
      </c>
      <c r="P1252" s="24" t="s">
        <v>299</v>
      </c>
      <c r="Q1252" s="24" t="s">
        <v>26</v>
      </c>
      <c r="R1252" s="24" t="s">
        <v>1047</v>
      </c>
      <c r="S1252" s="34">
        <v>0.7</v>
      </c>
      <c r="T1252" s="15">
        <v>2.4689999999999999</v>
      </c>
      <c r="U1252" s="18">
        <v>-1.8106</v>
      </c>
      <c r="V1252" s="56">
        <f>Table11[[#This Row],[Profit]]/Table11[[#This Row],[Sales]]</f>
        <v>-0.73333333333333339</v>
      </c>
    </row>
    <row r="1253" spans="1:22" x14ac:dyDescent="0.2">
      <c r="A1253" s="4">
        <v>1252</v>
      </c>
      <c r="B1253" s="3" t="s">
        <v>9117</v>
      </c>
      <c r="C1253" s="7">
        <v>42272</v>
      </c>
      <c r="D1253" s="28">
        <f>MONTH(Table11[[#This Row],[Order Date]])</f>
        <v>9</v>
      </c>
      <c r="E1253" s="3" t="s">
        <v>1068</v>
      </c>
      <c r="F1253" s="3" t="s">
        <v>1069</v>
      </c>
      <c r="G1253" s="25" t="s">
        <v>41</v>
      </c>
      <c r="H1253" s="25" t="s">
        <v>68</v>
      </c>
      <c r="I1253" s="3" t="s">
        <v>3738</v>
      </c>
      <c r="J1253" s="25" t="s">
        <v>36</v>
      </c>
      <c r="K1253" s="28">
        <v>2</v>
      </c>
      <c r="L1253" s="7">
        <v>42279</v>
      </c>
      <c r="M1253" s="28">
        <f>Table11[[#This Row],[Ship Date]]-Table11[[#This Row],[Order Date]]</f>
        <v>7</v>
      </c>
      <c r="N1253" s="25" t="s">
        <v>45</v>
      </c>
      <c r="O1253" s="25" t="s">
        <v>23</v>
      </c>
      <c r="P1253" s="25" t="s">
        <v>299</v>
      </c>
      <c r="Q1253" s="25" t="s">
        <v>26</v>
      </c>
      <c r="R1253" s="25" t="s">
        <v>1047</v>
      </c>
      <c r="S1253" s="35">
        <v>0.7</v>
      </c>
      <c r="T1253" s="16">
        <v>3.2639999999999998</v>
      </c>
      <c r="U1253" s="19">
        <v>-2.2848000000000002</v>
      </c>
      <c r="V1253" s="56">
        <f>Table11[[#This Row],[Profit]]/Table11[[#This Row],[Sales]]</f>
        <v>-0.70000000000000007</v>
      </c>
    </row>
    <row r="1254" spans="1:22" x14ac:dyDescent="0.2">
      <c r="A1254" s="2">
        <v>1253</v>
      </c>
      <c r="B1254" s="5" t="s">
        <v>9735</v>
      </c>
      <c r="C1254" s="6">
        <v>42272</v>
      </c>
      <c r="D1254" s="27">
        <f>MONTH(Table11[[#This Row],[Order Date]])</f>
        <v>9</v>
      </c>
      <c r="E1254" s="5" t="s">
        <v>7619</v>
      </c>
      <c r="F1254" s="5" t="s">
        <v>7620</v>
      </c>
      <c r="G1254" s="24" t="s">
        <v>28</v>
      </c>
      <c r="H1254" s="24" t="s">
        <v>32</v>
      </c>
      <c r="I1254" s="5" t="s">
        <v>1725</v>
      </c>
      <c r="J1254" s="24" t="s">
        <v>22</v>
      </c>
      <c r="K1254" s="27">
        <v>1</v>
      </c>
      <c r="L1254" s="6">
        <v>42272</v>
      </c>
      <c r="M1254" s="27">
        <f>Table11[[#This Row],[Ship Date]]-Table11[[#This Row],[Order Date]]</f>
        <v>0</v>
      </c>
      <c r="N1254" s="24" t="s">
        <v>1141</v>
      </c>
      <c r="O1254" s="24" t="s">
        <v>23</v>
      </c>
      <c r="P1254" s="24" t="s">
        <v>238</v>
      </c>
      <c r="Q1254" s="24" t="s">
        <v>133</v>
      </c>
      <c r="R1254" s="24" t="s">
        <v>3271</v>
      </c>
      <c r="S1254" s="34">
        <v>0.1</v>
      </c>
      <c r="T1254" s="15">
        <v>102.58199999999999</v>
      </c>
      <c r="U1254" s="18">
        <v>6.8388</v>
      </c>
      <c r="V1254" s="56">
        <f>Table11[[#This Row],[Profit]]/Table11[[#This Row],[Sales]]</f>
        <v>6.6666666666666666E-2</v>
      </c>
    </row>
    <row r="1255" spans="1:22" x14ac:dyDescent="0.2">
      <c r="A1255" s="4">
        <v>1254</v>
      </c>
      <c r="B1255" s="3" t="s">
        <v>9735</v>
      </c>
      <c r="C1255" s="7">
        <v>42272</v>
      </c>
      <c r="D1255" s="28">
        <f>MONTH(Table11[[#This Row],[Order Date]])</f>
        <v>9</v>
      </c>
      <c r="E1255" s="3" t="s">
        <v>2445</v>
      </c>
      <c r="F1255" s="3" t="s">
        <v>2446</v>
      </c>
      <c r="G1255" s="25" t="s">
        <v>41</v>
      </c>
      <c r="H1255" s="25" t="s">
        <v>82</v>
      </c>
      <c r="I1255" s="3" t="s">
        <v>1725</v>
      </c>
      <c r="J1255" s="25" t="s">
        <v>22</v>
      </c>
      <c r="K1255" s="28">
        <v>3</v>
      </c>
      <c r="L1255" s="7">
        <v>42272</v>
      </c>
      <c r="M1255" s="28">
        <f>Table11[[#This Row],[Ship Date]]-Table11[[#This Row],[Order Date]]</f>
        <v>0</v>
      </c>
      <c r="N1255" s="25" t="s">
        <v>1141</v>
      </c>
      <c r="O1255" s="25" t="s">
        <v>23</v>
      </c>
      <c r="P1255" s="25" t="s">
        <v>238</v>
      </c>
      <c r="Q1255" s="25" t="s">
        <v>133</v>
      </c>
      <c r="R1255" s="25" t="s">
        <v>3271</v>
      </c>
      <c r="S1255" s="35">
        <v>0</v>
      </c>
      <c r="T1255" s="16">
        <v>20.04</v>
      </c>
      <c r="U1255" s="19">
        <v>9.6191999999999993</v>
      </c>
      <c r="V1255" s="56">
        <f>Table11[[#This Row],[Profit]]/Table11[[#This Row],[Sales]]</f>
        <v>0.48</v>
      </c>
    </row>
    <row r="1256" spans="1:22" x14ac:dyDescent="0.2">
      <c r="A1256" s="4">
        <v>1255</v>
      </c>
      <c r="B1256" s="5" t="s">
        <v>9831</v>
      </c>
      <c r="C1256" s="6">
        <v>42272</v>
      </c>
      <c r="D1256" s="27">
        <f>MONTH(Table11[[#This Row],[Order Date]])</f>
        <v>9</v>
      </c>
      <c r="E1256" s="5" t="s">
        <v>2386</v>
      </c>
      <c r="F1256" s="5" t="s">
        <v>2387</v>
      </c>
      <c r="G1256" s="24" t="s">
        <v>41</v>
      </c>
      <c r="H1256" s="24" t="s">
        <v>68</v>
      </c>
      <c r="I1256" s="5" t="s">
        <v>2165</v>
      </c>
      <c r="J1256" s="24" t="s">
        <v>22</v>
      </c>
      <c r="K1256" s="27">
        <v>2</v>
      </c>
      <c r="L1256" s="6">
        <v>42272</v>
      </c>
      <c r="M1256" s="27">
        <f>Table11[[#This Row],[Ship Date]]-Table11[[#This Row],[Order Date]]</f>
        <v>0</v>
      </c>
      <c r="N1256" s="24" t="s">
        <v>1141</v>
      </c>
      <c r="O1256" s="24" t="s">
        <v>23</v>
      </c>
      <c r="P1256" s="24" t="s">
        <v>132</v>
      </c>
      <c r="Q1256" s="24" t="s">
        <v>133</v>
      </c>
      <c r="R1256" s="24" t="s">
        <v>131</v>
      </c>
      <c r="S1256" s="34">
        <v>0.7</v>
      </c>
      <c r="T1256" s="15">
        <v>2.9460000000000002</v>
      </c>
      <c r="U1256" s="18">
        <v>-2.0621999999999998</v>
      </c>
      <c r="V1256" s="56">
        <f>Table11[[#This Row],[Profit]]/Table11[[#This Row],[Sales]]</f>
        <v>-0.69999999999999984</v>
      </c>
    </row>
    <row r="1257" spans="1:22" x14ac:dyDescent="0.2">
      <c r="A1257" s="2">
        <v>1256</v>
      </c>
      <c r="B1257" s="3" t="s">
        <v>920</v>
      </c>
      <c r="C1257" s="7">
        <v>42273</v>
      </c>
      <c r="D1257" s="28">
        <f>MONTH(Table11[[#This Row],[Order Date]])</f>
        <v>9</v>
      </c>
      <c r="E1257" s="3" t="s">
        <v>921</v>
      </c>
      <c r="F1257" s="3" t="s">
        <v>922</v>
      </c>
      <c r="G1257" s="25" t="s">
        <v>41</v>
      </c>
      <c r="H1257" s="25" t="s">
        <v>68</v>
      </c>
      <c r="I1257" s="3" t="s">
        <v>460</v>
      </c>
      <c r="J1257" s="25" t="s">
        <v>22</v>
      </c>
      <c r="K1257" s="28">
        <v>5</v>
      </c>
      <c r="L1257" s="7">
        <v>42275</v>
      </c>
      <c r="M1257" s="28">
        <f>Table11[[#This Row],[Ship Date]]-Table11[[#This Row],[Order Date]]</f>
        <v>2</v>
      </c>
      <c r="N1257" s="25" t="s">
        <v>20</v>
      </c>
      <c r="O1257" s="25" t="s">
        <v>23</v>
      </c>
      <c r="P1257" s="25" t="s">
        <v>94</v>
      </c>
      <c r="Q1257" s="25" t="s">
        <v>95</v>
      </c>
      <c r="R1257" s="25" t="s">
        <v>165</v>
      </c>
      <c r="S1257" s="35">
        <v>0.8</v>
      </c>
      <c r="T1257" s="16">
        <v>2.08</v>
      </c>
      <c r="U1257" s="19">
        <v>-3.4319999999999999</v>
      </c>
      <c r="V1257" s="56">
        <f>Table11[[#This Row],[Profit]]/Table11[[#This Row],[Sales]]</f>
        <v>-1.65</v>
      </c>
    </row>
    <row r="1258" spans="1:22" x14ac:dyDescent="0.2">
      <c r="A1258" s="4">
        <v>1257</v>
      </c>
      <c r="B1258" s="5" t="s">
        <v>920</v>
      </c>
      <c r="C1258" s="6">
        <v>42273</v>
      </c>
      <c r="D1258" s="27">
        <f>MONTH(Table11[[#This Row],[Order Date]])</f>
        <v>9</v>
      </c>
      <c r="E1258" s="5" t="s">
        <v>923</v>
      </c>
      <c r="F1258" s="5" t="s">
        <v>924</v>
      </c>
      <c r="G1258" s="24" t="s">
        <v>64</v>
      </c>
      <c r="H1258" s="24" t="s">
        <v>65</v>
      </c>
      <c r="I1258" s="5" t="s">
        <v>460</v>
      </c>
      <c r="J1258" s="24" t="s">
        <v>22</v>
      </c>
      <c r="K1258" s="27">
        <v>7</v>
      </c>
      <c r="L1258" s="6">
        <v>42275</v>
      </c>
      <c r="M1258" s="27">
        <f>Table11[[#This Row],[Ship Date]]-Table11[[#This Row],[Order Date]]</f>
        <v>2</v>
      </c>
      <c r="N1258" s="24" t="s">
        <v>20</v>
      </c>
      <c r="O1258" s="24" t="s">
        <v>23</v>
      </c>
      <c r="P1258" s="24" t="s">
        <v>94</v>
      </c>
      <c r="Q1258" s="24" t="s">
        <v>95</v>
      </c>
      <c r="R1258" s="24" t="s">
        <v>165</v>
      </c>
      <c r="S1258" s="34">
        <v>0.2</v>
      </c>
      <c r="T1258" s="15">
        <v>1114.4000000000001</v>
      </c>
      <c r="U1258" s="18">
        <v>376.11</v>
      </c>
      <c r="V1258" s="56">
        <f>Table11[[#This Row],[Profit]]/Table11[[#This Row],[Sales]]</f>
        <v>0.33749999999999997</v>
      </c>
    </row>
    <row r="1259" spans="1:22" x14ac:dyDescent="0.2">
      <c r="A1259" s="4">
        <v>1258</v>
      </c>
      <c r="B1259" s="3" t="s">
        <v>929</v>
      </c>
      <c r="C1259" s="7">
        <v>42273</v>
      </c>
      <c r="D1259" s="28">
        <f>MONTH(Table11[[#This Row],[Order Date]])</f>
        <v>9</v>
      </c>
      <c r="E1259" s="3" t="s">
        <v>930</v>
      </c>
      <c r="F1259" s="3" t="s">
        <v>167</v>
      </c>
      <c r="G1259" s="25" t="s">
        <v>41</v>
      </c>
      <c r="H1259" s="25" t="s">
        <v>82</v>
      </c>
      <c r="I1259" s="3" t="s">
        <v>147</v>
      </c>
      <c r="J1259" s="25" t="s">
        <v>22</v>
      </c>
      <c r="K1259" s="28">
        <v>5</v>
      </c>
      <c r="L1259" s="7">
        <v>42279</v>
      </c>
      <c r="M1259" s="28">
        <f>Table11[[#This Row],[Ship Date]]-Table11[[#This Row],[Order Date]]</f>
        <v>6</v>
      </c>
      <c r="N1259" s="25" t="s">
        <v>45</v>
      </c>
      <c r="O1259" s="25" t="s">
        <v>23</v>
      </c>
      <c r="P1259" s="25" t="s">
        <v>374</v>
      </c>
      <c r="Q1259" s="25" t="s">
        <v>39</v>
      </c>
      <c r="R1259" s="25" t="s">
        <v>373</v>
      </c>
      <c r="S1259" s="35">
        <v>0.2</v>
      </c>
      <c r="T1259" s="16">
        <v>141.76</v>
      </c>
      <c r="U1259" s="19">
        <v>47.844000000000001</v>
      </c>
      <c r="V1259" s="56">
        <f>Table11[[#This Row],[Profit]]/Table11[[#This Row],[Sales]]</f>
        <v>0.33750000000000002</v>
      </c>
    </row>
    <row r="1260" spans="1:22" x14ac:dyDescent="0.2">
      <c r="A1260" s="2">
        <v>1259</v>
      </c>
      <c r="B1260" s="5" t="s">
        <v>929</v>
      </c>
      <c r="C1260" s="6">
        <v>42273</v>
      </c>
      <c r="D1260" s="27">
        <f>MONTH(Table11[[#This Row],[Order Date]])</f>
        <v>9</v>
      </c>
      <c r="E1260" s="5" t="s">
        <v>931</v>
      </c>
      <c r="F1260" s="5" t="s">
        <v>932</v>
      </c>
      <c r="G1260" s="24" t="s">
        <v>64</v>
      </c>
      <c r="H1260" s="24" t="s">
        <v>144</v>
      </c>
      <c r="I1260" s="5" t="s">
        <v>147</v>
      </c>
      <c r="J1260" s="24" t="s">
        <v>22</v>
      </c>
      <c r="K1260" s="27">
        <v>5</v>
      </c>
      <c r="L1260" s="6">
        <v>42279</v>
      </c>
      <c r="M1260" s="27">
        <f>Table11[[#This Row],[Ship Date]]-Table11[[#This Row],[Order Date]]</f>
        <v>6</v>
      </c>
      <c r="N1260" s="24" t="s">
        <v>45</v>
      </c>
      <c r="O1260" s="24" t="s">
        <v>23</v>
      </c>
      <c r="P1260" s="24" t="s">
        <v>374</v>
      </c>
      <c r="Q1260" s="24" t="s">
        <v>39</v>
      </c>
      <c r="R1260" s="24" t="s">
        <v>373</v>
      </c>
      <c r="S1260" s="34">
        <v>0.2</v>
      </c>
      <c r="T1260" s="15">
        <v>239.8</v>
      </c>
      <c r="U1260" s="18">
        <v>47.96</v>
      </c>
      <c r="V1260" s="56">
        <f>Table11[[#This Row],[Profit]]/Table11[[#This Row],[Sales]]</f>
        <v>0.19999999999999998</v>
      </c>
    </row>
    <row r="1261" spans="1:22" x14ac:dyDescent="0.2">
      <c r="A1261" s="4">
        <v>1260</v>
      </c>
      <c r="B1261" s="3" t="s">
        <v>929</v>
      </c>
      <c r="C1261" s="7">
        <v>42273</v>
      </c>
      <c r="D1261" s="28">
        <f>MONTH(Table11[[#This Row],[Order Date]])</f>
        <v>9</v>
      </c>
      <c r="E1261" s="3" t="s">
        <v>933</v>
      </c>
      <c r="F1261" s="3" t="s">
        <v>934</v>
      </c>
      <c r="G1261" s="25" t="s">
        <v>41</v>
      </c>
      <c r="H1261" s="25" t="s">
        <v>82</v>
      </c>
      <c r="I1261" s="3" t="s">
        <v>147</v>
      </c>
      <c r="J1261" s="25" t="s">
        <v>22</v>
      </c>
      <c r="K1261" s="28">
        <v>6</v>
      </c>
      <c r="L1261" s="7">
        <v>42279</v>
      </c>
      <c r="M1261" s="28">
        <f>Table11[[#This Row],[Ship Date]]-Table11[[#This Row],[Order Date]]</f>
        <v>6</v>
      </c>
      <c r="N1261" s="25" t="s">
        <v>45</v>
      </c>
      <c r="O1261" s="25" t="s">
        <v>23</v>
      </c>
      <c r="P1261" s="25" t="s">
        <v>374</v>
      </c>
      <c r="Q1261" s="25" t="s">
        <v>39</v>
      </c>
      <c r="R1261" s="25" t="s">
        <v>373</v>
      </c>
      <c r="S1261" s="35">
        <v>0.2</v>
      </c>
      <c r="T1261" s="16">
        <v>31.103999999999999</v>
      </c>
      <c r="U1261" s="19">
        <v>10.8864</v>
      </c>
      <c r="V1261" s="56">
        <f>Table11[[#This Row],[Profit]]/Table11[[#This Row],[Sales]]</f>
        <v>0.35000000000000003</v>
      </c>
    </row>
    <row r="1262" spans="1:22" x14ac:dyDescent="0.2">
      <c r="A1262" s="4">
        <v>1261</v>
      </c>
      <c r="B1262" s="5" t="s">
        <v>3393</v>
      </c>
      <c r="C1262" s="6">
        <v>42273</v>
      </c>
      <c r="D1262" s="27">
        <f>MONTH(Table11[[#This Row],[Order Date]])</f>
        <v>9</v>
      </c>
      <c r="E1262" s="5" t="s">
        <v>3395</v>
      </c>
      <c r="F1262" s="5" t="s">
        <v>3396</v>
      </c>
      <c r="G1262" s="24" t="s">
        <v>41</v>
      </c>
      <c r="H1262" s="24" t="s">
        <v>82</v>
      </c>
      <c r="I1262" s="5" t="s">
        <v>3394</v>
      </c>
      <c r="J1262" s="24" t="s">
        <v>36</v>
      </c>
      <c r="K1262" s="27">
        <v>4</v>
      </c>
      <c r="L1262" s="6">
        <v>42277</v>
      </c>
      <c r="M1262" s="27">
        <f>Table11[[#This Row],[Ship Date]]-Table11[[#This Row],[Order Date]]</f>
        <v>4</v>
      </c>
      <c r="N1262" s="24" t="s">
        <v>45</v>
      </c>
      <c r="O1262" s="24" t="s">
        <v>23</v>
      </c>
      <c r="P1262" s="24" t="s">
        <v>277</v>
      </c>
      <c r="Q1262" s="24" t="s">
        <v>39</v>
      </c>
      <c r="R1262" s="24" t="s">
        <v>1613</v>
      </c>
      <c r="S1262" s="34">
        <v>0.2</v>
      </c>
      <c r="T1262" s="15">
        <v>86.272000000000006</v>
      </c>
      <c r="U1262" s="18">
        <v>31.273599999999998</v>
      </c>
      <c r="V1262" s="56">
        <f>Table11[[#This Row],[Profit]]/Table11[[#This Row],[Sales]]</f>
        <v>0.36249999999999993</v>
      </c>
    </row>
    <row r="1263" spans="1:22" x14ac:dyDescent="0.2">
      <c r="A1263" s="2">
        <v>1262</v>
      </c>
      <c r="B1263" s="3" t="s">
        <v>3393</v>
      </c>
      <c r="C1263" s="7">
        <v>42273</v>
      </c>
      <c r="D1263" s="28">
        <f>MONTH(Table11[[#This Row],[Order Date]])</f>
        <v>9</v>
      </c>
      <c r="E1263" s="3" t="s">
        <v>938</v>
      </c>
      <c r="F1263" s="3" t="s">
        <v>939</v>
      </c>
      <c r="G1263" s="25" t="s">
        <v>41</v>
      </c>
      <c r="H1263" s="25" t="s">
        <v>68</v>
      </c>
      <c r="I1263" s="3" t="s">
        <v>3394</v>
      </c>
      <c r="J1263" s="25" t="s">
        <v>36</v>
      </c>
      <c r="K1263" s="28">
        <v>2</v>
      </c>
      <c r="L1263" s="7">
        <v>42277</v>
      </c>
      <c r="M1263" s="28">
        <f>Table11[[#This Row],[Ship Date]]-Table11[[#This Row],[Order Date]]</f>
        <v>4</v>
      </c>
      <c r="N1263" s="25" t="s">
        <v>45</v>
      </c>
      <c r="O1263" s="25" t="s">
        <v>23</v>
      </c>
      <c r="P1263" s="25" t="s">
        <v>277</v>
      </c>
      <c r="Q1263" s="25" t="s">
        <v>39</v>
      </c>
      <c r="R1263" s="25" t="s">
        <v>1613</v>
      </c>
      <c r="S1263" s="35">
        <v>0.7</v>
      </c>
      <c r="T1263" s="16">
        <v>72.587999999999994</v>
      </c>
      <c r="U1263" s="19">
        <v>-48.392000000000003</v>
      </c>
      <c r="V1263" s="56">
        <f>Table11[[#This Row],[Profit]]/Table11[[#This Row],[Sales]]</f>
        <v>-0.66666666666666674</v>
      </c>
    </row>
    <row r="1264" spans="1:22" x14ac:dyDescent="0.2">
      <c r="A1264" s="4">
        <v>1263</v>
      </c>
      <c r="B1264" s="5" t="s">
        <v>3393</v>
      </c>
      <c r="C1264" s="6">
        <v>42273</v>
      </c>
      <c r="D1264" s="27">
        <f>MONTH(Table11[[#This Row],[Order Date]])</f>
        <v>9</v>
      </c>
      <c r="E1264" s="5" t="s">
        <v>3397</v>
      </c>
      <c r="F1264" s="5" t="s">
        <v>3398</v>
      </c>
      <c r="G1264" s="24" t="s">
        <v>41</v>
      </c>
      <c r="H1264" s="24" t="s">
        <v>71</v>
      </c>
      <c r="I1264" s="5" t="s">
        <v>3394</v>
      </c>
      <c r="J1264" s="24" t="s">
        <v>36</v>
      </c>
      <c r="K1264" s="27">
        <v>2</v>
      </c>
      <c r="L1264" s="6">
        <v>42277</v>
      </c>
      <c r="M1264" s="27">
        <f>Table11[[#This Row],[Ship Date]]-Table11[[#This Row],[Order Date]]</f>
        <v>4</v>
      </c>
      <c r="N1264" s="24" t="s">
        <v>45</v>
      </c>
      <c r="O1264" s="24" t="s">
        <v>23</v>
      </c>
      <c r="P1264" s="24" t="s">
        <v>277</v>
      </c>
      <c r="Q1264" s="24" t="s">
        <v>39</v>
      </c>
      <c r="R1264" s="24" t="s">
        <v>1613</v>
      </c>
      <c r="S1264" s="34">
        <v>0.2</v>
      </c>
      <c r="T1264" s="15">
        <v>60.671999999999997</v>
      </c>
      <c r="U1264" s="18">
        <v>14.409599999999999</v>
      </c>
      <c r="V1264" s="56">
        <f>Table11[[#This Row],[Profit]]/Table11[[#This Row],[Sales]]</f>
        <v>0.23749999999999999</v>
      </c>
    </row>
    <row r="1265" spans="1:22" x14ac:dyDescent="0.2">
      <c r="A1265" s="4">
        <v>1264</v>
      </c>
      <c r="B1265" s="3" t="s">
        <v>3393</v>
      </c>
      <c r="C1265" s="7">
        <v>42273</v>
      </c>
      <c r="D1265" s="28">
        <f>MONTH(Table11[[#This Row],[Order Date]])</f>
        <v>9</v>
      </c>
      <c r="E1265" s="3" t="s">
        <v>2389</v>
      </c>
      <c r="F1265" s="3" t="s">
        <v>2390</v>
      </c>
      <c r="G1265" s="25" t="s">
        <v>41</v>
      </c>
      <c r="H1265" s="25" t="s">
        <v>68</v>
      </c>
      <c r="I1265" s="3" t="s">
        <v>3394</v>
      </c>
      <c r="J1265" s="25" t="s">
        <v>36</v>
      </c>
      <c r="K1265" s="28">
        <v>9</v>
      </c>
      <c r="L1265" s="7">
        <v>42277</v>
      </c>
      <c r="M1265" s="28">
        <f>Table11[[#This Row],[Ship Date]]-Table11[[#This Row],[Order Date]]</f>
        <v>4</v>
      </c>
      <c r="N1265" s="25" t="s">
        <v>45</v>
      </c>
      <c r="O1265" s="25" t="s">
        <v>23</v>
      </c>
      <c r="P1265" s="25" t="s">
        <v>277</v>
      </c>
      <c r="Q1265" s="25" t="s">
        <v>39</v>
      </c>
      <c r="R1265" s="25" t="s">
        <v>1613</v>
      </c>
      <c r="S1265" s="35">
        <v>0.7</v>
      </c>
      <c r="T1265" s="16">
        <v>77.031000000000006</v>
      </c>
      <c r="U1265" s="19">
        <v>-59.057099999999998</v>
      </c>
      <c r="V1265" s="56">
        <f>Table11[[#This Row],[Profit]]/Table11[[#This Row],[Sales]]</f>
        <v>-0.76666666666666661</v>
      </c>
    </row>
    <row r="1266" spans="1:22" x14ac:dyDescent="0.2">
      <c r="A1266" s="2">
        <v>1265</v>
      </c>
      <c r="B1266" s="5" t="s">
        <v>3393</v>
      </c>
      <c r="C1266" s="6">
        <v>42273</v>
      </c>
      <c r="D1266" s="27">
        <f>MONTH(Table11[[#This Row],[Order Date]])</f>
        <v>9</v>
      </c>
      <c r="E1266" s="5" t="s">
        <v>1236</v>
      </c>
      <c r="F1266" s="5" t="s">
        <v>1237</v>
      </c>
      <c r="G1266" s="24" t="s">
        <v>41</v>
      </c>
      <c r="H1266" s="24" t="s">
        <v>53</v>
      </c>
      <c r="I1266" s="5" t="s">
        <v>3394</v>
      </c>
      <c r="J1266" s="24" t="s">
        <v>36</v>
      </c>
      <c r="K1266" s="27">
        <v>6</v>
      </c>
      <c r="L1266" s="6">
        <v>42277</v>
      </c>
      <c r="M1266" s="27">
        <f>Table11[[#This Row],[Ship Date]]-Table11[[#This Row],[Order Date]]</f>
        <v>4</v>
      </c>
      <c r="N1266" s="24" t="s">
        <v>45</v>
      </c>
      <c r="O1266" s="24" t="s">
        <v>23</v>
      </c>
      <c r="P1266" s="24" t="s">
        <v>277</v>
      </c>
      <c r="Q1266" s="24" t="s">
        <v>39</v>
      </c>
      <c r="R1266" s="24" t="s">
        <v>1613</v>
      </c>
      <c r="S1266" s="34">
        <v>0.2</v>
      </c>
      <c r="T1266" s="15">
        <v>119.904</v>
      </c>
      <c r="U1266" s="18">
        <v>-1.4987999999999999</v>
      </c>
      <c r="V1266" s="56">
        <f>Table11[[#This Row],[Profit]]/Table11[[#This Row],[Sales]]</f>
        <v>-1.2499999999999999E-2</v>
      </c>
    </row>
    <row r="1267" spans="1:22" x14ac:dyDescent="0.2">
      <c r="A1267" s="4">
        <v>1266</v>
      </c>
      <c r="B1267" s="3" t="s">
        <v>3393</v>
      </c>
      <c r="C1267" s="7">
        <v>42273</v>
      </c>
      <c r="D1267" s="28">
        <f>MONTH(Table11[[#This Row],[Order Date]])</f>
        <v>9</v>
      </c>
      <c r="E1267" s="3" t="s">
        <v>3399</v>
      </c>
      <c r="F1267" s="3" t="s">
        <v>3400</v>
      </c>
      <c r="G1267" s="25" t="s">
        <v>64</v>
      </c>
      <c r="H1267" s="25" t="s">
        <v>65</v>
      </c>
      <c r="I1267" s="3" t="s">
        <v>3394</v>
      </c>
      <c r="J1267" s="25" t="s">
        <v>36</v>
      </c>
      <c r="K1267" s="28">
        <v>5</v>
      </c>
      <c r="L1267" s="7">
        <v>42277</v>
      </c>
      <c r="M1267" s="28">
        <f>Table11[[#This Row],[Ship Date]]-Table11[[#This Row],[Order Date]]</f>
        <v>4</v>
      </c>
      <c r="N1267" s="25" t="s">
        <v>45</v>
      </c>
      <c r="O1267" s="25" t="s">
        <v>23</v>
      </c>
      <c r="P1267" s="25" t="s">
        <v>277</v>
      </c>
      <c r="Q1267" s="25" t="s">
        <v>39</v>
      </c>
      <c r="R1267" s="25" t="s">
        <v>1613</v>
      </c>
      <c r="S1267" s="35">
        <v>0.2</v>
      </c>
      <c r="T1267" s="16">
        <v>263.95999999999998</v>
      </c>
      <c r="U1267" s="19">
        <v>23.096499999999999</v>
      </c>
      <c r="V1267" s="56">
        <f>Table11[[#This Row],[Profit]]/Table11[[#This Row],[Sales]]</f>
        <v>8.7500000000000008E-2</v>
      </c>
    </row>
    <row r="1268" spans="1:22" x14ac:dyDescent="0.2">
      <c r="A1268" s="4">
        <v>1267</v>
      </c>
      <c r="B1268" s="5" t="s">
        <v>3393</v>
      </c>
      <c r="C1268" s="6">
        <v>42273</v>
      </c>
      <c r="D1268" s="27">
        <f>MONTH(Table11[[#This Row],[Order Date]])</f>
        <v>9</v>
      </c>
      <c r="E1268" s="5" t="s">
        <v>1443</v>
      </c>
      <c r="F1268" s="5" t="s">
        <v>1444</v>
      </c>
      <c r="G1268" s="24" t="s">
        <v>41</v>
      </c>
      <c r="H1268" s="24" t="s">
        <v>53</v>
      </c>
      <c r="I1268" s="5" t="s">
        <v>3394</v>
      </c>
      <c r="J1268" s="24" t="s">
        <v>36</v>
      </c>
      <c r="K1268" s="27">
        <v>4</v>
      </c>
      <c r="L1268" s="6">
        <v>42277</v>
      </c>
      <c r="M1268" s="27">
        <f>Table11[[#This Row],[Ship Date]]-Table11[[#This Row],[Order Date]]</f>
        <v>4</v>
      </c>
      <c r="N1268" s="24" t="s">
        <v>45</v>
      </c>
      <c r="O1268" s="24" t="s">
        <v>23</v>
      </c>
      <c r="P1268" s="24" t="s">
        <v>277</v>
      </c>
      <c r="Q1268" s="24" t="s">
        <v>39</v>
      </c>
      <c r="R1268" s="24" t="s">
        <v>1613</v>
      </c>
      <c r="S1268" s="34">
        <v>0.2</v>
      </c>
      <c r="T1268" s="15">
        <v>363.64800000000002</v>
      </c>
      <c r="U1268" s="18">
        <v>-86.366399999999999</v>
      </c>
      <c r="V1268" s="56">
        <f>Table11[[#This Row],[Profit]]/Table11[[#This Row],[Sales]]</f>
        <v>-0.23749999999999999</v>
      </c>
    </row>
    <row r="1269" spans="1:22" x14ac:dyDescent="0.2">
      <c r="A1269" s="2">
        <v>1268</v>
      </c>
      <c r="B1269" s="3" t="s">
        <v>3793</v>
      </c>
      <c r="C1269" s="7">
        <v>42273</v>
      </c>
      <c r="D1269" s="28">
        <f>MONTH(Table11[[#This Row],[Order Date]])</f>
        <v>9</v>
      </c>
      <c r="E1269" s="3" t="s">
        <v>3794</v>
      </c>
      <c r="F1269" s="3" t="s">
        <v>3795</v>
      </c>
      <c r="G1269" s="25" t="s">
        <v>41</v>
      </c>
      <c r="H1269" s="25" t="s">
        <v>68</v>
      </c>
      <c r="I1269" s="3" t="s">
        <v>1714</v>
      </c>
      <c r="J1269" s="25" t="s">
        <v>22</v>
      </c>
      <c r="K1269" s="28">
        <v>6</v>
      </c>
      <c r="L1269" s="7">
        <v>42276</v>
      </c>
      <c r="M1269" s="28">
        <f>Table11[[#This Row],[Ship Date]]-Table11[[#This Row],[Order Date]]</f>
        <v>3</v>
      </c>
      <c r="N1269" s="25" t="s">
        <v>20</v>
      </c>
      <c r="O1269" s="25" t="s">
        <v>23</v>
      </c>
      <c r="P1269" s="25" t="s">
        <v>132</v>
      </c>
      <c r="Q1269" s="25" t="s">
        <v>133</v>
      </c>
      <c r="R1269" s="25" t="s">
        <v>131</v>
      </c>
      <c r="S1269" s="35">
        <v>0.7</v>
      </c>
      <c r="T1269" s="16">
        <v>121.104</v>
      </c>
      <c r="U1269" s="19">
        <v>-100.92</v>
      </c>
      <c r="V1269" s="56">
        <f>Table11[[#This Row],[Profit]]/Table11[[#This Row],[Sales]]</f>
        <v>-0.83333333333333337</v>
      </c>
    </row>
    <row r="1270" spans="1:22" x14ac:dyDescent="0.2">
      <c r="A1270" s="4">
        <v>1269</v>
      </c>
      <c r="B1270" s="5" t="s">
        <v>3793</v>
      </c>
      <c r="C1270" s="6">
        <v>42273</v>
      </c>
      <c r="D1270" s="27">
        <f>MONTH(Table11[[#This Row],[Order Date]])</f>
        <v>9</v>
      </c>
      <c r="E1270" s="5" t="s">
        <v>3796</v>
      </c>
      <c r="F1270" s="5" t="s">
        <v>3797</v>
      </c>
      <c r="G1270" s="24" t="s">
        <v>64</v>
      </c>
      <c r="H1270" s="24" t="s">
        <v>65</v>
      </c>
      <c r="I1270" s="5" t="s">
        <v>1714</v>
      </c>
      <c r="J1270" s="24" t="s">
        <v>22</v>
      </c>
      <c r="K1270" s="27">
        <v>1</v>
      </c>
      <c r="L1270" s="6">
        <v>42276</v>
      </c>
      <c r="M1270" s="27">
        <f>Table11[[#This Row],[Ship Date]]-Table11[[#This Row],[Order Date]]</f>
        <v>3</v>
      </c>
      <c r="N1270" s="24" t="s">
        <v>20</v>
      </c>
      <c r="O1270" s="24" t="s">
        <v>23</v>
      </c>
      <c r="P1270" s="24" t="s">
        <v>132</v>
      </c>
      <c r="Q1270" s="24" t="s">
        <v>133</v>
      </c>
      <c r="R1270" s="24" t="s">
        <v>131</v>
      </c>
      <c r="S1270" s="34">
        <v>0.4</v>
      </c>
      <c r="T1270" s="15">
        <v>45.893999999999998</v>
      </c>
      <c r="U1270" s="18">
        <v>-9.1788000000000007</v>
      </c>
      <c r="V1270" s="56">
        <f>Table11[[#This Row],[Profit]]/Table11[[#This Row],[Sales]]</f>
        <v>-0.2</v>
      </c>
    </row>
    <row r="1271" spans="1:22" x14ac:dyDescent="0.2">
      <c r="A1271" s="4">
        <v>1270</v>
      </c>
      <c r="B1271" s="3" t="s">
        <v>4959</v>
      </c>
      <c r="C1271" s="7">
        <v>42273</v>
      </c>
      <c r="D1271" s="28">
        <f>MONTH(Table11[[#This Row],[Order Date]])</f>
        <v>9</v>
      </c>
      <c r="E1271" s="3" t="s">
        <v>329</v>
      </c>
      <c r="F1271" s="3" t="s">
        <v>330</v>
      </c>
      <c r="G1271" s="25" t="s">
        <v>41</v>
      </c>
      <c r="H1271" s="25" t="s">
        <v>53</v>
      </c>
      <c r="I1271" s="3" t="s">
        <v>2571</v>
      </c>
      <c r="J1271" s="25" t="s">
        <v>92</v>
      </c>
      <c r="K1271" s="28">
        <v>3</v>
      </c>
      <c r="L1271" s="7">
        <v>42278</v>
      </c>
      <c r="M1271" s="28">
        <f>Table11[[#This Row],[Ship Date]]-Table11[[#This Row],[Order Date]]</f>
        <v>5</v>
      </c>
      <c r="N1271" s="25" t="s">
        <v>45</v>
      </c>
      <c r="O1271" s="25" t="s">
        <v>23</v>
      </c>
      <c r="P1271" s="25" t="s">
        <v>38</v>
      </c>
      <c r="Q1271" s="25" t="s">
        <v>39</v>
      </c>
      <c r="R1271" s="25" t="s">
        <v>836</v>
      </c>
      <c r="S1271" s="35">
        <v>0</v>
      </c>
      <c r="T1271" s="16">
        <v>64.17</v>
      </c>
      <c r="U1271" s="19">
        <v>18.609300000000001</v>
      </c>
      <c r="V1271" s="56">
        <f>Table11[[#This Row],[Profit]]/Table11[[#This Row],[Sales]]</f>
        <v>0.29000000000000004</v>
      </c>
    </row>
    <row r="1272" spans="1:22" x14ac:dyDescent="0.2">
      <c r="A1272" s="2">
        <v>1271</v>
      </c>
      <c r="B1272" s="5" t="s">
        <v>4959</v>
      </c>
      <c r="C1272" s="6">
        <v>42273</v>
      </c>
      <c r="D1272" s="27">
        <f>MONTH(Table11[[#This Row],[Order Date]])</f>
        <v>9</v>
      </c>
      <c r="E1272" s="5" t="s">
        <v>2171</v>
      </c>
      <c r="F1272" s="5" t="s">
        <v>2172</v>
      </c>
      <c r="G1272" s="24" t="s">
        <v>41</v>
      </c>
      <c r="H1272" s="24" t="s">
        <v>155</v>
      </c>
      <c r="I1272" s="5" t="s">
        <v>2571</v>
      </c>
      <c r="J1272" s="24" t="s">
        <v>92</v>
      </c>
      <c r="K1272" s="27">
        <v>2</v>
      </c>
      <c r="L1272" s="6">
        <v>42278</v>
      </c>
      <c r="M1272" s="27">
        <f>Table11[[#This Row],[Ship Date]]-Table11[[#This Row],[Order Date]]</f>
        <v>5</v>
      </c>
      <c r="N1272" s="24" t="s">
        <v>45</v>
      </c>
      <c r="O1272" s="24" t="s">
        <v>23</v>
      </c>
      <c r="P1272" s="24" t="s">
        <v>38</v>
      </c>
      <c r="Q1272" s="24" t="s">
        <v>39</v>
      </c>
      <c r="R1272" s="24" t="s">
        <v>836</v>
      </c>
      <c r="S1272" s="34">
        <v>0</v>
      </c>
      <c r="T1272" s="15">
        <v>124.46</v>
      </c>
      <c r="U1272" s="18">
        <v>58.496200000000002</v>
      </c>
      <c r="V1272" s="56">
        <f>Table11[[#This Row],[Profit]]/Table11[[#This Row],[Sales]]</f>
        <v>0.47000000000000003</v>
      </c>
    </row>
    <row r="1273" spans="1:22" x14ac:dyDescent="0.2">
      <c r="A1273" s="4">
        <v>1272</v>
      </c>
      <c r="B1273" s="3" t="s">
        <v>5024</v>
      </c>
      <c r="C1273" s="7">
        <v>42273</v>
      </c>
      <c r="D1273" s="28">
        <f>MONTH(Table11[[#This Row],[Order Date]])</f>
        <v>9</v>
      </c>
      <c r="E1273" s="3" t="s">
        <v>5025</v>
      </c>
      <c r="F1273" s="3" t="s">
        <v>5026</v>
      </c>
      <c r="G1273" s="25" t="s">
        <v>64</v>
      </c>
      <c r="H1273" s="25" t="s">
        <v>144</v>
      </c>
      <c r="I1273" s="3" t="s">
        <v>475</v>
      </c>
      <c r="J1273" s="25" t="s">
        <v>22</v>
      </c>
      <c r="K1273" s="28">
        <v>2</v>
      </c>
      <c r="L1273" s="7">
        <v>42277</v>
      </c>
      <c r="M1273" s="28">
        <f>Table11[[#This Row],[Ship Date]]-Table11[[#This Row],[Order Date]]</f>
        <v>4</v>
      </c>
      <c r="N1273" s="25" t="s">
        <v>45</v>
      </c>
      <c r="O1273" s="25" t="s">
        <v>23</v>
      </c>
      <c r="P1273" s="25" t="s">
        <v>238</v>
      </c>
      <c r="Q1273" s="25" t="s">
        <v>133</v>
      </c>
      <c r="R1273" s="25" t="s">
        <v>237</v>
      </c>
      <c r="S1273" s="35">
        <v>0</v>
      </c>
      <c r="T1273" s="16">
        <v>50</v>
      </c>
      <c r="U1273" s="19">
        <v>12</v>
      </c>
      <c r="V1273" s="56">
        <f>Table11[[#This Row],[Profit]]/Table11[[#This Row],[Sales]]</f>
        <v>0.24</v>
      </c>
    </row>
    <row r="1274" spans="1:22" x14ac:dyDescent="0.2">
      <c r="A1274" s="4">
        <v>1273</v>
      </c>
      <c r="B1274" s="5" t="s">
        <v>7257</v>
      </c>
      <c r="C1274" s="6">
        <v>42273</v>
      </c>
      <c r="D1274" s="27">
        <f>MONTH(Table11[[#This Row],[Order Date]])</f>
        <v>9</v>
      </c>
      <c r="E1274" s="5" t="s">
        <v>963</v>
      </c>
      <c r="F1274" s="5" t="s">
        <v>964</v>
      </c>
      <c r="G1274" s="24" t="s">
        <v>41</v>
      </c>
      <c r="H1274" s="24" t="s">
        <v>240</v>
      </c>
      <c r="I1274" s="5" t="s">
        <v>3160</v>
      </c>
      <c r="J1274" s="24" t="s">
        <v>22</v>
      </c>
      <c r="K1274" s="27">
        <v>3</v>
      </c>
      <c r="L1274" s="6">
        <v>42280</v>
      </c>
      <c r="M1274" s="27">
        <f>Table11[[#This Row],[Ship Date]]-Table11[[#This Row],[Order Date]]</f>
        <v>7</v>
      </c>
      <c r="N1274" s="24" t="s">
        <v>45</v>
      </c>
      <c r="O1274" s="24" t="s">
        <v>23</v>
      </c>
      <c r="P1274" s="24" t="s">
        <v>238</v>
      </c>
      <c r="Q1274" s="24" t="s">
        <v>133</v>
      </c>
      <c r="R1274" s="24" t="s">
        <v>2061</v>
      </c>
      <c r="S1274" s="34">
        <v>0</v>
      </c>
      <c r="T1274" s="15">
        <v>34.44</v>
      </c>
      <c r="U1274" s="18">
        <v>16.186800000000002</v>
      </c>
      <c r="V1274" s="56">
        <f>Table11[[#This Row],[Profit]]/Table11[[#This Row],[Sales]]</f>
        <v>0.47000000000000008</v>
      </c>
    </row>
    <row r="1275" spans="1:22" x14ac:dyDescent="0.2">
      <c r="A1275" s="2">
        <v>1274</v>
      </c>
      <c r="B1275" s="3" t="s">
        <v>7257</v>
      </c>
      <c r="C1275" s="7">
        <v>42273</v>
      </c>
      <c r="D1275" s="28">
        <f>MONTH(Table11[[#This Row],[Order Date]])</f>
        <v>9</v>
      </c>
      <c r="E1275" s="3" t="s">
        <v>6015</v>
      </c>
      <c r="F1275" s="3" t="s">
        <v>6016</v>
      </c>
      <c r="G1275" s="25" t="s">
        <v>64</v>
      </c>
      <c r="H1275" s="25" t="s">
        <v>602</v>
      </c>
      <c r="I1275" s="3" t="s">
        <v>3160</v>
      </c>
      <c r="J1275" s="25" t="s">
        <v>22</v>
      </c>
      <c r="K1275" s="28">
        <v>7</v>
      </c>
      <c r="L1275" s="7">
        <v>42280</v>
      </c>
      <c r="M1275" s="28">
        <f>Table11[[#This Row],[Ship Date]]-Table11[[#This Row],[Order Date]]</f>
        <v>7</v>
      </c>
      <c r="N1275" s="25" t="s">
        <v>45</v>
      </c>
      <c r="O1275" s="25" t="s">
        <v>23</v>
      </c>
      <c r="P1275" s="25" t="s">
        <v>238</v>
      </c>
      <c r="Q1275" s="25" t="s">
        <v>133</v>
      </c>
      <c r="R1275" s="25" t="s">
        <v>2061</v>
      </c>
      <c r="S1275" s="35">
        <v>0</v>
      </c>
      <c r="T1275" s="16">
        <v>629.92999999999995</v>
      </c>
      <c r="U1275" s="19">
        <v>296.06709999999998</v>
      </c>
      <c r="V1275" s="56">
        <f>Table11[[#This Row],[Profit]]/Table11[[#This Row],[Sales]]</f>
        <v>0.47000000000000003</v>
      </c>
    </row>
    <row r="1276" spans="1:22" x14ac:dyDescent="0.2">
      <c r="A1276" s="4">
        <v>1275</v>
      </c>
      <c r="B1276" s="5" t="s">
        <v>7257</v>
      </c>
      <c r="C1276" s="6">
        <v>42273</v>
      </c>
      <c r="D1276" s="27">
        <f>MONTH(Table11[[#This Row],[Order Date]])</f>
        <v>9</v>
      </c>
      <c r="E1276" s="5" t="s">
        <v>3666</v>
      </c>
      <c r="F1276" s="5" t="s">
        <v>3667</v>
      </c>
      <c r="G1276" s="24" t="s">
        <v>41</v>
      </c>
      <c r="H1276" s="24" t="s">
        <v>68</v>
      </c>
      <c r="I1276" s="5" t="s">
        <v>3160</v>
      </c>
      <c r="J1276" s="24" t="s">
        <v>22</v>
      </c>
      <c r="K1276" s="27">
        <v>9</v>
      </c>
      <c r="L1276" s="6">
        <v>42280</v>
      </c>
      <c r="M1276" s="27">
        <f>Table11[[#This Row],[Ship Date]]-Table11[[#This Row],[Order Date]]</f>
        <v>7</v>
      </c>
      <c r="N1276" s="24" t="s">
        <v>45</v>
      </c>
      <c r="O1276" s="24" t="s">
        <v>23</v>
      </c>
      <c r="P1276" s="24" t="s">
        <v>238</v>
      </c>
      <c r="Q1276" s="24" t="s">
        <v>133</v>
      </c>
      <c r="R1276" s="24" t="s">
        <v>2061</v>
      </c>
      <c r="S1276" s="34">
        <v>0.2</v>
      </c>
      <c r="T1276" s="15">
        <v>79.055999999999997</v>
      </c>
      <c r="U1276" s="18">
        <v>28.657800000000002</v>
      </c>
      <c r="V1276" s="56">
        <f>Table11[[#This Row],[Profit]]/Table11[[#This Row],[Sales]]</f>
        <v>0.36250000000000004</v>
      </c>
    </row>
    <row r="1277" spans="1:22" x14ac:dyDescent="0.2">
      <c r="A1277" s="4">
        <v>1276</v>
      </c>
      <c r="B1277" s="3" t="s">
        <v>5928</v>
      </c>
      <c r="C1277" s="7">
        <v>42274</v>
      </c>
      <c r="D1277" s="28">
        <f>MONTH(Table11[[#This Row],[Order Date]])</f>
        <v>9</v>
      </c>
      <c r="E1277" s="3" t="s">
        <v>1524</v>
      </c>
      <c r="F1277" s="3" t="s">
        <v>1525</v>
      </c>
      <c r="G1277" s="25" t="s">
        <v>41</v>
      </c>
      <c r="H1277" s="25" t="s">
        <v>68</v>
      </c>
      <c r="I1277" s="3" t="s">
        <v>2850</v>
      </c>
      <c r="J1277" s="25" t="s">
        <v>22</v>
      </c>
      <c r="K1277" s="28">
        <v>2</v>
      </c>
      <c r="L1277" s="7">
        <v>42276</v>
      </c>
      <c r="M1277" s="28">
        <f>Table11[[#This Row],[Ship Date]]-Table11[[#This Row],[Order Date]]</f>
        <v>2</v>
      </c>
      <c r="N1277" s="25" t="s">
        <v>169</v>
      </c>
      <c r="O1277" s="25" t="s">
        <v>23</v>
      </c>
      <c r="P1277" s="25" t="s">
        <v>189</v>
      </c>
      <c r="Q1277" s="25" t="s">
        <v>95</v>
      </c>
      <c r="R1277" s="25" t="s">
        <v>271</v>
      </c>
      <c r="S1277" s="35">
        <v>0.8</v>
      </c>
      <c r="T1277" s="16">
        <v>15.08</v>
      </c>
      <c r="U1277" s="19">
        <v>-22.62</v>
      </c>
      <c r="V1277" s="56">
        <f>Table11[[#This Row],[Profit]]/Table11[[#This Row],[Sales]]</f>
        <v>-1.5</v>
      </c>
    </row>
    <row r="1278" spans="1:22" x14ac:dyDescent="0.2">
      <c r="A1278" s="2">
        <v>1277</v>
      </c>
      <c r="B1278" s="5" t="s">
        <v>5928</v>
      </c>
      <c r="C1278" s="6">
        <v>42274</v>
      </c>
      <c r="D1278" s="27">
        <f>MONTH(Table11[[#This Row],[Order Date]])</f>
        <v>9</v>
      </c>
      <c r="E1278" s="5" t="s">
        <v>1801</v>
      </c>
      <c r="F1278" s="5" t="s">
        <v>1802</v>
      </c>
      <c r="G1278" s="24" t="s">
        <v>28</v>
      </c>
      <c r="H1278" s="24" t="s">
        <v>58</v>
      </c>
      <c r="I1278" s="5" t="s">
        <v>2850</v>
      </c>
      <c r="J1278" s="24" t="s">
        <v>22</v>
      </c>
      <c r="K1278" s="27">
        <v>3</v>
      </c>
      <c r="L1278" s="6">
        <v>42276</v>
      </c>
      <c r="M1278" s="27">
        <f>Table11[[#This Row],[Ship Date]]-Table11[[#This Row],[Order Date]]</f>
        <v>2</v>
      </c>
      <c r="N1278" s="24" t="s">
        <v>169</v>
      </c>
      <c r="O1278" s="24" t="s">
        <v>23</v>
      </c>
      <c r="P1278" s="24" t="s">
        <v>189</v>
      </c>
      <c r="Q1278" s="24" t="s">
        <v>95</v>
      </c>
      <c r="R1278" s="24" t="s">
        <v>271</v>
      </c>
      <c r="S1278" s="34">
        <v>0.6</v>
      </c>
      <c r="T1278" s="15">
        <v>24.288</v>
      </c>
      <c r="U1278" s="18">
        <v>-12.751200000000001</v>
      </c>
      <c r="V1278" s="56">
        <f>Table11[[#This Row],[Profit]]/Table11[[#This Row],[Sales]]</f>
        <v>-0.52500000000000002</v>
      </c>
    </row>
    <row r="1279" spans="1:22" x14ac:dyDescent="0.2">
      <c r="A1279" s="4">
        <v>1278</v>
      </c>
      <c r="B1279" s="3" t="s">
        <v>8433</v>
      </c>
      <c r="C1279" s="7">
        <v>42274</v>
      </c>
      <c r="D1279" s="28">
        <f>MONTH(Table11[[#This Row],[Order Date]])</f>
        <v>9</v>
      </c>
      <c r="E1279" s="3" t="s">
        <v>670</v>
      </c>
      <c r="F1279" s="3" t="s">
        <v>671</v>
      </c>
      <c r="G1279" s="25" t="s">
        <v>41</v>
      </c>
      <c r="H1279" s="25" t="s">
        <v>53</v>
      </c>
      <c r="I1279" s="3" t="s">
        <v>4343</v>
      </c>
      <c r="J1279" s="25" t="s">
        <v>92</v>
      </c>
      <c r="K1279" s="28">
        <v>1</v>
      </c>
      <c r="L1279" s="7">
        <v>42276</v>
      </c>
      <c r="M1279" s="28">
        <f>Table11[[#This Row],[Ship Date]]-Table11[[#This Row],[Order Date]]</f>
        <v>2</v>
      </c>
      <c r="N1279" s="25" t="s">
        <v>20</v>
      </c>
      <c r="O1279" s="25" t="s">
        <v>23</v>
      </c>
      <c r="P1279" s="25" t="s">
        <v>38</v>
      </c>
      <c r="Q1279" s="25" t="s">
        <v>39</v>
      </c>
      <c r="R1279" s="25" t="s">
        <v>114</v>
      </c>
      <c r="S1279" s="35">
        <v>0</v>
      </c>
      <c r="T1279" s="16">
        <v>15.51</v>
      </c>
      <c r="U1279" s="19">
        <v>4.3428000000000004</v>
      </c>
      <c r="V1279" s="56">
        <f>Table11[[#This Row],[Profit]]/Table11[[#This Row],[Sales]]</f>
        <v>0.28000000000000003</v>
      </c>
    </row>
    <row r="1280" spans="1:22" x14ac:dyDescent="0.2">
      <c r="A1280" s="4">
        <v>1279</v>
      </c>
      <c r="B1280" s="5" t="s">
        <v>8433</v>
      </c>
      <c r="C1280" s="6">
        <v>42274</v>
      </c>
      <c r="D1280" s="27">
        <f>MONTH(Table11[[#This Row],[Order Date]])</f>
        <v>9</v>
      </c>
      <c r="E1280" s="5" t="s">
        <v>495</v>
      </c>
      <c r="F1280" s="5" t="s">
        <v>496</v>
      </c>
      <c r="G1280" s="24" t="s">
        <v>41</v>
      </c>
      <c r="H1280" s="24" t="s">
        <v>82</v>
      </c>
      <c r="I1280" s="5" t="s">
        <v>4343</v>
      </c>
      <c r="J1280" s="24" t="s">
        <v>92</v>
      </c>
      <c r="K1280" s="27">
        <v>3</v>
      </c>
      <c r="L1280" s="6">
        <v>42276</v>
      </c>
      <c r="M1280" s="27">
        <f>Table11[[#This Row],[Ship Date]]-Table11[[#This Row],[Order Date]]</f>
        <v>2</v>
      </c>
      <c r="N1280" s="24" t="s">
        <v>20</v>
      </c>
      <c r="O1280" s="24" t="s">
        <v>23</v>
      </c>
      <c r="P1280" s="24" t="s">
        <v>38</v>
      </c>
      <c r="Q1280" s="24" t="s">
        <v>39</v>
      </c>
      <c r="R1280" s="24" t="s">
        <v>114</v>
      </c>
      <c r="S1280" s="34">
        <v>0</v>
      </c>
      <c r="T1280" s="15">
        <v>146.82</v>
      </c>
      <c r="U1280" s="18">
        <v>73.41</v>
      </c>
      <c r="V1280" s="56">
        <f>Table11[[#This Row],[Profit]]/Table11[[#This Row],[Sales]]</f>
        <v>0.5</v>
      </c>
    </row>
    <row r="1281" spans="1:22" x14ac:dyDescent="0.2">
      <c r="A1281" s="2">
        <v>1280</v>
      </c>
      <c r="B1281" s="3" t="s">
        <v>8433</v>
      </c>
      <c r="C1281" s="7">
        <v>42274</v>
      </c>
      <c r="D1281" s="28">
        <f>MONTH(Table11[[#This Row],[Order Date]])</f>
        <v>9</v>
      </c>
      <c r="E1281" s="3" t="s">
        <v>1679</v>
      </c>
      <c r="F1281" s="3" t="s">
        <v>1680</v>
      </c>
      <c r="G1281" s="25" t="s">
        <v>41</v>
      </c>
      <c r="H1281" s="25" t="s">
        <v>82</v>
      </c>
      <c r="I1281" s="3" t="s">
        <v>4343</v>
      </c>
      <c r="J1281" s="25" t="s">
        <v>92</v>
      </c>
      <c r="K1281" s="28">
        <v>2</v>
      </c>
      <c r="L1281" s="7">
        <v>42276</v>
      </c>
      <c r="M1281" s="28">
        <f>Table11[[#This Row],[Ship Date]]-Table11[[#This Row],[Order Date]]</f>
        <v>2</v>
      </c>
      <c r="N1281" s="25" t="s">
        <v>20</v>
      </c>
      <c r="O1281" s="25" t="s">
        <v>23</v>
      </c>
      <c r="P1281" s="25" t="s">
        <v>38</v>
      </c>
      <c r="Q1281" s="25" t="s">
        <v>39</v>
      </c>
      <c r="R1281" s="25" t="s">
        <v>114</v>
      </c>
      <c r="S1281" s="35">
        <v>0</v>
      </c>
      <c r="T1281" s="16">
        <v>12.96</v>
      </c>
      <c r="U1281" s="19">
        <v>6.2207999999999997</v>
      </c>
      <c r="V1281" s="56">
        <f>Table11[[#This Row],[Profit]]/Table11[[#This Row],[Sales]]</f>
        <v>0.47999999999999993</v>
      </c>
    </row>
    <row r="1282" spans="1:22" x14ac:dyDescent="0.2">
      <c r="A1282" s="4">
        <v>1281</v>
      </c>
      <c r="B1282" s="5" t="s">
        <v>8575</v>
      </c>
      <c r="C1282" s="6">
        <v>42274</v>
      </c>
      <c r="D1282" s="27">
        <f>MONTH(Table11[[#This Row],[Order Date]])</f>
        <v>9</v>
      </c>
      <c r="E1282" s="5" t="s">
        <v>4290</v>
      </c>
      <c r="F1282" s="5" t="s">
        <v>4291</v>
      </c>
      <c r="G1282" s="24" t="s">
        <v>41</v>
      </c>
      <c r="H1282" s="24" t="s">
        <v>61</v>
      </c>
      <c r="I1282" s="5" t="s">
        <v>2206</v>
      </c>
      <c r="J1282" s="24" t="s">
        <v>36</v>
      </c>
      <c r="K1282" s="27">
        <v>5</v>
      </c>
      <c r="L1282" s="6">
        <v>42277</v>
      </c>
      <c r="M1282" s="27">
        <f>Table11[[#This Row],[Ship Date]]-Table11[[#This Row],[Order Date]]</f>
        <v>3</v>
      </c>
      <c r="N1282" s="24" t="s">
        <v>20</v>
      </c>
      <c r="O1282" s="24" t="s">
        <v>23</v>
      </c>
      <c r="P1282" s="24" t="s">
        <v>212</v>
      </c>
      <c r="Q1282" s="24" t="s">
        <v>95</v>
      </c>
      <c r="R1282" s="24" t="s">
        <v>775</v>
      </c>
      <c r="S1282" s="34">
        <v>0</v>
      </c>
      <c r="T1282" s="15">
        <v>16.399999999999999</v>
      </c>
      <c r="U1282" s="18">
        <v>4.7560000000000002</v>
      </c>
      <c r="V1282" s="56">
        <f>Table11[[#This Row],[Profit]]/Table11[[#This Row],[Sales]]</f>
        <v>0.29000000000000004</v>
      </c>
    </row>
    <row r="1283" spans="1:22" x14ac:dyDescent="0.2">
      <c r="A1283" s="4">
        <v>1282</v>
      </c>
      <c r="B1283" s="3" t="s">
        <v>8575</v>
      </c>
      <c r="C1283" s="7">
        <v>42274</v>
      </c>
      <c r="D1283" s="28">
        <f>MONTH(Table11[[#This Row],[Order Date]])</f>
        <v>9</v>
      </c>
      <c r="E1283" s="3" t="s">
        <v>2957</v>
      </c>
      <c r="F1283" s="3" t="s">
        <v>2958</v>
      </c>
      <c r="G1283" s="25" t="s">
        <v>41</v>
      </c>
      <c r="H1283" s="25" t="s">
        <v>82</v>
      </c>
      <c r="I1283" s="3" t="s">
        <v>2206</v>
      </c>
      <c r="J1283" s="25" t="s">
        <v>36</v>
      </c>
      <c r="K1283" s="28">
        <v>4</v>
      </c>
      <c r="L1283" s="7">
        <v>42277</v>
      </c>
      <c r="M1283" s="28">
        <f>Table11[[#This Row],[Ship Date]]-Table11[[#This Row],[Order Date]]</f>
        <v>3</v>
      </c>
      <c r="N1283" s="25" t="s">
        <v>20</v>
      </c>
      <c r="O1283" s="25" t="s">
        <v>23</v>
      </c>
      <c r="P1283" s="25" t="s">
        <v>212</v>
      </c>
      <c r="Q1283" s="25" t="s">
        <v>95</v>
      </c>
      <c r="R1283" s="25" t="s">
        <v>775</v>
      </c>
      <c r="S1283" s="35">
        <v>0</v>
      </c>
      <c r="T1283" s="16">
        <v>25.92</v>
      </c>
      <c r="U1283" s="19">
        <v>12.441599999999999</v>
      </c>
      <c r="V1283" s="56">
        <f>Table11[[#This Row],[Profit]]/Table11[[#This Row],[Sales]]</f>
        <v>0.47999999999999993</v>
      </c>
    </row>
    <row r="1284" spans="1:22" x14ac:dyDescent="0.2">
      <c r="A1284" s="2">
        <v>1283</v>
      </c>
      <c r="B1284" s="5" t="s">
        <v>8920</v>
      </c>
      <c r="C1284" s="6">
        <v>42274</v>
      </c>
      <c r="D1284" s="27">
        <f>MONTH(Table11[[#This Row],[Order Date]])</f>
        <v>9</v>
      </c>
      <c r="E1284" s="5" t="s">
        <v>3592</v>
      </c>
      <c r="F1284" s="5" t="s">
        <v>3593</v>
      </c>
      <c r="G1284" s="24" t="s">
        <v>41</v>
      </c>
      <c r="H1284" s="24" t="s">
        <v>82</v>
      </c>
      <c r="I1284" s="5" t="s">
        <v>3880</v>
      </c>
      <c r="J1284" s="24" t="s">
        <v>22</v>
      </c>
      <c r="K1284" s="27">
        <v>5</v>
      </c>
      <c r="L1284" s="6">
        <v>42279</v>
      </c>
      <c r="M1284" s="27">
        <f>Table11[[#This Row],[Ship Date]]-Table11[[#This Row],[Order Date]]</f>
        <v>5</v>
      </c>
      <c r="N1284" s="24" t="s">
        <v>45</v>
      </c>
      <c r="O1284" s="24" t="s">
        <v>23</v>
      </c>
      <c r="P1284" s="24" t="s">
        <v>285</v>
      </c>
      <c r="Q1284" s="24" t="s">
        <v>26</v>
      </c>
      <c r="R1284" s="24" t="s">
        <v>997</v>
      </c>
      <c r="S1284" s="34">
        <v>0</v>
      </c>
      <c r="T1284" s="15">
        <v>154.9</v>
      </c>
      <c r="U1284" s="18">
        <v>69.704999999999998</v>
      </c>
      <c r="V1284" s="56">
        <f>Table11[[#This Row],[Profit]]/Table11[[#This Row],[Sales]]</f>
        <v>0.44999999999999996</v>
      </c>
    </row>
    <row r="1285" spans="1:22" x14ac:dyDescent="0.2">
      <c r="A1285" s="4">
        <v>1284</v>
      </c>
      <c r="B1285" s="3" t="s">
        <v>8920</v>
      </c>
      <c r="C1285" s="7">
        <v>42274</v>
      </c>
      <c r="D1285" s="28">
        <f>MONTH(Table11[[#This Row],[Order Date]])</f>
        <v>9</v>
      </c>
      <c r="E1285" s="3" t="s">
        <v>1697</v>
      </c>
      <c r="F1285" s="3" t="s">
        <v>1698</v>
      </c>
      <c r="G1285" s="25" t="s">
        <v>64</v>
      </c>
      <c r="H1285" s="25" t="s">
        <v>65</v>
      </c>
      <c r="I1285" s="3" t="s">
        <v>3880</v>
      </c>
      <c r="J1285" s="25" t="s">
        <v>22</v>
      </c>
      <c r="K1285" s="28">
        <v>12</v>
      </c>
      <c r="L1285" s="7">
        <v>42279</v>
      </c>
      <c r="M1285" s="28">
        <f>Table11[[#This Row],[Ship Date]]-Table11[[#This Row],[Order Date]]</f>
        <v>5</v>
      </c>
      <c r="N1285" s="25" t="s">
        <v>45</v>
      </c>
      <c r="O1285" s="25" t="s">
        <v>23</v>
      </c>
      <c r="P1285" s="25" t="s">
        <v>285</v>
      </c>
      <c r="Q1285" s="25" t="s">
        <v>26</v>
      </c>
      <c r="R1285" s="25" t="s">
        <v>997</v>
      </c>
      <c r="S1285" s="35">
        <v>0</v>
      </c>
      <c r="T1285" s="16">
        <v>1871.88</v>
      </c>
      <c r="U1285" s="19">
        <v>561.56399999999996</v>
      </c>
      <c r="V1285" s="56">
        <f>Table11[[#This Row],[Profit]]/Table11[[#This Row],[Sales]]</f>
        <v>0.3</v>
      </c>
    </row>
    <row r="1286" spans="1:22" x14ac:dyDescent="0.2">
      <c r="A1286" s="4">
        <v>1285</v>
      </c>
      <c r="B1286" s="5" t="s">
        <v>9536</v>
      </c>
      <c r="C1286" s="6">
        <v>42274</v>
      </c>
      <c r="D1286" s="27">
        <f>MONTH(Table11[[#This Row],[Order Date]])</f>
        <v>9</v>
      </c>
      <c r="E1286" s="5" t="s">
        <v>4129</v>
      </c>
      <c r="F1286" s="5" t="s">
        <v>4130</v>
      </c>
      <c r="G1286" s="24" t="s">
        <v>41</v>
      </c>
      <c r="H1286" s="24" t="s">
        <v>61</v>
      </c>
      <c r="I1286" s="5" t="s">
        <v>1233</v>
      </c>
      <c r="J1286" s="24" t="s">
        <v>36</v>
      </c>
      <c r="K1286" s="27">
        <v>5</v>
      </c>
      <c r="L1286" s="6">
        <v>42276</v>
      </c>
      <c r="M1286" s="27">
        <f>Table11[[#This Row],[Ship Date]]-Table11[[#This Row],[Order Date]]</f>
        <v>2</v>
      </c>
      <c r="N1286" s="24" t="s">
        <v>20</v>
      </c>
      <c r="O1286" s="24" t="s">
        <v>23</v>
      </c>
      <c r="P1286" s="24" t="s">
        <v>87</v>
      </c>
      <c r="Q1286" s="24" t="s">
        <v>39</v>
      </c>
      <c r="R1286" s="24" t="s">
        <v>86</v>
      </c>
      <c r="S1286" s="34">
        <v>0</v>
      </c>
      <c r="T1286" s="15">
        <v>99.2</v>
      </c>
      <c r="U1286" s="18">
        <v>25.792000000000002</v>
      </c>
      <c r="V1286" s="56">
        <f>Table11[[#This Row],[Profit]]/Table11[[#This Row],[Sales]]</f>
        <v>0.26</v>
      </c>
    </row>
    <row r="1287" spans="1:22" x14ac:dyDescent="0.2">
      <c r="A1287" s="2">
        <v>1286</v>
      </c>
      <c r="B1287" s="3" t="s">
        <v>4642</v>
      </c>
      <c r="C1287" s="7">
        <v>42275</v>
      </c>
      <c r="D1287" s="28">
        <f>MONTH(Table11[[#This Row],[Order Date]])</f>
        <v>9</v>
      </c>
      <c r="E1287" s="3" t="s">
        <v>1177</v>
      </c>
      <c r="F1287" s="3" t="s">
        <v>1178</v>
      </c>
      <c r="G1287" s="25" t="s">
        <v>41</v>
      </c>
      <c r="H1287" s="25" t="s">
        <v>71</v>
      </c>
      <c r="I1287" s="3" t="s">
        <v>3208</v>
      </c>
      <c r="J1287" s="25" t="s">
        <v>36</v>
      </c>
      <c r="K1287" s="28">
        <v>3</v>
      </c>
      <c r="L1287" s="7">
        <v>42278</v>
      </c>
      <c r="M1287" s="28">
        <f>Table11[[#This Row],[Ship Date]]-Table11[[#This Row],[Order Date]]</f>
        <v>3</v>
      </c>
      <c r="N1287" s="25" t="s">
        <v>169</v>
      </c>
      <c r="O1287" s="25" t="s">
        <v>23</v>
      </c>
      <c r="P1287" s="25" t="s">
        <v>38</v>
      </c>
      <c r="Q1287" s="25" t="s">
        <v>39</v>
      </c>
      <c r="R1287" s="25" t="s">
        <v>114</v>
      </c>
      <c r="S1287" s="35">
        <v>0</v>
      </c>
      <c r="T1287" s="16">
        <v>43.26</v>
      </c>
      <c r="U1287" s="19">
        <v>14.2758</v>
      </c>
      <c r="V1287" s="56">
        <f>Table11[[#This Row],[Profit]]/Table11[[#This Row],[Sales]]</f>
        <v>0.33</v>
      </c>
    </row>
    <row r="1288" spans="1:22" x14ac:dyDescent="0.2">
      <c r="A1288" s="4">
        <v>1287</v>
      </c>
      <c r="B1288" s="5" t="s">
        <v>4642</v>
      </c>
      <c r="C1288" s="6">
        <v>42275</v>
      </c>
      <c r="D1288" s="27">
        <f>MONTH(Table11[[#This Row],[Order Date]])</f>
        <v>9</v>
      </c>
      <c r="E1288" s="5" t="s">
        <v>3918</v>
      </c>
      <c r="F1288" s="5" t="s">
        <v>3919</v>
      </c>
      <c r="G1288" s="24" t="s">
        <v>41</v>
      </c>
      <c r="H1288" s="24" t="s">
        <v>71</v>
      </c>
      <c r="I1288" s="5" t="s">
        <v>3208</v>
      </c>
      <c r="J1288" s="24" t="s">
        <v>36</v>
      </c>
      <c r="K1288" s="27">
        <v>2</v>
      </c>
      <c r="L1288" s="6">
        <v>42278</v>
      </c>
      <c r="M1288" s="27">
        <f>Table11[[#This Row],[Ship Date]]-Table11[[#This Row],[Order Date]]</f>
        <v>3</v>
      </c>
      <c r="N1288" s="24" t="s">
        <v>169</v>
      </c>
      <c r="O1288" s="24" t="s">
        <v>23</v>
      </c>
      <c r="P1288" s="24" t="s">
        <v>38</v>
      </c>
      <c r="Q1288" s="24" t="s">
        <v>39</v>
      </c>
      <c r="R1288" s="24" t="s">
        <v>114</v>
      </c>
      <c r="S1288" s="34">
        <v>0</v>
      </c>
      <c r="T1288" s="15">
        <v>43.56</v>
      </c>
      <c r="U1288" s="18">
        <v>15.246</v>
      </c>
      <c r="V1288" s="56">
        <f>Table11[[#This Row],[Profit]]/Table11[[#This Row],[Sales]]</f>
        <v>0.35</v>
      </c>
    </row>
    <row r="1289" spans="1:22" x14ac:dyDescent="0.2">
      <c r="A1289" s="4">
        <v>1288</v>
      </c>
      <c r="B1289" s="3" t="s">
        <v>7124</v>
      </c>
      <c r="C1289" s="7">
        <v>42275</v>
      </c>
      <c r="D1289" s="28">
        <f>MONTH(Table11[[#This Row],[Order Date]])</f>
        <v>9</v>
      </c>
      <c r="E1289" s="3" t="s">
        <v>4962</v>
      </c>
      <c r="F1289" s="3" t="s">
        <v>4963</v>
      </c>
      <c r="G1289" s="25" t="s">
        <v>41</v>
      </c>
      <c r="H1289" s="25" t="s">
        <v>155</v>
      </c>
      <c r="I1289" s="3" t="s">
        <v>1743</v>
      </c>
      <c r="J1289" s="25" t="s">
        <v>22</v>
      </c>
      <c r="K1289" s="28">
        <v>1</v>
      </c>
      <c r="L1289" s="7">
        <v>42281</v>
      </c>
      <c r="M1289" s="28">
        <f>Table11[[#This Row],[Ship Date]]-Table11[[#This Row],[Order Date]]</f>
        <v>6</v>
      </c>
      <c r="N1289" s="25" t="s">
        <v>45</v>
      </c>
      <c r="O1289" s="25" t="s">
        <v>23</v>
      </c>
      <c r="P1289" s="25" t="s">
        <v>405</v>
      </c>
      <c r="Q1289" s="25" t="s">
        <v>39</v>
      </c>
      <c r="R1289" s="25" t="s">
        <v>404</v>
      </c>
      <c r="S1289" s="35">
        <v>0.2</v>
      </c>
      <c r="T1289" s="16">
        <v>12.536</v>
      </c>
      <c r="U1289" s="19">
        <v>4.2309000000000001</v>
      </c>
      <c r="V1289" s="56">
        <f>Table11[[#This Row],[Profit]]/Table11[[#This Row],[Sales]]</f>
        <v>0.33750000000000002</v>
      </c>
    </row>
    <row r="1290" spans="1:22" x14ac:dyDescent="0.2">
      <c r="A1290" s="2">
        <v>1289</v>
      </c>
      <c r="B1290" s="5" t="s">
        <v>7124</v>
      </c>
      <c r="C1290" s="6">
        <v>42275</v>
      </c>
      <c r="D1290" s="27">
        <f>MONTH(Table11[[#This Row],[Order Date]])</f>
        <v>9</v>
      </c>
      <c r="E1290" s="5" t="s">
        <v>2585</v>
      </c>
      <c r="F1290" s="5" t="s">
        <v>2586</v>
      </c>
      <c r="G1290" s="24" t="s">
        <v>41</v>
      </c>
      <c r="H1290" s="24" t="s">
        <v>68</v>
      </c>
      <c r="I1290" s="5" t="s">
        <v>1743</v>
      </c>
      <c r="J1290" s="24" t="s">
        <v>22</v>
      </c>
      <c r="K1290" s="27">
        <v>2</v>
      </c>
      <c r="L1290" s="6">
        <v>42281</v>
      </c>
      <c r="M1290" s="27">
        <f>Table11[[#This Row],[Ship Date]]-Table11[[#This Row],[Order Date]]</f>
        <v>6</v>
      </c>
      <c r="N1290" s="24" t="s">
        <v>45</v>
      </c>
      <c r="O1290" s="24" t="s">
        <v>23</v>
      </c>
      <c r="P1290" s="24" t="s">
        <v>405</v>
      </c>
      <c r="Q1290" s="24" t="s">
        <v>39</v>
      </c>
      <c r="R1290" s="24" t="s">
        <v>404</v>
      </c>
      <c r="S1290" s="34">
        <v>0.7</v>
      </c>
      <c r="T1290" s="15">
        <v>1.08</v>
      </c>
      <c r="U1290" s="18">
        <v>-0.79200000000000004</v>
      </c>
      <c r="V1290" s="56">
        <f>Table11[[#This Row],[Profit]]/Table11[[#This Row],[Sales]]</f>
        <v>-0.73333333333333328</v>
      </c>
    </row>
    <row r="1291" spans="1:22" x14ac:dyDescent="0.2">
      <c r="A1291" s="4">
        <v>1290</v>
      </c>
      <c r="B1291" s="3" t="s">
        <v>7124</v>
      </c>
      <c r="C1291" s="7">
        <v>42275</v>
      </c>
      <c r="D1291" s="28">
        <f>MONTH(Table11[[#This Row],[Order Date]])</f>
        <v>9</v>
      </c>
      <c r="E1291" s="3" t="s">
        <v>3520</v>
      </c>
      <c r="F1291" s="3" t="s">
        <v>498</v>
      </c>
      <c r="G1291" s="25" t="s">
        <v>41</v>
      </c>
      <c r="H1291" s="25" t="s">
        <v>240</v>
      </c>
      <c r="I1291" s="3" t="s">
        <v>1743</v>
      </c>
      <c r="J1291" s="25" t="s">
        <v>22</v>
      </c>
      <c r="K1291" s="28">
        <v>3</v>
      </c>
      <c r="L1291" s="7">
        <v>42281</v>
      </c>
      <c r="M1291" s="28">
        <f>Table11[[#This Row],[Ship Date]]-Table11[[#This Row],[Order Date]]</f>
        <v>6</v>
      </c>
      <c r="N1291" s="25" t="s">
        <v>45</v>
      </c>
      <c r="O1291" s="25" t="s">
        <v>23</v>
      </c>
      <c r="P1291" s="25" t="s">
        <v>405</v>
      </c>
      <c r="Q1291" s="25" t="s">
        <v>39</v>
      </c>
      <c r="R1291" s="25" t="s">
        <v>404</v>
      </c>
      <c r="S1291" s="35">
        <v>0.2</v>
      </c>
      <c r="T1291" s="16">
        <v>4.5119999999999996</v>
      </c>
      <c r="U1291" s="19">
        <v>0.84599999999999997</v>
      </c>
      <c r="V1291" s="56">
        <f>Table11[[#This Row],[Profit]]/Table11[[#This Row],[Sales]]</f>
        <v>0.1875</v>
      </c>
    </row>
    <row r="1292" spans="1:22" x14ac:dyDescent="0.2">
      <c r="A1292" s="4">
        <v>1291</v>
      </c>
      <c r="B1292" s="5" t="s">
        <v>9087</v>
      </c>
      <c r="C1292" s="6">
        <v>42275</v>
      </c>
      <c r="D1292" s="27">
        <f>MONTH(Table11[[#This Row],[Order Date]])</f>
        <v>9</v>
      </c>
      <c r="E1292" s="5" t="s">
        <v>1424</v>
      </c>
      <c r="F1292" s="5" t="s">
        <v>1425</v>
      </c>
      <c r="G1292" s="24" t="s">
        <v>41</v>
      </c>
      <c r="H1292" s="24" t="s">
        <v>71</v>
      </c>
      <c r="I1292" s="5" t="s">
        <v>2707</v>
      </c>
      <c r="J1292" s="24" t="s">
        <v>22</v>
      </c>
      <c r="K1292" s="27">
        <v>6</v>
      </c>
      <c r="L1292" s="6">
        <v>42280</v>
      </c>
      <c r="M1292" s="27">
        <f>Table11[[#This Row],[Ship Date]]-Table11[[#This Row],[Order Date]]</f>
        <v>5</v>
      </c>
      <c r="N1292" s="24" t="s">
        <v>20</v>
      </c>
      <c r="O1292" s="24" t="s">
        <v>23</v>
      </c>
      <c r="P1292" s="24" t="s">
        <v>238</v>
      </c>
      <c r="Q1292" s="24" t="s">
        <v>133</v>
      </c>
      <c r="R1292" s="24" t="s">
        <v>237</v>
      </c>
      <c r="S1292" s="34">
        <v>0</v>
      </c>
      <c r="T1292" s="15">
        <v>293.52</v>
      </c>
      <c r="U1292" s="18">
        <v>76.315200000000004</v>
      </c>
      <c r="V1292" s="56">
        <f>Table11[[#This Row],[Profit]]/Table11[[#This Row],[Sales]]</f>
        <v>0.26</v>
      </c>
    </row>
    <row r="1293" spans="1:22" x14ac:dyDescent="0.2">
      <c r="A1293" s="2">
        <v>1292</v>
      </c>
      <c r="B1293" s="3" t="s">
        <v>9087</v>
      </c>
      <c r="C1293" s="7">
        <v>42275</v>
      </c>
      <c r="D1293" s="28">
        <f>MONTH(Table11[[#This Row],[Order Date]])</f>
        <v>9</v>
      </c>
      <c r="E1293" s="3" t="s">
        <v>1217</v>
      </c>
      <c r="F1293" s="3" t="s">
        <v>1218</v>
      </c>
      <c r="G1293" s="25" t="s">
        <v>64</v>
      </c>
      <c r="H1293" s="25" t="s">
        <v>65</v>
      </c>
      <c r="I1293" s="3" t="s">
        <v>2707</v>
      </c>
      <c r="J1293" s="25" t="s">
        <v>22</v>
      </c>
      <c r="K1293" s="28">
        <v>2</v>
      </c>
      <c r="L1293" s="7">
        <v>42280</v>
      </c>
      <c r="M1293" s="28">
        <f>Table11[[#This Row],[Ship Date]]-Table11[[#This Row],[Order Date]]</f>
        <v>5</v>
      </c>
      <c r="N1293" s="25" t="s">
        <v>20</v>
      </c>
      <c r="O1293" s="25" t="s">
        <v>23</v>
      </c>
      <c r="P1293" s="25" t="s">
        <v>238</v>
      </c>
      <c r="Q1293" s="25" t="s">
        <v>133</v>
      </c>
      <c r="R1293" s="25" t="s">
        <v>237</v>
      </c>
      <c r="S1293" s="35">
        <v>0</v>
      </c>
      <c r="T1293" s="16">
        <v>307.98</v>
      </c>
      <c r="U1293" s="19">
        <v>89.3142</v>
      </c>
      <c r="V1293" s="56">
        <f>Table11[[#This Row],[Profit]]/Table11[[#This Row],[Sales]]</f>
        <v>0.28999999999999998</v>
      </c>
    </row>
    <row r="1294" spans="1:22" x14ac:dyDescent="0.2">
      <c r="A1294" s="4">
        <v>1293</v>
      </c>
      <c r="B1294" s="5" t="s">
        <v>9846</v>
      </c>
      <c r="C1294" s="6">
        <v>42275</v>
      </c>
      <c r="D1294" s="27">
        <f>MONTH(Table11[[#This Row],[Order Date]])</f>
        <v>9</v>
      </c>
      <c r="E1294" s="5" t="s">
        <v>3851</v>
      </c>
      <c r="F1294" s="5" t="s">
        <v>3852</v>
      </c>
      <c r="G1294" s="24" t="s">
        <v>41</v>
      </c>
      <c r="H1294" s="24" t="s">
        <v>71</v>
      </c>
      <c r="I1294" s="5" t="s">
        <v>3986</v>
      </c>
      <c r="J1294" s="24" t="s">
        <v>36</v>
      </c>
      <c r="K1294" s="27">
        <v>3</v>
      </c>
      <c r="L1294" s="6">
        <v>42282</v>
      </c>
      <c r="M1294" s="27">
        <f>Table11[[#This Row],[Ship Date]]-Table11[[#This Row],[Order Date]]</f>
        <v>7</v>
      </c>
      <c r="N1294" s="24" t="s">
        <v>45</v>
      </c>
      <c r="O1294" s="24" t="s">
        <v>23</v>
      </c>
      <c r="P1294" s="24" t="s">
        <v>38</v>
      </c>
      <c r="Q1294" s="24" t="s">
        <v>39</v>
      </c>
      <c r="R1294" s="24" t="s">
        <v>37</v>
      </c>
      <c r="S1294" s="34">
        <v>0</v>
      </c>
      <c r="T1294" s="15">
        <v>186.15</v>
      </c>
      <c r="U1294" s="18">
        <v>55.844999999999999</v>
      </c>
      <c r="V1294" s="56">
        <f>Table11[[#This Row],[Profit]]/Table11[[#This Row],[Sales]]</f>
        <v>0.3</v>
      </c>
    </row>
    <row r="1295" spans="1:22" x14ac:dyDescent="0.2">
      <c r="A1295" s="4">
        <v>1294</v>
      </c>
      <c r="B1295" s="3" t="s">
        <v>9846</v>
      </c>
      <c r="C1295" s="7">
        <v>42275</v>
      </c>
      <c r="D1295" s="28">
        <f>MONTH(Table11[[#This Row],[Order Date]])</f>
        <v>9</v>
      </c>
      <c r="E1295" s="3" t="s">
        <v>2835</v>
      </c>
      <c r="F1295" s="3" t="s">
        <v>2836</v>
      </c>
      <c r="G1295" s="25" t="s">
        <v>41</v>
      </c>
      <c r="H1295" s="25" t="s">
        <v>68</v>
      </c>
      <c r="I1295" s="3" t="s">
        <v>3986</v>
      </c>
      <c r="J1295" s="25" t="s">
        <v>36</v>
      </c>
      <c r="K1295" s="28">
        <v>6</v>
      </c>
      <c r="L1295" s="7">
        <v>42282</v>
      </c>
      <c r="M1295" s="28">
        <f>Table11[[#This Row],[Ship Date]]-Table11[[#This Row],[Order Date]]</f>
        <v>7</v>
      </c>
      <c r="N1295" s="25" t="s">
        <v>45</v>
      </c>
      <c r="O1295" s="25" t="s">
        <v>23</v>
      </c>
      <c r="P1295" s="25" t="s">
        <v>38</v>
      </c>
      <c r="Q1295" s="25" t="s">
        <v>39</v>
      </c>
      <c r="R1295" s="25" t="s">
        <v>37</v>
      </c>
      <c r="S1295" s="35">
        <v>0.2</v>
      </c>
      <c r="T1295" s="16">
        <v>81.792000000000002</v>
      </c>
      <c r="U1295" s="19">
        <v>26.5824</v>
      </c>
      <c r="V1295" s="56">
        <f>Table11[[#This Row],[Profit]]/Table11[[#This Row],[Sales]]</f>
        <v>0.32500000000000001</v>
      </c>
    </row>
    <row r="1296" spans="1:22" x14ac:dyDescent="0.2">
      <c r="A1296" s="2">
        <v>1295</v>
      </c>
      <c r="B1296" s="5" t="s">
        <v>9846</v>
      </c>
      <c r="C1296" s="6">
        <v>42275</v>
      </c>
      <c r="D1296" s="27">
        <f>MONTH(Table11[[#This Row],[Order Date]])</f>
        <v>9</v>
      </c>
      <c r="E1296" s="5" t="s">
        <v>8319</v>
      </c>
      <c r="F1296" s="5" t="s">
        <v>8320</v>
      </c>
      <c r="G1296" s="24" t="s">
        <v>41</v>
      </c>
      <c r="H1296" s="24" t="s">
        <v>513</v>
      </c>
      <c r="I1296" s="5" t="s">
        <v>3986</v>
      </c>
      <c r="J1296" s="24" t="s">
        <v>36</v>
      </c>
      <c r="K1296" s="27">
        <v>3</v>
      </c>
      <c r="L1296" s="6">
        <v>42282</v>
      </c>
      <c r="M1296" s="27">
        <f>Table11[[#This Row],[Ship Date]]-Table11[[#This Row],[Order Date]]</f>
        <v>7</v>
      </c>
      <c r="N1296" s="24" t="s">
        <v>45</v>
      </c>
      <c r="O1296" s="24" t="s">
        <v>23</v>
      </c>
      <c r="P1296" s="24" t="s">
        <v>38</v>
      </c>
      <c r="Q1296" s="24" t="s">
        <v>39</v>
      </c>
      <c r="R1296" s="24" t="s">
        <v>37</v>
      </c>
      <c r="S1296" s="34">
        <v>0</v>
      </c>
      <c r="T1296" s="15">
        <v>47.19</v>
      </c>
      <c r="U1296" s="18">
        <v>13.6851</v>
      </c>
      <c r="V1296" s="56">
        <f>Table11[[#This Row],[Profit]]/Table11[[#This Row],[Sales]]</f>
        <v>0.29000000000000004</v>
      </c>
    </row>
    <row r="1297" spans="1:22" x14ac:dyDescent="0.2">
      <c r="A1297" s="4">
        <v>1296</v>
      </c>
      <c r="B1297" s="3" t="s">
        <v>9846</v>
      </c>
      <c r="C1297" s="7">
        <v>42275</v>
      </c>
      <c r="D1297" s="28">
        <f>MONTH(Table11[[#This Row],[Order Date]])</f>
        <v>9</v>
      </c>
      <c r="E1297" s="3" t="s">
        <v>1579</v>
      </c>
      <c r="F1297" s="3" t="s">
        <v>1580</v>
      </c>
      <c r="G1297" s="25" t="s">
        <v>64</v>
      </c>
      <c r="H1297" s="25" t="s">
        <v>65</v>
      </c>
      <c r="I1297" s="3" t="s">
        <v>3986</v>
      </c>
      <c r="J1297" s="25" t="s">
        <v>36</v>
      </c>
      <c r="K1297" s="28">
        <v>2</v>
      </c>
      <c r="L1297" s="7">
        <v>42282</v>
      </c>
      <c r="M1297" s="28">
        <f>Table11[[#This Row],[Ship Date]]-Table11[[#This Row],[Order Date]]</f>
        <v>7</v>
      </c>
      <c r="N1297" s="25" t="s">
        <v>45</v>
      </c>
      <c r="O1297" s="25" t="s">
        <v>23</v>
      </c>
      <c r="P1297" s="25" t="s">
        <v>38</v>
      </c>
      <c r="Q1297" s="25" t="s">
        <v>39</v>
      </c>
      <c r="R1297" s="25" t="s">
        <v>37</v>
      </c>
      <c r="S1297" s="35">
        <v>0.2</v>
      </c>
      <c r="T1297" s="16">
        <v>36.783999999999999</v>
      </c>
      <c r="U1297" s="19">
        <v>-8.2764000000000006</v>
      </c>
      <c r="V1297" s="56">
        <f>Table11[[#This Row],[Profit]]/Table11[[#This Row],[Sales]]</f>
        <v>-0.22500000000000003</v>
      </c>
    </row>
    <row r="1298" spans="1:22" x14ac:dyDescent="0.2">
      <c r="A1298" s="4">
        <v>1297</v>
      </c>
      <c r="B1298" s="5" t="s">
        <v>3428</v>
      </c>
      <c r="C1298" s="6">
        <v>42278</v>
      </c>
      <c r="D1298" s="27">
        <f>MONTH(Table11[[#This Row],[Order Date]])</f>
        <v>10</v>
      </c>
      <c r="E1298" s="5" t="s">
        <v>484</v>
      </c>
      <c r="F1298" s="5" t="s">
        <v>485</v>
      </c>
      <c r="G1298" s="24" t="s">
        <v>41</v>
      </c>
      <c r="H1298" s="24" t="s">
        <v>53</v>
      </c>
      <c r="I1298" s="5" t="s">
        <v>3429</v>
      </c>
      <c r="J1298" s="24" t="s">
        <v>36</v>
      </c>
      <c r="K1298" s="27">
        <v>4</v>
      </c>
      <c r="L1298" s="6">
        <v>42283</v>
      </c>
      <c r="M1298" s="27">
        <f>Table11[[#This Row],[Ship Date]]-Table11[[#This Row],[Order Date]]</f>
        <v>5</v>
      </c>
      <c r="N1298" s="24" t="s">
        <v>45</v>
      </c>
      <c r="O1298" s="24" t="s">
        <v>23</v>
      </c>
      <c r="P1298" s="24" t="s">
        <v>405</v>
      </c>
      <c r="Q1298" s="24" t="s">
        <v>39</v>
      </c>
      <c r="R1298" s="24" t="s">
        <v>404</v>
      </c>
      <c r="S1298" s="34">
        <v>0.2</v>
      </c>
      <c r="T1298" s="15">
        <v>139.42400000000001</v>
      </c>
      <c r="U1298" s="18">
        <v>17.428000000000001</v>
      </c>
      <c r="V1298" s="56">
        <f>Table11[[#This Row],[Profit]]/Table11[[#This Row],[Sales]]</f>
        <v>0.125</v>
      </c>
    </row>
    <row r="1299" spans="1:22" x14ac:dyDescent="0.2">
      <c r="A1299" s="2">
        <v>1298</v>
      </c>
      <c r="B1299" s="3" t="s">
        <v>8022</v>
      </c>
      <c r="C1299" s="7">
        <v>42278</v>
      </c>
      <c r="D1299" s="28">
        <f>MONTH(Table11[[#This Row],[Order Date]])</f>
        <v>10</v>
      </c>
      <c r="E1299" s="3" t="s">
        <v>1697</v>
      </c>
      <c r="F1299" s="3" t="s">
        <v>1698</v>
      </c>
      <c r="G1299" s="25" t="s">
        <v>64</v>
      </c>
      <c r="H1299" s="25" t="s">
        <v>65</v>
      </c>
      <c r="I1299" s="3" t="s">
        <v>648</v>
      </c>
      <c r="J1299" s="25" t="s">
        <v>92</v>
      </c>
      <c r="K1299" s="28">
        <v>2</v>
      </c>
      <c r="L1299" s="7">
        <v>42281</v>
      </c>
      <c r="M1299" s="28">
        <f>Table11[[#This Row],[Ship Date]]-Table11[[#This Row],[Order Date]]</f>
        <v>3</v>
      </c>
      <c r="N1299" s="25" t="s">
        <v>20</v>
      </c>
      <c r="O1299" s="25" t="s">
        <v>23</v>
      </c>
      <c r="P1299" s="25" t="s">
        <v>1101</v>
      </c>
      <c r="Q1299" s="25" t="s">
        <v>133</v>
      </c>
      <c r="R1299" s="25" t="s">
        <v>8023</v>
      </c>
      <c r="S1299" s="35">
        <v>0</v>
      </c>
      <c r="T1299" s="16">
        <v>311.98</v>
      </c>
      <c r="U1299" s="19">
        <v>93.593999999999994</v>
      </c>
      <c r="V1299" s="56">
        <f>Table11[[#This Row],[Profit]]/Table11[[#This Row],[Sales]]</f>
        <v>0.3</v>
      </c>
    </row>
    <row r="1300" spans="1:22" x14ac:dyDescent="0.2">
      <c r="A1300" s="4">
        <v>1299</v>
      </c>
      <c r="B1300" s="5" t="s">
        <v>8022</v>
      </c>
      <c r="C1300" s="6">
        <v>42278</v>
      </c>
      <c r="D1300" s="27">
        <f>MONTH(Table11[[#This Row],[Order Date]])</f>
        <v>10</v>
      </c>
      <c r="E1300" s="5" t="s">
        <v>4998</v>
      </c>
      <c r="F1300" s="5" t="s">
        <v>1078</v>
      </c>
      <c r="G1300" s="24" t="s">
        <v>41</v>
      </c>
      <c r="H1300" s="24" t="s">
        <v>68</v>
      </c>
      <c r="I1300" s="5" t="s">
        <v>648</v>
      </c>
      <c r="J1300" s="24" t="s">
        <v>92</v>
      </c>
      <c r="K1300" s="27">
        <v>5</v>
      </c>
      <c r="L1300" s="6">
        <v>42281</v>
      </c>
      <c r="M1300" s="27">
        <f>Table11[[#This Row],[Ship Date]]-Table11[[#This Row],[Order Date]]</f>
        <v>3</v>
      </c>
      <c r="N1300" s="24" t="s">
        <v>20</v>
      </c>
      <c r="O1300" s="24" t="s">
        <v>23</v>
      </c>
      <c r="P1300" s="24" t="s">
        <v>1101</v>
      </c>
      <c r="Q1300" s="24" t="s">
        <v>133</v>
      </c>
      <c r="R1300" s="24" t="s">
        <v>8023</v>
      </c>
      <c r="S1300" s="34">
        <v>0</v>
      </c>
      <c r="T1300" s="15">
        <v>22.45</v>
      </c>
      <c r="U1300" s="18">
        <v>10.327</v>
      </c>
      <c r="V1300" s="56">
        <f>Table11[[#This Row],[Profit]]/Table11[[#This Row],[Sales]]</f>
        <v>0.46</v>
      </c>
    </row>
    <row r="1301" spans="1:22" x14ac:dyDescent="0.2">
      <c r="A1301" s="4">
        <v>1300</v>
      </c>
      <c r="B1301" s="3" t="s">
        <v>9602</v>
      </c>
      <c r="C1301" s="7">
        <v>42278</v>
      </c>
      <c r="D1301" s="28">
        <f>MONTH(Table11[[#This Row],[Order Date]])</f>
        <v>10</v>
      </c>
      <c r="E1301" s="3" t="s">
        <v>5110</v>
      </c>
      <c r="F1301" s="3" t="s">
        <v>5111</v>
      </c>
      <c r="G1301" s="25" t="s">
        <v>41</v>
      </c>
      <c r="H1301" s="25" t="s">
        <v>68</v>
      </c>
      <c r="I1301" s="3" t="s">
        <v>583</v>
      </c>
      <c r="J1301" s="25" t="s">
        <v>22</v>
      </c>
      <c r="K1301" s="28">
        <v>4</v>
      </c>
      <c r="L1301" s="7">
        <v>42282</v>
      </c>
      <c r="M1301" s="28">
        <f>Table11[[#This Row],[Ship Date]]-Table11[[#This Row],[Order Date]]</f>
        <v>4</v>
      </c>
      <c r="N1301" s="25" t="s">
        <v>45</v>
      </c>
      <c r="O1301" s="25" t="s">
        <v>23</v>
      </c>
      <c r="P1301" s="25" t="s">
        <v>189</v>
      </c>
      <c r="Q1301" s="25" t="s">
        <v>95</v>
      </c>
      <c r="R1301" s="25" t="s">
        <v>1168</v>
      </c>
      <c r="S1301" s="35">
        <v>0.8</v>
      </c>
      <c r="T1301" s="16">
        <v>2.992</v>
      </c>
      <c r="U1301" s="19">
        <v>-4.4880000000000004</v>
      </c>
      <c r="V1301" s="56">
        <f>Table11[[#This Row],[Profit]]/Table11[[#This Row],[Sales]]</f>
        <v>-1.5000000000000002</v>
      </c>
    </row>
    <row r="1302" spans="1:22" x14ac:dyDescent="0.2">
      <c r="A1302" s="2">
        <v>1301</v>
      </c>
      <c r="B1302" s="5" t="s">
        <v>9602</v>
      </c>
      <c r="C1302" s="6">
        <v>42278</v>
      </c>
      <c r="D1302" s="27">
        <f>MONTH(Table11[[#This Row],[Order Date]])</f>
        <v>10</v>
      </c>
      <c r="E1302" s="5" t="s">
        <v>584</v>
      </c>
      <c r="F1302" s="5" t="s">
        <v>585</v>
      </c>
      <c r="G1302" s="24" t="s">
        <v>64</v>
      </c>
      <c r="H1302" s="24" t="s">
        <v>144</v>
      </c>
      <c r="I1302" s="5" t="s">
        <v>583</v>
      </c>
      <c r="J1302" s="24" t="s">
        <v>22</v>
      </c>
      <c r="K1302" s="27">
        <v>4</v>
      </c>
      <c r="L1302" s="6">
        <v>42282</v>
      </c>
      <c r="M1302" s="27">
        <f>Table11[[#This Row],[Ship Date]]-Table11[[#This Row],[Order Date]]</f>
        <v>4</v>
      </c>
      <c r="N1302" s="24" t="s">
        <v>45</v>
      </c>
      <c r="O1302" s="24" t="s">
        <v>23</v>
      </c>
      <c r="P1302" s="24" t="s">
        <v>189</v>
      </c>
      <c r="Q1302" s="24" t="s">
        <v>95</v>
      </c>
      <c r="R1302" s="24" t="s">
        <v>1168</v>
      </c>
      <c r="S1302" s="34">
        <v>0.2</v>
      </c>
      <c r="T1302" s="15">
        <v>108.768</v>
      </c>
      <c r="U1302" s="18">
        <v>2.7191999999999998</v>
      </c>
      <c r="V1302" s="56">
        <f>Table11[[#This Row],[Profit]]/Table11[[#This Row],[Sales]]</f>
        <v>2.4999999999999998E-2</v>
      </c>
    </row>
    <row r="1303" spans="1:22" x14ac:dyDescent="0.2">
      <c r="A1303" s="4">
        <v>1302</v>
      </c>
      <c r="B1303" s="3" t="s">
        <v>9870</v>
      </c>
      <c r="C1303" s="7">
        <v>42278</v>
      </c>
      <c r="D1303" s="28">
        <f>MONTH(Table11[[#This Row],[Order Date]])</f>
        <v>10</v>
      </c>
      <c r="E1303" s="3" t="s">
        <v>3942</v>
      </c>
      <c r="F1303" s="3" t="s">
        <v>3943</v>
      </c>
      <c r="G1303" s="25" t="s">
        <v>64</v>
      </c>
      <c r="H1303" s="25" t="s">
        <v>65</v>
      </c>
      <c r="I1303" s="3" t="s">
        <v>583</v>
      </c>
      <c r="J1303" s="25" t="s">
        <v>22</v>
      </c>
      <c r="K1303" s="28">
        <v>2</v>
      </c>
      <c r="L1303" s="7">
        <v>42281</v>
      </c>
      <c r="M1303" s="28">
        <f>Table11[[#This Row],[Ship Date]]-Table11[[#This Row],[Order Date]]</f>
        <v>3</v>
      </c>
      <c r="N1303" s="25" t="s">
        <v>169</v>
      </c>
      <c r="O1303" s="25" t="s">
        <v>23</v>
      </c>
      <c r="P1303" s="25" t="s">
        <v>374</v>
      </c>
      <c r="Q1303" s="25" t="s">
        <v>39</v>
      </c>
      <c r="R1303" s="25" t="s">
        <v>373</v>
      </c>
      <c r="S1303" s="35">
        <v>0.2</v>
      </c>
      <c r="T1303" s="16">
        <v>572.79999999999995</v>
      </c>
      <c r="U1303" s="19">
        <v>50.12</v>
      </c>
      <c r="V1303" s="56">
        <f>Table11[[#This Row],[Profit]]/Table11[[#This Row],[Sales]]</f>
        <v>8.7500000000000008E-2</v>
      </c>
    </row>
    <row r="1304" spans="1:22" x14ac:dyDescent="0.2">
      <c r="A1304" s="4">
        <v>1303</v>
      </c>
      <c r="B1304" s="5" t="s">
        <v>4359</v>
      </c>
      <c r="C1304" s="6">
        <v>42279</v>
      </c>
      <c r="D1304" s="27">
        <f>MONTH(Table11[[#This Row],[Order Date]])</f>
        <v>10</v>
      </c>
      <c r="E1304" s="5" t="s">
        <v>4360</v>
      </c>
      <c r="F1304" s="5" t="s">
        <v>4361</v>
      </c>
      <c r="G1304" s="24" t="s">
        <v>41</v>
      </c>
      <c r="H1304" s="24" t="s">
        <v>68</v>
      </c>
      <c r="I1304" s="5" t="s">
        <v>1394</v>
      </c>
      <c r="J1304" s="24" t="s">
        <v>36</v>
      </c>
      <c r="K1304" s="27">
        <v>6</v>
      </c>
      <c r="L1304" s="6">
        <v>42285</v>
      </c>
      <c r="M1304" s="27">
        <f>Table11[[#This Row],[Ship Date]]-Table11[[#This Row],[Order Date]]</f>
        <v>6</v>
      </c>
      <c r="N1304" s="24" t="s">
        <v>45</v>
      </c>
      <c r="O1304" s="24" t="s">
        <v>23</v>
      </c>
      <c r="P1304" s="24" t="s">
        <v>38</v>
      </c>
      <c r="Q1304" s="24" t="s">
        <v>39</v>
      </c>
      <c r="R1304" s="24" t="s">
        <v>836</v>
      </c>
      <c r="S1304" s="34">
        <v>0.2</v>
      </c>
      <c r="T1304" s="15">
        <v>57.503999999999998</v>
      </c>
      <c r="U1304" s="18">
        <v>20.1264</v>
      </c>
      <c r="V1304" s="56">
        <f>Table11[[#This Row],[Profit]]/Table11[[#This Row],[Sales]]</f>
        <v>0.35000000000000003</v>
      </c>
    </row>
    <row r="1305" spans="1:22" x14ac:dyDescent="0.2">
      <c r="A1305" s="2">
        <v>1304</v>
      </c>
      <c r="B1305" s="3" t="s">
        <v>5749</v>
      </c>
      <c r="C1305" s="7">
        <v>42279</v>
      </c>
      <c r="D1305" s="28">
        <f>MONTH(Table11[[#This Row],[Order Date]])</f>
        <v>10</v>
      </c>
      <c r="E1305" s="3" t="s">
        <v>4407</v>
      </c>
      <c r="F1305" s="3" t="s">
        <v>4408</v>
      </c>
      <c r="G1305" s="25" t="s">
        <v>41</v>
      </c>
      <c r="H1305" s="25" t="s">
        <v>82</v>
      </c>
      <c r="I1305" s="3" t="s">
        <v>5661</v>
      </c>
      <c r="J1305" s="25" t="s">
        <v>36</v>
      </c>
      <c r="K1305" s="28">
        <v>5</v>
      </c>
      <c r="L1305" s="7">
        <v>42285</v>
      </c>
      <c r="M1305" s="28">
        <f>Table11[[#This Row],[Ship Date]]-Table11[[#This Row],[Order Date]]</f>
        <v>6</v>
      </c>
      <c r="N1305" s="25" t="s">
        <v>45</v>
      </c>
      <c r="O1305" s="25" t="s">
        <v>23</v>
      </c>
      <c r="P1305" s="25" t="s">
        <v>695</v>
      </c>
      <c r="Q1305" s="25" t="s">
        <v>133</v>
      </c>
      <c r="R1305" s="25" t="s">
        <v>990</v>
      </c>
      <c r="S1305" s="35">
        <v>0</v>
      </c>
      <c r="T1305" s="16">
        <v>94.85</v>
      </c>
      <c r="U1305" s="19">
        <v>45.527999999999999</v>
      </c>
      <c r="V1305" s="56">
        <f>Table11[[#This Row],[Profit]]/Table11[[#This Row],[Sales]]</f>
        <v>0.48000000000000004</v>
      </c>
    </row>
    <row r="1306" spans="1:22" x14ac:dyDescent="0.2">
      <c r="A1306" s="4">
        <v>1305</v>
      </c>
      <c r="B1306" s="5" t="s">
        <v>5749</v>
      </c>
      <c r="C1306" s="6">
        <v>42279</v>
      </c>
      <c r="D1306" s="27">
        <f>MONTH(Table11[[#This Row],[Order Date]])</f>
        <v>10</v>
      </c>
      <c r="E1306" s="5" t="s">
        <v>466</v>
      </c>
      <c r="F1306" s="5" t="s">
        <v>467</v>
      </c>
      <c r="G1306" s="24" t="s">
        <v>41</v>
      </c>
      <c r="H1306" s="24" t="s">
        <v>155</v>
      </c>
      <c r="I1306" s="5" t="s">
        <v>5661</v>
      </c>
      <c r="J1306" s="24" t="s">
        <v>36</v>
      </c>
      <c r="K1306" s="27">
        <v>4</v>
      </c>
      <c r="L1306" s="6">
        <v>42285</v>
      </c>
      <c r="M1306" s="27">
        <f>Table11[[#This Row],[Ship Date]]-Table11[[#This Row],[Order Date]]</f>
        <v>6</v>
      </c>
      <c r="N1306" s="24" t="s">
        <v>45</v>
      </c>
      <c r="O1306" s="24" t="s">
        <v>23</v>
      </c>
      <c r="P1306" s="24" t="s">
        <v>695</v>
      </c>
      <c r="Q1306" s="24" t="s">
        <v>133</v>
      </c>
      <c r="R1306" s="24" t="s">
        <v>990</v>
      </c>
      <c r="S1306" s="34">
        <v>0</v>
      </c>
      <c r="T1306" s="15">
        <v>51.12</v>
      </c>
      <c r="U1306" s="18">
        <v>23.004000000000001</v>
      </c>
      <c r="V1306" s="56">
        <f>Table11[[#This Row],[Profit]]/Table11[[#This Row],[Sales]]</f>
        <v>0.45000000000000007</v>
      </c>
    </row>
    <row r="1307" spans="1:22" x14ac:dyDescent="0.2">
      <c r="A1307" s="4">
        <v>1306</v>
      </c>
      <c r="B1307" s="3" t="s">
        <v>5749</v>
      </c>
      <c r="C1307" s="7">
        <v>42279</v>
      </c>
      <c r="D1307" s="28">
        <f>MONTH(Table11[[#This Row],[Order Date]])</f>
        <v>10</v>
      </c>
      <c r="E1307" s="3" t="s">
        <v>1033</v>
      </c>
      <c r="F1307" s="3" t="s">
        <v>1034</v>
      </c>
      <c r="G1307" s="25" t="s">
        <v>64</v>
      </c>
      <c r="H1307" s="25" t="s">
        <v>144</v>
      </c>
      <c r="I1307" s="3" t="s">
        <v>5661</v>
      </c>
      <c r="J1307" s="25" t="s">
        <v>36</v>
      </c>
      <c r="K1307" s="28">
        <v>1</v>
      </c>
      <c r="L1307" s="7">
        <v>42285</v>
      </c>
      <c r="M1307" s="28">
        <f>Table11[[#This Row],[Ship Date]]-Table11[[#This Row],[Order Date]]</f>
        <v>6</v>
      </c>
      <c r="N1307" s="25" t="s">
        <v>45</v>
      </c>
      <c r="O1307" s="25" t="s">
        <v>23</v>
      </c>
      <c r="P1307" s="25" t="s">
        <v>695</v>
      </c>
      <c r="Q1307" s="25" t="s">
        <v>133</v>
      </c>
      <c r="R1307" s="25" t="s">
        <v>990</v>
      </c>
      <c r="S1307" s="35">
        <v>0</v>
      </c>
      <c r="T1307" s="16">
        <v>90</v>
      </c>
      <c r="U1307" s="19">
        <v>32.4</v>
      </c>
      <c r="V1307" s="56">
        <f>Table11[[#This Row],[Profit]]/Table11[[#This Row],[Sales]]</f>
        <v>0.36</v>
      </c>
    </row>
    <row r="1308" spans="1:22" x14ac:dyDescent="0.2">
      <c r="A1308" s="2">
        <v>1307</v>
      </c>
      <c r="B1308" s="5" t="s">
        <v>6328</v>
      </c>
      <c r="C1308" s="6">
        <v>42279</v>
      </c>
      <c r="D1308" s="27">
        <f>MONTH(Table11[[#This Row],[Order Date]])</f>
        <v>10</v>
      </c>
      <c r="E1308" s="5" t="s">
        <v>4334</v>
      </c>
      <c r="F1308" s="5" t="s">
        <v>4335</v>
      </c>
      <c r="G1308" s="24" t="s">
        <v>41</v>
      </c>
      <c r="H1308" s="24" t="s">
        <v>53</v>
      </c>
      <c r="I1308" s="5" t="s">
        <v>337</v>
      </c>
      <c r="J1308" s="24" t="s">
        <v>92</v>
      </c>
      <c r="K1308" s="27">
        <v>14</v>
      </c>
      <c r="L1308" s="6">
        <v>42284</v>
      </c>
      <c r="M1308" s="27">
        <f>Table11[[#This Row],[Ship Date]]-Table11[[#This Row],[Order Date]]</f>
        <v>5</v>
      </c>
      <c r="N1308" s="24" t="s">
        <v>20</v>
      </c>
      <c r="O1308" s="24" t="s">
        <v>23</v>
      </c>
      <c r="P1308" s="24" t="s">
        <v>38</v>
      </c>
      <c r="Q1308" s="24" t="s">
        <v>39</v>
      </c>
      <c r="R1308" s="24" t="s">
        <v>37</v>
      </c>
      <c r="S1308" s="34">
        <v>0</v>
      </c>
      <c r="T1308" s="15">
        <v>270.33999999999997</v>
      </c>
      <c r="U1308" s="18">
        <v>75.6952</v>
      </c>
      <c r="V1308" s="56">
        <f>Table11[[#This Row],[Profit]]/Table11[[#This Row],[Sales]]</f>
        <v>0.28000000000000003</v>
      </c>
    </row>
    <row r="1309" spans="1:22" x14ac:dyDescent="0.2">
      <c r="A1309" s="4">
        <v>1308</v>
      </c>
      <c r="B1309" s="3" t="s">
        <v>8227</v>
      </c>
      <c r="C1309" s="7">
        <v>42279</v>
      </c>
      <c r="D1309" s="28">
        <f>MONTH(Table11[[#This Row],[Order Date]])</f>
        <v>10</v>
      </c>
      <c r="E1309" s="3" t="s">
        <v>4192</v>
      </c>
      <c r="F1309" s="3" t="s">
        <v>4193</v>
      </c>
      <c r="G1309" s="25" t="s">
        <v>41</v>
      </c>
      <c r="H1309" s="25" t="s">
        <v>68</v>
      </c>
      <c r="I1309" s="3" t="s">
        <v>3493</v>
      </c>
      <c r="J1309" s="25" t="s">
        <v>92</v>
      </c>
      <c r="K1309" s="28">
        <v>5</v>
      </c>
      <c r="L1309" s="7">
        <v>42283</v>
      </c>
      <c r="M1309" s="28">
        <f>Table11[[#This Row],[Ship Date]]-Table11[[#This Row],[Order Date]]</f>
        <v>4</v>
      </c>
      <c r="N1309" s="25" t="s">
        <v>45</v>
      </c>
      <c r="O1309" s="25" t="s">
        <v>23</v>
      </c>
      <c r="P1309" s="25" t="s">
        <v>80</v>
      </c>
      <c r="Q1309" s="25" t="s">
        <v>26</v>
      </c>
      <c r="R1309" s="25" t="s">
        <v>8228</v>
      </c>
      <c r="S1309" s="35">
        <v>0.7</v>
      </c>
      <c r="T1309" s="16">
        <v>7.38</v>
      </c>
      <c r="U1309" s="19">
        <v>-5.4119999999999999</v>
      </c>
      <c r="V1309" s="56">
        <f>Table11[[#This Row],[Profit]]/Table11[[#This Row],[Sales]]</f>
        <v>-0.73333333333333328</v>
      </c>
    </row>
    <row r="1310" spans="1:22" x14ac:dyDescent="0.2">
      <c r="A1310" s="4">
        <v>1309</v>
      </c>
      <c r="B1310" s="5" t="s">
        <v>8429</v>
      </c>
      <c r="C1310" s="6">
        <v>42279</v>
      </c>
      <c r="D1310" s="27">
        <f>MONTH(Table11[[#This Row],[Order Date]])</f>
        <v>10</v>
      </c>
      <c r="E1310" s="5" t="s">
        <v>4192</v>
      </c>
      <c r="F1310" s="5" t="s">
        <v>4193</v>
      </c>
      <c r="G1310" s="24" t="s">
        <v>41</v>
      </c>
      <c r="H1310" s="24" t="s">
        <v>68</v>
      </c>
      <c r="I1310" s="5" t="s">
        <v>289</v>
      </c>
      <c r="J1310" s="24" t="s">
        <v>22</v>
      </c>
      <c r="K1310" s="27">
        <v>3</v>
      </c>
      <c r="L1310" s="6">
        <v>42280</v>
      </c>
      <c r="M1310" s="27">
        <f>Table11[[#This Row],[Ship Date]]-Table11[[#This Row],[Order Date]]</f>
        <v>1</v>
      </c>
      <c r="N1310" s="24" t="s">
        <v>169</v>
      </c>
      <c r="O1310" s="24" t="s">
        <v>23</v>
      </c>
      <c r="P1310" s="24" t="s">
        <v>38</v>
      </c>
      <c r="Q1310" s="24" t="s">
        <v>39</v>
      </c>
      <c r="R1310" s="24" t="s">
        <v>37</v>
      </c>
      <c r="S1310" s="34">
        <v>0.2</v>
      </c>
      <c r="T1310" s="15">
        <v>11.808</v>
      </c>
      <c r="U1310" s="18">
        <v>4.1327999999999996</v>
      </c>
      <c r="V1310" s="56">
        <f>Table11[[#This Row],[Profit]]/Table11[[#This Row],[Sales]]</f>
        <v>0.35</v>
      </c>
    </row>
    <row r="1311" spans="1:22" x14ac:dyDescent="0.2">
      <c r="A1311" s="2">
        <v>1310</v>
      </c>
      <c r="B1311" s="3" t="s">
        <v>8429</v>
      </c>
      <c r="C1311" s="7">
        <v>42279</v>
      </c>
      <c r="D1311" s="28">
        <f>MONTH(Table11[[#This Row],[Order Date]])</f>
        <v>10</v>
      </c>
      <c r="E1311" s="3" t="s">
        <v>6289</v>
      </c>
      <c r="F1311" s="3" t="s">
        <v>6290</v>
      </c>
      <c r="G1311" s="25" t="s">
        <v>41</v>
      </c>
      <c r="H1311" s="25" t="s">
        <v>68</v>
      </c>
      <c r="I1311" s="3" t="s">
        <v>289</v>
      </c>
      <c r="J1311" s="25" t="s">
        <v>22</v>
      </c>
      <c r="K1311" s="28">
        <v>4</v>
      </c>
      <c r="L1311" s="7">
        <v>42280</v>
      </c>
      <c r="M1311" s="28">
        <f>Table11[[#This Row],[Ship Date]]-Table11[[#This Row],[Order Date]]</f>
        <v>1</v>
      </c>
      <c r="N1311" s="25" t="s">
        <v>169</v>
      </c>
      <c r="O1311" s="25" t="s">
        <v>23</v>
      </c>
      <c r="P1311" s="25" t="s">
        <v>38</v>
      </c>
      <c r="Q1311" s="25" t="s">
        <v>39</v>
      </c>
      <c r="R1311" s="25" t="s">
        <v>37</v>
      </c>
      <c r="S1311" s="35">
        <v>0.2</v>
      </c>
      <c r="T1311" s="16">
        <v>53.567999999999998</v>
      </c>
      <c r="U1311" s="19">
        <v>19.418399999999998</v>
      </c>
      <c r="V1311" s="56">
        <f>Table11[[#This Row],[Profit]]/Table11[[#This Row],[Sales]]</f>
        <v>0.36249999999999999</v>
      </c>
    </row>
    <row r="1312" spans="1:22" x14ac:dyDescent="0.2">
      <c r="A1312" s="4">
        <v>1311</v>
      </c>
      <c r="B1312" s="5" t="s">
        <v>8429</v>
      </c>
      <c r="C1312" s="6">
        <v>42279</v>
      </c>
      <c r="D1312" s="27">
        <f>MONTH(Table11[[#This Row],[Order Date]])</f>
        <v>10</v>
      </c>
      <c r="E1312" s="5" t="s">
        <v>5022</v>
      </c>
      <c r="F1312" s="5" t="s">
        <v>5023</v>
      </c>
      <c r="G1312" s="24" t="s">
        <v>64</v>
      </c>
      <c r="H1312" s="24" t="s">
        <v>65</v>
      </c>
      <c r="I1312" s="5" t="s">
        <v>289</v>
      </c>
      <c r="J1312" s="24" t="s">
        <v>22</v>
      </c>
      <c r="K1312" s="27">
        <v>5</v>
      </c>
      <c r="L1312" s="6">
        <v>42280</v>
      </c>
      <c r="M1312" s="27">
        <f>Table11[[#This Row],[Ship Date]]-Table11[[#This Row],[Order Date]]</f>
        <v>1</v>
      </c>
      <c r="N1312" s="24" t="s">
        <v>169</v>
      </c>
      <c r="O1312" s="24" t="s">
        <v>23</v>
      </c>
      <c r="P1312" s="24" t="s">
        <v>38</v>
      </c>
      <c r="Q1312" s="24" t="s">
        <v>39</v>
      </c>
      <c r="R1312" s="24" t="s">
        <v>37</v>
      </c>
      <c r="S1312" s="34">
        <v>0.2</v>
      </c>
      <c r="T1312" s="15">
        <v>503.96</v>
      </c>
      <c r="U1312" s="18">
        <v>50.396000000000001</v>
      </c>
      <c r="V1312" s="56">
        <f>Table11[[#This Row],[Profit]]/Table11[[#This Row],[Sales]]</f>
        <v>0.1</v>
      </c>
    </row>
    <row r="1313" spans="1:22" x14ac:dyDescent="0.2">
      <c r="A1313" s="4">
        <v>1312</v>
      </c>
      <c r="B1313" s="3" t="s">
        <v>8895</v>
      </c>
      <c r="C1313" s="7">
        <v>42279</v>
      </c>
      <c r="D1313" s="28">
        <f>MONTH(Table11[[#This Row],[Order Date]])</f>
        <v>10</v>
      </c>
      <c r="E1313" s="3" t="s">
        <v>263</v>
      </c>
      <c r="F1313" s="3" t="s">
        <v>264</v>
      </c>
      <c r="G1313" s="25" t="s">
        <v>41</v>
      </c>
      <c r="H1313" s="25" t="s">
        <v>68</v>
      </c>
      <c r="I1313" s="3" t="s">
        <v>1307</v>
      </c>
      <c r="J1313" s="25" t="s">
        <v>36</v>
      </c>
      <c r="K1313" s="28">
        <v>5</v>
      </c>
      <c r="L1313" s="7">
        <v>42283</v>
      </c>
      <c r="M1313" s="28">
        <f>Table11[[#This Row],[Ship Date]]-Table11[[#This Row],[Order Date]]</f>
        <v>4</v>
      </c>
      <c r="N1313" s="25" t="s">
        <v>45</v>
      </c>
      <c r="O1313" s="25" t="s">
        <v>23</v>
      </c>
      <c r="P1313" s="25" t="s">
        <v>660</v>
      </c>
      <c r="Q1313" s="25" t="s">
        <v>133</v>
      </c>
      <c r="R1313" s="25" t="s">
        <v>3253</v>
      </c>
      <c r="S1313" s="35">
        <v>0</v>
      </c>
      <c r="T1313" s="16">
        <v>26.9</v>
      </c>
      <c r="U1313" s="19">
        <v>13.180999999999999</v>
      </c>
      <c r="V1313" s="56">
        <f>Table11[[#This Row],[Profit]]/Table11[[#This Row],[Sales]]</f>
        <v>0.49</v>
      </c>
    </row>
    <row r="1314" spans="1:22" x14ac:dyDescent="0.2">
      <c r="A1314" s="2">
        <v>1313</v>
      </c>
      <c r="B1314" s="5" t="s">
        <v>9104</v>
      </c>
      <c r="C1314" s="6">
        <v>42279</v>
      </c>
      <c r="D1314" s="27">
        <f>MONTH(Table11[[#This Row],[Order Date]])</f>
        <v>10</v>
      </c>
      <c r="E1314" s="5" t="s">
        <v>2328</v>
      </c>
      <c r="F1314" s="5" t="s">
        <v>2329</v>
      </c>
      <c r="G1314" s="24" t="s">
        <v>41</v>
      </c>
      <c r="H1314" s="24" t="s">
        <v>82</v>
      </c>
      <c r="I1314" s="5" t="s">
        <v>3654</v>
      </c>
      <c r="J1314" s="24" t="s">
        <v>22</v>
      </c>
      <c r="K1314" s="27">
        <v>3</v>
      </c>
      <c r="L1314" s="6">
        <v>42282</v>
      </c>
      <c r="M1314" s="27">
        <f>Table11[[#This Row],[Ship Date]]-Table11[[#This Row],[Order Date]]</f>
        <v>3</v>
      </c>
      <c r="N1314" s="24" t="s">
        <v>20</v>
      </c>
      <c r="O1314" s="24" t="s">
        <v>23</v>
      </c>
      <c r="P1314" s="24" t="s">
        <v>2408</v>
      </c>
      <c r="Q1314" s="24" t="s">
        <v>133</v>
      </c>
      <c r="R1314" s="24" t="s">
        <v>2978</v>
      </c>
      <c r="S1314" s="34">
        <v>0</v>
      </c>
      <c r="T1314" s="15">
        <v>19.440000000000001</v>
      </c>
      <c r="U1314" s="18">
        <v>9.3312000000000008</v>
      </c>
      <c r="V1314" s="56">
        <f>Table11[[#This Row],[Profit]]/Table11[[#This Row],[Sales]]</f>
        <v>0.48000000000000004</v>
      </c>
    </row>
    <row r="1315" spans="1:22" x14ac:dyDescent="0.2">
      <c r="A1315" s="4">
        <v>1314</v>
      </c>
      <c r="B1315" s="3" t="s">
        <v>9104</v>
      </c>
      <c r="C1315" s="7">
        <v>42279</v>
      </c>
      <c r="D1315" s="28">
        <f>MONTH(Table11[[#This Row],[Order Date]])</f>
        <v>10</v>
      </c>
      <c r="E1315" s="3" t="s">
        <v>2683</v>
      </c>
      <c r="F1315" s="3" t="s">
        <v>2684</v>
      </c>
      <c r="G1315" s="25" t="s">
        <v>41</v>
      </c>
      <c r="H1315" s="25" t="s">
        <v>68</v>
      </c>
      <c r="I1315" s="3" t="s">
        <v>3654</v>
      </c>
      <c r="J1315" s="25" t="s">
        <v>22</v>
      </c>
      <c r="K1315" s="28">
        <v>1</v>
      </c>
      <c r="L1315" s="7">
        <v>42282</v>
      </c>
      <c r="M1315" s="28">
        <f>Table11[[#This Row],[Ship Date]]-Table11[[#This Row],[Order Date]]</f>
        <v>3</v>
      </c>
      <c r="N1315" s="25" t="s">
        <v>20</v>
      </c>
      <c r="O1315" s="25" t="s">
        <v>23</v>
      </c>
      <c r="P1315" s="25" t="s">
        <v>2408</v>
      </c>
      <c r="Q1315" s="25" t="s">
        <v>133</v>
      </c>
      <c r="R1315" s="25" t="s">
        <v>2978</v>
      </c>
      <c r="S1315" s="35">
        <v>0</v>
      </c>
      <c r="T1315" s="16">
        <v>7.38</v>
      </c>
      <c r="U1315" s="19">
        <v>3.6162000000000001</v>
      </c>
      <c r="V1315" s="56">
        <f>Table11[[#This Row],[Profit]]/Table11[[#This Row],[Sales]]</f>
        <v>0.49</v>
      </c>
    </row>
    <row r="1316" spans="1:22" x14ac:dyDescent="0.2">
      <c r="A1316" s="4">
        <v>1315</v>
      </c>
      <c r="B1316" s="5" t="s">
        <v>9240</v>
      </c>
      <c r="C1316" s="6">
        <v>42279</v>
      </c>
      <c r="D1316" s="27">
        <f>MONTH(Table11[[#This Row],[Order Date]])</f>
        <v>10</v>
      </c>
      <c r="E1316" s="5" t="s">
        <v>9201</v>
      </c>
      <c r="F1316" s="5" t="s">
        <v>9202</v>
      </c>
      <c r="G1316" s="24" t="s">
        <v>41</v>
      </c>
      <c r="H1316" s="24" t="s">
        <v>513</v>
      </c>
      <c r="I1316" s="5" t="s">
        <v>1919</v>
      </c>
      <c r="J1316" s="24" t="s">
        <v>22</v>
      </c>
      <c r="K1316" s="27">
        <v>2</v>
      </c>
      <c r="L1316" s="6">
        <v>42284</v>
      </c>
      <c r="M1316" s="27">
        <f>Table11[[#This Row],[Ship Date]]-Table11[[#This Row],[Order Date]]</f>
        <v>5</v>
      </c>
      <c r="N1316" s="24" t="s">
        <v>45</v>
      </c>
      <c r="O1316" s="24" t="s">
        <v>23</v>
      </c>
      <c r="P1316" s="24" t="s">
        <v>405</v>
      </c>
      <c r="Q1316" s="24" t="s">
        <v>39</v>
      </c>
      <c r="R1316" s="24" t="s">
        <v>6282</v>
      </c>
      <c r="S1316" s="34">
        <v>0.2</v>
      </c>
      <c r="T1316" s="15">
        <v>10.944000000000001</v>
      </c>
      <c r="U1316" s="18">
        <v>0.95760000000000001</v>
      </c>
      <c r="V1316" s="56">
        <f>Table11[[#This Row],[Profit]]/Table11[[#This Row],[Sales]]</f>
        <v>8.7499999999999994E-2</v>
      </c>
    </row>
    <row r="1317" spans="1:22" x14ac:dyDescent="0.2">
      <c r="A1317" s="2">
        <v>1316</v>
      </c>
      <c r="B1317" s="3" t="s">
        <v>9431</v>
      </c>
      <c r="C1317" s="7">
        <v>42279</v>
      </c>
      <c r="D1317" s="28">
        <f>MONTH(Table11[[#This Row],[Order Date]])</f>
        <v>10</v>
      </c>
      <c r="E1317" s="3" t="s">
        <v>379</v>
      </c>
      <c r="F1317" s="3" t="s">
        <v>380</v>
      </c>
      <c r="G1317" s="25" t="s">
        <v>28</v>
      </c>
      <c r="H1317" s="25" t="s">
        <v>58</v>
      </c>
      <c r="I1317" s="3" t="s">
        <v>1767</v>
      </c>
      <c r="J1317" s="25" t="s">
        <v>22</v>
      </c>
      <c r="K1317" s="28">
        <v>1</v>
      </c>
      <c r="L1317" s="7">
        <v>42281</v>
      </c>
      <c r="M1317" s="28">
        <f>Table11[[#This Row],[Ship Date]]-Table11[[#This Row],[Order Date]]</f>
        <v>2</v>
      </c>
      <c r="N1317" s="25" t="s">
        <v>169</v>
      </c>
      <c r="O1317" s="25" t="s">
        <v>23</v>
      </c>
      <c r="P1317" s="25" t="s">
        <v>374</v>
      </c>
      <c r="Q1317" s="25" t="s">
        <v>39</v>
      </c>
      <c r="R1317" s="25" t="s">
        <v>8640</v>
      </c>
      <c r="S1317" s="35">
        <v>0.2</v>
      </c>
      <c r="T1317" s="16">
        <v>11.032</v>
      </c>
      <c r="U1317" s="19">
        <v>3.0337999999999998</v>
      </c>
      <c r="V1317" s="56">
        <f>Table11[[#This Row],[Profit]]/Table11[[#This Row],[Sales]]</f>
        <v>0.27499999999999997</v>
      </c>
    </row>
    <row r="1318" spans="1:22" x14ac:dyDescent="0.2">
      <c r="A1318" s="4">
        <v>1317</v>
      </c>
      <c r="B1318" s="5" t="s">
        <v>9431</v>
      </c>
      <c r="C1318" s="6">
        <v>42279</v>
      </c>
      <c r="D1318" s="27">
        <f>MONTH(Table11[[#This Row],[Order Date]])</f>
        <v>10</v>
      </c>
      <c r="E1318" s="5" t="s">
        <v>665</v>
      </c>
      <c r="F1318" s="5" t="s">
        <v>666</v>
      </c>
      <c r="G1318" s="24" t="s">
        <v>64</v>
      </c>
      <c r="H1318" s="24" t="s">
        <v>144</v>
      </c>
      <c r="I1318" s="5" t="s">
        <v>1767</v>
      </c>
      <c r="J1318" s="24" t="s">
        <v>22</v>
      </c>
      <c r="K1318" s="27">
        <v>3</v>
      </c>
      <c r="L1318" s="6">
        <v>42281</v>
      </c>
      <c r="M1318" s="27">
        <f>Table11[[#This Row],[Ship Date]]-Table11[[#This Row],[Order Date]]</f>
        <v>2</v>
      </c>
      <c r="N1318" s="24" t="s">
        <v>169</v>
      </c>
      <c r="O1318" s="24" t="s">
        <v>23</v>
      </c>
      <c r="P1318" s="24" t="s">
        <v>374</v>
      </c>
      <c r="Q1318" s="24" t="s">
        <v>39</v>
      </c>
      <c r="R1318" s="24" t="s">
        <v>8640</v>
      </c>
      <c r="S1318" s="34">
        <v>0.2</v>
      </c>
      <c r="T1318" s="15">
        <v>53.04</v>
      </c>
      <c r="U1318" s="18">
        <v>-4.641</v>
      </c>
      <c r="V1318" s="56">
        <f>Table11[[#This Row],[Profit]]/Table11[[#This Row],[Sales]]</f>
        <v>-8.7500000000000008E-2</v>
      </c>
    </row>
    <row r="1319" spans="1:22" x14ac:dyDescent="0.2">
      <c r="A1319" s="4">
        <v>1318</v>
      </c>
      <c r="B1319" s="3" t="s">
        <v>2164</v>
      </c>
      <c r="C1319" s="7">
        <v>42280</v>
      </c>
      <c r="D1319" s="28">
        <f>MONTH(Table11[[#This Row],[Order Date]])</f>
        <v>10</v>
      </c>
      <c r="E1319" s="3" t="s">
        <v>1414</v>
      </c>
      <c r="F1319" s="3" t="s">
        <v>1415</v>
      </c>
      <c r="G1319" s="25" t="s">
        <v>41</v>
      </c>
      <c r="H1319" s="25" t="s">
        <v>68</v>
      </c>
      <c r="I1319" s="3" t="s">
        <v>2165</v>
      </c>
      <c r="J1319" s="25" t="s">
        <v>22</v>
      </c>
      <c r="K1319" s="28">
        <v>5</v>
      </c>
      <c r="L1319" s="7">
        <v>42283</v>
      </c>
      <c r="M1319" s="28">
        <f>Table11[[#This Row],[Ship Date]]-Table11[[#This Row],[Order Date]]</f>
        <v>3</v>
      </c>
      <c r="N1319" s="25" t="s">
        <v>20</v>
      </c>
      <c r="O1319" s="25" t="s">
        <v>23</v>
      </c>
      <c r="P1319" s="25" t="s">
        <v>441</v>
      </c>
      <c r="Q1319" s="25" t="s">
        <v>133</v>
      </c>
      <c r="R1319" s="25" t="s">
        <v>440</v>
      </c>
      <c r="S1319" s="35">
        <v>0.7</v>
      </c>
      <c r="T1319" s="16">
        <v>32.07</v>
      </c>
      <c r="U1319" s="19">
        <v>-22.449000000000002</v>
      </c>
      <c r="V1319" s="56">
        <f>Table11[[#This Row],[Profit]]/Table11[[#This Row],[Sales]]</f>
        <v>-0.70000000000000007</v>
      </c>
    </row>
    <row r="1320" spans="1:22" x14ac:dyDescent="0.2">
      <c r="A1320" s="2">
        <v>1319</v>
      </c>
      <c r="B1320" s="5" t="s">
        <v>2164</v>
      </c>
      <c r="C1320" s="6">
        <v>42280</v>
      </c>
      <c r="D1320" s="27">
        <f>MONTH(Table11[[#This Row],[Order Date]])</f>
        <v>10</v>
      </c>
      <c r="E1320" s="5" t="s">
        <v>219</v>
      </c>
      <c r="F1320" s="5" t="s">
        <v>220</v>
      </c>
      <c r="G1320" s="24" t="s">
        <v>64</v>
      </c>
      <c r="H1320" s="24" t="s">
        <v>144</v>
      </c>
      <c r="I1320" s="5" t="s">
        <v>2165</v>
      </c>
      <c r="J1320" s="24" t="s">
        <v>22</v>
      </c>
      <c r="K1320" s="27">
        <v>2</v>
      </c>
      <c r="L1320" s="6">
        <v>42283</v>
      </c>
      <c r="M1320" s="27">
        <f>Table11[[#This Row],[Ship Date]]-Table11[[#This Row],[Order Date]]</f>
        <v>3</v>
      </c>
      <c r="N1320" s="24" t="s">
        <v>20</v>
      </c>
      <c r="O1320" s="24" t="s">
        <v>23</v>
      </c>
      <c r="P1320" s="24" t="s">
        <v>441</v>
      </c>
      <c r="Q1320" s="24" t="s">
        <v>133</v>
      </c>
      <c r="R1320" s="24" t="s">
        <v>440</v>
      </c>
      <c r="S1320" s="34">
        <v>0.2</v>
      </c>
      <c r="T1320" s="15">
        <v>24</v>
      </c>
      <c r="U1320" s="18">
        <v>-2.7</v>
      </c>
      <c r="V1320" s="56">
        <f>Table11[[#This Row],[Profit]]/Table11[[#This Row],[Sales]]</f>
        <v>-0.1125</v>
      </c>
    </row>
    <row r="1321" spans="1:22" x14ac:dyDescent="0.2">
      <c r="A1321" s="4">
        <v>1320</v>
      </c>
      <c r="B1321" s="3" t="s">
        <v>2164</v>
      </c>
      <c r="C1321" s="7">
        <v>42280</v>
      </c>
      <c r="D1321" s="28">
        <f>MONTH(Table11[[#This Row],[Order Date]])</f>
        <v>10</v>
      </c>
      <c r="E1321" s="3" t="s">
        <v>2166</v>
      </c>
      <c r="F1321" s="3" t="s">
        <v>2167</v>
      </c>
      <c r="G1321" s="25" t="s">
        <v>28</v>
      </c>
      <c r="H1321" s="25" t="s">
        <v>29</v>
      </c>
      <c r="I1321" s="3" t="s">
        <v>2165</v>
      </c>
      <c r="J1321" s="25" t="s">
        <v>22</v>
      </c>
      <c r="K1321" s="28">
        <v>1</v>
      </c>
      <c r="L1321" s="7">
        <v>42283</v>
      </c>
      <c r="M1321" s="28">
        <f>Table11[[#This Row],[Ship Date]]-Table11[[#This Row],[Order Date]]</f>
        <v>3</v>
      </c>
      <c r="N1321" s="25" t="s">
        <v>20</v>
      </c>
      <c r="O1321" s="25" t="s">
        <v>23</v>
      </c>
      <c r="P1321" s="25" t="s">
        <v>441</v>
      </c>
      <c r="Q1321" s="25" t="s">
        <v>133</v>
      </c>
      <c r="R1321" s="25" t="s">
        <v>440</v>
      </c>
      <c r="S1321" s="35">
        <v>0.5</v>
      </c>
      <c r="T1321" s="16">
        <v>35.49</v>
      </c>
      <c r="U1321" s="19">
        <v>-15.615600000000001</v>
      </c>
      <c r="V1321" s="56">
        <f>Table11[[#This Row],[Profit]]/Table11[[#This Row],[Sales]]</f>
        <v>-0.44</v>
      </c>
    </row>
    <row r="1322" spans="1:22" x14ac:dyDescent="0.2">
      <c r="A1322" s="4">
        <v>1321</v>
      </c>
      <c r="B1322" s="5" t="s">
        <v>2164</v>
      </c>
      <c r="C1322" s="6">
        <v>42280</v>
      </c>
      <c r="D1322" s="27">
        <f>MONTH(Table11[[#This Row],[Order Date]])</f>
        <v>10</v>
      </c>
      <c r="E1322" s="5" t="s">
        <v>2168</v>
      </c>
      <c r="F1322" s="5" t="s">
        <v>2169</v>
      </c>
      <c r="G1322" s="24" t="s">
        <v>64</v>
      </c>
      <c r="H1322" s="24" t="s">
        <v>144</v>
      </c>
      <c r="I1322" s="5" t="s">
        <v>2165</v>
      </c>
      <c r="J1322" s="24" t="s">
        <v>22</v>
      </c>
      <c r="K1322" s="27">
        <v>2</v>
      </c>
      <c r="L1322" s="6">
        <v>42283</v>
      </c>
      <c r="M1322" s="27">
        <f>Table11[[#This Row],[Ship Date]]-Table11[[#This Row],[Order Date]]</f>
        <v>3</v>
      </c>
      <c r="N1322" s="24" t="s">
        <v>20</v>
      </c>
      <c r="O1322" s="24" t="s">
        <v>23</v>
      </c>
      <c r="P1322" s="24" t="s">
        <v>441</v>
      </c>
      <c r="Q1322" s="24" t="s">
        <v>133</v>
      </c>
      <c r="R1322" s="24" t="s">
        <v>440</v>
      </c>
      <c r="S1322" s="34">
        <v>0.2</v>
      </c>
      <c r="T1322" s="15">
        <v>47.984000000000002</v>
      </c>
      <c r="U1322" s="18">
        <v>0.5998</v>
      </c>
      <c r="V1322" s="56">
        <f>Table11[[#This Row],[Profit]]/Table11[[#This Row],[Sales]]</f>
        <v>1.2499999999999999E-2</v>
      </c>
    </row>
    <row r="1323" spans="1:22" x14ac:dyDescent="0.2">
      <c r="A1323" s="2">
        <v>1322</v>
      </c>
      <c r="B1323" s="3" t="s">
        <v>4222</v>
      </c>
      <c r="C1323" s="7">
        <v>42280</v>
      </c>
      <c r="D1323" s="28">
        <f>MONTH(Table11[[#This Row],[Order Date]])</f>
        <v>10</v>
      </c>
      <c r="E1323" s="3" t="s">
        <v>4224</v>
      </c>
      <c r="F1323" s="3" t="s">
        <v>2339</v>
      </c>
      <c r="G1323" s="25" t="s">
        <v>41</v>
      </c>
      <c r="H1323" s="25" t="s">
        <v>53</v>
      </c>
      <c r="I1323" s="3" t="s">
        <v>683</v>
      </c>
      <c r="J1323" s="25" t="s">
        <v>36</v>
      </c>
      <c r="K1323" s="28">
        <v>2</v>
      </c>
      <c r="L1323" s="7">
        <v>42286</v>
      </c>
      <c r="M1323" s="28">
        <f>Table11[[#This Row],[Ship Date]]-Table11[[#This Row],[Order Date]]</f>
        <v>6</v>
      </c>
      <c r="N1323" s="25" t="s">
        <v>45</v>
      </c>
      <c r="O1323" s="25" t="s">
        <v>23</v>
      </c>
      <c r="P1323" s="25" t="s">
        <v>132</v>
      </c>
      <c r="Q1323" s="25" t="s">
        <v>133</v>
      </c>
      <c r="R1323" s="25" t="s">
        <v>4223</v>
      </c>
      <c r="S1323" s="35">
        <v>0.2</v>
      </c>
      <c r="T1323" s="16">
        <v>15.007999999999999</v>
      </c>
      <c r="U1323" s="19">
        <v>1.5007999999999999</v>
      </c>
      <c r="V1323" s="56">
        <f>Table11[[#This Row],[Profit]]/Table11[[#This Row],[Sales]]</f>
        <v>0.1</v>
      </c>
    </row>
    <row r="1324" spans="1:22" x14ac:dyDescent="0.2">
      <c r="A1324" s="4">
        <v>1323</v>
      </c>
      <c r="B1324" s="5" t="s">
        <v>5613</v>
      </c>
      <c r="C1324" s="6">
        <v>42280</v>
      </c>
      <c r="D1324" s="27">
        <f>MONTH(Table11[[#This Row],[Order Date]])</f>
        <v>10</v>
      </c>
      <c r="E1324" s="5" t="s">
        <v>2166</v>
      </c>
      <c r="F1324" s="5" t="s">
        <v>2167</v>
      </c>
      <c r="G1324" s="24" t="s">
        <v>28</v>
      </c>
      <c r="H1324" s="24" t="s">
        <v>29</v>
      </c>
      <c r="I1324" s="5" t="s">
        <v>710</v>
      </c>
      <c r="J1324" s="24" t="s">
        <v>22</v>
      </c>
      <c r="K1324" s="27">
        <v>2</v>
      </c>
      <c r="L1324" s="6">
        <v>42285</v>
      </c>
      <c r="M1324" s="27">
        <f>Table11[[#This Row],[Ship Date]]-Table11[[#This Row],[Order Date]]</f>
        <v>5</v>
      </c>
      <c r="N1324" s="24" t="s">
        <v>45</v>
      </c>
      <c r="O1324" s="24" t="s">
        <v>23</v>
      </c>
      <c r="P1324" s="24" t="s">
        <v>38</v>
      </c>
      <c r="Q1324" s="24" t="s">
        <v>39</v>
      </c>
      <c r="R1324" s="24" t="s">
        <v>37</v>
      </c>
      <c r="S1324" s="34">
        <v>0.15</v>
      </c>
      <c r="T1324" s="15">
        <v>120.666</v>
      </c>
      <c r="U1324" s="18">
        <v>18.454799999999999</v>
      </c>
      <c r="V1324" s="56">
        <f>Table11[[#This Row],[Profit]]/Table11[[#This Row],[Sales]]</f>
        <v>0.15294117647058822</v>
      </c>
    </row>
    <row r="1325" spans="1:22" x14ac:dyDescent="0.2">
      <c r="A1325" s="4">
        <v>1324</v>
      </c>
      <c r="B1325" s="3" t="s">
        <v>1844</v>
      </c>
      <c r="C1325" s="7">
        <v>42281</v>
      </c>
      <c r="D1325" s="28">
        <f>MONTH(Table11[[#This Row],[Order Date]])</f>
        <v>10</v>
      </c>
      <c r="E1325" s="3" t="s">
        <v>1847</v>
      </c>
      <c r="F1325" s="3" t="s">
        <v>1848</v>
      </c>
      <c r="G1325" s="25" t="s">
        <v>28</v>
      </c>
      <c r="H1325" s="25" t="s">
        <v>32</v>
      </c>
      <c r="I1325" s="3" t="s">
        <v>1845</v>
      </c>
      <c r="J1325" s="25" t="s">
        <v>36</v>
      </c>
      <c r="K1325" s="28">
        <v>3</v>
      </c>
      <c r="L1325" s="7">
        <v>42286</v>
      </c>
      <c r="M1325" s="28">
        <f>Table11[[#This Row],[Ship Date]]-Table11[[#This Row],[Order Date]]</f>
        <v>5</v>
      </c>
      <c r="N1325" s="25" t="s">
        <v>20</v>
      </c>
      <c r="O1325" s="25" t="s">
        <v>23</v>
      </c>
      <c r="P1325" s="25" t="s">
        <v>1125</v>
      </c>
      <c r="Q1325" s="25" t="s">
        <v>26</v>
      </c>
      <c r="R1325" s="25" t="s">
        <v>1846</v>
      </c>
      <c r="S1325" s="35">
        <v>0</v>
      </c>
      <c r="T1325" s="16">
        <v>392.94</v>
      </c>
      <c r="U1325" s="19">
        <v>43.223399999999998</v>
      </c>
      <c r="V1325" s="56">
        <f>Table11[[#This Row],[Profit]]/Table11[[#This Row],[Sales]]</f>
        <v>0.11</v>
      </c>
    </row>
    <row r="1326" spans="1:22" x14ac:dyDescent="0.2">
      <c r="A1326" s="2">
        <v>1325</v>
      </c>
      <c r="B1326" s="5" t="s">
        <v>3183</v>
      </c>
      <c r="C1326" s="6">
        <v>42281</v>
      </c>
      <c r="D1326" s="27">
        <f>MONTH(Table11[[#This Row],[Order Date]])</f>
        <v>10</v>
      </c>
      <c r="E1326" s="5" t="s">
        <v>562</v>
      </c>
      <c r="F1326" s="5" t="s">
        <v>563</v>
      </c>
      <c r="G1326" s="24" t="s">
        <v>41</v>
      </c>
      <c r="H1326" s="24" t="s">
        <v>53</v>
      </c>
      <c r="I1326" s="5" t="s">
        <v>2940</v>
      </c>
      <c r="J1326" s="24" t="s">
        <v>22</v>
      </c>
      <c r="K1326" s="27">
        <v>2</v>
      </c>
      <c r="L1326" s="6">
        <v>42284</v>
      </c>
      <c r="M1326" s="27">
        <f>Table11[[#This Row],[Ship Date]]-Table11[[#This Row],[Order Date]]</f>
        <v>3</v>
      </c>
      <c r="N1326" s="24" t="s">
        <v>169</v>
      </c>
      <c r="O1326" s="24" t="s">
        <v>23</v>
      </c>
      <c r="P1326" s="24" t="s">
        <v>38</v>
      </c>
      <c r="Q1326" s="24" t="s">
        <v>39</v>
      </c>
      <c r="R1326" s="24" t="s">
        <v>114</v>
      </c>
      <c r="S1326" s="34">
        <v>0</v>
      </c>
      <c r="T1326" s="15">
        <v>26.96</v>
      </c>
      <c r="U1326" s="18">
        <v>7.0095999999999998</v>
      </c>
      <c r="V1326" s="56">
        <f>Table11[[#This Row],[Profit]]/Table11[[#This Row],[Sales]]</f>
        <v>0.26</v>
      </c>
    </row>
    <row r="1327" spans="1:22" x14ac:dyDescent="0.2">
      <c r="A1327" s="4">
        <v>1326</v>
      </c>
      <c r="B1327" s="3" t="s">
        <v>4471</v>
      </c>
      <c r="C1327" s="7">
        <v>42281</v>
      </c>
      <c r="D1327" s="28">
        <f>MONTH(Table11[[#This Row],[Order Date]])</f>
        <v>10</v>
      </c>
      <c r="E1327" s="3" t="s">
        <v>4472</v>
      </c>
      <c r="F1327" s="3" t="s">
        <v>4473</v>
      </c>
      <c r="G1327" s="25" t="s">
        <v>28</v>
      </c>
      <c r="H1327" s="25" t="s">
        <v>58</v>
      </c>
      <c r="I1327" s="3" t="s">
        <v>3342</v>
      </c>
      <c r="J1327" s="25" t="s">
        <v>92</v>
      </c>
      <c r="K1327" s="28">
        <v>3</v>
      </c>
      <c r="L1327" s="7">
        <v>42286</v>
      </c>
      <c r="M1327" s="28">
        <f>Table11[[#This Row],[Ship Date]]-Table11[[#This Row],[Order Date]]</f>
        <v>5</v>
      </c>
      <c r="N1327" s="25" t="s">
        <v>45</v>
      </c>
      <c r="O1327" s="25" t="s">
        <v>23</v>
      </c>
      <c r="P1327" s="25" t="s">
        <v>132</v>
      </c>
      <c r="Q1327" s="25" t="s">
        <v>133</v>
      </c>
      <c r="R1327" s="25" t="s">
        <v>131</v>
      </c>
      <c r="S1327" s="35">
        <v>0.2</v>
      </c>
      <c r="T1327" s="16">
        <v>64.944000000000003</v>
      </c>
      <c r="U1327" s="19">
        <v>6.4943999999999997</v>
      </c>
      <c r="V1327" s="56">
        <f>Table11[[#This Row],[Profit]]/Table11[[#This Row],[Sales]]</f>
        <v>9.9999999999999992E-2</v>
      </c>
    </row>
    <row r="1328" spans="1:22" x14ac:dyDescent="0.2">
      <c r="A1328" s="4">
        <v>1327</v>
      </c>
      <c r="B1328" s="5" t="s">
        <v>4471</v>
      </c>
      <c r="C1328" s="6">
        <v>42281</v>
      </c>
      <c r="D1328" s="27">
        <f>MONTH(Table11[[#This Row],[Order Date]])</f>
        <v>10</v>
      </c>
      <c r="E1328" s="5" t="s">
        <v>3482</v>
      </c>
      <c r="F1328" s="5" t="s">
        <v>3483</v>
      </c>
      <c r="G1328" s="24" t="s">
        <v>41</v>
      </c>
      <c r="H1328" s="24" t="s">
        <v>82</v>
      </c>
      <c r="I1328" s="5" t="s">
        <v>3342</v>
      </c>
      <c r="J1328" s="24" t="s">
        <v>92</v>
      </c>
      <c r="K1328" s="27">
        <v>4</v>
      </c>
      <c r="L1328" s="6">
        <v>42286</v>
      </c>
      <c r="M1328" s="27">
        <f>Table11[[#This Row],[Ship Date]]-Table11[[#This Row],[Order Date]]</f>
        <v>5</v>
      </c>
      <c r="N1328" s="24" t="s">
        <v>45</v>
      </c>
      <c r="O1328" s="24" t="s">
        <v>23</v>
      </c>
      <c r="P1328" s="24" t="s">
        <v>132</v>
      </c>
      <c r="Q1328" s="24" t="s">
        <v>133</v>
      </c>
      <c r="R1328" s="24" t="s">
        <v>131</v>
      </c>
      <c r="S1328" s="34">
        <v>0.2</v>
      </c>
      <c r="T1328" s="15">
        <v>20.736000000000001</v>
      </c>
      <c r="U1328" s="18">
        <v>7.2576000000000001</v>
      </c>
      <c r="V1328" s="56">
        <f>Table11[[#This Row],[Profit]]/Table11[[#This Row],[Sales]]</f>
        <v>0.35</v>
      </c>
    </row>
    <row r="1329" spans="1:22" x14ac:dyDescent="0.2">
      <c r="A1329" s="2">
        <v>1328</v>
      </c>
      <c r="B1329" s="3" t="s">
        <v>2493</v>
      </c>
      <c r="C1329" s="7">
        <v>42282</v>
      </c>
      <c r="D1329" s="28">
        <f>MONTH(Table11[[#This Row],[Order Date]])</f>
        <v>10</v>
      </c>
      <c r="E1329" s="3" t="s">
        <v>1162</v>
      </c>
      <c r="F1329" s="3" t="s">
        <v>1163</v>
      </c>
      <c r="G1329" s="25" t="s">
        <v>41</v>
      </c>
      <c r="H1329" s="25" t="s">
        <v>61</v>
      </c>
      <c r="I1329" s="3" t="s">
        <v>2494</v>
      </c>
      <c r="J1329" s="25" t="s">
        <v>92</v>
      </c>
      <c r="K1329" s="28">
        <v>4</v>
      </c>
      <c r="L1329" s="7">
        <v>42286</v>
      </c>
      <c r="M1329" s="28">
        <f>Table11[[#This Row],[Ship Date]]-Table11[[#This Row],[Order Date]]</f>
        <v>4</v>
      </c>
      <c r="N1329" s="25" t="s">
        <v>45</v>
      </c>
      <c r="O1329" s="25" t="s">
        <v>23</v>
      </c>
      <c r="P1329" s="25" t="s">
        <v>285</v>
      </c>
      <c r="Q1329" s="25" t="s">
        <v>26</v>
      </c>
      <c r="R1329" s="25" t="s">
        <v>284</v>
      </c>
      <c r="S1329" s="35">
        <v>0</v>
      </c>
      <c r="T1329" s="16">
        <v>46.2</v>
      </c>
      <c r="U1329" s="19">
        <v>12.936</v>
      </c>
      <c r="V1329" s="56">
        <f>Table11[[#This Row],[Profit]]/Table11[[#This Row],[Sales]]</f>
        <v>0.27999999999999997</v>
      </c>
    </row>
    <row r="1330" spans="1:22" x14ac:dyDescent="0.2">
      <c r="A1330" s="4">
        <v>1329</v>
      </c>
      <c r="B1330" s="5" t="s">
        <v>2493</v>
      </c>
      <c r="C1330" s="6">
        <v>42282</v>
      </c>
      <c r="D1330" s="27">
        <f>MONTH(Table11[[#This Row],[Order Date]])</f>
        <v>10</v>
      </c>
      <c r="E1330" s="5" t="s">
        <v>1177</v>
      </c>
      <c r="F1330" s="5" t="s">
        <v>1178</v>
      </c>
      <c r="G1330" s="24" t="s">
        <v>41</v>
      </c>
      <c r="H1330" s="24" t="s">
        <v>71</v>
      </c>
      <c r="I1330" s="5" t="s">
        <v>2494</v>
      </c>
      <c r="J1330" s="24" t="s">
        <v>92</v>
      </c>
      <c r="K1330" s="27">
        <v>2</v>
      </c>
      <c r="L1330" s="6">
        <v>42286</v>
      </c>
      <c r="M1330" s="27">
        <f>Table11[[#This Row],[Ship Date]]-Table11[[#This Row],[Order Date]]</f>
        <v>4</v>
      </c>
      <c r="N1330" s="24" t="s">
        <v>45</v>
      </c>
      <c r="O1330" s="24" t="s">
        <v>23</v>
      </c>
      <c r="P1330" s="24" t="s">
        <v>285</v>
      </c>
      <c r="Q1330" s="24" t="s">
        <v>26</v>
      </c>
      <c r="R1330" s="24" t="s">
        <v>284</v>
      </c>
      <c r="S1330" s="34">
        <v>0</v>
      </c>
      <c r="T1330" s="15">
        <v>28.84</v>
      </c>
      <c r="U1330" s="18">
        <v>9.5172000000000008</v>
      </c>
      <c r="V1330" s="56">
        <f>Table11[[#This Row],[Profit]]/Table11[[#This Row],[Sales]]</f>
        <v>0.33</v>
      </c>
    </row>
    <row r="1331" spans="1:22" x14ac:dyDescent="0.2">
      <c r="A1331" s="4">
        <v>1330</v>
      </c>
      <c r="B1331" s="3" t="s">
        <v>6907</v>
      </c>
      <c r="C1331" s="7">
        <v>42282</v>
      </c>
      <c r="D1331" s="28">
        <f>MONTH(Table11[[#This Row],[Order Date]])</f>
        <v>10</v>
      </c>
      <c r="E1331" s="3" t="s">
        <v>670</v>
      </c>
      <c r="F1331" s="3" t="s">
        <v>671</v>
      </c>
      <c r="G1331" s="25" t="s">
        <v>41</v>
      </c>
      <c r="H1331" s="25" t="s">
        <v>53</v>
      </c>
      <c r="I1331" s="3" t="s">
        <v>1814</v>
      </c>
      <c r="J1331" s="25" t="s">
        <v>36</v>
      </c>
      <c r="K1331" s="28">
        <v>5</v>
      </c>
      <c r="L1331" s="7">
        <v>42285</v>
      </c>
      <c r="M1331" s="28">
        <f>Table11[[#This Row],[Ship Date]]-Table11[[#This Row],[Order Date]]</f>
        <v>3</v>
      </c>
      <c r="N1331" s="25" t="s">
        <v>20</v>
      </c>
      <c r="O1331" s="25" t="s">
        <v>23</v>
      </c>
      <c r="P1331" s="25" t="s">
        <v>218</v>
      </c>
      <c r="Q1331" s="25" t="s">
        <v>133</v>
      </c>
      <c r="R1331" s="25" t="s">
        <v>461</v>
      </c>
      <c r="S1331" s="35">
        <v>0</v>
      </c>
      <c r="T1331" s="16">
        <v>77.55</v>
      </c>
      <c r="U1331" s="19">
        <v>21.713999999999999</v>
      </c>
      <c r="V1331" s="56">
        <f>Table11[[#This Row],[Profit]]/Table11[[#This Row],[Sales]]</f>
        <v>0.27999999999999997</v>
      </c>
    </row>
    <row r="1332" spans="1:22" x14ac:dyDescent="0.2">
      <c r="A1332" s="2">
        <v>1331</v>
      </c>
      <c r="B1332" s="5" t="s">
        <v>7607</v>
      </c>
      <c r="C1332" s="6">
        <v>42282</v>
      </c>
      <c r="D1332" s="27">
        <f>MONTH(Table11[[#This Row],[Order Date]])</f>
        <v>10</v>
      </c>
      <c r="E1332" s="5" t="s">
        <v>665</v>
      </c>
      <c r="F1332" s="5" t="s">
        <v>666</v>
      </c>
      <c r="G1332" s="24" t="s">
        <v>64</v>
      </c>
      <c r="H1332" s="24" t="s">
        <v>144</v>
      </c>
      <c r="I1332" s="5" t="s">
        <v>705</v>
      </c>
      <c r="J1332" s="24" t="s">
        <v>22</v>
      </c>
      <c r="K1332" s="27">
        <v>3</v>
      </c>
      <c r="L1332" s="6">
        <v>42284</v>
      </c>
      <c r="M1332" s="27">
        <f>Table11[[#This Row],[Ship Date]]-Table11[[#This Row],[Order Date]]</f>
        <v>2</v>
      </c>
      <c r="N1332" s="24" t="s">
        <v>169</v>
      </c>
      <c r="O1332" s="24" t="s">
        <v>23</v>
      </c>
      <c r="P1332" s="24" t="s">
        <v>441</v>
      </c>
      <c r="Q1332" s="24" t="s">
        <v>133</v>
      </c>
      <c r="R1332" s="24" t="s">
        <v>887</v>
      </c>
      <c r="S1332" s="34">
        <v>0.2</v>
      </c>
      <c r="T1332" s="15">
        <v>53.04</v>
      </c>
      <c r="U1332" s="18">
        <v>-4.641</v>
      </c>
      <c r="V1332" s="56">
        <f>Table11[[#This Row],[Profit]]/Table11[[#This Row],[Sales]]</f>
        <v>-8.7500000000000008E-2</v>
      </c>
    </row>
    <row r="1333" spans="1:22" x14ac:dyDescent="0.2">
      <c r="A1333" s="4">
        <v>1332</v>
      </c>
      <c r="B1333" s="3" t="s">
        <v>7989</v>
      </c>
      <c r="C1333" s="7">
        <v>42282</v>
      </c>
      <c r="D1333" s="28">
        <f>MONTH(Table11[[#This Row],[Order Date]])</f>
        <v>10</v>
      </c>
      <c r="E1333" s="3" t="s">
        <v>5633</v>
      </c>
      <c r="F1333" s="3" t="s">
        <v>5634</v>
      </c>
      <c r="G1333" s="25" t="s">
        <v>28</v>
      </c>
      <c r="H1333" s="25" t="s">
        <v>29</v>
      </c>
      <c r="I1333" s="3" t="s">
        <v>1692</v>
      </c>
      <c r="J1333" s="25" t="s">
        <v>22</v>
      </c>
      <c r="K1333" s="28">
        <v>1</v>
      </c>
      <c r="L1333" s="7">
        <v>42286</v>
      </c>
      <c r="M1333" s="28">
        <f>Table11[[#This Row],[Ship Date]]-Table11[[#This Row],[Order Date]]</f>
        <v>4</v>
      </c>
      <c r="N1333" s="25" t="s">
        <v>45</v>
      </c>
      <c r="O1333" s="25" t="s">
        <v>23</v>
      </c>
      <c r="P1333" s="25" t="s">
        <v>374</v>
      </c>
      <c r="Q1333" s="25" t="s">
        <v>39</v>
      </c>
      <c r="R1333" s="25" t="s">
        <v>373</v>
      </c>
      <c r="S1333" s="35">
        <v>0.7</v>
      </c>
      <c r="T1333" s="16">
        <v>66.293999999999997</v>
      </c>
      <c r="U1333" s="19">
        <v>-103.86060000000001</v>
      </c>
      <c r="V1333" s="56">
        <f>Table11[[#This Row],[Profit]]/Table11[[#This Row],[Sales]]</f>
        <v>-1.5666666666666669</v>
      </c>
    </row>
    <row r="1334" spans="1:22" x14ac:dyDescent="0.2">
      <c r="A1334" s="4">
        <v>1333</v>
      </c>
      <c r="B1334" s="5" t="s">
        <v>7989</v>
      </c>
      <c r="C1334" s="6">
        <v>42282</v>
      </c>
      <c r="D1334" s="27">
        <f>MONTH(Table11[[#This Row],[Order Date]])</f>
        <v>10</v>
      </c>
      <c r="E1334" s="5" t="s">
        <v>5463</v>
      </c>
      <c r="F1334" s="5" t="s">
        <v>5464</v>
      </c>
      <c r="G1334" s="24" t="s">
        <v>28</v>
      </c>
      <c r="H1334" s="24" t="s">
        <v>32</v>
      </c>
      <c r="I1334" s="5" t="s">
        <v>1692</v>
      </c>
      <c r="J1334" s="24" t="s">
        <v>22</v>
      </c>
      <c r="K1334" s="27">
        <v>4</v>
      </c>
      <c r="L1334" s="6">
        <v>42286</v>
      </c>
      <c r="M1334" s="27">
        <f>Table11[[#This Row],[Ship Date]]-Table11[[#This Row],[Order Date]]</f>
        <v>4</v>
      </c>
      <c r="N1334" s="24" t="s">
        <v>45</v>
      </c>
      <c r="O1334" s="24" t="s">
        <v>23</v>
      </c>
      <c r="P1334" s="24" t="s">
        <v>374</v>
      </c>
      <c r="Q1334" s="24" t="s">
        <v>39</v>
      </c>
      <c r="R1334" s="24" t="s">
        <v>373</v>
      </c>
      <c r="S1334" s="34">
        <v>0.2</v>
      </c>
      <c r="T1334" s="15">
        <v>291.16800000000001</v>
      </c>
      <c r="U1334" s="18">
        <v>-14.558400000000001</v>
      </c>
      <c r="V1334" s="56">
        <f>Table11[[#This Row],[Profit]]/Table11[[#This Row],[Sales]]</f>
        <v>-0.05</v>
      </c>
    </row>
    <row r="1335" spans="1:22" x14ac:dyDescent="0.2">
      <c r="A1335" s="2">
        <v>1334</v>
      </c>
      <c r="B1335" s="3" t="s">
        <v>9443</v>
      </c>
      <c r="C1335" s="7">
        <v>42282</v>
      </c>
      <c r="D1335" s="28">
        <f>MONTH(Table11[[#This Row],[Order Date]])</f>
        <v>10</v>
      </c>
      <c r="E1335" s="3" t="s">
        <v>1033</v>
      </c>
      <c r="F1335" s="3" t="s">
        <v>1034</v>
      </c>
      <c r="G1335" s="25" t="s">
        <v>64</v>
      </c>
      <c r="H1335" s="25" t="s">
        <v>144</v>
      </c>
      <c r="I1335" s="3" t="s">
        <v>4534</v>
      </c>
      <c r="J1335" s="25" t="s">
        <v>22</v>
      </c>
      <c r="K1335" s="28">
        <v>4</v>
      </c>
      <c r="L1335" s="7">
        <v>42286</v>
      </c>
      <c r="M1335" s="28">
        <f>Table11[[#This Row],[Ship Date]]-Table11[[#This Row],[Order Date]]</f>
        <v>4</v>
      </c>
      <c r="N1335" s="25" t="s">
        <v>45</v>
      </c>
      <c r="O1335" s="25" t="s">
        <v>23</v>
      </c>
      <c r="P1335" s="25" t="s">
        <v>441</v>
      </c>
      <c r="Q1335" s="25" t="s">
        <v>133</v>
      </c>
      <c r="R1335" s="25" t="s">
        <v>440</v>
      </c>
      <c r="S1335" s="35">
        <v>0.2</v>
      </c>
      <c r="T1335" s="16">
        <v>288</v>
      </c>
      <c r="U1335" s="19">
        <v>57.6</v>
      </c>
      <c r="V1335" s="56">
        <f>Table11[[#This Row],[Profit]]/Table11[[#This Row],[Sales]]</f>
        <v>0.2</v>
      </c>
    </row>
    <row r="1336" spans="1:22" x14ac:dyDescent="0.2">
      <c r="A1336" s="4">
        <v>1335</v>
      </c>
      <c r="B1336" s="5" t="s">
        <v>7532</v>
      </c>
      <c r="C1336" s="6">
        <v>42285</v>
      </c>
      <c r="D1336" s="27">
        <f>MONTH(Table11[[#This Row],[Order Date]])</f>
        <v>10</v>
      </c>
      <c r="E1336" s="5" t="s">
        <v>1014</v>
      </c>
      <c r="F1336" s="5" t="s">
        <v>1015</v>
      </c>
      <c r="G1336" s="24" t="s">
        <v>28</v>
      </c>
      <c r="H1336" s="24" t="s">
        <v>58</v>
      </c>
      <c r="I1336" s="5" t="s">
        <v>705</v>
      </c>
      <c r="J1336" s="24" t="s">
        <v>22</v>
      </c>
      <c r="K1336" s="27">
        <v>5</v>
      </c>
      <c r="L1336" s="6">
        <v>42289</v>
      </c>
      <c r="M1336" s="27">
        <f>Table11[[#This Row],[Ship Date]]-Table11[[#This Row],[Order Date]]</f>
        <v>4</v>
      </c>
      <c r="N1336" s="24" t="s">
        <v>45</v>
      </c>
      <c r="O1336" s="24" t="s">
        <v>23</v>
      </c>
      <c r="P1336" s="24" t="s">
        <v>38</v>
      </c>
      <c r="Q1336" s="24" t="s">
        <v>39</v>
      </c>
      <c r="R1336" s="24" t="s">
        <v>114</v>
      </c>
      <c r="S1336" s="34">
        <v>0</v>
      </c>
      <c r="T1336" s="15">
        <v>145.9</v>
      </c>
      <c r="U1336" s="18">
        <v>62.737000000000002</v>
      </c>
      <c r="V1336" s="56">
        <f>Table11[[#This Row],[Profit]]/Table11[[#This Row],[Sales]]</f>
        <v>0.43</v>
      </c>
    </row>
    <row r="1337" spans="1:22" x14ac:dyDescent="0.2">
      <c r="A1337" s="4">
        <v>1336</v>
      </c>
      <c r="B1337" s="3" t="s">
        <v>8135</v>
      </c>
      <c r="C1337" s="7">
        <v>42285</v>
      </c>
      <c r="D1337" s="28">
        <f>MONTH(Table11[[#This Row],[Order Date]])</f>
        <v>10</v>
      </c>
      <c r="E1337" s="3" t="s">
        <v>5946</v>
      </c>
      <c r="F1337" s="3" t="s">
        <v>5947</v>
      </c>
      <c r="G1337" s="25" t="s">
        <v>41</v>
      </c>
      <c r="H1337" s="25" t="s">
        <v>61</v>
      </c>
      <c r="I1337" s="3" t="s">
        <v>4027</v>
      </c>
      <c r="J1337" s="25" t="s">
        <v>22</v>
      </c>
      <c r="K1337" s="28">
        <v>2</v>
      </c>
      <c r="L1337" s="7">
        <v>42290</v>
      </c>
      <c r="M1337" s="28">
        <f>Table11[[#This Row],[Ship Date]]-Table11[[#This Row],[Order Date]]</f>
        <v>5</v>
      </c>
      <c r="N1337" s="25" t="s">
        <v>45</v>
      </c>
      <c r="O1337" s="25" t="s">
        <v>23</v>
      </c>
      <c r="P1337" s="25" t="s">
        <v>94</v>
      </c>
      <c r="Q1337" s="25" t="s">
        <v>95</v>
      </c>
      <c r="R1337" s="25" t="s">
        <v>165</v>
      </c>
      <c r="S1337" s="35">
        <v>0.2</v>
      </c>
      <c r="T1337" s="16">
        <v>3.44</v>
      </c>
      <c r="U1337" s="19">
        <v>0.55900000000000005</v>
      </c>
      <c r="V1337" s="56">
        <f>Table11[[#This Row],[Profit]]/Table11[[#This Row],[Sales]]</f>
        <v>0.16250000000000001</v>
      </c>
    </row>
    <row r="1338" spans="1:22" x14ac:dyDescent="0.2">
      <c r="A1338" s="2">
        <v>1337</v>
      </c>
      <c r="B1338" s="5" t="s">
        <v>9069</v>
      </c>
      <c r="C1338" s="6">
        <v>42285</v>
      </c>
      <c r="D1338" s="27">
        <f>MONTH(Table11[[#This Row],[Order Date]])</f>
        <v>10</v>
      </c>
      <c r="E1338" s="5" t="s">
        <v>302</v>
      </c>
      <c r="F1338" s="5" t="s">
        <v>303</v>
      </c>
      <c r="G1338" s="24" t="s">
        <v>28</v>
      </c>
      <c r="H1338" s="24" t="s">
        <v>58</v>
      </c>
      <c r="I1338" s="5" t="s">
        <v>170</v>
      </c>
      <c r="J1338" s="24" t="s">
        <v>36</v>
      </c>
      <c r="K1338" s="27">
        <v>3</v>
      </c>
      <c r="L1338" s="6">
        <v>42290</v>
      </c>
      <c r="M1338" s="27">
        <f>Table11[[#This Row],[Ship Date]]-Table11[[#This Row],[Order Date]]</f>
        <v>5</v>
      </c>
      <c r="N1338" s="24" t="s">
        <v>45</v>
      </c>
      <c r="O1338" s="24" t="s">
        <v>23</v>
      </c>
      <c r="P1338" s="24" t="s">
        <v>94</v>
      </c>
      <c r="Q1338" s="24" t="s">
        <v>95</v>
      </c>
      <c r="R1338" s="24" t="s">
        <v>718</v>
      </c>
      <c r="S1338" s="34">
        <v>0.6</v>
      </c>
      <c r="T1338" s="15">
        <v>72.78</v>
      </c>
      <c r="U1338" s="18">
        <v>-70.960499999999996</v>
      </c>
      <c r="V1338" s="56">
        <f>Table11[[#This Row],[Profit]]/Table11[[#This Row],[Sales]]</f>
        <v>-0.97499999999999998</v>
      </c>
    </row>
    <row r="1339" spans="1:22" x14ac:dyDescent="0.2">
      <c r="A1339" s="4">
        <v>1338</v>
      </c>
      <c r="B1339" s="3" t="s">
        <v>2391</v>
      </c>
      <c r="C1339" s="7">
        <v>42286</v>
      </c>
      <c r="D1339" s="28">
        <f>MONTH(Table11[[#This Row],[Order Date]])</f>
        <v>10</v>
      </c>
      <c r="E1339" s="3" t="s">
        <v>1449</v>
      </c>
      <c r="F1339" s="3" t="s">
        <v>1450</v>
      </c>
      <c r="G1339" s="25" t="s">
        <v>41</v>
      </c>
      <c r="H1339" s="25" t="s">
        <v>53</v>
      </c>
      <c r="I1339" s="3" t="s">
        <v>451</v>
      </c>
      <c r="J1339" s="25" t="s">
        <v>22</v>
      </c>
      <c r="K1339" s="28">
        <v>2</v>
      </c>
      <c r="L1339" s="7">
        <v>42290</v>
      </c>
      <c r="M1339" s="28">
        <f>Table11[[#This Row],[Ship Date]]-Table11[[#This Row],[Order Date]]</f>
        <v>4</v>
      </c>
      <c r="N1339" s="25" t="s">
        <v>45</v>
      </c>
      <c r="O1339" s="25" t="s">
        <v>23</v>
      </c>
      <c r="P1339" s="25" t="s">
        <v>285</v>
      </c>
      <c r="Q1339" s="25" t="s">
        <v>26</v>
      </c>
      <c r="R1339" s="25" t="s">
        <v>284</v>
      </c>
      <c r="S1339" s="35">
        <v>0</v>
      </c>
      <c r="T1339" s="16">
        <v>30.84</v>
      </c>
      <c r="U1339" s="19">
        <v>8.3268000000000004</v>
      </c>
      <c r="V1339" s="56">
        <f>Table11[[#This Row],[Profit]]/Table11[[#This Row],[Sales]]</f>
        <v>0.27</v>
      </c>
    </row>
    <row r="1340" spans="1:22" x14ac:dyDescent="0.2">
      <c r="A1340" s="4">
        <v>1339</v>
      </c>
      <c r="B1340" s="5" t="s">
        <v>4945</v>
      </c>
      <c r="C1340" s="6">
        <v>42286</v>
      </c>
      <c r="D1340" s="27">
        <f>MONTH(Table11[[#This Row],[Order Date]])</f>
        <v>10</v>
      </c>
      <c r="E1340" s="5" t="s">
        <v>4947</v>
      </c>
      <c r="F1340" s="5" t="s">
        <v>4948</v>
      </c>
      <c r="G1340" s="24" t="s">
        <v>64</v>
      </c>
      <c r="H1340" s="24" t="s">
        <v>65</v>
      </c>
      <c r="I1340" s="5" t="s">
        <v>4946</v>
      </c>
      <c r="J1340" s="24" t="s">
        <v>22</v>
      </c>
      <c r="K1340" s="27">
        <v>4</v>
      </c>
      <c r="L1340" s="6">
        <v>42290</v>
      </c>
      <c r="M1340" s="27">
        <f>Table11[[#This Row],[Ship Date]]-Table11[[#This Row],[Order Date]]</f>
        <v>4</v>
      </c>
      <c r="N1340" s="24" t="s">
        <v>20</v>
      </c>
      <c r="O1340" s="24" t="s">
        <v>23</v>
      </c>
      <c r="P1340" s="24" t="s">
        <v>238</v>
      </c>
      <c r="Q1340" s="24" t="s">
        <v>133</v>
      </c>
      <c r="R1340" s="24" t="s">
        <v>237</v>
      </c>
      <c r="S1340" s="34">
        <v>0</v>
      </c>
      <c r="T1340" s="15">
        <v>631.96</v>
      </c>
      <c r="U1340" s="18">
        <v>303.3408</v>
      </c>
      <c r="V1340" s="56">
        <f>Table11[[#This Row],[Profit]]/Table11[[#This Row],[Sales]]</f>
        <v>0.48</v>
      </c>
    </row>
    <row r="1341" spans="1:22" x14ac:dyDescent="0.2">
      <c r="A1341" s="2">
        <v>1340</v>
      </c>
      <c r="B1341" s="3" t="s">
        <v>4945</v>
      </c>
      <c r="C1341" s="7">
        <v>42286</v>
      </c>
      <c r="D1341" s="28">
        <f>MONTH(Table11[[#This Row],[Order Date]])</f>
        <v>10</v>
      </c>
      <c r="E1341" s="3" t="s">
        <v>4949</v>
      </c>
      <c r="F1341" s="3" t="s">
        <v>4950</v>
      </c>
      <c r="G1341" s="25" t="s">
        <v>41</v>
      </c>
      <c r="H1341" s="25" t="s">
        <v>82</v>
      </c>
      <c r="I1341" s="3" t="s">
        <v>4946</v>
      </c>
      <c r="J1341" s="25" t="s">
        <v>22</v>
      </c>
      <c r="K1341" s="28">
        <v>4</v>
      </c>
      <c r="L1341" s="7">
        <v>42290</v>
      </c>
      <c r="M1341" s="28">
        <f>Table11[[#This Row],[Ship Date]]-Table11[[#This Row],[Order Date]]</f>
        <v>4</v>
      </c>
      <c r="N1341" s="25" t="s">
        <v>20</v>
      </c>
      <c r="O1341" s="25" t="s">
        <v>23</v>
      </c>
      <c r="P1341" s="25" t="s">
        <v>238</v>
      </c>
      <c r="Q1341" s="25" t="s">
        <v>133</v>
      </c>
      <c r="R1341" s="25" t="s">
        <v>237</v>
      </c>
      <c r="S1341" s="35">
        <v>0</v>
      </c>
      <c r="T1341" s="16">
        <v>23.92</v>
      </c>
      <c r="U1341" s="19">
        <v>10.763999999999999</v>
      </c>
      <c r="V1341" s="56">
        <f>Table11[[#This Row],[Profit]]/Table11[[#This Row],[Sales]]</f>
        <v>0.44999999999999996</v>
      </c>
    </row>
    <row r="1342" spans="1:22" x14ac:dyDescent="0.2">
      <c r="A1342" s="4">
        <v>1341</v>
      </c>
      <c r="B1342" s="5" t="s">
        <v>7676</v>
      </c>
      <c r="C1342" s="6">
        <v>42286</v>
      </c>
      <c r="D1342" s="27">
        <f>MONTH(Table11[[#This Row],[Order Date]])</f>
        <v>10</v>
      </c>
      <c r="E1342" s="5" t="s">
        <v>2382</v>
      </c>
      <c r="F1342" s="5" t="s">
        <v>2383</v>
      </c>
      <c r="G1342" s="24" t="s">
        <v>64</v>
      </c>
      <c r="H1342" s="24" t="s">
        <v>144</v>
      </c>
      <c r="I1342" s="5" t="s">
        <v>2296</v>
      </c>
      <c r="J1342" s="24" t="s">
        <v>36</v>
      </c>
      <c r="K1342" s="27">
        <v>5</v>
      </c>
      <c r="L1342" s="6">
        <v>42289</v>
      </c>
      <c r="M1342" s="27">
        <f>Table11[[#This Row],[Ship Date]]-Table11[[#This Row],[Order Date]]</f>
        <v>3</v>
      </c>
      <c r="N1342" s="24" t="s">
        <v>20</v>
      </c>
      <c r="O1342" s="24" t="s">
        <v>23</v>
      </c>
      <c r="P1342" s="24" t="s">
        <v>212</v>
      </c>
      <c r="Q1342" s="24" t="s">
        <v>95</v>
      </c>
      <c r="R1342" s="24" t="s">
        <v>7625</v>
      </c>
      <c r="S1342" s="34">
        <v>0</v>
      </c>
      <c r="T1342" s="15">
        <v>619.95000000000005</v>
      </c>
      <c r="U1342" s="18">
        <v>111.59099999999999</v>
      </c>
      <c r="V1342" s="56">
        <f>Table11[[#This Row],[Profit]]/Table11[[#This Row],[Sales]]</f>
        <v>0.17999999999999997</v>
      </c>
    </row>
    <row r="1343" spans="1:22" x14ac:dyDescent="0.2">
      <c r="A1343" s="4">
        <v>1342</v>
      </c>
      <c r="B1343" s="3" t="s">
        <v>7676</v>
      </c>
      <c r="C1343" s="7">
        <v>42286</v>
      </c>
      <c r="D1343" s="28">
        <f>MONTH(Table11[[#This Row],[Order Date]])</f>
        <v>10</v>
      </c>
      <c r="E1343" s="3" t="s">
        <v>468</v>
      </c>
      <c r="F1343" s="3" t="s">
        <v>469</v>
      </c>
      <c r="G1343" s="25" t="s">
        <v>64</v>
      </c>
      <c r="H1343" s="25" t="s">
        <v>65</v>
      </c>
      <c r="I1343" s="3" t="s">
        <v>2296</v>
      </c>
      <c r="J1343" s="25" t="s">
        <v>36</v>
      </c>
      <c r="K1343" s="28">
        <v>3</v>
      </c>
      <c r="L1343" s="7">
        <v>42289</v>
      </c>
      <c r="M1343" s="28">
        <f>Table11[[#This Row],[Ship Date]]-Table11[[#This Row],[Order Date]]</f>
        <v>3</v>
      </c>
      <c r="N1343" s="25" t="s">
        <v>20</v>
      </c>
      <c r="O1343" s="25" t="s">
        <v>23</v>
      </c>
      <c r="P1343" s="25" t="s">
        <v>212</v>
      </c>
      <c r="Q1343" s="25" t="s">
        <v>95</v>
      </c>
      <c r="R1343" s="25" t="s">
        <v>7625</v>
      </c>
      <c r="S1343" s="35">
        <v>0</v>
      </c>
      <c r="T1343" s="16">
        <v>29.16</v>
      </c>
      <c r="U1343" s="19">
        <v>8.4564000000000004</v>
      </c>
      <c r="V1343" s="56">
        <f>Table11[[#This Row],[Profit]]/Table11[[#This Row],[Sales]]</f>
        <v>0.29000000000000004</v>
      </c>
    </row>
    <row r="1344" spans="1:22" x14ac:dyDescent="0.2">
      <c r="A1344" s="2">
        <v>1343</v>
      </c>
      <c r="B1344" s="5" t="s">
        <v>7676</v>
      </c>
      <c r="C1344" s="6">
        <v>42286</v>
      </c>
      <c r="D1344" s="27">
        <f>MONTH(Table11[[#This Row],[Order Date]])</f>
        <v>10</v>
      </c>
      <c r="E1344" s="5" t="s">
        <v>5439</v>
      </c>
      <c r="F1344" s="5" t="s">
        <v>591</v>
      </c>
      <c r="G1344" s="24" t="s">
        <v>41</v>
      </c>
      <c r="H1344" s="24" t="s">
        <v>155</v>
      </c>
      <c r="I1344" s="5" t="s">
        <v>2296</v>
      </c>
      <c r="J1344" s="24" t="s">
        <v>36</v>
      </c>
      <c r="K1344" s="27">
        <v>7</v>
      </c>
      <c r="L1344" s="6">
        <v>42289</v>
      </c>
      <c r="M1344" s="27">
        <f>Table11[[#This Row],[Ship Date]]-Table11[[#This Row],[Order Date]]</f>
        <v>3</v>
      </c>
      <c r="N1344" s="24" t="s">
        <v>20</v>
      </c>
      <c r="O1344" s="24" t="s">
        <v>23</v>
      </c>
      <c r="P1344" s="24" t="s">
        <v>212</v>
      </c>
      <c r="Q1344" s="24" t="s">
        <v>95</v>
      </c>
      <c r="R1344" s="24" t="s">
        <v>7625</v>
      </c>
      <c r="S1344" s="34">
        <v>0</v>
      </c>
      <c r="T1344" s="15">
        <v>57.96</v>
      </c>
      <c r="U1344" s="18">
        <v>27.241199999999999</v>
      </c>
      <c r="V1344" s="56">
        <f>Table11[[#This Row],[Profit]]/Table11[[#This Row],[Sales]]</f>
        <v>0.47</v>
      </c>
    </row>
    <row r="1345" spans="1:22" x14ac:dyDescent="0.2">
      <c r="A1345" s="4">
        <v>1344</v>
      </c>
      <c r="B1345" s="3" t="s">
        <v>7676</v>
      </c>
      <c r="C1345" s="7">
        <v>42286</v>
      </c>
      <c r="D1345" s="28">
        <f>MONTH(Table11[[#This Row],[Order Date]])</f>
        <v>10</v>
      </c>
      <c r="E1345" s="3" t="s">
        <v>3197</v>
      </c>
      <c r="F1345" s="3" t="s">
        <v>3198</v>
      </c>
      <c r="G1345" s="25" t="s">
        <v>41</v>
      </c>
      <c r="H1345" s="25" t="s">
        <v>71</v>
      </c>
      <c r="I1345" s="3" t="s">
        <v>2296</v>
      </c>
      <c r="J1345" s="25" t="s">
        <v>36</v>
      </c>
      <c r="K1345" s="28">
        <v>3</v>
      </c>
      <c r="L1345" s="7">
        <v>42289</v>
      </c>
      <c r="M1345" s="28">
        <f>Table11[[#This Row],[Ship Date]]-Table11[[#This Row],[Order Date]]</f>
        <v>3</v>
      </c>
      <c r="N1345" s="25" t="s">
        <v>20</v>
      </c>
      <c r="O1345" s="25" t="s">
        <v>23</v>
      </c>
      <c r="P1345" s="25" t="s">
        <v>212</v>
      </c>
      <c r="Q1345" s="25" t="s">
        <v>95</v>
      </c>
      <c r="R1345" s="25" t="s">
        <v>7625</v>
      </c>
      <c r="S1345" s="35">
        <v>0.1</v>
      </c>
      <c r="T1345" s="16">
        <v>29.402999999999999</v>
      </c>
      <c r="U1345" s="19">
        <v>5.2271999999999998</v>
      </c>
      <c r="V1345" s="56">
        <f>Table11[[#This Row],[Profit]]/Table11[[#This Row],[Sales]]</f>
        <v>0.17777777777777778</v>
      </c>
    </row>
    <row r="1346" spans="1:22" x14ac:dyDescent="0.2">
      <c r="A1346" s="4">
        <v>1345</v>
      </c>
      <c r="B1346" s="5" t="s">
        <v>8635</v>
      </c>
      <c r="C1346" s="6">
        <v>42286</v>
      </c>
      <c r="D1346" s="27">
        <f>MONTH(Table11[[#This Row],[Order Date]])</f>
        <v>10</v>
      </c>
      <c r="E1346" s="5" t="s">
        <v>2563</v>
      </c>
      <c r="F1346" s="5" t="s">
        <v>2564</v>
      </c>
      <c r="G1346" s="24" t="s">
        <v>41</v>
      </c>
      <c r="H1346" s="24" t="s">
        <v>68</v>
      </c>
      <c r="I1346" s="5" t="s">
        <v>4957</v>
      </c>
      <c r="J1346" s="24" t="s">
        <v>22</v>
      </c>
      <c r="K1346" s="27">
        <v>2</v>
      </c>
      <c r="L1346" s="6">
        <v>42290</v>
      </c>
      <c r="M1346" s="27">
        <f>Table11[[#This Row],[Ship Date]]-Table11[[#This Row],[Order Date]]</f>
        <v>4</v>
      </c>
      <c r="N1346" s="24" t="s">
        <v>45</v>
      </c>
      <c r="O1346" s="24" t="s">
        <v>23</v>
      </c>
      <c r="P1346" s="24" t="s">
        <v>48</v>
      </c>
      <c r="Q1346" s="24" t="s">
        <v>26</v>
      </c>
      <c r="R1346" s="24" t="s">
        <v>1253</v>
      </c>
      <c r="S1346" s="34">
        <v>0.7</v>
      </c>
      <c r="T1346" s="15">
        <v>1.8720000000000001</v>
      </c>
      <c r="U1346" s="18">
        <v>-1.3104</v>
      </c>
      <c r="V1346" s="56">
        <f>Table11[[#This Row],[Profit]]/Table11[[#This Row],[Sales]]</f>
        <v>-0.7</v>
      </c>
    </row>
    <row r="1347" spans="1:22" x14ac:dyDescent="0.2">
      <c r="A1347" s="2">
        <v>1346</v>
      </c>
      <c r="B1347" s="3" t="s">
        <v>8635</v>
      </c>
      <c r="C1347" s="7">
        <v>42286</v>
      </c>
      <c r="D1347" s="28">
        <f>MONTH(Table11[[#This Row],[Order Date]])</f>
        <v>10</v>
      </c>
      <c r="E1347" s="3" t="s">
        <v>1515</v>
      </c>
      <c r="F1347" s="3" t="s">
        <v>1516</v>
      </c>
      <c r="G1347" s="25" t="s">
        <v>41</v>
      </c>
      <c r="H1347" s="25" t="s">
        <v>68</v>
      </c>
      <c r="I1347" s="3" t="s">
        <v>4957</v>
      </c>
      <c r="J1347" s="25" t="s">
        <v>22</v>
      </c>
      <c r="K1347" s="28">
        <v>2</v>
      </c>
      <c r="L1347" s="7">
        <v>42290</v>
      </c>
      <c r="M1347" s="28">
        <f>Table11[[#This Row],[Ship Date]]-Table11[[#This Row],[Order Date]]</f>
        <v>4</v>
      </c>
      <c r="N1347" s="25" t="s">
        <v>45</v>
      </c>
      <c r="O1347" s="25" t="s">
        <v>23</v>
      </c>
      <c r="P1347" s="25" t="s">
        <v>48</v>
      </c>
      <c r="Q1347" s="25" t="s">
        <v>26</v>
      </c>
      <c r="R1347" s="25" t="s">
        <v>1253</v>
      </c>
      <c r="S1347" s="35">
        <v>0.7</v>
      </c>
      <c r="T1347" s="16">
        <v>11.214</v>
      </c>
      <c r="U1347" s="19">
        <v>-8.5974000000000004</v>
      </c>
      <c r="V1347" s="56">
        <f>Table11[[#This Row],[Profit]]/Table11[[#This Row],[Sales]]</f>
        <v>-0.76666666666666672</v>
      </c>
    </row>
    <row r="1348" spans="1:22" x14ac:dyDescent="0.2">
      <c r="A1348" s="4">
        <v>1347</v>
      </c>
      <c r="B1348" s="5" t="s">
        <v>8635</v>
      </c>
      <c r="C1348" s="6">
        <v>42286</v>
      </c>
      <c r="D1348" s="27">
        <f>MONTH(Table11[[#This Row],[Order Date]])</f>
        <v>10</v>
      </c>
      <c r="E1348" s="5" t="s">
        <v>6767</v>
      </c>
      <c r="F1348" s="5" t="s">
        <v>6768</v>
      </c>
      <c r="G1348" s="24" t="s">
        <v>41</v>
      </c>
      <c r="H1348" s="24" t="s">
        <v>61</v>
      </c>
      <c r="I1348" s="5" t="s">
        <v>4957</v>
      </c>
      <c r="J1348" s="24" t="s">
        <v>22</v>
      </c>
      <c r="K1348" s="27">
        <v>8</v>
      </c>
      <c r="L1348" s="6">
        <v>42290</v>
      </c>
      <c r="M1348" s="27">
        <f>Table11[[#This Row],[Ship Date]]-Table11[[#This Row],[Order Date]]</f>
        <v>4</v>
      </c>
      <c r="N1348" s="24" t="s">
        <v>45</v>
      </c>
      <c r="O1348" s="24" t="s">
        <v>23</v>
      </c>
      <c r="P1348" s="24" t="s">
        <v>48</v>
      </c>
      <c r="Q1348" s="24" t="s">
        <v>26</v>
      </c>
      <c r="R1348" s="24" t="s">
        <v>1253</v>
      </c>
      <c r="S1348" s="34">
        <v>0.2</v>
      </c>
      <c r="T1348" s="15">
        <v>37.375999999999998</v>
      </c>
      <c r="U1348" s="18">
        <v>7.4752000000000001</v>
      </c>
      <c r="V1348" s="56">
        <f>Table11[[#This Row],[Profit]]/Table11[[#This Row],[Sales]]</f>
        <v>0.2</v>
      </c>
    </row>
    <row r="1349" spans="1:22" x14ac:dyDescent="0.2">
      <c r="A1349" s="4">
        <v>1348</v>
      </c>
      <c r="B1349" s="3" t="s">
        <v>9732</v>
      </c>
      <c r="C1349" s="7">
        <v>42286</v>
      </c>
      <c r="D1349" s="28">
        <f>MONTH(Table11[[#This Row],[Order Date]])</f>
        <v>10</v>
      </c>
      <c r="E1349" s="3" t="s">
        <v>300</v>
      </c>
      <c r="F1349" s="3" t="s">
        <v>301</v>
      </c>
      <c r="G1349" s="25" t="s">
        <v>28</v>
      </c>
      <c r="H1349" s="25" t="s">
        <v>32</v>
      </c>
      <c r="I1349" s="3" t="s">
        <v>1834</v>
      </c>
      <c r="J1349" s="25" t="s">
        <v>22</v>
      </c>
      <c r="K1349" s="28">
        <v>3</v>
      </c>
      <c r="L1349" s="7">
        <v>42290</v>
      </c>
      <c r="M1349" s="28">
        <f>Table11[[#This Row],[Ship Date]]-Table11[[#This Row],[Order Date]]</f>
        <v>4</v>
      </c>
      <c r="N1349" s="25" t="s">
        <v>45</v>
      </c>
      <c r="O1349" s="25" t="s">
        <v>23</v>
      </c>
      <c r="P1349" s="25" t="s">
        <v>212</v>
      </c>
      <c r="Q1349" s="25" t="s">
        <v>95</v>
      </c>
      <c r="R1349" s="25" t="s">
        <v>775</v>
      </c>
      <c r="S1349" s="35">
        <v>0</v>
      </c>
      <c r="T1349" s="16">
        <v>389.97</v>
      </c>
      <c r="U1349" s="19">
        <v>35.097299999999997</v>
      </c>
      <c r="V1349" s="56">
        <f>Table11[[#This Row],[Profit]]/Table11[[#This Row],[Sales]]</f>
        <v>8.9999999999999983E-2</v>
      </c>
    </row>
    <row r="1350" spans="1:22" x14ac:dyDescent="0.2">
      <c r="A1350" s="2">
        <v>1349</v>
      </c>
      <c r="B1350" s="5" t="s">
        <v>9732</v>
      </c>
      <c r="C1350" s="6">
        <v>42286</v>
      </c>
      <c r="D1350" s="27">
        <f>MONTH(Table11[[#This Row],[Order Date]])</f>
        <v>10</v>
      </c>
      <c r="E1350" s="5" t="s">
        <v>2798</v>
      </c>
      <c r="F1350" s="5" t="s">
        <v>2799</v>
      </c>
      <c r="G1350" s="24" t="s">
        <v>41</v>
      </c>
      <c r="H1350" s="24" t="s">
        <v>71</v>
      </c>
      <c r="I1350" s="5" t="s">
        <v>1834</v>
      </c>
      <c r="J1350" s="24" t="s">
        <v>22</v>
      </c>
      <c r="K1350" s="27">
        <v>5</v>
      </c>
      <c r="L1350" s="6">
        <v>42290</v>
      </c>
      <c r="M1350" s="27">
        <f>Table11[[#This Row],[Ship Date]]-Table11[[#This Row],[Order Date]]</f>
        <v>4</v>
      </c>
      <c r="N1350" s="24" t="s">
        <v>45</v>
      </c>
      <c r="O1350" s="24" t="s">
        <v>23</v>
      </c>
      <c r="P1350" s="24" t="s">
        <v>212</v>
      </c>
      <c r="Q1350" s="24" t="s">
        <v>95</v>
      </c>
      <c r="R1350" s="24" t="s">
        <v>775</v>
      </c>
      <c r="S1350" s="34">
        <v>0.1</v>
      </c>
      <c r="T1350" s="15">
        <v>269.91000000000003</v>
      </c>
      <c r="U1350" s="18">
        <v>53.981999999999999</v>
      </c>
      <c r="V1350" s="56">
        <f>Table11[[#This Row],[Profit]]/Table11[[#This Row],[Sales]]</f>
        <v>0.19999999999999998</v>
      </c>
    </row>
    <row r="1351" spans="1:22" x14ac:dyDescent="0.2">
      <c r="A1351" s="4">
        <v>1350</v>
      </c>
      <c r="B1351" s="3" t="s">
        <v>6970</v>
      </c>
      <c r="C1351" s="7">
        <v>42287</v>
      </c>
      <c r="D1351" s="28">
        <f>MONTH(Table11[[#This Row],[Order Date]])</f>
        <v>10</v>
      </c>
      <c r="E1351" s="3" t="s">
        <v>1749</v>
      </c>
      <c r="F1351" s="3" t="s">
        <v>1750</v>
      </c>
      <c r="G1351" s="25" t="s">
        <v>41</v>
      </c>
      <c r="H1351" s="25" t="s">
        <v>82</v>
      </c>
      <c r="I1351" s="3" t="s">
        <v>1845</v>
      </c>
      <c r="J1351" s="25" t="s">
        <v>36</v>
      </c>
      <c r="K1351" s="28">
        <v>7</v>
      </c>
      <c r="L1351" s="7">
        <v>42288</v>
      </c>
      <c r="M1351" s="28">
        <f>Table11[[#This Row],[Ship Date]]-Table11[[#This Row],[Order Date]]</f>
        <v>1</v>
      </c>
      <c r="N1351" s="25" t="s">
        <v>169</v>
      </c>
      <c r="O1351" s="25" t="s">
        <v>23</v>
      </c>
      <c r="P1351" s="25" t="s">
        <v>38</v>
      </c>
      <c r="Q1351" s="25" t="s">
        <v>39</v>
      </c>
      <c r="R1351" s="25" t="s">
        <v>114</v>
      </c>
      <c r="S1351" s="35">
        <v>0</v>
      </c>
      <c r="T1351" s="16">
        <v>45.36</v>
      </c>
      <c r="U1351" s="19">
        <v>21.7728</v>
      </c>
      <c r="V1351" s="56">
        <f>Table11[[#This Row],[Profit]]/Table11[[#This Row],[Sales]]</f>
        <v>0.48</v>
      </c>
    </row>
    <row r="1352" spans="1:22" x14ac:dyDescent="0.2">
      <c r="A1352" s="4">
        <v>1351</v>
      </c>
      <c r="B1352" s="5" t="s">
        <v>7296</v>
      </c>
      <c r="C1352" s="6">
        <v>42287</v>
      </c>
      <c r="D1352" s="27">
        <f>MONTH(Table11[[#This Row],[Order Date]])</f>
        <v>10</v>
      </c>
      <c r="E1352" s="5" t="s">
        <v>1568</v>
      </c>
      <c r="F1352" s="5" t="s">
        <v>1569</v>
      </c>
      <c r="G1352" s="24" t="s">
        <v>41</v>
      </c>
      <c r="H1352" s="24" t="s">
        <v>53</v>
      </c>
      <c r="I1352" s="5" t="s">
        <v>3538</v>
      </c>
      <c r="J1352" s="24" t="s">
        <v>22</v>
      </c>
      <c r="K1352" s="27">
        <v>6</v>
      </c>
      <c r="L1352" s="6">
        <v>42292</v>
      </c>
      <c r="M1352" s="27">
        <f>Table11[[#This Row],[Ship Date]]-Table11[[#This Row],[Order Date]]</f>
        <v>5</v>
      </c>
      <c r="N1352" s="24" t="s">
        <v>45</v>
      </c>
      <c r="O1352" s="24" t="s">
        <v>23</v>
      </c>
      <c r="P1352" s="24" t="s">
        <v>48</v>
      </c>
      <c r="Q1352" s="24" t="s">
        <v>26</v>
      </c>
      <c r="R1352" s="24" t="s">
        <v>1345</v>
      </c>
      <c r="S1352" s="34">
        <v>0.2</v>
      </c>
      <c r="T1352" s="15">
        <v>1801.6320000000001</v>
      </c>
      <c r="U1352" s="18">
        <v>-337.80599999999998</v>
      </c>
      <c r="V1352" s="56">
        <f>Table11[[#This Row],[Profit]]/Table11[[#This Row],[Sales]]</f>
        <v>-0.18749999999999997</v>
      </c>
    </row>
    <row r="1353" spans="1:22" x14ac:dyDescent="0.2">
      <c r="A1353" s="2">
        <v>1352</v>
      </c>
      <c r="B1353" s="3" t="s">
        <v>8346</v>
      </c>
      <c r="C1353" s="7">
        <v>42287</v>
      </c>
      <c r="D1353" s="28">
        <f>MONTH(Table11[[#This Row],[Order Date]])</f>
        <v>10</v>
      </c>
      <c r="E1353" s="3" t="s">
        <v>5201</v>
      </c>
      <c r="F1353" s="3" t="s">
        <v>5202</v>
      </c>
      <c r="G1353" s="25" t="s">
        <v>41</v>
      </c>
      <c r="H1353" s="25" t="s">
        <v>61</v>
      </c>
      <c r="I1353" s="3" t="s">
        <v>2008</v>
      </c>
      <c r="J1353" s="25" t="s">
        <v>22</v>
      </c>
      <c r="K1353" s="28">
        <v>3</v>
      </c>
      <c r="L1353" s="7">
        <v>42294</v>
      </c>
      <c r="M1353" s="28">
        <f>Table11[[#This Row],[Ship Date]]-Table11[[#This Row],[Order Date]]</f>
        <v>7</v>
      </c>
      <c r="N1353" s="25" t="s">
        <v>45</v>
      </c>
      <c r="O1353" s="25" t="s">
        <v>23</v>
      </c>
      <c r="P1353" s="25" t="s">
        <v>189</v>
      </c>
      <c r="Q1353" s="25" t="s">
        <v>95</v>
      </c>
      <c r="R1353" s="25" t="s">
        <v>271</v>
      </c>
      <c r="S1353" s="35">
        <v>0.2</v>
      </c>
      <c r="T1353" s="16">
        <v>8.016</v>
      </c>
      <c r="U1353" s="19">
        <v>1.002</v>
      </c>
      <c r="V1353" s="56">
        <f>Table11[[#This Row],[Profit]]/Table11[[#This Row],[Sales]]</f>
        <v>0.125</v>
      </c>
    </row>
    <row r="1354" spans="1:22" x14ac:dyDescent="0.2">
      <c r="A1354" s="4">
        <v>1353</v>
      </c>
      <c r="B1354" s="5" t="s">
        <v>10103</v>
      </c>
      <c r="C1354" s="6">
        <v>42287</v>
      </c>
      <c r="D1354" s="27">
        <f>MONTH(Table11[[#This Row],[Order Date]])</f>
        <v>10</v>
      </c>
      <c r="E1354" s="5" t="s">
        <v>4791</v>
      </c>
      <c r="F1354" s="5" t="s">
        <v>4792</v>
      </c>
      <c r="G1354" s="24" t="s">
        <v>28</v>
      </c>
      <c r="H1354" s="24" t="s">
        <v>32</v>
      </c>
      <c r="I1354" s="5" t="s">
        <v>3488</v>
      </c>
      <c r="J1354" s="24" t="s">
        <v>36</v>
      </c>
      <c r="K1354" s="27">
        <v>3</v>
      </c>
      <c r="L1354" s="6">
        <v>42289</v>
      </c>
      <c r="M1354" s="27">
        <f>Table11[[#This Row],[Ship Date]]-Table11[[#This Row],[Order Date]]</f>
        <v>2</v>
      </c>
      <c r="N1354" s="24" t="s">
        <v>169</v>
      </c>
      <c r="O1354" s="24" t="s">
        <v>23</v>
      </c>
      <c r="P1354" s="24" t="s">
        <v>38</v>
      </c>
      <c r="Q1354" s="24" t="s">
        <v>39</v>
      </c>
      <c r="R1354" s="24" t="s">
        <v>7543</v>
      </c>
      <c r="S1354" s="34">
        <v>0.2</v>
      </c>
      <c r="T1354" s="15">
        <v>362.13600000000002</v>
      </c>
      <c r="U1354" s="18">
        <v>-54.320399999999999</v>
      </c>
      <c r="V1354" s="56">
        <f>Table11[[#This Row],[Profit]]/Table11[[#This Row],[Sales]]</f>
        <v>-0.15</v>
      </c>
    </row>
    <row r="1355" spans="1:22" x14ac:dyDescent="0.2">
      <c r="A1355" s="4">
        <v>1354</v>
      </c>
      <c r="B1355" s="3" t="s">
        <v>10103</v>
      </c>
      <c r="C1355" s="7">
        <v>42287</v>
      </c>
      <c r="D1355" s="28">
        <f>MONTH(Table11[[#This Row],[Order Date]])</f>
        <v>10</v>
      </c>
      <c r="E1355" s="3" t="s">
        <v>6713</v>
      </c>
      <c r="F1355" s="3" t="s">
        <v>6714</v>
      </c>
      <c r="G1355" s="25" t="s">
        <v>41</v>
      </c>
      <c r="H1355" s="25" t="s">
        <v>42</v>
      </c>
      <c r="I1355" s="3" t="s">
        <v>3488</v>
      </c>
      <c r="J1355" s="25" t="s">
        <v>36</v>
      </c>
      <c r="K1355" s="28">
        <v>3</v>
      </c>
      <c r="L1355" s="7">
        <v>42289</v>
      </c>
      <c r="M1355" s="28">
        <f>Table11[[#This Row],[Ship Date]]-Table11[[#This Row],[Order Date]]</f>
        <v>2</v>
      </c>
      <c r="N1355" s="25" t="s">
        <v>169</v>
      </c>
      <c r="O1355" s="25" t="s">
        <v>23</v>
      </c>
      <c r="P1355" s="25" t="s">
        <v>38</v>
      </c>
      <c r="Q1355" s="25" t="s">
        <v>39</v>
      </c>
      <c r="R1355" s="25" t="s">
        <v>7543</v>
      </c>
      <c r="S1355" s="35">
        <v>0</v>
      </c>
      <c r="T1355" s="16">
        <v>31.05</v>
      </c>
      <c r="U1355" s="19">
        <v>14.904</v>
      </c>
      <c r="V1355" s="56">
        <f>Table11[[#This Row],[Profit]]/Table11[[#This Row],[Sales]]</f>
        <v>0.48</v>
      </c>
    </row>
    <row r="1356" spans="1:22" x14ac:dyDescent="0.2">
      <c r="A1356" s="2">
        <v>1355</v>
      </c>
      <c r="B1356" s="5" t="s">
        <v>44</v>
      </c>
      <c r="C1356" s="6">
        <v>42288</v>
      </c>
      <c r="D1356" s="27">
        <f>MONTH(Table11[[#This Row],[Order Date]])</f>
        <v>10</v>
      </c>
      <c r="E1356" s="5" t="s">
        <v>49</v>
      </c>
      <c r="F1356" s="5" t="s">
        <v>51</v>
      </c>
      <c r="G1356" s="24" t="s">
        <v>28</v>
      </c>
      <c r="H1356" s="24" t="s">
        <v>50</v>
      </c>
      <c r="I1356" s="5" t="s">
        <v>46</v>
      </c>
      <c r="J1356" s="24" t="s">
        <v>22</v>
      </c>
      <c r="K1356" s="27">
        <v>5</v>
      </c>
      <c r="L1356" s="6">
        <v>42295</v>
      </c>
      <c r="M1356" s="27">
        <f>Table11[[#This Row],[Ship Date]]-Table11[[#This Row],[Order Date]]</f>
        <v>7</v>
      </c>
      <c r="N1356" s="24" t="s">
        <v>45</v>
      </c>
      <c r="O1356" s="24" t="s">
        <v>23</v>
      </c>
      <c r="P1356" s="24" t="s">
        <v>48</v>
      </c>
      <c r="Q1356" s="24" t="s">
        <v>26</v>
      </c>
      <c r="R1356" s="24" t="s">
        <v>47</v>
      </c>
      <c r="S1356" s="34">
        <v>0.45</v>
      </c>
      <c r="T1356" s="15">
        <v>957.57749999999999</v>
      </c>
      <c r="U1356" s="18">
        <v>-383.03100000000001</v>
      </c>
      <c r="V1356" s="56">
        <f>Table11[[#This Row],[Profit]]/Table11[[#This Row],[Sales]]</f>
        <v>-0.4</v>
      </c>
    </row>
    <row r="1357" spans="1:22" x14ac:dyDescent="0.2">
      <c r="A1357" s="4">
        <v>1356</v>
      </c>
      <c r="B1357" s="3" t="s">
        <v>44</v>
      </c>
      <c r="C1357" s="7">
        <v>42288</v>
      </c>
      <c r="D1357" s="28">
        <f>MONTH(Table11[[#This Row],[Order Date]])</f>
        <v>10</v>
      </c>
      <c r="E1357" s="3" t="s">
        <v>52</v>
      </c>
      <c r="F1357" s="3" t="s">
        <v>54</v>
      </c>
      <c r="G1357" s="25" t="s">
        <v>41</v>
      </c>
      <c r="H1357" s="25" t="s">
        <v>53</v>
      </c>
      <c r="I1357" s="3" t="s">
        <v>46</v>
      </c>
      <c r="J1357" s="25" t="s">
        <v>22</v>
      </c>
      <c r="K1357" s="28">
        <v>2</v>
      </c>
      <c r="L1357" s="7">
        <v>42295</v>
      </c>
      <c r="M1357" s="28">
        <f>Table11[[#This Row],[Ship Date]]-Table11[[#This Row],[Order Date]]</f>
        <v>7</v>
      </c>
      <c r="N1357" s="25" t="s">
        <v>45</v>
      </c>
      <c r="O1357" s="25" t="s">
        <v>23</v>
      </c>
      <c r="P1357" s="25" t="s">
        <v>48</v>
      </c>
      <c r="Q1357" s="25" t="s">
        <v>26</v>
      </c>
      <c r="R1357" s="25" t="s">
        <v>47</v>
      </c>
      <c r="S1357" s="35">
        <v>0.2</v>
      </c>
      <c r="T1357" s="16">
        <v>22.367999999999999</v>
      </c>
      <c r="U1357" s="19">
        <v>2.5164</v>
      </c>
      <c r="V1357" s="56">
        <f>Table11[[#This Row],[Profit]]/Table11[[#This Row],[Sales]]</f>
        <v>0.1125</v>
      </c>
    </row>
    <row r="1358" spans="1:22" x14ac:dyDescent="0.2">
      <c r="A1358" s="4">
        <v>1357</v>
      </c>
      <c r="B1358" s="5" t="s">
        <v>7404</v>
      </c>
      <c r="C1358" s="6">
        <v>42288</v>
      </c>
      <c r="D1358" s="27">
        <f>MONTH(Table11[[#This Row],[Order Date]])</f>
        <v>10</v>
      </c>
      <c r="E1358" s="5" t="s">
        <v>4994</v>
      </c>
      <c r="F1358" s="5" t="s">
        <v>6092</v>
      </c>
      <c r="G1358" s="24" t="s">
        <v>64</v>
      </c>
      <c r="H1358" s="24" t="s">
        <v>144</v>
      </c>
      <c r="I1358" s="5" t="s">
        <v>996</v>
      </c>
      <c r="J1358" s="24" t="s">
        <v>22</v>
      </c>
      <c r="K1358" s="27">
        <v>1</v>
      </c>
      <c r="L1358" s="6">
        <v>42290</v>
      </c>
      <c r="M1358" s="27">
        <f>Table11[[#This Row],[Ship Date]]-Table11[[#This Row],[Order Date]]</f>
        <v>2</v>
      </c>
      <c r="N1358" s="24" t="s">
        <v>20</v>
      </c>
      <c r="O1358" s="24" t="s">
        <v>23</v>
      </c>
      <c r="P1358" s="24" t="s">
        <v>238</v>
      </c>
      <c r="Q1358" s="24" t="s">
        <v>133</v>
      </c>
      <c r="R1358" s="24" t="s">
        <v>347</v>
      </c>
      <c r="S1358" s="34">
        <v>0</v>
      </c>
      <c r="T1358" s="15">
        <v>31.95</v>
      </c>
      <c r="U1358" s="18">
        <v>2.2364999999999999</v>
      </c>
      <c r="V1358" s="56">
        <f>Table11[[#This Row],[Profit]]/Table11[[#This Row],[Sales]]</f>
        <v>6.9999999999999993E-2</v>
      </c>
    </row>
    <row r="1359" spans="1:22" x14ac:dyDescent="0.2">
      <c r="A1359" s="2">
        <v>1358</v>
      </c>
      <c r="B1359" s="3" t="s">
        <v>672</v>
      </c>
      <c r="C1359" s="7">
        <v>42289</v>
      </c>
      <c r="D1359" s="28">
        <f>MONTH(Table11[[#This Row],[Order Date]])</f>
        <v>10</v>
      </c>
      <c r="E1359" s="3" t="s">
        <v>674</v>
      </c>
      <c r="F1359" s="3" t="s">
        <v>675</v>
      </c>
      <c r="G1359" s="25" t="s">
        <v>28</v>
      </c>
      <c r="H1359" s="25" t="s">
        <v>29</v>
      </c>
      <c r="I1359" s="3" t="s">
        <v>673</v>
      </c>
      <c r="J1359" s="25" t="s">
        <v>92</v>
      </c>
      <c r="K1359" s="28">
        <v>4</v>
      </c>
      <c r="L1359" s="7">
        <v>42291</v>
      </c>
      <c r="M1359" s="28">
        <f>Table11[[#This Row],[Ship Date]]-Table11[[#This Row],[Order Date]]</f>
        <v>2</v>
      </c>
      <c r="N1359" s="25" t="s">
        <v>169</v>
      </c>
      <c r="O1359" s="25" t="s">
        <v>23</v>
      </c>
      <c r="P1359" s="25" t="s">
        <v>238</v>
      </c>
      <c r="Q1359" s="25" t="s">
        <v>133</v>
      </c>
      <c r="R1359" s="25" t="s">
        <v>237</v>
      </c>
      <c r="S1359" s="35">
        <v>0.2</v>
      </c>
      <c r="T1359" s="16">
        <v>899.13599999999997</v>
      </c>
      <c r="U1359" s="19">
        <v>112.392</v>
      </c>
      <c r="V1359" s="56">
        <f>Table11[[#This Row],[Profit]]/Table11[[#This Row],[Sales]]</f>
        <v>0.125</v>
      </c>
    </row>
    <row r="1360" spans="1:22" x14ac:dyDescent="0.2">
      <c r="A1360" s="4">
        <v>1359</v>
      </c>
      <c r="B1360" s="5" t="s">
        <v>672</v>
      </c>
      <c r="C1360" s="6">
        <v>42289</v>
      </c>
      <c r="D1360" s="27">
        <f>MONTH(Table11[[#This Row],[Order Date]])</f>
        <v>10</v>
      </c>
      <c r="E1360" s="5" t="s">
        <v>676</v>
      </c>
      <c r="F1360" s="5" t="s">
        <v>677</v>
      </c>
      <c r="G1360" s="24" t="s">
        <v>64</v>
      </c>
      <c r="H1360" s="24" t="s">
        <v>65</v>
      </c>
      <c r="I1360" s="5" t="s">
        <v>673</v>
      </c>
      <c r="J1360" s="24" t="s">
        <v>92</v>
      </c>
      <c r="K1360" s="27">
        <v>6</v>
      </c>
      <c r="L1360" s="6">
        <v>42291</v>
      </c>
      <c r="M1360" s="27">
        <f>Table11[[#This Row],[Ship Date]]-Table11[[#This Row],[Order Date]]</f>
        <v>2</v>
      </c>
      <c r="N1360" s="24" t="s">
        <v>169</v>
      </c>
      <c r="O1360" s="24" t="s">
        <v>23</v>
      </c>
      <c r="P1360" s="24" t="s">
        <v>238</v>
      </c>
      <c r="Q1360" s="24" t="s">
        <v>133</v>
      </c>
      <c r="R1360" s="24" t="s">
        <v>237</v>
      </c>
      <c r="S1360" s="34">
        <v>0</v>
      </c>
      <c r="T1360" s="15">
        <v>71.760000000000005</v>
      </c>
      <c r="U1360" s="18">
        <v>20.0928</v>
      </c>
      <c r="V1360" s="56">
        <f>Table11[[#This Row],[Profit]]/Table11[[#This Row],[Sales]]</f>
        <v>0.27999999999999997</v>
      </c>
    </row>
    <row r="1361" spans="1:22" x14ac:dyDescent="0.2">
      <c r="A1361" s="4">
        <v>1360</v>
      </c>
      <c r="B1361" s="3" t="s">
        <v>672</v>
      </c>
      <c r="C1361" s="7">
        <v>42289</v>
      </c>
      <c r="D1361" s="28">
        <f>MONTH(Table11[[#This Row],[Order Date]])</f>
        <v>10</v>
      </c>
      <c r="E1361" s="3" t="s">
        <v>678</v>
      </c>
      <c r="F1361" s="3" t="s">
        <v>679</v>
      </c>
      <c r="G1361" s="25" t="s">
        <v>41</v>
      </c>
      <c r="H1361" s="25" t="s">
        <v>82</v>
      </c>
      <c r="I1361" s="3" t="s">
        <v>673</v>
      </c>
      <c r="J1361" s="25" t="s">
        <v>92</v>
      </c>
      <c r="K1361" s="28">
        <v>8</v>
      </c>
      <c r="L1361" s="7">
        <v>42291</v>
      </c>
      <c r="M1361" s="28">
        <f>Table11[[#This Row],[Ship Date]]-Table11[[#This Row],[Order Date]]</f>
        <v>2</v>
      </c>
      <c r="N1361" s="25" t="s">
        <v>169</v>
      </c>
      <c r="O1361" s="25" t="s">
        <v>23</v>
      </c>
      <c r="P1361" s="25" t="s">
        <v>238</v>
      </c>
      <c r="Q1361" s="25" t="s">
        <v>133</v>
      </c>
      <c r="R1361" s="25" t="s">
        <v>237</v>
      </c>
      <c r="S1361" s="35">
        <v>0</v>
      </c>
      <c r="T1361" s="16">
        <v>51.84</v>
      </c>
      <c r="U1361" s="19">
        <v>24.883199999999999</v>
      </c>
      <c r="V1361" s="56">
        <f>Table11[[#This Row],[Profit]]/Table11[[#This Row],[Sales]]</f>
        <v>0.47999999999999993</v>
      </c>
    </row>
    <row r="1362" spans="1:22" x14ac:dyDescent="0.2">
      <c r="A1362" s="2">
        <v>1361</v>
      </c>
      <c r="B1362" s="5" t="s">
        <v>672</v>
      </c>
      <c r="C1362" s="6">
        <v>42289</v>
      </c>
      <c r="D1362" s="27">
        <f>MONTH(Table11[[#This Row],[Order Date]])</f>
        <v>10</v>
      </c>
      <c r="E1362" s="5" t="s">
        <v>180</v>
      </c>
      <c r="F1362" s="5" t="s">
        <v>181</v>
      </c>
      <c r="G1362" s="24" t="s">
        <v>28</v>
      </c>
      <c r="H1362" s="24" t="s">
        <v>29</v>
      </c>
      <c r="I1362" s="5" t="s">
        <v>673</v>
      </c>
      <c r="J1362" s="24" t="s">
        <v>92</v>
      </c>
      <c r="K1362" s="27">
        <v>3</v>
      </c>
      <c r="L1362" s="6">
        <v>42291</v>
      </c>
      <c r="M1362" s="27">
        <f>Table11[[#This Row],[Ship Date]]-Table11[[#This Row],[Order Date]]</f>
        <v>2</v>
      </c>
      <c r="N1362" s="24" t="s">
        <v>169</v>
      </c>
      <c r="O1362" s="24" t="s">
        <v>23</v>
      </c>
      <c r="P1362" s="24" t="s">
        <v>238</v>
      </c>
      <c r="Q1362" s="24" t="s">
        <v>133</v>
      </c>
      <c r="R1362" s="24" t="s">
        <v>237</v>
      </c>
      <c r="S1362" s="34">
        <v>0.2</v>
      </c>
      <c r="T1362" s="15">
        <v>626.35199999999998</v>
      </c>
      <c r="U1362" s="18">
        <v>46.976399999999998</v>
      </c>
      <c r="V1362" s="56">
        <f>Table11[[#This Row],[Profit]]/Table11[[#This Row],[Sales]]</f>
        <v>7.4999999999999997E-2</v>
      </c>
    </row>
    <row r="1363" spans="1:22" x14ac:dyDescent="0.2">
      <c r="A1363" s="4">
        <v>1362</v>
      </c>
      <c r="B1363" s="3" t="s">
        <v>672</v>
      </c>
      <c r="C1363" s="7">
        <v>42289</v>
      </c>
      <c r="D1363" s="28">
        <f>MONTH(Table11[[#This Row],[Order Date]])</f>
        <v>10</v>
      </c>
      <c r="E1363" s="3" t="s">
        <v>680</v>
      </c>
      <c r="F1363" s="3" t="s">
        <v>681</v>
      </c>
      <c r="G1363" s="25" t="s">
        <v>41</v>
      </c>
      <c r="H1363" s="25" t="s">
        <v>61</v>
      </c>
      <c r="I1363" s="3" t="s">
        <v>673</v>
      </c>
      <c r="J1363" s="25" t="s">
        <v>92</v>
      </c>
      <c r="K1363" s="28">
        <v>5</v>
      </c>
      <c r="L1363" s="7">
        <v>42291</v>
      </c>
      <c r="M1363" s="28">
        <f>Table11[[#This Row],[Ship Date]]-Table11[[#This Row],[Order Date]]</f>
        <v>2</v>
      </c>
      <c r="N1363" s="25" t="s">
        <v>169</v>
      </c>
      <c r="O1363" s="25" t="s">
        <v>23</v>
      </c>
      <c r="P1363" s="25" t="s">
        <v>238</v>
      </c>
      <c r="Q1363" s="25" t="s">
        <v>133</v>
      </c>
      <c r="R1363" s="25" t="s">
        <v>237</v>
      </c>
      <c r="S1363" s="35">
        <v>0</v>
      </c>
      <c r="T1363" s="16">
        <v>19.899999999999999</v>
      </c>
      <c r="U1363" s="19">
        <v>6.5670000000000002</v>
      </c>
      <c r="V1363" s="56">
        <f>Table11[[#This Row],[Profit]]/Table11[[#This Row],[Sales]]</f>
        <v>0.33</v>
      </c>
    </row>
    <row r="1364" spans="1:22" x14ac:dyDescent="0.2">
      <c r="A1364" s="4">
        <v>1363</v>
      </c>
      <c r="B1364" s="5" t="s">
        <v>4454</v>
      </c>
      <c r="C1364" s="6">
        <v>42289</v>
      </c>
      <c r="D1364" s="27">
        <f>MONTH(Table11[[#This Row],[Order Date]])</f>
        <v>10</v>
      </c>
      <c r="E1364" s="5" t="s">
        <v>3910</v>
      </c>
      <c r="F1364" s="5" t="s">
        <v>3911</v>
      </c>
      <c r="G1364" s="24" t="s">
        <v>28</v>
      </c>
      <c r="H1364" s="24" t="s">
        <v>50</v>
      </c>
      <c r="I1364" s="5" t="s">
        <v>2500</v>
      </c>
      <c r="J1364" s="24" t="s">
        <v>22</v>
      </c>
      <c r="K1364" s="27">
        <v>1</v>
      </c>
      <c r="L1364" s="6">
        <v>42294</v>
      </c>
      <c r="M1364" s="27">
        <f>Table11[[#This Row],[Ship Date]]-Table11[[#This Row],[Order Date]]</f>
        <v>5</v>
      </c>
      <c r="N1364" s="24" t="s">
        <v>20</v>
      </c>
      <c r="O1364" s="24" t="s">
        <v>23</v>
      </c>
      <c r="P1364" s="24" t="s">
        <v>238</v>
      </c>
      <c r="Q1364" s="24" t="s">
        <v>133</v>
      </c>
      <c r="R1364" s="24" t="s">
        <v>347</v>
      </c>
      <c r="S1364" s="34">
        <v>0.4</v>
      </c>
      <c r="T1364" s="15">
        <v>209.67</v>
      </c>
      <c r="U1364" s="18">
        <v>-13.978</v>
      </c>
      <c r="V1364" s="56">
        <f>Table11[[#This Row],[Profit]]/Table11[[#This Row],[Sales]]</f>
        <v>-6.6666666666666666E-2</v>
      </c>
    </row>
    <row r="1365" spans="1:22" x14ac:dyDescent="0.2">
      <c r="A1365" s="2">
        <v>1364</v>
      </c>
      <c r="B1365" s="3" t="s">
        <v>5442</v>
      </c>
      <c r="C1365" s="7">
        <v>42289</v>
      </c>
      <c r="D1365" s="28">
        <f>MONTH(Table11[[#This Row],[Order Date]])</f>
        <v>10</v>
      </c>
      <c r="E1365" s="3" t="s">
        <v>5190</v>
      </c>
      <c r="F1365" s="3" t="s">
        <v>5191</v>
      </c>
      <c r="G1365" s="25" t="s">
        <v>64</v>
      </c>
      <c r="H1365" s="25" t="s">
        <v>65</v>
      </c>
      <c r="I1365" s="3" t="s">
        <v>2556</v>
      </c>
      <c r="J1365" s="25" t="s">
        <v>22</v>
      </c>
      <c r="K1365" s="28">
        <v>3</v>
      </c>
      <c r="L1365" s="7">
        <v>42294</v>
      </c>
      <c r="M1365" s="28">
        <f>Table11[[#This Row],[Ship Date]]-Table11[[#This Row],[Order Date]]</f>
        <v>5</v>
      </c>
      <c r="N1365" s="25" t="s">
        <v>20</v>
      </c>
      <c r="O1365" s="25" t="s">
        <v>23</v>
      </c>
      <c r="P1365" s="25" t="s">
        <v>226</v>
      </c>
      <c r="Q1365" s="25" t="s">
        <v>95</v>
      </c>
      <c r="R1365" s="25" t="s">
        <v>5443</v>
      </c>
      <c r="S1365" s="35">
        <v>0</v>
      </c>
      <c r="T1365" s="16">
        <v>135.72</v>
      </c>
      <c r="U1365" s="19">
        <v>35.287199999999999</v>
      </c>
      <c r="V1365" s="56">
        <f>Table11[[#This Row],[Profit]]/Table11[[#This Row],[Sales]]</f>
        <v>0.26</v>
      </c>
    </row>
    <row r="1366" spans="1:22" x14ac:dyDescent="0.2">
      <c r="A1366" s="4">
        <v>1365</v>
      </c>
      <c r="B1366" s="5" t="s">
        <v>5442</v>
      </c>
      <c r="C1366" s="6">
        <v>42289</v>
      </c>
      <c r="D1366" s="27">
        <f>MONTH(Table11[[#This Row],[Order Date]])</f>
        <v>10</v>
      </c>
      <c r="E1366" s="5" t="s">
        <v>5043</v>
      </c>
      <c r="F1366" s="5" t="s">
        <v>5044</v>
      </c>
      <c r="G1366" s="24" t="s">
        <v>41</v>
      </c>
      <c r="H1366" s="24" t="s">
        <v>68</v>
      </c>
      <c r="I1366" s="5" t="s">
        <v>2556</v>
      </c>
      <c r="J1366" s="24" t="s">
        <v>22</v>
      </c>
      <c r="K1366" s="27">
        <v>2</v>
      </c>
      <c r="L1366" s="6">
        <v>42294</v>
      </c>
      <c r="M1366" s="27">
        <f>Table11[[#This Row],[Ship Date]]-Table11[[#This Row],[Order Date]]</f>
        <v>5</v>
      </c>
      <c r="N1366" s="24" t="s">
        <v>20</v>
      </c>
      <c r="O1366" s="24" t="s">
        <v>23</v>
      </c>
      <c r="P1366" s="24" t="s">
        <v>226</v>
      </c>
      <c r="Q1366" s="24" t="s">
        <v>95</v>
      </c>
      <c r="R1366" s="24" t="s">
        <v>5443</v>
      </c>
      <c r="S1366" s="34">
        <v>0</v>
      </c>
      <c r="T1366" s="15">
        <v>12.56</v>
      </c>
      <c r="U1366" s="18">
        <v>5.6520000000000001</v>
      </c>
      <c r="V1366" s="56">
        <f>Table11[[#This Row],[Profit]]/Table11[[#This Row],[Sales]]</f>
        <v>0.45</v>
      </c>
    </row>
    <row r="1367" spans="1:22" x14ac:dyDescent="0.2">
      <c r="A1367" s="4">
        <v>1366</v>
      </c>
      <c r="B1367" s="3" t="s">
        <v>5442</v>
      </c>
      <c r="C1367" s="7">
        <v>42289</v>
      </c>
      <c r="D1367" s="28">
        <f>MONTH(Table11[[#This Row],[Order Date]])</f>
        <v>10</v>
      </c>
      <c r="E1367" s="3" t="s">
        <v>3399</v>
      </c>
      <c r="F1367" s="3" t="s">
        <v>3400</v>
      </c>
      <c r="G1367" s="25" t="s">
        <v>64</v>
      </c>
      <c r="H1367" s="25" t="s">
        <v>65</v>
      </c>
      <c r="I1367" s="3" t="s">
        <v>2556</v>
      </c>
      <c r="J1367" s="25" t="s">
        <v>22</v>
      </c>
      <c r="K1367" s="28">
        <v>4</v>
      </c>
      <c r="L1367" s="7">
        <v>42294</v>
      </c>
      <c r="M1367" s="28">
        <f>Table11[[#This Row],[Ship Date]]-Table11[[#This Row],[Order Date]]</f>
        <v>5</v>
      </c>
      <c r="N1367" s="25" t="s">
        <v>20</v>
      </c>
      <c r="O1367" s="25" t="s">
        <v>23</v>
      </c>
      <c r="P1367" s="25" t="s">
        <v>226</v>
      </c>
      <c r="Q1367" s="25" t="s">
        <v>95</v>
      </c>
      <c r="R1367" s="25" t="s">
        <v>5443</v>
      </c>
      <c r="S1367" s="35">
        <v>0</v>
      </c>
      <c r="T1367" s="16">
        <v>263.95999999999998</v>
      </c>
      <c r="U1367" s="19">
        <v>71.269199999999998</v>
      </c>
      <c r="V1367" s="56">
        <f>Table11[[#This Row],[Profit]]/Table11[[#This Row],[Sales]]</f>
        <v>0.27</v>
      </c>
    </row>
    <row r="1368" spans="1:22" x14ac:dyDescent="0.2">
      <c r="A1368" s="2">
        <v>1367</v>
      </c>
      <c r="B1368" s="5" t="s">
        <v>8928</v>
      </c>
      <c r="C1368" s="6">
        <v>42289</v>
      </c>
      <c r="D1368" s="27">
        <f>MONTH(Table11[[#This Row],[Order Date]])</f>
        <v>10</v>
      </c>
      <c r="E1368" s="5" t="s">
        <v>3664</v>
      </c>
      <c r="F1368" s="5" t="s">
        <v>3665</v>
      </c>
      <c r="G1368" s="24" t="s">
        <v>64</v>
      </c>
      <c r="H1368" s="24" t="s">
        <v>144</v>
      </c>
      <c r="I1368" s="5" t="s">
        <v>4394</v>
      </c>
      <c r="J1368" s="24" t="s">
        <v>22</v>
      </c>
      <c r="K1368" s="27">
        <v>2</v>
      </c>
      <c r="L1368" s="6">
        <v>42294</v>
      </c>
      <c r="M1368" s="27">
        <f>Table11[[#This Row],[Ship Date]]-Table11[[#This Row],[Order Date]]</f>
        <v>5</v>
      </c>
      <c r="N1368" s="24" t="s">
        <v>45</v>
      </c>
      <c r="O1368" s="24" t="s">
        <v>23</v>
      </c>
      <c r="P1368" s="24" t="s">
        <v>87</v>
      </c>
      <c r="Q1368" s="24" t="s">
        <v>39</v>
      </c>
      <c r="R1368" s="24" t="s">
        <v>86</v>
      </c>
      <c r="S1368" s="34">
        <v>0</v>
      </c>
      <c r="T1368" s="15">
        <v>17.899999999999999</v>
      </c>
      <c r="U1368" s="18">
        <v>3.4009999999999998</v>
      </c>
      <c r="V1368" s="56">
        <f>Table11[[#This Row],[Profit]]/Table11[[#This Row],[Sales]]</f>
        <v>0.19</v>
      </c>
    </row>
    <row r="1369" spans="1:22" x14ac:dyDescent="0.2">
      <c r="A1369" s="4">
        <v>1368</v>
      </c>
      <c r="B1369" s="3" t="s">
        <v>8928</v>
      </c>
      <c r="C1369" s="7">
        <v>42289</v>
      </c>
      <c r="D1369" s="28">
        <f>MONTH(Table11[[#This Row],[Order Date]])</f>
        <v>10</v>
      </c>
      <c r="E1369" s="3" t="s">
        <v>1247</v>
      </c>
      <c r="F1369" s="3" t="s">
        <v>1248</v>
      </c>
      <c r="G1369" s="25" t="s">
        <v>41</v>
      </c>
      <c r="H1369" s="25" t="s">
        <v>53</v>
      </c>
      <c r="I1369" s="3" t="s">
        <v>4394</v>
      </c>
      <c r="J1369" s="25" t="s">
        <v>22</v>
      </c>
      <c r="K1369" s="28">
        <v>2</v>
      </c>
      <c r="L1369" s="7">
        <v>42294</v>
      </c>
      <c r="M1369" s="28">
        <f>Table11[[#This Row],[Ship Date]]-Table11[[#This Row],[Order Date]]</f>
        <v>5</v>
      </c>
      <c r="N1369" s="25" t="s">
        <v>45</v>
      </c>
      <c r="O1369" s="25" t="s">
        <v>23</v>
      </c>
      <c r="P1369" s="25" t="s">
        <v>87</v>
      </c>
      <c r="Q1369" s="25" t="s">
        <v>39</v>
      </c>
      <c r="R1369" s="25" t="s">
        <v>86</v>
      </c>
      <c r="S1369" s="35">
        <v>0</v>
      </c>
      <c r="T1369" s="16">
        <v>81.96</v>
      </c>
      <c r="U1369" s="19">
        <v>0</v>
      </c>
      <c r="V1369" s="56">
        <f>Table11[[#This Row],[Profit]]/Table11[[#This Row],[Sales]]</f>
        <v>0</v>
      </c>
    </row>
    <row r="1370" spans="1:22" x14ac:dyDescent="0.2">
      <c r="A1370" s="4">
        <v>1369</v>
      </c>
      <c r="B1370" s="5" t="s">
        <v>2311</v>
      </c>
      <c r="C1370" s="6">
        <v>42290</v>
      </c>
      <c r="D1370" s="27">
        <f>MONTH(Table11[[#This Row],[Order Date]])</f>
        <v>10</v>
      </c>
      <c r="E1370" s="5" t="s">
        <v>676</v>
      </c>
      <c r="F1370" s="5" t="s">
        <v>677</v>
      </c>
      <c r="G1370" s="24" t="s">
        <v>64</v>
      </c>
      <c r="H1370" s="24" t="s">
        <v>65</v>
      </c>
      <c r="I1370" s="5" t="s">
        <v>2312</v>
      </c>
      <c r="J1370" s="24" t="s">
        <v>22</v>
      </c>
      <c r="K1370" s="27">
        <v>7</v>
      </c>
      <c r="L1370" s="6">
        <v>42294</v>
      </c>
      <c r="M1370" s="27">
        <f>Table11[[#This Row],[Ship Date]]-Table11[[#This Row],[Order Date]]</f>
        <v>4</v>
      </c>
      <c r="N1370" s="24" t="s">
        <v>45</v>
      </c>
      <c r="O1370" s="24" t="s">
        <v>23</v>
      </c>
      <c r="P1370" s="24" t="s">
        <v>25</v>
      </c>
      <c r="Q1370" s="24" t="s">
        <v>26</v>
      </c>
      <c r="R1370" s="24" t="s">
        <v>1303</v>
      </c>
      <c r="S1370" s="34">
        <v>0</v>
      </c>
      <c r="T1370" s="15">
        <v>83.72</v>
      </c>
      <c r="U1370" s="18">
        <v>23.441600000000001</v>
      </c>
      <c r="V1370" s="56">
        <f>Table11[[#This Row],[Profit]]/Table11[[#This Row],[Sales]]</f>
        <v>0.28000000000000003</v>
      </c>
    </row>
    <row r="1371" spans="1:22" x14ac:dyDescent="0.2">
      <c r="A1371" s="2">
        <v>1370</v>
      </c>
      <c r="B1371" s="3" t="s">
        <v>2311</v>
      </c>
      <c r="C1371" s="7">
        <v>42290</v>
      </c>
      <c r="D1371" s="28">
        <f>MONTH(Table11[[#This Row],[Order Date]])</f>
        <v>10</v>
      </c>
      <c r="E1371" s="3" t="s">
        <v>957</v>
      </c>
      <c r="F1371" s="3" t="s">
        <v>958</v>
      </c>
      <c r="G1371" s="25" t="s">
        <v>28</v>
      </c>
      <c r="H1371" s="25" t="s">
        <v>32</v>
      </c>
      <c r="I1371" s="3" t="s">
        <v>2312</v>
      </c>
      <c r="J1371" s="25" t="s">
        <v>22</v>
      </c>
      <c r="K1371" s="28">
        <v>3</v>
      </c>
      <c r="L1371" s="7">
        <v>42294</v>
      </c>
      <c r="M1371" s="28">
        <f>Table11[[#This Row],[Ship Date]]-Table11[[#This Row],[Order Date]]</f>
        <v>4</v>
      </c>
      <c r="N1371" s="25" t="s">
        <v>45</v>
      </c>
      <c r="O1371" s="25" t="s">
        <v>23</v>
      </c>
      <c r="P1371" s="25" t="s">
        <v>25</v>
      </c>
      <c r="Q1371" s="25" t="s">
        <v>26</v>
      </c>
      <c r="R1371" s="25" t="s">
        <v>1303</v>
      </c>
      <c r="S1371" s="35">
        <v>0</v>
      </c>
      <c r="T1371" s="16">
        <v>287.94</v>
      </c>
      <c r="U1371" s="19">
        <v>77.743799999999993</v>
      </c>
      <c r="V1371" s="56">
        <f>Table11[[#This Row],[Profit]]/Table11[[#This Row],[Sales]]</f>
        <v>0.26999999999999996</v>
      </c>
    </row>
    <row r="1372" spans="1:22" x14ac:dyDescent="0.2">
      <c r="A1372" s="4">
        <v>1371</v>
      </c>
      <c r="B1372" s="5" t="s">
        <v>421</v>
      </c>
      <c r="C1372" s="6">
        <v>42292</v>
      </c>
      <c r="D1372" s="27">
        <f>MONTH(Table11[[#This Row],[Order Date]])</f>
        <v>10</v>
      </c>
      <c r="E1372" s="5" t="s">
        <v>424</v>
      </c>
      <c r="F1372" s="5" t="s">
        <v>425</v>
      </c>
      <c r="G1372" s="24" t="s">
        <v>64</v>
      </c>
      <c r="H1372" s="24" t="s">
        <v>144</v>
      </c>
      <c r="I1372" s="5" t="s">
        <v>422</v>
      </c>
      <c r="J1372" s="24" t="s">
        <v>92</v>
      </c>
      <c r="K1372" s="27">
        <v>5</v>
      </c>
      <c r="L1372" s="6">
        <v>42297</v>
      </c>
      <c r="M1372" s="27">
        <f>Table11[[#This Row],[Ship Date]]-Table11[[#This Row],[Order Date]]</f>
        <v>5</v>
      </c>
      <c r="N1372" s="24" t="s">
        <v>45</v>
      </c>
      <c r="O1372" s="24" t="s">
        <v>23</v>
      </c>
      <c r="P1372" s="24" t="s">
        <v>189</v>
      </c>
      <c r="Q1372" s="24" t="s">
        <v>95</v>
      </c>
      <c r="R1372" s="24" t="s">
        <v>423</v>
      </c>
      <c r="S1372" s="34">
        <v>0.2</v>
      </c>
      <c r="T1372" s="15">
        <v>339.96</v>
      </c>
      <c r="U1372" s="18">
        <v>67.992000000000004</v>
      </c>
      <c r="V1372" s="56">
        <f>Table11[[#This Row],[Profit]]/Table11[[#This Row],[Sales]]</f>
        <v>0.20000000000000004</v>
      </c>
    </row>
    <row r="1373" spans="1:22" x14ac:dyDescent="0.2">
      <c r="A1373" s="4">
        <v>1372</v>
      </c>
      <c r="B1373" s="3" t="s">
        <v>3417</v>
      </c>
      <c r="C1373" s="7">
        <v>42292</v>
      </c>
      <c r="D1373" s="28">
        <f>MONTH(Table11[[#This Row],[Order Date]])</f>
        <v>10</v>
      </c>
      <c r="E1373" s="3" t="s">
        <v>3418</v>
      </c>
      <c r="F1373" s="3" t="s">
        <v>3419</v>
      </c>
      <c r="G1373" s="25" t="s">
        <v>64</v>
      </c>
      <c r="H1373" s="25" t="s">
        <v>144</v>
      </c>
      <c r="I1373" s="3" t="s">
        <v>297</v>
      </c>
      <c r="J1373" s="25" t="s">
        <v>22</v>
      </c>
      <c r="K1373" s="28">
        <v>3</v>
      </c>
      <c r="L1373" s="7">
        <v>42292</v>
      </c>
      <c r="M1373" s="28">
        <f>Table11[[#This Row],[Ship Date]]-Table11[[#This Row],[Order Date]]</f>
        <v>0</v>
      </c>
      <c r="N1373" s="25" t="s">
        <v>1141</v>
      </c>
      <c r="O1373" s="25" t="s">
        <v>23</v>
      </c>
      <c r="P1373" s="25" t="s">
        <v>94</v>
      </c>
      <c r="Q1373" s="25" t="s">
        <v>95</v>
      </c>
      <c r="R1373" s="25" t="s">
        <v>1430</v>
      </c>
      <c r="S1373" s="35">
        <v>0.2</v>
      </c>
      <c r="T1373" s="16">
        <v>263.88</v>
      </c>
      <c r="U1373" s="19">
        <v>42.880499999999998</v>
      </c>
      <c r="V1373" s="56">
        <f>Table11[[#This Row],[Profit]]/Table11[[#This Row],[Sales]]</f>
        <v>0.16250000000000001</v>
      </c>
    </row>
    <row r="1374" spans="1:22" x14ac:dyDescent="0.2">
      <c r="A1374" s="2">
        <v>1373</v>
      </c>
      <c r="B1374" s="5" t="s">
        <v>3417</v>
      </c>
      <c r="C1374" s="6">
        <v>42292</v>
      </c>
      <c r="D1374" s="27">
        <f>MONTH(Table11[[#This Row],[Order Date]])</f>
        <v>10</v>
      </c>
      <c r="E1374" s="5" t="s">
        <v>1656</v>
      </c>
      <c r="F1374" s="5" t="s">
        <v>1657</v>
      </c>
      <c r="G1374" s="24" t="s">
        <v>28</v>
      </c>
      <c r="H1374" s="24" t="s">
        <v>32</v>
      </c>
      <c r="I1374" s="5" t="s">
        <v>297</v>
      </c>
      <c r="J1374" s="24" t="s">
        <v>22</v>
      </c>
      <c r="K1374" s="27">
        <v>5</v>
      </c>
      <c r="L1374" s="6">
        <v>42292</v>
      </c>
      <c r="M1374" s="27">
        <f>Table11[[#This Row],[Ship Date]]-Table11[[#This Row],[Order Date]]</f>
        <v>0</v>
      </c>
      <c r="N1374" s="24" t="s">
        <v>1141</v>
      </c>
      <c r="O1374" s="24" t="s">
        <v>23</v>
      </c>
      <c r="P1374" s="24" t="s">
        <v>94</v>
      </c>
      <c r="Q1374" s="24" t="s">
        <v>95</v>
      </c>
      <c r="R1374" s="24" t="s">
        <v>1430</v>
      </c>
      <c r="S1374" s="34">
        <v>0.3</v>
      </c>
      <c r="T1374" s="15">
        <v>2453.4299999999998</v>
      </c>
      <c r="U1374" s="18">
        <v>-350.49</v>
      </c>
      <c r="V1374" s="56">
        <f>Table11[[#This Row],[Profit]]/Table11[[#This Row],[Sales]]</f>
        <v>-0.14285714285714288</v>
      </c>
    </row>
    <row r="1375" spans="1:22" x14ac:dyDescent="0.2">
      <c r="A1375" s="4">
        <v>1374</v>
      </c>
      <c r="B1375" s="3" t="s">
        <v>6910</v>
      </c>
      <c r="C1375" s="7">
        <v>42292</v>
      </c>
      <c r="D1375" s="28">
        <f>MONTH(Table11[[#This Row],[Order Date]])</f>
        <v>10</v>
      </c>
      <c r="E1375" s="3" t="s">
        <v>6911</v>
      </c>
      <c r="F1375" s="3" t="s">
        <v>6912</v>
      </c>
      <c r="G1375" s="25" t="s">
        <v>28</v>
      </c>
      <c r="H1375" s="25" t="s">
        <v>58</v>
      </c>
      <c r="I1375" s="3" t="s">
        <v>2314</v>
      </c>
      <c r="J1375" s="25" t="s">
        <v>22</v>
      </c>
      <c r="K1375" s="28">
        <v>2</v>
      </c>
      <c r="L1375" s="7">
        <v>42292</v>
      </c>
      <c r="M1375" s="28">
        <f>Table11[[#This Row],[Ship Date]]-Table11[[#This Row],[Order Date]]</f>
        <v>0</v>
      </c>
      <c r="N1375" s="25" t="s">
        <v>1141</v>
      </c>
      <c r="O1375" s="25" t="s">
        <v>23</v>
      </c>
      <c r="P1375" s="25" t="s">
        <v>212</v>
      </c>
      <c r="Q1375" s="25" t="s">
        <v>95</v>
      </c>
      <c r="R1375" s="25" t="s">
        <v>5503</v>
      </c>
      <c r="S1375" s="35">
        <v>0</v>
      </c>
      <c r="T1375" s="16">
        <v>17.14</v>
      </c>
      <c r="U1375" s="19">
        <v>6.1703999999999999</v>
      </c>
      <c r="V1375" s="56">
        <f>Table11[[#This Row],[Profit]]/Table11[[#This Row],[Sales]]</f>
        <v>0.36</v>
      </c>
    </row>
    <row r="1376" spans="1:22" x14ac:dyDescent="0.2">
      <c r="A1376" s="4">
        <v>1375</v>
      </c>
      <c r="B1376" s="5" t="s">
        <v>8373</v>
      </c>
      <c r="C1376" s="6">
        <v>42292</v>
      </c>
      <c r="D1376" s="27">
        <f>MONTH(Table11[[#This Row],[Order Date]])</f>
        <v>10</v>
      </c>
      <c r="E1376" s="5" t="s">
        <v>2955</v>
      </c>
      <c r="F1376" s="5" t="s">
        <v>2956</v>
      </c>
      <c r="G1376" s="24" t="s">
        <v>28</v>
      </c>
      <c r="H1376" s="24" t="s">
        <v>58</v>
      </c>
      <c r="I1376" s="5" t="s">
        <v>21</v>
      </c>
      <c r="J1376" s="24" t="s">
        <v>22</v>
      </c>
      <c r="K1376" s="27">
        <v>6</v>
      </c>
      <c r="L1376" s="6">
        <v>42292</v>
      </c>
      <c r="M1376" s="27">
        <f>Table11[[#This Row],[Ship Date]]-Table11[[#This Row],[Order Date]]</f>
        <v>0</v>
      </c>
      <c r="N1376" s="24" t="s">
        <v>1141</v>
      </c>
      <c r="O1376" s="24" t="s">
        <v>23</v>
      </c>
      <c r="P1376" s="24" t="s">
        <v>94</v>
      </c>
      <c r="Q1376" s="24" t="s">
        <v>95</v>
      </c>
      <c r="R1376" s="24" t="s">
        <v>718</v>
      </c>
      <c r="S1376" s="34">
        <v>0.6</v>
      </c>
      <c r="T1376" s="15">
        <v>131.376</v>
      </c>
      <c r="U1376" s="18">
        <v>-95.247600000000006</v>
      </c>
      <c r="V1376" s="56">
        <f>Table11[[#This Row],[Profit]]/Table11[[#This Row],[Sales]]</f>
        <v>-0.72499999999999998</v>
      </c>
    </row>
    <row r="1377" spans="1:22" x14ac:dyDescent="0.2">
      <c r="A1377" s="2">
        <v>1376</v>
      </c>
      <c r="B1377" s="3" t="s">
        <v>8373</v>
      </c>
      <c r="C1377" s="7">
        <v>42292</v>
      </c>
      <c r="D1377" s="28">
        <f>MONTH(Table11[[#This Row],[Order Date]])</f>
        <v>10</v>
      </c>
      <c r="E1377" s="3" t="s">
        <v>3802</v>
      </c>
      <c r="F1377" s="3" t="s">
        <v>3803</v>
      </c>
      <c r="G1377" s="25" t="s">
        <v>41</v>
      </c>
      <c r="H1377" s="25" t="s">
        <v>82</v>
      </c>
      <c r="I1377" s="3" t="s">
        <v>21</v>
      </c>
      <c r="J1377" s="25" t="s">
        <v>22</v>
      </c>
      <c r="K1377" s="28">
        <v>1</v>
      </c>
      <c r="L1377" s="7">
        <v>42292</v>
      </c>
      <c r="M1377" s="28">
        <f>Table11[[#This Row],[Ship Date]]-Table11[[#This Row],[Order Date]]</f>
        <v>0</v>
      </c>
      <c r="N1377" s="25" t="s">
        <v>1141</v>
      </c>
      <c r="O1377" s="25" t="s">
        <v>23</v>
      </c>
      <c r="P1377" s="25" t="s">
        <v>94</v>
      </c>
      <c r="Q1377" s="25" t="s">
        <v>95</v>
      </c>
      <c r="R1377" s="25" t="s">
        <v>718</v>
      </c>
      <c r="S1377" s="35">
        <v>0.2</v>
      </c>
      <c r="T1377" s="16">
        <v>5.3440000000000003</v>
      </c>
      <c r="U1377" s="19">
        <v>1.8704000000000001</v>
      </c>
      <c r="V1377" s="56">
        <f>Table11[[#This Row],[Profit]]/Table11[[#This Row],[Sales]]</f>
        <v>0.35</v>
      </c>
    </row>
    <row r="1378" spans="1:22" x14ac:dyDescent="0.2">
      <c r="A1378" s="4">
        <v>1377</v>
      </c>
      <c r="B1378" s="5" t="s">
        <v>8950</v>
      </c>
      <c r="C1378" s="6">
        <v>42292</v>
      </c>
      <c r="D1378" s="27">
        <f>MONTH(Table11[[#This Row],[Order Date]])</f>
        <v>10</v>
      </c>
      <c r="E1378" s="5" t="s">
        <v>1408</v>
      </c>
      <c r="F1378" s="5" t="s">
        <v>591</v>
      </c>
      <c r="G1378" s="24" t="s">
        <v>41</v>
      </c>
      <c r="H1378" s="24" t="s">
        <v>155</v>
      </c>
      <c r="I1378" s="5" t="s">
        <v>487</v>
      </c>
      <c r="J1378" s="24" t="s">
        <v>92</v>
      </c>
      <c r="K1378" s="27">
        <v>1</v>
      </c>
      <c r="L1378" s="6">
        <v>42299</v>
      </c>
      <c r="M1378" s="27">
        <f>Table11[[#This Row],[Ship Date]]-Table11[[#This Row],[Order Date]]</f>
        <v>7</v>
      </c>
      <c r="N1378" s="24" t="s">
        <v>45</v>
      </c>
      <c r="O1378" s="24" t="s">
        <v>23</v>
      </c>
      <c r="P1378" s="24" t="s">
        <v>94</v>
      </c>
      <c r="Q1378" s="24" t="s">
        <v>95</v>
      </c>
      <c r="R1378" s="24" t="s">
        <v>718</v>
      </c>
      <c r="S1378" s="34">
        <v>0.2</v>
      </c>
      <c r="T1378" s="15">
        <v>4.4640000000000004</v>
      </c>
      <c r="U1378" s="18">
        <v>1.6739999999999999</v>
      </c>
      <c r="V1378" s="56">
        <f>Table11[[#This Row],[Profit]]/Table11[[#This Row],[Sales]]</f>
        <v>0.37499999999999994</v>
      </c>
    </row>
    <row r="1379" spans="1:22" x14ac:dyDescent="0.2">
      <c r="A1379" s="4">
        <v>1378</v>
      </c>
      <c r="B1379" s="3" t="s">
        <v>8950</v>
      </c>
      <c r="C1379" s="7">
        <v>42292</v>
      </c>
      <c r="D1379" s="28">
        <f>MONTH(Table11[[#This Row],[Order Date]])</f>
        <v>10</v>
      </c>
      <c r="E1379" s="3" t="s">
        <v>3157</v>
      </c>
      <c r="F1379" s="3" t="s">
        <v>3158</v>
      </c>
      <c r="G1379" s="25" t="s">
        <v>41</v>
      </c>
      <c r="H1379" s="25" t="s">
        <v>68</v>
      </c>
      <c r="I1379" s="3" t="s">
        <v>487</v>
      </c>
      <c r="J1379" s="25" t="s">
        <v>92</v>
      </c>
      <c r="K1379" s="28">
        <v>10</v>
      </c>
      <c r="L1379" s="7">
        <v>42299</v>
      </c>
      <c r="M1379" s="28">
        <f>Table11[[#This Row],[Ship Date]]-Table11[[#This Row],[Order Date]]</f>
        <v>7</v>
      </c>
      <c r="N1379" s="25" t="s">
        <v>45</v>
      </c>
      <c r="O1379" s="25" t="s">
        <v>23</v>
      </c>
      <c r="P1379" s="25" t="s">
        <v>94</v>
      </c>
      <c r="Q1379" s="25" t="s">
        <v>95</v>
      </c>
      <c r="R1379" s="25" t="s">
        <v>718</v>
      </c>
      <c r="S1379" s="35">
        <v>0.8</v>
      </c>
      <c r="T1379" s="16">
        <v>3.96</v>
      </c>
      <c r="U1379" s="19">
        <v>-6.93</v>
      </c>
      <c r="V1379" s="56">
        <f>Table11[[#This Row],[Profit]]/Table11[[#This Row],[Sales]]</f>
        <v>-1.75</v>
      </c>
    </row>
    <row r="1380" spans="1:22" x14ac:dyDescent="0.2">
      <c r="A1380" s="2">
        <v>1379</v>
      </c>
      <c r="B1380" s="5" t="s">
        <v>8436</v>
      </c>
      <c r="C1380" s="6">
        <v>42293</v>
      </c>
      <c r="D1380" s="27">
        <f>MONTH(Table11[[#This Row],[Order Date]])</f>
        <v>10</v>
      </c>
      <c r="E1380" s="5" t="s">
        <v>3092</v>
      </c>
      <c r="F1380" s="5" t="s">
        <v>3093</v>
      </c>
      <c r="G1380" s="24" t="s">
        <v>64</v>
      </c>
      <c r="H1380" s="24" t="s">
        <v>65</v>
      </c>
      <c r="I1380" s="5" t="s">
        <v>1307</v>
      </c>
      <c r="J1380" s="24" t="s">
        <v>36</v>
      </c>
      <c r="K1380" s="27">
        <v>3</v>
      </c>
      <c r="L1380" s="6">
        <v>42297</v>
      </c>
      <c r="M1380" s="27">
        <f>Table11[[#This Row],[Ship Date]]-Table11[[#This Row],[Order Date]]</f>
        <v>4</v>
      </c>
      <c r="N1380" s="24" t="s">
        <v>20</v>
      </c>
      <c r="O1380" s="24" t="s">
        <v>23</v>
      </c>
      <c r="P1380" s="24" t="s">
        <v>238</v>
      </c>
      <c r="Q1380" s="24" t="s">
        <v>133</v>
      </c>
      <c r="R1380" s="24" t="s">
        <v>237</v>
      </c>
      <c r="S1380" s="34">
        <v>0</v>
      </c>
      <c r="T1380" s="15">
        <v>824.97</v>
      </c>
      <c r="U1380" s="18">
        <v>214.4922</v>
      </c>
      <c r="V1380" s="56">
        <f>Table11[[#This Row],[Profit]]/Table11[[#This Row],[Sales]]</f>
        <v>0.26</v>
      </c>
    </row>
    <row r="1381" spans="1:22" x14ac:dyDescent="0.2">
      <c r="A1381" s="4">
        <v>1380</v>
      </c>
      <c r="B1381" s="3" t="s">
        <v>5911</v>
      </c>
      <c r="C1381" s="7">
        <v>42294</v>
      </c>
      <c r="D1381" s="28">
        <f>MONTH(Table11[[#This Row],[Order Date]])</f>
        <v>10</v>
      </c>
      <c r="E1381" s="3" t="s">
        <v>194</v>
      </c>
      <c r="F1381" s="3" t="s">
        <v>195</v>
      </c>
      <c r="G1381" s="25" t="s">
        <v>41</v>
      </c>
      <c r="H1381" s="25" t="s">
        <v>53</v>
      </c>
      <c r="I1381" s="3" t="s">
        <v>3656</v>
      </c>
      <c r="J1381" s="25" t="s">
        <v>22</v>
      </c>
      <c r="K1381" s="28">
        <v>2</v>
      </c>
      <c r="L1381" s="7">
        <v>42294</v>
      </c>
      <c r="M1381" s="28">
        <f>Table11[[#This Row],[Ship Date]]-Table11[[#This Row],[Order Date]]</f>
        <v>0</v>
      </c>
      <c r="N1381" s="25" t="s">
        <v>1141</v>
      </c>
      <c r="O1381" s="25" t="s">
        <v>23</v>
      </c>
      <c r="P1381" s="25" t="s">
        <v>38</v>
      </c>
      <c r="Q1381" s="25" t="s">
        <v>39</v>
      </c>
      <c r="R1381" s="25" t="s">
        <v>37</v>
      </c>
      <c r="S1381" s="35">
        <v>0</v>
      </c>
      <c r="T1381" s="16">
        <v>77.88</v>
      </c>
      <c r="U1381" s="19">
        <v>3.8940000000000001</v>
      </c>
      <c r="V1381" s="56">
        <f>Table11[[#This Row],[Profit]]/Table11[[#This Row],[Sales]]</f>
        <v>0.05</v>
      </c>
    </row>
    <row r="1382" spans="1:22" x14ac:dyDescent="0.2">
      <c r="A1382" s="4">
        <v>1381</v>
      </c>
      <c r="B1382" s="5" t="s">
        <v>7934</v>
      </c>
      <c r="C1382" s="6">
        <v>42295</v>
      </c>
      <c r="D1382" s="27">
        <f>MONTH(Table11[[#This Row],[Order Date]])</f>
        <v>10</v>
      </c>
      <c r="E1382" s="5" t="s">
        <v>6160</v>
      </c>
      <c r="F1382" s="5" t="s">
        <v>6161</v>
      </c>
      <c r="G1382" s="24" t="s">
        <v>64</v>
      </c>
      <c r="H1382" s="24" t="s">
        <v>144</v>
      </c>
      <c r="I1382" s="5" t="s">
        <v>4736</v>
      </c>
      <c r="J1382" s="24" t="s">
        <v>92</v>
      </c>
      <c r="K1382" s="27">
        <v>3</v>
      </c>
      <c r="L1382" s="6">
        <v>42299</v>
      </c>
      <c r="M1382" s="27">
        <f>Table11[[#This Row],[Ship Date]]-Table11[[#This Row],[Order Date]]</f>
        <v>4</v>
      </c>
      <c r="N1382" s="24" t="s">
        <v>45</v>
      </c>
      <c r="O1382" s="24" t="s">
        <v>23</v>
      </c>
      <c r="P1382" s="24" t="s">
        <v>94</v>
      </c>
      <c r="Q1382" s="24" t="s">
        <v>95</v>
      </c>
      <c r="R1382" s="24" t="s">
        <v>6556</v>
      </c>
      <c r="S1382" s="34">
        <v>0.2</v>
      </c>
      <c r="T1382" s="15">
        <v>27.696000000000002</v>
      </c>
      <c r="U1382" s="18">
        <v>3.4620000000000002</v>
      </c>
      <c r="V1382" s="56">
        <f>Table11[[#This Row],[Profit]]/Table11[[#This Row],[Sales]]</f>
        <v>0.125</v>
      </c>
    </row>
    <row r="1383" spans="1:22" x14ac:dyDescent="0.2">
      <c r="A1383" s="2">
        <v>1382</v>
      </c>
      <c r="B1383" s="3" t="s">
        <v>7934</v>
      </c>
      <c r="C1383" s="7">
        <v>42295</v>
      </c>
      <c r="D1383" s="28">
        <f>MONTH(Table11[[#This Row],[Order Date]])</f>
        <v>10</v>
      </c>
      <c r="E1383" s="3" t="s">
        <v>4751</v>
      </c>
      <c r="F1383" s="3" t="s">
        <v>4752</v>
      </c>
      <c r="G1383" s="25" t="s">
        <v>41</v>
      </c>
      <c r="H1383" s="25" t="s">
        <v>71</v>
      </c>
      <c r="I1383" s="3" t="s">
        <v>4736</v>
      </c>
      <c r="J1383" s="25" t="s">
        <v>92</v>
      </c>
      <c r="K1383" s="28">
        <v>6</v>
      </c>
      <c r="L1383" s="7">
        <v>42299</v>
      </c>
      <c r="M1383" s="28">
        <f>Table11[[#This Row],[Ship Date]]-Table11[[#This Row],[Order Date]]</f>
        <v>4</v>
      </c>
      <c r="N1383" s="25" t="s">
        <v>45</v>
      </c>
      <c r="O1383" s="25" t="s">
        <v>23</v>
      </c>
      <c r="P1383" s="25" t="s">
        <v>94</v>
      </c>
      <c r="Q1383" s="25" t="s">
        <v>95</v>
      </c>
      <c r="R1383" s="25" t="s">
        <v>6556</v>
      </c>
      <c r="S1383" s="35">
        <v>0.8</v>
      </c>
      <c r="T1383" s="16">
        <v>73.164000000000001</v>
      </c>
      <c r="U1383" s="19">
        <v>-186.56819999999999</v>
      </c>
      <c r="V1383" s="56">
        <f>Table11[[#This Row],[Profit]]/Table11[[#This Row],[Sales]]</f>
        <v>-2.5499999999999998</v>
      </c>
    </row>
    <row r="1384" spans="1:22" x14ac:dyDescent="0.2">
      <c r="A1384" s="4">
        <v>1383</v>
      </c>
      <c r="B1384" s="5" t="s">
        <v>9820</v>
      </c>
      <c r="C1384" s="6">
        <v>42295</v>
      </c>
      <c r="D1384" s="27">
        <f>MONTH(Table11[[#This Row],[Order Date]])</f>
        <v>10</v>
      </c>
      <c r="E1384" s="5" t="s">
        <v>8419</v>
      </c>
      <c r="F1384" s="5" t="s">
        <v>8420</v>
      </c>
      <c r="G1384" s="24" t="s">
        <v>64</v>
      </c>
      <c r="H1384" s="24" t="s">
        <v>65</v>
      </c>
      <c r="I1384" s="5" t="s">
        <v>4141</v>
      </c>
      <c r="J1384" s="24" t="s">
        <v>22</v>
      </c>
      <c r="K1384" s="27">
        <v>2</v>
      </c>
      <c r="L1384" s="6">
        <v>42299</v>
      </c>
      <c r="M1384" s="27">
        <f>Table11[[#This Row],[Ship Date]]-Table11[[#This Row],[Order Date]]</f>
        <v>4</v>
      </c>
      <c r="N1384" s="24" t="s">
        <v>45</v>
      </c>
      <c r="O1384" s="24" t="s">
        <v>23</v>
      </c>
      <c r="P1384" s="24" t="s">
        <v>87</v>
      </c>
      <c r="Q1384" s="24" t="s">
        <v>39</v>
      </c>
      <c r="R1384" s="24" t="s">
        <v>86</v>
      </c>
      <c r="S1384" s="34">
        <v>0.2</v>
      </c>
      <c r="T1384" s="15">
        <v>249.584</v>
      </c>
      <c r="U1384" s="18">
        <v>15.599</v>
      </c>
      <c r="V1384" s="56">
        <f>Table11[[#This Row],[Profit]]/Table11[[#This Row],[Sales]]</f>
        <v>6.25E-2</v>
      </c>
    </row>
    <row r="1385" spans="1:22" x14ac:dyDescent="0.2">
      <c r="A1385" s="4">
        <v>1384</v>
      </c>
      <c r="B1385" s="3" t="s">
        <v>9820</v>
      </c>
      <c r="C1385" s="7">
        <v>42295</v>
      </c>
      <c r="D1385" s="28">
        <f>MONTH(Table11[[#This Row],[Order Date]])</f>
        <v>10</v>
      </c>
      <c r="E1385" s="3" t="s">
        <v>4830</v>
      </c>
      <c r="F1385" s="3" t="s">
        <v>4831</v>
      </c>
      <c r="G1385" s="25" t="s">
        <v>41</v>
      </c>
      <c r="H1385" s="25" t="s">
        <v>82</v>
      </c>
      <c r="I1385" s="3" t="s">
        <v>4141</v>
      </c>
      <c r="J1385" s="25" t="s">
        <v>22</v>
      </c>
      <c r="K1385" s="28">
        <v>3</v>
      </c>
      <c r="L1385" s="7">
        <v>42299</v>
      </c>
      <c r="M1385" s="28">
        <f>Table11[[#This Row],[Ship Date]]-Table11[[#This Row],[Order Date]]</f>
        <v>4</v>
      </c>
      <c r="N1385" s="25" t="s">
        <v>45</v>
      </c>
      <c r="O1385" s="25" t="s">
        <v>23</v>
      </c>
      <c r="P1385" s="25" t="s">
        <v>87</v>
      </c>
      <c r="Q1385" s="25" t="s">
        <v>39</v>
      </c>
      <c r="R1385" s="25" t="s">
        <v>86</v>
      </c>
      <c r="S1385" s="35">
        <v>0</v>
      </c>
      <c r="T1385" s="16">
        <v>17.940000000000001</v>
      </c>
      <c r="U1385" s="19">
        <v>8.7905999999999995</v>
      </c>
      <c r="V1385" s="56">
        <f>Table11[[#This Row],[Profit]]/Table11[[#This Row],[Sales]]</f>
        <v>0.48999999999999994</v>
      </c>
    </row>
    <row r="1386" spans="1:22" x14ac:dyDescent="0.2">
      <c r="A1386" s="2">
        <v>1385</v>
      </c>
      <c r="B1386" s="5" t="s">
        <v>9820</v>
      </c>
      <c r="C1386" s="6">
        <v>42295</v>
      </c>
      <c r="D1386" s="27">
        <f>MONTH(Table11[[#This Row],[Order Date]])</f>
        <v>10</v>
      </c>
      <c r="E1386" s="5" t="s">
        <v>819</v>
      </c>
      <c r="F1386" s="5" t="s">
        <v>820</v>
      </c>
      <c r="G1386" s="24" t="s">
        <v>28</v>
      </c>
      <c r="H1386" s="24" t="s">
        <v>58</v>
      </c>
      <c r="I1386" s="5" t="s">
        <v>4141</v>
      </c>
      <c r="J1386" s="24" t="s">
        <v>22</v>
      </c>
      <c r="K1386" s="27">
        <v>3</v>
      </c>
      <c r="L1386" s="6">
        <v>42299</v>
      </c>
      <c r="M1386" s="27">
        <f>Table11[[#This Row],[Ship Date]]-Table11[[#This Row],[Order Date]]</f>
        <v>4</v>
      </c>
      <c r="N1386" s="24" t="s">
        <v>45</v>
      </c>
      <c r="O1386" s="24" t="s">
        <v>23</v>
      </c>
      <c r="P1386" s="24" t="s">
        <v>87</v>
      </c>
      <c r="Q1386" s="24" t="s">
        <v>39</v>
      </c>
      <c r="R1386" s="24" t="s">
        <v>86</v>
      </c>
      <c r="S1386" s="34">
        <v>0</v>
      </c>
      <c r="T1386" s="15">
        <v>10.11</v>
      </c>
      <c r="U1386" s="18">
        <v>3.2351999999999999</v>
      </c>
      <c r="V1386" s="56">
        <f>Table11[[#This Row],[Profit]]/Table11[[#This Row],[Sales]]</f>
        <v>0.32</v>
      </c>
    </row>
    <row r="1387" spans="1:22" x14ac:dyDescent="0.2">
      <c r="A1387" s="4">
        <v>1386</v>
      </c>
      <c r="B1387" s="3" t="s">
        <v>2372</v>
      </c>
      <c r="C1387" s="7">
        <v>42296</v>
      </c>
      <c r="D1387" s="28">
        <f>MONTH(Table11[[#This Row],[Order Date]])</f>
        <v>10</v>
      </c>
      <c r="E1387" s="3" t="s">
        <v>2374</v>
      </c>
      <c r="F1387" s="3" t="s">
        <v>2375</v>
      </c>
      <c r="G1387" s="25" t="s">
        <v>41</v>
      </c>
      <c r="H1387" s="25" t="s">
        <v>82</v>
      </c>
      <c r="I1387" s="3" t="s">
        <v>147</v>
      </c>
      <c r="J1387" s="25" t="s">
        <v>22</v>
      </c>
      <c r="K1387" s="28">
        <v>3</v>
      </c>
      <c r="L1387" s="7">
        <v>42297</v>
      </c>
      <c r="M1387" s="28">
        <f>Table11[[#This Row],[Ship Date]]-Table11[[#This Row],[Order Date]]</f>
        <v>1</v>
      </c>
      <c r="N1387" s="25" t="s">
        <v>169</v>
      </c>
      <c r="O1387" s="25" t="s">
        <v>23</v>
      </c>
      <c r="P1387" s="25" t="s">
        <v>2373</v>
      </c>
      <c r="Q1387" s="25" t="s">
        <v>133</v>
      </c>
      <c r="R1387" s="25" t="s">
        <v>79</v>
      </c>
      <c r="S1387" s="35">
        <v>0</v>
      </c>
      <c r="T1387" s="16">
        <v>34.44</v>
      </c>
      <c r="U1387" s="19">
        <v>17.22</v>
      </c>
      <c r="V1387" s="56">
        <f>Table11[[#This Row],[Profit]]/Table11[[#This Row],[Sales]]</f>
        <v>0.5</v>
      </c>
    </row>
    <row r="1388" spans="1:22" x14ac:dyDescent="0.2">
      <c r="A1388" s="4">
        <v>1387</v>
      </c>
      <c r="B1388" s="5" t="s">
        <v>6372</v>
      </c>
      <c r="C1388" s="6">
        <v>42296</v>
      </c>
      <c r="D1388" s="27">
        <f>MONTH(Table11[[#This Row],[Order Date]])</f>
        <v>10</v>
      </c>
      <c r="E1388" s="5" t="s">
        <v>4280</v>
      </c>
      <c r="F1388" s="5" t="s">
        <v>4281</v>
      </c>
      <c r="G1388" s="24" t="s">
        <v>41</v>
      </c>
      <c r="H1388" s="24" t="s">
        <v>68</v>
      </c>
      <c r="I1388" s="5" t="s">
        <v>3462</v>
      </c>
      <c r="J1388" s="24" t="s">
        <v>36</v>
      </c>
      <c r="K1388" s="27">
        <v>6</v>
      </c>
      <c r="L1388" s="6">
        <v>42301</v>
      </c>
      <c r="M1388" s="27">
        <f>Table11[[#This Row],[Ship Date]]-Table11[[#This Row],[Order Date]]</f>
        <v>5</v>
      </c>
      <c r="N1388" s="24" t="s">
        <v>45</v>
      </c>
      <c r="O1388" s="24" t="s">
        <v>23</v>
      </c>
      <c r="P1388" s="24" t="s">
        <v>212</v>
      </c>
      <c r="Q1388" s="24" t="s">
        <v>95</v>
      </c>
      <c r="R1388" s="24" t="s">
        <v>775</v>
      </c>
      <c r="S1388" s="34">
        <v>0</v>
      </c>
      <c r="T1388" s="15">
        <v>38.28</v>
      </c>
      <c r="U1388" s="18">
        <v>17.608799999999999</v>
      </c>
      <c r="V1388" s="56">
        <f>Table11[[#This Row],[Profit]]/Table11[[#This Row],[Sales]]</f>
        <v>0.45999999999999996</v>
      </c>
    </row>
    <row r="1389" spans="1:22" x14ac:dyDescent="0.2">
      <c r="A1389" s="2">
        <v>1388</v>
      </c>
      <c r="B1389" s="3" t="s">
        <v>6372</v>
      </c>
      <c r="C1389" s="7">
        <v>42296</v>
      </c>
      <c r="D1389" s="28">
        <f>MONTH(Table11[[#This Row],[Order Date]])</f>
        <v>10</v>
      </c>
      <c r="E1389" s="3" t="s">
        <v>3434</v>
      </c>
      <c r="F1389" s="3" t="s">
        <v>3435</v>
      </c>
      <c r="G1389" s="25" t="s">
        <v>64</v>
      </c>
      <c r="H1389" s="25" t="s">
        <v>65</v>
      </c>
      <c r="I1389" s="3" t="s">
        <v>3462</v>
      </c>
      <c r="J1389" s="25" t="s">
        <v>36</v>
      </c>
      <c r="K1389" s="28">
        <v>5</v>
      </c>
      <c r="L1389" s="7">
        <v>42301</v>
      </c>
      <c r="M1389" s="28">
        <f>Table11[[#This Row],[Ship Date]]-Table11[[#This Row],[Order Date]]</f>
        <v>5</v>
      </c>
      <c r="N1389" s="25" t="s">
        <v>45</v>
      </c>
      <c r="O1389" s="25" t="s">
        <v>23</v>
      </c>
      <c r="P1389" s="25" t="s">
        <v>212</v>
      </c>
      <c r="Q1389" s="25" t="s">
        <v>95</v>
      </c>
      <c r="R1389" s="25" t="s">
        <v>775</v>
      </c>
      <c r="S1389" s="35">
        <v>0</v>
      </c>
      <c r="T1389" s="16">
        <v>149.94999999999999</v>
      </c>
      <c r="U1389" s="19">
        <v>44.984999999999999</v>
      </c>
      <c r="V1389" s="56">
        <f>Table11[[#This Row],[Profit]]/Table11[[#This Row],[Sales]]</f>
        <v>0.30000000000000004</v>
      </c>
    </row>
    <row r="1390" spans="1:22" x14ac:dyDescent="0.2">
      <c r="A1390" s="4">
        <v>1389</v>
      </c>
      <c r="B1390" s="5" t="s">
        <v>7477</v>
      </c>
      <c r="C1390" s="6">
        <v>42296</v>
      </c>
      <c r="D1390" s="27">
        <f>MONTH(Table11[[#This Row],[Order Date]])</f>
        <v>10</v>
      </c>
      <c r="E1390" s="5" t="s">
        <v>7478</v>
      </c>
      <c r="F1390" s="5" t="s">
        <v>7479</v>
      </c>
      <c r="G1390" s="24" t="s">
        <v>41</v>
      </c>
      <c r="H1390" s="24" t="s">
        <v>71</v>
      </c>
      <c r="I1390" s="5" t="s">
        <v>648</v>
      </c>
      <c r="J1390" s="24" t="s">
        <v>92</v>
      </c>
      <c r="K1390" s="27">
        <v>5</v>
      </c>
      <c r="L1390" s="6">
        <v>42301</v>
      </c>
      <c r="M1390" s="27">
        <f>Table11[[#This Row],[Ship Date]]-Table11[[#This Row],[Order Date]]</f>
        <v>5</v>
      </c>
      <c r="N1390" s="24" t="s">
        <v>45</v>
      </c>
      <c r="O1390" s="24" t="s">
        <v>23</v>
      </c>
      <c r="P1390" s="24" t="s">
        <v>38</v>
      </c>
      <c r="Q1390" s="24" t="s">
        <v>39</v>
      </c>
      <c r="R1390" s="24" t="s">
        <v>37</v>
      </c>
      <c r="S1390" s="34">
        <v>0</v>
      </c>
      <c r="T1390" s="15">
        <v>1640.7</v>
      </c>
      <c r="U1390" s="18">
        <v>459.39600000000002</v>
      </c>
      <c r="V1390" s="56">
        <f>Table11[[#This Row],[Profit]]/Table11[[#This Row],[Sales]]</f>
        <v>0.28000000000000003</v>
      </c>
    </row>
    <row r="1391" spans="1:22" x14ac:dyDescent="0.2">
      <c r="A1391" s="4">
        <v>1390</v>
      </c>
      <c r="B1391" s="3" t="s">
        <v>7477</v>
      </c>
      <c r="C1391" s="7">
        <v>42296</v>
      </c>
      <c r="D1391" s="28">
        <f>MONTH(Table11[[#This Row],[Order Date]])</f>
        <v>10</v>
      </c>
      <c r="E1391" s="3" t="s">
        <v>1033</v>
      </c>
      <c r="F1391" s="3" t="s">
        <v>1034</v>
      </c>
      <c r="G1391" s="25" t="s">
        <v>64</v>
      </c>
      <c r="H1391" s="25" t="s">
        <v>144</v>
      </c>
      <c r="I1391" s="3" t="s">
        <v>648</v>
      </c>
      <c r="J1391" s="25" t="s">
        <v>92</v>
      </c>
      <c r="K1391" s="28">
        <v>3</v>
      </c>
      <c r="L1391" s="7">
        <v>42301</v>
      </c>
      <c r="M1391" s="28">
        <f>Table11[[#This Row],[Ship Date]]-Table11[[#This Row],[Order Date]]</f>
        <v>5</v>
      </c>
      <c r="N1391" s="25" t="s">
        <v>45</v>
      </c>
      <c r="O1391" s="25" t="s">
        <v>23</v>
      </c>
      <c r="P1391" s="25" t="s">
        <v>38</v>
      </c>
      <c r="Q1391" s="25" t="s">
        <v>39</v>
      </c>
      <c r="R1391" s="25" t="s">
        <v>37</v>
      </c>
      <c r="S1391" s="35">
        <v>0</v>
      </c>
      <c r="T1391" s="16">
        <v>270</v>
      </c>
      <c r="U1391" s="19">
        <v>97.2</v>
      </c>
      <c r="V1391" s="56">
        <f>Table11[[#This Row],[Profit]]/Table11[[#This Row],[Sales]]</f>
        <v>0.36</v>
      </c>
    </row>
    <row r="1392" spans="1:22" x14ac:dyDescent="0.2">
      <c r="A1392" s="2">
        <v>1391</v>
      </c>
      <c r="B1392" s="5" t="s">
        <v>9568</v>
      </c>
      <c r="C1392" s="6">
        <v>42296</v>
      </c>
      <c r="D1392" s="27">
        <f>MONTH(Table11[[#This Row],[Order Date]])</f>
        <v>10</v>
      </c>
      <c r="E1392" s="5" t="s">
        <v>1648</v>
      </c>
      <c r="F1392" s="5" t="s">
        <v>1649</v>
      </c>
      <c r="G1392" s="24" t="s">
        <v>41</v>
      </c>
      <c r="H1392" s="24" t="s">
        <v>68</v>
      </c>
      <c r="I1392" s="5" t="s">
        <v>7013</v>
      </c>
      <c r="J1392" s="24" t="s">
        <v>22</v>
      </c>
      <c r="K1392" s="27">
        <v>1</v>
      </c>
      <c r="L1392" s="6">
        <v>42301</v>
      </c>
      <c r="M1392" s="27">
        <f>Table11[[#This Row],[Ship Date]]-Table11[[#This Row],[Order Date]]</f>
        <v>5</v>
      </c>
      <c r="N1392" s="24" t="s">
        <v>20</v>
      </c>
      <c r="O1392" s="24" t="s">
        <v>23</v>
      </c>
      <c r="P1392" s="24" t="s">
        <v>94</v>
      </c>
      <c r="Q1392" s="24" t="s">
        <v>95</v>
      </c>
      <c r="R1392" s="24" t="s">
        <v>718</v>
      </c>
      <c r="S1392" s="34">
        <v>0.8</v>
      </c>
      <c r="T1392" s="15">
        <v>1.72</v>
      </c>
      <c r="U1392" s="18">
        <v>-2.8380000000000001</v>
      </c>
      <c r="V1392" s="56">
        <f>Table11[[#This Row],[Profit]]/Table11[[#This Row],[Sales]]</f>
        <v>-1.6500000000000001</v>
      </c>
    </row>
    <row r="1393" spans="1:22" x14ac:dyDescent="0.2">
      <c r="A1393" s="4">
        <v>1392</v>
      </c>
      <c r="B1393" s="3" t="s">
        <v>9031</v>
      </c>
      <c r="C1393" s="7">
        <v>42297</v>
      </c>
      <c r="D1393" s="28">
        <f>MONTH(Table11[[#This Row],[Order Date]])</f>
        <v>10</v>
      </c>
      <c r="E1393" s="3" t="s">
        <v>1472</v>
      </c>
      <c r="F1393" s="3" t="s">
        <v>1473</v>
      </c>
      <c r="G1393" s="25" t="s">
        <v>64</v>
      </c>
      <c r="H1393" s="25" t="s">
        <v>144</v>
      </c>
      <c r="I1393" s="3" t="s">
        <v>2725</v>
      </c>
      <c r="J1393" s="25" t="s">
        <v>36</v>
      </c>
      <c r="K1393" s="28">
        <v>3</v>
      </c>
      <c r="L1393" s="7">
        <v>42301</v>
      </c>
      <c r="M1393" s="28">
        <f>Table11[[#This Row],[Ship Date]]-Table11[[#This Row],[Order Date]]</f>
        <v>4</v>
      </c>
      <c r="N1393" s="25" t="s">
        <v>45</v>
      </c>
      <c r="O1393" s="25" t="s">
        <v>23</v>
      </c>
      <c r="P1393" s="25" t="s">
        <v>38</v>
      </c>
      <c r="Q1393" s="25" t="s">
        <v>39</v>
      </c>
      <c r="R1393" s="25" t="s">
        <v>114</v>
      </c>
      <c r="S1393" s="35">
        <v>0</v>
      </c>
      <c r="T1393" s="16">
        <v>239.97</v>
      </c>
      <c r="U1393" s="19">
        <v>86.389200000000002</v>
      </c>
      <c r="V1393" s="56">
        <f>Table11[[#This Row],[Profit]]/Table11[[#This Row],[Sales]]</f>
        <v>0.36</v>
      </c>
    </row>
    <row r="1394" spans="1:22" x14ac:dyDescent="0.2">
      <c r="A1394" s="4">
        <v>1393</v>
      </c>
      <c r="B1394" s="5" t="s">
        <v>9031</v>
      </c>
      <c r="C1394" s="6">
        <v>42297</v>
      </c>
      <c r="D1394" s="27">
        <f>MONTH(Table11[[#This Row],[Order Date]])</f>
        <v>10</v>
      </c>
      <c r="E1394" s="5" t="s">
        <v>6115</v>
      </c>
      <c r="F1394" s="5" t="s">
        <v>6116</v>
      </c>
      <c r="G1394" s="24" t="s">
        <v>28</v>
      </c>
      <c r="H1394" s="24" t="s">
        <v>58</v>
      </c>
      <c r="I1394" s="5" t="s">
        <v>2725</v>
      </c>
      <c r="J1394" s="24" t="s">
        <v>36</v>
      </c>
      <c r="K1394" s="27">
        <v>6</v>
      </c>
      <c r="L1394" s="6">
        <v>42301</v>
      </c>
      <c r="M1394" s="27">
        <f>Table11[[#This Row],[Ship Date]]-Table11[[#This Row],[Order Date]]</f>
        <v>4</v>
      </c>
      <c r="N1394" s="24" t="s">
        <v>45</v>
      </c>
      <c r="O1394" s="24" t="s">
        <v>23</v>
      </c>
      <c r="P1394" s="24" t="s">
        <v>38</v>
      </c>
      <c r="Q1394" s="24" t="s">
        <v>39</v>
      </c>
      <c r="R1394" s="24" t="s">
        <v>114</v>
      </c>
      <c r="S1394" s="34">
        <v>0</v>
      </c>
      <c r="T1394" s="15">
        <v>16.02</v>
      </c>
      <c r="U1394" s="18">
        <v>6.0876000000000001</v>
      </c>
      <c r="V1394" s="56">
        <f>Table11[[#This Row],[Profit]]/Table11[[#This Row],[Sales]]</f>
        <v>0.38</v>
      </c>
    </row>
    <row r="1395" spans="1:22" x14ac:dyDescent="0.2">
      <c r="A1395" s="2">
        <v>1394</v>
      </c>
      <c r="B1395" s="3" t="s">
        <v>9331</v>
      </c>
      <c r="C1395" s="7">
        <v>42297</v>
      </c>
      <c r="D1395" s="28">
        <f>MONTH(Table11[[#This Row],[Order Date]])</f>
        <v>10</v>
      </c>
      <c r="E1395" s="3" t="s">
        <v>166</v>
      </c>
      <c r="F1395" s="3" t="s">
        <v>167</v>
      </c>
      <c r="G1395" s="25" t="s">
        <v>41</v>
      </c>
      <c r="H1395" s="25" t="s">
        <v>82</v>
      </c>
      <c r="I1395" s="3" t="s">
        <v>3519</v>
      </c>
      <c r="J1395" s="25" t="s">
        <v>22</v>
      </c>
      <c r="K1395" s="28">
        <v>2</v>
      </c>
      <c r="L1395" s="7">
        <v>42299</v>
      </c>
      <c r="M1395" s="28">
        <f>Table11[[#This Row],[Ship Date]]-Table11[[#This Row],[Order Date]]</f>
        <v>2</v>
      </c>
      <c r="N1395" s="25" t="s">
        <v>169</v>
      </c>
      <c r="O1395" s="25" t="s">
        <v>23</v>
      </c>
      <c r="P1395" s="25" t="s">
        <v>238</v>
      </c>
      <c r="Q1395" s="25" t="s">
        <v>133</v>
      </c>
      <c r="R1395" s="25" t="s">
        <v>237</v>
      </c>
      <c r="S1395" s="35">
        <v>0</v>
      </c>
      <c r="T1395" s="16">
        <v>24.56</v>
      </c>
      <c r="U1395" s="19">
        <v>11.543200000000001</v>
      </c>
      <c r="V1395" s="56">
        <f>Table11[[#This Row],[Profit]]/Table11[[#This Row],[Sales]]</f>
        <v>0.47000000000000003</v>
      </c>
    </row>
    <row r="1396" spans="1:22" x14ac:dyDescent="0.2">
      <c r="A1396" s="4">
        <v>1395</v>
      </c>
      <c r="B1396" s="5" t="s">
        <v>9617</v>
      </c>
      <c r="C1396" s="6">
        <v>42297</v>
      </c>
      <c r="D1396" s="27">
        <f>MONTH(Table11[[#This Row],[Order Date]])</f>
        <v>10</v>
      </c>
      <c r="E1396" s="5" t="s">
        <v>6879</v>
      </c>
      <c r="F1396" s="5" t="s">
        <v>6880</v>
      </c>
      <c r="G1396" s="24" t="s">
        <v>28</v>
      </c>
      <c r="H1396" s="24" t="s">
        <v>58</v>
      </c>
      <c r="I1396" s="5" t="s">
        <v>5168</v>
      </c>
      <c r="J1396" s="24" t="s">
        <v>22</v>
      </c>
      <c r="K1396" s="27">
        <v>7</v>
      </c>
      <c r="L1396" s="6">
        <v>42301</v>
      </c>
      <c r="M1396" s="27">
        <f>Table11[[#This Row],[Ship Date]]-Table11[[#This Row],[Order Date]]</f>
        <v>4</v>
      </c>
      <c r="N1396" s="24" t="s">
        <v>45</v>
      </c>
      <c r="O1396" s="24" t="s">
        <v>23</v>
      </c>
      <c r="P1396" s="24" t="s">
        <v>38</v>
      </c>
      <c r="Q1396" s="24" t="s">
        <v>39</v>
      </c>
      <c r="R1396" s="24" t="s">
        <v>37</v>
      </c>
      <c r="S1396" s="34">
        <v>0</v>
      </c>
      <c r="T1396" s="15">
        <v>74.760000000000005</v>
      </c>
      <c r="U1396" s="18">
        <v>23.923200000000001</v>
      </c>
      <c r="V1396" s="56">
        <f>Table11[[#This Row],[Profit]]/Table11[[#This Row],[Sales]]</f>
        <v>0.32</v>
      </c>
    </row>
    <row r="1397" spans="1:22" x14ac:dyDescent="0.2">
      <c r="A1397" s="4">
        <v>1396</v>
      </c>
      <c r="B1397" s="3" t="s">
        <v>9617</v>
      </c>
      <c r="C1397" s="7">
        <v>42297</v>
      </c>
      <c r="D1397" s="28">
        <f>MONTH(Table11[[#This Row],[Order Date]])</f>
        <v>10</v>
      </c>
      <c r="E1397" s="3" t="s">
        <v>7555</v>
      </c>
      <c r="F1397" s="3" t="s">
        <v>7556</v>
      </c>
      <c r="G1397" s="25" t="s">
        <v>28</v>
      </c>
      <c r="H1397" s="25" t="s">
        <v>50</v>
      </c>
      <c r="I1397" s="3" t="s">
        <v>5168</v>
      </c>
      <c r="J1397" s="25" t="s">
        <v>22</v>
      </c>
      <c r="K1397" s="28">
        <v>3</v>
      </c>
      <c r="L1397" s="7">
        <v>42301</v>
      </c>
      <c r="M1397" s="28">
        <f>Table11[[#This Row],[Ship Date]]-Table11[[#This Row],[Order Date]]</f>
        <v>4</v>
      </c>
      <c r="N1397" s="25" t="s">
        <v>45</v>
      </c>
      <c r="O1397" s="25" t="s">
        <v>23</v>
      </c>
      <c r="P1397" s="25" t="s">
        <v>38</v>
      </c>
      <c r="Q1397" s="25" t="s">
        <v>39</v>
      </c>
      <c r="R1397" s="25" t="s">
        <v>37</v>
      </c>
      <c r="S1397" s="35">
        <v>0.2</v>
      </c>
      <c r="T1397" s="16">
        <v>364.77600000000001</v>
      </c>
      <c r="U1397" s="19">
        <v>27.3582</v>
      </c>
      <c r="V1397" s="56">
        <f>Table11[[#This Row],[Profit]]/Table11[[#This Row],[Sales]]</f>
        <v>7.4999999999999997E-2</v>
      </c>
    </row>
    <row r="1398" spans="1:22" x14ac:dyDescent="0.2">
      <c r="A1398" s="2">
        <v>1397</v>
      </c>
      <c r="B1398" s="5" t="s">
        <v>2968</v>
      </c>
      <c r="C1398" s="6">
        <v>42299</v>
      </c>
      <c r="D1398" s="27">
        <f>MONTH(Table11[[#This Row],[Order Date]])</f>
        <v>10</v>
      </c>
      <c r="E1398" s="5" t="s">
        <v>2149</v>
      </c>
      <c r="F1398" s="5" t="s">
        <v>2150</v>
      </c>
      <c r="G1398" s="24" t="s">
        <v>41</v>
      </c>
      <c r="H1398" s="24" t="s">
        <v>68</v>
      </c>
      <c r="I1398" s="5" t="s">
        <v>2178</v>
      </c>
      <c r="J1398" s="24" t="s">
        <v>22</v>
      </c>
      <c r="K1398" s="27">
        <v>4</v>
      </c>
      <c r="L1398" s="6">
        <v>42303</v>
      </c>
      <c r="M1398" s="27">
        <f>Table11[[#This Row],[Ship Date]]-Table11[[#This Row],[Order Date]]</f>
        <v>4</v>
      </c>
      <c r="N1398" s="24" t="s">
        <v>45</v>
      </c>
      <c r="O1398" s="24" t="s">
        <v>23</v>
      </c>
      <c r="P1398" s="24" t="s">
        <v>189</v>
      </c>
      <c r="Q1398" s="24" t="s">
        <v>95</v>
      </c>
      <c r="R1398" s="24" t="s">
        <v>476</v>
      </c>
      <c r="S1398" s="34">
        <v>0.8</v>
      </c>
      <c r="T1398" s="15">
        <v>5.1760000000000002</v>
      </c>
      <c r="U1398" s="18">
        <v>-7.7640000000000002</v>
      </c>
      <c r="V1398" s="56">
        <f>Table11[[#This Row],[Profit]]/Table11[[#This Row],[Sales]]</f>
        <v>-1.5</v>
      </c>
    </row>
    <row r="1399" spans="1:22" x14ac:dyDescent="0.2">
      <c r="A1399" s="4">
        <v>1398</v>
      </c>
      <c r="B1399" s="3" t="s">
        <v>9269</v>
      </c>
      <c r="C1399" s="7">
        <v>42299</v>
      </c>
      <c r="D1399" s="28">
        <f>MONTH(Table11[[#This Row],[Order Date]])</f>
        <v>10</v>
      </c>
      <c r="E1399" s="3" t="s">
        <v>916</v>
      </c>
      <c r="F1399" s="3" t="s">
        <v>917</v>
      </c>
      <c r="G1399" s="25" t="s">
        <v>41</v>
      </c>
      <c r="H1399" s="25" t="s">
        <v>53</v>
      </c>
      <c r="I1399" s="3" t="s">
        <v>3160</v>
      </c>
      <c r="J1399" s="25" t="s">
        <v>22</v>
      </c>
      <c r="K1399" s="28">
        <v>1</v>
      </c>
      <c r="L1399" s="7">
        <v>42303</v>
      </c>
      <c r="M1399" s="28">
        <f>Table11[[#This Row],[Ship Date]]-Table11[[#This Row],[Order Date]]</f>
        <v>4</v>
      </c>
      <c r="N1399" s="25" t="s">
        <v>20</v>
      </c>
      <c r="O1399" s="25" t="s">
        <v>23</v>
      </c>
      <c r="P1399" s="25" t="s">
        <v>48</v>
      </c>
      <c r="Q1399" s="25" t="s">
        <v>26</v>
      </c>
      <c r="R1399" s="25" t="s">
        <v>6510</v>
      </c>
      <c r="S1399" s="35">
        <v>0.2</v>
      </c>
      <c r="T1399" s="16">
        <v>9.952</v>
      </c>
      <c r="U1399" s="19">
        <v>0.99519999999999997</v>
      </c>
      <c r="V1399" s="56">
        <f>Table11[[#This Row],[Profit]]/Table11[[#This Row],[Sales]]</f>
        <v>9.9999999999999992E-2</v>
      </c>
    </row>
    <row r="1400" spans="1:22" x14ac:dyDescent="0.2">
      <c r="A1400" s="4">
        <v>1399</v>
      </c>
      <c r="B1400" s="5" t="s">
        <v>6300</v>
      </c>
      <c r="C1400" s="6">
        <v>42300</v>
      </c>
      <c r="D1400" s="27">
        <f>MONTH(Table11[[#This Row],[Order Date]])</f>
        <v>10</v>
      </c>
      <c r="E1400" s="5" t="s">
        <v>2321</v>
      </c>
      <c r="F1400" s="5" t="s">
        <v>2322</v>
      </c>
      <c r="G1400" s="24" t="s">
        <v>64</v>
      </c>
      <c r="H1400" s="24" t="s">
        <v>144</v>
      </c>
      <c r="I1400" s="5" t="s">
        <v>2054</v>
      </c>
      <c r="J1400" s="24" t="s">
        <v>22</v>
      </c>
      <c r="K1400" s="27">
        <v>9</v>
      </c>
      <c r="L1400" s="6">
        <v>42304</v>
      </c>
      <c r="M1400" s="27">
        <f>Table11[[#This Row],[Ship Date]]-Table11[[#This Row],[Order Date]]</f>
        <v>4</v>
      </c>
      <c r="N1400" s="24" t="s">
        <v>20</v>
      </c>
      <c r="O1400" s="24" t="s">
        <v>23</v>
      </c>
      <c r="P1400" s="24" t="s">
        <v>38</v>
      </c>
      <c r="Q1400" s="24" t="s">
        <v>39</v>
      </c>
      <c r="R1400" s="24" t="s">
        <v>836</v>
      </c>
      <c r="S1400" s="34">
        <v>0</v>
      </c>
      <c r="T1400" s="15">
        <v>148.32</v>
      </c>
      <c r="U1400" s="18">
        <v>63.7776</v>
      </c>
      <c r="V1400" s="56">
        <f>Table11[[#This Row],[Profit]]/Table11[[#This Row],[Sales]]</f>
        <v>0.43</v>
      </c>
    </row>
    <row r="1401" spans="1:22" x14ac:dyDescent="0.2">
      <c r="A1401" s="2">
        <v>1400</v>
      </c>
      <c r="B1401" s="3" t="s">
        <v>6300</v>
      </c>
      <c r="C1401" s="7">
        <v>42300</v>
      </c>
      <c r="D1401" s="28">
        <f>MONTH(Table11[[#This Row],[Order Date]])</f>
        <v>10</v>
      </c>
      <c r="E1401" s="3" t="s">
        <v>5673</v>
      </c>
      <c r="F1401" s="3" t="s">
        <v>5674</v>
      </c>
      <c r="G1401" s="25" t="s">
        <v>28</v>
      </c>
      <c r="H1401" s="25" t="s">
        <v>32</v>
      </c>
      <c r="I1401" s="3" t="s">
        <v>2054</v>
      </c>
      <c r="J1401" s="25" t="s">
        <v>22</v>
      </c>
      <c r="K1401" s="28">
        <v>1</v>
      </c>
      <c r="L1401" s="7">
        <v>42304</v>
      </c>
      <c r="M1401" s="28">
        <f>Table11[[#This Row],[Ship Date]]-Table11[[#This Row],[Order Date]]</f>
        <v>4</v>
      </c>
      <c r="N1401" s="25" t="s">
        <v>20</v>
      </c>
      <c r="O1401" s="25" t="s">
        <v>23</v>
      </c>
      <c r="P1401" s="25" t="s">
        <v>38</v>
      </c>
      <c r="Q1401" s="25" t="s">
        <v>39</v>
      </c>
      <c r="R1401" s="25" t="s">
        <v>836</v>
      </c>
      <c r="S1401" s="35">
        <v>0.2</v>
      </c>
      <c r="T1401" s="16">
        <v>240.78399999999999</v>
      </c>
      <c r="U1401" s="19">
        <v>27.088200000000001</v>
      </c>
      <c r="V1401" s="56">
        <f>Table11[[#This Row],[Profit]]/Table11[[#This Row],[Sales]]</f>
        <v>0.1125</v>
      </c>
    </row>
    <row r="1402" spans="1:22" x14ac:dyDescent="0.2">
      <c r="A1402" s="4">
        <v>1401</v>
      </c>
      <c r="B1402" s="5" t="s">
        <v>6300</v>
      </c>
      <c r="C1402" s="6">
        <v>42300</v>
      </c>
      <c r="D1402" s="27">
        <f>MONTH(Table11[[#This Row],[Order Date]])</f>
        <v>10</v>
      </c>
      <c r="E1402" s="5" t="s">
        <v>3012</v>
      </c>
      <c r="F1402" s="5" t="s">
        <v>3013</v>
      </c>
      <c r="G1402" s="24" t="s">
        <v>28</v>
      </c>
      <c r="H1402" s="24" t="s">
        <v>32</v>
      </c>
      <c r="I1402" s="5" t="s">
        <v>2054</v>
      </c>
      <c r="J1402" s="24" t="s">
        <v>22</v>
      </c>
      <c r="K1402" s="27">
        <v>7</v>
      </c>
      <c r="L1402" s="6">
        <v>42304</v>
      </c>
      <c r="M1402" s="27">
        <f>Table11[[#This Row],[Ship Date]]-Table11[[#This Row],[Order Date]]</f>
        <v>4</v>
      </c>
      <c r="N1402" s="24" t="s">
        <v>20</v>
      </c>
      <c r="O1402" s="24" t="s">
        <v>23</v>
      </c>
      <c r="P1402" s="24" t="s">
        <v>38</v>
      </c>
      <c r="Q1402" s="24" t="s">
        <v>39</v>
      </c>
      <c r="R1402" s="24" t="s">
        <v>836</v>
      </c>
      <c r="S1402" s="34">
        <v>0.2</v>
      </c>
      <c r="T1402" s="15">
        <v>191.96799999999999</v>
      </c>
      <c r="U1402" s="18">
        <v>16.7972</v>
      </c>
      <c r="V1402" s="56">
        <f>Table11[[#This Row],[Profit]]/Table11[[#This Row],[Sales]]</f>
        <v>8.7500000000000008E-2</v>
      </c>
    </row>
    <row r="1403" spans="1:22" x14ac:dyDescent="0.2">
      <c r="A1403" s="4">
        <v>1402</v>
      </c>
      <c r="B1403" s="3" t="s">
        <v>6300</v>
      </c>
      <c r="C1403" s="7">
        <v>42300</v>
      </c>
      <c r="D1403" s="28">
        <f>MONTH(Table11[[#This Row],[Order Date]])</f>
        <v>10</v>
      </c>
      <c r="E1403" s="3" t="s">
        <v>2087</v>
      </c>
      <c r="F1403" s="3" t="s">
        <v>2088</v>
      </c>
      <c r="G1403" s="25" t="s">
        <v>41</v>
      </c>
      <c r="H1403" s="25" t="s">
        <v>82</v>
      </c>
      <c r="I1403" s="3" t="s">
        <v>2054</v>
      </c>
      <c r="J1403" s="25" t="s">
        <v>22</v>
      </c>
      <c r="K1403" s="28">
        <v>2</v>
      </c>
      <c r="L1403" s="7">
        <v>42304</v>
      </c>
      <c r="M1403" s="28">
        <f>Table11[[#This Row],[Ship Date]]-Table11[[#This Row],[Order Date]]</f>
        <v>4</v>
      </c>
      <c r="N1403" s="25" t="s">
        <v>20</v>
      </c>
      <c r="O1403" s="25" t="s">
        <v>23</v>
      </c>
      <c r="P1403" s="25" t="s">
        <v>38</v>
      </c>
      <c r="Q1403" s="25" t="s">
        <v>39</v>
      </c>
      <c r="R1403" s="25" t="s">
        <v>836</v>
      </c>
      <c r="S1403" s="35">
        <v>0</v>
      </c>
      <c r="T1403" s="16">
        <v>11.56</v>
      </c>
      <c r="U1403" s="19">
        <v>5.6643999999999997</v>
      </c>
      <c r="V1403" s="56">
        <f>Table11[[#This Row],[Profit]]/Table11[[#This Row],[Sales]]</f>
        <v>0.48999999999999994</v>
      </c>
    </row>
    <row r="1404" spans="1:22" x14ac:dyDescent="0.2">
      <c r="A1404" s="2">
        <v>1403</v>
      </c>
      <c r="B1404" s="5" t="s">
        <v>6300</v>
      </c>
      <c r="C1404" s="6">
        <v>42300</v>
      </c>
      <c r="D1404" s="27">
        <f>MONTH(Table11[[#This Row],[Order Date]])</f>
        <v>10</v>
      </c>
      <c r="E1404" s="5" t="s">
        <v>444</v>
      </c>
      <c r="F1404" s="5" t="s">
        <v>445</v>
      </c>
      <c r="G1404" s="24" t="s">
        <v>41</v>
      </c>
      <c r="H1404" s="24" t="s">
        <v>155</v>
      </c>
      <c r="I1404" s="5" t="s">
        <v>2054</v>
      </c>
      <c r="J1404" s="24" t="s">
        <v>22</v>
      </c>
      <c r="K1404" s="27">
        <v>4</v>
      </c>
      <c r="L1404" s="6">
        <v>42304</v>
      </c>
      <c r="M1404" s="27">
        <f>Table11[[#This Row],[Ship Date]]-Table11[[#This Row],[Order Date]]</f>
        <v>4</v>
      </c>
      <c r="N1404" s="24" t="s">
        <v>20</v>
      </c>
      <c r="O1404" s="24" t="s">
        <v>23</v>
      </c>
      <c r="P1404" s="24" t="s">
        <v>38</v>
      </c>
      <c r="Q1404" s="24" t="s">
        <v>39</v>
      </c>
      <c r="R1404" s="24" t="s">
        <v>836</v>
      </c>
      <c r="S1404" s="34">
        <v>0</v>
      </c>
      <c r="T1404" s="15">
        <v>11.8</v>
      </c>
      <c r="U1404" s="18">
        <v>5.6639999999999997</v>
      </c>
      <c r="V1404" s="56">
        <f>Table11[[#This Row],[Profit]]/Table11[[#This Row],[Sales]]</f>
        <v>0.47999999999999993</v>
      </c>
    </row>
    <row r="1405" spans="1:22" x14ac:dyDescent="0.2">
      <c r="A1405" s="4">
        <v>1404</v>
      </c>
      <c r="B1405" s="3" t="s">
        <v>6300</v>
      </c>
      <c r="C1405" s="7">
        <v>42300</v>
      </c>
      <c r="D1405" s="28">
        <f>MONTH(Table11[[#This Row],[Order Date]])</f>
        <v>10</v>
      </c>
      <c r="E1405" s="3" t="s">
        <v>3992</v>
      </c>
      <c r="F1405" s="3" t="s">
        <v>3993</v>
      </c>
      <c r="G1405" s="25" t="s">
        <v>28</v>
      </c>
      <c r="H1405" s="25" t="s">
        <v>32</v>
      </c>
      <c r="I1405" s="3" t="s">
        <v>2054</v>
      </c>
      <c r="J1405" s="25" t="s">
        <v>22</v>
      </c>
      <c r="K1405" s="28">
        <v>3</v>
      </c>
      <c r="L1405" s="7">
        <v>42304</v>
      </c>
      <c r="M1405" s="28">
        <f>Table11[[#This Row],[Ship Date]]-Table11[[#This Row],[Order Date]]</f>
        <v>4</v>
      </c>
      <c r="N1405" s="25" t="s">
        <v>20</v>
      </c>
      <c r="O1405" s="25" t="s">
        <v>23</v>
      </c>
      <c r="P1405" s="25" t="s">
        <v>38</v>
      </c>
      <c r="Q1405" s="25" t="s">
        <v>39</v>
      </c>
      <c r="R1405" s="25" t="s">
        <v>836</v>
      </c>
      <c r="S1405" s="35">
        <v>0.2</v>
      </c>
      <c r="T1405" s="16">
        <v>842.35199999999998</v>
      </c>
      <c r="U1405" s="19">
        <v>42.117600000000003</v>
      </c>
      <c r="V1405" s="56">
        <f>Table11[[#This Row],[Profit]]/Table11[[#This Row],[Sales]]</f>
        <v>0.05</v>
      </c>
    </row>
    <row r="1406" spans="1:22" x14ac:dyDescent="0.2">
      <c r="A1406" s="4">
        <v>1405</v>
      </c>
      <c r="B1406" s="5" t="s">
        <v>6620</v>
      </c>
      <c r="C1406" s="6">
        <v>42300</v>
      </c>
      <c r="D1406" s="27">
        <f>MONTH(Table11[[#This Row],[Order Date]])</f>
        <v>10</v>
      </c>
      <c r="E1406" s="5" t="s">
        <v>4018</v>
      </c>
      <c r="F1406" s="5" t="s">
        <v>4019</v>
      </c>
      <c r="G1406" s="24" t="s">
        <v>64</v>
      </c>
      <c r="H1406" s="24" t="s">
        <v>65</v>
      </c>
      <c r="I1406" s="5" t="s">
        <v>1965</v>
      </c>
      <c r="J1406" s="24" t="s">
        <v>22</v>
      </c>
      <c r="K1406" s="27">
        <v>7</v>
      </c>
      <c r="L1406" s="6">
        <v>42300</v>
      </c>
      <c r="M1406" s="27">
        <f>Table11[[#This Row],[Ship Date]]-Table11[[#This Row],[Order Date]]</f>
        <v>0</v>
      </c>
      <c r="N1406" s="24" t="s">
        <v>1141</v>
      </c>
      <c r="O1406" s="24" t="s">
        <v>23</v>
      </c>
      <c r="P1406" s="24" t="s">
        <v>48</v>
      </c>
      <c r="Q1406" s="24" t="s">
        <v>26</v>
      </c>
      <c r="R1406" s="24" t="s">
        <v>1587</v>
      </c>
      <c r="S1406" s="34">
        <v>0.2</v>
      </c>
      <c r="T1406" s="15">
        <v>55.944000000000003</v>
      </c>
      <c r="U1406" s="18">
        <v>-13.2867</v>
      </c>
      <c r="V1406" s="56">
        <f>Table11[[#This Row],[Profit]]/Table11[[#This Row],[Sales]]</f>
        <v>-0.23749999999999999</v>
      </c>
    </row>
    <row r="1407" spans="1:22" x14ac:dyDescent="0.2">
      <c r="A1407" s="2">
        <v>1406</v>
      </c>
      <c r="B1407" s="3" t="s">
        <v>6620</v>
      </c>
      <c r="C1407" s="7">
        <v>42300</v>
      </c>
      <c r="D1407" s="28">
        <f>MONTH(Table11[[#This Row],[Order Date]])</f>
        <v>10</v>
      </c>
      <c r="E1407" s="3" t="s">
        <v>608</v>
      </c>
      <c r="F1407" s="3" t="s">
        <v>609</v>
      </c>
      <c r="G1407" s="25" t="s">
        <v>41</v>
      </c>
      <c r="H1407" s="25" t="s">
        <v>61</v>
      </c>
      <c r="I1407" s="3" t="s">
        <v>1965</v>
      </c>
      <c r="J1407" s="25" t="s">
        <v>22</v>
      </c>
      <c r="K1407" s="28">
        <v>2</v>
      </c>
      <c r="L1407" s="7">
        <v>42300</v>
      </c>
      <c r="M1407" s="28">
        <f>Table11[[#This Row],[Ship Date]]-Table11[[#This Row],[Order Date]]</f>
        <v>0</v>
      </c>
      <c r="N1407" s="25" t="s">
        <v>1141</v>
      </c>
      <c r="O1407" s="25" t="s">
        <v>23</v>
      </c>
      <c r="P1407" s="25" t="s">
        <v>48</v>
      </c>
      <c r="Q1407" s="25" t="s">
        <v>26</v>
      </c>
      <c r="R1407" s="25" t="s">
        <v>1587</v>
      </c>
      <c r="S1407" s="35">
        <v>0.2</v>
      </c>
      <c r="T1407" s="16">
        <v>10.688000000000001</v>
      </c>
      <c r="U1407" s="19">
        <v>2.2711999999999999</v>
      </c>
      <c r="V1407" s="56">
        <f>Table11[[#This Row],[Profit]]/Table11[[#This Row],[Sales]]</f>
        <v>0.21249999999999997</v>
      </c>
    </row>
    <row r="1408" spans="1:22" x14ac:dyDescent="0.2">
      <c r="A1408" s="4">
        <v>1407</v>
      </c>
      <c r="B1408" s="5" t="s">
        <v>6620</v>
      </c>
      <c r="C1408" s="6">
        <v>42300</v>
      </c>
      <c r="D1408" s="27">
        <f>MONTH(Table11[[#This Row],[Order Date]])</f>
        <v>10</v>
      </c>
      <c r="E1408" s="5" t="s">
        <v>4183</v>
      </c>
      <c r="F1408" s="5" t="s">
        <v>4184</v>
      </c>
      <c r="G1408" s="24" t="s">
        <v>64</v>
      </c>
      <c r="H1408" s="24" t="s">
        <v>65</v>
      </c>
      <c r="I1408" s="5" t="s">
        <v>1965</v>
      </c>
      <c r="J1408" s="24" t="s">
        <v>22</v>
      </c>
      <c r="K1408" s="27">
        <v>2</v>
      </c>
      <c r="L1408" s="6">
        <v>42300</v>
      </c>
      <c r="M1408" s="27">
        <f>Table11[[#This Row],[Ship Date]]-Table11[[#This Row],[Order Date]]</f>
        <v>0</v>
      </c>
      <c r="N1408" s="24" t="s">
        <v>1141</v>
      </c>
      <c r="O1408" s="24" t="s">
        <v>23</v>
      </c>
      <c r="P1408" s="24" t="s">
        <v>48</v>
      </c>
      <c r="Q1408" s="24" t="s">
        <v>26</v>
      </c>
      <c r="R1408" s="24" t="s">
        <v>1587</v>
      </c>
      <c r="S1408" s="34">
        <v>0.2</v>
      </c>
      <c r="T1408" s="15">
        <v>11.824</v>
      </c>
      <c r="U1408" s="18">
        <v>1.0346</v>
      </c>
      <c r="V1408" s="56">
        <f>Table11[[#This Row],[Profit]]/Table11[[#This Row],[Sales]]</f>
        <v>8.7499999999999994E-2</v>
      </c>
    </row>
    <row r="1409" spans="1:22" x14ac:dyDescent="0.2">
      <c r="A1409" s="4">
        <v>1408</v>
      </c>
      <c r="B1409" s="3" t="s">
        <v>6637</v>
      </c>
      <c r="C1409" s="7">
        <v>42300</v>
      </c>
      <c r="D1409" s="28">
        <f>MONTH(Table11[[#This Row],[Order Date]])</f>
        <v>10</v>
      </c>
      <c r="E1409" s="3" t="s">
        <v>1077</v>
      </c>
      <c r="F1409" s="3" t="s">
        <v>1078</v>
      </c>
      <c r="G1409" s="25" t="s">
        <v>41</v>
      </c>
      <c r="H1409" s="25" t="s">
        <v>68</v>
      </c>
      <c r="I1409" s="3" t="s">
        <v>911</v>
      </c>
      <c r="J1409" s="25" t="s">
        <v>36</v>
      </c>
      <c r="K1409" s="28">
        <v>1</v>
      </c>
      <c r="L1409" s="7">
        <v>42305</v>
      </c>
      <c r="M1409" s="28">
        <f>Table11[[#This Row],[Ship Date]]-Table11[[#This Row],[Order Date]]</f>
        <v>5</v>
      </c>
      <c r="N1409" s="25" t="s">
        <v>45</v>
      </c>
      <c r="O1409" s="25" t="s">
        <v>23</v>
      </c>
      <c r="P1409" s="25" t="s">
        <v>87</v>
      </c>
      <c r="Q1409" s="25" t="s">
        <v>39</v>
      </c>
      <c r="R1409" s="25" t="s">
        <v>86</v>
      </c>
      <c r="S1409" s="35">
        <v>0.2</v>
      </c>
      <c r="T1409" s="16">
        <v>3.5920000000000001</v>
      </c>
      <c r="U1409" s="19">
        <v>1.1225000000000001</v>
      </c>
      <c r="V1409" s="56">
        <f>Table11[[#This Row],[Profit]]/Table11[[#This Row],[Sales]]</f>
        <v>0.3125</v>
      </c>
    </row>
    <row r="1410" spans="1:22" x14ac:dyDescent="0.2">
      <c r="A1410" s="2">
        <v>1409</v>
      </c>
      <c r="B1410" s="5" t="s">
        <v>7460</v>
      </c>
      <c r="C1410" s="6">
        <v>42300</v>
      </c>
      <c r="D1410" s="27">
        <f>MONTH(Table11[[#This Row],[Order Date]])</f>
        <v>10</v>
      </c>
      <c r="E1410" s="5" t="s">
        <v>2574</v>
      </c>
      <c r="F1410" s="5" t="s">
        <v>2575</v>
      </c>
      <c r="G1410" s="24" t="s">
        <v>41</v>
      </c>
      <c r="H1410" s="24" t="s">
        <v>82</v>
      </c>
      <c r="I1410" s="5" t="s">
        <v>4249</v>
      </c>
      <c r="J1410" s="24" t="s">
        <v>22</v>
      </c>
      <c r="K1410" s="27">
        <v>7</v>
      </c>
      <c r="L1410" s="6">
        <v>42303</v>
      </c>
      <c r="M1410" s="27">
        <f>Table11[[#This Row],[Ship Date]]-Table11[[#This Row],[Order Date]]</f>
        <v>3</v>
      </c>
      <c r="N1410" s="24" t="s">
        <v>169</v>
      </c>
      <c r="O1410" s="24" t="s">
        <v>23</v>
      </c>
      <c r="P1410" s="24" t="s">
        <v>94</v>
      </c>
      <c r="Q1410" s="24" t="s">
        <v>95</v>
      </c>
      <c r="R1410" s="24" t="s">
        <v>165</v>
      </c>
      <c r="S1410" s="34">
        <v>0.2</v>
      </c>
      <c r="T1410" s="15">
        <v>36.287999999999997</v>
      </c>
      <c r="U1410" s="18">
        <v>12.700799999999999</v>
      </c>
      <c r="V1410" s="56">
        <f>Table11[[#This Row],[Profit]]/Table11[[#This Row],[Sales]]</f>
        <v>0.35000000000000003</v>
      </c>
    </row>
    <row r="1411" spans="1:22" x14ac:dyDescent="0.2">
      <c r="A1411" s="4">
        <v>1410</v>
      </c>
      <c r="B1411" s="3" t="s">
        <v>7460</v>
      </c>
      <c r="C1411" s="7">
        <v>42300</v>
      </c>
      <c r="D1411" s="28">
        <f>MONTH(Table11[[#This Row],[Order Date]])</f>
        <v>10</v>
      </c>
      <c r="E1411" s="3" t="s">
        <v>1839</v>
      </c>
      <c r="F1411" s="3" t="s">
        <v>1840</v>
      </c>
      <c r="G1411" s="25" t="s">
        <v>64</v>
      </c>
      <c r="H1411" s="25" t="s">
        <v>65</v>
      </c>
      <c r="I1411" s="3" t="s">
        <v>4249</v>
      </c>
      <c r="J1411" s="25" t="s">
        <v>22</v>
      </c>
      <c r="K1411" s="28">
        <v>2</v>
      </c>
      <c r="L1411" s="7">
        <v>42303</v>
      </c>
      <c r="M1411" s="28">
        <f>Table11[[#This Row],[Ship Date]]-Table11[[#This Row],[Order Date]]</f>
        <v>3</v>
      </c>
      <c r="N1411" s="25" t="s">
        <v>169</v>
      </c>
      <c r="O1411" s="25" t="s">
        <v>23</v>
      </c>
      <c r="P1411" s="25" t="s">
        <v>94</v>
      </c>
      <c r="Q1411" s="25" t="s">
        <v>95</v>
      </c>
      <c r="R1411" s="25" t="s">
        <v>165</v>
      </c>
      <c r="S1411" s="35">
        <v>0.2</v>
      </c>
      <c r="T1411" s="16">
        <v>150.38399999999999</v>
      </c>
      <c r="U1411" s="19">
        <v>15.038399999999999</v>
      </c>
      <c r="V1411" s="56">
        <f>Table11[[#This Row],[Profit]]/Table11[[#This Row],[Sales]]</f>
        <v>0.1</v>
      </c>
    </row>
    <row r="1412" spans="1:22" x14ac:dyDescent="0.2">
      <c r="A1412" s="4">
        <v>1411</v>
      </c>
      <c r="B1412" s="5" t="s">
        <v>9286</v>
      </c>
      <c r="C1412" s="6">
        <v>42300</v>
      </c>
      <c r="D1412" s="27">
        <f>MONTH(Table11[[#This Row],[Order Date]])</f>
        <v>10</v>
      </c>
      <c r="E1412" s="5" t="s">
        <v>6249</v>
      </c>
      <c r="F1412" s="5" t="s">
        <v>6250</v>
      </c>
      <c r="G1412" s="24" t="s">
        <v>41</v>
      </c>
      <c r="H1412" s="24" t="s">
        <v>82</v>
      </c>
      <c r="I1412" s="5" t="s">
        <v>3962</v>
      </c>
      <c r="J1412" s="24" t="s">
        <v>22</v>
      </c>
      <c r="K1412" s="27">
        <v>8</v>
      </c>
      <c r="L1412" s="6">
        <v>42305</v>
      </c>
      <c r="M1412" s="27">
        <f>Table11[[#This Row],[Ship Date]]-Table11[[#This Row],[Order Date]]</f>
        <v>5</v>
      </c>
      <c r="N1412" s="24" t="s">
        <v>45</v>
      </c>
      <c r="O1412" s="24" t="s">
        <v>23</v>
      </c>
      <c r="P1412" s="24" t="s">
        <v>94</v>
      </c>
      <c r="Q1412" s="24" t="s">
        <v>95</v>
      </c>
      <c r="R1412" s="24" t="s">
        <v>4325</v>
      </c>
      <c r="S1412" s="34">
        <v>0.2</v>
      </c>
      <c r="T1412" s="15">
        <v>60.735999999999997</v>
      </c>
      <c r="U1412" s="18">
        <v>20.4984</v>
      </c>
      <c r="V1412" s="56">
        <f>Table11[[#This Row],[Profit]]/Table11[[#This Row],[Sales]]</f>
        <v>0.33750000000000002</v>
      </c>
    </row>
    <row r="1413" spans="1:22" x14ac:dyDescent="0.2">
      <c r="A1413" s="2">
        <v>1412</v>
      </c>
      <c r="B1413" s="3" t="s">
        <v>9286</v>
      </c>
      <c r="C1413" s="7">
        <v>42300</v>
      </c>
      <c r="D1413" s="28">
        <f>MONTH(Table11[[#This Row],[Order Date]])</f>
        <v>10</v>
      </c>
      <c r="E1413" s="3" t="s">
        <v>6920</v>
      </c>
      <c r="F1413" s="3" t="s">
        <v>6921</v>
      </c>
      <c r="G1413" s="25" t="s">
        <v>64</v>
      </c>
      <c r="H1413" s="25" t="s">
        <v>1075</v>
      </c>
      <c r="I1413" s="3" t="s">
        <v>3962</v>
      </c>
      <c r="J1413" s="25" t="s">
        <v>22</v>
      </c>
      <c r="K1413" s="28">
        <v>3</v>
      </c>
      <c r="L1413" s="7">
        <v>42305</v>
      </c>
      <c r="M1413" s="28">
        <f>Table11[[#This Row],[Ship Date]]-Table11[[#This Row],[Order Date]]</f>
        <v>5</v>
      </c>
      <c r="N1413" s="25" t="s">
        <v>45</v>
      </c>
      <c r="O1413" s="25" t="s">
        <v>23</v>
      </c>
      <c r="P1413" s="25" t="s">
        <v>94</v>
      </c>
      <c r="Q1413" s="25" t="s">
        <v>95</v>
      </c>
      <c r="R1413" s="25" t="s">
        <v>4325</v>
      </c>
      <c r="S1413" s="35">
        <v>0.2</v>
      </c>
      <c r="T1413" s="16">
        <v>479.976</v>
      </c>
      <c r="U1413" s="19">
        <v>161.99189999999999</v>
      </c>
      <c r="V1413" s="56">
        <f>Table11[[#This Row],[Profit]]/Table11[[#This Row],[Sales]]</f>
        <v>0.33749999999999997</v>
      </c>
    </row>
    <row r="1414" spans="1:22" x14ac:dyDescent="0.2">
      <c r="A1414" s="4">
        <v>1413</v>
      </c>
      <c r="B1414" s="5" t="s">
        <v>9286</v>
      </c>
      <c r="C1414" s="6">
        <v>42300</v>
      </c>
      <c r="D1414" s="27">
        <f>MONTH(Table11[[#This Row],[Order Date]])</f>
        <v>10</v>
      </c>
      <c r="E1414" s="5" t="s">
        <v>3455</v>
      </c>
      <c r="F1414" s="5" t="s">
        <v>3456</v>
      </c>
      <c r="G1414" s="24" t="s">
        <v>41</v>
      </c>
      <c r="H1414" s="24" t="s">
        <v>68</v>
      </c>
      <c r="I1414" s="5" t="s">
        <v>3962</v>
      </c>
      <c r="J1414" s="24" t="s">
        <v>22</v>
      </c>
      <c r="K1414" s="27">
        <v>1</v>
      </c>
      <c r="L1414" s="6">
        <v>42305</v>
      </c>
      <c r="M1414" s="27">
        <f>Table11[[#This Row],[Ship Date]]-Table11[[#This Row],[Order Date]]</f>
        <v>5</v>
      </c>
      <c r="N1414" s="24" t="s">
        <v>45</v>
      </c>
      <c r="O1414" s="24" t="s">
        <v>23</v>
      </c>
      <c r="P1414" s="24" t="s">
        <v>94</v>
      </c>
      <c r="Q1414" s="24" t="s">
        <v>95</v>
      </c>
      <c r="R1414" s="24" t="s">
        <v>4325</v>
      </c>
      <c r="S1414" s="34">
        <v>0.8</v>
      </c>
      <c r="T1414" s="15">
        <v>6.08</v>
      </c>
      <c r="U1414" s="18">
        <v>-10.336</v>
      </c>
      <c r="V1414" s="56">
        <f>Table11[[#This Row],[Profit]]/Table11[[#This Row],[Sales]]</f>
        <v>-1.7</v>
      </c>
    </row>
    <row r="1415" spans="1:22" x14ac:dyDescent="0.2">
      <c r="A1415" s="4">
        <v>1414</v>
      </c>
      <c r="B1415" s="3" t="s">
        <v>7426</v>
      </c>
      <c r="C1415" s="7">
        <v>42301</v>
      </c>
      <c r="D1415" s="28">
        <f>MONTH(Table11[[#This Row],[Order Date]])</f>
        <v>10</v>
      </c>
      <c r="E1415" s="3" t="s">
        <v>365</v>
      </c>
      <c r="F1415" s="3" t="s">
        <v>366</v>
      </c>
      <c r="G1415" s="25" t="s">
        <v>41</v>
      </c>
      <c r="H1415" s="25" t="s">
        <v>82</v>
      </c>
      <c r="I1415" s="3" t="s">
        <v>911</v>
      </c>
      <c r="J1415" s="25" t="s">
        <v>36</v>
      </c>
      <c r="K1415" s="28">
        <v>3</v>
      </c>
      <c r="L1415" s="7">
        <v>42307</v>
      </c>
      <c r="M1415" s="28">
        <f>Table11[[#This Row],[Ship Date]]-Table11[[#This Row],[Order Date]]</f>
        <v>6</v>
      </c>
      <c r="N1415" s="25" t="s">
        <v>45</v>
      </c>
      <c r="O1415" s="25" t="s">
        <v>23</v>
      </c>
      <c r="P1415" s="25" t="s">
        <v>94</v>
      </c>
      <c r="Q1415" s="25" t="s">
        <v>95</v>
      </c>
      <c r="R1415" s="25" t="s">
        <v>165</v>
      </c>
      <c r="S1415" s="35">
        <v>0.2</v>
      </c>
      <c r="T1415" s="16">
        <v>15.552</v>
      </c>
      <c r="U1415" s="19">
        <v>5.4432</v>
      </c>
      <c r="V1415" s="56">
        <f>Table11[[#This Row],[Profit]]/Table11[[#This Row],[Sales]]</f>
        <v>0.35000000000000003</v>
      </c>
    </row>
    <row r="1416" spans="1:22" x14ac:dyDescent="0.2">
      <c r="A1416" s="2">
        <v>1415</v>
      </c>
      <c r="B1416" s="5" t="s">
        <v>7426</v>
      </c>
      <c r="C1416" s="6">
        <v>42301</v>
      </c>
      <c r="D1416" s="27">
        <f>MONTH(Table11[[#This Row],[Order Date]])</f>
        <v>10</v>
      </c>
      <c r="E1416" s="5" t="s">
        <v>817</v>
      </c>
      <c r="F1416" s="5" t="s">
        <v>818</v>
      </c>
      <c r="G1416" s="24" t="s">
        <v>28</v>
      </c>
      <c r="H1416" s="24" t="s">
        <v>50</v>
      </c>
      <c r="I1416" s="5" t="s">
        <v>911</v>
      </c>
      <c r="J1416" s="24" t="s">
        <v>36</v>
      </c>
      <c r="K1416" s="27">
        <v>7</v>
      </c>
      <c r="L1416" s="6">
        <v>42307</v>
      </c>
      <c r="M1416" s="27">
        <f>Table11[[#This Row],[Ship Date]]-Table11[[#This Row],[Order Date]]</f>
        <v>6</v>
      </c>
      <c r="N1416" s="24" t="s">
        <v>45</v>
      </c>
      <c r="O1416" s="24" t="s">
        <v>23</v>
      </c>
      <c r="P1416" s="24" t="s">
        <v>94</v>
      </c>
      <c r="Q1416" s="24" t="s">
        <v>95</v>
      </c>
      <c r="R1416" s="24" t="s">
        <v>165</v>
      </c>
      <c r="S1416" s="34">
        <v>0.3</v>
      </c>
      <c r="T1416" s="15">
        <v>347.36099999999999</v>
      </c>
      <c r="U1416" s="18">
        <v>-69.472200000000001</v>
      </c>
      <c r="V1416" s="56">
        <f>Table11[[#This Row],[Profit]]/Table11[[#This Row],[Sales]]</f>
        <v>-0.2</v>
      </c>
    </row>
    <row r="1417" spans="1:22" x14ac:dyDescent="0.2">
      <c r="A1417" s="4">
        <v>1416</v>
      </c>
      <c r="B1417" s="3" t="s">
        <v>7426</v>
      </c>
      <c r="C1417" s="7">
        <v>42301</v>
      </c>
      <c r="D1417" s="28">
        <f>MONTH(Table11[[#This Row],[Order Date]])</f>
        <v>10</v>
      </c>
      <c r="E1417" s="3" t="s">
        <v>2687</v>
      </c>
      <c r="F1417" s="3" t="s">
        <v>2688</v>
      </c>
      <c r="G1417" s="25" t="s">
        <v>41</v>
      </c>
      <c r="H1417" s="25" t="s">
        <v>82</v>
      </c>
      <c r="I1417" s="3" t="s">
        <v>911</v>
      </c>
      <c r="J1417" s="25" t="s">
        <v>36</v>
      </c>
      <c r="K1417" s="28">
        <v>2</v>
      </c>
      <c r="L1417" s="7">
        <v>42307</v>
      </c>
      <c r="M1417" s="28">
        <f>Table11[[#This Row],[Ship Date]]-Table11[[#This Row],[Order Date]]</f>
        <v>6</v>
      </c>
      <c r="N1417" s="25" t="s">
        <v>45</v>
      </c>
      <c r="O1417" s="25" t="s">
        <v>23</v>
      </c>
      <c r="P1417" s="25" t="s">
        <v>94</v>
      </c>
      <c r="Q1417" s="25" t="s">
        <v>95</v>
      </c>
      <c r="R1417" s="25" t="s">
        <v>165</v>
      </c>
      <c r="S1417" s="35">
        <v>0.2</v>
      </c>
      <c r="T1417" s="16">
        <v>10.368</v>
      </c>
      <c r="U1417" s="19">
        <v>3.6288</v>
      </c>
      <c r="V1417" s="56">
        <f>Table11[[#This Row],[Profit]]/Table11[[#This Row],[Sales]]</f>
        <v>0.35</v>
      </c>
    </row>
    <row r="1418" spans="1:22" x14ac:dyDescent="0.2">
      <c r="A1418" s="4">
        <v>1417</v>
      </c>
      <c r="B1418" s="5" t="s">
        <v>7521</v>
      </c>
      <c r="C1418" s="6">
        <v>42301</v>
      </c>
      <c r="D1418" s="27">
        <f>MONTH(Table11[[#This Row],[Order Date]])</f>
        <v>10</v>
      </c>
      <c r="E1418" s="5" t="s">
        <v>1077</v>
      </c>
      <c r="F1418" s="5" t="s">
        <v>1078</v>
      </c>
      <c r="G1418" s="24" t="s">
        <v>41</v>
      </c>
      <c r="H1418" s="24" t="s">
        <v>68</v>
      </c>
      <c r="I1418" s="5" t="s">
        <v>1475</v>
      </c>
      <c r="J1418" s="24" t="s">
        <v>92</v>
      </c>
      <c r="K1418" s="27">
        <v>4</v>
      </c>
      <c r="L1418" s="6">
        <v>42306</v>
      </c>
      <c r="M1418" s="27">
        <f>Table11[[#This Row],[Ship Date]]-Table11[[#This Row],[Order Date]]</f>
        <v>5</v>
      </c>
      <c r="N1418" s="24" t="s">
        <v>45</v>
      </c>
      <c r="O1418" s="24" t="s">
        <v>23</v>
      </c>
      <c r="P1418" s="24" t="s">
        <v>94</v>
      </c>
      <c r="Q1418" s="24" t="s">
        <v>95</v>
      </c>
      <c r="R1418" s="24" t="s">
        <v>598</v>
      </c>
      <c r="S1418" s="34">
        <v>0.8</v>
      </c>
      <c r="T1418" s="15">
        <v>3.5920000000000001</v>
      </c>
      <c r="U1418" s="18">
        <v>-6.2859999999999996</v>
      </c>
      <c r="V1418" s="56">
        <f>Table11[[#This Row],[Profit]]/Table11[[#This Row],[Sales]]</f>
        <v>-1.7499999999999998</v>
      </c>
    </row>
    <row r="1419" spans="1:22" x14ac:dyDescent="0.2">
      <c r="A1419" s="2">
        <v>1418</v>
      </c>
      <c r="B1419" s="3" t="s">
        <v>8117</v>
      </c>
      <c r="C1419" s="7">
        <v>42301</v>
      </c>
      <c r="D1419" s="28">
        <f>MONTH(Table11[[#This Row],[Order Date]])</f>
        <v>10</v>
      </c>
      <c r="E1419" s="3" t="s">
        <v>1278</v>
      </c>
      <c r="F1419" s="3" t="s">
        <v>1279</v>
      </c>
      <c r="G1419" s="25" t="s">
        <v>28</v>
      </c>
      <c r="H1419" s="25" t="s">
        <v>32</v>
      </c>
      <c r="I1419" s="3" t="s">
        <v>2716</v>
      </c>
      <c r="J1419" s="25" t="s">
        <v>92</v>
      </c>
      <c r="K1419" s="28">
        <v>8</v>
      </c>
      <c r="L1419" s="7">
        <v>42304</v>
      </c>
      <c r="M1419" s="28">
        <f>Table11[[#This Row],[Ship Date]]-Table11[[#This Row],[Order Date]]</f>
        <v>3</v>
      </c>
      <c r="N1419" s="25" t="s">
        <v>169</v>
      </c>
      <c r="O1419" s="25" t="s">
        <v>23</v>
      </c>
      <c r="P1419" s="25" t="s">
        <v>38</v>
      </c>
      <c r="Q1419" s="25" t="s">
        <v>39</v>
      </c>
      <c r="R1419" s="25" t="s">
        <v>2815</v>
      </c>
      <c r="S1419" s="35">
        <v>0.2</v>
      </c>
      <c r="T1419" s="16">
        <v>454.27199999999999</v>
      </c>
      <c r="U1419" s="19">
        <v>-73.819199999999995</v>
      </c>
      <c r="V1419" s="56">
        <f>Table11[[#This Row],[Profit]]/Table11[[#This Row],[Sales]]</f>
        <v>-0.16250000000000001</v>
      </c>
    </row>
    <row r="1420" spans="1:22" x14ac:dyDescent="0.2">
      <c r="A1420" s="4">
        <v>1419</v>
      </c>
      <c r="B1420" s="5" t="s">
        <v>6723</v>
      </c>
      <c r="C1420" s="6">
        <v>42302</v>
      </c>
      <c r="D1420" s="27">
        <f>MONTH(Table11[[#This Row],[Order Date]])</f>
        <v>10</v>
      </c>
      <c r="E1420" s="5" t="s">
        <v>2151</v>
      </c>
      <c r="F1420" s="5" t="s">
        <v>2152</v>
      </c>
      <c r="G1420" s="24" t="s">
        <v>41</v>
      </c>
      <c r="H1420" s="24" t="s">
        <v>61</v>
      </c>
      <c r="I1420" s="5" t="s">
        <v>4488</v>
      </c>
      <c r="J1420" s="24" t="s">
        <v>22</v>
      </c>
      <c r="K1420" s="27">
        <v>3</v>
      </c>
      <c r="L1420" s="6">
        <v>42307</v>
      </c>
      <c r="M1420" s="27">
        <f>Table11[[#This Row],[Ship Date]]-Table11[[#This Row],[Order Date]]</f>
        <v>5</v>
      </c>
      <c r="N1420" s="24" t="s">
        <v>45</v>
      </c>
      <c r="O1420" s="24" t="s">
        <v>23</v>
      </c>
      <c r="P1420" s="24" t="s">
        <v>38</v>
      </c>
      <c r="Q1420" s="24" t="s">
        <v>39</v>
      </c>
      <c r="R1420" s="24" t="s">
        <v>114</v>
      </c>
      <c r="S1420" s="34">
        <v>0</v>
      </c>
      <c r="T1420" s="15">
        <v>60.45</v>
      </c>
      <c r="U1420" s="18">
        <v>16.3215</v>
      </c>
      <c r="V1420" s="56">
        <f>Table11[[#This Row],[Profit]]/Table11[[#This Row],[Sales]]</f>
        <v>0.27</v>
      </c>
    </row>
    <row r="1421" spans="1:22" x14ac:dyDescent="0.2">
      <c r="A1421" s="4">
        <v>1420</v>
      </c>
      <c r="B1421" s="3" t="s">
        <v>6723</v>
      </c>
      <c r="C1421" s="7">
        <v>42302</v>
      </c>
      <c r="D1421" s="28">
        <f>MONTH(Table11[[#This Row],[Order Date]])</f>
        <v>10</v>
      </c>
      <c r="E1421" s="3" t="s">
        <v>1505</v>
      </c>
      <c r="F1421" s="3" t="s">
        <v>1506</v>
      </c>
      <c r="G1421" s="25" t="s">
        <v>28</v>
      </c>
      <c r="H1421" s="25" t="s">
        <v>50</v>
      </c>
      <c r="I1421" s="3" t="s">
        <v>4488</v>
      </c>
      <c r="J1421" s="25" t="s">
        <v>22</v>
      </c>
      <c r="K1421" s="28">
        <v>3</v>
      </c>
      <c r="L1421" s="7">
        <v>42307</v>
      </c>
      <c r="M1421" s="28">
        <f>Table11[[#This Row],[Ship Date]]-Table11[[#This Row],[Order Date]]</f>
        <v>5</v>
      </c>
      <c r="N1421" s="25" t="s">
        <v>45</v>
      </c>
      <c r="O1421" s="25" t="s">
        <v>23</v>
      </c>
      <c r="P1421" s="25" t="s">
        <v>38</v>
      </c>
      <c r="Q1421" s="25" t="s">
        <v>39</v>
      </c>
      <c r="R1421" s="25" t="s">
        <v>114</v>
      </c>
      <c r="S1421" s="35">
        <v>0.2</v>
      </c>
      <c r="T1421" s="16">
        <v>253.17599999999999</v>
      </c>
      <c r="U1421" s="19">
        <v>-31.646999999999998</v>
      </c>
      <c r="V1421" s="56">
        <f>Table11[[#This Row],[Profit]]/Table11[[#This Row],[Sales]]</f>
        <v>-0.125</v>
      </c>
    </row>
    <row r="1422" spans="1:22" x14ac:dyDescent="0.2">
      <c r="A1422" s="2">
        <v>1421</v>
      </c>
      <c r="B1422" s="5" t="s">
        <v>8176</v>
      </c>
      <c r="C1422" s="6">
        <v>42302</v>
      </c>
      <c r="D1422" s="27">
        <f>MONTH(Table11[[#This Row],[Order Date]])</f>
        <v>10</v>
      </c>
      <c r="E1422" s="5" t="s">
        <v>1916</v>
      </c>
      <c r="F1422" s="5" t="s">
        <v>1917</v>
      </c>
      <c r="G1422" s="24" t="s">
        <v>64</v>
      </c>
      <c r="H1422" s="24" t="s">
        <v>65</v>
      </c>
      <c r="I1422" s="5" t="s">
        <v>722</v>
      </c>
      <c r="J1422" s="24" t="s">
        <v>36</v>
      </c>
      <c r="K1422" s="27">
        <v>1</v>
      </c>
      <c r="L1422" s="6">
        <v>42307</v>
      </c>
      <c r="M1422" s="27">
        <f>Table11[[#This Row],[Ship Date]]-Table11[[#This Row],[Order Date]]</f>
        <v>5</v>
      </c>
      <c r="N1422" s="24" t="s">
        <v>45</v>
      </c>
      <c r="O1422" s="24" t="s">
        <v>23</v>
      </c>
      <c r="P1422" s="24" t="s">
        <v>218</v>
      </c>
      <c r="Q1422" s="24" t="s">
        <v>133</v>
      </c>
      <c r="R1422" s="24" t="s">
        <v>536</v>
      </c>
      <c r="S1422" s="34">
        <v>0</v>
      </c>
      <c r="T1422" s="15">
        <v>158.99</v>
      </c>
      <c r="U1422" s="18">
        <v>41.337400000000002</v>
      </c>
      <c r="V1422" s="56">
        <f>Table11[[#This Row],[Profit]]/Table11[[#This Row],[Sales]]</f>
        <v>0.26</v>
      </c>
    </row>
    <row r="1423" spans="1:22" x14ac:dyDescent="0.2">
      <c r="A1423" s="4">
        <v>1422</v>
      </c>
      <c r="B1423" s="3" t="s">
        <v>8176</v>
      </c>
      <c r="C1423" s="7">
        <v>42302</v>
      </c>
      <c r="D1423" s="28">
        <f>MONTH(Table11[[#This Row],[Order Date]])</f>
        <v>10</v>
      </c>
      <c r="E1423" s="3" t="s">
        <v>4882</v>
      </c>
      <c r="F1423" s="3" t="s">
        <v>4883</v>
      </c>
      <c r="G1423" s="25" t="s">
        <v>28</v>
      </c>
      <c r="H1423" s="25" t="s">
        <v>32</v>
      </c>
      <c r="I1423" s="3" t="s">
        <v>722</v>
      </c>
      <c r="J1423" s="25" t="s">
        <v>36</v>
      </c>
      <c r="K1423" s="28">
        <v>5</v>
      </c>
      <c r="L1423" s="7">
        <v>42307</v>
      </c>
      <c r="M1423" s="28">
        <f>Table11[[#This Row],[Ship Date]]-Table11[[#This Row],[Order Date]]</f>
        <v>5</v>
      </c>
      <c r="N1423" s="25" t="s">
        <v>45</v>
      </c>
      <c r="O1423" s="25" t="s">
        <v>23</v>
      </c>
      <c r="P1423" s="25" t="s">
        <v>218</v>
      </c>
      <c r="Q1423" s="25" t="s">
        <v>133</v>
      </c>
      <c r="R1423" s="25" t="s">
        <v>536</v>
      </c>
      <c r="S1423" s="35">
        <v>0</v>
      </c>
      <c r="T1423" s="16">
        <v>291.10000000000002</v>
      </c>
      <c r="U1423" s="19">
        <v>75.686000000000007</v>
      </c>
      <c r="V1423" s="56">
        <f>Table11[[#This Row],[Profit]]/Table11[[#This Row],[Sales]]</f>
        <v>0.26</v>
      </c>
    </row>
    <row r="1424" spans="1:22" x14ac:dyDescent="0.2">
      <c r="A1424" s="4">
        <v>1423</v>
      </c>
      <c r="B1424" s="5" t="s">
        <v>8503</v>
      </c>
      <c r="C1424" s="6">
        <v>42302</v>
      </c>
      <c r="D1424" s="27">
        <f>MONTH(Table11[[#This Row],[Order Date]])</f>
        <v>10</v>
      </c>
      <c r="E1424" s="5" t="s">
        <v>3644</v>
      </c>
      <c r="F1424" s="5" t="s">
        <v>3645</v>
      </c>
      <c r="G1424" s="24" t="s">
        <v>41</v>
      </c>
      <c r="H1424" s="24" t="s">
        <v>61</v>
      </c>
      <c r="I1424" s="5" t="s">
        <v>1710</v>
      </c>
      <c r="J1424" s="24" t="s">
        <v>22</v>
      </c>
      <c r="K1424" s="27">
        <v>4</v>
      </c>
      <c r="L1424" s="6">
        <v>42304</v>
      </c>
      <c r="M1424" s="27">
        <f>Table11[[#This Row],[Ship Date]]-Table11[[#This Row],[Order Date]]</f>
        <v>2</v>
      </c>
      <c r="N1424" s="24" t="s">
        <v>20</v>
      </c>
      <c r="O1424" s="24" t="s">
        <v>23</v>
      </c>
      <c r="P1424" s="24" t="s">
        <v>1229</v>
      </c>
      <c r="Q1424" s="24" t="s">
        <v>39</v>
      </c>
      <c r="R1424" s="24" t="s">
        <v>4860</v>
      </c>
      <c r="S1424" s="34">
        <v>0</v>
      </c>
      <c r="T1424" s="15">
        <v>79.36</v>
      </c>
      <c r="U1424" s="18">
        <v>23.808</v>
      </c>
      <c r="V1424" s="56">
        <f>Table11[[#This Row],[Profit]]/Table11[[#This Row],[Sales]]</f>
        <v>0.3</v>
      </c>
    </row>
    <row r="1425" spans="1:22" x14ac:dyDescent="0.2">
      <c r="A1425" s="2">
        <v>1424</v>
      </c>
      <c r="B1425" s="3" t="s">
        <v>9805</v>
      </c>
      <c r="C1425" s="7">
        <v>42302</v>
      </c>
      <c r="D1425" s="28">
        <f>MONTH(Table11[[#This Row],[Order Date]])</f>
        <v>10</v>
      </c>
      <c r="E1425" s="3" t="s">
        <v>5463</v>
      </c>
      <c r="F1425" s="3" t="s">
        <v>5464</v>
      </c>
      <c r="G1425" s="25" t="s">
        <v>28</v>
      </c>
      <c r="H1425" s="25" t="s">
        <v>32</v>
      </c>
      <c r="I1425" s="3" t="s">
        <v>2737</v>
      </c>
      <c r="J1425" s="25" t="s">
        <v>36</v>
      </c>
      <c r="K1425" s="28">
        <v>8</v>
      </c>
      <c r="L1425" s="7">
        <v>42302</v>
      </c>
      <c r="M1425" s="28">
        <f>Table11[[#This Row],[Ship Date]]-Table11[[#This Row],[Order Date]]</f>
        <v>0</v>
      </c>
      <c r="N1425" s="25" t="s">
        <v>1141</v>
      </c>
      <c r="O1425" s="25" t="s">
        <v>23</v>
      </c>
      <c r="P1425" s="25" t="s">
        <v>405</v>
      </c>
      <c r="Q1425" s="25" t="s">
        <v>39</v>
      </c>
      <c r="R1425" s="25" t="s">
        <v>711</v>
      </c>
      <c r="S1425" s="35">
        <v>0.2</v>
      </c>
      <c r="T1425" s="16">
        <v>582.33600000000001</v>
      </c>
      <c r="U1425" s="19">
        <v>-29.116800000000001</v>
      </c>
      <c r="V1425" s="56">
        <f>Table11[[#This Row],[Profit]]/Table11[[#This Row],[Sales]]</f>
        <v>-0.05</v>
      </c>
    </row>
    <row r="1426" spans="1:22" x14ac:dyDescent="0.2">
      <c r="A1426" s="4">
        <v>1425</v>
      </c>
      <c r="B1426" s="5" t="s">
        <v>4416</v>
      </c>
      <c r="C1426" s="6">
        <v>42303</v>
      </c>
      <c r="D1426" s="27">
        <f>MONTH(Table11[[#This Row],[Order Date]])</f>
        <v>10</v>
      </c>
      <c r="E1426" s="5" t="s">
        <v>4418</v>
      </c>
      <c r="F1426" s="5" t="s">
        <v>4419</v>
      </c>
      <c r="G1426" s="24" t="s">
        <v>41</v>
      </c>
      <c r="H1426" s="24" t="s">
        <v>42</v>
      </c>
      <c r="I1426" s="5" t="s">
        <v>1522</v>
      </c>
      <c r="J1426" s="24" t="s">
        <v>36</v>
      </c>
      <c r="K1426" s="27">
        <v>2</v>
      </c>
      <c r="L1426" s="6">
        <v>42307</v>
      </c>
      <c r="M1426" s="27">
        <f>Table11[[#This Row],[Ship Date]]-Table11[[#This Row],[Order Date]]</f>
        <v>4</v>
      </c>
      <c r="N1426" s="24" t="s">
        <v>45</v>
      </c>
      <c r="O1426" s="24" t="s">
        <v>23</v>
      </c>
      <c r="P1426" s="24" t="s">
        <v>38</v>
      </c>
      <c r="Q1426" s="24" t="s">
        <v>39</v>
      </c>
      <c r="R1426" s="24" t="s">
        <v>4417</v>
      </c>
      <c r="S1426" s="34">
        <v>0</v>
      </c>
      <c r="T1426" s="15">
        <v>5.76</v>
      </c>
      <c r="U1426" s="18">
        <v>2.6496</v>
      </c>
      <c r="V1426" s="56">
        <f>Table11[[#This Row],[Profit]]/Table11[[#This Row],[Sales]]</f>
        <v>0.46</v>
      </c>
    </row>
    <row r="1427" spans="1:22" x14ac:dyDescent="0.2">
      <c r="A1427" s="4">
        <v>1426</v>
      </c>
      <c r="B1427" s="3" t="s">
        <v>7282</v>
      </c>
      <c r="C1427" s="7">
        <v>42303</v>
      </c>
      <c r="D1427" s="28">
        <f>MONTH(Table11[[#This Row],[Order Date]])</f>
        <v>10</v>
      </c>
      <c r="E1427" s="3" t="s">
        <v>735</v>
      </c>
      <c r="F1427" s="3" t="s">
        <v>736</v>
      </c>
      <c r="G1427" s="25" t="s">
        <v>64</v>
      </c>
      <c r="H1427" s="25" t="s">
        <v>65</v>
      </c>
      <c r="I1427" s="3" t="s">
        <v>911</v>
      </c>
      <c r="J1427" s="25" t="s">
        <v>36</v>
      </c>
      <c r="K1427" s="28">
        <v>2</v>
      </c>
      <c r="L1427" s="7">
        <v>42307</v>
      </c>
      <c r="M1427" s="28">
        <f>Table11[[#This Row],[Ship Date]]-Table11[[#This Row],[Order Date]]</f>
        <v>4</v>
      </c>
      <c r="N1427" s="25" t="s">
        <v>20</v>
      </c>
      <c r="O1427" s="25" t="s">
        <v>23</v>
      </c>
      <c r="P1427" s="25" t="s">
        <v>277</v>
      </c>
      <c r="Q1427" s="25" t="s">
        <v>39</v>
      </c>
      <c r="R1427" s="25" t="s">
        <v>1223</v>
      </c>
      <c r="S1427" s="35">
        <v>0.2</v>
      </c>
      <c r="T1427" s="16">
        <v>105.584</v>
      </c>
      <c r="U1427" s="19">
        <v>9.2385999999999999</v>
      </c>
      <c r="V1427" s="56">
        <f>Table11[[#This Row],[Profit]]/Table11[[#This Row],[Sales]]</f>
        <v>8.7499999999999994E-2</v>
      </c>
    </row>
    <row r="1428" spans="1:22" x14ac:dyDescent="0.2">
      <c r="A1428" s="2">
        <v>1427</v>
      </c>
      <c r="B1428" s="5" t="s">
        <v>7282</v>
      </c>
      <c r="C1428" s="6">
        <v>42303</v>
      </c>
      <c r="D1428" s="27">
        <f>MONTH(Table11[[#This Row],[Order Date]])</f>
        <v>10</v>
      </c>
      <c r="E1428" s="5" t="s">
        <v>4710</v>
      </c>
      <c r="F1428" s="5" t="s">
        <v>4711</v>
      </c>
      <c r="G1428" s="24" t="s">
        <v>64</v>
      </c>
      <c r="H1428" s="24" t="s">
        <v>65</v>
      </c>
      <c r="I1428" s="5" t="s">
        <v>911</v>
      </c>
      <c r="J1428" s="24" t="s">
        <v>36</v>
      </c>
      <c r="K1428" s="27">
        <v>2</v>
      </c>
      <c r="L1428" s="6">
        <v>42307</v>
      </c>
      <c r="M1428" s="27">
        <f>Table11[[#This Row],[Ship Date]]-Table11[[#This Row],[Order Date]]</f>
        <v>4</v>
      </c>
      <c r="N1428" s="24" t="s">
        <v>20</v>
      </c>
      <c r="O1428" s="24" t="s">
        <v>23</v>
      </c>
      <c r="P1428" s="24" t="s">
        <v>277</v>
      </c>
      <c r="Q1428" s="24" t="s">
        <v>39</v>
      </c>
      <c r="R1428" s="24" t="s">
        <v>1223</v>
      </c>
      <c r="S1428" s="34">
        <v>0.2</v>
      </c>
      <c r="T1428" s="15">
        <v>68.72</v>
      </c>
      <c r="U1428" s="18">
        <v>-14.603</v>
      </c>
      <c r="V1428" s="56">
        <f>Table11[[#This Row],[Profit]]/Table11[[#This Row],[Sales]]</f>
        <v>-0.21249999999999999</v>
      </c>
    </row>
    <row r="1429" spans="1:22" x14ac:dyDescent="0.2">
      <c r="A1429" s="4">
        <v>1428</v>
      </c>
      <c r="B1429" s="3" t="s">
        <v>9036</v>
      </c>
      <c r="C1429" s="7">
        <v>42303</v>
      </c>
      <c r="D1429" s="28">
        <f>MONTH(Table11[[#This Row],[Order Date]])</f>
        <v>10</v>
      </c>
      <c r="E1429" s="3" t="s">
        <v>3204</v>
      </c>
      <c r="F1429" s="3" t="s">
        <v>3205</v>
      </c>
      <c r="G1429" s="25" t="s">
        <v>41</v>
      </c>
      <c r="H1429" s="25" t="s">
        <v>42</v>
      </c>
      <c r="I1429" s="3" t="s">
        <v>893</v>
      </c>
      <c r="J1429" s="25" t="s">
        <v>36</v>
      </c>
      <c r="K1429" s="28">
        <v>6</v>
      </c>
      <c r="L1429" s="7">
        <v>42309</v>
      </c>
      <c r="M1429" s="28">
        <f>Table11[[#This Row],[Ship Date]]-Table11[[#This Row],[Order Date]]</f>
        <v>6</v>
      </c>
      <c r="N1429" s="25" t="s">
        <v>45</v>
      </c>
      <c r="O1429" s="25" t="s">
        <v>23</v>
      </c>
      <c r="P1429" s="25" t="s">
        <v>374</v>
      </c>
      <c r="Q1429" s="25" t="s">
        <v>39</v>
      </c>
      <c r="R1429" s="25" t="s">
        <v>284</v>
      </c>
      <c r="S1429" s="35">
        <v>0.2</v>
      </c>
      <c r="T1429" s="16">
        <v>146.54400000000001</v>
      </c>
      <c r="U1429" s="19">
        <v>47.626800000000003</v>
      </c>
      <c r="V1429" s="56">
        <f>Table11[[#This Row],[Profit]]/Table11[[#This Row],[Sales]]</f>
        <v>0.32500000000000001</v>
      </c>
    </row>
    <row r="1430" spans="1:22" x14ac:dyDescent="0.2">
      <c r="A1430" s="4">
        <v>1429</v>
      </c>
      <c r="B1430" s="5" t="s">
        <v>9036</v>
      </c>
      <c r="C1430" s="6">
        <v>42303</v>
      </c>
      <c r="D1430" s="27">
        <f>MONTH(Table11[[#This Row],[Order Date]])</f>
        <v>10</v>
      </c>
      <c r="E1430" s="5" t="s">
        <v>7770</v>
      </c>
      <c r="F1430" s="5" t="s">
        <v>7771</v>
      </c>
      <c r="G1430" s="24" t="s">
        <v>41</v>
      </c>
      <c r="H1430" s="24" t="s">
        <v>82</v>
      </c>
      <c r="I1430" s="5" t="s">
        <v>893</v>
      </c>
      <c r="J1430" s="24" t="s">
        <v>36</v>
      </c>
      <c r="K1430" s="27">
        <v>3</v>
      </c>
      <c r="L1430" s="6">
        <v>42309</v>
      </c>
      <c r="M1430" s="27">
        <f>Table11[[#This Row],[Ship Date]]-Table11[[#This Row],[Order Date]]</f>
        <v>6</v>
      </c>
      <c r="N1430" s="24" t="s">
        <v>45</v>
      </c>
      <c r="O1430" s="24" t="s">
        <v>23</v>
      </c>
      <c r="P1430" s="24" t="s">
        <v>374</v>
      </c>
      <c r="Q1430" s="24" t="s">
        <v>39</v>
      </c>
      <c r="R1430" s="24" t="s">
        <v>284</v>
      </c>
      <c r="S1430" s="34">
        <v>0.2</v>
      </c>
      <c r="T1430" s="15">
        <v>131.904</v>
      </c>
      <c r="U1430" s="18">
        <v>47.815199999999997</v>
      </c>
      <c r="V1430" s="56">
        <f>Table11[[#This Row],[Profit]]/Table11[[#This Row],[Sales]]</f>
        <v>0.36249999999999999</v>
      </c>
    </row>
    <row r="1431" spans="1:22" x14ac:dyDescent="0.2">
      <c r="A1431" s="2">
        <v>1430</v>
      </c>
      <c r="B1431" s="3" t="s">
        <v>9036</v>
      </c>
      <c r="C1431" s="7">
        <v>42303</v>
      </c>
      <c r="D1431" s="28">
        <f>MONTH(Table11[[#This Row],[Order Date]])</f>
        <v>10</v>
      </c>
      <c r="E1431" s="3" t="s">
        <v>1853</v>
      </c>
      <c r="F1431" s="3" t="s">
        <v>1854</v>
      </c>
      <c r="G1431" s="25" t="s">
        <v>41</v>
      </c>
      <c r="H1431" s="25" t="s">
        <v>71</v>
      </c>
      <c r="I1431" s="3" t="s">
        <v>893</v>
      </c>
      <c r="J1431" s="25" t="s">
        <v>36</v>
      </c>
      <c r="K1431" s="28">
        <v>5</v>
      </c>
      <c r="L1431" s="7">
        <v>42309</v>
      </c>
      <c r="M1431" s="28">
        <f>Table11[[#This Row],[Ship Date]]-Table11[[#This Row],[Order Date]]</f>
        <v>6</v>
      </c>
      <c r="N1431" s="25" t="s">
        <v>45</v>
      </c>
      <c r="O1431" s="25" t="s">
        <v>23</v>
      </c>
      <c r="P1431" s="25" t="s">
        <v>374</v>
      </c>
      <c r="Q1431" s="25" t="s">
        <v>39</v>
      </c>
      <c r="R1431" s="25" t="s">
        <v>284</v>
      </c>
      <c r="S1431" s="35">
        <v>0.2</v>
      </c>
      <c r="T1431" s="16">
        <v>203.88</v>
      </c>
      <c r="U1431" s="19">
        <v>20.388000000000002</v>
      </c>
      <c r="V1431" s="56">
        <f>Table11[[#This Row],[Profit]]/Table11[[#This Row],[Sales]]</f>
        <v>0.1</v>
      </c>
    </row>
    <row r="1432" spans="1:22" x14ac:dyDescent="0.2">
      <c r="A1432" s="4">
        <v>1431</v>
      </c>
      <c r="B1432" s="5" t="s">
        <v>9036</v>
      </c>
      <c r="C1432" s="6">
        <v>42303</v>
      </c>
      <c r="D1432" s="27">
        <f>MONTH(Table11[[#This Row],[Order Date]])</f>
        <v>10</v>
      </c>
      <c r="E1432" s="5" t="s">
        <v>4629</v>
      </c>
      <c r="F1432" s="5" t="s">
        <v>4630</v>
      </c>
      <c r="G1432" s="24" t="s">
        <v>41</v>
      </c>
      <c r="H1432" s="24" t="s">
        <v>68</v>
      </c>
      <c r="I1432" s="5" t="s">
        <v>893</v>
      </c>
      <c r="J1432" s="24" t="s">
        <v>36</v>
      </c>
      <c r="K1432" s="27">
        <v>7</v>
      </c>
      <c r="L1432" s="6">
        <v>42309</v>
      </c>
      <c r="M1432" s="27">
        <f>Table11[[#This Row],[Ship Date]]-Table11[[#This Row],[Order Date]]</f>
        <v>6</v>
      </c>
      <c r="N1432" s="24" t="s">
        <v>45</v>
      </c>
      <c r="O1432" s="24" t="s">
        <v>23</v>
      </c>
      <c r="P1432" s="24" t="s">
        <v>374</v>
      </c>
      <c r="Q1432" s="24" t="s">
        <v>39</v>
      </c>
      <c r="R1432" s="24" t="s">
        <v>284</v>
      </c>
      <c r="S1432" s="34">
        <v>0.7</v>
      </c>
      <c r="T1432" s="15">
        <v>14.301</v>
      </c>
      <c r="U1432" s="18">
        <v>-10.487399999999999</v>
      </c>
      <c r="V1432" s="56">
        <f>Table11[[#This Row],[Profit]]/Table11[[#This Row],[Sales]]</f>
        <v>-0.73333333333333328</v>
      </c>
    </row>
    <row r="1433" spans="1:22" x14ac:dyDescent="0.2">
      <c r="A1433" s="4">
        <v>1432</v>
      </c>
      <c r="B1433" s="3" t="s">
        <v>9036</v>
      </c>
      <c r="C1433" s="7">
        <v>42303</v>
      </c>
      <c r="D1433" s="28">
        <f>MONTH(Table11[[#This Row],[Order Date]])</f>
        <v>10</v>
      </c>
      <c r="E1433" s="3" t="s">
        <v>1495</v>
      </c>
      <c r="F1433" s="3" t="s">
        <v>1496</v>
      </c>
      <c r="G1433" s="25" t="s">
        <v>41</v>
      </c>
      <c r="H1433" s="25" t="s">
        <v>53</v>
      </c>
      <c r="I1433" s="3" t="s">
        <v>893</v>
      </c>
      <c r="J1433" s="25" t="s">
        <v>36</v>
      </c>
      <c r="K1433" s="28">
        <v>10</v>
      </c>
      <c r="L1433" s="7">
        <v>42309</v>
      </c>
      <c r="M1433" s="28">
        <f>Table11[[#This Row],[Ship Date]]-Table11[[#This Row],[Order Date]]</f>
        <v>6</v>
      </c>
      <c r="N1433" s="25" t="s">
        <v>45</v>
      </c>
      <c r="O1433" s="25" t="s">
        <v>23</v>
      </c>
      <c r="P1433" s="25" t="s">
        <v>374</v>
      </c>
      <c r="Q1433" s="25" t="s">
        <v>39</v>
      </c>
      <c r="R1433" s="25" t="s">
        <v>284</v>
      </c>
      <c r="S1433" s="35">
        <v>0.2</v>
      </c>
      <c r="T1433" s="16">
        <v>718.64</v>
      </c>
      <c r="U1433" s="19">
        <v>-161.69399999999999</v>
      </c>
      <c r="V1433" s="56">
        <f>Table11[[#This Row],[Profit]]/Table11[[#This Row],[Sales]]</f>
        <v>-0.22499999999999998</v>
      </c>
    </row>
    <row r="1434" spans="1:22" x14ac:dyDescent="0.2">
      <c r="A1434" s="2">
        <v>1433</v>
      </c>
      <c r="B1434" s="5" t="s">
        <v>2625</v>
      </c>
      <c r="C1434" s="6">
        <v>42305</v>
      </c>
      <c r="D1434" s="27">
        <f>MONTH(Table11[[#This Row],[Order Date]])</f>
        <v>10</v>
      </c>
      <c r="E1434" s="5" t="s">
        <v>2627</v>
      </c>
      <c r="F1434" s="5" t="s">
        <v>2628</v>
      </c>
      <c r="G1434" s="24" t="s">
        <v>41</v>
      </c>
      <c r="H1434" s="24" t="s">
        <v>155</v>
      </c>
      <c r="I1434" s="5" t="s">
        <v>2626</v>
      </c>
      <c r="J1434" s="24" t="s">
        <v>22</v>
      </c>
      <c r="K1434" s="27">
        <v>1</v>
      </c>
      <c r="L1434" s="6">
        <v>42311</v>
      </c>
      <c r="M1434" s="27">
        <f>Table11[[#This Row],[Ship Date]]-Table11[[#This Row],[Order Date]]</f>
        <v>6</v>
      </c>
      <c r="N1434" s="24" t="s">
        <v>45</v>
      </c>
      <c r="O1434" s="24" t="s">
        <v>23</v>
      </c>
      <c r="P1434" s="24" t="s">
        <v>25</v>
      </c>
      <c r="Q1434" s="24" t="s">
        <v>26</v>
      </c>
      <c r="R1434" s="24" t="s">
        <v>24</v>
      </c>
      <c r="S1434" s="34">
        <v>0</v>
      </c>
      <c r="T1434" s="15">
        <v>10.67</v>
      </c>
      <c r="U1434" s="18">
        <v>4.9081999999999999</v>
      </c>
      <c r="V1434" s="56">
        <f>Table11[[#This Row],[Profit]]/Table11[[#This Row],[Sales]]</f>
        <v>0.46</v>
      </c>
    </row>
    <row r="1435" spans="1:22" x14ac:dyDescent="0.2">
      <c r="A1435" s="4">
        <v>1434</v>
      </c>
      <c r="B1435" s="3" t="s">
        <v>2625</v>
      </c>
      <c r="C1435" s="7">
        <v>42305</v>
      </c>
      <c r="D1435" s="28">
        <f>MONTH(Table11[[#This Row],[Order Date]])</f>
        <v>10</v>
      </c>
      <c r="E1435" s="3" t="s">
        <v>2629</v>
      </c>
      <c r="F1435" s="3" t="s">
        <v>2630</v>
      </c>
      <c r="G1435" s="25" t="s">
        <v>41</v>
      </c>
      <c r="H1435" s="25" t="s">
        <v>53</v>
      </c>
      <c r="I1435" s="3" t="s">
        <v>2626</v>
      </c>
      <c r="J1435" s="25" t="s">
        <v>22</v>
      </c>
      <c r="K1435" s="28">
        <v>3</v>
      </c>
      <c r="L1435" s="7">
        <v>42311</v>
      </c>
      <c r="M1435" s="28">
        <f>Table11[[#This Row],[Ship Date]]-Table11[[#This Row],[Order Date]]</f>
        <v>6</v>
      </c>
      <c r="N1435" s="25" t="s">
        <v>45</v>
      </c>
      <c r="O1435" s="25" t="s">
        <v>23</v>
      </c>
      <c r="P1435" s="25" t="s">
        <v>25</v>
      </c>
      <c r="Q1435" s="25" t="s">
        <v>26</v>
      </c>
      <c r="R1435" s="25" t="s">
        <v>24</v>
      </c>
      <c r="S1435" s="35">
        <v>0</v>
      </c>
      <c r="T1435" s="16">
        <v>36.630000000000003</v>
      </c>
      <c r="U1435" s="19">
        <v>9.8901000000000003</v>
      </c>
      <c r="V1435" s="56">
        <f>Table11[[#This Row],[Profit]]/Table11[[#This Row],[Sales]]</f>
        <v>0.27</v>
      </c>
    </row>
    <row r="1436" spans="1:22" x14ac:dyDescent="0.2">
      <c r="A1436" s="4">
        <v>1435</v>
      </c>
      <c r="B1436" s="5" t="s">
        <v>2625</v>
      </c>
      <c r="C1436" s="6">
        <v>42305</v>
      </c>
      <c r="D1436" s="27">
        <f>MONTH(Table11[[#This Row],[Order Date]])</f>
        <v>10</v>
      </c>
      <c r="E1436" s="5" t="s">
        <v>2631</v>
      </c>
      <c r="F1436" s="5" t="s">
        <v>2632</v>
      </c>
      <c r="G1436" s="24" t="s">
        <v>28</v>
      </c>
      <c r="H1436" s="24" t="s">
        <v>58</v>
      </c>
      <c r="I1436" s="5" t="s">
        <v>2626</v>
      </c>
      <c r="J1436" s="24" t="s">
        <v>22</v>
      </c>
      <c r="K1436" s="27">
        <v>5</v>
      </c>
      <c r="L1436" s="6">
        <v>42311</v>
      </c>
      <c r="M1436" s="27">
        <f>Table11[[#This Row],[Ship Date]]-Table11[[#This Row],[Order Date]]</f>
        <v>6</v>
      </c>
      <c r="N1436" s="24" t="s">
        <v>45</v>
      </c>
      <c r="O1436" s="24" t="s">
        <v>23</v>
      </c>
      <c r="P1436" s="24" t="s">
        <v>25</v>
      </c>
      <c r="Q1436" s="24" t="s">
        <v>26</v>
      </c>
      <c r="R1436" s="24" t="s">
        <v>24</v>
      </c>
      <c r="S1436" s="34">
        <v>0</v>
      </c>
      <c r="T1436" s="15">
        <v>24.1</v>
      </c>
      <c r="U1436" s="18">
        <v>9.1579999999999995</v>
      </c>
      <c r="V1436" s="56">
        <f>Table11[[#This Row],[Profit]]/Table11[[#This Row],[Sales]]</f>
        <v>0.37999999999999995</v>
      </c>
    </row>
    <row r="1437" spans="1:22" x14ac:dyDescent="0.2">
      <c r="A1437" s="2">
        <v>1436</v>
      </c>
      <c r="B1437" s="3" t="s">
        <v>2625</v>
      </c>
      <c r="C1437" s="7">
        <v>42305</v>
      </c>
      <c r="D1437" s="28">
        <f>MONTH(Table11[[#This Row],[Order Date]])</f>
        <v>10</v>
      </c>
      <c r="E1437" s="3" t="s">
        <v>1003</v>
      </c>
      <c r="F1437" s="3" t="s">
        <v>1004</v>
      </c>
      <c r="G1437" s="25" t="s">
        <v>28</v>
      </c>
      <c r="H1437" s="25" t="s">
        <v>58</v>
      </c>
      <c r="I1437" s="3" t="s">
        <v>2626</v>
      </c>
      <c r="J1437" s="25" t="s">
        <v>22</v>
      </c>
      <c r="K1437" s="28">
        <v>7</v>
      </c>
      <c r="L1437" s="7">
        <v>42311</v>
      </c>
      <c r="M1437" s="28">
        <f>Table11[[#This Row],[Ship Date]]-Table11[[#This Row],[Order Date]]</f>
        <v>6</v>
      </c>
      <c r="N1437" s="25" t="s">
        <v>45</v>
      </c>
      <c r="O1437" s="25" t="s">
        <v>23</v>
      </c>
      <c r="P1437" s="25" t="s">
        <v>25</v>
      </c>
      <c r="Q1437" s="25" t="s">
        <v>26</v>
      </c>
      <c r="R1437" s="25" t="s">
        <v>24</v>
      </c>
      <c r="S1437" s="35">
        <v>0</v>
      </c>
      <c r="T1437" s="16">
        <v>33.11</v>
      </c>
      <c r="U1437" s="19">
        <v>12.9129</v>
      </c>
      <c r="V1437" s="56">
        <f>Table11[[#This Row],[Profit]]/Table11[[#This Row],[Sales]]</f>
        <v>0.39</v>
      </c>
    </row>
    <row r="1438" spans="1:22" x14ac:dyDescent="0.2">
      <c r="A1438" s="4">
        <v>1437</v>
      </c>
      <c r="B1438" s="5" t="s">
        <v>8063</v>
      </c>
      <c r="C1438" s="6">
        <v>42306</v>
      </c>
      <c r="D1438" s="27">
        <f>MONTH(Table11[[#This Row],[Order Date]])</f>
        <v>10</v>
      </c>
      <c r="E1438" s="5" t="s">
        <v>1650</v>
      </c>
      <c r="F1438" s="5" t="s">
        <v>1651</v>
      </c>
      <c r="G1438" s="24" t="s">
        <v>41</v>
      </c>
      <c r="H1438" s="24" t="s">
        <v>82</v>
      </c>
      <c r="I1438" s="5" t="s">
        <v>1785</v>
      </c>
      <c r="J1438" s="24" t="s">
        <v>36</v>
      </c>
      <c r="K1438" s="27">
        <v>5</v>
      </c>
      <c r="L1438" s="6">
        <v>42310</v>
      </c>
      <c r="M1438" s="27">
        <f>Table11[[#This Row],[Ship Date]]-Table11[[#This Row],[Order Date]]</f>
        <v>4</v>
      </c>
      <c r="N1438" s="24" t="s">
        <v>45</v>
      </c>
      <c r="O1438" s="24" t="s">
        <v>23</v>
      </c>
      <c r="P1438" s="24" t="s">
        <v>38</v>
      </c>
      <c r="Q1438" s="24" t="s">
        <v>39</v>
      </c>
      <c r="R1438" s="24" t="s">
        <v>114</v>
      </c>
      <c r="S1438" s="34">
        <v>0</v>
      </c>
      <c r="T1438" s="15">
        <v>33.4</v>
      </c>
      <c r="U1438" s="18">
        <v>16.032</v>
      </c>
      <c r="V1438" s="56">
        <f>Table11[[#This Row],[Profit]]/Table11[[#This Row],[Sales]]</f>
        <v>0.48000000000000004</v>
      </c>
    </row>
    <row r="1439" spans="1:22" x14ac:dyDescent="0.2">
      <c r="A1439" s="4">
        <v>1438</v>
      </c>
      <c r="B1439" s="3" t="s">
        <v>8063</v>
      </c>
      <c r="C1439" s="7">
        <v>42306</v>
      </c>
      <c r="D1439" s="28">
        <f>MONTH(Table11[[#This Row],[Order Date]])</f>
        <v>10</v>
      </c>
      <c r="E1439" s="3" t="s">
        <v>1511</v>
      </c>
      <c r="F1439" s="3" t="s">
        <v>1512</v>
      </c>
      <c r="G1439" s="25" t="s">
        <v>41</v>
      </c>
      <c r="H1439" s="25" t="s">
        <v>155</v>
      </c>
      <c r="I1439" s="3" t="s">
        <v>1785</v>
      </c>
      <c r="J1439" s="25" t="s">
        <v>36</v>
      </c>
      <c r="K1439" s="28">
        <v>4</v>
      </c>
      <c r="L1439" s="7">
        <v>42310</v>
      </c>
      <c r="M1439" s="28">
        <f>Table11[[#This Row],[Ship Date]]-Table11[[#This Row],[Order Date]]</f>
        <v>4</v>
      </c>
      <c r="N1439" s="25" t="s">
        <v>45</v>
      </c>
      <c r="O1439" s="25" t="s">
        <v>23</v>
      </c>
      <c r="P1439" s="25" t="s">
        <v>38</v>
      </c>
      <c r="Q1439" s="25" t="s">
        <v>39</v>
      </c>
      <c r="R1439" s="25" t="s">
        <v>114</v>
      </c>
      <c r="S1439" s="35">
        <v>0</v>
      </c>
      <c r="T1439" s="16">
        <v>210.84</v>
      </c>
      <c r="U1439" s="19">
        <v>103.3116</v>
      </c>
      <c r="V1439" s="56">
        <f>Table11[[#This Row],[Profit]]/Table11[[#This Row],[Sales]]</f>
        <v>0.49</v>
      </c>
    </row>
    <row r="1440" spans="1:22" x14ac:dyDescent="0.2">
      <c r="A1440" s="2">
        <v>1439</v>
      </c>
      <c r="B1440" s="5" t="s">
        <v>4213</v>
      </c>
      <c r="C1440" s="6">
        <v>42307</v>
      </c>
      <c r="D1440" s="27">
        <f>MONTH(Table11[[#This Row],[Order Date]])</f>
        <v>10</v>
      </c>
      <c r="E1440" s="5" t="s">
        <v>4214</v>
      </c>
      <c r="F1440" s="5" t="s">
        <v>4215</v>
      </c>
      <c r="G1440" s="24" t="s">
        <v>64</v>
      </c>
      <c r="H1440" s="24" t="s">
        <v>65</v>
      </c>
      <c r="I1440" s="5" t="s">
        <v>4053</v>
      </c>
      <c r="J1440" s="24" t="s">
        <v>92</v>
      </c>
      <c r="K1440" s="27">
        <v>2</v>
      </c>
      <c r="L1440" s="6">
        <v>42309</v>
      </c>
      <c r="M1440" s="27">
        <f>Table11[[#This Row],[Ship Date]]-Table11[[#This Row],[Order Date]]</f>
        <v>2</v>
      </c>
      <c r="N1440" s="24" t="s">
        <v>20</v>
      </c>
      <c r="O1440" s="24" t="s">
        <v>23</v>
      </c>
      <c r="P1440" s="24" t="s">
        <v>212</v>
      </c>
      <c r="Q1440" s="24" t="s">
        <v>95</v>
      </c>
      <c r="R1440" s="24" t="s">
        <v>775</v>
      </c>
      <c r="S1440" s="34">
        <v>0</v>
      </c>
      <c r="T1440" s="15">
        <v>299.89999999999998</v>
      </c>
      <c r="U1440" s="18">
        <v>74.974999999999994</v>
      </c>
      <c r="V1440" s="56">
        <f>Table11[[#This Row],[Profit]]/Table11[[#This Row],[Sales]]</f>
        <v>0.25</v>
      </c>
    </row>
    <row r="1441" spans="1:22" x14ac:dyDescent="0.2">
      <c r="A1441" s="4">
        <v>1440</v>
      </c>
      <c r="B1441" s="3" t="s">
        <v>6141</v>
      </c>
      <c r="C1441" s="7">
        <v>42307</v>
      </c>
      <c r="D1441" s="28">
        <f>MONTH(Table11[[#This Row],[Order Date]])</f>
        <v>10</v>
      </c>
      <c r="E1441" s="3" t="s">
        <v>4776</v>
      </c>
      <c r="F1441" s="3" t="s">
        <v>4777</v>
      </c>
      <c r="G1441" s="25" t="s">
        <v>64</v>
      </c>
      <c r="H1441" s="25" t="s">
        <v>602</v>
      </c>
      <c r="I1441" s="3" t="s">
        <v>1036</v>
      </c>
      <c r="J1441" s="25" t="s">
        <v>36</v>
      </c>
      <c r="K1441" s="28">
        <v>2</v>
      </c>
      <c r="L1441" s="7">
        <v>42310</v>
      </c>
      <c r="M1441" s="28">
        <f>Table11[[#This Row],[Ship Date]]-Table11[[#This Row],[Order Date]]</f>
        <v>3</v>
      </c>
      <c r="N1441" s="25" t="s">
        <v>20</v>
      </c>
      <c r="O1441" s="25" t="s">
        <v>23</v>
      </c>
      <c r="P1441" s="25" t="s">
        <v>405</v>
      </c>
      <c r="Q1441" s="25" t="s">
        <v>39</v>
      </c>
      <c r="R1441" s="25" t="s">
        <v>711</v>
      </c>
      <c r="S1441" s="35">
        <v>0.7</v>
      </c>
      <c r="T1441" s="16">
        <v>59.994</v>
      </c>
      <c r="U1441" s="19">
        <v>-45.995399999999997</v>
      </c>
      <c r="V1441" s="56">
        <f>Table11[[#This Row],[Profit]]/Table11[[#This Row],[Sales]]</f>
        <v>-0.76666666666666661</v>
      </c>
    </row>
    <row r="1442" spans="1:22" x14ac:dyDescent="0.2">
      <c r="A1442" s="4">
        <v>1441</v>
      </c>
      <c r="B1442" s="5" t="s">
        <v>6141</v>
      </c>
      <c r="C1442" s="6">
        <v>42307</v>
      </c>
      <c r="D1442" s="27">
        <f>MONTH(Table11[[#This Row],[Order Date]])</f>
        <v>10</v>
      </c>
      <c r="E1442" s="5" t="s">
        <v>6142</v>
      </c>
      <c r="F1442" s="5" t="s">
        <v>6143</v>
      </c>
      <c r="G1442" s="24" t="s">
        <v>64</v>
      </c>
      <c r="H1442" s="24" t="s">
        <v>1075</v>
      </c>
      <c r="I1442" s="5" t="s">
        <v>1036</v>
      </c>
      <c r="J1442" s="24" t="s">
        <v>36</v>
      </c>
      <c r="K1442" s="27">
        <v>1</v>
      </c>
      <c r="L1442" s="6">
        <v>42310</v>
      </c>
      <c r="M1442" s="27">
        <f>Table11[[#This Row],[Ship Date]]-Table11[[#This Row],[Order Date]]</f>
        <v>3</v>
      </c>
      <c r="N1442" s="24" t="s">
        <v>20</v>
      </c>
      <c r="O1442" s="24" t="s">
        <v>23</v>
      </c>
      <c r="P1442" s="24" t="s">
        <v>405</v>
      </c>
      <c r="Q1442" s="24" t="s">
        <v>39</v>
      </c>
      <c r="R1442" s="24" t="s">
        <v>711</v>
      </c>
      <c r="S1442" s="34">
        <v>0.2</v>
      </c>
      <c r="T1442" s="15">
        <v>439.99200000000002</v>
      </c>
      <c r="U1442" s="18">
        <v>164.99700000000001</v>
      </c>
      <c r="V1442" s="56">
        <f>Table11[[#This Row],[Profit]]/Table11[[#This Row],[Sales]]</f>
        <v>0.375</v>
      </c>
    </row>
    <row r="1443" spans="1:22" x14ac:dyDescent="0.2">
      <c r="A1443" s="2">
        <v>1442</v>
      </c>
      <c r="B1443" s="3" t="s">
        <v>6141</v>
      </c>
      <c r="C1443" s="7">
        <v>42307</v>
      </c>
      <c r="D1443" s="28">
        <f>MONTH(Table11[[#This Row],[Order Date]])</f>
        <v>10</v>
      </c>
      <c r="E1443" s="3" t="s">
        <v>2481</v>
      </c>
      <c r="F1443" s="3" t="s">
        <v>2482</v>
      </c>
      <c r="G1443" s="25" t="s">
        <v>64</v>
      </c>
      <c r="H1443" s="25" t="s">
        <v>65</v>
      </c>
      <c r="I1443" s="3" t="s">
        <v>1036</v>
      </c>
      <c r="J1443" s="25" t="s">
        <v>36</v>
      </c>
      <c r="K1443" s="28">
        <v>5</v>
      </c>
      <c r="L1443" s="7">
        <v>42310</v>
      </c>
      <c r="M1443" s="28">
        <f>Table11[[#This Row],[Ship Date]]-Table11[[#This Row],[Order Date]]</f>
        <v>3</v>
      </c>
      <c r="N1443" s="25" t="s">
        <v>20</v>
      </c>
      <c r="O1443" s="25" t="s">
        <v>23</v>
      </c>
      <c r="P1443" s="25" t="s">
        <v>405</v>
      </c>
      <c r="Q1443" s="25" t="s">
        <v>39</v>
      </c>
      <c r="R1443" s="25" t="s">
        <v>711</v>
      </c>
      <c r="S1443" s="35">
        <v>0.2</v>
      </c>
      <c r="T1443" s="16">
        <v>87.96</v>
      </c>
      <c r="U1443" s="19">
        <v>30.786000000000001</v>
      </c>
      <c r="V1443" s="56">
        <f>Table11[[#This Row],[Profit]]/Table11[[#This Row],[Sales]]</f>
        <v>0.35000000000000003</v>
      </c>
    </row>
    <row r="1444" spans="1:22" x14ac:dyDescent="0.2">
      <c r="A1444" s="4">
        <v>1443</v>
      </c>
      <c r="B1444" s="5" t="s">
        <v>6141</v>
      </c>
      <c r="C1444" s="6">
        <v>42307</v>
      </c>
      <c r="D1444" s="27">
        <f>MONTH(Table11[[#This Row],[Order Date]])</f>
        <v>10</v>
      </c>
      <c r="E1444" s="5" t="s">
        <v>6144</v>
      </c>
      <c r="F1444" s="5" t="s">
        <v>6145</v>
      </c>
      <c r="G1444" s="24" t="s">
        <v>28</v>
      </c>
      <c r="H1444" s="24" t="s">
        <v>58</v>
      </c>
      <c r="I1444" s="5" t="s">
        <v>1036</v>
      </c>
      <c r="J1444" s="24" t="s">
        <v>36</v>
      </c>
      <c r="K1444" s="27">
        <v>4</v>
      </c>
      <c r="L1444" s="6">
        <v>42310</v>
      </c>
      <c r="M1444" s="27">
        <f>Table11[[#This Row],[Ship Date]]-Table11[[#This Row],[Order Date]]</f>
        <v>3</v>
      </c>
      <c r="N1444" s="24" t="s">
        <v>20</v>
      </c>
      <c r="O1444" s="24" t="s">
        <v>23</v>
      </c>
      <c r="P1444" s="24" t="s">
        <v>405</v>
      </c>
      <c r="Q1444" s="24" t="s">
        <v>39</v>
      </c>
      <c r="R1444" s="24" t="s">
        <v>711</v>
      </c>
      <c r="S1444" s="34">
        <v>0.2</v>
      </c>
      <c r="T1444" s="15">
        <v>15.488</v>
      </c>
      <c r="U1444" s="18">
        <v>3.6783999999999999</v>
      </c>
      <c r="V1444" s="56">
        <f>Table11[[#This Row],[Profit]]/Table11[[#This Row],[Sales]]</f>
        <v>0.23749999999999999</v>
      </c>
    </row>
    <row r="1445" spans="1:22" x14ac:dyDescent="0.2">
      <c r="A1445" s="4">
        <v>1444</v>
      </c>
      <c r="B1445" s="3" t="s">
        <v>7341</v>
      </c>
      <c r="C1445" s="7">
        <v>42307</v>
      </c>
      <c r="D1445" s="28">
        <f>MONTH(Table11[[#This Row],[Order Date]])</f>
        <v>10</v>
      </c>
      <c r="E1445" s="3" t="s">
        <v>4751</v>
      </c>
      <c r="F1445" s="3" t="s">
        <v>4752</v>
      </c>
      <c r="G1445" s="25" t="s">
        <v>41</v>
      </c>
      <c r="H1445" s="25" t="s">
        <v>71</v>
      </c>
      <c r="I1445" s="3" t="s">
        <v>4993</v>
      </c>
      <c r="J1445" s="25" t="s">
        <v>22</v>
      </c>
      <c r="K1445" s="28">
        <v>3</v>
      </c>
      <c r="L1445" s="7">
        <v>42310</v>
      </c>
      <c r="M1445" s="28">
        <f>Table11[[#This Row],[Ship Date]]-Table11[[#This Row],[Order Date]]</f>
        <v>3</v>
      </c>
      <c r="N1445" s="25" t="s">
        <v>169</v>
      </c>
      <c r="O1445" s="25" t="s">
        <v>23</v>
      </c>
      <c r="P1445" s="25" t="s">
        <v>285</v>
      </c>
      <c r="Q1445" s="25" t="s">
        <v>26</v>
      </c>
      <c r="R1445" s="25" t="s">
        <v>2621</v>
      </c>
      <c r="S1445" s="35">
        <v>0</v>
      </c>
      <c r="T1445" s="16">
        <v>182.91</v>
      </c>
      <c r="U1445" s="19">
        <v>53.043900000000001</v>
      </c>
      <c r="V1445" s="56">
        <f>Table11[[#This Row],[Profit]]/Table11[[#This Row],[Sales]]</f>
        <v>0.29000000000000004</v>
      </c>
    </row>
    <row r="1446" spans="1:22" x14ac:dyDescent="0.2">
      <c r="A1446" s="2">
        <v>1445</v>
      </c>
      <c r="B1446" s="5" t="s">
        <v>9272</v>
      </c>
      <c r="C1446" s="6">
        <v>42307</v>
      </c>
      <c r="D1446" s="27">
        <f>MONTH(Table11[[#This Row],[Order Date]])</f>
        <v>10</v>
      </c>
      <c r="E1446" s="5" t="s">
        <v>9273</v>
      </c>
      <c r="F1446" s="5" t="s">
        <v>9274</v>
      </c>
      <c r="G1446" s="24" t="s">
        <v>64</v>
      </c>
      <c r="H1446" s="24" t="s">
        <v>602</v>
      </c>
      <c r="I1446" s="5" t="s">
        <v>2120</v>
      </c>
      <c r="J1446" s="24" t="s">
        <v>36</v>
      </c>
      <c r="K1446" s="27">
        <v>4</v>
      </c>
      <c r="L1446" s="6">
        <v>42307</v>
      </c>
      <c r="M1446" s="27">
        <f>Table11[[#This Row],[Ship Date]]-Table11[[#This Row],[Order Date]]</f>
        <v>0</v>
      </c>
      <c r="N1446" s="24" t="s">
        <v>1141</v>
      </c>
      <c r="O1446" s="24" t="s">
        <v>23</v>
      </c>
      <c r="P1446" s="24" t="s">
        <v>238</v>
      </c>
      <c r="Q1446" s="24" t="s">
        <v>133</v>
      </c>
      <c r="R1446" s="24" t="s">
        <v>237</v>
      </c>
      <c r="S1446" s="34">
        <v>0</v>
      </c>
      <c r="T1446" s="15">
        <v>1035.8</v>
      </c>
      <c r="U1446" s="18">
        <v>269.30799999999999</v>
      </c>
      <c r="V1446" s="56">
        <f>Table11[[#This Row],[Profit]]/Table11[[#This Row],[Sales]]</f>
        <v>0.26</v>
      </c>
    </row>
    <row r="1447" spans="1:22" x14ac:dyDescent="0.2">
      <c r="A1447" s="4">
        <v>1446</v>
      </c>
      <c r="B1447" s="3" t="s">
        <v>682</v>
      </c>
      <c r="C1447" s="7">
        <v>42308</v>
      </c>
      <c r="D1447" s="28">
        <f>MONTH(Table11[[#This Row],[Order Date]])</f>
        <v>10</v>
      </c>
      <c r="E1447" s="3" t="s">
        <v>154</v>
      </c>
      <c r="F1447" s="3" t="s">
        <v>156</v>
      </c>
      <c r="G1447" s="25" t="s">
        <v>41</v>
      </c>
      <c r="H1447" s="25" t="s">
        <v>155</v>
      </c>
      <c r="I1447" s="3" t="s">
        <v>683</v>
      </c>
      <c r="J1447" s="25" t="s">
        <v>36</v>
      </c>
      <c r="K1447" s="28">
        <v>7</v>
      </c>
      <c r="L1447" s="7">
        <v>42314</v>
      </c>
      <c r="M1447" s="28">
        <f>Table11[[#This Row],[Ship Date]]-Table11[[#This Row],[Order Date]]</f>
        <v>6</v>
      </c>
      <c r="N1447" s="25" t="s">
        <v>45</v>
      </c>
      <c r="O1447" s="25" t="s">
        <v>23</v>
      </c>
      <c r="P1447" s="25" t="s">
        <v>38</v>
      </c>
      <c r="Q1447" s="25" t="s">
        <v>39</v>
      </c>
      <c r="R1447" s="25" t="s">
        <v>684</v>
      </c>
      <c r="S1447" s="35">
        <v>0</v>
      </c>
      <c r="T1447" s="16">
        <v>14.28</v>
      </c>
      <c r="U1447" s="19">
        <v>6.7115999999999998</v>
      </c>
      <c r="V1447" s="56">
        <f>Table11[[#This Row],[Profit]]/Table11[[#This Row],[Sales]]</f>
        <v>0.47000000000000003</v>
      </c>
    </row>
    <row r="1448" spans="1:22" x14ac:dyDescent="0.2">
      <c r="A1448" s="4">
        <v>1447</v>
      </c>
      <c r="B1448" s="5" t="s">
        <v>1240</v>
      </c>
      <c r="C1448" s="6">
        <v>42308</v>
      </c>
      <c r="D1448" s="27">
        <f>MONTH(Table11[[#This Row],[Order Date]])</f>
        <v>10</v>
      </c>
      <c r="E1448" s="5" t="s">
        <v>1241</v>
      </c>
      <c r="F1448" s="5" t="s">
        <v>1242</v>
      </c>
      <c r="G1448" s="24" t="s">
        <v>41</v>
      </c>
      <c r="H1448" s="24" t="s">
        <v>513</v>
      </c>
      <c r="I1448" s="5" t="s">
        <v>91</v>
      </c>
      <c r="J1448" s="24" t="s">
        <v>92</v>
      </c>
      <c r="K1448" s="27">
        <v>4</v>
      </c>
      <c r="L1448" s="6">
        <v>42312</v>
      </c>
      <c r="M1448" s="27">
        <f>Table11[[#This Row],[Ship Date]]-Table11[[#This Row],[Order Date]]</f>
        <v>4</v>
      </c>
      <c r="N1448" s="24" t="s">
        <v>45</v>
      </c>
      <c r="O1448" s="24" t="s">
        <v>23</v>
      </c>
      <c r="P1448" s="24" t="s">
        <v>212</v>
      </c>
      <c r="Q1448" s="24" t="s">
        <v>95</v>
      </c>
      <c r="R1448" s="24" t="s">
        <v>293</v>
      </c>
      <c r="S1448" s="34">
        <v>0</v>
      </c>
      <c r="T1448" s="15">
        <v>70.12</v>
      </c>
      <c r="U1448" s="18">
        <v>21.036000000000001</v>
      </c>
      <c r="V1448" s="56">
        <f>Table11[[#This Row],[Profit]]/Table11[[#This Row],[Sales]]</f>
        <v>0.3</v>
      </c>
    </row>
    <row r="1449" spans="1:22" x14ac:dyDescent="0.2">
      <c r="A1449" s="2">
        <v>1448</v>
      </c>
      <c r="B1449" s="3" t="s">
        <v>3046</v>
      </c>
      <c r="C1449" s="7">
        <v>42308</v>
      </c>
      <c r="D1449" s="28">
        <f>MONTH(Table11[[#This Row],[Order Date]])</f>
        <v>10</v>
      </c>
      <c r="E1449" s="3" t="s">
        <v>1331</v>
      </c>
      <c r="F1449" s="3" t="s">
        <v>1332</v>
      </c>
      <c r="G1449" s="25" t="s">
        <v>41</v>
      </c>
      <c r="H1449" s="25" t="s">
        <v>61</v>
      </c>
      <c r="I1449" s="3" t="s">
        <v>3047</v>
      </c>
      <c r="J1449" s="25" t="s">
        <v>22</v>
      </c>
      <c r="K1449" s="28">
        <v>2</v>
      </c>
      <c r="L1449" s="7">
        <v>42310</v>
      </c>
      <c r="M1449" s="28">
        <f>Table11[[#This Row],[Ship Date]]-Table11[[#This Row],[Order Date]]</f>
        <v>2</v>
      </c>
      <c r="N1449" s="25" t="s">
        <v>20</v>
      </c>
      <c r="O1449" s="25" t="s">
        <v>23</v>
      </c>
      <c r="P1449" s="25" t="s">
        <v>238</v>
      </c>
      <c r="Q1449" s="25" t="s">
        <v>133</v>
      </c>
      <c r="R1449" s="25" t="s">
        <v>3048</v>
      </c>
      <c r="S1449" s="35">
        <v>0</v>
      </c>
      <c r="T1449" s="16">
        <v>2.78</v>
      </c>
      <c r="U1449" s="19">
        <v>0.7228</v>
      </c>
      <c r="V1449" s="56">
        <f>Table11[[#This Row],[Profit]]/Table11[[#This Row],[Sales]]</f>
        <v>0.26</v>
      </c>
    </row>
    <row r="1450" spans="1:22" x14ac:dyDescent="0.2">
      <c r="A1450" s="4">
        <v>1449</v>
      </c>
      <c r="B1450" s="5" t="s">
        <v>3046</v>
      </c>
      <c r="C1450" s="6">
        <v>42308</v>
      </c>
      <c r="D1450" s="27">
        <f>MONTH(Table11[[#This Row],[Order Date]])</f>
        <v>10</v>
      </c>
      <c r="E1450" s="5" t="s">
        <v>3049</v>
      </c>
      <c r="F1450" s="5" t="s">
        <v>3050</v>
      </c>
      <c r="G1450" s="24" t="s">
        <v>41</v>
      </c>
      <c r="H1450" s="24" t="s">
        <v>155</v>
      </c>
      <c r="I1450" s="5" t="s">
        <v>3047</v>
      </c>
      <c r="J1450" s="24" t="s">
        <v>22</v>
      </c>
      <c r="K1450" s="27">
        <v>2</v>
      </c>
      <c r="L1450" s="6">
        <v>42310</v>
      </c>
      <c r="M1450" s="27">
        <f>Table11[[#This Row],[Ship Date]]-Table11[[#This Row],[Order Date]]</f>
        <v>2</v>
      </c>
      <c r="N1450" s="24" t="s">
        <v>20</v>
      </c>
      <c r="O1450" s="24" t="s">
        <v>23</v>
      </c>
      <c r="P1450" s="24" t="s">
        <v>238</v>
      </c>
      <c r="Q1450" s="24" t="s">
        <v>133</v>
      </c>
      <c r="R1450" s="24" t="s">
        <v>3048</v>
      </c>
      <c r="S1450" s="34">
        <v>0</v>
      </c>
      <c r="T1450" s="15">
        <v>79.959999999999994</v>
      </c>
      <c r="U1450" s="18">
        <v>35.981999999999999</v>
      </c>
      <c r="V1450" s="56">
        <f>Table11[[#This Row],[Profit]]/Table11[[#This Row],[Sales]]</f>
        <v>0.45</v>
      </c>
    </row>
    <row r="1451" spans="1:22" x14ac:dyDescent="0.2">
      <c r="A1451" s="4">
        <v>1450</v>
      </c>
      <c r="B1451" s="3" t="s">
        <v>3401</v>
      </c>
      <c r="C1451" s="7">
        <v>42308</v>
      </c>
      <c r="D1451" s="28">
        <f>MONTH(Table11[[#This Row],[Order Date]])</f>
        <v>10</v>
      </c>
      <c r="E1451" s="3" t="s">
        <v>1797</v>
      </c>
      <c r="F1451" s="3" t="s">
        <v>1798</v>
      </c>
      <c r="G1451" s="25" t="s">
        <v>41</v>
      </c>
      <c r="H1451" s="25" t="s">
        <v>68</v>
      </c>
      <c r="I1451" s="3" t="s">
        <v>3402</v>
      </c>
      <c r="J1451" s="25" t="s">
        <v>36</v>
      </c>
      <c r="K1451" s="28">
        <v>2</v>
      </c>
      <c r="L1451" s="7">
        <v>42312</v>
      </c>
      <c r="M1451" s="28">
        <f>Table11[[#This Row],[Ship Date]]-Table11[[#This Row],[Order Date]]</f>
        <v>4</v>
      </c>
      <c r="N1451" s="25" t="s">
        <v>20</v>
      </c>
      <c r="O1451" s="25" t="s">
        <v>23</v>
      </c>
      <c r="P1451" s="25" t="s">
        <v>38</v>
      </c>
      <c r="Q1451" s="25" t="s">
        <v>39</v>
      </c>
      <c r="R1451" s="25" t="s">
        <v>2325</v>
      </c>
      <c r="S1451" s="35">
        <v>0.2</v>
      </c>
      <c r="T1451" s="16">
        <v>9.7279999999999998</v>
      </c>
      <c r="U1451" s="19">
        <v>3.2831999999999999</v>
      </c>
      <c r="V1451" s="56">
        <f>Table11[[#This Row],[Profit]]/Table11[[#This Row],[Sales]]</f>
        <v>0.33750000000000002</v>
      </c>
    </row>
    <row r="1452" spans="1:22" x14ac:dyDescent="0.2">
      <c r="A1452" s="2">
        <v>1451</v>
      </c>
      <c r="B1452" s="5" t="s">
        <v>3401</v>
      </c>
      <c r="C1452" s="6">
        <v>42308</v>
      </c>
      <c r="D1452" s="27">
        <f>MONTH(Table11[[#This Row],[Order Date]])</f>
        <v>10</v>
      </c>
      <c r="E1452" s="5" t="s">
        <v>444</v>
      </c>
      <c r="F1452" s="5" t="s">
        <v>445</v>
      </c>
      <c r="G1452" s="24" t="s">
        <v>41</v>
      </c>
      <c r="H1452" s="24" t="s">
        <v>155</v>
      </c>
      <c r="I1452" s="5" t="s">
        <v>3402</v>
      </c>
      <c r="J1452" s="24" t="s">
        <v>36</v>
      </c>
      <c r="K1452" s="27">
        <v>5</v>
      </c>
      <c r="L1452" s="6">
        <v>42312</v>
      </c>
      <c r="M1452" s="27">
        <f>Table11[[#This Row],[Ship Date]]-Table11[[#This Row],[Order Date]]</f>
        <v>4</v>
      </c>
      <c r="N1452" s="24" t="s">
        <v>20</v>
      </c>
      <c r="O1452" s="24" t="s">
        <v>23</v>
      </c>
      <c r="P1452" s="24" t="s">
        <v>38</v>
      </c>
      <c r="Q1452" s="24" t="s">
        <v>39</v>
      </c>
      <c r="R1452" s="24" t="s">
        <v>2325</v>
      </c>
      <c r="S1452" s="34">
        <v>0</v>
      </c>
      <c r="T1452" s="15">
        <v>14.75</v>
      </c>
      <c r="U1452" s="18">
        <v>7.08</v>
      </c>
      <c r="V1452" s="56">
        <f>Table11[[#This Row],[Profit]]/Table11[[#This Row],[Sales]]</f>
        <v>0.48</v>
      </c>
    </row>
    <row r="1453" spans="1:22" x14ac:dyDescent="0.2">
      <c r="A1453" s="4">
        <v>1452</v>
      </c>
      <c r="B1453" s="3" t="s">
        <v>3401</v>
      </c>
      <c r="C1453" s="7">
        <v>42308</v>
      </c>
      <c r="D1453" s="28">
        <f>MONTH(Table11[[#This Row],[Order Date]])</f>
        <v>10</v>
      </c>
      <c r="E1453" s="3" t="s">
        <v>3403</v>
      </c>
      <c r="F1453" s="3" t="s">
        <v>3404</v>
      </c>
      <c r="G1453" s="25" t="s">
        <v>41</v>
      </c>
      <c r="H1453" s="25" t="s">
        <v>68</v>
      </c>
      <c r="I1453" s="3" t="s">
        <v>3402</v>
      </c>
      <c r="J1453" s="25" t="s">
        <v>36</v>
      </c>
      <c r="K1453" s="28">
        <v>5</v>
      </c>
      <c r="L1453" s="7">
        <v>42312</v>
      </c>
      <c r="M1453" s="28">
        <f>Table11[[#This Row],[Ship Date]]-Table11[[#This Row],[Order Date]]</f>
        <v>4</v>
      </c>
      <c r="N1453" s="25" t="s">
        <v>20</v>
      </c>
      <c r="O1453" s="25" t="s">
        <v>23</v>
      </c>
      <c r="P1453" s="25" t="s">
        <v>38</v>
      </c>
      <c r="Q1453" s="25" t="s">
        <v>39</v>
      </c>
      <c r="R1453" s="25" t="s">
        <v>2325</v>
      </c>
      <c r="S1453" s="35">
        <v>0.2</v>
      </c>
      <c r="T1453" s="16">
        <v>29.8</v>
      </c>
      <c r="U1453" s="19">
        <v>9.3125</v>
      </c>
      <c r="V1453" s="56">
        <f>Table11[[#This Row],[Profit]]/Table11[[#This Row],[Sales]]</f>
        <v>0.3125</v>
      </c>
    </row>
    <row r="1454" spans="1:22" x14ac:dyDescent="0.2">
      <c r="A1454" s="4">
        <v>1453</v>
      </c>
      <c r="B1454" s="5" t="s">
        <v>3401</v>
      </c>
      <c r="C1454" s="6">
        <v>42308</v>
      </c>
      <c r="D1454" s="27">
        <f>MONTH(Table11[[#This Row],[Order Date]])</f>
        <v>10</v>
      </c>
      <c r="E1454" s="5" t="s">
        <v>1986</v>
      </c>
      <c r="F1454" s="5" t="s">
        <v>1987</v>
      </c>
      <c r="G1454" s="24" t="s">
        <v>41</v>
      </c>
      <c r="H1454" s="24" t="s">
        <v>42</v>
      </c>
      <c r="I1454" s="5" t="s">
        <v>3402</v>
      </c>
      <c r="J1454" s="24" t="s">
        <v>36</v>
      </c>
      <c r="K1454" s="27">
        <v>14</v>
      </c>
      <c r="L1454" s="6">
        <v>42312</v>
      </c>
      <c r="M1454" s="27">
        <f>Table11[[#This Row],[Ship Date]]-Table11[[#This Row],[Order Date]]</f>
        <v>4</v>
      </c>
      <c r="N1454" s="24" t="s">
        <v>20</v>
      </c>
      <c r="O1454" s="24" t="s">
        <v>23</v>
      </c>
      <c r="P1454" s="24" t="s">
        <v>38</v>
      </c>
      <c r="Q1454" s="24" t="s">
        <v>39</v>
      </c>
      <c r="R1454" s="24" t="s">
        <v>2325</v>
      </c>
      <c r="S1454" s="34">
        <v>0</v>
      </c>
      <c r="T1454" s="15">
        <v>427.42</v>
      </c>
      <c r="U1454" s="18">
        <v>196.61320000000001</v>
      </c>
      <c r="V1454" s="56">
        <f>Table11[[#This Row],[Profit]]/Table11[[#This Row],[Sales]]</f>
        <v>0.46</v>
      </c>
    </row>
    <row r="1455" spans="1:22" x14ac:dyDescent="0.2">
      <c r="A1455" s="2">
        <v>1454</v>
      </c>
      <c r="B1455" s="3" t="s">
        <v>4445</v>
      </c>
      <c r="C1455" s="7">
        <v>42308</v>
      </c>
      <c r="D1455" s="28">
        <f>MONTH(Table11[[#This Row],[Order Date]])</f>
        <v>10</v>
      </c>
      <c r="E1455" s="3" t="s">
        <v>1282</v>
      </c>
      <c r="F1455" s="3" t="s">
        <v>1283</v>
      </c>
      <c r="G1455" s="25" t="s">
        <v>41</v>
      </c>
      <c r="H1455" s="25" t="s">
        <v>82</v>
      </c>
      <c r="I1455" s="3" t="s">
        <v>526</v>
      </c>
      <c r="J1455" s="25" t="s">
        <v>22</v>
      </c>
      <c r="K1455" s="28">
        <v>1</v>
      </c>
      <c r="L1455" s="7">
        <v>42308</v>
      </c>
      <c r="M1455" s="28">
        <f>Table11[[#This Row],[Ship Date]]-Table11[[#This Row],[Order Date]]</f>
        <v>0</v>
      </c>
      <c r="N1455" s="25" t="s">
        <v>1141</v>
      </c>
      <c r="O1455" s="25" t="s">
        <v>23</v>
      </c>
      <c r="P1455" s="25" t="s">
        <v>38</v>
      </c>
      <c r="Q1455" s="25" t="s">
        <v>39</v>
      </c>
      <c r="R1455" s="25" t="s">
        <v>684</v>
      </c>
      <c r="S1455" s="35">
        <v>0</v>
      </c>
      <c r="T1455" s="16">
        <v>19.98</v>
      </c>
      <c r="U1455" s="19">
        <v>9.3905999999999992</v>
      </c>
      <c r="V1455" s="56">
        <f>Table11[[#This Row],[Profit]]/Table11[[#This Row],[Sales]]</f>
        <v>0.47</v>
      </c>
    </row>
    <row r="1456" spans="1:22" x14ac:dyDescent="0.2">
      <c r="A1456" s="4">
        <v>1455</v>
      </c>
      <c r="B1456" s="5" t="s">
        <v>4445</v>
      </c>
      <c r="C1456" s="6">
        <v>42308</v>
      </c>
      <c r="D1456" s="27">
        <f>MONTH(Table11[[#This Row],[Order Date]])</f>
        <v>10</v>
      </c>
      <c r="E1456" s="5" t="s">
        <v>3071</v>
      </c>
      <c r="F1456" s="5" t="s">
        <v>3072</v>
      </c>
      <c r="G1456" s="24" t="s">
        <v>41</v>
      </c>
      <c r="H1456" s="24" t="s">
        <v>68</v>
      </c>
      <c r="I1456" s="5" t="s">
        <v>526</v>
      </c>
      <c r="J1456" s="24" t="s">
        <v>22</v>
      </c>
      <c r="K1456" s="27">
        <v>3</v>
      </c>
      <c r="L1456" s="6">
        <v>42308</v>
      </c>
      <c r="M1456" s="27">
        <f>Table11[[#This Row],[Ship Date]]-Table11[[#This Row],[Order Date]]</f>
        <v>0</v>
      </c>
      <c r="N1456" s="24" t="s">
        <v>1141</v>
      </c>
      <c r="O1456" s="24" t="s">
        <v>23</v>
      </c>
      <c r="P1456" s="24" t="s">
        <v>38</v>
      </c>
      <c r="Q1456" s="24" t="s">
        <v>39</v>
      </c>
      <c r="R1456" s="24" t="s">
        <v>684</v>
      </c>
      <c r="S1456" s="34">
        <v>0.2</v>
      </c>
      <c r="T1456" s="15">
        <v>398.35199999999998</v>
      </c>
      <c r="U1456" s="18">
        <v>124.485</v>
      </c>
      <c r="V1456" s="56">
        <f>Table11[[#This Row],[Profit]]/Table11[[#This Row],[Sales]]</f>
        <v>0.3125</v>
      </c>
    </row>
    <row r="1457" spans="1:22" x14ac:dyDescent="0.2">
      <c r="A1457" s="4">
        <v>1456</v>
      </c>
      <c r="B1457" s="3" t="s">
        <v>4445</v>
      </c>
      <c r="C1457" s="7">
        <v>42308</v>
      </c>
      <c r="D1457" s="28">
        <f>MONTH(Table11[[#This Row],[Order Date]])</f>
        <v>10</v>
      </c>
      <c r="E1457" s="3" t="s">
        <v>4446</v>
      </c>
      <c r="F1457" s="3" t="s">
        <v>4447</v>
      </c>
      <c r="G1457" s="25" t="s">
        <v>41</v>
      </c>
      <c r="H1457" s="25" t="s">
        <v>61</v>
      </c>
      <c r="I1457" s="3" t="s">
        <v>526</v>
      </c>
      <c r="J1457" s="25" t="s">
        <v>22</v>
      </c>
      <c r="K1457" s="28">
        <v>3</v>
      </c>
      <c r="L1457" s="7">
        <v>42308</v>
      </c>
      <c r="M1457" s="28">
        <f>Table11[[#This Row],[Ship Date]]-Table11[[#This Row],[Order Date]]</f>
        <v>0</v>
      </c>
      <c r="N1457" s="25" t="s">
        <v>1141</v>
      </c>
      <c r="O1457" s="25" t="s">
        <v>23</v>
      </c>
      <c r="P1457" s="25" t="s">
        <v>38</v>
      </c>
      <c r="Q1457" s="25" t="s">
        <v>39</v>
      </c>
      <c r="R1457" s="25" t="s">
        <v>684</v>
      </c>
      <c r="S1457" s="35">
        <v>0</v>
      </c>
      <c r="T1457" s="16">
        <v>5.04</v>
      </c>
      <c r="U1457" s="19">
        <v>1.26</v>
      </c>
      <c r="V1457" s="56">
        <f>Table11[[#This Row],[Profit]]/Table11[[#This Row],[Sales]]</f>
        <v>0.25</v>
      </c>
    </row>
    <row r="1458" spans="1:22" x14ac:dyDescent="0.2">
      <c r="A1458" s="2">
        <v>1457</v>
      </c>
      <c r="B1458" s="5" t="s">
        <v>4445</v>
      </c>
      <c r="C1458" s="6">
        <v>42308</v>
      </c>
      <c r="D1458" s="27">
        <f>MONTH(Table11[[#This Row],[Order Date]])</f>
        <v>10</v>
      </c>
      <c r="E1458" s="5" t="s">
        <v>763</v>
      </c>
      <c r="F1458" s="5" t="s">
        <v>764</v>
      </c>
      <c r="G1458" s="24" t="s">
        <v>41</v>
      </c>
      <c r="H1458" s="24" t="s">
        <v>240</v>
      </c>
      <c r="I1458" s="5" t="s">
        <v>526</v>
      </c>
      <c r="J1458" s="24" t="s">
        <v>22</v>
      </c>
      <c r="K1458" s="27">
        <v>5</v>
      </c>
      <c r="L1458" s="6">
        <v>42308</v>
      </c>
      <c r="M1458" s="27">
        <f>Table11[[#This Row],[Ship Date]]-Table11[[#This Row],[Order Date]]</f>
        <v>0</v>
      </c>
      <c r="N1458" s="24" t="s">
        <v>1141</v>
      </c>
      <c r="O1458" s="24" t="s">
        <v>23</v>
      </c>
      <c r="P1458" s="24" t="s">
        <v>38</v>
      </c>
      <c r="Q1458" s="24" t="s">
        <v>39</v>
      </c>
      <c r="R1458" s="24" t="s">
        <v>684</v>
      </c>
      <c r="S1458" s="34">
        <v>0</v>
      </c>
      <c r="T1458" s="15">
        <v>17.45</v>
      </c>
      <c r="U1458" s="18">
        <v>8.0269999999999992</v>
      </c>
      <c r="V1458" s="56">
        <f>Table11[[#This Row],[Profit]]/Table11[[#This Row],[Sales]]</f>
        <v>0.45999999999999996</v>
      </c>
    </row>
    <row r="1459" spans="1:22" x14ac:dyDescent="0.2">
      <c r="A1459" s="4">
        <v>1458</v>
      </c>
      <c r="B1459" s="3" t="s">
        <v>4445</v>
      </c>
      <c r="C1459" s="7">
        <v>42308</v>
      </c>
      <c r="D1459" s="28">
        <f>MONTH(Table11[[#This Row],[Order Date]])</f>
        <v>10</v>
      </c>
      <c r="E1459" s="3" t="s">
        <v>182</v>
      </c>
      <c r="F1459" s="3" t="s">
        <v>183</v>
      </c>
      <c r="G1459" s="25" t="s">
        <v>28</v>
      </c>
      <c r="H1459" s="25" t="s">
        <v>32</v>
      </c>
      <c r="I1459" s="3" t="s">
        <v>526</v>
      </c>
      <c r="J1459" s="25" t="s">
        <v>22</v>
      </c>
      <c r="K1459" s="28">
        <v>4</v>
      </c>
      <c r="L1459" s="7">
        <v>42308</v>
      </c>
      <c r="M1459" s="28">
        <f>Table11[[#This Row],[Ship Date]]-Table11[[#This Row],[Order Date]]</f>
        <v>0</v>
      </c>
      <c r="N1459" s="25" t="s">
        <v>1141</v>
      </c>
      <c r="O1459" s="25" t="s">
        <v>23</v>
      </c>
      <c r="P1459" s="25" t="s">
        <v>38</v>
      </c>
      <c r="Q1459" s="25" t="s">
        <v>39</v>
      </c>
      <c r="R1459" s="25" t="s">
        <v>684</v>
      </c>
      <c r="S1459" s="35">
        <v>0.2</v>
      </c>
      <c r="T1459" s="16">
        <v>323.13600000000002</v>
      </c>
      <c r="U1459" s="19">
        <v>20.196000000000002</v>
      </c>
      <c r="V1459" s="56">
        <f>Table11[[#This Row],[Profit]]/Table11[[#This Row],[Sales]]</f>
        <v>6.25E-2</v>
      </c>
    </row>
    <row r="1460" spans="1:22" x14ac:dyDescent="0.2">
      <c r="A1460" s="4">
        <v>1459</v>
      </c>
      <c r="B1460" s="5" t="s">
        <v>4445</v>
      </c>
      <c r="C1460" s="6">
        <v>42308</v>
      </c>
      <c r="D1460" s="27">
        <f>MONTH(Table11[[#This Row],[Order Date]])</f>
        <v>10</v>
      </c>
      <c r="E1460" s="5" t="s">
        <v>1914</v>
      </c>
      <c r="F1460" s="5" t="s">
        <v>1915</v>
      </c>
      <c r="G1460" s="24" t="s">
        <v>41</v>
      </c>
      <c r="H1460" s="24" t="s">
        <v>513</v>
      </c>
      <c r="I1460" s="5" t="s">
        <v>526</v>
      </c>
      <c r="J1460" s="24" t="s">
        <v>22</v>
      </c>
      <c r="K1460" s="27">
        <v>3</v>
      </c>
      <c r="L1460" s="6">
        <v>42308</v>
      </c>
      <c r="M1460" s="27">
        <f>Table11[[#This Row],[Ship Date]]-Table11[[#This Row],[Order Date]]</f>
        <v>0</v>
      </c>
      <c r="N1460" s="24" t="s">
        <v>1141</v>
      </c>
      <c r="O1460" s="24" t="s">
        <v>23</v>
      </c>
      <c r="P1460" s="24" t="s">
        <v>38</v>
      </c>
      <c r="Q1460" s="24" t="s">
        <v>39</v>
      </c>
      <c r="R1460" s="24" t="s">
        <v>684</v>
      </c>
      <c r="S1460" s="34">
        <v>0</v>
      </c>
      <c r="T1460" s="15">
        <v>29.7</v>
      </c>
      <c r="U1460" s="18">
        <v>8.0190000000000001</v>
      </c>
      <c r="V1460" s="56">
        <f>Table11[[#This Row],[Profit]]/Table11[[#This Row],[Sales]]</f>
        <v>0.27</v>
      </c>
    </row>
    <row r="1461" spans="1:22" x14ac:dyDescent="0.2">
      <c r="A1461" s="2">
        <v>1460</v>
      </c>
      <c r="B1461" s="3" t="s">
        <v>4445</v>
      </c>
      <c r="C1461" s="7">
        <v>42308</v>
      </c>
      <c r="D1461" s="28">
        <f>MONTH(Table11[[#This Row],[Order Date]])</f>
        <v>10</v>
      </c>
      <c r="E1461" s="3" t="s">
        <v>4448</v>
      </c>
      <c r="F1461" s="3" t="s">
        <v>4449</v>
      </c>
      <c r="G1461" s="25" t="s">
        <v>64</v>
      </c>
      <c r="H1461" s="25" t="s">
        <v>65</v>
      </c>
      <c r="I1461" s="3" t="s">
        <v>526</v>
      </c>
      <c r="J1461" s="25" t="s">
        <v>22</v>
      </c>
      <c r="K1461" s="28">
        <v>4</v>
      </c>
      <c r="L1461" s="7">
        <v>42308</v>
      </c>
      <c r="M1461" s="28">
        <f>Table11[[#This Row],[Ship Date]]-Table11[[#This Row],[Order Date]]</f>
        <v>0</v>
      </c>
      <c r="N1461" s="25" t="s">
        <v>1141</v>
      </c>
      <c r="O1461" s="25" t="s">
        <v>23</v>
      </c>
      <c r="P1461" s="25" t="s">
        <v>38</v>
      </c>
      <c r="Q1461" s="25" t="s">
        <v>39</v>
      </c>
      <c r="R1461" s="25" t="s">
        <v>684</v>
      </c>
      <c r="S1461" s="35">
        <v>0.2</v>
      </c>
      <c r="T1461" s="16">
        <v>1295.8399999999999</v>
      </c>
      <c r="U1461" s="19">
        <v>145.78200000000001</v>
      </c>
      <c r="V1461" s="56">
        <f>Table11[[#This Row],[Profit]]/Table11[[#This Row],[Sales]]</f>
        <v>0.11250000000000002</v>
      </c>
    </row>
    <row r="1462" spans="1:22" x14ac:dyDescent="0.2">
      <c r="A1462" s="4">
        <v>1461</v>
      </c>
      <c r="B1462" s="5" t="s">
        <v>4445</v>
      </c>
      <c r="C1462" s="6">
        <v>42308</v>
      </c>
      <c r="D1462" s="27">
        <f>MONTH(Table11[[#This Row],[Order Date]])</f>
        <v>10</v>
      </c>
      <c r="E1462" s="5" t="s">
        <v>4450</v>
      </c>
      <c r="F1462" s="5" t="s">
        <v>4451</v>
      </c>
      <c r="G1462" s="24" t="s">
        <v>41</v>
      </c>
      <c r="H1462" s="24" t="s">
        <v>53</v>
      </c>
      <c r="I1462" s="5" t="s">
        <v>526</v>
      </c>
      <c r="J1462" s="24" t="s">
        <v>22</v>
      </c>
      <c r="K1462" s="27">
        <v>2</v>
      </c>
      <c r="L1462" s="6">
        <v>42308</v>
      </c>
      <c r="M1462" s="27">
        <f>Table11[[#This Row],[Ship Date]]-Table11[[#This Row],[Order Date]]</f>
        <v>0</v>
      </c>
      <c r="N1462" s="24" t="s">
        <v>1141</v>
      </c>
      <c r="O1462" s="24" t="s">
        <v>23</v>
      </c>
      <c r="P1462" s="24" t="s">
        <v>38</v>
      </c>
      <c r="Q1462" s="24" t="s">
        <v>39</v>
      </c>
      <c r="R1462" s="24" t="s">
        <v>684</v>
      </c>
      <c r="S1462" s="34">
        <v>0</v>
      </c>
      <c r="T1462" s="15">
        <v>46.84</v>
      </c>
      <c r="U1462" s="18">
        <v>12.646800000000001</v>
      </c>
      <c r="V1462" s="56">
        <f>Table11[[#This Row],[Profit]]/Table11[[#This Row],[Sales]]</f>
        <v>0.27</v>
      </c>
    </row>
    <row r="1463" spans="1:22" x14ac:dyDescent="0.2">
      <c r="A1463" s="4">
        <v>1462</v>
      </c>
      <c r="B1463" s="3" t="s">
        <v>4445</v>
      </c>
      <c r="C1463" s="7">
        <v>42308</v>
      </c>
      <c r="D1463" s="28">
        <f>MONTH(Table11[[#This Row],[Order Date]])</f>
        <v>10</v>
      </c>
      <c r="E1463" s="3" t="s">
        <v>4452</v>
      </c>
      <c r="F1463" s="3" t="s">
        <v>4453</v>
      </c>
      <c r="G1463" s="25" t="s">
        <v>28</v>
      </c>
      <c r="H1463" s="25" t="s">
        <v>29</v>
      </c>
      <c r="I1463" s="3" t="s">
        <v>526</v>
      </c>
      <c r="J1463" s="25" t="s">
        <v>22</v>
      </c>
      <c r="K1463" s="28">
        <v>1</v>
      </c>
      <c r="L1463" s="7">
        <v>42308</v>
      </c>
      <c r="M1463" s="28">
        <f>Table11[[#This Row],[Ship Date]]-Table11[[#This Row],[Order Date]]</f>
        <v>0</v>
      </c>
      <c r="N1463" s="25" t="s">
        <v>1141</v>
      </c>
      <c r="O1463" s="25" t="s">
        <v>23</v>
      </c>
      <c r="P1463" s="25" t="s">
        <v>38</v>
      </c>
      <c r="Q1463" s="25" t="s">
        <v>39</v>
      </c>
      <c r="R1463" s="25" t="s">
        <v>684</v>
      </c>
      <c r="S1463" s="35">
        <v>0.15</v>
      </c>
      <c r="T1463" s="16">
        <v>425.83300000000003</v>
      </c>
      <c r="U1463" s="19">
        <v>20.039200000000001</v>
      </c>
      <c r="V1463" s="56">
        <f>Table11[[#This Row],[Profit]]/Table11[[#This Row],[Sales]]</f>
        <v>4.7058823529411764E-2</v>
      </c>
    </row>
    <row r="1464" spans="1:22" x14ac:dyDescent="0.2">
      <c r="A1464" s="2">
        <v>1463</v>
      </c>
      <c r="B1464" s="5" t="s">
        <v>3790</v>
      </c>
      <c r="C1464" s="6">
        <v>42309</v>
      </c>
      <c r="D1464" s="27">
        <f>MONTH(Table11[[#This Row],[Order Date]])</f>
        <v>11</v>
      </c>
      <c r="E1464" s="5" t="s">
        <v>665</v>
      </c>
      <c r="F1464" s="5" t="s">
        <v>666</v>
      </c>
      <c r="G1464" s="24" t="s">
        <v>64</v>
      </c>
      <c r="H1464" s="24" t="s">
        <v>144</v>
      </c>
      <c r="I1464" s="5" t="s">
        <v>693</v>
      </c>
      <c r="J1464" s="24" t="s">
        <v>92</v>
      </c>
      <c r="K1464" s="27">
        <v>2</v>
      </c>
      <c r="L1464" s="6">
        <v>42311</v>
      </c>
      <c r="M1464" s="27">
        <f>Table11[[#This Row],[Ship Date]]-Table11[[#This Row],[Order Date]]</f>
        <v>2</v>
      </c>
      <c r="N1464" s="24" t="s">
        <v>169</v>
      </c>
      <c r="O1464" s="24" t="s">
        <v>23</v>
      </c>
      <c r="P1464" s="24" t="s">
        <v>132</v>
      </c>
      <c r="Q1464" s="24" t="s">
        <v>133</v>
      </c>
      <c r="R1464" s="24" t="s">
        <v>131</v>
      </c>
      <c r="S1464" s="34">
        <v>0.2</v>
      </c>
      <c r="T1464" s="15">
        <v>35.36</v>
      </c>
      <c r="U1464" s="18">
        <v>-3.0939999999999999</v>
      </c>
      <c r="V1464" s="56">
        <f>Table11[[#This Row],[Profit]]/Table11[[#This Row],[Sales]]</f>
        <v>-8.7499999999999994E-2</v>
      </c>
    </row>
    <row r="1465" spans="1:22" x14ac:dyDescent="0.2">
      <c r="A1465" s="4">
        <v>1464</v>
      </c>
      <c r="B1465" s="3" t="s">
        <v>3790</v>
      </c>
      <c r="C1465" s="7">
        <v>42309</v>
      </c>
      <c r="D1465" s="28">
        <f>MONTH(Table11[[#This Row],[Order Date]])</f>
        <v>11</v>
      </c>
      <c r="E1465" s="3" t="s">
        <v>3791</v>
      </c>
      <c r="F1465" s="3" t="s">
        <v>3792</v>
      </c>
      <c r="G1465" s="25" t="s">
        <v>41</v>
      </c>
      <c r="H1465" s="25" t="s">
        <v>240</v>
      </c>
      <c r="I1465" s="3" t="s">
        <v>693</v>
      </c>
      <c r="J1465" s="25" t="s">
        <v>92</v>
      </c>
      <c r="K1465" s="28">
        <v>2</v>
      </c>
      <c r="L1465" s="7">
        <v>42311</v>
      </c>
      <c r="M1465" s="28">
        <f>Table11[[#This Row],[Ship Date]]-Table11[[#This Row],[Order Date]]</f>
        <v>2</v>
      </c>
      <c r="N1465" s="25" t="s">
        <v>169</v>
      </c>
      <c r="O1465" s="25" t="s">
        <v>23</v>
      </c>
      <c r="P1465" s="25" t="s">
        <v>132</v>
      </c>
      <c r="Q1465" s="25" t="s">
        <v>133</v>
      </c>
      <c r="R1465" s="25" t="s">
        <v>131</v>
      </c>
      <c r="S1465" s="35">
        <v>0.2</v>
      </c>
      <c r="T1465" s="16">
        <v>3.1680000000000001</v>
      </c>
      <c r="U1465" s="19">
        <v>-0.71279999999999999</v>
      </c>
      <c r="V1465" s="56">
        <f>Table11[[#This Row],[Profit]]/Table11[[#This Row],[Sales]]</f>
        <v>-0.22499999999999998</v>
      </c>
    </row>
    <row r="1466" spans="1:22" x14ac:dyDescent="0.2">
      <c r="A1466" s="4">
        <v>1465</v>
      </c>
      <c r="B1466" s="5" t="s">
        <v>4707</v>
      </c>
      <c r="C1466" s="6">
        <v>42309</v>
      </c>
      <c r="D1466" s="27">
        <f>MONTH(Table11[[#This Row],[Order Date]])</f>
        <v>11</v>
      </c>
      <c r="E1466" s="5" t="s">
        <v>1711</v>
      </c>
      <c r="F1466" s="5" t="s">
        <v>1712</v>
      </c>
      <c r="G1466" s="24" t="s">
        <v>64</v>
      </c>
      <c r="H1466" s="24" t="s">
        <v>65</v>
      </c>
      <c r="I1466" s="5" t="s">
        <v>3182</v>
      </c>
      <c r="J1466" s="24" t="s">
        <v>36</v>
      </c>
      <c r="K1466" s="27">
        <v>1</v>
      </c>
      <c r="L1466" s="6">
        <v>42314</v>
      </c>
      <c r="M1466" s="27">
        <f>Table11[[#This Row],[Ship Date]]-Table11[[#This Row],[Order Date]]</f>
        <v>5</v>
      </c>
      <c r="N1466" s="24" t="s">
        <v>45</v>
      </c>
      <c r="O1466" s="24" t="s">
        <v>23</v>
      </c>
      <c r="P1466" s="24" t="s">
        <v>238</v>
      </c>
      <c r="Q1466" s="24" t="s">
        <v>133</v>
      </c>
      <c r="R1466" s="24" t="s">
        <v>237</v>
      </c>
      <c r="S1466" s="34">
        <v>0</v>
      </c>
      <c r="T1466" s="15">
        <v>4.95</v>
      </c>
      <c r="U1466" s="18">
        <v>1.3365</v>
      </c>
      <c r="V1466" s="56">
        <f>Table11[[#This Row],[Profit]]/Table11[[#This Row],[Sales]]</f>
        <v>0.27</v>
      </c>
    </row>
    <row r="1467" spans="1:22" x14ac:dyDescent="0.2">
      <c r="A1467" s="2">
        <v>1466</v>
      </c>
      <c r="B1467" s="3" t="s">
        <v>4709</v>
      </c>
      <c r="C1467" s="7">
        <v>42309</v>
      </c>
      <c r="D1467" s="28">
        <f>MONTH(Table11[[#This Row],[Order Date]])</f>
        <v>11</v>
      </c>
      <c r="E1467" s="3" t="s">
        <v>3228</v>
      </c>
      <c r="F1467" s="3" t="s">
        <v>3229</v>
      </c>
      <c r="G1467" s="25" t="s">
        <v>41</v>
      </c>
      <c r="H1467" s="25" t="s">
        <v>82</v>
      </c>
      <c r="I1467" s="3" t="s">
        <v>783</v>
      </c>
      <c r="J1467" s="25" t="s">
        <v>22</v>
      </c>
      <c r="K1467" s="28">
        <v>4</v>
      </c>
      <c r="L1467" s="7">
        <v>42313</v>
      </c>
      <c r="M1467" s="28">
        <f>Table11[[#This Row],[Ship Date]]-Table11[[#This Row],[Order Date]]</f>
        <v>4</v>
      </c>
      <c r="N1467" s="25" t="s">
        <v>45</v>
      </c>
      <c r="O1467" s="25" t="s">
        <v>23</v>
      </c>
      <c r="P1467" s="25" t="s">
        <v>238</v>
      </c>
      <c r="Q1467" s="25" t="s">
        <v>133</v>
      </c>
      <c r="R1467" s="25" t="s">
        <v>237</v>
      </c>
      <c r="S1467" s="35">
        <v>0</v>
      </c>
      <c r="T1467" s="16">
        <v>13.52</v>
      </c>
      <c r="U1467" s="19">
        <v>6.2191999999999998</v>
      </c>
      <c r="V1467" s="56">
        <f>Table11[[#This Row],[Profit]]/Table11[[#This Row],[Sales]]</f>
        <v>0.46</v>
      </c>
    </row>
    <row r="1468" spans="1:22" x14ac:dyDescent="0.2">
      <c r="A1468" s="4">
        <v>1467</v>
      </c>
      <c r="B1468" s="5" t="s">
        <v>4709</v>
      </c>
      <c r="C1468" s="6">
        <v>42309</v>
      </c>
      <c r="D1468" s="27">
        <f>MONTH(Table11[[#This Row],[Order Date]])</f>
        <v>11</v>
      </c>
      <c r="E1468" s="5" t="s">
        <v>2358</v>
      </c>
      <c r="F1468" s="5" t="s">
        <v>2359</v>
      </c>
      <c r="G1468" s="24" t="s">
        <v>28</v>
      </c>
      <c r="H1468" s="24" t="s">
        <v>58</v>
      </c>
      <c r="I1468" s="5" t="s">
        <v>783</v>
      </c>
      <c r="J1468" s="24" t="s">
        <v>22</v>
      </c>
      <c r="K1468" s="27">
        <v>5</v>
      </c>
      <c r="L1468" s="6">
        <v>42313</v>
      </c>
      <c r="M1468" s="27">
        <f>Table11[[#This Row],[Ship Date]]-Table11[[#This Row],[Order Date]]</f>
        <v>4</v>
      </c>
      <c r="N1468" s="24" t="s">
        <v>45</v>
      </c>
      <c r="O1468" s="24" t="s">
        <v>23</v>
      </c>
      <c r="P1468" s="24" t="s">
        <v>238</v>
      </c>
      <c r="Q1468" s="24" t="s">
        <v>133</v>
      </c>
      <c r="R1468" s="24" t="s">
        <v>237</v>
      </c>
      <c r="S1468" s="34">
        <v>0</v>
      </c>
      <c r="T1468" s="15">
        <v>259.7</v>
      </c>
      <c r="U1468" s="18">
        <v>106.477</v>
      </c>
      <c r="V1468" s="56">
        <f>Table11[[#This Row],[Profit]]/Table11[[#This Row],[Sales]]</f>
        <v>0.41000000000000003</v>
      </c>
    </row>
    <row r="1469" spans="1:22" x14ac:dyDescent="0.2">
      <c r="A1469" s="4">
        <v>1468</v>
      </c>
      <c r="B1469" s="3" t="s">
        <v>4709</v>
      </c>
      <c r="C1469" s="7">
        <v>42309</v>
      </c>
      <c r="D1469" s="28">
        <f>MONTH(Table11[[#This Row],[Order Date]])</f>
        <v>11</v>
      </c>
      <c r="E1469" s="3" t="s">
        <v>4710</v>
      </c>
      <c r="F1469" s="3" t="s">
        <v>4711</v>
      </c>
      <c r="G1469" s="25" t="s">
        <v>64</v>
      </c>
      <c r="H1469" s="25" t="s">
        <v>65</v>
      </c>
      <c r="I1469" s="3" t="s">
        <v>783</v>
      </c>
      <c r="J1469" s="25" t="s">
        <v>22</v>
      </c>
      <c r="K1469" s="28">
        <v>1</v>
      </c>
      <c r="L1469" s="7">
        <v>42313</v>
      </c>
      <c r="M1469" s="28">
        <f>Table11[[#This Row],[Ship Date]]-Table11[[#This Row],[Order Date]]</f>
        <v>4</v>
      </c>
      <c r="N1469" s="25" t="s">
        <v>45</v>
      </c>
      <c r="O1469" s="25" t="s">
        <v>23</v>
      </c>
      <c r="P1469" s="25" t="s">
        <v>238</v>
      </c>
      <c r="Q1469" s="25" t="s">
        <v>133</v>
      </c>
      <c r="R1469" s="25" t="s">
        <v>237</v>
      </c>
      <c r="S1469" s="35">
        <v>0</v>
      </c>
      <c r="T1469" s="16">
        <v>42.95</v>
      </c>
      <c r="U1469" s="19">
        <v>1.2885</v>
      </c>
      <c r="V1469" s="56">
        <f>Table11[[#This Row],[Profit]]/Table11[[#This Row],[Sales]]</f>
        <v>0.03</v>
      </c>
    </row>
    <row r="1470" spans="1:22" x14ac:dyDescent="0.2">
      <c r="A1470" s="2">
        <v>1469</v>
      </c>
      <c r="B1470" s="5" t="s">
        <v>4709</v>
      </c>
      <c r="C1470" s="6">
        <v>42309</v>
      </c>
      <c r="D1470" s="27">
        <f>MONTH(Table11[[#This Row],[Order Date]])</f>
        <v>11</v>
      </c>
      <c r="E1470" s="5" t="s">
        <v>2238</v>
      </c>
      <c r="F1470" s="5" t="s">
        <v>2239</v>
      </c>
      <c r="G1470" s="24" t="s">
        <v>64</v>
      </c>
      <c r="H1470" s="24" t="s">
        <v>144</v>
      </c>
      <c r="I1470" s="5" t="s">
        <v>783</v>
      </c>
      <c r="J1470" s="24" t="s">
        <v>22</v>
      </c>
      <c r="K1470" s="27">
        <v>7</v>
      </c>
      <c r="L1470" s="6">
        <v>42313</v>
      </c>
      <c r="M1470" s="27">
        <f>Table11[[#This Row],[Ship Date]]-Table11[[#This Row],[Order Date]]</f>
        <v>4</v>
      </c>
      <c r="N1470" s="24" t="s">
        <v>45</v>
      </c>
      <c r="O1470" s="24" t="s">
        <v>23</v>
      </c>
      <c r="P1470" s="24" t="s">
        <v>238</v>
      </c>
      <c r="Q1470" s="24" t="s">
        <v>133</v>
      </c>
      <c r="R1470" s="24" t="s">
        <v>237</v>
      </c>
      <c r="S1470" s="34">
        <v>0</v>
      </c>
      <c r="T1470" s="15">
        <v>1399.93</v>
      </c>
      <c r="U1470" s="18">
        <v>601.96990000000005</v>
      </c>
      <c r="V1470" s="56">
        <f>Table11[[#This Row],[Profit]]/Table11[[#This Row],[Sales]]</f>
        <v>0.43</v>
      </c>
    </row>
    <row r="1471" spans="1:22" x14ac:dyDescent="0.2">
      <c r="A1471" s="4">
        <v>1470</v>
      </c>
      <c r="B1471" s="3" t="s">
        <v>4709</v>
      </c>
      <c r="C1471" s="7">
        <v>42309</v>
      </c>
      <c r="D1471" s="28">
        <f>MONTH(Table11[[#This Row],[Order Date]])</f>
        <v>11</v>
      </c>
      <c r="E1471" s="3" t="s">
        <v>1642</v>
      </c>
      <c r="F1471" s="3" t="s">
        <v>1643</v>
      </c>
      <c r="G1471" s="25" t="s">
        <v>64</v>
      </c>
      <c r="H1471" s="25" t="s">
        <v>65</v>
      </c>
      <c r="I1471" s="3" t="s">
        <v>783</v>
      </c>
      <c r="J1471" s="25" t="s">
        <v>22</v>
      </c>
      <c r="K1471" s="28">
        <v>4</v>
      </c>
      <c r="L1471" s="7">
        <v>42313</v>
      </c>
      <c r="M1471" s="28">
        <f>Table11[[#This Row],[Ship Date]]-Table11[[#This Row],[Order Date]]</f>
        <v>4</v>
      </c>
      <c r="N1471" s="25" t="s">
        <v>45</v>
      </c>
      <c r="O1471" s="25" t="s">
        <v>23</v>
      </c>
      <c r="P1471" s="25" t="s">
        <v>238</v>
      </c>
      <c r="Q1471" s="25" t="s">
        <v>133</v>
      </c>
      <c r="R1471" s="25" t="s">
        <v>237</v>
      </c>
      <c r="S1471" s="35">
        <v>0</v>
      </c>
      <c r="T1471" s="16">
        <v>503.96</v>
      </c>
      <c r="U1471" s="19">
        <v>125.99</v>
      </c>
      <c r="V1471" s="56">
        <f>Table11[[#This Row],[Profit]]/Table11[[#This Row],[Sales]]</f>
        <v>0.25</v>
      </c>
    </row>
    <row r="1472" spans="1:22" x14ac:dyDescent="0.2">
      <c r="A1472" s="4">
        <v>1471</v>
      </c>
      <c r="B1472" s="5" t="s">
        <v>5323</v>
      </c>
      <c r="C1472" s="6">
        <v>42309</v>
      </c>
      <c r="D1472" s="27">
        <f>MONTH(Table11[[#This Row],[Order Date]])</f>
        <v>11</v>
      </c>
      <c r="E1472" s="5" t="s">
        <v>161</v>
      </c>
      <c r="F1472" s="5" t="s">
        <v>162</v>
      </c>
      <c r="G1472" s="24" t="s">
        <v>41</v>
      </c>
      <c r="H1472" s="24" t="s">
        <v>61</v>
      </c>
      <c r="I1472" s="5" t="s">
        <v>2314</v>
      </c>
      <c r="J1472" s="24" t="s">
        <v>22</v>
      </c>
      <c r="K1472" s="27">
        <v>1</v>
      </c>
      <c r="L1472" s="6">
        <v>42312</v>
      </c>
      <c r="M1472" s="27">
        <f>Table11[[#This Row],[Ship Date]]-Table11[[#This Row],[Order Date]]</f>
        <v>3</v>
      </c>
      <c r="N1472" s="24" t="s">
        <v>169</v>
      </c>
      <c r="O1472" s="24" t="s">
        <v>23</v>
      </c>
      <c r="P1472" s="24" t="s">
        <v>374</v>
      </c>
      <c r="Q1472" s="24" t="s">
        <v>39</v>
      </c>
      <c r="R1472" s="24" t="s">
        <v>1744</v>
      </c>
      <c r="S1472" s="34">
        <v>0.2</v>
      </c>
      <c r="T1472" s="15">
        <v>7.88</v>
      </c>
      <c r="U1472" s="18">
        <v>1.7729999999999999</v>
      </c>
      <c r="V1472" s="56">
        <f>Table11[[#This Row],[Profit]]/Table11[[#This Row],[Sales]]</f>
        <v>0.22499999999999998</v>
      </c>
    </row>
    <row r="1473" spans="1:22" x14ac:dyDescent="0.2">
      <c r="A1473" s="2">
        <v>1472</v>
      </c>
      <c r="B1473" s="3" t="s">
        <v>7766</v>
      </c>
      <c r="C1473" s="7">
        <v>42309</v>
      </c>
      <c r="D1473" s="28">
        <f>MONTH(Table11[[#This Row],[Order Date]])</f>
        <v>11</v>
      </c>
      <c r="E1473" s="3" t="s">
        <v>3457</v>
      </c>
      <c r="F1473" s="3" t="s">
        <v>3458</v>
      </c>
      <c r="G1473" s="25" t="s">
        <v>28</v>
      </c>
      <c r="H1473" s="25" t="s">
        <v>50</v>
      </c>
      <c r="I1473" s="3" t="s">
        <v>5253</v>
      </c>
      <c r="J1473" s="25" t="s">
        <v>22</v>
      </c>
      <c r="K1473" s="28">
        <v>2</v>
      </c>
      <c r="L1473" s="7">
        <v>42316</v>
      </c>
      <c r="M1473" s="28">
        <f>Table11[[#This Row],[Ship Date]]-Table11[[#This Row],[Order Date]]</f>
        <v>7</v>
      </c>
      <c r="N1473" s="25" t="s">
        <v>45</v>
      </c>
      <c r="O1473" s="25" t="s">
        <v>23</v>
      </c>
      <c r="P1473" s="25" t="s">
        <v>1510</v>
      </c>
      <c r="Q1473" s="25" t="s">
        <v>26</v>
      </c>
      <c r="R1473" s="25" t="s">
        <v>7767</v>
      </c>
      <c r="S1473" s="35">
        <v>0</v>
      </c>
      <c r="T1473" s="16">
        <v>301.95999999999998</v>
      </c>
      <c r="U1473" s="19">
        <v>45.293999999999997</v>
      </c>
      <c r="V1473" s="56">
        <f>Table11[[#This Row],[Profit]]/Table11[[#This Row],[Sales]]</f>
        <v>0.15</v>
      </c>
    </row>
    <row r="1474" spans="1:22" x14ac:dyDescent="0.2">
      <c r="A1474" s="4">
        <v>1473</v>
      </c>
      <c r="B1474" s="5" t="s">
        <v>8181</v>
      </c>
      <c r="C1474" s="6">
        <v>42309</v>
      </c>
      <c r="D1474" s="27">
        <f>MONTH(Table11[[#This Row],[Order Date]])</f>
        <v>11</v>
      </c>
      <c r="E1474" s="5" t="s">
        <v>5463</v>
      </c>
      <c r="F1474" s="5" t="s">
        <v>5464</v>
      </c>
      <c r="G1474" s="24" t="s">
        <v>28</v>
      </c>
      <c r="H1474" s="24" t="s">
        <v>32</v>
      </c>
      <c r="I1474" s="5" t="s">
        <v>3176</v>
      </c>
      <c r="J1474" s="24" t="s">
        <v>22</v>
      </c>
      <c r="K1474" s="27">
        <v>4</v>
      </c>
      <c r="L1474" s="6">
        <v>42311</v>
      </c>
      <c r="M1474" s="27">
        <f>Table11[[#This Row],[Ship Date]]-Table11[[#This Row],[Order Date]]</f>
        <v>2</v>
      </c>
      <c r="N1474" s="24" t="s">
        <v>20</v>
      </c>
      <c r="O1474" s="24" t="s">
        <v>23</v>
      </c>
      <c r="P1474" s="24" t="s">
        <v>238</v>
      </c>
      <c r="Q1474" s="24" t="s">
        <v>133</v>
      </c>
      <c r="R1474" s="24" t="s">
        <v>237</v>
      </c>
      <c r="S1474" s="34">
        <v>0.1</v>
      </c>
      <c r="T1474" s="15">
        <v>327.56400000000002</v>
      </c>
      <c r="U1474" s="18">
        <v>21.837599999999998</v>
      </c>
      <c r="V1474" s="56">
        <f>Table11[[#This Row],[Profit]]/Table11[[#This Row],[Sales]]</f>
        <v>6.6666666666666652E-2</v>
      </c>
    </row>
    <row r="1475" spans="1:22" x14ac:dyDescent="0.2">
      <c r="A1475" s="4">
        <v>1474</v>
      </c>
      <c r="B1475" s="3" t="s">
        <v>8460</v>
      </c>
      <c r="C1475" s="7">
        <v>42309</v>
      </c>
      <c r="D1475" s="28">
        <f>MONTH(Table11[[#This Row],[Order Date]])</f>
        <v>11</v>
      </c>
      <c r="E1475" s="3" t="s">
        <v>7619</v>
      </c>
      <c r="F1475" s="3" t="s">
        <v>7620</v>
      </c>
      <c r="G1475" s="25" t="s">
        <v>28</v>
      </c>
      <c r="H1475" s="25" t="s">
        <v>32</v>
      </c>
      <c r="I1475" s="3" t="s">
        <v>1692</v>
      </c>
      <c r="J1475" s="25" t="s">
        <v>22</v>
      </c>
      <c r="K1475" s="28">
        <v>2</v>
      </c>
      <c r="L1475" s="7">
        <v>42313</v>
      </c>
      <c r="M1475" s="28">
        <f>Table11[[#This Row],[Ship Date]]-Table11[[#This Row],[Order Date]]</f>
        <v>4</v>
      </c>
      <c r="N1475" s="25" t="s">
        <v>45</v>
      </c>
      <c r="O1475" s="25" t="s">
        <v>23</v>
      </c>
      <c r="P1475" s="25" t="s">
        <v>238</v>
      </c>
      <c r="Q1475" s="25" t="s">
        <v>133</v>
      </c>
      <c r="R1475" s="25" t="s">
        <v>237</v>
      </c>
      <c r="S1475" s="35">
        <v>0.1</v>
      </c>
      <c r="T1475" s="16">
        <v>205.16399999999999</v>
      </c>
      <c r="U1475" s="19">
        <v>13.6776</v>
      </c>
      <c r="V1475" s="56">
        <f>Table11[[#This Row],[Profit]]/Table11[[#This Row],[Sales]]</f>
        <v>6.6666666666666666E-2</v>
      </c>
    </row>
    <row r="1476" spans="1:22" x14ac:dyDescent="0.2">
      <c r="A1476" s="2">
        <v>1475</v>
      </c>
      <c r="B1476" s="5" t="s">
        <v>925</v>
      </c>
      <c r="C1476" s="6">
        <v>42310</v>
      </c>
      <c r="D1476" s="27">
        <f>MONTH(Table11[[#This Row],[Order Date]])</f>
        <v>11</v>
      </c>
      <c r="E1476" s="5" t="s">
        <v>927</v>
      </c>
      <c r="F1476" s="5" t="s">
        <v>928</v>
      </c>
      <c r="G1476" s="24" t="s">
        <v>28</v>
      </c>
      <c r="H1476" s="24" t="s">
        <v>50</v>
      </c>
      <c r="I1476" s="5" t="s">
        <v>926</v>
      </c>
      <c r="J1476" s="24" t="s">
        <v>22</v>
      </c>
      <c r="K1476" s="27">
        <v>5</v>
      </c>
      <c r="L1476" s="6">
        <v>42314</v>
      </c>
      <c r="M1476" s="27">
        <f>Table11[[#This Row],[Ship Date]]-Table11[[#This Row],[Order Date]]</f>
        <v>4</v>
      </c>
      <c r="N1476" s="24" t="s">
        <v>45</v>
      </c>
      <c r="O1476" s="24" t="s">
        <v>23</v>
      </c>
      <c r="P1476" s="24" t="s">
        <v>38</v>
      </c>
      <c r="Q1476" s="24" t="s">
        <v>39</v>
      </c>
      <c r="R1476" s="24" t="s">
        <v>37</v>
      </c>
      <c r="S1476" s="34">
        <v>0.2</v>
      </c>
      <c r="T1476" s="15">
        <v>1038.8399999999999</v>
      </c>
      <c r="U1476" s="18">
        <v>51.942</v>
      </c>
      <c r="V1476" s="56">
        <f>Table11[[#This Row],[Profit]]/Table11[[#This Row],[Sales]]</f>
        <v>0.05</v>
      </c>
    </row>
    <row r="1477" spans="1:22" x14ac:dyDescent="0.2">
      <c r="A1477" s="4">
        <v>1476</v>
      </c>
      <c r="B1477" s="3" t="s">
        <v>2953</v>
      </c>
      <c r="C1477" s="7">
        <v>42310</v>
      </c>
      <c r="D1477" s="28">
        <f>MONTH(Table11[[#This Row],[Order Date]])</f>
        <v>11</v>
      </c>
      <c r="E1477" s="3" t="s">
        <v>406</v>
      </c>
      <c r="F1477" s="3" t="s">
        <v>407</v>
      </c>
      <c r="G1477" s="25" t="s">
        <v>64</v>
      </c>
      <c r="H1477" s="25" t="s">
        <v>144</v>
      </c>
      <c r="I1477" s="3" t="s">
        <v>835</v>
      </c>
      <c r="J1477" s="25" t="s">
        <v>22</v>
      </c>
      <c r="K1477" s="28">
        <v>9</v>
      </c>
      <c r="L1477" s="7">
        <v>42310</v>
      </c>
      <c r="M1477" s="28">
        <f>Table11[[#This Row],[Ship Date]]-Table11[[#This Row],[Order Date]]</f>
        <v>0</v>
      </c>
      <c r="N1477" s="25" t="s">
        <v>1141</v>
      </c>
      <c r="O1477" s="25" t="s">
        <v>23</v>
      </c>
      <c r="P1477" s="25" t="s">
        <v>87</v>
      </c>
      <c r="Q1477" s="25" t="s">
        <v>39</v>
      </c>
      <c r="R1477" s="25" t="s">
        <v>86</v>
      </c>
      <c r="S1477" s="35">
        <v>0</v>
      </c>
      <c r="T1477" s="16">
        <v>447.93</v>
      </c>
      <c r="U1477" s="19">
        <v>49.272300000000001</v>
      </c>
      <c r="V1477" s="56">
        <f>Table11[[#This Row],[Profit]]/Table11[[#This Row],[Sales]]</f>
        <v>0.11</v>
      </c>
    </row>
    <row r="1478" spans="1:22" x14ac:dyDescent="0.2">
      <c r="A1478" s="4">
        <v>1477</v>
      </c>
      <c r="B1478" s="5" t="s">
        <v>7850</v>
      </c>
      <c r="C1478" s="6">
        <v>42310</v>
      </c>
      <c r="D1478" s="27">
        <f>MONTH(Table11[[#This Row],[Order Date]])</f>
        <v>11</v>
      </c>
      <c r="E1478" s="5" t="s">
        <v>5896</v>
      </c>
      <c r="F1478" s="5" t="s">
        <v>5897</v>
      </c>
      <c r="G1478" s="24" t="s">
        <v>28</v>
      </c>
      <c r="H1478" s="24" t="s">
        <v>32</v>
      </c>
      <c r="I1478" s="5" t="s">
        <v>4456</v>
      </c>
      <c r="J1478" s="24" t="s">
        <v>22</v>
      </c>
      <c r="K1478" s="27">
        <v>2</v>
      </c>
      <c r="L1478" s="6">
        <v>42315</v>
      </c>
      <c r="M1478" s="27">
        <f>Table11[[#This Row],[Ship Date]]-Table11[[#This Row],[Order Date]]</f>
        <v>5</v>
      </c>
      <c r="N1478" s="24" t="s">
        <v>45</v>
      </c>
      <c r="O1478" s="24" t="s">
        <v>23</v>
      </c>
      <c r="P1478" s="24" t="s">
        <v>238</v>
      </c>
      <c r="Q1478" s="24" t="s">
        <v>133</v>
      </c>
      <c r="R1478" s="24" t="s">
        <v>246</v>
      </c>
      <c r="S1478" s="34">
        <v>0.1</v>
      </c>
      <c r="T1478" s="15">
        <v>109.764</v>
      </c>
      <c r="U1478" s="18">
        <v>8.5372000000000003</v>
      </c>
      <c r="V1478" s="56">
        <f>Table11[[#This Row],[Profit]]/Table11[[#This Row],[Sales]]</f>
        <v>7.7777777777777779E-2</v>
      </c>
    </row>
    <row r="1479" spans="1:22" x14ac:dyDescent="0.2">
      <c r="A1479" s="2">
        <v>1478</v>
      </c>
      <c r="B1479" s="3" t="s">
        <v>9088</v>
      </c>
      <c r="C1479" s="7">
        <v>42310</v>
      </c>
      <c r="D1479" s="28">
        <f>MONTH(Table11[[#This Row],[Order Date]])</f>
        <v>11</v>
      </c>
      <c r="E1479" s="3" t="s">
        <v>5028</v>
      </c>
      <c r="F1479" s="3" t="s">
        <v>5029</v>
      </c>
      <c r="G1479" s="25" t="s">
        <v>28</v>
      </c>
      <c r="H1479" s="25" t="s">
        <v>58</v>
      </c>
      <c r="I1479" s="3" t="s">
        <v>2178</v>
      </c>
      <c r="J1479" s="25" t="s">
        <v>22</v>
      </c>
      <c r="K1479" s="28">
        <v>6</v>
      </c>
      <c r="L1479" s="7">
        <v>42314</v>
      </c>
      <c r="M1479" s="28">
        <f>Table11[[#This Row],[Ship Date]]-Table11[[#This Row],[Order Date]]</f>
        <v>4</v>
      </c>
      <c r="N1479" s="25" t="s">
        <v>45</v>
      </c>
      <c r="O1479" s="25" t="s">
        <v>23</v>
      </c>
      <c r="P1479" s="25" t="s">
        <v>38</v>
      </c>
      <c r="Q1479" s="25" t="s">
        <v>39</v>
      </c>
      <c r="R1479" s="25" t="s">
        <v>836</v>
      </c>
      <c r="S1479" s="35">
        <v>0</v>
      </c>
      <c r="T1479" s="16">
        <v>96.96</v>
      </c>
      <c r="U1479" s="19">
        <v>33.936</v>
      </c>
      <c r="V1479" s="56">
        <f>Table11[[#This Row],[Profit]]/Table11[[#This Row],[Sales]]</f>
        <v>0.35000000000000003</v>
      </c>
    </row>
    <row r="1480" spans="1:22" x14ac:dyDescent="0.2">
      <c r="A1480" s="4">
        <v>1479</v>
      </c>
      <c r="B1480" s="5" t="s">
        <v>9088</v>
      </c>
      <c r="C1480" s="6">
        <v>42310</v>
      </c>
      <c r="D1480" s="27">
        <f>MONTH(Table11[[#This Row],[Order Date]])</f>
        <v>11</v>
      </c>
      <c r="E1480" s="5" t="s">
        <v>1060</v>
      </c>
      <c r="F1480" s="5" t="s">
        <v>1061</v>
      </c>
      <c r="G1480" s="24" t="s">
        <v>41</v>
      </c>
      <c r="H1480" s="24" t="s">
        <v>68</v>
      </c>
      <c r="I1480" s="5" t="s">
        <v>2178</v>
      </c>
      <c r="J1480" s="24" t="s">
        <v>22</v>
      </c>
      <c r="K1480" s="27">
        <v>7</v>
      </c>
      <c r="L1480" s="6">
        <v>42314</v>
      </c>
      <c r="M1480" s="27">
        <f>Table11[[#This Row],[Ship Date]]-Table11[[#This Row],[Order Date]]</f>
        <v>4</v>
      </c>
      <c r="N1480" s="24" t="s">
        <v>45</v>
      </c>
      <c r="O1480" s="24" t="s">
        <v>23</v>
      </c>
      <c r="P1480" s="24" t="s">
        <v>38</v>
      </c>
      <c r="Q1480" s="24" t="s">
        <v>39</v>
      </c>
      <c r="R1480" s="24" t="s">
        <v>836</v>
      </c>
      <c r="S1480" s="34">
        <v>0.2</v>
      </c>
      <c r="T1480" s="15">
        <v>117.488</v>
      </c>
      <c r="U1480" s="18">
        <v>41.120800000000003</v>
      </c>
      <c r="V1480" s="56">
        <f>Table11[[#This Row],[Profit]]/Table11[[#This Row],[Sales]]</f>
        <v>0.35000000000000003</v>
      </c>
    </row>
    <row r="1481" spans="1:22" x14ac:dyDescent="0.2">
      <c r="A1481" s="4">
        <v>1480</v>
      </c>
      <c r="B1481" s="3" t="s">
        <v>9088</v>
      </c>
      <c r="C1481" s="7">
        <v>42310</v>
      </c>
      <c r="D1481" s="28">
        <f>MONTH(Table11[[#This Row],[Order Date]])</f>
        <v>11</v>
      </c>
      <c r="E1481" s="3" t="s">
        <v>2026</v>
      </c>
      <c r="F1481" s="3" t="s">
        <v>2027</v>
      </c>
      <c r="G1481" s="25" t="s">
        <v>41</v>
      </c>
      <c r="H1481" s="25" t="s">
        <v>68</v>
      </c>
      <c r="I1481" s="3" t="s">
        <v>2178</v>
      </c>
      <c r="J1481" s="25" t="s">
        <v>22</v>
      </c>
      <c r="K1481" s="28">
        <v>3</v>
      </c>
      <c r="L1481" s="7">
        <v>42314</v>
      </c>
      <c r="M1481" s="28">
        <f>Table11[[#This Row],[Ship Date]]-Table11[[#This Row],[Order Date]]</f>
        <v>4</v>
      </c>
      <c r="N1481" s="25" t="s">
        <v>45</v>
      </c>
      <c r="O1481" s="25" t="s">
        <v>23</v>
      </c>
      <c r="P1481" s="25" t="s">
        <v>38</v>
      </c>
      <c r="Q1481" s="25" t="s">
        <v>39</v>
      </c>
      <c r="R1481" s="25" t="s">
        <v>836</v>
      </c>
      <c r="S1481" s="35">
        <v>0.2</v>
      </c>
      <c r="T1481" s="16">
        <v>11.952</v>
      </c>
      <c r="U1481" s="19">
        <v>4.1832000000000003</v>
      </c>
      <c r="V1481" s="56">
        <f>Table11[[#This Row],[Profit]]/Table11[[#This Row],[Sales]]</f>
        <v>0.35000000000000003</v>
      </c>
    </row>
    <row r="1482" spans="1:22" x14ac:dyDescent="0.2">
      <c r="A1482" s="2">
        <v>1481</v>
      </c>
      <c r="B1482" s="5" t="s">
        <v>9088</v>
      </c>
      <c r="C1482" s="6">
        <v>42310</v>
      </c>
      <c r="D1482" s="27">
        <f>MONTH(Table11[[#This Row],[Order Date]])</f>
        <v>11</v>
      </c>
      <c r="E1482" s="5" t="s">
        <v>5032</v>
      </c>
      <c r="F1482" s="5" t="s">
        <v>5033</v>
      </c>
      <c r="G1482" s="24" t="s">
        <v>28</v>
      </c>
      <c r="H1482" s="24" t="s">
        <v>29</v>
      </c>
      <c r="I1482" s="5" t="s">
        <v>2178</v>
      </c>
      <c r="J1482" s="24" t="s">
        <v>22</v>
      </c>
      <c r="K1482" s="27">
        <v>3</v>
      </c>
      <c r="L1482" s="6">
        <v>42314</v>
      </c>
      <c r="M1482" s="27">
        <f>Table11[[#This Row],[Ship Date]]-Table11[[#This Row],[Order Date]]</f>
        <v>4</v>
      </c>
      <c r="N1482" s="24" t="s">
        <v>45</v>
      </c>
      <c r="O1482" s="24" t="s">
        <v>23</v>
      </c>
      <c r="P1482" s="24" t="s">
        <v>38</v>
      </c>
      <c r="Q1482" s="24" t="s">
        <v>39</v>
      </c>
      <c r="R1482" s="24" t="s">
        <v>836</v>
      </c>
      <c r="S1482" s="34">
        <v>0.15</v>
      </c>
      <c r="T1482" s="15">
        <v>512.49900000000002</v>
      </c>
      <c r="U1482" s="18">
        <v>-30.146999999999998</v>
      </c>
      <c r="V1482" s="56">
        <f>Table11[[#This Row],[Profit]]/Table11[[#This Row],[Sales]]</f>
        <v>-5.8823529411764698E-2</v>
      </c>
    </row>
    <row r="1483" spans="1:22" x14ac:dyDescent="0.2">
      <c r="A1483" s="4">
        <v>1482</v>
      </c>
      <c r="B1483" s="3" t="s">
        <v>9616</v>
      </c>
      <c r="C1483" s="7">
        <v>42310</v>
      </c>
      <c r="D1483" s="28">
        <f>MONTH(Table11[[#This Row],[Order Date]])</f>
        <v>11</v>
      </c>
      <c r="E1483" s="3" t="s">
        <v>8355</v>
      </c>
      <c r="F1483" s="3" t="s">
        <v>8356</v>
      </c>
      <c r="G1483" s="25" t="s">
        <v>28</v>
      </c>
      <c r="H1483" s="25" t="s">
        <v>32</v>
      </c>
      <c r="I1483" s="3" t="s">
        <v>3924</v>
      </c>
      <c r="J1483" s="25" t="s">
        <v>92</v>
      </c>
      <c r="K1483" s="28">
        <v>11</v>
      </c>
      <c r="L1483" s="7">
        <v>42312</v>
      </c>
      <c r="M1483" s="28">
        <f>Table11[[#This Row],[Ship Date]]-Table11[[#This Row],[Order Date]]</f>
        <v>2</v>
      </c>
      <c r="N1483" s="25" t="s">
        <v>169</v>
      </c>
      <c r="O1483" s="25" t="s">
        <v>23</v>
      </c>
      <c r="P1483" s="25" t="s">
        <v>238</v>
      </c>
      <c r="Q1483" s="25" t="s">
        <v>133</v>
      </c>
      <c r="R1483" s="25" t="s">
        <v>237</v>
      </c>
      <c r="S1483" s="35">
        <v>0.1</v>
      </c>
      <c r="T1483" s="16">
        <v>2621.3220000000001</v>
      </c>
      <c r="U1483" s="19">
        <v>553.39020000000005</v>
      </c>
      <c r="V1483" s="56">
        <f>Table11[[#This Row],[Profit]]/Table11[[#This Row],[Sales]]</f>
        <v>0.21111111111111111</v>
      </c>
    </row>
    <row r="1484" spans="1:22" x14ac:dyDescent="0.2">
      <c r="A1484" s="4">
        <v>1483</v>
      </c>
      <c r="B1484" s="5" t="s">
        <v>9691</v>
      </c>
      <c r="C1484" s="6">
        <v>42310</v>
      </c>
      <c r="D1484" s="27">
        <f>MONTH(Table11[[#This Row],[Order Date]])</f>
        <v>11</v>
      </c>
      <c r="E1484" s="5" t="s">
        <v>1060</v>
      </c>
      <c r="F1484" s="5" t="s">
        <v>1061</v>
      </c>
      <c r="G1484" s="24" t="s">
        <v>41</v>
      </c>
      <c r="H1484" s="24" t="s">
        <v>68</v>
      </c>
      <c r="I1484" s="5" t="s">
        <v>904</v>
      </c>
      <c r="J1484" s="24" t="s">
        <v>36</v>
      </c>
      <c r="K1484" s="27">
        <v>7</v>
      </c>
      <c r="L1484" s="6">
        <v>42315</v>
      </c>
      <c r="M1484" s="27">
        <f>Table11[[#This Row],[Ship Date]]-Table11[[#This Row],[Order Date]]</f>
        <v>5</v>
      </c>
      <c r="N1484" s="24" t="s">
        <v>45</v>
      </c>
      <c r="O1484" s="24" t="s">
        <v>23</v>
      </c>
      <c r="P1484" s="24" t="s">
        <v>94</v>
      </c>
      <c r="Q1484" s="24" t="s">
        <v>95</v>
      </c>
      <c r="R1484" s="24" t="s">
        <v>598</v>
      </c>
      <c r="S1484" s="34">
        <v>0.8</v>
      </c>
      <c r="T1484" s="15">
        <v>29.372</v>
      </c>
      <c r="U1484" s="18">
        <v>-46.995199999999997</v>
      </c>
      <c r="V1484" s="56">
        <f>Table11[[#This Row],[Profit]]/Table11[[#This Row],[Sales]]</f>
        <v>-1.5999999999999999</v>
      </c>
    </row>
    <row r="1485" spans="1:22" x14ac:dyDescent="0.2">
      <c r="A1485" s="2">
        <v>1484</v>
      </c>
      <c r="B1485" s="3" t="s">
        <v>9691</v>
      </c>
      <c r="C1485" s="7">
        <v>42310</v>
      </c>
      <c r="D1485" s="28">
        <f>MONTH(Table11[[#This Row],[Order Date]])</f>
        <v>11</v>
      </c>
      <c r="E1485" s="3" t="s">
        <v>3031</v>
      </c>
      <c r="F1485" s="3" t="s">
        <v>5655</v>
      </c>
      <c r="G1485" s="25" t="s">
        <v>64</v>
      </c>
      <c r="H1485" s="25" t="s">
        <v>65</v>
      </c>
      <c r="I1485" s="3" t="s">
        <v>904</v>
      </c>
      <c r="J1485" s="25" t="s">
        <v>36</v>
      </c>
      <c r="K1485" s="28">
        <v>2</v>
      </c>
      <c r="L1485" s="7">
        <v>42315</v>
      </c>
      <c r="M1485" s="28">
        <f>Table11[[#This Row],[Ship Date]]-Table11[[#This Row],[Order Date]]</f>
        <v>5</v>
      </c>
      <c r="N1485" s="25" t="s">
        <v>45</v>
      </c>
      <c r="O1485" s="25" t="s">
        <v>23</v>
      </c>
      <c r="P1485" s="25" t="s">
        <v>94</v>
      </c>
      <c r="Q1485" s="25" t="s">
        <v>95</v>
      </c>
      <c r="R1485" s="25" t="s">
        <v>598</v>
      </c>
      <c r="S1485" s="35">
        <v>0.2</v>
      </c>
      <c r="T1485" s="16">
        <v>344.70400000000001</v>
      </c>
      <c r="U1485" s="19">
        <v>38.779200000000003</v>
      </c>
      <c r="V1485" s="56">
        <f>Table11[[#This Row],[Profit]]/Table11[[#This Row],[Sales]]</f>
        <v>0.1125</v>
      </c>
    </row>
    <row r="1486" spans="1:22" x14ac:dyDescent="0.2">
      <c r="A1486" s="4">
        <v>1485</v>
      </c>
      <c r="B1486" s="5" t="s">
        <v>9941</v>
      </c>
      <c r="C1486" s="6">
        <v>42310</v>
      </c>
      <c r="D1486" s="27">
        <f>MONTH(Table11[[#This Row],[Order Date]])</f>
        <v>11</v>
      </c>
      <c r="E1486" s="5" t="s">
        <v>9942</v>
      </c>
      <c r="F1486" s="5" t="s">
        <v>9943</v>
      </c>
      <c r="G1486" s="24" t="s">
        <v>41</v>
      </c>
      <c r="H1486" s="24" t="s">
        <v>71</v>
      </c>
      <c r="I1486" s="5" t="s">
        <v>2060</v>
      </c>
      <c r="J1486" s="24" t="s">
        <v>22</v>
      </c>
      <c r="K1486" s="27">
        <v>4</v>
      </c>
      <c r="L1486" s="6">
        <v>42313</v>
      </c>
      <c r="M1486" s="27">
        <f>Table11[[#This Row],[Ship Date]]-Table11[[#This Row],[Order Date]]</f>
        <v>3</v>
      </c>
      <c r="N1486" s="24" t="s">
        <v>169</v>
      </c>
      <c r="O1486" s="24" t="s">
        <v>23</v>
      </c>
      <c r="P1486" s="24" t="s">
        <v>285</v>
      </c>
      <c r="Q1486" s="24" t="s">
        <v>26</v>
      </c>
      <c r="R1486" s="24" t="s">
        <v>4320</v>
      </c>
      <c r="S1486" s="34">
        <v>0</v>
      </c>
      <c r="T1486" s="15">
        <v>197.72</v>
      </c>
      <c r="U1486" s="18">
        <v>55.361600000000003</v>
      </c>
      <c r="V1486" s="56">
        <f>Table11[[#This Row],[Profit]]/Table11[[#This Row],[Sales]]</f>
        <v>0.28000000000000003</v>
      </c>
    </row>
    <row r="1487" spans="1:22" x14ac:dyDescent="0.2">
      <c r="A1487" s="4">
        <v>1486</v>
      </c>
      <c r="B1487" s="3" t="s">
        <v>3521</v>
      </c>
      <c r="C1487" s="7">
        <v>42311</v>
      </c>
      <c r="D1487" s="28">
        <f>MONTH(Table11[[#This Row],[Order Date]])</f>
        <v>11</v>
      </c>
      <c r="E1487" s="3" t="s">
        <v>3523</v>
      </c>
      <c r="F1487" s="3" t="s">
        <v>3524</v>
      </c>
      <c r="G1487" s="25" t="s">
        <v>64</v>
      </c>
      <c r="H1487" s="25" t="s">
        <v>65</v>
      </c>
      <c r="I1487" s="3" t="s">
        <v>3522</v>
      </c>
      <c r="J1487" s="25" t="s">
        <v>92</v>
      </c>
      <c r="K1487" s="28">
        <v>7</v>
      </c>
      <c r="L1487" s="7">
        <v>42315</v>
      </c>
      <c r="M1487" s="28">
        <f>Table11[[#This Row],[Ship Date]]-Table11[[#This Row],[Order Date]]</f>
        <v>4</v>
      </c>
      <c r="N1487" s="25" t="s">
        <v>45</v>
      </c>
      <c r="O1487" s="25" t="s">
        <v>23</v>
      </c>
      <c r="P1487" s="25" t="s">
        <v>38</v>
      </c>
      <c r="Q1487" s="25" t="s">
        <v>39</v>
      </c>
      <c r="R1487" s="25" t="s">
        <v>37</v>
      </c>
      <c r="S1487" s="35">
        <v>0.2</v>
      </c>
      <c r="T1487" s="16">
        <v>1212.848</v>
      </c>
      <c r="U1487" s="19">
        <v>106.1242</v>
      </c>
      <c r="V1487" s="56">
        <f>Table11[[#This Row],[Profit]]/Table11[[#This Row],[Sales]]</f>
        <v>8.7500000000000008E-2</v>
      </c>
    </row>
    <row r="1488" spans="1:22" x14ac:dyDescent="0.2">
      <c r="A1488" s="2">
        <v>1487</v>
      </c>
      <c r="B1488" s="5" t="s">
        <v>3521</v>
      </c>
      <c r="C1488" s="6">
        <v>42311</v>
      </c>
      <c r="D1488" s="27">
        <f>MONTH(Table11[[#This Row],[Order Date]])</f>
        <v>11</v>
      </c>
      <c r="E1488" s="5" t="s">
        <v>3525</v>
      </c>
      <c r="F1488" s="5" t="s">
        <v>3526</v>
      </c>
      <c r="G1488" s="24" t="s">
        <v>64</v>
      </c>
      <c r="H1488" s="24" t="s">
        <v>144</v>
      </c>
      <c r="I1488" s="5" t="s">
        <v>3522</v>
      </c>
      <c r="J1488" s="24" t="s">
        <v>92</v>
      </c>
      <c r="K1488" s="27">
        <v>3</v>
      </c>
      <c r="L1488" s="6">
        <v>42315</v>
      </c>
      <c r="M1488" s="27">
        <f>Table11[[#This Row],[Ship Date]]-Table11[[#This Row],[Order Date]]</f>
        <v>4</v>
      </c>
      <c r="N1488" s="24" t="s">
        <v>45</v>
      </c>
      <c r="O1488" s="24" t="s">
        <v>23</v>
      </c>
      <c r="P1488" s="24" t="s">
        <v>38</v>
      </c>
      <c r="Q1488" s="24" t="s">
        <v>39</v>
      </c>
      <c r="R1488" s="24" t="s">
        <v>37</v>
      </c>
      <c r="S1488" s="34">
        <v>0</v>
      </c>
      <c r="T1488" s="15">
        <v>89.97</v>
      </c>
      <c r="U1488" s="18">
        <v>37.787399999999998</v>
      </c>
      <c r="V1488" s="56">
        <f>Table11[[#This Row],[Profit]]/Table11[[#This Row],[Sales]]</f>
        <v>0.42</v>
      </c>
    </row>
    <row r="1489" spans="1:22" x14ac:dyDescent="0.2">
      <c r="A1489" s="4">
        <v>1488</v>
      </c>
      <c r="B1489" s="3" t="s">
        <v>3521</v>
      </c>
      <c r="C1489" s="7">
        <v>42311</v>
      </c>
      <c r="D1489" s="28">
        <f>MONTH(Table11[[#This Row],[Order Date]])</f>
        <v>11</v>
      </c>
      <c r="E1489" s="3" t="s">
        <v>1320</v>
      </c>
      <c r="F1489" s="3" t="s">
        <v>1321</v>
      </c>
      <c r="G1489" s="25" t="s">
        <v>28</v>
      </c>
      <c r="H1489" s="25" t="s">
        <v>58</v>
      </c>
      <c r="I1489" s="3" t="s">
        <v>3522</v>
      </c>
      <c r="J1489" s="25" t="s">
        <v>92</v>
      </c>
      <c r="K1489" s="28">
        <v>3</v>
      </c>
      <c r="L1489" s="7">
        <v>42315</v>
      </c>
      <c r="M1489" s="28">
        <f>Table11[[#This Row],[Ship Date]]-Table11[[#This Row],[Order Date]]</f>
        <v>4</v>
      </c>
      <c r="N1489" s="25" t="s">
        <v>45</v>
      </c>
      <c r="O1489" s="25" t="s">
        <v>23</v>
      </c>
      <c r="P1489" s="25" t="s">
        <v>38</v>
      </c>
      <c r="Q1489" s="25" t="s">
        <v>39</v>
      </c>
      <c r="R1489" s="25" t="s">
        <v>37</v>
      </c>
      <c r="S1489" s="35">
        <v>0</v>
      </c>
      <c r="T1489" s="16">
        <v>42.6</v>
      </c>
      <c r="U1489" s="19">
        <v>16.614000000000001</v>
      </c>
      <c r="V1489" s="56">
        <f>Table11[[#This Row],[Profit]]/Table11[[#This Row],[Sales]]</f>
        <v>0.39</v>
      </c>
    </row>
    <row r="1490" spans="1:22" x14ac:dyDescent="0.2">
      <c r="A1490" s="4">
        <v>1489</v>
      </c>
      <c r="B1490" s="5" t="s">
        <v>5062</v>
      </c>
      <c r="C1490" s="6">
        <v>42311</v>
      </c>
      <c r="D1490" s="27">
        <f>MONTH(Table11[[#This Row],[Order Date]])</f>
        <v>11</v>
      </c>
      <c r="E1490" s="5" t="s">
        <v>1116</v>
      </c>
      <c r="F1490" s="5" t="s">
        <v>1117</v>
      </c>
      <c r="G1490" s="24" t="s">
        <v>41</v>
      </c>
      <c r="H1490" s="24" t="s">
        <v>155</v>
      </c>
      <c r="I1490" s="5" t="s">
        <v>2128</v>
      </c>
      <c r="J1490" s="24" t="s">
        <v>36</v>
      </c>
      <c r="K1490" s="27">
        <v>2</v>
      </c>
      <c r="L1490" s="6">
        <v>42318</v>
      </c>
      <c r="M1490" s="27">
        <f>Table11[[#This Row],[Ship Date]]-Table11[[#This Row],[Order Date]]</f>
        <v>7</v>
      </c>
      <c r="N1490" s="24" t="s">
        <v>45</v>
      </c>
      <c r="O1490" s="24" t="s">
        <v>23</v>
      </c>
      <c r="P1490" s="24" t="s">
        <v>94</v>
      </c>
      <c r="Q1490" s="24" t="s">
        <v>95</v>
      </c>
      <c r="R1490" s="24" t="s">
        <v>5063</v>
      </c>
      <c r="S1490" s="34">
        <v>0.2</v>
      </c>
      <c r="T1490" s="15">
        <v>6.6079999999999997</v>
      </c>
      <c r="U1490" s="18">
        <v>2.1476000000000002</v>
      </c>
      <c r="V1490" s="56">
        <f>Table11[[#This Row],[Profit]]/Table11[[#This Row],[Sales]]</f>
        <v>0.32500000000000007</v>
      </c>
    </row>
    <row r="1491" spans="1:22" x14ac:dyDescent="0.2">
      <c r="A1491" s="2">
        <v>1490</v>
      </c>
      <c r="B1491" s="3" t="s">
        <v>7706</v>
      </c>
      <c r="C1491" s="7">
        <v>42311</v>
      </c>
      <c r="D1491" s="28">
        <f>MONTH(Table11[[#This Row],[Order Date]])</f>
        <v>11</v>
      </c>
      <c r="E1491" s="3" t="s">
        <v>6189</v>
      </c>
      <c r="F1491" s="3" t="s">
        <v>6190</v>
      </c>
      <c r="G1491" s="25" t="s">
        <v>28</v>
      </c>
      <c r="H1491" s="25" t="s">
        <v>32</v>
      </c>
      <c r="I1491" s="3" t="s">
        <v>699</v>
      </c>
      <c r="J1491" s="25" t="s">
        <v>36</v>
      </c>
      <c r="K1491" s="28">
        <v>10</v>
      </c>
      <c r="L1491" s="7">
        <v>42313</v>
      </c>
      <c r="M1491" s="28">
        <f>Table11[[#This Row],[Ship Date]]-Table11[[#This Row],[Order Date]]</f>
        <v>2</v>
      </c>
      <c r="N1491" s="25" t="s">
        <v>169</v>
      </c>
      <c r="O1491" s="25" t="s">
        <v>23</v>
      </c>
      <c r="P1491" s="25" t="s">
        <v>238</v>
      </c>
      <c r="Q1491" s="25" t="s">
        <v>133</v>
      </c>
      <c r="R1491" s="25" t="s">
        <v>1037</v>
      </c>
      <c r="S1491" s="35">
        <v>0.1</v>
      </c>
      <c r="T1491" s="16">
        <v>1448.82</v>
      </c>
      <c r="U1491" s="19">
        <v>209.274</v>
      </c>
      <c r="V1491" s="56">
        <f>Table11[[#This Row],[Profit]]/Table11[[#This Row],[Sales]]</f>
        <v>0.14444444444444446</v>
      </c>
    </row>
    <row r="1492" spans="1:22" x14ac:dyDescent="0.2">
      <c r="A1492" s="4">
        <v>1491</v>
      </c>
      <c r="B1492" s="5" t="s">
        <v>4066</v>
      </c>
      <c r="C1492" s="6">
        <v>42313</v>
      </c>
      <c r="D1492" s="27">
        <f>MONTH(Table11[[#This Row],[Order Date]])</f>
        <v>11</v>
      </c>
      <c r="E1492" s="5" t="s">
        <v>2979</v>
      </c>
      <c r="F1492" s="5" t="s">
        <v>2980</v>
      </c>
      <c r="G1492" s="24" t="s">
        <v>28</v>
      </c>
      <c r="H1492" s="24" t="s">
        <v>32</v>
      </c>
      <c r="I1492" s="5" t="s">
        <v>2430</v>
      </c>
      <c r="J1492" s="24" t="s">
        <v>36</v>
      </c>
      <c r="K1492" s="27">
        <v>3</v>
      </c>
      <c r="L1492" s="6">
        <v>42317</v>
      </c>
      <c r="M1492" s="27">
        <f>Table11[[#This Row],[Ship Date]]-Table11[[#This Row],[Order Date]]</f>
        <v>4</v>
      </c>
      <c r="N1492" s="24" t="s">
        <v>45</v>
      </c>
      <c r="O1492" s="24" t="s">
        <v>23</v>
      </c>
      <c r="P1492" s="24" t="s">
        <v>80</v>
      </c>
      <c r="Q1492" s="24" t="s">
        <v>26</v>
      </c>
      <c r="R1492" s="24" t="s">
        <v>649</v>
      </c>
      <c r="S1492" s="34">
        <v>0.2</v>
      </c>
      <c r="T1492" s="15">
        <v>207</v>
      </c>
      <c r="U1492" s="18">
        <v>25.875</v>
      </c>
      <c r="V1492" s="56">
        <f>Table11[[#This Row],[Profit]]/Table11[[#This Row],[Sales]]</f>
        <v>0.125</v>
      </c>
    </row>
    <row r="1493" spans="1:22" x14ac:dyDescent="0.2">
      <c r="A1493" s="4">
        <v>1492</v>
      </c>
      <c r="B1493" s="3" t="s">
        <v>5436</v>
      </c>
      <c r="C1493" s="7">
        <v>42313</v>
      </c>
      <c r="D1493" s="28">
        <f>MONTH(Table11[[#This Row],[Order Date]])</f>
        <v>11</v>
      </c>
      <c r="E1493" s="3" t="s">
        <v>2210</v>
      </c>
      <c r="F1493" s="3" t="s">
        <v>2941</v>
      </c>
      <c r="G1493" s="25" t="s">
        <v>41</v>
      </c>
      <c r="H1493" s="25" t="s">
        <v>71</v>
      </c>
      <c r="I1493" s="3" t="s">
        <v>783</v>
      </c>
      <c r="J1493" s="25" t="s">
        <v>22</v>
      </c>
      <c r="K1493" s="28">
        <v>4</v>
      </c>
      <c r="L1493" s="7">
        <v>42317</v>
      </c>
      <c r="M1493" s="28">
        <f>Table11[[#This Row],[Ship Date]]-Table11[[#This Row],[Order Date]]</f>
        <v>4</v>
      </c>
      <c r="N1493" s="25" t="s">
        <v>45</v>
      </c>
      <c r="O1493" s="25" t="s">
        <v>23</v>
      </c>
      <c r="P1493" s="25" t="s">
        <v>48</v>
      </c>
      <c r="Q1493" s="25" t="s">
        <v>26</v>
      </c>
      <c r="R1493" s="25" t="s">
        <v>3006</v>
      </c>
      <c r="S1493" s="35">
        <v>0.2</v>
      </c>
      <c r="T1493" s="16">
        <v>387.13600000000002</v>
      </c>
      <c r="U1493" s="19">
        <v>24.196000000000002</v>
      </c>
      <c r="V1493" s="56">
        <f>Table11[[#This Row],[Profit]]/Table11[[#This Row],[Sales]]</f>
        <v>6.25E-2</v>
      </c>
    </row>
    <row r="1494" spans="1:22" x14ac:dyDescent="0.2">
      <c r="A1494" s="2">
        <v>1493</v>
      </c>
      <c r="B1494" s="5" t="s">
        <v>5829</v>
      </c>
      <c r="C1494" s="6">
        <v>42313</v>
      </c>
      <c r="D1494" s="27">
        <f>MONTH(Table11[[#This Row],[Order Date]])</f>
        <v>11</v>
      </c>
      <c r="E1494" s="5" t="s">
        <v>3808</v>
      </c>
      <c r="F1494" s="5" t="s">
        <v>3809</v>
      </c>
      <c r="G1494" s="24" t="s">
        <v>41</v>
      </c>
      <c r="H1494" s="24" t="s">
        <v>68</v>
      </c>
      <c r="I1494" s="5" t="s">
        <v>1956</v>
      </c>
      <c r="J1494" s="24" t="s">
        <v>36</v>
      </c>
      <c r="K1494" s="27">
        <v>6</v>
      </c>
      <c r="L1494" s="6">
        <v>42319</v>
      </c>
      <c r="M1494" s="27">
        <f>Table11[[#This Row],[Ship Date]]-Table11[[#This Row],[Order Date]]</f>
        <v>6</v>
      </c>
      <c r="N1494" s="24" t="s">
        <v>45</v>
      </c>
      <c r="O1494" s="24" t="s">
        <v>23</v>
      </c>
      <c r="P1494" s="24" t="s">
        <v>238</v>
      </c>
      <c r="Q1494" s="24" t="s">
        <v>133</v>
      </c>
      <c r="R1494" s="24" t="s">
        <v>237</v>
      </c>
      <c r="S1494" s="34">
        <v>0.2</v>
      </c>
      <c r="T1494" s="15">
        <v>25.344000000000001</v>
      </c>
      <c r="U1494" s="18">
        <v>8.8704000000000001</v>
      </c>
      <c r="V1494" s="56">
        <f>Table11[[#This Row],[Profit]]/Table11[[#This Row],[Sales]]</f>
        <v>0.35</v>
      </c>
    </row>
    <row r="1495" spans="1:22" x14ac:dyDescent="0.2">
      <c r="A1495" s="4">
        <v>1494</v>
      </c>
      <c r="B1495" s="3" t="s">
        <v>6245</v>
      </c>
      <c r="C1495" s="7">
        <v>42313</v>
      </c>
      <c r="D1495" s="28">
        <f>MONTH(Table11[[#This Row],[Order Date]])</f>
        <v>11</v>
      </c>
      <c r="E1495" s="3" t="s">
        <v>2123</v>
      </c>
      <c r="F1495" s="3" t="s">
        <v>2124</v>
      </c>
      <c r="G1495" s="25" t="s">
        <v>41</v>
      </c>
      <c r="H1495" s="25" t="s">
        <v>42</v>
      </c>
      <c r="I1495" s="3" t="s">
        <v>1207</v>
      </c>
      <c r="J1495" s="25" t="s">
        <v>22</v>
      </c>
      <c r="K1495" s="28">
        <v>6</v>
      </c>
      <c r="L1495" s="7">
        <v>42317</v>
      </c>
      <c r="M1495" s="28">
        <f>Table11[[#This Row],[Ship Date]]-Table11[[#This Row],[Order Date]]</f>
        <v>4</v>
      </c>
      <c r="N1495" s="25" t="s">
        <v>45</v>
      </c>
      <c r="O1495" s="25" t="s">
        <v>23</v>
      </c>
      <c r="P1495" s="25" t="s">
        <v>189</v>
      </c>
      <c r="Q1495" s="25" t="s">
        <v>95</v>
      </c>
      <c r="R1495" s="25" t="s">
        <v>1168</v>
      </c>
      <c r="S1495" s="35">
        <v>0.2</v>
      </c>
      <c r="T1495" s="16">
        <v>19.824000000000002</v>
      </c>
      <c r="U1495" s="19">
        <v>6.4428000000000001</v>
      </c>
      <c r="V1495" s="56">
        <f>Table11[[#This Row],[Profit]]/Table11[[#This Row],[Sales]]</f>
        <v>0.32499999999999996</v>
      </c>
    </row>
    <row r="1496" spans="1:22" x14ac:dyDescent="0.2">
      <c r="A1496" s="4">
        <v>1495</v>
      </c>
      <c r="B1496" s="5" t="s">
        <v>7223</v>
      </c>
      <c r="C1496" s="6">
        <v>42313</v>
      </c>
      <c r="D1496" s="27">
        <f>MONTH(Table11[[#This Row],[Order Date]])</f>
        <v>11</v>
      </c>
      <c r="E1496" s="5" t="s">
        <v>3288</v>
      </c>
      <c r="F1496" s="5" t="s">
        <v>3289</v>
      </c>
      <c r="G1496" s="24" t="s">
        <v>41</v>
      </c>
      <c r="H1496" s="24" t="s">
        <v>53</v>
      </c>
      <c r="I1496" s="5" t="s">
        <v>4635</v>
      </c>
      <c r="J1496" s="24" t="s">
        <v>22</v>
      </c>
      <c r="K1496" s="27">
        <v>4</v>
      </c>
      <c r="L1496" s="6">
        <v>42313</v>
      </c>
      <c r="M1496" s="27">
        <f>Table11[[#This Row],[Ship Date]]-Table11[[#This Row],[Order Date]]</f>
        <v>0</v>
      </c>
      <c r="N1496" s="24" t="s">
        <v>1141</v>
      </c>
      <c r="O1496" s="24" t="s">
        <v>23</v>
      </c>
      <c r="P1496" s="24" t="s">
        <v>38</v>
      </c>
      <c r="Q1496" s="24" t="s">
        <v>39</v>
      </c>
      <c r="R1496" s="24" t="s">
        <v>114</v>
      </c>
      <c r="S1496" s="34">
        <v>0</v>
      </c>
      <c r="T1496" s="15">
        <v>62.8</v>
      </c>
      <c r="U1496" s="18">
        <v>15.7</v>
      </c>
      <c r="V1496" s="56">
        <f>Table11[[#This Row],[Profit]]/Table11[[#This Row],[Sales]]</f>
        <v>0.25</v>
      </c>
    </row>
    <row r="1497" spans="1:22" x14ac:dyDescent="0.2">
      <c r="A1497" s="2">
        <v>1496</v>
      </c>
      <c r="B1497" s="3" t="s">
        <v>7660</v>
      </c>
      <c r="C1497" s="7">
        <v>42313</v>
      </c>
      <c r="D1497" s="28">
        <f>MONTH(Table11[[#This Row],[Order Date]])</f>
        <v>11</v>
      </c>
      <c r="E1497" s="3" t="s">
        <v>410</v>
      </c>
      <c r="F1497" s="3" t="s">
        <v>411</v>
      </c>
      <c r="G1497" s="25" t="s">
        <v>41</v>
      </c>
      <c r="H1497" s="25" t="s">
        <v>68</v>
      </c>
      <c r="I1497" s="3" t="s">
        <v>808</v>
      </c>
      <c r="J1497" s="25" t="s">
        <v>22</v>
      </c>
      <c r="K1497" s="28">
        <v>3</v>
      </c>
      <c r="L1497" s="7">
        <v>42313</v>
      </c>
      <c r="M1497" s="28">
        <f>Table11[[#This Row],[Ship Date]]-Table11[[#This Row],[Order Date]]</f>
        <v>0</v>
      </c>
      <c r="N1497" s="25" t="s">
        <v>1141</v>
      </c>
      <c r="O1497" s="25" t="s">
        <v>23</v>
      </c>
      <c r="P1497" s="25" t="s">
        <v>87</v>
      </c>
      <c r="Q1497" s="25" t="s">
        <v>39</v>
      </c>
      <c r="R1497" s="25" t="s">
        <v>86</v>
      </c>
      <c r="S1497" s="35">
        <v>0.2</v>
      </c>
      <c r="T1497" s="16">
        <v>98.352000000000004</v>
      </c>
      <c r="U1497" s="19">
        <v>35.6526</v>
      </c>
      <c r="V1497" s="56">
        <f>Table11[[#This Row],[Profit]]/Table11[[#This Row],[Sales]]</f>
        <v>0.36249999999999999</v>
      </c>
    </row>
    <row r="1498" spans="1:22" x14ac:dyDescent="0.2">
      <c r="A1498" s="4">
        <v>1497</v>
      </c>
      <c r="B1498" s="5" t="s">
        <v>9629</v>
      </c>
      <c r="C1498" s="6">
        <v>42313</v>
      </c>
      <c r="D1498" s="27">
        <f>MONTH(Table11[[#This Row],[Order Date]])</f>
        <v>11</v>
      </c>
      <c r="E1498" s="5" t="s">
        <v>1346</v>
      </c>
      <c r="F1498" s="5" t="s">
        <v>1347</v>
      </c>
      <c r="G1498" s="24" t="s">
        <v>41</v>
      </c>
      <c r="H1498" s="24" t="s">
        <v>68</v>
      </c>
      <c r="I1498" s="5" t="s">
        <v>4300</v>
      </c>
      <c r="J1498" s="24" t="s">
        <v>22</v>
      </c>
      <c r="K1498" s="27">
        <v>3</v>
      </c>
      <c r="L1498" s="6">
        <v>42316</v>
      </c>
      <c r="M1498" s="27">
        <f>Table11[[#This Row],[Ship Date]]-Table11[[#This Row],[Order Date]]</f>
        <v>3</v>
      </c>
      <c r="N1498" s="24" t="s">
        <v>169</v>
      </c>
      <c r="O1498" s="24" t="s">
        <v>23</v>
      </c>
      <c r="P1498" s="24" t="s">
        <v>441</v>
      </c>
      <c r="Q1498" s="24" t="s">
        <v>133</v>
      </c>
      <c r="R1498" s="24" t="s">
        <v>990</v>
      </c>
      <c r="S1498" s="34">
        <v>0.7</v>
      </c>
      <c r="T1498" s="15">
        <v>7.218</v>
      </c>
      <c r="U1498" s="18">
        <v>-5.5338000000000003</v>
      </c>
      <c r="V1498" s="56">
        <f>Table11[[#This Row],[Profit]]/Table11[[#This Row],[Sales]]</f>
        <v>-0.76666666666666672</v>
      </c>
    </row>
    <row r="1499" spans="1:22" x14ac:dyDescent="0.2">
      <c r="A1499" s="4">
        <v>1498</v>
      </c>
      <c r="B1499" s="3" t="s">
        <v>9629</v>
      </c>
      <c r="C1499" s="7">
        <v>42313</v>
      </c>
      <c r="D1499" s="28">
        <f>MONTH(Table11[[#This Row],[Order Date]])</f>
        <v>11</v>
      </c>
      <c r="E1499" s="3" t="s">
        <v>7806</v>
      </c>
      <c r="F1499" s="3" t="s">
        <v>7807</v>
      </c>
      <c r="G1499" s="25" t="s">
        <v>41</v>
      </c>
      <c r="H1499" s="25" t="s">
        <v>513</v>
      </c>
      <c r="I1499" s="3" t="s">
        <v>4300</v>
      </c>
      <c r="J1499" s="25" t="s">
        <v>22</v>
      </c>
      <c r="K1499" s="28">
        <v>4</v>
      </c>
      <c r="L1499" s="7">
        <v>42316</v>
      </c>
      <c r="M1499" s="28">
        <f>Table11[[#This Row],[Ship Date]]-Table11[[#This Row],[Order Date]]</f>
        <v>3</v>
      </c>
      <c r="N1499" s="25" t="s">
        <v>169</v>
      </c>
      <c r="O1499" s="25" t="s">
        <v>23</v>
      </c>
      <c r="P1499" s="25" t="s">
        <v>441</v>
      </c>
      <c r="Q1499" s="25" t="s">
        <v>133</v>
      </c>
      <c r="R1499" s="25" t="s">
        <v>990</v>
      </c>
      <c r="S1499" s="35">
        <v>0.2</v>
      </c>
      <c r="T1499" s="16">
        <v>27.2</v>
      </c>
      <c r="U1499" s="19">
        <v>2.04</v>
      </c>
      <c r="V1499" s="56">
        <f>Table11[[#This Row],[Profit]]/Table11[[#This Row],[Sales]]</f>
        <v>7.4999999999999997E-2</v>
      </c>
    </row>
    <row r="1500" spans="1:22" x14ac:dyDescent="0.2">
      <c r="A1500" s="2">
        <v>1499</v>
      </c>
      <c r="B1500" s="5" t="s">
        <v>2643</v>
      </c>
      <c r="C1500" s="6">
        <v>42314</v>
      </c>
      <c r="D1500" s="27">
        <f>MONTH(Table11[[#This Row],[Order Date]])</f>
        <v>11</v>
      </c>
      <c r="E1500" s="5" t="s">
        <v>444</v>
      </c>
      <c r="F1500" s="5" t="s">
        <v>445</v>
      </c>
      <c r="G1500" s="24" t="s">
        <v>41</v>
      </c>
      <c r="H1500" s="24" t="s">
        <v>155</v>
      </c>
      <c r="I1500" s="5" t="s">
        <v>2644</v>
      </c>
      <c r="J1500" s="24" t="s">
        <v>22</v>
      </c>
      <c r="K1500" s="27">
        <v>3</v>
      </c>
      <c r="L1500" s="6">
        <v>42317</v>
      </c>
      <c r="M1500" s="27">
        <f>Table11[[#This Row],[Ship Date]]-Table11[[#This Row],[Order Date]]</f>
        <v>3</v>
      </c>
      <c r="N1500" s="24" t="s">
        <v>169</v>
      </c>
      <c r="O1500" s="24" t="s">
        <v>23</v>
      </c>
      <c r="P1500" s="24" t="s">
        <v>277</v>
      </c>
      <c r="Q1500" s="24" t="s">
        <v>39</v>
      </c>
      <c r="R1500" s="24" t="s">
        <v>550</v>
      </c>
      <c r="S1500" s="34">
        <v>0.2</v>
      </c>
      <c r="T1500" s="15">
        <v>7.08</v>
      </c>
      <c r="U1500" s="18">
        <v>2.4780000000000002</v>
      </c>
      <c r="V1500" s="56">
        <f>Table11[[#This Row],[Profit]]/Table11[[#This Row],[Sales]]</f>
        <v>0.35000000000000003</v>
      </c>
    </row>
    <row r="1501" spans="1:22" x14ac:dyDescent="0.2">
      <c r="A1501" s="4">
        <v>1500</v>
      </c>
      <c r="B1501" s="3" t="s">
        <v>2643</v>
      </c>
      <c r="C1501" s="7">
        <v>42314</v>
      </c>
      <c r="D1501" s="28">
        <f>MONTH(Table11[[#This Row],[Order Date]])</f>
        <v>11</v>
      </c>
      <c r="E1501" s="3" t="s">
        <v>2645</v>
      </c>
      <c r="F1501" s="3" t="s">
        <v>2646</v>
      </c>
      <c r="G1501" s="25" t="s">
        <v>41</v>
      </c>
      <c r="H1501" s="25" t="s">
        <v>68</v>
      </c>
      <c r="I1501" s="3" t="s">
        <v>2644</v>
      </c>
      <c r="J1501" s="25" t="s">
        <v>22</v>
      </c>
      <c r="K1501" s="28">
        <v>3</v>
      </c>
      <c r="L1501" s="7">
        <v>42317</v>
      </c>
      <c r="M1501" s="28">
        <f>Table11[[#This Row],[Ship Date]]-Table11[[#This Row],[Order Date]]</f>
        <v>3</v>
      </c>
      <c r="N1501" s="25" t="s">
        <v>169</v>
      </c>
      <c r="O1501" s="25" t="s">
        <v>23</v>
      </c>
      <c r="P1501" s="25" t="s">
        <v>277</v>
      </c>
      <c r="Q1501" s="25" t="s">
        <v>39</v>
      </c>
      <c r="R1501" s="25" t="s">
        <v>550</v>
      </c>
      <c r="S1501" s="35">
        <v>0.7</v>
      </c>
      <c r="T1501" s="16">
        <v>4.4009999999999998</v>
      </c>
      <c r="U1501" s="19">
        <v>-3.5207999999999999</v>
      </c>
      <c r="V1501" s="56">
        <f>Table11[[#This Row],[Profit]]/Table11[[#This Row],[Sales]]</f>
        <v>-0.8</v>
      </c>
    </row>
    <row r="1502" spans="1:22" x14ac:dyDescent="0.2">
      <c r="A1502" s="4">
        <v>1501</v>
      </c>
      <c r="B1502" s="5" t="s">
        <v>1598</v>
      </c>
      <c r="C1502" s="6">
        <v>42315</v>
      </c>
      <c r="D1502" s="27">
        <f>MONTH(Table11[[#This Row],[Order Date]])</f>
        <v>11</v>
      </c>
      <c r="E1502" s="5" t="s">
        <v>1600</v>
      </c>
      <c r="F1502" s="5" t="s">
        <v>1601</v>
      </c>
      <c r="G1502" s="24" t="s">
        <v>28</v>
      </c>
      <c r="H1502" s="24" t="s">
        <v>32</v>
      </c>
      <c r="I1502" s="5" t="s">
        <v>1599</v>
      </c>
      <c r="J1502" s="24" t="s">
        <v>36</v>
      </c>
      <c r="K1502" s="27">
        <v>1</v>
      </c>
      <c r="L1502" s="6">
        <v>42317</v>
      </c>
      <c r="M1502" s="27">
        <f>Table11[[#This Row],[Ship Date]]-Table11[[#This Row],[Order Date]]</f>
        <v>2</v>
      </c>
      <c r="N1502" s="24" t="s">
        <v>20</v>
      </c>
      <c r="O1502" s="24" t="s">
        <v>23</v>
      </c>
      <c r="P1502" s="24" t="s">
        <v>38</v>
      </c>
      <c r="Q1502" s="24" t="s">
        <v>39</v>
      </c>
      <c r="R1502" s="24" t="s">
        <v>37</v>
      </c>
      <c r="S1502" s="34">
        <v>0.2</v>
      </c>
      <c r="T1502" s="15">
        <v>190.72</v>
      </c>
      <c r="U1502" s="18">
        <v>11.92</v>
      </c>
      <c r="V1502" s="56">
        <f>Table11[[#This Row],[Profit]]/Table11[[#This Row],[Sales]]</f>
        <v>6.25E-2</v>
      </c>
    </row>
    <row r="1503" spans="1:22" x14ac:dyDescent="0.2">
      <c r="A1503" s="2">
        <v>1502</v>
      </c>
      <c r="B1503" s="3" t="s">
        <v>3586</v>
      </c>
      <c r="C1503" s="7">
        <v>42315</v>
      </c>
      <c r="D1503" s="28">
        <f>MONTH(Table11[[#This Row],[Order Date]])</f>
        <v>11</v>
      </c>
      <c r="E1503" s="3" t="s">
        <v>3587</v>
      </c>
      <c r="F1503" s="3" t="s">
        <v>3588</v>
      </c>
      <c r="G1503" s="25" t="s">
        <v>41</v>
      </c>
      <c r="H1503" s="25" t="s">
        <v>240</v>
      </c>
      <c r="I1503" s="3" t="s">
        <v>2213</v>
      </c>
      <c r="J1503" s="25" t="s">
        <v>36</v>
      </c>
      <c r="K1503" s="28">
        <v>7</v>
      </c>
      <c r="L1503" s="7">
        <v>42318</v>
      </c>
      <c r="M1503" s="28">
        <f>Table11[[#This Row],[Ship Date]]-Table11[[#This Row],[Order Date]]</f>
        <v>3</v>
      </c>
      <c r="N1503" s="25" t="s">
        <v>20</v>
      </c>
      <c r="O1503" s="25" t="s">
        <v>23</v>
      </c>
      <c r="P1503" s="25" t="s">
        <v>218</v>
      </c>
      <c r="Q1503" s="25" t="s">
        <v>133</v>
      </c>
      <c r="R1503" s="25" t="s">
        <v>536</v>
      </c>
      <c r="S1503" s="35">
        <v>0</v>
      </c>
      <c r="T1503" s="16">
        <v>26.18</v>
      </c>
      <c r="U1503" s="19">
        <v>0.52359999999999995</v>
      </c>
      <c r="V1503" s="56">
        <f>Table11[[#This Row],[Profit]]/Table11[[#This Row],[Sales]]</f>
        <v>1.9999999999999997E-2</v>
      </c>
    </row>
    <row r="1504" spans="1:22" x14ac:dyDescent="0.2">
      <c r="A1504" s="4">
        <v>1503</v>
      </c>
      <c r="B1504" s="5" t="s">
        <v>3586</v>
      </c>
      <c r="C1504" s="6">
        <v>42315</v>
      </c>
      <c r="D1504" s="27">
        <f>MONTH(Table11[[#This Row],[Order Date]])</f>
        <v>11</v>
      </c>
      <c r="E1504" s="5" t="s">
        <v>3589</v>
      </c>
      <c r="F1504" s="5" t="s">
        <v>3590</v>
      </c>
      <c r="G1504" s="24" t="s">
        <v>41</v>
      </c>
      <c r="H1504" s="24" t="s">
        <v>82</v>
      </c>
      <c r="I1504" s="5" t="s">
        <v>2213</v>
      </c>
      <c r="J1504" s="24" t="s">
        <v>36</v>
      </c>
      <c r="K1504" s="27">
        <v>2</v>
      </c>
      <c r="L1504" s="6">
        <v>42318</v>
      </c>
      <c r="M1504" s="27">
        <f>Table11[[#This Row],[Ship Date]]-Table11[[#This Row],[Order Date]]</f>
        <v>3</v>
      </c>
      <c r="N1504" s="24" t="s">
        <v>20</v>
      </c>
      <c r="O1504" s="24" t="s">
        <v>23</v>
      </c>
      <c r="P1504" s="24" t="s">
        <v>218</v>
      </c>
      <c r="Q1504" s="24" t="s">
        <v>133</v>
      </c>
      <c r="R1504" s="24" t="s">
        <v>536</v>
      </c>
      <c r="S1504" s="34">
        <v>0</v>
      </c>
      <c r="T1504" s="15">
        <v>7.3</v>
      </c>
      <c r="U1504" s="18">
        <v>3.431</v>
      </c>
      <c r="V1504" s="56">
        <f>Table11[[#This Row],[Profit]]/Table11[[#This Row],[Sales]]</f>
        <v>0.47000000000000003</v>
      </c>
    </row>
    <row r="1505" spans="1:22" x14ac:dyDescent="0.2">
      <c r="A1505" s="4">
        <v>1504</v>
      </c>
      <c r="B1505" s="3" t="s">
        <v>7210</v>
      </c>
      <c r="C1505" s="7">
        <v>42315</v>
      </c>
      <c r="D1505" s="28">
        <f>MONTH(Table11[[#This Row],[Order Date]])</f>
        <v>11</v>
      </c>
      <c r="E1505" s="3" t="s">
        <v>1300</v>
      </c>
      <c r="F1505" s="3" t="s">
        <v>1301</v>
      </c>
      <c r="G1505" s="25" t="s">
        <v>41</v>
      </c>
      <c r="H1505" s="25" t="s">
        <v>155</v>
      </c>
      <c r="I1505" s="3" t="s">
        <v>1599</v>
      </c>
      <c r="J1505" s="25" t="s">
        <v>36</v>
      </c>
      <c r="K1505" s="28">
        <v>2</v>
      </c>
      <c r="L1505" s="7">
        <v>42319</v>
      </c>
      <c r="M1505" s="28">
        <f>Table11[[#This Row],[Ship Date]]-Table11[[#This Row],[Order Date]]</f>
        <v>4</v>
      </c>
      <c r="N1505" s="25" t="s">
        <v>45</v>
      </c>
      <c r="O1505" s="25" t="s">
        <v>23</v>
      </c>
      <c r="P1505" s="25" t="s">
        <v>132</v>
      </c>
      <c r="Q1505" s="25" t="s">
        <v>133</v>
      </c>
      <c r="R1505" s="25" t="s">
        <v>131</v>
      </c>
      <c r="S1505" s="35">
        <v>0.2</v>
      </c>
      <c r="T1505" s="16">
        <v>24.4</v>
      </c>
      <c r="U1505" s="19">
        <v>7.93</v>
      </c>
      <c r="V1505" s="56">
        <f>Table11[[#This Row],[Profit]]/Table11[[#This Row],[Sales]]</f>
        <v>0.32500000000000001</v>
      </c>
    </row>
    <row r="1506" spans="1:22" x14ac:dyDescent="0.2">
      <c r="A1506" s="2">
        <v>1505</v>
      </c>
      <c r="B1506" s="5" t="s">
        <v>7357</v>
      </c>
      <c r="C1506" s="6">
        <v>42315</v>
      </c>
      <c r="D1506" s="27">
        <f>MONTH(Table11[[#This Row],[Order Date]])</f>
        <v>11</v>
      </c>
      <c r="E1506" s="5" t="s">
        <v>1600</v>
      </c>
      <c r="F1506" s="5" t="s">
        <v>1601</v>
      </c>
      <c r="G1506" s="24" t="s">
        <v>28</v>
      </c>
      <c r="H1506" s="24" t="s">
        <v>32</v>
      </c>
      <c r="I1506" s="5" t="s">
        <v>5168</v>
      </c>
      <c r="J1506" s="24" t="s">
        <v>22</v>
      </c>
      <c r="K1506" s="27">
        <v>3</v>
      </c>
      <c r="L1506" s="6">
        <v>42317</v>
      </c>
      <c r="M1506" s="27">
        <f>Table11[[#This Row],[Ship Date]]-Table11[[#This Row],[Order Date]]</f>
        <v>2</v>
      </c>
      <c r="N1506" s="24" t="s">
        <v>20</v>
      </c>
      <c r="O1506" s="24" t="s">
        <v>23</v>
      </c>
      <c r="P1506" s="24" t="s">
        <v>4617</v>
      </c>
      <c r="Q1506" s="24" t="s">
        <v>133</v>
      </c>
      <c r="R1506" s="24" t="s">
        <v>1957</v>
      </c>
      <c r="S1506" s="34">
        <v>0</v>
      </c>
      <c r="T1506" s="15">
        <v>715.2</v>
      </c>
      <c r="U1506" s="18">
        <v>178.8</v>
      </c>
      <c r="V1506" s="56">
        <f>Table11[[#This Row],[Profit]]/Table11[[#This Row],[Sales]]</f>
        <v>0.25</v>
      </c>
    </row>
    <row r="1507" spans="1:22" x14ac:dyDescent="0.2">
      <c r="A1507" s="4">
        <v>1506</v>
      </c>
      <c r="B1507" s="3" t="s">
        <v>7879</v>
      </c>
      <c r="C1507" s="7">
        <v>42315</v>
      </c>
      <c r="D1507" s="28">
        <f>MONTH(Table11[[#This Row],[Order Date]])</f>
        <v>11</v>
      </c>
      <c r="E1507" s="3" t="s">
        <v>1951</v>
      </c>
      <c r="F1507" s="3" t="s">
        <v>1952</v>
      </c>
      <c r="G1507" s="25" t="s">
        <v>41</v>
      </c>
      <c r="H1507" s="25" t="s">
        <v>68</v>
      </c>
      <c r="I1507" s="3" t="s">
        <v>2118</v>
      </c>
      <c r="J1507" s="25" t="s">
        <v>36</v>
      </c>
      <c r="K1507" s="28">
        <v>9</v>
      </c>
      <c r="L1507" s="7">
        <v>42319</v>
      </c>
      <c r="M1507" s="28">
        <f>Table11[[#This Row],[Ship Date]]-Table11[[#This Row],[Order Date]]</f>
        <v>4</v>
      </c>
      <c r="N1507" s="25" t="s">
        <v>45</v>
      </c>
      <c r="O1507" s="25" t="s">
        <v>23</v>
      </c>
      <c r="P1507" s="25" t="s">
        <v>48</v>
      </c>
      <c r="Q1507" s="25" t="s">
        <v>26</v>
      </c>
      <c r="R1507" s="25" t="s">
        <v>1253</v>
      </c>
      <c r="S1507" s="35">
        <v>0.7</v>
      </c>
      <c r="T1507" s="16">
        <v>16.146000000000001</v>
      </c>
      <c r="U1507" s="19">
        <v>-12.9168</v>
      </c>
      <c r="V1507" s="56">
        <f>Table11[[#This Row],[Profit]]/Table11[[#This Row],[Sales]]</f>
        <v>-0.79999999999999993</v>
      </c>
    </row>
    <row r="1508" spans="1:22" x14ac:dyDescent="0.2">
      <c r="A1508" s="4">
        <v>1507</v>
      </c>
      <c r="B1508" s="5" t="s">
        <v>7879</v>
      </c>
      <c r="C1508" s="6">
        <v>42315</v>
      </c>
      <c r="D1508" s="27">
        <f>MONTH(Table11[[#This Row],[Order Date]])</f>
        <v>11</v>
      </c>
      <c r="E1508" s="5" t="s">
        <v>4174</v>
      </c>
      <c r="F1508" s="5" t="s">
        <v>4175</v>
      </c>
      <c r="G1508" s="24" t="s">
        <v>41</v>
      </c>
      <c r="H1508" s="24" t="s">
        <v>68</v>
      </c>
      <c r="I1508" s="5" t="s">
        <v>2118</v>
      </c>
      <c r="J1508" s="24" t="s">
        <v>36</v>
      </c>
      <c r="K1508" s="27">
        <v>5</v>
      </c>
      <c r="L1508" s="6">
        <v>42319</v>
      </c>
      <c r="M1508" s="27">
        <f>Table11[[#This Row],[Ship Date]]-Table11[[#This Row],[Order Date]]</f>
        <v>4</v>
      </c>
      <c r="N1508" s="24" t="s">
        <v>45</v>
      </c>
      <c r="O1508" s="24" t="s">
        <v>23</v>
      </c>
      <c r="P1508" s="24" t="s">
        <v>48</v>
      </c>
      <c r="Q1508" s="24" t="s">
        <v>26</v>
      </c>
      <c r="R1508" s="24" t="s">
        <v>1253</v>
      </c>
      <c r="S1508" s="34">
        <v>0.7</v>
      </c>
      <c r="T1508" s="15">
        <v>1345.4849999999999</v>
      </c>
      <c r="U1508" s="18">
        <v>-1031.5385000000001</v>
      </c>
      <c r="V1508" s="56">
        <f>Table11[[#This Row],[Profit]]/Table11[[#This Row],[Sales]]</f>
        <v>-0.76666666666666683</v>
      </c>
    </row>
    <row r="1509" spans="1:22" x14ac:dyDescent="0.2">
      <c r="A1509" s="2">
        <v>1508</v>
      </c>
      <c r="B1509" s="3" t="s">
        <v>8949</v>
      </c>
      <c r="C1509" s="7">
        <v>42315</v>
      </c>
      <c r="D1509" s="28">
        <f>MONTH(Table11[[#This Row],[Order Date]])</f>
        <v>11</v>
      </c>
      <c r="E1509" s="3" t="s">
        <v>3691</v>
      </c>
      <c r="F1509" s="3" t="s">
        <v>3692</v>
      </c>
      <c r="G1509" s="25" t="s">
        <v>41</v>
      </c>
      <c r="H1509" s="25" t="s">
        <v>82</v>
      </c>
      <c r="I1509" s="3" t="s">
        <v>7752</v>
      </c>
      <c r="J1509" s="25" t="s">
        <v>22</v>
      </c>
      <c r="K1509" s="28">
        <v>2</v>
      </c>
      <c r="L1509" s="7">
        <v>42321</v>
      </c>
      <c r="M1509" s="28">
        <f>Table11[[#This Row],[Ship Date]]-Table11[[#This Row],[Order Date]]</f>
        <v>6</v>
      </c>
      <c r="N1509" s="25" t="s">
        <v>45</v>
      </c>
      <c r="O1509" s="25" t="s">
        <v>23</v>
      </c>
      <c r="P1509" s="25" t="s">
        <v>94</v>
      </c>
      <c r="Q1509" s="25" t="s">
        <v>95</v>
      </c>
      <c r="R1509" s="25" t="s">
        <v>165</v>
      </c>
      <c r="S1509" s="35">
        <v>0.2</v>
      </c>
      <c r="T1509" s="16">
        <v>76.64</v>
      </c>
      <c r="U1509" s="19">
        <v>26.824000000000002</v>
      </c>
      <c r="V1509" s="56">
        <f>Table11[[#This Row],[Profit]]/Table11[[#This Row],[Sales]]</f>
        <v>0.35000000000000003</v>
      </c>
    </row>
    <row r="1510" spans="1:22" x14ac:dyDescent="0.2">
      <c r="A1510" s="4">
        <v>1509</v>
      </c>
      <c r="B1510" s="5" t="s">
        <v>9644</v>
      </c>
      <c r="C1510" s="6">
        <v>42315</v>
      </c>
      <c r="D1510" s="27">
        <f>MONTH(Table11[[#This Row],[Order Date]])</f>
        <v>11</v>
      </c>
      <c r="E1510" s="5" t="s">
        <v>161</v>
      </c>
      <c r="F1510" s="5" t="s">
        <v>162</v>
      </c>
      <c r="G1510" s="24" t="s">
        <v>41</v>
      </c>
      <c r="H1510" s="24" t="s">
        <v>61</v>
      </c>
      <c r="I1510" s="5" t="s">
        <v>3378</v>
      </c>
      <c r="J1510" s="24" t="s">
        <v>22</v>
      </c>
      <c r="K1510" s="27">
        <v>3</v>
      </c>
      <c r="L1510" s="6">
        <v>42320</v>
      </c>
      <c r="M1510" s="27">
        <f>Table11[[#This Row],[Ship Date]]-Table11[[#This Row],[Order Date]]</f>
        <v>5</v>
      </c>
      <c r="N1510" s="24" t="s">
        <v>45</v>
      </c>
      <c r="O1510" s="24" t="s">
        <v>23</v>
      </c>
      <c r="P1510" s="24" t="s">
        <v>94</v>
      </c>
      <c r="Q1510" s="24" t="s">
        <v>95</v>
      </c>
      <c r="R1510" s="24" t="s">
        <v>165</v>
      </c>
      <c r="S1510" s="34">
        <v>0.2</v>
      </c>
      <c r="T1510" s="15">
        <v>23.64</v>
      </c>
      <c r="U1510" s="18">
        <v>5.319</v>
      </c>
      <c r="V1510" s="56">
        <f>Table11[[#This Row],[Profit]]/Table11[[#This Row],[Sales]]</f>
        <v>0.22500000000000001</v>
      </c>
    </row>
    <row r="1511" spans="1:22" x14ac:dyDescent="0.2">
      <c r="A1511" s="4">
        <v>1510</v>
      </c>
      <c r="B1511" s="3" t="s">
        <v>9644</v>
      </c>
      <c r="C1511" s="7">
        <v>42315</v>
      </c>
      <c r="D1511" s="28">
        <f>MONTH(Table11[[#This Row],[Order Date]])</f>
        <v>11</v>
      </c>
      <c r="E1511" s="3" t="s">
        <v>213</v>
      </c>
      <c r="F1511" s="3" t="s">
        <v>214</v>
      </c>
      <c r="G1511" s="25" t="s">
        <v>41</v>
      </c>
      <c r="H1511" s="25" t="s">
        <v>53</v>
      </c>
      <c r="I1511" s="3" t="s">
        <v>3378</v>
      </c>
      <c r="J1511" s="25" t="s">
        <v>22</v>
      </c>
      <c r="K1511" s="28">
        <v>2</v>
      </c>
      <c r="L1511" s="7">
        <v>42320</v>
      </c>
      <c r="M1511" s="28">
        <f>Table11[[#This Row],[Ship Date]]-Table11[[#This Row],[Order Date]]</f>
        <v>5</v>
      </c>
      <c r="N1511" s="25" t="s">
        <v>45</v>
      </c>
      <c r="O1511" s="25" t="s">
        <v>23</v>
      </c>
      <c r="P1511" s="25" t="s">
        <v>94</v>
      </c>
      <c r="Q1511" s="25" t="s">
        <v>95</v>
      </c>
      <c r="R1511" s="25" t="s">
        <v>165</v>
      </c>
      <c r="S1511" s="35">
        <v>0.2</v>
      </c>
      <c r="T1511" s="16">
        <v>84.784000000000006</v>
      </c>
      <c r="U1511" s="19">
        <v>-16.956800000000001</v>
      </c>
      <c r="V1511" s="56">
        <f>Table11[[#This Row],[Profit]]/Table11[[#This Row],[Sales]]</f>
        <v>-0.2</v>
      </c>
    </row>
    <row r="1512" spans="1:22" x14ac:dyDescent="0.2">
      <c r="A1512" s="2">
        <v>1511</v>
      </c>
      <c r="B1512" s="5" t="s">
        <v>9644</v>
      </c>
      <c r="C1512" s="6">
        <v>42315</v>
      </c>
      <c r="D1512" s="27">
        <f>MONTH(Table11[[#This Row],[Order Date]])</f>
        <v>11</v>
      </c>
      <c r="E1512" s="5" t="s">
        <v>5849</v>
      </c>
      <c r="F1512" s="5" t="s">
        <v>5850</v>
      </c>
      <c r="G1512" s="24" t="s">
        <v>28</v>
      </c>
      <c r="H1512" s="24" t="s">
        <v>58</v>
      </c>
      <c r="I1512" s="5" t="s">
        <v>3378</v>
      </c>
      <c r="J1512" s="24" t="s">
        <v>22</v>
      </c>
      <c r="K1512" s="27">
        <v>5</v>
      </c>
      <c r="L1512" s="6">
        <v>42320</v>
      </c>
      <c r="M1512" s="27">
        <f>Table11[[#This Row],[Ship Date]]-Table11[[#This Row],[Order Date]]</f>
        <v>5</v>
      </c>
      <c r="N1512" s="24" t="s">
        <v>45</v>
      </c>
      <c r="O1512" s="24" t="s">
        <v>23</v>
      </c>
      <c r="P1512" s="24" t="s">
        <v>94</v>
      </c>
      <c r="Q1512" s="24" t="s">
        <v>95</v>
      </c>
      <c r="R1512" s="24" t="s">
        <v>165</v>
      </c>
      <c r="S1512" s="34">
        <v>0.6</v>
      </c>
      <c r="T1512" s="15">
        <v>64.959999999999994</v>
      </c>
      <c r="U1512" s="18">
        <v>-84.447999999999993</v>
      </c>
      <c r="V1512" s="56">
        <f>Table11[[#This Row],[Profit]]/Table11[[#This Row],[Sales]]</f>
        <v>-1.3</v>
      </c>
    </row>
    <row r="1513" spans="1:22" x14ac:dyDescent="0.2">
      <c r="A1513" s="4">
        <v>1512</v>
      </c>
      <c r="B1513" s="3" t="s">
        <v>9644</v>
      </c>
      <c r="C1513" s="7">
        <v>42315</v>
      </c>
      <c r="D1513" s="28">
        <f>MONTH(Table11[[#This Row],[Order Date]])</f>
        <v>11</v>
      </c>
      <c r="E1513" s="3" t="s">
        <v>150</v>
      </c>
      <c r="F1513" s="3" t="s">
        <v>151</v>
      </c>
      <c r="G1513" s="25" t="s">
        <v>41</v>
      </c>
      <c r="H1513" s="25" t="s">
        <v>68</v>
      </c>
      <c r="I1513" s="3" t="s">
        <v>3378</v>
      </c>
      <c r="J1513" s="25" t="s">
        <v>22</v>
      </c>
      <c r="K1513" s="28">
        <v>10</v>
      </c>
      <c r="L1513" s="7">
        <v>42320</v>
      </c>
      <c r="M1513" s="28">
        <f>Table11[[#This Row],[Ship Date]]-Table11[[#This Row],[Order Date]]</f>
        <v>5</v>
      </c>
      <c r="N1513" s="25" t="s">
        <v>45</v>
      </c>
      <c r="O1513" s="25" t="s">
        <v>23</v>
      </c>
      <c r="P1513" s="25" t="s">
        <v>94</v>
      </c>
      <c r="Q1513" s="25" t="s">
        <v>95</v>
      </c>
      <c r="R1513" s="25" t="s">
        <v>165</v>
      </c>
      <c r="S1513" s="35">
        <v>0.8</v>
      </c>
      <c r="T1513" s="16">
        <v>32.06</v>
      </c>
      <c r="U1513" s="19">
        <v>-51.295999999999999</v>
      </c>
      <c r="V1513" s="56">
        <f>Table11[[#This Row],[Profit]]/Table11[[#This Row],[Sales]]</f>
        <v>-1.5999999999999999</v>
      </c>
    </row>
    <row r="1514" spans="1:22" x14ac:dyDescent="0.2">
      <c r="A1514" s="4">
        <v>1513</v>
      </c>
      <c r="B1514" s="5" t="s">
        <v>9644</v>
      </c>
      <c r="C1514" s="6">
        <v>42315</v>
      </c>
      <c r="D1514" s="27">
        <f>MONTH(Table11[[#This Row],[Order Date]])</f>
        <v>11</v>
      </c>
      <c r="E1514" s="5" t="s">
        <v>6789</v>
      </c>
      <c r="F1514" s="5" t="s">
        <v>6790</v>
      </c>
      <c r="G1514" s="24" t="s">
        <v>41</v>
      </c>
      <c r="H1514" s="24" t="s">
        <v>53</v>
      </c>
      <c r="I1514" s="5" t="s">
        <v>3378</v>
      </c>
      <c r="J1514" s="24" t="s">
        <v>22</v>
      </c>
      <c r="K1514" s="27">
        <v>2</v>
      </c>
      <c r="L1514" s="6">
        <v>42320</v>
      </c>
      <c r="M1514" s="27">
        <f>Table11[[#This Row],[Ship Date]]-Table11[[#This Row],[Order Date]]</f>
        <v>5</v>
      </c>
      <c r="N1514" s="24" t="s">
        <v>45</v>
      </c>
      <c r="O1514" s="24" t="s">
        <v>23</v>
      </c>
      <c r="P1514" s="24" t="s">
        <v>94</v>
      </c>
      <c r="Q1514" s="24" t="s">
        <v>95</v>
      </c>
      <c r="R1514" s="24" t="s">
        <v>165</v>
      </c>
      <c r="S1514" s="34">
        <v>0.2</v>
      </c>
      <c r="T1514" s="15">
        <v>177.648</v>
      </c>
      <c r="U1514" s="18">
        <v>-28.867799999999999</v>
      </c>
      <c r="V1514" s="56">
        <f>Table11[[#This Row],[Profit]]/Table11[[#This Row],[Sales]]</f>
        <v>-0.16250000000000001</v>
      </c>
    </row>
    <row r="1515" spans="1:22" x14ac:dyDescent="0.2">
      <c r="A1515" s="2">
        <v>1514</v>
      </c>
      <c r="B1515" s="3" t="s">
        <v>9644</v>
      </c>
      <c r="C1515" s="7">
        <v>42315</v>
      </c>
      <c r="D1515" s="28">
        <f>MONTH(Table11[[#This Row],[Order Date]])</f>
        <v>11</v>
      </c>
      <c r="E1515" s="3" t="s">
        <v>6415</v>
      </c>
      <c r="F1515" s="3" t="s">
        <v>6416</v>
      </c>
      <c r="G1515" s="25" t="s">
        <v>64</v>
      </c>
      <c r="H1515" s="25" t="s">
        <v>602</v>
      </c>
      <c r="I1515" s="3" t="s">
        <v>3378</v>
      </c>
      <c r="J1515" s="25" t="s">
        <v>22</v>
      </c>
      <c r="K1515" s="28">
        <v>3</v>
      </c>
      <c r="L1515" s="7">
        <v>42320</v>
      </c>
      <c r="M1515" s="28">
        <f>Table11[[#This Row],[Ship Date]]-Table11[[#This Row],[Order Date]]</f>
        <v>5</v>
      </c>
      <c r="N1515" s="25" t="s">
        <v>45</v>
      </c>
      <c r="O1515" s="25" t="s">
        <v>23</v>
      </c>
      <c r="P1515" s="25" t="s">
        <v>94</v>
      </c>
      <c r="Q1515" s="25" t="s">
        <v>95</v>
      </c>
      <c r="R1515" s="25" t="s">
        <v>165</v>
      </c>
      <c r="S1515" s="35">
        <v>0.4</v>
      </c>
      <c r="T1515" s="16">
        <v>287.91000000000003</v>
      </c>
      <c r="U1515" s="19">
        <v>33.589500000000001</v>
      </c>
      <c r="V1515" s="56">
        <f>Table11[[#This Row],[Profit]]/Table11[[#This Row],[Sales]]</f>
        <v>0.11666666666666665</v>
      </c>
    </row>
    <row r="1516" spans="1:22" x14ac:dyDescent="0.2">
      <c r="A1516" s="4">
        <v>1515</v>
      </c>
      <c r="B1516" s="5" t="s">
        <v>4212</v>
      </c>
      <c r="C1516" s="6">
        <v>42316</v>
      </c>
      <c r="D1516" s="27">
        <f>MONTH(Table11[[#This Row],[Order Date]])</f>
        <v>11</v>
      </c>
      <c r="E1516" s="5" t="s">
        <v>1298</v>
      </c>
      <c r="F1516" s="5" t="s">
        <v>1299</v>
      </c>
      <c r="G1516" s="24" t="s">
        <v>41</v>
      </c>
      <c r="H1516" s="24" t="s">
        <v>61</v>
      </c>
      <c r="I1516" s="5" t="s">
        <v>3382</v>
      </c>
      <c r="J1516" s="24" t="s">
        <v>22</v>
      </c>
      <c r="K1516" s="27">
        <v>5</v>
      </c>
      <c r="L1516" s="6">
        <v>42322</v>
      </c>
      <c r="M1516" s="27">
        <f>Table11[[#This Row],[Ship Date]]-Table11[[#This Row],[Order Date]]</f>
        <v>6</v>
      </c>
      <c r="N1516" s="24" t="s">
        <v>45</v>
      </c>
      <c r="O1516" s="24" t="s">
        <v>23</v>
      </c>
      <c r="P1516" s="24" t="s">
        <v>1101</v>
      </c>
      <c r="Q1516" s="24" t="s">
        <v>133</v>
      </c>
      <c r="R1516" s="24" t="s">
        <v>541</v>
      </c>
      <c r="S1516" s="34">
        <v>0</v>
      </c>
      <c r="T1516" s="15">
        <v>11.65</v>
      </c>
      <c r="U1516" s="18">
        <v>3.3784999999999998</v>
      </c>
      <c r="V1516" s="56">
        <f>Table11[[#This Row],[Profit]]/Table11[[#This Row],[Sales]]</f>
        <v>0.28999999999999998</v>
      </c>
    </row>
    <row r="1517" spans="1:22" x14ac:dyDescent="0.2">
      <c r="A1517" s="4">
        <v>1516</v>
      </c>
      <c r="B1517" s="3" t="s">
        <v>4651</v>
      </c>
      <c r="C1517" s="7">
        <v>42316</v>
      </c>
      <c r="D1517" s="28">
        <f>MONTH(Table11[[#This Row],[Order Date]])</f>
        <v>11</v>
      </c>
      <c r="E1517" s="3" t="s">
        <v>2264</v>
      </c>
      <c r="F1517" s="3" t="s">
        <v>2265</v>
      </c>
      <c r="G1517" s="25" t="s">
        <v>41</v>
      </c>
      <c r="H1517" s="25" t="s">
        <v>240</v>
      </c>
      <c r="I1517" s="3" t="s">
        <v>4652</v>
      </c>
      <c r="J1517" s="25" t="s">
        <v>92</v>
      </c>
      <c r="K1517" s="28">
        <v>1</v>
      </c>
      <c r="L1517" s="7">
        <v>42318</v>
      </c>
      <c r="M1517" s="28">
        <f>Table11[[#This Row],[Ship Date]]-Table11[[#This Row],[Order Date]]</f>
        <v>2</v>
      </c>
      <c r="N1517" s="25" t="s">
        <v>20</v>
      </c>
      <c r="O1517" s="25" t="s">
        <v>23</v>
      </c>
      <c r="P1517" s="25" t="s">
        <v>38</v>
      </c>
      <c r="Q1517" s="25" t="s">
        <v>39</v>
      </c>
      <c r="R1517" s="25" t="s">
        <v>836</v>
      </c>
      <c r="S1517" s="35">
        <v>0</v>
      </c>
      <c r="T1517" s="16">
        <v>5</v>
      </c>
      <c r="U1517" s="19">
        <v>2.4</v>
      </c>
      <c r="V1517" s="56">
        <f>Table11[[#This Row],[Profit]]/Table11[[#This Row],[Sales]]</f>
        <v>0.48</v>
      </c>
    </row>
    <row r="1518" spans="1:22" x14ac:dyDescent="0.2">
      <c r="A1518" s="2">
        <v>1517</v>
      </c>
      <c r="B1518" s="5" t="s">
        <v>4651</v>
      </c>
      <c r="C1518" s="6">
        <v>42316</v>
      </c>
      <c r="D1518" s="27">
        <f>MONTH(Table11[[#This Row],[Order Date]])</f>
        <v>11</v>
      </c>
      <c r="E1518" s="5" t="s">
        <v>2382</v>
      </c>
      <c r="F1518" s="5" t="s">
        <v>2383</v>
      </c>
      <c r="G1518" s="24" t="s">
        <v>64</v>
      </c>
      <c r="H1518" s="24" t="s">
        <v>144</v>
      </c>
      <c r="I1518" s="5" t="s">
        <v>4652</v>
      </c>
      <c r="J1518" s="24" t="s">
        <v>92</v>
      </c>
      <c r="K1518" s="27">
        <v>3</v>
      </c>
      <c r="L1518" s="6">
        <v>42318</v>
      </c>
      <c r="M1518" s="27">
        <f>Table11[[#This Row],[Ship Date]]-Table11[[#This Row],[Order Date]]</f>
        <v>2</v>
      </c>
      <c r="N1518" s="24" t="s">
        <v>20</v>
      </c>
      <c r="O1518" s="24" t="s">
        <v>23</v>
      </c>
      <c r="P1518" s="24" t="s">
        <v>38</v>
      </c>
      <c r="Q1518" s="24" t="s">
        <v>39</v>
      </c>
      <c r="R1518" s="24" t="s">
        <v>836</v>
      </c>
      <c r="S1518" s="34">
        <v>0</v>
      </c>
      <c r="T1518" s="15">
        <v>371.97</v>
      </c>
      <c r="U1518" s="18">
        <v>66.954599999999999</v>
      </c>
      <c r="V1518" s="56">
        <f>Table11[[#This Row],[Profit]]/Table11[[#This Row],[Sales]]</f>
        <v>0.18</v>
      </c>
    </row>
    <row r="1519" spans="1:22" x14ac:dyDescent="0.2">
      <c r="A1519" s="4">
        <v>1518</v>
      </c>
      <c r="B1519" s="3" t="s">
        <v>5545</v>
      </c>
      <c r="C1519" s="7">
        <v>42316</v>
      </c>
      <c r="D1519" s="28">
        <f>MONTH(Table11[[#This Row],[Order Date]])</f>
        <v>11</v>
      </c>
      <c r="E1519" s="3" t="s">
        <v>5546</v>
      </c>
      <c r="F1519" s="3" t="s">
        <v>5547</v>
      </c>
      <c r="G1519" s="25" t="s">
        <v>41</v>
      </c>
      <c r="H1519" s="25" t="s">
        <v>240</v>
      </c>
      <c r="I1519" s="3" t="s">
        <v>1402</v>
      </c>
      <c r="J1519" s="25" t="s">
        <v>22</v>
      </c>
      <c r="K1519" s="28">
        <v>3</v>
      </c>
      <c r="L1519" s="7">
        <v>42322</v>
      </c>
      <c r="M1519" s="28">
        <f>Table11[[#This Row],[Ship Date]]-Table11[[#This Row],[Order Date]]</f>
        <v>6</v>
      </c>
      <c r="N1519" s="25" t="s">
        <v>45</v>
      </c>
      <c r="O1519" s="25" t="s">
        <v>23</v>
      </c>
      <c r="P1519" s="25" t="s">
        <v>109</v>
      </c>
      <c r="Q1519" s="25" t="s">
        <v>39</v>
      </c>
      <c r="R1519" s="25" t="s">
        <v>108</v>
      </c>
      <c r="S1519" s="35">
        <v>0</v>
      </c>
      <c r="T1519" s="16">
        <v>5.04</v>
      </c>
      <c r="U1519" s="19">
        <v>0.2016</v>
      </c>
      <c r="V1519" s="56">
        <f>Table11[[#This Row],[Profit]]/Table11[[#This Row],[Sales]]</f>
        <v>0.04</v>
      </c>
    </row>
    <row r="1520" spans="1:22" x14ac:dyDescent="0.2">
      <c r="A1520" s="4">
        <v>1519</v>
      </c>
      <c r="B1520" s="5" t="s">
        <v>5545</v>
      </c>
      <c r="C1520" s="6">
        <v>42316</v>
      </c>
      <c r="D1520" s="27">
        <f>MONTH(Table11[[#This Row],[Order Date]])</f>
        <v>11</v>
      </c>
      <c r="E1520" s="5" t="s">
        <v>3592</v>
      </c>
      <c r="F1520" s="5" t="s">
        <v>3593</v>
      </c>
      <c r="G1520" s="24" t="s">
        <v>41</v>
      </c>
      <c r="H1520" s="24" t="s">
        <v>82</v>
      </c>
      <c r="I1520" s="5" t="s">
        <v>1402</v>
      </c>
      <c r="J1520" s="24" t="s">
        <v>22</v>
      </c>
      <c r="K1520" s="27">
        <v>3</v>
      </c>
      <c r="L1520" s="6">
        <v>42322</v>
      </c>
      <c r="M1520" s="27">
        <f>Table11[[#This Row],[Ship Date]]-Table11[[#This Row],[Order Date]]</f>
        <v>6</v>
      </c>
      <c r="N1520" s="24" t="s">
        <v>45</v>
      </c>
      <c r="O1520" s="24" t="s">
        <v>23</v>
      </c>
      <c r="P1520" s="24" t="s">
        <v>109</v>
      </c>
      <c r="Q1520" s="24" t="s">
        <v>39</v>
      </c>
      <c r="R1520" s="24" t="s">
        <v>108</v>
      </c>
      <c r="S1520" s="34">
        <v>0</v>
      </c>
      <c r="T1520" s="15">
        <v>92.94</v>
      </c>
      <c r="U1520" s="18">
        <v>41.823</v>
      </c>
      <c r="V1520" s="56">
        <f>Table11[[#This Row],[Profit]]/Table11[[#This Row],[Sales]]</f>
        <v>0.45</v>
      </c>
    </row>
    <row r="1521" spans="1:22" x14ac:dyDescent="0.2">
      <c r="A1521" s="2">
        <v>1520</v>
      </c>
      <c r="B1521" s="3" t="s">
        <v>5545</v>
      </c>
      <c r="C1521" s="7">
        <v>42316</v>
      </c>
      <c r="D1521" s="28">
        <f>MONTH(Table11[[#This Row],[Order Date]])</f>
        <v>11</v>
      </c>
      <c r="E1521" s="3" t="s">
        <v>2207</v>
      </c>
      <c r="F1521" s="3" t="s">
        <v>2208</v>
      </c>
      <c r="G1521" s="25" t="s">
        <v>28</v>
      </c>
      <c r="H1521" s="25" t="s">
        <v>58</v>
      </c>
      <c r="I1521" s="3" t="s">
        <v>1402</v>
      </c>
      <c r="J1521" s="25" t="s">
        <v>22</v>
      </c>
      <c r="K1521" s="28">
        <v>3</v>
      </c>
      <c r="L1521" s="7">
        <v>42322</v>
      </c>
      <c r="M1521" s="28">
        <f>Table11[[#This Row],[Ship Date]]-Table11[[#This Row],[Order Date]]</f>
        <v>6</v>
      </c>
      <c r="N1521" s="25" t="s">
        <v>45</v>
      </c>
      <c r="O1521" s="25" t="s">
        <v>23</v>
      </c>
      <c r="P1521" s="25" t="s">
        <v>109</v>
      </c>
      <c r="Q1521" s="25" t="s">
        <v>39</v>
      </c>
      <c r="R1521" s="25" t="s">
        <v>108</v>
      </c>
      <c r="S1521" s="35">
        <v>0</v>
      </c>
      <c r="T1521" s="16">
        <v>66.69</v>
      </c>
      <c r="U1521" s="19">
        <v>22.0077</v>
      </c>
      <c r="V1521" s="56">
        <f>Table11[[#This Row],[Profit]]/Table11[[#This Row],[Sales]]</f>
        <v>0.33</v>
      </c>
    </row>
    <row r="1522" spans="1:22" x14ac:dyDescent="0.2">
      <c r="A1522" s="4">
        <v>1521</v>
      </c>
      <c r="B1522" s="5" t="s">
        <v>5545</v>
      </c>
      <c r="C1522" s="6">
        <v>42316</v>
      </c>
      <c r="D1522" s="27">
        <f>MONTH(Table11[[#This Row],[Order Date]])</f>
        <v>11</v>
      </c>
      <c r="E1522" s="5" t="s">
        <v>2441</v>
      </c>
      <c r="F1522" s="5" t="s">
        <v>2442</v>
      </c>
      <c r="G1522" s="24" t="s">
        <v>41</v>
      </c>
      <c r="H1522" s="24" t="s">
        <v>68</v>
      </c>
      <c r="I1522" s="5" t="s">
        <v>1402</v>
      </c>
      <c r="J1522" s="24" t="s">
        <v>22</v>
      </c>
      <c r="K1522" s="27">
        <v>5</v>
      </c>
      <c r="L1522" s="6">
        <v>42322</v>
      </c>
      <c r="M1522" s="27">
        <f>Table11[[#This Row],[Ship Date]]-Table11[[#This Row],[Order Date]]</f>
        <v>6</v>
      </c>
      <c r="N1522" s="24" t="s">
        <v>45</v>
      </c>
      <c r="O1522" s="24" t="s">
        <v>23</v>
      </c>
      <c r="P1522" s="24" t="s">
        <v>109</v>
      </c>
      <c r="Q1522" s="24" t="s">
        <v>39</v>
      </c>
      <c r="R1522" s="24" t="s">
        <v>108</v>
      </c>
      <c r="S1522" s="34">
        <v>0.2</v>
      </c>
      <c r="T1522" s="15">
        <v>91.68</v>
      </c>
      <c r="U1522" s="18">
        <v>28.65</v>
      </c>
      <c r="V1522" s="56">
        <f>Table11[[#This Row],[Profit]]/Table11[[#This Row],[Sales]]</f>
        <v>0.31249999999999994</v>
      </c>
    </row>
    <row r="1523" spans="1:22" x14ac:dyDescent="0.2">
      <c r="A1523" s="4">
        <v>1522</v>
      </c>
      <c r="B1523" s="3" t="s">
        <v>5550</v>
      </c>
      <c r="C1523" s="7">
        <v>42316</v>
      </c>
      <c r="D1523" s="28">
        <f>MONTH(Table11[[#This Row],[Order Date]])</f>
        <v>11</v>
      </c>
      <c r="E1523" s="3" t="s">
        <v>1072</v>
      </c>
      <c r="F1523" s="3" t="s">
        <v>1073</v>
      </c>
      <c r="G1523" s="25" t="s">
        <v>41</v>
      </c>
      <c r="H1523" s="25" t="s">
        <v>68</v>
      </c>
      <c r="I1523" s="3" t="s">
        <v>4173</v>
      </c>
      <c r="J1523" s="25" t="s">
        <v>22</v>
      </c>
      <c r="K1523" s="28">
        <v>11</v>
      </c>
      <c r="L1523" s="7">
        <v>42321</v>
      </c>
      <c r="M1523" s="28">
        <f>Table11[[#This Row],[Ship Date]]-Table11[[#This Row],[Order Date]]</f>
        <v>5</v>
      </c>
      <c r="N1523" s="25" t="s">
        <v>45</v>
      </c>
      <c r="O1523" s="25" t="s">
        <v>23</v>
      </c>
      <c r="P1523" s="25" t="s">
        <v>238</v>
      </c>
      <c r="Q1523" s="25" t="s">
        <v>133</v>
      </c>
      <c r="R1523" s="25" t="s">
        <v>237</v>
      </c>
      <c r="S1523" s="35">
        <v>0.2</v>
      </c>
      <c r="T1523" s="16">
        <v>52.271999999999998</v>
      </c>
      <c r="U1523" s="19">
        <v>17.6418</v>
      </c>
      <c r="V1523" s="56">
        <f>Table11[[#This Row],[Profit]]/Table11[[#This Row],[Sales]]</f>
        <v>0.33750000000000002</v>
      </c>
    </row>
    <row r="1524" spans="1:22" x14ac:dyDescent="0.2">
      <c r="A1524" s="2">
        <v>1523</v>
      </c>
      <c r="B1524" s="5" t="s">
        <v>5550</v>
      </c>
      <c r="C1524" s="6">
        <v>42316</v>
      </c>
      <c r="D1524" s="27">
        <f>MONTH(Table11[[#This Row],[Order Date]])</f>
        <v>11</v>
      </c>
      <c r="E1524" s="5" t="s">
        <v>1566</v>
      </c>
      <c r="F1524" s="5" t="s">
        <v>1567</v>
      </c>
      <c r="G1524" s="24" t="s">
        <v>41</v>
      </c>
      <c r="H1524" s="24" t="s">
        <v>82</v>
      </c>
      <c r="I1524" s="5" t="s">
        <v>4173</v>
      </c>
      <c r="J1524" s="24" t="s">
        <v>22</v>
      </c>
      <c r="K1524" s="27">
        <v>3</v>
      </c>
      <c r="L1524" s="6">
        <v>42321</v>
      </c>
      <c r="M1524" s="27">
        <f>Table11[[#This Row],[Ship Date]]-Table11[[#This Row],[Order Date]]</f>
        <v>5</v>
      </c>
      <c r="N1524" s="24" t="s">
        <v>45</v>
      </c>
      <c r="O1524" s="24" t="s">
        <v>23</v>
      </c>
      <c r="P1524" s="24" t="s">
        <v>238</v>
      </c>
      <c r="Q1524" s="24" t="s">
        <v>133</v>
      </c>
      <c r="R1524" s="24" t="s">
        <v>237</v>
      </c>
      <c r="S1524" s="34">
        <v>0</v>
      </c>
      <c r="T1524" s="15">
        <v>17.940000000000001</v>
      </c>
      <c r="U1524" s="18">
        <v>8.0730000000000004</v>
      </c>
      <c r="V1524" s="56">
        <f>Table11[[#This Row],[Profit]]/Table11[[#This Row],[Sales]]</f>
        <v>0.45</v>
      </c>
    </row>
    <row r="1525" spans="1:22" x14ac:dyDescent="0.2">
      <c r="A1525" s="4">
        <v>1524</v>
      </c>
      <c r="B1525" s="3" t="s">
        <v>6863</v>
      </c>
      <c r="C1525" s="7">
        <v>42316</v>
      </c>
      <c r="D1525" s="28">
        <f>MONTH(Table11[[#This Row],[Order Date]])</f>
        <v>11</v>
      </c>
      <c r="E1525" s="3" t="s">
        <v>207</v>
      </c>
      <c r="F1525" s="3" t="s">
        <v>208</v>
      </c>
      <c r="G1525" s="25" t="s">
        <v>41</v>
      </c>
      <c r="H1525" s="25" t="s">
        <v>68</v>
      </c>
      <c r="I1525" s="3" t="s">
        <v>4198</v>
      </c>
      <c r="J1525" s="25" t="s">
        <v>22</v>
      </c>
      <c r="K1525" s="28">
        <v>6</v>
      </c>
      <c r="L1525" s="7">
        <v>42321</v>
      </c>
      <c r="M1525" s="28">
        <f>Table11[[#This Row],[Ship Date]]-Table11[[#This Row],[Order Date]]</f>
        <v>5</v>
      </c>
      <c r="N1525" s="25" t="s">
        <v>45</v>
      </c>
      <c r="O1525" s="25" t="s">
        <v>23</v>
      </c>
      <c r="P1525" s="25" t="s">
        <v>94</v>
      </c>
      <c r="Q1525" s="25" t="s">
        <v>95</v>
      </c>
      <c r="R1525" s="25" t="s">
        <v>165</v>
      </c>
      <c r="S1525" s="35">
        <v>0.8</v>
      </c>
      <c r="T1525" s="16">
        <v>10.476000000000001</v>
      </c>
      <c r="U1525" s="19">
        <v>-17.285399999999999</v>
      </c>
      <c r="V1525" s="56">
        <f>Table11[[#This Row],[Profit]]/Table11[[#This Row],[Sales]]</f>
        <v>-1.6499999999999997</v>
      </c>
    </row>
    <row r="1526" spans="1:22" x14ac:dyDescent="0.2">
      <c r="A1526" s="4">
        <v>1525</v>
      </c>
      <c r="B1526" s="5" t="s">
        <v>7269</v>
      </c>
      <c r="C1526" s="6">
        <v>42316</v>
      </c>
      <c r="D1526" s="27">
        <f>MONTH(Table11[[#This Row],[Order Date]])</f>
        <v>11</v>
      </c>
      <c r="E1526" s="5" t="s">
        <v>931</v>
      </c>
      <c r="F1526" s="5" t="s">
        <v>932</v>
      </c>
      <c r="G1526" s="24" t="s">
        <v>64</v>
      </c>
      <c r="H1526" s="24" t="s">
        <v>144</v>
      </c>
      <c r="I1526" s="5" t="s">
        <v>3837</v>
      </c>
      <c r="J1526" s="24" t="s">
        <v>22</v>
      </c>
      <c r="K1526" s="27">
        <v>2</v>
      </c>
      <c r="L1526" s="6">
        <v>42320</v>
      </c>
      <c r="M1526" s="27">
        <f>Table11[[#This Row],[Ship Date]]-Table11[[#This Row],[Order Date]]</f>
        <v>4</v>
      </c>
      <c r="N1526" s="24" t="s">
        <v>45</v>
      </c>
      <c r="O1526" s="24" t="s">
        <v>23</v>
      </c>
      <c r="P1526" s="24" t="s">
        <v>38</v>
      </c>
      <c r="Q1526" s="24" t="s">
        <v>39</v>
      </c>
      <c r="R1526" s="24" t="s">
        <v>114</v>
      </c>
      <c r="S1526" s="34">
        <v>0</v>
      </c>
      <c r="T1526" s="15">
        <v>119.9</v>
      </c>
      <c r="U1526" s="18">
        <v>43.164000000000001</v>
      </c>
      <c r="V1526" s="56">
        <f>Table11[[#This Row],[Profit]]/Table11[[#This Row],[Sales]]</f>
        <v>0.36</v>
      </c>
    </row>
    <row r="1527" spans="1:22" x14ac:dyDescent="0.2">
      <c r="A1527" s="2">
        <v>1526</v>
      </c>
      <c r="B1527" s="3" t="s">
        <v>8451</v>
      </c>
      <c r="C1527" s="7">
        <v>42316</v>
      </c>
      <c r="D1527" s="28">
        <f>MONTH(Table11[[#This Row],[Order Date]])</f>
        <v>11</v>
      </c>
      <c r="E1527" s="3" t="s">
        <v>2283</v>
      </c>
      <c r="F1527" s="3" t="s">
        <v>2284</v>
      </c>
      <c r="G1527" s="25" t="s">
        <v>41</v>
      </c>
      <c r="H1527" s="25" t="s">
        <v>71</v>
      </c>
      <c r="I1527" s="3" t="s">
        <v>4549</v>
      </c>
      <c r="J1527" s="25" t="s">
        <v>22</v>
      </c>
      <c r="K1527" s="28">
        <v>3</v>
      </c>
      <c r="L1527" s="7">
        <v>42321</v>
      </c>
      <c r="M1527" s="28">
        <f>Table11[[#This Row],[Ship Date]]-Table11[[#This Row],[Order Date]]</f>
        <v>5</v>
      </c>
      <c r="N1527" s="25" t="s">
        <v>20</v>
      </c>
      <c r="O1527" s="25" t="s">
        <v>23</v>
      </c>
      <c r="P1527" s="25" t="s">
        <v>285</v>
      </c>
      <c r="Q1527" s="25" t="s">
        <v>26</v>
      </c>
      <c r="R1527" s="25" t="s">
        <v>6815</v>
      </c>
      <c r="S1527" s="35">
        <v>0</v>
      </c>
      <c r="T1527" s="16">
        <v>44.43</v>
      </c>
      <c r="U1527" s="19">
        <v>18.660599999999999</v>
      </c>
      <c r="V1527" s="56">
        <f>Table11[[#This Row],[Profit]]/Table11[[#This Row],[Sales]]</f>
        <v>0.42</v>
      </c>
    </row>
    <row r="1528" spans="1:22" x14ac:dyDescent="0.2">
      <c r="A1528" s="4">
        <v>1527</v>
      </c>
      <c r="B1528" s="5" t="s">
        <v>8451</v>
      </c>
      <c r="C1528" s="6">
        <v>42316</v>
      </c>
      <c r="D1528" s="27">
        <f>MONTH(Table11[[#This Row],[Order Date]])</f>
        <v>11</v>
      </c>
      <c r="E1528" s="5" t="s">
        <v>5190</v>
      </c>
      <c r="F1528" s="5" t="s">
        <v>5191</v>
      </c>
      <c r="G1528" s="24" t="s">
        <v>64</v>
      </c>
      <c r="H1528" s="24" t="s">
        <v>65</v>
      </c>
      <c r="I1528" s="5" t="s">
        <v>4549</v>
      </c>
      <c r="J1528" s="24" t="s">
        <v>22</v>
      </c>
      <c r="K1528" s="27">
        <v>5</v>
      </c>
      <c r="L1528" s="6">
        <v>42321</v>
      </c>
      <c r="M1528" s="27">
        <f>Table11[[#This Row],[Ship Date]]-Table11[[#This Row],[Order Date]]</f>
        <v>5</v>
      </c>
      <c r="N1528" s="24" t="s">
        <v>20</v>
      </c>
      <c r="O1528" s="24" t="s">
        <v>23</v>
      </c>
      <c r="P1528" s="24" t="s">
        <v>285</v>
      </c>
      <c r="Q1528" s="24" t="s">
        <v>26</v>
      </c>
      <c r="R1528" s="24" t="s">
        <v>6815</v>
      </c>
      <c r="S1528" s="34">
        <v>0</v>
      </c>
      <c r="T1528" s="15">
        <v>226.2</v>
      </c>
      <c r="U1528" s="18">
        <v>58.811999999999998</v>
      </c>
      <c r="V1528" s="56">
        <f>Table11[[#This Row],[Profit]]/Table11[[#This Row],[Sales]]</f>
        <v>0.26</v>
      </c>
    </row>
    <row r="1529" spans="1:22" x14ac:dyDescent="0.2">
      <c r="A1529" s="4">
        <v>1528</v>
      </c>
      <c r="B1529" s="3" t="s">
        <v>8451</v>
      </c>
      <c r="C1529" s="7">
        <v>42316</v>
      </c>
      <c r="D1529" s="28">
        <f>MONTH(Table11[[#This Row],[Order Date]])</f>
        <v>11</v>
      </c>
      <c r="E1529" s="3" t="s">
        <v>4676</v>
      </c>
      <c r="F1529" s="3" t="s">
        <v>4677</v>
      </c>
      <c r="G1529" s="25" t="s">
        <v>28</v>
      </c>
      <c r="H1529" s="25" t="s">
        <v>58</v>
      </c>
      <c r="I1529" s="3" t="s">
        <v>4549</v>
      </c>
      <c r="J1529" s="25" t="s">
        <v>22</v>
      </c>
      <c r="K1529" s="28">
        <v>3</v>
      </c>
      <c r="L1529" s="7">
        <v>42321</v>
      </c>
      <c r="M1529" s="28">
        <f>Table11[[#This Row],[Ship Date]]-Table11[[#This Row],[Order Date]]</f>
        <v>5</v>
      </c>
      <c r="N1529" s="25" t="s">
        <v>20</v>
      </c>
      <c r="O1529" s="25" t="s">
        <v>23</v>
      </c>
      <c r="P1529" s="25" t="s">
        <v>285</v>
      </c>
      <c r="Q1529" s="25" t="s">
        <v>26</v>
      </c>
      <c r="R1529" s="25" t="s">
        <v>6815</v>
      </c>
      <c r="S1529" s="35">
        <v>0</v>
      </c>
      <c r="T1529" s="16">
        <v>186.54</v>
      </c>
      <c r="U1529" s="19">
        <v>41.038800000000002</v>
      </c>
      <c r="V1529" s="56">
        <f>Table11[[#This Row],[Profit]]/Table11[[#This Row],[Sales]]</f>
        <v>0.22000000000000003</v>
      </c>
    </row>
    <row r="1530" spans="1:22" x14ac:dyDescent="0.2">
      <c r="A1530" s="2">
        <v>1529</v>
      </c>
      <c r="B1530" s="5" t="s">
        <v>8451</v>
      </c>
      <c r="C1530" s="6">
        <v>42316</v>
      </c>
      <c r="D1530" s="27">
        <f>MONTH(Table11[[#This Row],[Order Date]])</f>
        <v>11</v>
      </c>
      <c r="E1530" s="5" t="s">
        <v>434</v>
      </c>
      <c r="F1530" s="5" t="s">
        <v>435</v>
      </c>
      <c r="G1530" s="24" t="s">
        <v>41</v>
      </c>
      <c r="H1530" s="24" t="s">
        <v>61</v>
      </c>
      <c r="I1530" s="5" t="s">
        <v>4549</v>
      </c>
      <c r="J1530" s="24" t="s">
        <v>22</v>
      </c>
      <c r="K1530" s="27">
        <v>7</v>
      </c>
      <c r="L1530" s="6">
        <v>42321</v>
      </c>
      <c r="M1530" s="27">
        <f>Table11[[#This Row],[Ship Date]]-Table11[[#This Row],[Order Date]]</f>
        <v>5</v>
      </c>
      <c r="N1530" s="24" t="s">
        <v>20</v>
      </c>
      <c r="O1530" s="24" t="s">
        <v>23</v>
      </c>
      <c r="P1530" s="24" t="s">
        <v>285</v>
      </c>
      <c r="Q1530" s="24" t="s">
        <v>26</v>
      </c>
      <c r="R1530" s="24" t="s">
        <v>6815</v>
      </c>
      <c r="S1530" s="34">
        <v>0</v>
      </c>
      <c r="T1530" s="15">
        <v>265.86</v>
      </c>
      <c r="U1530" s="18">
        <v>79.757999999999996</v>
      </c>
      <c r="V1530" s="56">
        <f>Table11[[#This Row],[Profit]]/Table11[[#This Row],[Sales]]</f>
        <v>0.3</v>
      </c>
    </row>
    <row r="1531" spans="1:22" x14ac:dyDescent="0.2">
      <c r="A1531" s="4">
        <v>1530</v>
      </c>
      <c r="B1531" s="3" t="s">
        <v>8451</v>
      </c>
      <c r="C1531" s="7">
        <v>42316</v>
      </c>
      <c r="D1531" s="28">
        <f>MONTH(Table11[[#This Row],[Order Date]])</f>
        <v>11</v>
      </c>
      <c r="E1531" s="3" t="s">
        <v>1090</v>
      </c>
      <c r="F1531" s="3" t="s">
        <v>1091</v>
      </c>
      <c r="G1531" s="25" t="s">
        <v>41</v>
      </c>
      <c r="H1531" s="25" t="s">
        <v>61</v>
      </c>
      <c r="I1531" s="3" t="s">
        <v>4549</v>
      </c>
      <c r="J1531" s="25" t="s">
        <v>22</v>
      </c>
      <c r="K1531" s="28">
        <v>5</v>
      </c>
      <c r="L1531" s="7">
        <v>42321</v>
      </c>
      <c r="M1531" s="28">
        <f>Table11[[#This Row],[Ship Date]]-Table11[[#This Row],[Order Date]]</f>
        <v>5</v>
      </c>
      <c r="N1531" s="25" t="s">
        <v>20</v>
      </c>
      <c r="O1531" s="25" t="s">
        <v>23</v>
      </c>
      <c r="P1531" s="25" t="s">
        <v>285</v>
      </c>
      <c r="Q1531" s="25" t="s">
        <v>26</v>
      </c>
      <c r="R1531" s="25" t="s">
        <v>6815</v>
      </c>
      <c r="S1531" s="35">
        <v>0</v>
      </c>
      <c r="T1531" s="16">
        <v>27.9</v>
      </c>
      <c r="U1531" s="19">
        <v>6.9749999999999996</v>
      </c>
      <c r="V1531" s="56">
        <f>Table11[[#This Row],[Profit]]/Table11[[#This Row],[Sales]]</f>
        <v>0.25</v>
      </c>
    </row>
    <row r="1532" spans="1:22" x14ac:dyDescent="0.2">
      <c r="A1532" s="4">
        <v>1531</v>
      </c>
      <c r="B1532" s="5" t="s">
        <v>8997</v>
      </c>
      <c r="C1532" s="6">
        <v>42316</v>
      </c>
      <c r="D1532" s="27">
        <f>MONTH(Table11[[#This Row],[Order Date]])</f>
        <v>11</v>
      </c>
      <c r="E1532" s="5" t="s">
        <v>2694</v>
      </c>
      <c r="F1532" s="5" t="s">
        <v>2695</v>
      </c>
      <c r="G1532" s="24" t="s">
        <v>64</v>
      </c>
      <c r="H1532" s="24" t="s">
        <v>65</v>
      </c>
      <c r="I1532" s="5" t="s">
        <v>2626</v>
      </c>
      <c r="J1532" s="24" t="s">
        <v>22</v>
      </c>
      <c r="K1532" s="27">
        <v>4</v>
      </c>
      <c r="L1532" s="6">
        <v>42320</v>
      </c>
      <c r="M1532" s="27">
        <f>Table11[[#This Row],[Ship Date]]-Table11[[#This Row],[Order Date]]</f>
        <v>4</v>
      </c>
      <c r="N1532" s="24" t="s">
        <v>45</v>
      </c>
      <c r="O1532" s="24" t="s">
        <v>23</v>
      </c>
      <c r="P1532" s="24" t="s">
        <v>433</v>
      </c>
      <c r="Q1532" s="24" t="s">
        <v>95</v>
      </c>
      <c r="R1532" s="24" t="s">
        <v>5920</v>
      </c>
      <c r="S1532" s="34">
        <v>0</v>
      </c>
      <c r="T1532" s="15">
        <v>263.95999999999998</v>
      </c>
      <c r="U1532" s="18">
        <v>76.548400000000001</v>
      </c>
      <c r="V1532" s="56">
        <f>Table11[[#This Row],[Profit]]/Table11[[#This Row],[Sales]]</f>
        <v>0.29000000000000004</v>
      </c>
    </row>
    <row r="1533" spans="1:22" x14ac:dyDescent="0.2">
      <c r="A1533" s="2">
        <v>1532</v>
      </c>
      <c r="B1533" s="3" t="s">
        <v>9110</v>
      </c>
      <c r="C1533" s="7">
        <v>42316</v>
      </c>
      <c r="D1533" s="28">
        <f>MONTH(Table11[[#This Row],[Order Date]])</f>
        <v>11</v>
      </c>
      <c r="E1533" s="3" t="s">
        <v>6868</v>
      </c>
      <c r="F1533" s="3" t="s">
        <v>6869</v>
      </c>
      <c r="G1533" s="25" t="s">
        <v>41</v>
      </c>
      <c r="H1533" s="25" t="s">
        <v>53</v>
      </c>
      <c r="I1533" s="3" t="s">
        <v>3475</v>
      </c>
      <c r="J1533" s="25" t="s">
        <v>36</v>
      </c>
      <c r="K1533" s="28">
        <v>5</v>
      </c>
      <c r="L1533" s="7">
        <v>42316</v>
      </c>
      <c r="M1533" s="28">
        <f>Table11[[#This Row],[Ship Date]]-Table11[[#This Row],[Order Date]]</f>
        <v>0</v>
      </c>
      <c r="N1533" s="25" t="s">
        <v>1141</v>
      </c>
      <c r="O1533" s="25" t="s">
        <v>23</v>
      </c>
      <c r="P1533" s="25" t="s">
        <v>238</v>
      </c>
      <c r="Q1533" s="25" t="s">
        <v>133</v>
      </c>
      <c r="R1533" s="25" t="s">
        <v>237</v>
      </c>
      <c r="S1533" s="35">
        <v>0</v>
      </c>
      <c r="T1533" s="16">
        <v>67.150000000000006</v>
      </c>
      <c r="U1533" s="19">
        <v>16.787500000000001</v>
      </c>
      <c r="V1533" s="56">
        <f>Table11[[#This Row],[Profit]]/Table11[[#This Row],[Sales]]</f>
        <v>0.25</v>
      </c>
    </row>
    <row r="1534" spans="1:22" x14ac:dyDescent="0.2">
      <c r="A1534" s="4">
        <v>1533</v>
      </c>
      <c r="B1534" s="5" t="s">
        <v>9110</v>
      </c>
      <c r="C1534" s="6">
        <v>42316</v>
      </c>
      <c r="D1534" s="27">
        <f>MONTH(Table11[[#This Row],[Order Date]])</f>
        <v>11</v>
      </c>
      <c r="E1534" s="5" t="s">
        <v>3092</v>
      </c>
      <c r="F1534" s="5" t="s">
        <v>3093</v>
      </c>
      <c r="G1534" s="24" t="s">
        <v>64</v>
      </c>
      <c r="H1534" s="24" t="s">
        <v>65</v>
      </c>
      <c r="I1534" s="5" t="s">
        <v>3475</v>
      </c>
      <c r="J1534" s="24" t="s">
        <v>36</v>
      </c>
      <c r="K1534" s="27">
        <v>2</v>
      </c>
      <c r="L1534" s="6">
        <v>42316</v>
      </c>
      <c r="M1534" s="27">
        <f>Table11[[#This Row],[Ship Date]]-Table11[[#This Row],[Order Date]]</f>
        <v>0</v>
      </c>
      <c r="N1534" s="24" t="s">
        <v>1141</v>
      </c>
      <c r="O1534" s="24" t="s">
        <v>23</v>
      </c>
      <c r="P1534" s="24" t="s">
        <v>238</v>
      </c>
      <c r="Q1534" s="24" t="s">
        <v>133</v>
      </c>
      <c r="R1534" s="24" t="s">
        <v>237</v>
      </c>
      <c r="S1534" s="34">
        <v>0</v>
      </c>
      <c r="T1534" s="15">
        <v>549.98</v>
      </c>
      <c r="U1534" s="18">
        <v>142.9948</v>
      </c>
      <c r="V1534" s="56">
        <f>Table11[[#This Row],[Profit]]/Table11[[#This Row],[Sales]]</f>
        <v>0.26</v>
      </c>
    </row>
    <row r="1535" spans="1:22" x14ac:dyDescent="0.2">
      <c r="A1535" s="4">
        <v>1534</v>
      </c>
      <c r="B1535" s="3" t="s">
        <v>9110</v>
      </c>
      <c r="C1535" s="7">
        <v>42316</v>
      </c>
      <c r="D1535" s="28">
        <f>MONTH(Table11[[#This Row],[Order Date]])</f>
        <v>11</v>
      </c>
      <c r="E1535" s="3" t="s">
        <v>8329</v>
      </c>
      <c r="F1535" s="3" t="s">
        <v>8330</v>
      </c>
      <c r="G1535" s="25" t="s">
        <v>28</v>
      </c>
      <c r="H1535" s="25" t="s">
        <v>58</v>
      </c>
      <c r="I1535" s="3" t="s">
        <v>3475</v>
      </c>
      <c r="J1535" s="25" t="s">
        <v>36</v>
      </c>
      <c r="K1535" s="28">
        <v>3</v>
      </c>
      <c r="L1535" s="7">
        <v>42316</v>
      </c>
      <c r="M1535" s="28">
        <f>Table11[[#This Row],[Ship Date]]-Table11[[#This Row],[Order Date]]</f>
        <v>0</v>
      </c>
      <c r="N1535" s="25" t="s">
        <v>1141</v>
      </c>
      <c r="O1535" s="25" t="s">
        <v>23</v>
      </c>
      <c r="P1535" s="25" t="s">
        <v>238</v>
      </c>
      <c r="Q1535" s="25" t="s">
        <v>133</v>
      </c>
      <c r="R1535" s="25" t="s">
        <v>237</v>
      </c>
      <c r="S1535" s="35">
        <v>0</v>
      </c>
      <c r="T1535" s="16">
        <v>11.82</v>
      </c>
      <c r="U1535" s="19">
        <v>4.7279999999999998</v>
      </c>
      <c r="V1535" s="56">
        <f>Table11[[#This Row],[Profit]]/Table11[[#This Row],[Sales]]</f>
        <v>0.39999999999999997</v>
      </c>
    </row>
    <row r="1536" spans="1:22" x14ac:dyDescent="0.2">
      <c r="A1536" s="2">
        <v>1535</v>
      </c>
      <c r="B1536" s="5" t="s">
        <v>9110</v>
      </c>
      <c r="C1536" s="6">
        <v>42316</v>
      </c>
      <c r="D1536" s="27">
        <f>MONTH(Table11[[#This Row],[Order Date]])</f>
        <v>11</v>
      </c>
      <c r="E1536" s="5" t="s">
        <v>7180</v>
      </c>
      <c r="F1536" s="5" t="s">
        <v>7181</v>
      </c>
      <c r="G1536" s="24" t="s">
        <v>64</v>
      </c>
      <c r="H1536" s="24" t="s">
        <v>602</v>
      </c>
      <c r="I1536" s="5" t="s">
        <v>3475</v>
      </c>
      <c r="J1536" s="24" t="s">
        <v>36</v>
      </c>
      <c r="K1536" s="27">
        <v>4</v>
      </c>
      <c r="L1536" s="6">
        <v>42316</v>
      </c>
      <c r="M1536" s="27">
        <f>Table11[[#This Row],[Ship Date]]-Table11[[#This Row],[Order Date]]</f>
        <v>0</v>
      </c>
      <c r="N1536" s="24" t="s">
        <v>1141</v>
      </c>
      <c r="O1536" s="24" t="s">
        <v>23</v>
      </c>
      <c r="P1536" s="24" t="s">
        <v>238</v>
      </c>
      <c r="Q1536" s="24" t="s">
        <v>133</v>
      </c>
      <c r="R1536" s="24" t="s">
        <v>237</v>
      </c>
      <c r="S1536" s="34">
        <v>0</v>
      </c>
      <c r="T1536" s="15">
        <v>4643.8</v>
      </c>
      <c r="U1536" s="18">
        <v>2229.0239999999999</v>
      </c>
      <c r="V1536" s="56">
        <f>Table11[[#This Row],[Profit]]/Table11[[#This Row],[Sales]]</f>
        <v>0.48</v>
      </c>
    </row>
    <row r="1537" spans="1:22" x14ac:dyDescent="0.2">
      <c r="A1537" s="4">
        <v>1536</v>
      </c>
      <c r="B1537" s="3" t="s">
        <v>9110</v>
      </c>
      <c r="C1537" s="7">
        <v>42316</v>
      </c>
      <c r="D1537" s="28">
        <f>MONTH(Table11[[#This Row],[Order Date]])</f>
        <v>11</v>
      </c>
      <c r="E1537" s="3" t="s">
        <v>2143</v>
      </c>
      <c r="F1537" s="3" t="s">
        <v>2144</v>
      </c>
      <c r="G1537" s="25" t="s">
        <v>28</v>
      </c>
      <c r="H1537" s="25" t="s">
        <v>32</v>
      </c>
      <c r="I1537" s="3" t="s">
        <v>3475</v>
      </c>
      <c r="J1537" s="25" t="s">
        <v>36</v>
      </c>
      <c r="K1537" s="28">
        <v>2</v>
      </c>
      <c r="L1537" s="7">
        <v>42316</v>
      </c>
      <c r="M1537" s="28">
        <f>Table11[[#This Row],[Ship Date]]-Table11[[#This Row],[Order Date]]</f>
        <v>0</v>
      </c>
      <c r="N1537" s="25" t="s">
        <v>1141</v>
      </c>
      <c r="O1537" s="25" t="s">
        <v>23</v>
      </c>
      <c r="P1537" s="25" t="s">
        <v>238</v>
      </c>
      <c r="Q1537" s="25" t="s">
        <v>133</v>
      </c>
      <c r="R1537" s="25" t="s">
        <v>237</v>
      </c>
      <c r="S1537" s="35">
        <v>0.1</v>
      </c>
      <c r="T1537" s="16">
        <v>577.76400000000001</v>
      </c>
      <c r="U1537" s="19">
        <v>115.5528</v>
      </c>
      <c r="V1537" s="56">
        <f>Table11[[#This Row],[Profit]]/Table11[[#This Row],[Sales]]</f>
        <v>0.2</v>
      </c>
    </row>
    <row r="1538" spans="1:22" x14ac:dyDescent="0.2">
      <c r="A1538" s="4">
        <v>1537</v>
      </c>
      <c r="B1538" s="5" t="s">
        <v>9375</v>
      </c>
      <c r="C1538" s="6">
        <v>42316</v>
      </c>
      <c r="D1538" s="27">
        <f>MONTH(Table11[[#This Row],[Order Date]])</f>
        <v>11</v>
      </c>
      <c r="E1538" s="5" t="s">
        <v>1038</v>
      </c>
      <c r="F1538" s="5" t="s">
        <v>1039</v>
      </c>
      <c r="G1538" s="24" t="s">
        <v>41</v>
      </c>
      <c r="H1538" s="24" t="s">
        <v>240</v>
      </c>
      <c r="I1538" s="5" t="s">
        <v>2725</v>
      </c>
      <c r="J1538" s="24" t="s">
        <v>36</v>
      </c>
      <c r="K1538" s="27">
        <v>11</v>
      </c>
      <c r="L1538" s="6">
        <v>42323</v>
      </c>
      <c r="M1538" s="27">
        <f>Table11[[#This Row],[Ship Date]]-Table11[[#This Row],[Order Date]]</f>
        <v>7</v>
      </c>
      <c r="N1538" s="24" t="s">
        <v>45</v>
      </c>
      <c r="O1538" s="24" t="s">
        <v>23</v>
      </c>
      <c r="P1538" s="24" t="s">
        <v>80</v>
      </c>
      <c r="Q1538" s="24" t="s">
        <v>26</v>
      </c>
      <c r="R1538" s="24" t="s">
        <v>1345</v>
      </c>
      <c r="S1538" s="34">
        <v>0.2</v>
      </c>
      <c r="T1538" s="15">
        <v>31.504000000000001</v>
      </c>
      <c r="U1538" s="18">
        <v>11.814</v>
      </c>
      <c r="V1538" s="56">
        <f>Table11[[#This Row],[Profit]]/Table11[[#This Row],[Sales]]</f>
        <v>0.375</v>
      </c>
    </row>
    <row r="1539" spans="1:22" x14ac:dyDescent="0.2">
      <c r="A1539" s="2">
        <v>1538</v>
      </c>
      <c r="B1539" s="3" t="s">
        <v>9375</v>
      </c>
      <c r="C1539" s="7">
        <v>42316</v>
      </c>
      <c r="D1539" s="28">
        <f>MONTH(Table11[[#This Row],[Order Date]])</f>
        <v>11</v>
      </c>
      <c r="E1539" s="3" t="s">
        <v>6450</v>
      </c>
      <c r="F1539" s="3" t="s">
        <v>6451</v>
      </c>
      <c r="G1539" s="25" t="s">
        <v>41</v>
      </c>
      <c r="H1539" s="25" t="s">
        <v>42</v>
      </c>
      <c r="I1539" s="3" t="s">
        <v>2725</v>
      </c>
      <c r="J1539" s="25" t="s">
        <v>36</v>
      </c>
      <c r="K1539" s="28">
        <v>1</v>
      </c>
      <c r="L1539" s="7">
        <v>42323</v>
      </c>
      <c r="M1539" s="28">
        <f>Table11[[#This Row],[Ship Date]]-Table11[[#This Row],[Order Date]]</f>
        <v>7</v>
      </c>
      <c r="N1539" s="25" t="s">
        <v>45</v>
      </c>
      <c r="O1539" s="25" t="s">
        <v>23</v>
      </c>
      <c r="P1539" s="25" t="s">
        <v>80</v>
      </c>
      <c r="Q1539" s="25" t="s">
        <v>26</v>
      </c>
      <c r="R1539" s="25" t="s">
        <v>1345</v>
      </c>
      <c r="S1539" s="35">
        <v>0.2</v>
      </c>
      <c r="T1539" s="16">
        <v>5.04</v>
      </c>
      <c r="U1539" s="19">
        <v>1.6379999999999999</v>
      </c>
      <c r="V1539" s="56">
        <f>Table11[[#This Row],[Profit]]/Table11[[#This Row],[Sales]]</f>
        <v>0.32499999999999996</v>
      </c>
    </row>
    <row r="1540" spans="1:22" x14ac:dyDescent="0.2">
      <c r="A1540" s="4">
        <v>1539</v>
      </c>
      <c r="B1540" s="5" t="s">
        <v>9375</v>
      </c>
      <c r="C1540" s="6">
        <v>42316</v>
      </c>
      <c r="D1540" s="27">
        <f>MONTH(Table11[[#This Row],[Order Date]])</f>
        <v>11</v>
      </c>
      <c r="E1540" s="5" t="s">
        <v>1420</v>
      </c>
      <c r="F1540" s="5" t="s">
        <v>1421</v>
      </c>
      <c r="G1540" s="24" t="s">
        <v>41</v>
      </c>
      <c r="H1540" s="24" t="s">
        <v>68</v>
      </c>
      <c r="I1540" s="5" t="s">
        <v>2725</v>
      </c>
      <c r="J1540" s="24" t="s">
        <v>36</v>
      </c>
      <c r="K1540" s="27">
        <v>7</v>
      </c>
      <c r="L1540" s="6">
        <v>42323</v>
      </c>
      <c r="M1540" s="27">
        <f>Table11[[#This Row],[Ship Date]]-Table11[[#This Row],[Order Date]]</f>
        <v>7</v>
      </c>
      <c r="N1540" s="24" t="s">
        <v>45</v>
      </c>
      <c r="O1540" s="24" t="s">
        <v>23</v>
      </c>
      <c r="P1540" s="24" t="s">
        <v>80</v>
      </c>
      <c r="Q1540" s="24" t="s">
        <v>26</v>
      </c>
      <c r="R1540" s="24" t="s">
        <v>1345</v>
      </c>
      <c r="S1540" s="34">
        <v>0.7</v>
      </c>
      <c r="T1540" s="15">
        <v>39.878999999999998</v>
      </c>
      <c r="U1540" s="18">
        <v>-29.244599999999998</v>
      </c>
      <c r="V1540" s="56">
        <f>Table11[[#This Row],[Profit]]/Table11[[#This Row],[Sales]]</f>
        <v>-0.73333333333333328</v>
      </c>
    </row>
    <row r="1541" spans="1:22" x14ac:dyDescent="0.2">
      <c r="A1541" s="4">
        <v>1540</v>
      </c>
      <c r="B1541" s="3" t="s">
        <v>9375</v>
      </c>
      <c r="C1541" s="7">
        <v>42316</v>
      </c>
      <c r="D1541" s="28">
        <f>MONTH(Table11[[#This Row],[Order Date]])</f>
        <v>11</v>
      </c>
      <c r="E1541" s="3" t="s">
        <v>1136</v>
      </c>
      <c r="F1541" s="3" t="s">
        <v>1137</v>
      </c>
      <c r="G1541" s="25" t="s">
        <v>28</v>
      </c>
      <c r="H1541" s="25" t="s">
        <v>58</v>
      </c>
      <c r="I1541" s="3" t="s">
        <v>2725</v>
      </c>
      <c r="J1541" s="25" t="s">
        <v>36</v>
      </c>
      <c r="K1541" s="28">
        <v>1</v>
      </c>
      <c r="L1541" s="7">
        <v>42323</v>
      </c>
      <c r="M1541" s="28">
        <f>Table11[[#This Row],[Ship Date]]-Table11[[#This Row],[Order Date]]</f>
        <v>7</v>
      </c>
      <c r="N1541" s="25" t="s">
        <v>45</v>
      </c>
      <c r="O1541" s="25" t="s">
        <v>23</v>
      </c>
      <c r="P1541" s="25" t="s">
        <v>80</v>
      </c>
      <c r="Q1541" s="25" t="s">
        <v>26</v>
      </c>
      <c r="R1541" s="25" t="s">
        <v>1345</v>
      </c>
      <c r="S1541" s="35">
        <v>0.2</v>
      </c>
      <c r="T1541" s="16">
        <v>4.7119999999999997</v>
      </c>
      <c r="U1541" s="19">
        <v>1.4136</v>
      </c>
      <c r="V1541" s="56">
        <f>Table11[[#This Row],[Profit]]/Table11[[#This Row],[Sales]]</f>
        <v>0.3</v>
      </c>
    </row>
    <row r="1542" spans="1:22" x14ac:dyDescent="0.2">
      <c r="A1542" s="2">
        <v>1541</v>
      </c>
      <c r="B1542" s="5" t="s">
        <v>10023</v>
      </c>
      <c r="C1542" s="6">
        <v>42316</v>
      </c>
      <c r="D1542" s="27">
        <f>MONTH(Table11[[#This Row],[Order Date]])</f>
        <v>11</v>
      </c>
      <c r="E1542" s="5" t="s">
        <v>148</v>
      </c>
      <c r="F1542" s="5" t="s">
        <v>149</v>
      </c>
      <c r="G1542" s="24" t="s">
        <v>28</v>
      </c>
      <c r="H1542" s="24" t="s">
        <v>29</v>
      </c>
      <c r="I1542" s="5" t="s">
        <v>3182</v>
      </c>
      <c r="J1542" s="24" t="s">
        <v>36</v>
      </c>
      <c r="K1542" s="27">
        <v>5</v>
      </c>
      <c r="L1542" s="6">
        <v>42320</v>
      </c>
      <c r="M1542" s="27">
        <f>Table11[[#This Row],[Ship Date]]-Table11[[#This Row],[Order Date]]</f>
        <v>4</v>
      </c>
      <c r="N1542" s="24" t="s">
        <v>45</v>
      </c>
      <c r="O1542" s="24" t="s">
        <v>23</v>
      </c>
      <c r="P1542" s="24" t="s">
        <v>4617</v>
      </c>
      <c r="Q1542" s="24" t="s">
        <v>133</v>
      </c>
      <c r="R1542" s="24" t="s">
        <v>1957</v>
      </c>
      <c r="S1542" s="34">
        <v>0</v>
      </c>
      <c r="T1542" s="15">
        <v>4404.8999999999996</v>
      </c>
      <c r="U1542" s="18">
        <v>1013.127</v>
      </c>
      <c r="V1542" s="56">
        <f>Table11[[#This Row],[Profit]]/Table11[[#This Row],[Sales]]</f>
        <v>0.23</v>
      </c>
    </row>
    <row r="1543" spans="1:22" x14ac:dyDescent="0.2">
      <c r="A1543" s="4">
        <v>1542</v>
      </c>
      <c r="B1543" s="3" t="s">
        <v>3655</v>
      </c>
      <c r="C1543" s="7">
        <v>42317</v>
      </c>
      <c r="D1543" s="28">
        <f>MONTH(Table11[[#This Row],[Order Date]])</f>
        <v>11</v>
      </c>
      <c r="E1543" s="3" t="s">
        <v>765</v>
      </c>
      <c r="F1543" s="3" t="s">
        <v>766</v>
      </c>
      <c r="G1543" s="25" t="s">
        <v>41</v>
      </c>
      <c r="H1543" s="25" t="s">
        <v>82</v>
      </c>
      <c r="I1543" s="3" t="s">
        <v>3656</v>
      </c>
      <c r="J1543" s="25" t="s">
        <v>22</v>
      </c>
      <c r="K1543" s="28">
        <v>3</v>
      </c>
      <c r="L1543" s="7">
        <v>42317</v>
      </c>
      <c r="M1543" s="28">
        <f>Table11[[#This Row],[Ship Date]]-Table11[[#This Row],[Order Date]]</f>
        <v>0</v>
      </c>
      <c r="N1543" s="25" t="s">
        <v>1141</v>
      </c>
      <c r="O1543" s="25" t="s">
        <v>23</v>
      </c>
      <c r="P1543" s="25" t="s">
        <v>132</v>
      </c>
      <c r="Q1543" s="25" t="s">
        <v>133</v>
      </c>
      <c r="R1543" s="25" t="s">
        <v>131</v>
      </c>
      <c r="S1543" s="35">
        <v>0.2</v>
      </c>
      <c r="T1543" s="16">
        <v>11.352</v>
      </c>
      <c r="U1543" s="19">
        <v>4.1151</v>
      </c>
      <c r="V1543" s="56">
        <f>Table11[[#This Row],[Profit]]/Table11[[#This Row],[Sales]]</f>
        <v>0.36249999999999999</v>
      </c>
    </row>
    <row r="1544" spans="1:22" x14ac:dyDescent="0.2">
      <c r="A1544" s="4">
        <v>1543</v>
      </c>
      <c r="B1544" s="5" t="s">
        <v>4301</v>
      </c>
      <c r="C1544" s="6">
        <v>42317</v>
      </c>
      <c r="D1544" s="27">
        <f>MONTH(Table11[[#This Row],[Order Date]])</f>
        <v>11</v>
      </c>
      <c r="E1544" s="5" t="s">
        <v>4302</v>
      </c>
      <c r="F1544" s="5" t="s">
        <v>4303</v>
      </c>
      <c r="G1544" s="24" t="s">
        <v>41</v>
      </c>
      <c r="H1544" s="24" t="s">
        <v>68</v>
      </c>
      <c r="I1544" s="5" t="s">
        <v>4166</v>
      </c>
      <c r="J1544" s="24" t="s">
        <v>22</v>
      </c>
      <c r="K1544" s="27">
        <v>3</v>
      </c>
      <c r="L1544" s="6">
        <v>42321</v>
      </c>
      <c r="M1544" s="27">
        <f>Table11[[#This Row],[Ship Date]]-Table11[[#This Row],[Order Date]]</f>
        <v>4</v>
      </c>
      <c r="N1544" s="24" t="s">
        <v>45</v>
      </c>
      <c r="O1544" s="24" t="s">
        <v>23</v>
      </c>
      <c r="P1544" s="24" t="s">
        <v>528</v>
      </c>
      <c r="Q1544" s="24" t="s">
        <v>95</v>
      </c>
      <c r="R1544" s="24" t="s">
        <v>284</v>
      </c>
      <c r="S1544" s="34">
        <v>0</v>
      </c>
      <c r="T1544" s="15">
        <v>17.22</v>
      </c>
      <c r="U1544" s="18">
        <v>7.9211999999999998</v>
      </c>
      <c r="V1544" s="56">
        <f>Table11[[#This Row],[Profit]]/Table11[[#This Row],[Sales]]</f>
        <v>0.46</v>
      </c>
    </row>
    <row r="1545" spans="1:22" x14ac:dyDescent="0.2">
      <c r="A1545" s="2">
        <v>1544</v>
      </c>
      <c r="B1545" s="3" t="s">
        <v>4301</v>
      </c>
      <c r="C1545" s="7">
        <v>42317</v>
      </c>
      <c r="D1545" s="28">
        <f>MONTH(Table11[[#This Row],[Order Date]])</f>
        <v>11</v>
      </c>
      <c r="E1545" s="3" t="s">
        <v>4304</v>
      </c>
      <c r="F1545" s="3" t="s">
        <v>4305</v>
      </c>
      <c r="G1545" s="25" t="s">
        <v>28</v>
      </c>
      <c r="H1545" s="25" t="s">
        <v>50</v>
      </c>
      <c r="I1545" s="3" t="s">
        <v>4166</v>
      </c>
      <c r="J1545" s="25" t="s">
        <v>22</v>
      </c>
      <c r="K1545" s="28">
        <v>7</v>
      </c>
      <c r="L1545" s="7">
        <v>42321</v>
      </c>
      <c r="M1545" s="28">
        <f>Table11[[#This Row],[Ship Date]]-Table11[[#This Row],[Order Date]]</f>
        <v>4</v>
      </c>
      <c r="N1545" s="25" t="s">
        <v>45</v>
      </c>
      <c r="O1545" s="25" t="s">
        <v>23</v>
      </c>
      <c r="P1545" s="25" t="s">
        <v>528</v>
      </c>
      <c r="Q1545" s="25" t="s">
        <v>95</v>
      </c>
      <c r="R1545" s="25" t="s">
        <v>284</v>
      </c>
      <c r="S1545" s="35">
        <v>0</v>
      </c>
      <c r="T1545" s="16">
        <v>1024.3800000000001</v>
      </c>
      <c r="U1545" s="19">
        <v>215.1198</v>
      </c>
      <c r="V1545" s="56">
        <f>Table11[[#This Row],[Profit]]/Table11[[#This Row],[Sales]]</f>
        <v>0.20999999999999996</v>
      </c>
    </row>
    <row r="1546" spans="1:22" x14ac:dyDescent="0.2">
      <c r="A1546" s="4">
        <v>1545</v>
      </c>
      <c r="B1546" s="5" t="s">
        <v>4301</v>
      </c>
      <c r="C1546" s="6">
        <v>42317</v>
      </c>
      <c r="D1546" s="27">
        <f>MONTH(Table11[[#This Row],[Order Date]])</f>
        <v>11</v>
      </c>
      <c r="E1546" s="5" t="s">
        <v>4306</v>
      </c>
      <c r="F1546" s="5" t="s">
        <v>2603</v>
      </c>
      <c r="G1546" s="24" t="s">
        <v>41</v>
      </c>
      <c r="H1546" s="24" t="s">
        <v>155</v>
      </c>
      <c r="I1546" s="5" t="s">
        <v>4166</v>
      </c>
      <c r="J1546" s="24" t="s">
        <v>22</v>
      </c>
      <c r="K1546" s="27">
        <v>3</v>
      </c>
      <c r="L1546" s="6">
        <v>42321</v>
      </c>
      <c r="M1546" s="27">
        <f>Table11[[#This Row],[Ship Date]]-Table11[[#This Row],[Order Date]]</f>
        <v>4</v>
      </c>
      <c r="N1546" s="24" t="s">
        <v>45</v>
      </c>
      <c r="O1546" s="24" t="s">
        <v>23</v>
      </c>
      <c r="P1546" s="24" t="s">
        <v>528</v>
      </c>
      <c r="Q1546" s="24" t="s">
        <v>95</v>
      </c>
      <c r="R1546" s="24" t="s">
        <v>284</v>
      </c>
      <c r="S1546" s="34">
        <v>0</v>
      </c>
      <c r="T1546" s="15">
        <v>26.22</v>
      </c>
      <c r="U1546" s="18">
        <v>12.323399999999999</v>
      </c>
      <c r="V1546" s="56">
        <f>Table11[[#This Row],[Profit]]/Table11[[#This Row],[Sales]]</f>
        <v>0.47</v>
      </c>
    </row>
    <row r="1547" spans="1:22" x14ac:dyDescent="0.2">
      <c r="A1547" s="4">
        <v>1546</v>
      </c>
      <c r="B1547" s="3" t="s">
        <v>4301</v>
      </c>
      <c r="C1547" s="7">
        <v>42317</v>
      </c>
      <c r="D1547" s="28">
        <f>MONTH(Table11[[#This Row],[Order Date]])</f>
        <v>11</v>
      </c>
      <c r="E1547" s="3" t="s">
        <v>4307</v>
      </c>
      <c r="F1547" s="3" t="s">
        <v>4308</v>
      </c>
      <c r="G1547" s="25" t="s">
        <v>41</v>
      </c>
      <c r="H1547" s="25" t="s">
        <v>82</v>
      </c>
      <c r="I1547" s="3" t="s">
        <v>4166</v>
      </c>
      <c r="J1547" s="25" t="s">
        <v>22</v>
      </c>
      <c r="K1547" s="28">
        <v>3</v>
      </c>
      <c r="L1547" s="7">
        <v>42321</v>
      </c>
      <c r="M1547" s="28">
        <f>Table11[[#This Row],[Ship Date]]-Table11[[#This Row],[Order Date]]</f>
        <v>4</v>
      </c>
      <c r="N1547" s="25" t="s">
        <v>45</v>
      </c>
      <c r="O1547" s="25" t="s">
        <v>23</v>
      </c>
      <c r="P1547" s="25" t="s">
        <v>528</v>
      </c>
      <c r="Q1547" s="25" t="s">
        <v>95</v>
      </c>
      <c r="R1547" s="25" t="s">
        <v>284</v>
      </c>
      <c r="S1547" s="35">
        <v>0</v>
      </c>
      <c r="T1547" s="16">
        <v>17.34</v>
      </c>
      <c r="U1547" s="19">
        <v>8.4966000000000008</v>
      </c>
      <c r="V1547" s="56">
        <f>Table11[[#This Row],[Profit]]/Table11[[#This Row],[Sales]]</f>
        <v>0.49000000000000005</v>
      </c>
    </row>
    <row r="1548" spans="1:22" x14ac:dyDescent="0.2">
      <c r="A1548" s="2">
        <v>1547</v>
      </c>
      <c r="B1548" s="5" t="s">
        <v>7179</v>
      </c>
      <c r="C1548" s="6">
        <v>42317</v>
      </c>
      <c r="D1548" s="27">
        <f>MONTH(Table11[[#This Row],[Order Date]])</f>
        <v>11</v>
      </c>
      <c r="E1548" s="5" t="s">
        <v>7180</v>
      </c>
      <c r="F1548" s="5" t="s">
        <v>7181</v>
      </c>
      <c r="G1548" s="24" t="s">
        <v>64</v>
      </c>
      <c r="H1548" s="24" t="s">
        <v>602</v>
      </c>
      <c r="I1548" s="5" t="s">
        <v>5277</v>
      </c>
      <c r="J1548" s="24" t="s">
        <v>92</v>
      </c>
      <c r="K1548" s="27">
        <v>2</v>
      </c>
      <c r="L1548" s="6">
        <v>42322</v>
      </c>
      <c r="M1548" s="27">
        <f>Table11[[#This Row],[Ship Date]]-Table11[[#This Row],[Order Date]]</f>
        <v>5</v>
      </c>
      <c r="N1548" s="24" t="s">
        <v>45</v>
      </c>
      <c r="O1548" s="24" t="s">
        <v>23</v>
      </c>
      <c r="P1548" s="24" t="s">
        <v>238</v>
      </c>
      <c r="Q1548" s="24" t="s">
        <v>133</v>
      </c>
      <c r="R1548" s="24" t="s">
        <v>237</v>
      </c>
      <c r="S1548" s="34">
        <v>0</v>
      </c>
      <c r="T1548" s="15">
        <v>2321.9</v>
      </c>
      <c r="U1548" s="18">
        <v>1114.5119999999999</v>
      </c>
      <c r="V1548" s="56">
        <f>Table11[[#This Row],[Profit]]/Table11[[#This Row],[Sales]]</f>
        <v>0.48</v>
      </c>
    </row>
    <row r="1549" spans="1:22" x14ac:dyDescent="0.2">
      <c r="A1549" s="4">
        <v>1548</v>
      </c>
      <c r="B1549" s="3" t="s">
        <v>7179</v>
      </c>
      <c r="C1549" s="7">
        <v>42317</v>
      </c>
      <c r="D1549" s="28">
        <f>MONTH(Table11[[#This Row],[Order Date]])</f>
        <v>11</v>
      </c>
      <c r="E1549" s="3" t="s">
        <v>4253</v>
      </c>
      <c r="F1549" s="3" t="s">
        <v>4254</v>
      </c>
      <c r="G1549" s="25" t="s">
        <v>41</v>
      </c>
      <c r="H1549" s="25" t="s">
        <v>53</v>
      </c>
      <c r="I1549" s="3" t="s">
        <v>5277</v>
      </c>
      <c r="J1549" s="25" t="s">
        <v>92</v>
      </c>
      <c r="K1549" s="28">
        <v>3</v>
      </c>
      <c r="L1549" s="7">
        <v>42322</v>
      </c>
      <c r="M1549" s="28">
        <f>Table11[[#This Row],[Ship Date]]-Table11[[#This Row],[Order Date]]</f>
        <v>5</v>
      </c>
      <c r="N1549" s="25" t="s">
        <v>45</v>
      </c>
      <c r="O1549" s="25" t="s">
        <v>23</v>
      </c>
      <c r="P1549" s="25" t="s">
        <v>238</v>
      </c>
      <c r="Q1549" s="25" t="s">
        <v>133</v>
      </c>
      <c r="R1549" s="25" t="s">
        <v>237</v>
      </c>
      <c r="S1549" s="35">
        <v>0</v>
      </c>
      <c r="T1549" s="16">
        <v>17.940000000000001</v>
      </c>
      <c r="U1549" s="19">
        <v>3.0497999999999998</v>
      </c>
      <c r="V1549" s="56">
        <f>Table11[[#This Row],[Profit]]/Table11[[#This Row],[Sales]]</f>
        <v>0.16999999999999998</v>
      </c>
    </row>
    <row r="1550" spans="1:22" x14ac:dyDescent="0.2">
      <c r="A1550" s="4">
        <v>1549</v>
      </c>
      <c r="B1550" s="5" t="s">
        <v>7401</v>
      </c>
      <c r="C1550" s="6">
        <v>42317</v>
      </c>
      <c r="D1550" s="27">
        <f>MONTH(Table11[[#This Row],[Order Date]])</f>
        <v>11</v>
      </c>
      <c r="E1550" s="5" t="s">
        <v>4124</v>
      </c>
      <c r="F1550" s="5" t="s">
        <v>4125</v>
      </c>
      <c r="G1550" s="24" t="s">
        <v>41</v>
      </c>
      <c r="H1550" s="24" t="s">
        <v>53</v>
      </c>
      <c r="I1550" s="5" t="s">
        <v>1733</v>
      </c>
      <c r="J1550" s="24" t="s">
        <v>22</v>
      </c>
      <c r="K1550" s="27">
        <v>5</v>
      </c>
      <c r="L1550" s="6">
        <v>42322</v>
      </c>
      <c r="M1550" s="27">
        <f>Table11[[#This Row],[Ship Date]]-Table11[[#This Row],[Order Date]]</f>
        <v>5</v>
      </c>
      <c r="N1550" s="24" t="s">
        <v>20</v>
      </c>
      <c r="O1550" s="24" t="s">
        <v>23</v>
      </c>
      <c r="P1550" s="24" t="s">
        <v>238</v>
      </c>
      <c r="Q1550" s="24" t="s">
        <v>133</v>
      </c>
      <c r="R1550" s="24" t="s">
        <v>2061</v>
      </c>
      <c r="S1550" s="34">
        <v>0</v>
      </c>
      <c r="T1550" s="15">
        <v>244.55</v>
      </c>
      <c r="U1550" s="18">
        <v>4.891</v>
      </c>
      <c r="V1550" s="56">
        <f>Table11[[#This Row],[Profit]]/Table11[[#This Row],[Sales]]</f>
        <v>0.02</v>
      </c>
    </row>
    <row r="1551" spans="1:22" x14ac:dyDescent="0.2">
      <c r="A1551" s="2">
        <v>1550</v>
      </c>
      <c r="B1551" s="3" t="s">
        <v>7401</v>
      </c>
      <c r="C1551" s="7">
        <v>42317</v>
      </c>
      <c r="D1551" s="28">
        <f>MONTH(Table11[[#This Row],[Order Date]])</f>
        <v>11</v>
      </c>
      <c r="E1551" s="3" t="s">
        <v>154</v>
      </c>
      <c r="F1551" s="3" t="s">
        <v>156</v>
      </c>
      <c r="G1551" s="25" t="s">
        <v>41</v>
      </c>
      <c r="H1551" s="25" t="s">
        <v>155</v>
      </c>
      <c r="I1551" s="3" t="s">
        <v>1733</v>
      </c>
      <c r="J1551" s="25" t="s">
        <v>22</v>
      </c>
      <c r="K1551" s="28">
        <v>6</v>
      </c>
      <c r="L1551" s="7">
        <v>42322</v>
      </c>
      <c r="M1551" s="28">
        <f>Table11[[#This Row],[Ship Date]]-Table11[[#This Row],[Order Date]]</f>
        <v>5</v>
      </c>
      <c r="N1551" s="25" t="s">
        <v>20</v>
      </c>
      <c r="O1551" s="25" t="s">
        <v>23</v>
      </c>
      <c r="P1551" s="25" t="s">
        <v>238</v>
      </c>
      <c r="Q1551" s="25" t="s">
        <v>133</v>
      </c>
      <c r="R1551" s="25" t="s">
        <v>2061</v>
      </c>
      <c r="S1551" s="35">
        <v>0</v>
      </c>
      <c r="T1551" s="16">
        <v>12.24</v>
      </c>
      <c r="U1551" s="19">
        <v>5.7527999999999997</v>
      </c>
      <c r="V1551" s="56">
        <f>Table11[[#This Row],[Profit]]/Table11[[#This Row],[Sales]]</f>
        <v>0.47</v>
      </c>
    </row>
    <row r="1552" spans="1:22" x14ac:dyDescent="0.2">
      <c r="A1552" s="4">
        <v>1551</v>
      </c>
      <c r="B1552" s="5" t="s">
        <v>7401</v>
      </c>
      <c r="C1552" s="6">
        <v>42317</v>
      </c>
      <c r="D1552" s="27">
        <f>MONTH(Table11[[#This Row],[Order Date]])</f>
        <v>11</v>
      </c>
      <c r="E1552" s="5" t="s">
        <v>6997</v>
      </c>
      <c r="F1552" s="5" t="s">
        <v>6998</v>
      </c>
      <c r="G1552" s="24" t="s">
        <v>64</v>
      </c>
      <c r="H1552" s="24" t="s">
        <v>144</v>
      </c>
      <c r="I1552" s="5" t="s">
        <v>1733</v>
      </c>
      <c r="J1552" s="24" t="s">
        <v>22</v>
      </c>
      <c r="K1552" s="27">
        <v>2</v>
      </c>
      <c r="L1552" s="6">
        <v>42322</v>
      </c>
      <c r="M1552" s="27">
        <f>Table11[[#This Row],[Ship Date]]-Table11[[#This Row],[Order Date]]</f>
        <v>5</v>
      </c>
      <c r="N1552" s="24" t="s">
        <v>20</v>
      </c>
      <c r="O1552" s="24" t="s">
        <v>23</v>
      </c>
      <c r="P1552" s="24" t="s">
        <v>238</v>
      </c>
      <c r="Q1552" s="24" t="s">
        <v>133</v>
      </c>
      <c r="R1552" s="24" t="s">
        <v>2061</v>
      </c>
      <c r="S1552" s="34">
        <v>0</v>
      </c>
      <c r="T1552" s="15">
        <v>13.98</v>
      </c>
      <c r="U1552" s="18">
        <v>6.0114000000000001</v>
      </c>
      <c r="V1552" s="56">
        <f>Table11[[#This Row],[Profit]]/Table11[[#This Row],[Sales]]</f>
        <v>0.43</v>
      </c>
    </row>
    <row r="1553" spans="1:22" x14ac:dyDescent="0.2">
      <c r="A1553" s="4">
        <v>1552</v>
      </c>
      <c r="B1553" s="3" t="s">
        <v>7401</v>
      </c>
      <c r="C1553" s="7">
        <v>42317</v>
      </c>
      <c r="D1553" s="28">
        <f>MONTH(Table11[[#This Row],[Order Date]])</f>
        <v>11</v>
      </c>
      <c r="E1553" s="3" t="s">
        <v>4832</v>
      </c>
      <c r="F1553" s="3" t="s">
        <v>4833</v>
      </c>
      <c r="G1553" s="25" t="s">
        <v>64</v>
      </c>
      <c r="H1553" s="25" t="s">
        <v>144</v>
      </c>
      <c r="I1553" s="3" t="s">
        <v>1733</v>
      </c>
      <c r="J1553" s="25" t="s">
        <v>22</v>
      </c>
      <c r="K1553" s="28">
        <v>5</v>
      </c>
      <c r="L1553" s="7">
        <v>42322</v>
      </c>
      <c r="M1553" s="28">
        <f>Table11[[#This Row],[Ship Date]]-Table11[[#This Row],[Order Date]]</f>
        <v>5</v>
      </c>
      <c r="N1553" s="25" t="s">
        <v>20</v>
      </c>
      <c r="O1553" s="25" t="s">
        <v>23</v>
      </c>
      <c r="P1553" s="25" t="s">
        <v>238</v>
      </c>
      <c r="Q1553" s="25" t="s">
        <v>133</v>
      </c>
      <c r="R1553" s="25" t="s">
        <v>2061</v>
      </c>
      <c r="S1553" s="35">
        <v>0</v>
      </c>
      <c r="T1553" s="16">
        <v>899.95</v>
      </c>
      <c r="U1553" s="19">
        <v>53.997</v>
      </c>
      <c r="V1553" s="56">
        <f>Table11[[#This Row],[Profit]]/Table11[[#This Row],[Sales]]</f>
        <v>0.06</v>
      </c>
    </row>
    <row r="1554" spans="1:22" x14ac:dyDescent="0.2">
      <c r="A1554" s="2">
        <v>1553</v>
      </c>
      <c r="B1554" s="5" t="s">
        <v>8423</v>
      </c>
      <c r="C1554" s="6">
        <v>42317</v>
      </c>
      <c r="D1554" s="27">
        <f>MONTH(Table11[[#This Row],[Order Date]])</f>
        <v>11</v>
      </c>
      <c r="E1554" s="5" t="s">
        <v>1087</v>
      </c>
      <c r="F1554" s="5" t="s">
        <v>1088</v>
      </c>
      <c r="G1554" s="24" t="s">
        <v>41</v>
      </c>
      <c r="H1554" s="24" t="s">
        <v>240</v>
      </c>
      <c r="I1554" s="5" t="s">
        <v>1982</v>
      </c>
      <c r="J1554" s="24" t="s">
        <v>92</v>
      </c>
      <c r="K1554" s="27">
        <v>2</v>
      </c>
      <c r="L1554" s="6">
        <v>42321</v>
      </c>
      <c r="M1554" s="27">
        <f>Table11[[#This Row],[Ship Date]]-Table11[[#This Row],[Order Date]]</f>
        <v>4</v>
      </c>
      <c r="N1554" s="24" t="s">
        <v>45</v>
      </c>
      <c r="O1554" s="24" t="s">
        <v>23</v>
      </c>
      <c r="P1554" s="24" t="s">
        <v>38</v>
      </c>
      <c r="Q1554" s="24" t="s">
        <v>39</v>
      </c>
      <c r="R1554" s="24" t="s">
        <v>501</v>
      </c>
      <c r="S1554" s="34">
        <v>0</v>
      </c>
      <c r="T1554" s="15">
        <v>2.48</v>
      </c>
      <c r="U1554" s="18">
        <v>1.1656</v>
      </c>
      <c r="V1554" s="56">
        <f>Table11[[#This Row],[Profit]]/Table11[[#This Row],[Sales]]</f>
        <v>0.47</v>
      </c>
    </row>
    <row r="1555" spans="1:22" x14ac:dyDescent="0.2">
      <c r="A1555" s="4">
        <v>1554</v>
      </c>
      <c r="B1555" s="3" t="s">
        <v>9430</v>
      </c>
      <c r="C1555" s="7">
        <v>42317</v>
      </c>
      <c r="D1555" s="28">
        <f>MONTH(Table11[[#This Row],[Order Date]])</f>
        <v>11</v>
      </c>
      <c r="E1555" s="3" t="s">
        <v>661</v>
      </c>
      <c r="F1555" s="3" t="s">
        <v>662</v>
      </c>
      <c r="G1555" s="25" t="s">
        <v>41</v>
      </c>
      <c r="H1555" s="25" t="s">
        <v>68</v>
      </c>
      <c r="I1555" s="3" t="s">
        <v>2385</v>
      </c>
      <c r="J1555" s="25" t="s">
        <v>92</v>
      </c>
      <c r="K1555" s="28">
        <v>3</v>
      </c>
      <c r="L1555" s="7">
        <v>42317</v>
      </c>
      <c r="M1555" s="28">
        <f>Table11[[#This Row],[Ship Date]]-Table11[[#This Row],[Order Date]]</f>
        <v>0</v>
      </c>
      <c r="N1555" s="25" t="s">
        <v>1141</v>
      </c>
      <c r="O1555" s="25" t="s">
        <v>23</v>
      </c>
      <c r="P1555" s="25" t="s">
        <v>226</v>
      </c>
      <c r="Q1555" s="25" t="s">
        <v>95</v>
      </c>
      <c r="R1555" s="25" t="s">
        <v>1308</v>
      </c>
      <c r="S1555" s="35">
        <v>0</v>
      </c>
      <c r="T1555" s="16">
        <v>10.74</v>
      </c>
      <c r="U1555" s="19">
        <v>5.1551999999999998</v>
      </c>
      <c r="V1555" s="56">
        <f>Table11[[#This Row],[Profit]]/Table11[[#This Row],[Sales]]</f>
        <v>0.48</v>
      </c>
    </row>
    <row r="1556" spans="1:22" x14ac:dyDescent="0.2">
      <c r="A1556" s="4">
        <v>1555</v>
      </c>
      <c r="B1556" s="5" t="s">
        <v>871</v>
      </c>
      <c r="C1556" s="6">
        <v>42318</v>
      </c>
      <c r="D1556" s="27">
        <f>MONTH(Table11[[#This Row],[Order Date]])</f>
        <v>11</v>
      </c>
      <c r="E1556" s="5" t="s">
        <v>874</v>
      </c>
      <c r="F1556" s="5" t="s">
        <v>875</v>
      </c>
      <c r="G1556" s="24" t="s">
        <v>64</v>
      </c>
      <c r="H1556" s="24" t="s">
        <v>144</v>
      </c>
      <c r="I1556" s="5" t="s">
        <v>872</v>
      </c>
      <c r="J1556" s="24" t="s">
        <v>22</v>
      </c>
      <c r="K1556" s="27">
        <v>2</v>
      </c>
      <c r="L1556" s="6">
        <v>42323</v>
      </c>
      <c r="M1556" s="27">
        <f>Table11[[#This Row],[Ship Date]]-Table11[[#This Row],[Order Date]]</f>
        <v>5</v>
      </c>
      <c r="N1556" s="24" t="s">
        <v>45</v>
      </c>
      <c r="O1556" s="24" t="s">
        <v>23</v>
      </c>
      <c r="P1556" s="24" t="s">
        <v>38</v>
      </c>
      <c r="Q1556" s="24" t="s">
        <v>39</v>
      </c>
      <c r="R1556" s="24" t="s">
        <v>873</v>
      </c>
      <c r="S1556" s="34">
        <v>0</v>
      </c>
      <c r="T1556" s="15">
        <v>79.900000000000006</v>
      </c>
      <c r="U1556" s="18">
        <v>35.155999999999999</v>
      </c>
      <c r="V1556" s="56">
        <f>Table11[[#This Row],[Profit]]/Table11[[#This Row],[Sales]]</f>
        <v>0.43999999999999995</v>
      </c>
    </row>
    <row r="1557" spans="1:22" x14ac:dyDescent="0.2">
      <c r="A1557" s="2">
        <v>1556</v>
      </c>
      <c r="B1557" s="3" t="s">
        <v>7178</v>
      </c>
      <c r="C1557" s="7">
        <v>42318</v>
      </c>
      <c r="D1557" s="28">
        <f>MONTH(Table11[[#This Row],[Order Date]])</f>
        <v>11</v>
      </c>
      <c r="E1557" s="3" t="s">
        <v>1341</v>
      </c>
      <c r="F1557" s="3" t="s">
        <v>1342</v>
      </c>
      <c r="G1557" s="25" t="s">
        <v>41</v>
      </c>
      <c r="H1557" s="25" t="s">
        <v>53</v>
      </c>
      <c r="I1557" s="3" t="s">
        <v>2049</v>
      </c>
      <c r="J1557" s="25" t="s">
        <v>36</v>
      </c>
      <c r="K1557" s="28">
        <v>5</v>
      </c>
      <c r="L1557" s="7">
        <v>42322</v>
      </c>
      <c r="M1557" s="28">
        <f>Table11[[#This Row],[Ship Date]]-Table11[[#This Row],[Order Date]]</f>
        <v>4</v>
      </c>
      <c r="N1557" s="25" t="s">
        <v>20</v>
      </c>
      <c r="O1557" s="25" t="s">
        <v>23</v>
      </c>
      <c r="P1557" s="25" t="s">
        <v>226</v>
      </c>
      <c r="Q1557" s="25" t="s">
        <v>95</v>
      </c>
      <c r="R1557" s="25" t="s">
        <v>1294</v>
      </c>
      <c r="S1557" s="35">
        <v>0</v>
      </c>
      <c r="T1557" s="16">
        <v>714.3</v>
      </c>
      <c r="U1557" s="19">
        <v>207.14699999999999</v>
      </c>
      <c r="V1557" s="56">
        <f>Table11[[#This Row],[Profit]]/Table11[[#This Row],[Sales]]</f>
        <v>0.28999999999999998</v>
      </c>
    </row>
    <row r="1558" spans="1:22" x14ac:dyDescent="0.2">
      <c r="A1558" s="4">
        <v>1557</v>
      </c>
      <c r="B1558" s="5" t="s">
        <v>7762</v>
      </c>
      <c r="C1558" s="6">
        <v>42318</v>
      </c>
      <c r="D1558" s="27">
        <f>MONTH(Table11[[#This Row],[Order Date]])</f>
        <v>11</v>
      </c>
      <c r="E1558" s="5" t="s">
        <v>2913</v>
      </c>
      <c r="F1558" s="5" t="s">
        <v>2914</v>
      </c>
      <c r="G1558" s="24" t="s">
        <v>41</v>
      </c>
      <c r="H1558" s="24" t="s">
        <v>71</v>
      </c>
      <c r="I1558" s="5" t="s">
        <v>1351</v>
      </c>
      <c r="J1558" s="24" t="s">
        <v>92</v>
      </c>
      <c r="K1558" s="27">
        <v>2</v>
      </c>
      <c r="L1558" s="6">
        <v>42322</v>
      </c>
      <c r="M1558" s="27">
        <f>Table11[[#This Row],[Ship Date]]-Table11[[#This Row],[Order Date]]</f>
        <v>4</v>
      </c>
      <c r="N1558" s="24" t="s">
        <v>45</v>
      </c>
      <c r="O1558" s="24" t="s">
        <v>23</v>
      </c>
      <c r="P1558" s="24" t="s">
        <v>204</v>
      </c>
      <c r="Q1558" s="24" t="s">
        <v>95</v>
      </c>
      <c r="R1558" s="24" t="s">
        <v>501</v>
      </c>
      <c r="S1558" s="34">
        <v>0</v>
      </c>
      <c r="T1558" s="15">
        <v>715.64</v>
      </c>
      <c r="U1558" s="18">
        <v>178.91</v>
      </c>
      <c r="V1558" s="56">
        <f>Table11[[#This Row],[Profit]]/Table11[[#This Row],[Sales]]</f>
        <v>0.25</v>
      </c>
    </row>
    <row r="1559" spans="1:22" x14ac:dyDescent="0.2">
      <c r="A1559" s="4">
        <v>1558</v>
      </c>
      <c r="B1559" s="3" t="s">
        <v>7762</v>
      </c>
      <c r="C1559" s="7">
        <v>42318</v>
      </c>
      <c r="D1559" s="28">
        <f>MONTH(Table11[[#This Row],[Order Date]])</f>
        <v>11</v>
      </c>
      <c r="E1559" s="3" t="s">
        <v>4435</v>
      </c>
      <c r="F1559" s="3" t="s">
        <v>4436</v>
      </c>
      <c r="G1559" s="25" t="s">
        <v>41</v>
      </c>
      <c r="H1559" s="25" t="s">
        <v>53</v>
      </c>
      <c r="I1559" s="3" t="s">
        <v>1351</v>
      </c>
      <c r="J1559" s="25" t="s">
        <v>92</v>
      </c>
      <c r="K1559" s="28">
        <v>3</v>
      </c>
      <c r="L1559" s="7">
        <v>42322</v>
      </c>
      <c r="M1559" s="28">
        <f>Table11[[#This Row],[Ship Date]]-Table11[[#This Row],[Order Date]]</f>
        <v>4</v>
      </c>
      <c r="N1559" s="25" t="s">
        <v>45</v>
      </c>
      <c r="O1559" s="25" t="s">
        <v>23</v>
      </c>
      <c r="P1559" s="25" t="s">
        <v>204</v>
      </c>
      <c r="Q1559" s="25" t="s">
        <v>95</v>
      </c>
      <c r="R1559" s="25" t="s">
        <v>501</v>
      </c>
      <c r="S1559" s="35">
        <v>0</v>
      </c>
      <c r="T1559" s="16">
        <v>795.51</v>
      </c>
      <c r="U1559" s="19">
        <v>143.1918</v>
      </c>
      <c r="V1559" s="56">
        <f>Table11[[#This Row],[Profit]]/Table11[[#This Row],[Sales]]</f>
        <v>0.18</v>
      </c>
    </row>
    <row r="1560" spans="1:22" x14ac:dyDescent="0.2">
      <c r="A1560" s="2">
        <v>1559</v>
      </c>
      <c r="B1560" s="5" t="s">
        <v>7762</v>
      </c>
      <c r="C1560" s="6">
        <v>42318</v>
      </c>
      <c r="D1560" s="27">
        <f>MONTH(Table11[[#This Row],[Order Date]])</f>
        <v>11</v>
      </c>
      <c r="E1560" s="5" t="s">
        <v>6142</v>
      </c>
      <c r="F1560" s="5" t="s">
        <v>6143</v>
      </c>
      <c r="G1560" s="24" t="s">
        <v>64</v>
      </c>
      <c r="H1560" s="24" t="s">
        <v>1075</v>
      </c>
      <c r="I1560" s="5" t="s">
        <v>1351</v>
      </c>
      <c r="J1560" s="24" t="s">
        <v>92</v>
      </c>
      <c r="K1560" s="27">
        <v>1</v>
      </c>
      <c r="L1560" s="6">
        <v>42322</v>
      </c>
      <c r="M1560" s="27">
        <f>Table11[[#This Row],[Ship Date]]-Table11[[#This Row],[Order Date]]</f>
        <v>4</v>
      </c>
      <c r="N1560" s="24" t="s">
        <v>45</v>
      </c>
      <c r="O1560" s="24" t="s">
        <v>23</v>
      </c>
      <c r="P1560" s="24" t="s">
        <v>204</v>
      </c>
      <c r="Q1560" s="24" t="s">
        <v>95</v>
      </c>
      <c r="R1560" s="24" t="s">
        <v>501</v>
      </c>
      <c r="S1560" s="34">
        <v>0</v>
      </c>
      <c r="T1560" s="15">
        <v>549.99</v>
      </c>
      <c r="U1560" s="18">
        <v>274.995</v>
      </c>
      <c r="V1560" s="56">
        <f>Table11[[#This Row],[Profit]]/Table11[[#This Row],[Sales]]</f>
        <v>0.5</v>
      </c>
    </row>
    <row r="1561" spans="1:22" x14ac:dyDescent="0.2">
      <c r="A1561" s="4">
        <v>1560</v>
      </c>
      <c r="B1561" s="3" t="s">
        <v>7762</v>
      </c>
      <c r="C1561" s="7">
        <v>42318</v>
      </c>
      <c r="D1561" s="28">
        <f>MONTH(Table11[[#This Row],[Order Date]])</f>
        <v>11</v>
      </c>
      <c r="E1561" s="3" t="s">
        <v>1526</v>
      </c>
      <c r="F1561" s="3" t="s">
        <v>1527</v>
      </c>
      <c r="G1561" s="25" t="s">
        <v>41</v>
      </c>
      <c r="H1561" s="25" t="s">
        <v>68</v>
      </c>
      <c r="I1561" s="3" t="s">
        <v>1351</v>
      </c>
      <c r="J1561" s="25" t="s">
        <v>92</v>
      </c>
      <c r="K1561" s="28">
        <v>3</v>
      </c>
      <c r="L1561" s="7">
        <v>42322</v>
      </c>
      <c r="M1561" s="28">
        <f>Table11[[#This Row],[Ship Date]]-Table11[[#This Row],[Order Date]]</f>
        <v>4</v>
      </c>
      <c r="N1561" s="25" t="s">
        <v>45</v>
      </c>
      <c r="O1561" s="25" t="s">
        <v>23</v>
      </c>
      <c r="P1561" s="25" t="s">
        <v>204</v>
      </c>
      <c r="Q1561" s="25" t="s">
        <v>95</v>
      </c>
      <c r="R1561" s="25" t="s">
        <v>501</v>
      </c>
      <c r="S1561" s="35">
        <v>0</v>
      </c>
      <c r="T1561" s="16">
        <v>74.760000000000005</v>
      </c>
      <c r="U1561" s="19">
        <v>34.389600000000002</v>
      </c>
      <c r="V1561" s="56">
        <f>Table11[[#This Row],[Profit]]/Table11[[#This Row],[Sales]]</f>
        <v>0.45999999999999996</v>
      </c>
    </row>
    <row r="1562" spans="1:22" x14ac:dyDescent="0.2">
      <c r="A1562" s="4">
        <v>1561</v>
      </c>
      <c r="B1562" s="5" t="s">
        <v>7762</v>
      </c>
      <c r="C1562" s="6">
        <v>42318</v>
      </c>
      <c r="D1562" s="27">
        <f>MONTH(Table11[[#This Row],[Order Date]])</f>
        <v>11</v>
      </c>
      <c r="E1562" s="5" t="s">
        <v>813</v>
      </c>
      <c r="F1562" s="5" t="s">
        <v>814</v>
      </c>
      <c r="G1562" s="24" t="s">
        <v>28</v>
      </c>
      <c r="H1562" s="24" t="s">
        <v>58</v>
      </c>
      <c r="I1562" s="5" t="s">
        <v>1351</v>
      </c>
      <c r="J1562" s="24" t="s">
        <v>92</v>
      </c>
      <c r="K1562" s="27">
        <v>3</v>
      </c>
      <c r="L1562" s="6">
        <v>42322</v>
      </c>
      <c r="M1562" s="27">
        <f>Table11[[#This Row],[Ship Date]]-Table11[[#This Row],[Order Date]]</f>
        <v>4</v>
      </c>
      <c r="N1562" s="24" t="s">
        <v>45</v>
      </c>
      <c r="O1562" s="24" t="s">
        <v>23</v>
      </c>
      <c r="P1562" s="24" t="s">
        <v>204</v>
      </c>
      <c r="Q1562" s="24" t="s">
        <v>95</v>
      </c>
      <c r="R1562" s="24" t="s">
        <v>501</v>
      </c>
      <c r="S1562" s="34">
        <v>0</v>
      </c>
      <c r="T1562" s="15">
        <v>29.22</v>
      </c>
      <c r="U1562" s="18">
        <v>12.8568</v>
      </c>
      <c r="V1562" s="56">
        <f>Table11[[#This Row],[Profit]]/Table11[[#This Row],[Sales]]</f>
        <v>0.44</v>
      </c>
    </row>
    <row r="1563" spans="1:22" x14ac:dyDescent="0.2">
      <c r="A1563" s="2">
        <v>1562</v>
      </c>
      <c r="B1563" s="3" t="s">
        <v>9907</v>
      </c>
      <c r="C1563" s="7">
        <v>42318</v>
      </c>
      <c r="D1563" s="28">
        <f>MONTH(Table11[[#This Row],[Order Date]])</f>
        <v>11</v>
      </c>
      <c r="E1563" s="3" t="s">
        <v>2668</v>
      </c>
      <c r="F1563" s="3" t="s">
        <v>2669</v>
      </c>
      <c r="G1563" s="25" t="s">
        <v>41</v>
      </c>
      <c r="H1563" s="25" t="s">
        <v>53</v>
      </c>
      <c r="I1563" s="3" t="s">
        <v>5991</v>
      </c>
      <c r="J1563" s="25" t="s">
        <v>22</v>
      </c>
      <c r="K1563" s="28">
        <v>6</v>
      </c>
      <c r="L1563" s="7">
        <v>42322</v>
      </c>
      <c r="M1563" s="28">
        <f>Table11[[#This Row],[Ship Date]]-Table11[[#This Row],[Order Date]]</f>
        <v>4</v>
      </c>
      <c r="N1563" s="25" t="s">
        <v>45</v>
      </c>
      <c r="O1563" s="25" t="s">
        <v>23</v>
      </c>
      <c r="P1563" s="25" t="s">
        <v>132</v>
      </c>
      <c r="Q1563" s="25" t="s">
        <v>133</v>
      </c>
      <c r="R1563" s="25" t="s">
        <v>131</v>
      </c>
      <c r="S1563" s="35">
        <v>0.2</v>
      </c>
      <c r="T1563" s="16">
        <v>577.58399999999995</v>
      </c>
      <c r="U1563" s="19">
        <v>43.318800000000003</v>
      </c>
      <c r="V1563" s="56">
        <f>Table11[[#This Row],[Profit]]/Table11[[#This Row],[Sales]]</f>
        <v>7.5000000000000011E-2</v>
      </c>
    </row>
    <row r="1564" spans="1:22" x14ac:dyDescent="0.2">
      <c r="A1564" s="4">
        <v>1563</v>
      </c>
      <c r="B1564" s="5" t="s">
        <v>9761</v>
      </c>
      <c r="C1564" s="6">
        <v>42319</v>
      </c>
      <c r="D1564" s="27">
        <f>MONTH(Table11[[#This Row],[Order Date]])</f>
        <v>11</v>
      </c>
      <c r="E1564" s="5" t="s">
        <v>199</v>
      </c>
      <c r="F1564" s="5" t="s">
        <v>200</v>
      </c>
      <c r="G1564" s="24" t="s">
        <v>41</v>
      </c>
      <c r="H1564" s="24" t="s">
        <v>53</v>
      </c>
      <c r="I1564" s="5" t="s">
        <v>911</v>
      </c>
      <c r="J1564" s="24" t="s">
        <v>36</v>
      </c>
      <c r="K1564" s="27">
        <v>7</v>
      </c>
      <c r="L1564" s="6">
        <v>42319</v>
      </c>
      <c r="M1564" s="27">
        <f>Table11[[#This Row],[Ship Date]]-Table11[[#This Row],[Order Date]]</f>
        <v>0</v>
      </c>
      <c r="N1564" s="24" t="s">
        <v>1141</v>
      </c>
      <c r="O1564" s="24" t="s">
        <v>23</v>
      </c>
      <c r="P1564" s="24" t="s">
        <v>212</v>
      </c>
      <c r="Q1564" s="24" t="s">
        <v>95</v>
      </c>
      <c r="R1564" s="24" t="s">
        <v>775</v>
      </c>
      <c r="S1564" s="34">
        <v>0</v>
      </c>
      <c r="T1564" s="15">
        <v>418.32</v>
      </c>
      <c r="U1564" s="18">
        <v>117.1296</v>
      </c>
      <c r="V1564" s="56">
        <f>Table11[[#This Row],[Profit]]/Table11[[#This Row],[Sales]]</f>
        <v>0.27999999999999997</v>
      </c>
    </row>
    <row r="1565" spans="1:22" x14ac:dyDescent="0.2">
      <c r="A1565" s="4">
        <v>1564</v>
      </c>
      <c r="B1565" s="3" t="s">
        <v>9761</v>
      </c>
      <c r="C1565" s="7">
        <v>42319</v>
      </c>
      <c r="D1565" s="28">
        <f>MONTH(Table11[[#This Row],[Order Date]])</f>
        <v>11</v>
      </c>
      <c r="E1565" s="3" t="s">
        <v>96</v>
      </c>
      <c r="F1565" s="3" t="s">
        <v>97</v>
      </c>
      <c r="G1565" s="25" t="s">
        <v>41</v>
      </c>
      <c r="H1565" s="25" t="s">
        <v>71</v>
      </c>
      <c r="I1565" s="3" t="s">
        <v>911</v>
      </c>
      <c r="J1565" s="25" t="s">
        <v>36</v>
      </c>
      <c r="K1565" s="28">
        <v>2</v>
      </c>
      <c r="L1565" s="7">
        <v>42319</v>
      </c>
      <c r="M1565" s="28">
        <f>Table11[[#This Row],[Ship Date]]-Table11[[#This Row],[Order Date]]</f>
        <v>0</v>
      </c>
      <c r="N1565" s="25" t="s">
        <v>1141</v>
      </c>
      <c r="O1565" s="25" t="s">
        <v>23</v>
      </c>
      <c r="P1565" s="25" t="s">
        <v>212</v>
      </c>
      <c r="Q1565" s="25" t="s">
        <v>95</v>
      </c>
      <c r="R1565" s="25" t="s">
        <v>775</v>
      </c>
      <c r="S1565" s="35">
        <v>0.1</v>
      </c>
      <c r="T1565" s="16">
        <v>123.858</v>
      </c>
      <c r="U1565" s="19">
        <v>46.790799999999997</v>
      </c>
      <c r="V1565" s="56">
        <f>Table11[[#This Row],[Profit]]/Table11[[#This Row],[Sales]]</f>
        <v>0.37777777777777777</v>
      </c>
    </row>
    <row r="1566" spans="1:22" x14ac:dyDescent="0.2">
      <c r="A1566" s="2">
        <v>1565</v>
      </c>
      <c r="B1566" s="5" t="s">
        <v>5181</v>
      </c>
      <c r="C1566" s="6">
        <v>42320</v>
      </c>
      <c r="D1566" s="27">
        <f>MONTH(Table11[[#This Row],[Order Date]])</f>
        <v>11</v>
      </c>
      <c r="E1566" s="5" t="s">
        <v>5182</v>
      </c>
      <c r="F1566" s="5" t="s">
        <v>5183</v>
      </c>
      <c r="G1566" s="24" t="s">
        <v>41</v>
      </c>
      <c r="H1566" s="24" t="s">
        <v>82</v>
      </c>
      <c r="I1566" s="5" t="s">
        <v>2107</v>
      </c>
      <c r="J1566" s="24" t="s">
        <v>36</v>
      </c>
      <c r="K1566" s="27">
        <v>5</v>
      </c>
      <c r="L1566" s="6">
        <v>42322</v>
      </c>
      <c r="M1566" s="27">
        <f>Table11[[#This Row],[Ship Date]]-Table11[[#This Row],[Order Date]]</f>
        <v>2</v>
      </c>
      <c r="N1566" s="24" t="s">
        <v>169</v>
      </c>
      <c r="O1566" s="24" t="s">
        <v>23</v>
      </c>
      <c r="P1566" s="24" t="s">
        <v>38</v>
      </c>
      <c r="Q1566" s="24" t="s">
        <v>39</v>
      </c>
      <c r="R1566" s="24" t="s">
        <v>37</v>
      </c>
      <c r="S1566" s="34">
        <v>0</v>
      </c>
      <c r="T1566" s="15">
        <v>15.7</v>
      </c>
      <c r="U1566" s="18">
        <v>7.0650000000000004</v>
      </c>
      <c r="V1566" s="56">
        <f>Table11[[#This Row],[Profit]]/Table11[[#This Row],[Sales]]</f>
        <v>0.45000000000000007</v>
      </c>
    </row>
    <row r="1567" spans="1:22" x14ac:dyDescent="0.2">
      <c r="A1567" s="4">
        <v>1566</v>
      </c>
      <c r="B1567" s="3" t="s">
        <v>6239</v>
      </c>
      <c r="C1567" s="7">
        <v>42320</v>
      </c>
      <c r="D1567" s="28">
        <f>MONTH(Table11[[#This Row],[Order Date]])</f>
        <v>11</v>
      </c>
      <c r="E1567" s="3" t="s">
        <v>1557</v>
      </c>
      <c r="F1567" s="3" t="s">
        <v>1558</v>
      </c>
      <c r="G1567" s="25" t="s">
        <v>41</v>
      </c>
      <c r="H1567" s="25" t="s">
        <v>61</v>
      </c>
      <c r="I1567" s="3" t="s">
        <v>5937</v>
      </c>
      <c r="J1567" s="25" t="s">
        <v>36</v>
      </c>
      <c r="K1567" s="28">
        <v>5</v>
      </c>
      <c r="L1567" s="7">
        <v>42327</v>
      </c>
      <c r="M1567" s="28">
        <f>Table11[[#This Row],[Ship Date]]-Table11[[#This Row],[Order Date]]</f>
        <v>7</v>
      </c>
      <c r="N1567" s="25" t="s">
        <v>45</v>
      </c>
      <c r="O1567" s="25" t="s">
        <v>23</v>
      </c>
      <c r="P1567" s="25" t="s">
        <v>48</v>
      </c>
      <c r="Q1567" s="25" t="s">
        <v>26</v>
      </c>
      <c r="R1567" s="25" t="s">
        <v>6114</v>
      </c>
      <c r="S1567" s="35">
        <v>0.2</v>
      </c>
      <c r="T1567" s="16">
        <v>11.76</v>
      </c>
      <c r="U1567" s="19">
        <v>1.323</v>
      </c>
      <c r="V1567" s="56">
        <f>Table11[[#This Row],[Profit]]/Table11[[#This Row],[Sales]]</f>
        <v>0.1125</v>
      </c>
    </row>
    <row r="1568" spans="1:22" x14ac:dyDescent="0.2">
      <c r="A1568" s="4">
        <v>1567</v>
      </c>
      <c r="B1568" s="5" t="s">
        <v>6239</v>
      </c>
      <c r="C1568" s="6">
        <v>42320</v>
      </c>
      <c r="D1568" s="27">
        <f>MONTH(Table11[[#This Row],[Order Date]])</f>
        <v>11</v>
      </c>
      <c r="E1568" s="5" t="s">
        <v>207</v>
      </c>
      <c r="F1568" s="5" t="s">
        <v>208</v>
      </c>
      <c r="G1568" s="24" t="s">
        <v>41</v>
      </c>
      <c r="H1568" s="24" t="s">
        <v>68</v>
      </c>
      <c r="I1568" s="5" t="s">
        <v>5937</v>
      </c>
      <c r="J1568" s="24" t="s">
        <v>36</v>
      </c>
      <c r="K1568" s="27">
        <v>2</v>
      </c>
      <c r="L1568" s="6">
        <v>42327</v>
      </c>
      <c r="M1568" s="27">
        <f>Table11[[#This Row],[Ship Date]]-Table11[[#This Row],[Order Date]]</f>
        <v>7</v>
      </c>
      <c r="N1568" s="24" t="s">
        <v>45</v>
      </c>
      <c r="O1568" s="24" t="s">
        <v>23</v>
      </c>
      <c r="P1568" s="24" t="s">
        <v>48</v>
      </c>
      <c r="Q1568" s="24" t="s">
        <v>26</v>
      </c>
      <c r="R1568" s="24" t="s">
        <v>6114</v>
      </c>
      <c r="S1568" s="34">
        <v>0.7</v>
      </c>
      <c r="T1568" s="15">
        <v>5.2380000000000004</v>
      </c>
      <c r="U1568" s="18">
        <v>-4.0157999999999996</v>
      </c>
      <c r="V1568" s="56">
        <f>Table11[[#This Row],[Profit]]/Table11[[#This Row],[Sales]]</f>
        <v>-0.7666666666666665</v>
      </c>
    </row>
    <row r="1569" spans="1:22" x14ac:dyDescent="0.2">
      <c r="A1569" s="2">
        <v>1568</v>
      </c>
      <c r="B1569" s="3" t="s">
        <v>6239</v>
      </c>
      <c r="C1569" s="7">
        <v>42320</v>
      </c>
      <c r="D1569" s="28">
        <f>MONTH(Table11[[#This Row],[Order Date]])</f>
        <v>11</v>
      </c>
      <c r="E1569" s="3" t="s">
        <v>5554</v>
      </c>
      <c r="F1569" s="3" t="s">
        <v>5555</v>
      </c>
      <c r="G1569" s="25" t="s">
        <v>41</v>
      </c>
      <c r="H1569" s="25" t="s">
        <v>68</v>
      </c>
      <c r="I1569" s="3" t="s">
        <v>5937</v>
      </c>
      <c r="J1569" s="25" t="s">
        <v>36</v>
      </c>
      <c r="K1569" s="28">
        <v>3</v>
      </c>
      <c r="L1569" s="7">
        <v>42327</v>
      </c>
      <c r="M1569" s="28">
        <f>Table11[[#This Row],[Ship Date]]-Table11[[#This Row],[Order Date]]</f>
        <v>7</v>
      </c>
      <c r="N1569" s="25" t="s">
        <v>45</v>
      </c>
      <c r="O1569" s="25" t="s">
        <v>23</v>
      </c>
      <c r="P1569" s="25" t="s">
        <v>48</v>
      </c>
      <c r="Q1569" s="25" t="s">
        <v>26</v>
      </c>
      <c r="R1569" s="25" t="s">
        <v>6114</v>
      </c>
      <c r="S1569" s="35">
        <v>0.7</v>
      </c>
      <c r="T1569" s="16">
        <v>4.6619999999999999</v>
      </c>
      <c r="U1569" s="19">
        <v>-3.7296</v>
      </c>
      <c r="V1569" s="56">
        <f>Table11[[#This Row],[Profit]]/Table11[[#This Row],[Sales]]</f>
        <v>-0.8</v>
      </c>
    </row>
    <row r="1570" spans="1:22" x14ac:dyDescent="0.2">
      <c r="A1570" s="4">
        <v>1569</v>
      </c>
      <c r="B1570" s="5" t="s">
        <v>6239</v>
      </c>
      <c r="C1570" s="6">
        <v>42320</v>
      </c>
      <c r="D1570" s="27">
        <f>MONTH(Table11[[#This Row],[Order Date]])</f>
        <v>11</v>
      </c>
      <c r="E1570" s="5" t="s">
        <v>6240</v>
      </c>
      <c r="F1570" s="5" t="s">
        <v>6241</v>
      </c>
      <c r="G1570" s="24" t="s">
        <v>28</v>
      </c>
      <c r="H1570" s="24" t="s">
        <v>32</v>
      </c>
      <c r="I1570" s="5" t="s">
        <v>5937</v>
      </c>
      <c r="J1570" s="24" t="s">
        <v>36</v>
      </c>
      <c r="K1570" s="27">
        <v>5</v>
      </c>
      <c r="L1570" s="6">
        <v>42327</v>
      </c>
      <c r="M1570" s="27">
        <f>Table11[[#This Row],[Ship Date]]-Table11[[#This Row],[Order Date]]</f>
        <v>7</v>
      </c>
      <c r="N1570" s="24" t="s">
        <v>45</v>
      </c>
      <c r="O1570" s="24" t="s">
        <v>23</v>
      </c>
      <c r="P1570" s="24" t="s">
        <v>48</v>
      </c>
      <c r="Q1570" s="24" t="s">
        <v>26</v>
      </c>
      <c r="R1570" s="24" t="s">
        <v>6114</v>
      </c>
      <c r="S1570" s="34">
        <v>0.2</v>
      </c>
      <c r="T1570" s="15">
        <v>523.91999999999996</v>
      </c>
      <c r="U1570" s="18">
        <v>-72.039000000000001</v>
      </c>
      <c r="V1570" s="56">
        <f>Table11[[#This Row],[Profit]]/Table11[[#This Row],[Sales]]</f>
        <v>-0.13750000000000001</v>
      </c>
    </row>
    <row r="1571" spans="1:22" x14ac:dyDescent="0.2">
      <c r="A1571" s="4">
        <v>1570</v>
      </c>
      <c r="B1571" s="3" t="s">
        <v>6239</v>
      </c>
      <c r="C1571" s="7">
        <v>42320</v>
      </c>
      <c r="D1571" s="28">
        <f>MONTH(Table11[[#This Row],[Order Date]])</f>
        <v>11</v>
      </c>
      <c r="E1571" s="3" t="s">
        <v>3739</v>
      </c>
      <c r="F1571" s="3" t="s">
        <v>3740</v>
      </c>
      <c r="G1571" s="25" t="s">
        <v>64</v>
      </c>
      <c r="H1571" s="25" t="s">
        <v>65</v>
      </c>
      <c r="I1571" s="3" t="s">
        <v>5937</v>
      </c>
      <c r="J1571" s="25" t="s">
        <v>36</v>
      </c>
      <c r="K1571" s="28">
        <v>1</v>
      </c>
      <c r="L1571" s="7">
        <v>42327</v>
      </c>
      <c r="M1571" s="28">
        <f>Table11[[#This Row],[Ship Date]]-Table11[[#This Row],[Order Date]]</f>
        <v>7</v>
      </c>
      <c r="N1571" s="25" t="s">
        <v>45</v>
      </c>
      <c r="O1571" s="25" t="s">
        <v>23</v>
      </c>
      <c r="P1571" s="25" t="s">
        <v>48</v>
      </c>
      <c r="Q1571" s="25" t="s">
        <v>26</v>
      </c>
      <c r="R1571" s="25" t="s">
        <v>6114</v>
      </c>
      <c r="S1571" s="35">
        <v>0.2</v>
      </c>
      <c r="T1571" s="16">
        <v>100.792</v>
      </c>
      <c r="U1571" s="19">
        <v>10.0792</v>
      </c>
      <c r="V1571" s="56">
        <f>Table11[[#This Row],[Profit]]/Table11[[#This Row],[Sales]]</f>
        <v>0.1</v>
      </c>
    </row>
    <row r="1572" spans="1:22" x14ac:dyDescent="0.2">
      <c r="A1572" s="2">
        <v>1571</v>
      </c>
      <c r="B1572" s="5" t="s">
        <v>6239</v>
      </c>
      <c r="C1572" s="6">
        <v>42320</v>
      </c>
      <c r="D1572" s="27">
        <f>MONTH(Table11[[#This Row],[Order Date]])</f>
        <v>11</v>
      </c>
      <c r="E1572" s="5" t="s">
        <v>786</v>
      </c>
      <c r="F1572" s="5" t="s">
        <v>787</v>
      </c>
      <c r="G1572" s="24" t="s">
        <v>28</v>
      </c>
      <c r="H1572" s="24" t="s">
        <v>32</v>
      </c>
      <c r="I1572" s="5" t="s">
        <v>5937</v>
      </c>
      <c r="J1572" s="24" t="s">
        <v>36</v>
      </c>
      <c r="K1572" s="27">
        <v>3</v>
      </c>
      <c r="L1572" s="6">
        <v>42327</v>
      </c>
      <c r="M1572" s="27">
        <f>Table11[[#This Row],[Ship Date]]-Table11[[#This Row],[Order Date]]</f>
        <v>7</v>
      </c>
      <c r="N1572" s="24" t="s">
        <v>45</v>
      </c>
      <c r="O1572" s="24" t="s">
        <v>23</v>
      </c>
      <c r="P1572" s="24" t="s">
        <v>48</v>
      </c>
      <c r="Q1572" s="24" t="s">
        <v>26</v>
      </c>
      <c r="R1572" s="24" t="s">
        <v>6114</v>
      </c>
      <c r="S1572" s="34">
        <v>0.2</v>
      </c>
      <c r="T1572" s="15">
        <v>146.136</v>
      </c>
      <c r="U1572" s="18">
        <v>16.440300000000001</v>
      </c>
      <c r="V1572" s="56">
        <f>Table11[[#This Row],[Profit]]/Table11[[#This Row],[Sales]]</f>
        <v>0.1125</v>
      </c>
    </row>
    <row r="1573" spans="1:22" x14ac:dyDescent="0.2">
      <c r="A1573" s="4">
        <v>1572</v>
      </c>
      <c r="B1573" s="3" t="s">
        <v>9210</v>
      </c>
      <c r="C1573" s="7">
        <v>42320</v>
      </c>
      <c r="D1573" s="28">
        <f>MONTH(Table11[[#This Row],[Order Date]])</f>
        <v>11</v>
      </c>
      <c r="E1573" s="3" t="s">
        <v>2995</v>
      </c>
      <c r="F1573" s="3" t="s">
        <v>2996</v>
      </c>
      <c r="G1573" s="25" t="s">
        <v>41</v>
      </c>
      <c r="H1573" s="25" t="s">
        <v>53</v>
      </c>
      <c r="I1573" s="3" t="s">
        <v>7034</v>
      </c>
      <c r="J1573" s="25" t="s">
        <v>36</v>
      </c>
      <c r="K1573" s="28">
        <v>1</v>
      </c>
      <c r="L1573" s="7">
        <v>42326</v>
      </c>
      <c r="M1573" s="28">
        <f>Table11[[#This Row],[Ship Date]]-Table11[[#This Row],[Order Date]]</f>
        <v>6</v>
      </c>
      <c r="N1573" s="25" t="s">
        <v>45</v>
      </c>
      <c r="O1573" s="25" t="s">
        <v>23</v>
      </c>
      <c r="P1573" s="25" t="s">
        <v>94</v>
      </c>
      <c r="Q1573" s="25" t="s">
        <v>95</v>
      </c>
      <c r="R1573" s="25" t="s">
        <v>165</v>
      </c>
      <c r="S1573" s="35">
        <v>0.2</v>
      </c>
      <c r="T1573" s="16">
        <v>64.784000000000006</v>
      </c>
      <c r="U1573" s="19">
        <v>-14.5764</v>
      </c>
      <c r="V1573" s="56">
        <f>Table11[[#This Row],[Profit]]/Table11[[#This Row],[Sales]]</f>
        <v>-0.22499999999999998</v>
      </c>
    </row>
    <row r="1574" spans="1:22" x14ac:dyDescent="0.2">
      <c r="A1574" s="4">
        <v>1573</v>
      </c>
      <c r="B1574" s="5" t="s">
        <v>9210</v>
      </c>
      <c r="C1574" s="6">
        <v>42320</v>
      </c>
      <c r="D1574" s="27">
        <f>MONTH(Table11[[#This Row],[Order Date]])</f>
        <v>11</v>
      </c>
      <c r="E1574" s="5" t="s">
        <v>809</v>
      </c>
      <c r="F1574" s="5" t="s">
        <v>810</v>
      </c>
      <c r="G1574" s="24" t="s">
        <v>41</v>
      </c>
      <c r="H1574" s="24" t="s">
        <v>82</v>
      </c>
      <c r="I1574" s="5" t="s">
        <v>7034</v>
      </c>
      <c r="J1574" s="24" t="s">
        <v>36</v>
      </c>
      <c r="K1574" s="27">
        <v>3</v>
      </c>
      <c r="L1574" s="6">
        <v>42326</v>
      </c>
      <c r="M1574" s="27">
        <f>Table11[[#This Row],[Ship Date]]-Table11[[#This Row],[Order Date]]</f>
        <v>6</v>
      </c>
      <c r="N1574" s="24" t="s">
        <v>45</v>
      </c>
      <c r="O1574" s="24" t="s">
        <v>23</v>
      </c>
      <c r="P1574" s="24" t="s">
        <v>94</v>
      </c>
      <c r="Q1574" s="24" t="s">
        <v>95</v>
      </c>
      <c r="R1574" s="24" t="s">
        <v>165</v>
      </c>
      <c r="S1574" s="34">
        <v>0.2</v>
      </c>
      <c r="T1574" s="15">
        <v>15.552</v>
      </c>
      <c r="U1574" s="18">
        <v>5.6375999999999999</v>
      </c>
      <c r="V1574" s="56">
        <f>Table11[[#This Row],[Profit]]/Table11[[#This Row],[Sales]]</f>
        <v>0.36249999999999999</v>
      </c>
    </row>
    <row r="1575" spans="1:22" x14ac:dyDescent="0.2">
      <c r="A1575" s="2">
        <v>1574</v>
      </c>
      <c r="B1575" s="3" t="s">
        <v>9210</v>
      </c>
      <c r="C1575" s="7">
        <v>42320</v>
      </c>
      <c r="D1575" s="28">
        <f>MONTH(Table11[[#This Row],[Order Date]])</f>
        <v>11</v>
      </c>
      <c r="E1575" s="3" t="s">
        <v>3049</v>
      </c>
      <c r="F1575" s="3" t="s">
        <v>3050</v>
      </c>
      <c r="G1575" s="25" t="s">
        <v>41</v>
      </c>
      <c r="H1575" s="25" t="s">
        <v>155</v>
      </c>
      <c r="I1575" s="3" t="s">
        <v>7034</v>
      </c>
      <c r="J1575" s="25" t="s">
        <v>36</v>
      </c>
      <c r="K1575" s="28">
        <v>7</v>
      </c>
      <c r="L1575" s="7">
        <v>42326</v>
      </c>
      <c r="M1575" s="28">
        <f>Table11[[#This Row],[Ship Date]]-Table11[[#This Row],[Order Date]]</f>
        <v>6</v>
      </c>
      <c r="N1575" s="25" t="s">
        <v>45</v>
      </c>
      <c r="O1575" s="25" t="s">
        <v>23</v>
      </c>
      <c r="P1575" s="25" t="s">
        <v>94</v>
      </c>
      <c r="Q1575" s="25" t="s">
        <v>95</v>
      </c>
      <c r="R1575" s="25" t="s">
        <v>165</v>
      </c>
      <c r="S1575" s="35">
        <v>0.2</v>
      </c>
      <c r="T1575" s="16">
        <v>223.88800000000001</v>
      </c>
      <c r="U1575" s="19">
        <v>69.965000000000003</v>
      </c>
      <c r="V1575" s="56">
        <f>Table11[[#This Row],[Profit]]/Table11[[#This Row],[Sales]]</f>
        <v>0.3125</v>
      </c>
    </row>
    <row r="1576" spans="1:22" x14ac:dyDescent="0.2">
      <c r="A1576" s="4">
        <v>1575</v>
      </c>
      <c r="B1576" s="5" t="s">
        <v>9771</v>
      </c>
      <c r="C1576" s="6">
        <v>42320</v>
      </c>
      <c r="D1576" s="27">
        <f>MONTH(Table11[[#This Row],[Order Date]])</f>
        <v>11</v>
      </c>
      <c r="E1576" s="5" t="s">
        <v>2880</v>
      </c>
      <c r="F1576" s="5" t="s">
        <v>591</v>
      </c>
      <c r="G1576" s="24" t="s">
        <v>41</v>
      </c>
      <c r="H1576" s="24" t="s">
        <v>155</v>
      </c>
      <c r="I1576" s="5" t="s">
        <v>5654</v>
      </c>
      <c r="J1576" s="24" t="s">
        <v>22</v>
      </c>
      <c r="K1576" s="27">
        <v>2</v>
      </c>
      <c r="L1576" s="6">
        <v>42326</v>
      </c>
      <c r="M1576" s="27">
        <f>Table11[[#This Row],[Ship Date]]-Table11[[#This Row],[Order Date]]</f>
        <v>6</v>
      </c>
      <c r="N1576" s="24" t="s">
        <v>45</v>
      </c>
      <c r="O1576" s="24" t="s">
        <v>23</v>
      </c>
      <c r="P1576" s="24" t="s">
        <v>238</v>
      </c>
      <c r="Q1576" s="24" t="s">
        <v>133</v>
      </c>
      <c r="R1576" s="24" t="s">
        <v>237</v>
      </c>
      <c r="S1576" s="34">
        <v>0</v>
      </c>
      <c r="T1576" s="15">
        <v>15.56</v>
      </c>
      <c r="U1576" s="18">
        <v>7.3132000000000001</v>
      </c>
      <c r="V1576" s="56">
        <f>Table11[[#This Row],[Profit]]/Table11[[#This Row],[Sales]]</f>
        <v>0.47</v>
      </c>
    </row>
    <row r="1577" spans="1:22" x14ac:dyDescent="0.2">
      <c r="A1577" s="4">
        <v>1576</v>
      </c>
      <c r="B1577" s="3" t="s">
        <v>402</v>
      </c>
      <c r="C1577" s="7">
        <v>42321</v>
      </c>
      <c r="D1577" s="28">
        <f>MONTH(Table11[[#This Row],[Order Date]])</f>
        <v>11</v>
      </c>
      <c r="E1577" s="3" t="s">
        <v>406</v>
      </c>
      <c r="F1577" s="3" t="s">
        <v>407</v>
      </c>
      <c r="G1577" s="25" t="s">
        <v>64</v>
      </c>
      <c r="H1577" s="25" t="s">
        <v>144</v>
      </c>
      <c r="I1577" s="3" t="s">
        <v>403</v>
      </c>
      <c r="J1577" s="25" t="s">
        <v>22</v>
      </c>
      <c r="K1577" s="28">
        <v>6</v>
      </c>
      <c r="L1577" s="7">
        <v>42325</v>
      </c>
      <c r="M1577" s="28">
        <f>Table11[[#This Row],[Ship Date]]-Table11[[#This Row],[Order Date]]</f>
        <v>4</v>
      </c>
      <c r="N1577" s="25" t="s">
        <v>45</v>
      </c>
      <c r="O1577" s="25" t="s">
        <v>23</v>
      </c>
      <c r="P1577" s="25" t="s">
        <v>405</v>
      </c>
      <c r="Q1577" s="25" t="s">
        <v>39</v>
      </c>
      <c r="R1577" s="25" t="s">
        <v>404</v>
      </c>
      <c r="S1577" s="35">
        <v>0.2</v>
      </c>
      <c r="T1577" s="16">
        <v>238.89599999999999</v>
      </c>
      <c r="U1577" s="19">
        <v>-26.875800000000002</v>
      </c>
      <c r="V1577" s="56">
        <f>Table11[[#This Row],[Profit]]/Table11[[#This Row],[Sales]]</f>
        <v>-0.11250000000000002</v>
      </c>
    </row>
    <row r="1578" spans="1:22" x14ac:dyDescent="0.2">
      <c r="A1578" s="2">
        <v>1577</v>
      </c>
      <c r="B1578" s="5" t="s">
        <v>402</v>
      </c>
      <c r="C1578" s="6">
        <v>42321</v>
      </c>
      <c r="D1578" s="27">
        <f>MONTH(Table11[[#This Row],[Order Date]])</f>
        <v>11</v>
      </c>
      <c r="E1578" s="5" t="s">
        <v>408</v>
      </c>
      <c r="F1578" s="5" t="s">
        <v>409</v>
      </c>
      <c r="G1578" s="24" t="s">
        <v>28</v>
      </c>
      <c r="H1578" s="24" t="s">
        <v>58</v>
      </c>
      <c r="I1578" s="5" t="s">
        <v>403</v>
      </c>
      <c r="J1578" s="24" t="s">
        <v>22</v>
      </c>
      <c r="K1578" s="27">
        <v>3</v>
      </c>
      <c r="L1578" s="6">
        <v>42325</v>
      </c>
      <c r="M1578" s="27">
        <f>Table11[[#This Row],[Ship Date]]-Table11[[#This Row],[Order Date]]</f>
        <v>4</v>
      </c>
      <c r="N1578" s="24" t="s">
        <v>45</v>
      </c>
      <c r="O1578" s="24" t="s">
        <v>23</v>
      </c>
      <c r="P1578" s="24" t="s">
        <v>405</v>
      </c>
      <c r="Q1578" s="24" t="s">
        <v>39</v>
      </c>
      <c r="R1578" s="24" t="s">
        <v>404</v>
      </c>
      <c r="S1578" s="34">
        <v>0.2</v>
      </c>
      <c r="T1578" s="15">
        <v>102.36</v>
      </c>
      <c r="U1578" s="18">
        <v>-3.8384999999999998</v>
      </c>
      <c r="V1578" s="56">
        <f>Table11[[#This Row],[Profit]]/Table11[[#This Row],[Sales]]</f>
        <v>-3.7499999999999999E-2</v>
      </c>
    </row>
    <row r="1579" spans="1:22" x14ac:dyDescent="0.2">
      <c r="A1579" s="4">
        <v>1578</v>
      </c>
      <c r="B1579" s="3" t="s">
        <v>402</v>
      </c>
      <c r="C1579" s="7">
        <v>42321</v>
      </c>
      <c r="D1579" s="28">
        <f>MONTH(Table11[[#This Row],[Order Date]])</f>
        <v>11</v>
      </c>
      <c r="E1579" s="3" t="s">
        <v>410</v>
      </c>
      <c r="F1579" s="3" t="s">
        <v>411</v>
      </c>
      <c r="G1579" s="25" t="s">
        <v>41</v>
      </c>
      <c r="H1579" s="25" t="s">
        <v>68</v>
      </c>
      <c r="I1579" s="3" t="s">
        <v>403</v>
      </c>
      <c r="J1579" s="25" t="s">
        <v>22</v>
      </c>
      <c r="K1579" s="28">
        <v>3</v>
      </c>
      <c r="L1579" s="7">
        <v>42325</v>
      </c>
      <c r="M1579" s="28">
        <f>Table11[[#This Row],[Ship Date]]-Table11[[#This Row],[Order Date]]</f>
        <v>4</v>
      </c>
      <c r="N1579" s="25" t="s">
        <v>45</v>
      </c>
      <c r="O1579" s="25" t="s">
        <v>23</v>
      </c>
      <c r="P1579" s="25" t="s">
        <v>405</v>
      </c>
      <c r="Q1579" s="25" t="s">
        <v>39</v>
      </c>
      <c r="R1579" s="25" t="s">
        <v>404</v>
      </c>
      <c r="S1579" s="35">
        <v>0.7</v>
      </c>
      <c r="T1579" s="16">
        <v>36.881999999999998</v>
      </c>
      <c r="U1579" s="19">
        <v>-25.817399999999999</v>
      </c>
      <c r="V1579" s="56">
        <f>Table11[[#This Row],[Profit]]/Table11[[#This Row],[Sales]]</f>
        <v>-0.70000000000000007</v>
      </c>
    </row>
    <row r="1580" spans="1:22" x14ac:dyDescent="0.2">
      <c r="A1580" s="4">
        <v>1579</v>
      </c>
      <c r="B1580" s="5" t="s">
        <v>2642</v>
      </c>
      <c r="C1580" s="6">
        <v>42321</v>
      </c>
      <c r="D1580" s="27">
        <f>MONTH(Table11[[#This Row],[Order Date]])</f>
        <v>11</v>
      </c>
      <c r="E1580" s="5" t="s">
        <v>2379</v>
      </c>
      <c r="F1580" s="5" t="s">
        <v>2380</v>
      </c>
      <c r="G1580" s="24" t="s">
        <v>41</v>
      </c>
      <c r="H1580" s="24" t="s">
        <v>82</v>
      </c>
      <c r="I1580" s="5" t="s">
        <v>2187</v>
      </c>
      <c r="J1580" s="24" t="s">
        <v>22</v>
      </c>
      <c r="K1580" s="27">
        <v>3</v>
      </c>
      <c r="L1580" s="6">
        <v>42325</v>
      </c>
      <c r="M1580" s="27">
        <f>Table11[[#This Row],[Ship Date]]-Table11[[#This Row],[Order Date]]</f>
        <v>4</v>
      </c>
      <c r="N1580" s="24" t="s">
        <v>45</v>
      </c>
      <c r="O1580" s="24" t="s">
        <v>23</v>
      </c>
      <c r="P1580" s="24" t="s">
        <v>80</v>
      </c>
      <c r="Q1580" s="24" t="s">
        <v>26</v>
      </c>
      <c r="R1580" s="24" t="s">
        <v>1345</v>
      </c>
      <c r="S1580" s="34">
        <v>0.2</v>
      </c>
      <c r="T1580" s="15">
        <v>115.29600000000001</v>
      </c>
      <c r="U1580" s="18">
        <v>40.3536</v>
      </c>
      <c r="V1580" s="56">
        <f>Table11[[#This Row],[Profit]]/Table11[[#This Row],[Sales]]</f>
        <v>0.35</v>
      </c>
    </row>
    <row r="1581" spans="1:22" x14ac:dyDescent="0.2">
      <c r="A1581" s="2">
        <v>1580</v>
      </c>
      <c r="B1581" s="3" t="s">
        <v>5242</v>
      </c>
      <c r="C1581" s="7">
        <v>42321</v>
      </c>
      <c r="D1581" s="28">
        <f>MONTH(Table11[[#This Row],[Order Date]])</f>
        <v>11</v>
      </c>
      <c r="E1581" s="3" t="s">
        <v>5243</v>
      </c>
      <c r="F1581" s="3" t="s">
        <v>5244</v>
      </c>
      <c r="G1581" s="25" t="s">
        <v>64</v>
      </c>
      <c r="H1581" s="25" t="s">
        <v>65</v>
      </c>
      <c r="I1581" s="3" t="s">
        <v>808</v>
      </c>
      <c r="J1581" s="25" t="s">
        <v>22</v>
      </c>
      <c r="K1581" s="28">
        <v>3</v>
      </c>
      <c r="L1581" s="7">
        <v>42327</v>
      </c>
      <c r="M1581" s="28">
        <f>Table11[[#This Row],[Ship Date]]-Table11[[#This Row],[Order Date]]</f>
        <v>6</v>
      </c>
      <c r="N1581" s="25" t="s">
        <v>45</v>
      </c>
      <c r="O1581" s="25" t="s">
        <v>23</v>
      </c>
      <c r="P1581" s="25" t="s">
        <v>218</v>
      </c>
      <c r="Q1581" s="25" t="s">
        <v>133</v>
      </c>
      <c r="R1581" s="25" t="s">
        <v>536</v>
      </c>
      <c r="S1581" s="35">
        <v>0</v>
      </c>
      <c r="T1581" s="16">
        <v>377.97</v>
      </c>
      <c r="U1581" s="19">
        <v>94.492500000000007</v>
      </c>
      <c r="V1581" s="56">
        <f>Table11[[#This Row],[Profit]]/Table11[[#This Row],[Sales]]</f>
        <v>0.25</v>
      </c>
    </row>
    <row r="1582" spans="1:22" x14ac:dyDescent="0.2">
      <c r="A1582" s="4">
        <v>1581</v>
      </c>
      <c r="B1582" s="5" t="s">
        <v>5242</v>
      </c>
      <c r="C1582" s="6">
        <v>42321</v>
      </c>
      <c r="D1582" s="27">
        <f>MONTH(Table11[[#This Row],[Order Date]])</f>
        <v>11</v>
      </c>
      <c r="E1582" s="5" t="s">
        <v>2292</v>
      </c>
      <c r="F1582" s="5" t="s">
        <v>2293</v>
      </c>
      <c r="G1582" s="24" t="s">
        <v>41</v>
      </c>
      <c r="H1582" s="24" t="s">
        <v>82</v>
      </c>
      <c r="I1582" s="5" t="s">
        <v>808</v>
      </c>
      <c r="J1582" s="24" t="s">
        <v>22</v>
      </c>
      <c r="K1582" s="27">
        <v>7</v>
      </c>
      <c r="L1582" s="6">
        <v>42327</v>
      </c>
      <c r="M1582" s="27">
        <f>Table11[[#This Row],[Ship Date]]-Table11[[#This Row],[Order Date]]</f>
        <v>6</v>
      </c>
      <c r="N1582" s="24" t="s">
        <v>45</v>
      </c>
      <c r="O1582" s="24" t="s">
        <v>23</v>
      </c>
      <c r="P1582" s="24" t="s">
        <v>218</v>
      </c>
      <c r="Q1582" s="24" t="s">
        <v>133</v>
      </c>
      <c r="R1582" s="24" t="s">
        <v>536</v>
      </c>
      <c r="S1582" s="34">
        <v>0</v>
      </c>
      <c r="T1582" s="15">
        <v>42.28</v>
      </c>
      <c r="U1582" s="18">
        <v>19.871600000000001</v>
      </c>
      <c r="V1582" s="56">
        <f>Table11[[#This Row],[Profit]]/Table11[[#This Row],[Sales]]</f>
        <v>0.47000000000000003</v>
      </c>
    </row>
    <row r="1583" spans="1:22" x14ac:dyDescent="0.2">
      <c r="A1583" s="4">
        <v>1582</v>
      </c>
      <c r="B1583" s="3" t="s">
        <v>5242</v>
      </c>
      <c r="C1583" s="7">
        <v>42321</v>
      </c>
      <c r="D1583" s="28">
        <f>MONTH(Table11[[#This Row],[Order Date]])</f>
        <v>11</v>
      </c>
      <c r="E1583" s="3" t="s">
        <v>3083</v>
      </c>
      <c r="F1583" s="3" t="s">
        <v>3084</v>
      </c>
      <c r="G1583" s="25" t="s">
        <v>28</v>
      </c>
      <c r="H1583" s="25" t="s">
        <v>29</v>
      </c>
      <c r="I1583" s="3" t="s">
        <v>808</v>
      </c>
      <c r="J1583" s="25" t="s">
        <v>22</v>
      </c>
      <c r="K1583" s="28">
        <v>3</v>
      </c>
      <c r="L1583" s="7">
        <v>42327</v>
      </c>
      <c r="M1583" s="28">
        <f>Table11[[#This Row],[Ship Date]]-Table11[[#This Row],[Order Date]]</f>
        <v>6</v>
      </c>
      <c r="N1583" s="25" t="s">
        <v>45</v>
      </c>
      <c r="O1583" s="25" t="s">
        <v>23</v>
      </c>
      <c r="P1583" s="25" t="s">
        <v>218</v>
      </c>
      <c r="Q1583" s="25" t="s">
        <v>133</v>
      </c>
      <c r="R1583" s="25" t="s">
        <v>536</v>
      </c>
      <c r="S1583" s="35">
        <v>0</v>
      </c>
      <c r="T1583" s="16">
        <v>299.97000000000003</v>
      </c>
      <c r="U1583" s="19">
        <v>56.994300000000003</v>
      </c>
      <c r="V1583" s="56">
        <f>Table11[[#This Row],[Profit]]/Table11[[#This Row],[Sales]]</f>
        <v>0.19</v>
      </c>
    </row>
    <row r="1584" spans="1:22" x14ac:dyDescent="0.2">
      <c r="A1584" s="2">
        <v>1583</v>
      </c>
      <c r="B1584" s="5" t="s">
        <v>5242</v>
      </c>
      <c r="C1584" s="6">
        <v>42321</v>
      </c>
      <c r="D1584" s="27">
        <f>MONTH(Table11[[#This Row],[Order Date]])</f>
        <v>11</v>
      </c>
      <c r="E1584" s="5" t="s">
        <v>2819</v>
      </c>
      <c r="F1584" s="5" t="s">
        <v>2820</v>
      </c>
      <c r="G1584" s="24" t="s">
        <v>64</v>
      </c>
      <c r="H1584" s="24" t="s">
        <v>65</v>
      </c>
      <c r="I1584" s="5" t="s">
        <v>808</v>
      </c>
      <c r="J1584" s="24" t="s">
        <v>22</v>
      </c>
      <c r="K1584" s="27">
        <v>2</v>
      </c>
      <c r="L1584" s="6">
        <v>42327</v>
      </c>
      <c r="M1584" s="27">
        <f>Table11[[#This Row],[Ship Date]]-Table11[[#This Row],[Order Date]]</f>
        <v>6</v>
      </c>
      <c r="N1584" s="24" t="s">
        <v>45</v>
      </c>
      <c r="O1584" s="24" t="s">
        <v>23</v>
      </c>
      <c r="P1584" s="24" t="s">
        <v>218</v>
      </c>
      <c r="Q1584" s="24" t="s">
        <v>133</v>
      </c>
      <c r="R1584" s="24" t="s">
        <v>536</v>
      </c>
      <c r="S1584" s="34">
        <v>0</v>
      </c>
      <c r="T1584" s="15">
        <v>89.98</v>
      </c>
      <c r="U1584" s="18">
        <v>43.190399999999997</v>
      </c>
      <c r="V1584" s="56">
        <f>Table11[[#This Row],[Profit]]/Table11[[#This Row],[Sales]]</f>
        <v>0.47999999999999993</v>
      </c>
    </row>
    <row r="1585" spans="1:22" x14ac:dyDescent="0.2">
      <c r="A1585" s="4">
        <v>1584</v>
      </c>
      <c r="B1585" s="3" t="s">
        <v>7248</v>
      </c>
      <c r="C1585" s="7">
        <v>42321</v>
      </c>
      <c r="D1585" s="28">
        <f>MONTH(Table11[[#This Row],[Order Date]])</f>
        <v>11</v>
      </c>
      <c r="E1585" s="3" t="s">
        <v>7249</v>
      </c>
      <c r="F1585" s="3" t="s">
        <v>7250</v>
      </c>
      <c r="G1585" s="25" t="s">
        <v>28</v>
      </c>
      <c r="H1585" s="25" t="s">
        <v>58</v>
      </c>
      <c r="I1585" s="3" t="s">
        <v>3382</v>
      </c>
      <c r="J1585" s="25" t="s">
        <v>22</v>
      </c>
      <c r="K1585" s="28">
        <v>9</v>
      </c>
      <c r="L1585" s="7">
        <v>42321</v>
      </c>
      <c r="M1585" s="28">
        <f>Table11[[#This Row],[Ship Date]]-Table11[[#This Row],[Order Date]]</f>
        <v>0</v>
      </c>
      <c r="N1585" s="25" t="s">
        <v>1141</v>
      </c>
      <c r="O1585" s="25" t="s">
        <v>23</v>
      </c>
      <c r="P1585" s="25" t="s">
        <v>189</v>
      </c>
      <c r="Q1585" s="25" t="s">
        <v>95</v>
      </c>
      <c r="R1585" s="25" t="s">
        <v>271</v>
      </c>
      <c r="S1585" s="35">
        <v>0.6</v>
      </c>
      <c r="T1585" s="16">
        <v>17.495999999999999</v>
      </c>
      <c r="U1585" s="19">
        <v>-7.4358000000000004</v>
      </c>
      <c r="V1585" s="56">
        <f>Table11[[#This Row],[Profit]]/Table11[[#This Row],[Sales]]</f>
        <v>-0.42500000000000004</v>
      </c>
    </row>
    <row r="1586" spans="1:22" x14ac:dyDescent="0.2">
      <c r="A1586" s="4">
        <v>1585</v>
      </c>
      <c r="B1586" s="5" t="s">
        <v>7972</v>
      </c>
      <c r="C1586" s="6">
        <v>42321</v>
      </c>
      <c r="D1586" s="27">
        <f>MONTH(Table11[[#This Row],[Order Date]])</f>
        <v>11</v>
      </c>
      <c r="E1586" s="5" t="s">
        <v>4914</v>
      </c>
      <c r="F1586" s="5" t="s">
        <v>4915</v>
      </c>
      <c r="G1586" s="24" t="s">
        <v>41</v>
      </c>
      <c r="H1586" s="24" t="s">
        <v>82</v>
      </c>
      <c r="I1586" s="5" t="s">
        <v>1176</v>
      </c>
      <c r="J1586" s="24" t="s">
        <v>22</v>
      </c>
      <c r="K1586" s="27">
        <v>7</v>
      </c>
      <c r="L1586" s="6">
        <v>42325</v>
      </c>
      <c r="M1586" s="27">
        <f>Table11[[#This Row],[Ship Date]]-Table11[[#This Row],[Order Date]]</f>
        <v>4</v>
      </c>
      <c r="N1586" s="24" t="s">
        <v>45</v>
      </c>
      <c r="O1586" s="24" t="s">
        <v>23</v>
      </c>
      <c r="P1586" s="24" t="s">
        <v>226</v>
      </c>
      <c r="Q1586" s="24" t="s">
        <v>95</v>
      </c>
      <c r="R1586" s="24" t="s">
        <v>440</v>
      </c>
      <c r="S1586" s="34">
        <v>0</v>
      </c>
      <c r="T1586" s="15">
        <v>63.77</v>
      </c>
      <c r="U1586" s="18">
        <v>28.6965</v>
      </c>
      <c r="V1586" s="56">
        <f>Table11[[#This Row],[Profit]]/Table11[[#This Row],[Sales]]</f>
        <v>0.44999999999999996</v>
      </c>
    </row>
    <row r="1587" spans="1:22" x14ac:dyDescent="0.2">
      <c r="A1587" s="2">
        <v>1586</v>
      </c>
      <c r="B1587" s="3" t="s">
        <v>7972</v>
      </c>
      <c r="C1587" s="7">
        <v>42321</v>
      </c>
      <c r="D1587" s="28">
        <f>MONTH(Table11[[#This Row],[Order Date]])</f>
        <v>11</v>
      </c>
      <c r="E1587" s="3" t="s">
        <v>4502</v>
      </c>
      <c r="F1587" s="3" t="s">
        <v>4503</v>
      </c>
      <c r="G1587" s="25" t="s">
        <v>64</v>
      </c>
      <c r="H1587" s="25" t="s">
        <v>65</v>
      </c>
      <c r="I1587" s="3" t="s">
        <v>1176</v>
      </c>
      <c r="J1587" s="25" t="s">
        <v>22</v>
      </c>
      <c r="K1587" s="28">
        <v>3</v>
      </c>
      <c r="L1587" s="7">
        <v>42325</v>
      </c>
      <c r="M1587" s="28">
        <f>Table11[[#This Row],[Ship Date]]-Table11[[#This Row],[Order Date]]</f>
        <v>4</v>
      </c>
      <c r="N1587" s="25" t="s">
        <v>45</v>
      </c>
      <c r="O1587" s="25" t="s">
        <v>23</v>
      </c>
      <c r="P1587" s="25" t="s">
        <v>226</v>
      </c>
      <c r="Q1587" s="25" t="s">
        <v>95</v>
      </c>
      <c r="R1587" s="25" t="s">
        <v>440</v>
      </c>
      <c r="S1587" s="35">
        <v>0</v>
      </c>
      <c r="T1587" s="16">
        <v>50.97</v>
      </c>
      <c r="U1587" s="19">
        <v>13.2522</v>
      </c>
      <c r="V1587" s="56">
        <f>Table11[[#This Row],[Profit]]/Table11[[#This Row],[Sales]]</f>
        <v>0.26</v>
      </c>
    </row>
    <row r="1588" spans="1:22" x14ac:dyDescent="0.2">
      <c r="A1588" s="4">
        <v>1587</v>
      </c>
      <c r="B1588" s="5" t="s">
        <v>7972</v>
      </c>
      <c r="C1588" s="6">
        <v>42321</v>
      </c>
      <c r="D1588" s="27">
        <f>MONTH(Table11[[#This Row],[Order Date]])</f>
        <v>11</v>
      </c>
      <c r="E1588" s="5" t="s">
        <v>2379</v>
      </c>
      <c r="F1588" s="5" t="s">
        <v>2380</v>
      </c>
      <c r="G1588" s="24" t="s">
        <v>41</v>
      </c>
      <c r="H1588" s="24" t="s">
        <v>82</v>
      </c>
      <c r="I1588" s="5" t="s">
        <v>1176</v>
      </c>
      <c r="J1588" s="24" t="s">
        <v>22</v>
      </c>
      <c r="K1588" s="27">
        <v>2</v>
      </c>
      <c r="L1588" s="6">
        <v>42325</v>
      </c>
      <c r="M1588" s="27">
        <f>Table11[[#This Row],[Ship Date]]-Table11[[#This Row],[Order Date]]</f>
        <v>4</v>
      </c>
      <c r="N1588" s="24" t="s">
        <v>45</v>
      </c>
      <c r="O1588" s="24" t="s">
        <v>23</v>
      </c>
      <c r="P1588" s="24" t="s">
        <v>226</v>
      </c>
      <c r="Q1588" s="24" t="s">
        <v>95</v>
      </c>
      <c r="R1588" s="24" t="s">
        <v>440</v>
      </c>
      <c r="S1588" s="34">
        <v>0</v>
      </c>
      <c r="T1588" s="15">
        <v>96.08</v>
      </c>
      <c r="U1588" s="18">
        <v>46.118400000000001</v>
      </c>
      <c r="V1588" s="56">
        <f>Table11[[#This Row],[Profit]]/Table11[[#This Row],[Sales]]</f>
        <v>0.48000000000000004</v>
      </c>
    </row>
    <row r="1589" spans="1:22" x14ac:dyDescent="0.2">
      <c r="A1589" s="4">
        <v>1588</v>
      </c>
      <c r="B1589" s="3" t="s">
        <v>8140</v>
      </c>
      <c r="C1589" s="7">
        <v>42321</v>
      </c>
      <c r="D1589" s="28">
        <f>MONTH(Table11[[#This Row],[Order Date]])</f>
        <v>11</v>
      </c>
      <c r="E1589" s="3" t="s">
        <v>7599</v>
      </c>
      <c r="F1589" s="3" t="s">
        <v>7600</v>
      </c>
      <c r="G1589" s="25" t="s">
        <v>41</v>
      </c>
      <c r="H1589" s="25" t="s">
        <v>53</v>
      </c>
      <c r="I1589" s="3" t="s">
        <v>1612</v>
      </c>
      <c r="J1589" s="25" t="s">
        <v>22</v>
      </c>
      <c r="K1589" s="28">
        <v>6</v>
      </c>
      <c r="L1589" s="7">
        <v>42325</v>
      </c>
      <c r="M1589" s="28">
        <f>Table11[[#This Row],[Ship Date]]-Table11[[#This Row],[Order Date]]</f>
        <v>4</v>
      </c>
      <c r="N1589" s="25" t="s">
        <v>45</v>
      </c>
      <c r="O1589" s="25" t="s">
        <v>23</v>
      </c>
      <c r="P1589" s="25" t="s">
        <v>299</v>
      </c>
      <c r="Q1589" s="25" t="s">
        <v>26</v>
      </c>
      <c r="R1589" s="25" t="s">
        <v>7930</v>
      </c>
      <c r="S1589" s="35">
        <v>0.2</v>
      </c>
      <c r="T1589" s="16">
        <v>84.96</v>
      </c>
      <c r="U1589" s="19">
        <v>6.3719999999999999</v>
      </c>
      <c r="V1589" s="56">
        <f>Table11[[#This Row],[Profit]]/Table11[[#This Row],[Sales]]</f>
        <v>7.5000000000000011E-2</v>
      </c>
    </row>
    <row r="1590" spans="1:22" x14ac:dyDescent="0.2">
      <c r="A1590" s="2">
        <v>1589</v>
      </c>
      <c r="B1590" s="5" t="s">
        <v>8611</v>
      </c>
      <c r="C1590" s="6">
        <v>42321</v>
      </c>
      <c r="D1590" s="27">
        <f>MONTH(Table11[[#This Row],[Order Date]])</f>
        <v>11</v>
      </c>
      <c r="E1590" s="5" t="s">
        <v>5665</v>
      </c>
      <c r="F1590" s="5" t="s">
        <v>5666</v>
      </c>
      <c r="G1590" s="24" t="s">
        <v>64</v>
      </c>
      <c r="H1590" s="24" t="s">
        <v>65</v>
      </c>
      <c r="I1590" s="5" t="s">
        <v>4572</v>
      </c>
      <c r="J1590" s="24" t="s">
        <v>92</v>
      </c>
      <c r="K1590" s="27">
        <v>5</v>
      </c>
      <c r="L1590" s="6">
        <v>42325</v>
      </c>
      <c r="M1590" s="27">
        <f>Table11[[#This Row],[Ship Date]]-Table11[[#This Row],[Order Date]]</f>
        <v>4</v>
      </c>
      <c r="N1590" s="24" t="s">
        <v>45</v>
      </c>
      <c r="O1590" s="24" t="s">
        <v>23</v>
      </c>
      <c r="P1590" s="24" t="s">
        <v>1561</v>
      </c>
      <c r="Q1590" s="24" t="s">
        <v>39</v>
      </c>
      <c r="R1590" s="24" t="s">
        <v>7277</v>
      </c>
      <c r="S1590" s="34">
        <v>0.2</v>
      </c>
      <c r="T1590" s="15">
        <v>339.96</v>
      </c>
      <c r="U1590" s="18">
        <v>42.494999999999997</v>
      </c>
      <c r="V1590" s="56">
        <f>Table11[[#This Row],[Profit]]/Table11[[#This Row],[Sales]]</f>
        <v>0.125</v>
      </c>
    </row>
    <row r="1591" spans="1:22" x14ac:dyDescent="0.2">
      <c r="A1591" s="4">
        <v>1590</v>
      </c>
      <c r="B1591" s="3" t="s">
        <v>8611</v>
      </c>
      <c r="C1591" s="7">
        <v>42321</v>
      </c>
      <c r="D1591" s="28">
        <f>MONTH(Table11[[#This Row],[Order Date]])</f>
        <v>11</v>
      </c>
      <c r="E1591" s="3" t="s">
        <v>2218</v>
      </c>
      <c r="F1591" s="3" t="s">
        <v>2219</v>
      </c>
      <c r="G1591" s="25" t="s">
        <v>28</v>
      </c>
      <c r="H1591" s="25" t="s">
        <v>58</v>
      </c>
      <c r="I1591" s="3" t="s">
        <v>4572</v>
      </c>
      <c r="J1591" s="25" t="s">
        <v>92</v>
      </c>
      <c r="K1591" s="28">
        <v>7</v>
      </c>
      <c r="L1591" s="7">
        <v>42325</v>
      </c>
      <c r="M1591" s="28">
        <f>Table11[[#This Row],[Ship Date]]-Table11[[#This Row],[Order Date]]</f>
        <v>4</v>
      </c>
      <c r="N1591" s="25" t="s">
        <v>45</v>
      </c>
      <c r="O1591" s="25" t="s">
        <v>23</v>
      </c>
      <c r="P1591" s="25" t="s">
        <v>1561</v>
      </c>
      <c r="Q1591" s="25" t="s">
        <v>39</v>
      </c>
      <c r="R1591" s="25" t="s">
        <v>7277</v>
      </c>
      <c r="S1591" s="35">
        <v>0</v>
      </c>
      <c r="T1591" s="16">
        <v>63.98</v>
      </c>
      <c r="U1591" s="19">
        <v>21.7532</v>
      </c>
      <c r="V1591" s="56">
        <f>Table11[[#This Row],[Profit]]/Table11[[#This Row],[Sales]]</f>
        <v>0.34</v>
      </c>
    </row>
    <row r="1592" spans="1:22" x14ac:dyDescent="0.2">
      <c r="A1592" s="4">
        <v>1591</v>
      </c>
      <c r="B1592" s="5" t="s">
        <v>9364</v>
      </c>
      <c r="C1592" s="6">
        <v>42321</v>
      </c>
      <c r="D1592" s="27">
        <f>MONTH(Table11[[#This Row],[Order Date]])</f>
        <v>11</v>
      </c>
      <c r="E1592" s="5" t="s">
        <v>3794</v>
      </c>
      <c r="F1592" s="5" t="s">
        <v>3795</v>
      </c>
      <c r="G1592" s="24" t="s">
        <v>41</v>
      </c>
      <c r="H1592" s="24" t="s">
        <v>68</v>
      </c>
      <c r="I1592" s="5" t="s">
        <v>1834</v>
      </c>
      <c r="J1592" s="24" t="s">
        <v>22</v>
      </c>
      <c r="K1592" s="27">
        <v>6</v>
      </c>
      <c r="L1592" s="6">
        <v>42326</v>
      </c>
      <c r="M1592" s="27">
        <f>Table11[[#This Row],[Ship Date]]-Table11[[#This Row],[Order Date]]</f>
        <v>5</v>
      </c>
      <c r="N1592" s="24" t="s">
        <v>45</v>
      </c>
      <c r="O1592" s="24" t="s">
        <v>23</v>
      </c>
      <c r="P1592" s="24" t="s">
        <v>48</v>
      </c>
      <c r="Q1592" s="24" t="s">
        <v>26</v>
      </c>
      <c r="R1592" s="24" t="s">
        <v>1253</v>
      </c>
      <c r="S1592" s="34">
        <v>0.7</v>
      </c>
      <c r="T1592" s="15">
        <v>121.104</v>
      </c>
      <c r="U1592" s="18">
        <v>-100.92</v>
      </c>
      <c r="V1592" s="56">
        <f>Table11[[#This Row],[Profit]]/Table11[[#This Row],[Sales]]</f>
        <v>-0.83333333333333337</v>
      </c>
    </row>
    <row r="1593" spans="1:22" x14ac:dyDescent="0.2">
      <c r="A1593" s="2">
        <v>1592</v>
      </c>
      <c r="B1593" s="3" t="s">
        <v>9364</v>
      </c>
      <c r="C1593" s="7">
        <v>42321</v>
      </c>
      <c r="D1593" s="28">
        <f>MONTH(Table11[[#This Row],[Order Date]])</f>
        <v>11</v>
      </c>
      <c r="E1593" s="3" t="s">
        <v>3988</v>
      </c>
      <c r="F1593" s="3" t="s">
        <v>3989</v>
      </c>
      <c r="G1593" s="25" t="s">
        <v>64</v>
      </c>
      <c r="H1593" s="25" t="s">
        <v>144</v>
      </c>
      <c r="I1593" s="3" t="s">
        <v>1834</v>
      </c>
      <c r="J1593" s="25" t="s">
        <v>22</v>
      </c>
      <c r="K1593" s="28">
        <v>5</v>
      </c>
      <c r="L1593" s="7">
        <v>42326</v>
      </c>
      <c r="M1593" s="28">
        <f>Table11[[#This Row],[Ship Date]]-Table11[[#This Row],[Order Date]]</f>
        <v>5</v>
      </c>
      <c r="N1593" s="25" t="s">
        <v>45</v>
      </c>
      <c r="O1593" s="25" t="s">
        <v>23</v>
      </c>
      <c r="P1593" s="25" t="s">
        <v>48</v>
      </c>
      <c r="Q1593" s="25" t="s">
        <v>26</v>
      </c>
      <c r="R1593" s="25" t="s">
        <v>1253</v>
      </c>
      <c r="S1593" s="35">
        <v>0.2</v>
      </c>
      <c r="T1593" s="16">
        <v>111.96</v>
      </c>
      <c r="U1593" s="19">
        <v>-1.3995</v>
      </c>
      <c r="V1593" s="56">
        <f>Table11[[#This Row],[Profit]]/Table11[[#This Row],[Sales]]</f>
        <v>-1.2500000000000001E-2</v>
      </c>
    </row>
    <row r="1594" spans="1:22" x14ac:dyDescent="0.2">
      <c r="A1594" s="4">
        <v>1593</v>
      </c>
      <c r="B1594" s="5" t="s">
        <v>9994</v>
      </c>
      <c r="C1594" s="6">
        <v>42321</v>
      </c>
      <c r="D1594" s="27">
        <f>MONTH(Table11[[#This Row],[Order Date]])</f>
        <v>11</v>
      </c>
      <c r="E1594" s="5" t="s">
        <v>2722</v>
      </c>
      <c r="F1594" s="5" t="s">
        <v>2723</v>
      </c>
      <c r="G1594" s="24" t="s">
        <v>28</v>
      </c>
      <c r="H1594" s="24" t="s">
        <v>29</v>
      </c>
      <c r="I1594" s="5" t="s">
        <v>1051</v>
      </c>
      <c r="J1594" s="24" t="s">
        <v>22</v>
      </c>
      <c r="K1594" s="27">
        <v>3</v>
      </c>
      <c r="L1594" s="6">
        <v>42325</v>
      </c>
      <c r="M1594" s="27">
        <f>Table11[[#This Row],[Ship Date]]-Table11[[#This Row],[Order Date]]</f>
        <v>4</v>
      </c>
      <c r="N1594" s="24" t="s">
        <v>45</v>
      </c>
      <c r="O1594" s="24" t="s">
        <v>23</v>
      </c>
      <c r="P1594" s="24" t="s">
        <v>94</v>
      </c>
      <c r="Q1594" s="24" t="s">
        <v>95</v>
      </c>
      <c r="R1594" s="24" t="s">
        <v>165</v>
      </c>
      <c r="S1594" s="34">
        <v>0.32</v>
      </c>
      <c r="T1594" s="15">
        <v>613.99919999999997</v>
      </c>
      <c r="U1594" s="18">
        <v>-18.058800000000002</v>
      </c>
      <c r="V1594" s="56">
        <f>Table11[[#This Row],[Profit]]/Table11[[#This Row],[Sales]]</f>
        <v>-2.9411764705882356E-2</v>
      </c>
    </row>
    <row r="1595" spans="1:22" x14ac:dyDescent="0.2">
      <c r="A1595" s="4">
        <v>1594</v>
      </c>
      <c r="B1595" s="3" t="s">
        <v>10111</v>
      </c>
      <c r="C1595" s="7">
        <v>42321</v>
      </c>
      <c r="D1595" s="28">
        <f>MONTH(Table11[[#This Row],[Order Date]])</f>
        <v>11</v>
      </c>
      <c r="E1595" s="3" t="s">
        <v>5636</v>
      </c>
      <c r="F1595" s="3" t="s">
        <v>5637</v>
      </c>
      <c r="G1595" s="25" t="s">
        <v>41</v>
      </c>
      <c r="H1595" s="25" t="s">
        <v>68</v>
      </c>
      <c r="I1595" s="3" t="s">
        <v>1264</v>
      </c>
      <c r="J1595" s="25" t="s">
        <v>22</v>
      </c>
      <c r="K1595" s="28">
        <v>2</v>
      </c>
      <c r="L1595" s="7">
        <v>42325</v>
      </c>
      <c r="M1595" s="28">
        <f>Table11[[#This Row],[Ship Date]]-Table11[[#This Row],[Order Date]]</f>
        <v>4</v>
      </c>
      <c r="N1595" s="25" t="s">
        <v>45</v>
      </c>
      <c r="O1595" s="25" t="s">
        <v>23</v>
      </c>
      <c r="P1595" s="25" t="s">
        <v>38</v>
      </c>
      <c r="Q1595" s="25" t="s">
        <v>39</v>
      </c>
      <c r="R1595" s="25" t="s">
        <v>4341</v>
      </c>
      <c r="S1595" s="35">
        <v>0.2</v>
      </c>
      <c r="T1595" s="16">
        <v>9.8719999999999999</v>
      </c>
      <c r="U1595" s="19">
        <v>3.4552</v>
      </c>
      <c r="V1595" s="56">
        <f>Table11[[#This Row],[Profit]]/Table11[[#This Row],[Sales]]</f>
        <v>0.35000000000000003</v>
      </c>
    </row>
    <row r="1596" spans="1:22" x14ac:dyDescent="0.2">
      <c r="A1596" s="2">
        <v>1595</v>
      </c>
      <c r="B1596" s="5" t="s">
        <v>10111</v>
      </c>
      <c r="C1596" s="6">
        <v>42321</v>
      </c>
      <c r="D1596" s="27">
        <f>MONTH(Table11[[#This Row],[Order Date]])</f>
        <v>11</v>
      </c>
      <c r="E1596" s="5" t="s">
        <v>5032</v>
      </c>
      <c r="F1596" s="5" t="s">
        <v>5033</v>
      </c>
      <c r="G1596" s="24" t="s">
        <v>28</v>
      </c>
      <c r="H1596" s="24" t="s">
        <v>29</v>
      </c>
      <c r="I1596" s="5" t="s">
        <v>1264</v>
      </c>
      <c r="J1596" s="24" t="s">
        <v>22</v>
      </c>
      <c r="K1596" s="27">
        <v>4</v>
      </c>
      <c r="L1596" s="6">
        <v>42325</v>
      </c>
      <c r="M1596" s="27">
        <f>Table11[[#This Row],[Ship Date]]-Table11[[#This Row],[Order Date]]</f>
        <v>4</v>
      </c>
      <c r="N1596" s="24" t="s">
        <v>45</v>
      </c>
      <c r="O1596" s="24" t="s">
        <v>23</v>
      </c>
      <c r="P1596" s="24" t="s">
        <v>38</v>
      </c>
      <c r="Q1596" s="24" t="s">
        <v>39</v>
      </c>
      <c r="R1596" s="24" t="s">
        <v>4341</v>
      </c>
      <c r="S1596" s="34">
        <v>0.15</v>
      </c>
      <c r="T1596" s="15">
        <v>683.33199999999999</v>
      </c>
      <c r="U1596" s="18">
        <v>-40.195999999999998</v>
      </c>
      <c r="V1596" s="56">
        <f>Table11[[#This Row],[Profit]]/Table11[[#This Row],[Sales]]</f>
        <v>-5.8823529411764705E-2</v>
      </c>
    </row>
    <row r="1597" spans="1:22" x14ac:dyDescent="0.2">
      <c r="A1597" s="4">
        <v>1596</v>
      </c>
      <c r="B1597" s="3" t="s">
        <v>10111</v>
      </c>
      <c r="C1597" s="7">
        <v>42321</v>
      </c>
      <c r="D1597" s="28">
        <f>MONTH(Table11[[#This Row],[Order Date]])</f>
        <v>11</v>
      </c>
      <c r="E1597" s="3" t="s">
        <v>5889</v>
      </c>
      <c r="F1597" s="3" t="s">
        <v>5890</v>
      </c>
      <c r="G1597" s="25" t="s">
        <v>41</v>
      </c>
      <c r="H1597" s="25" t="s">
        <v>82</v>
      </c>
      <c r="I1597" s="3" t="s">
        <v>1264</v>
      </c>
      <c r="J1597" s="25" t="s">
        <v>22</v>
      </c>
      <c r="K1597" s="28">
        <v>7</v>
      </c>
      <c r="L1597" s="7">
        <v>42325</v>
      </c>
      <c r="M1597" s="28">
        <f>Table11[[#This Row],[Ship Date]]-Table11[[#This Row],[Order Date]]</f>
        <v>4</v>
      </c>
      <c r="N1597" s="25" t="s">
        <v>45</v>
      </c>
      <c r="O1597" s="25" t="s">
        <v>23</v>
      </c>
      <c r="P1597" s="25" t="s">
        <v>38</v>
      </c>
      <c r="Q1597" s="25" t="s">
        <v>39</v>
      </c>
      <c r="R1597" s="25" t="s">
        <v>4341</v>
      </c>
      <c r="S1597" s="35">
        <v>0</v>
      </c>
      <c r="T1597" s="16">
        <v>29.96</v>
      </c>
      <c r="U1597" s="19">
        <v>13.481999999999999</v>
      </c>
      <c r="V1597" s="56">
        <f>Table11[[#This Row],[Profit]]/Table11[[#This Row],[Sales]]</f>
        <v>0.44999999999999996</v>
      </c>
    </row>
    <row r="1598" spans="1:22" x14ac:dyDescent="0.2">
      <c r="A1598" s="4">
        <v>1597</v>
      </c>
      <c r="B1598" s="5" t="s">
        <v>4836</v>
      </c>
      <c r="C1598" s="6">
        <v>42322</v>
      </c>
      <c r="D1598" s="27">
        <f>MONTH(Table11[[#This Row],[Order Date]])</f>
        <v>11</v>
      </c>
      <c r="E1598" s="5" t="s">
        <v>4266</v>
      </c>
      <c r="F1598" s="5" t="s">
        <v>4267</v>
      </c>
      <c r="G1598" s="24" t="s">
        <v>64</v>
      </c>
      <c r="H1598" s="24" t="s">
        <v>144</v>
      </c>
      <c r="I1598" s="5" t="s">
        <v>4692</v>
      </c>
      <c r="J1598" s="24" t="s">
        <v>36</v>
      </c>
      <c r="K1598" s="27">
        <v>2</v>
      </c>
      <c r="L1598" s="6">
        <v>42327</v>
      </c>
      <c r="M1598" s="27">
        <f>Table11[[#This Row],[Ship Date]]-Table11[[#This Row],[Order Date]]</f>
        <v>5</v>
      </c>
      <c r="N1598" s="24" t="s">
        <v>45</v>
      </c>
      <c r="O1598" s="24" t="s">
        <v>23</v>
      </c>
      <c r="P1598" s="24" t="s">
        <v>238</v>
      </c>
      <c r="Q1598" s="24" t="s">
        <v>133</v>
      </c>
      <c r="R1598" s="24" t="s">
        <v>237</v>
      </c>
      <c r="S1598" s="34">
        <v>0</v>
      </c>
      <c r="T1598" s="15">
        <v>37.6</v>
      </c>
      <c r="U1598" s="18">
        <v>2.2559999999999998</v>
      </c>
      <c r="V1598" s="56">
        <f>Table11[[#This Row],[Profit]]/Table11[[#This Row],[Sales]]</f>
        <v>5.9999999999999991E-2</v>
      </c>
    </row>
    <row r="1599" spans="1:22" x14ac:dyDescent="0.2">
      <c r="A1599" s="2">
        <v>1598</v>
      </c>
      <c r="B1599" s="3" t="s">
        <v>4836</v>
      </c>
      <c r="C1599" s="7">
        <v>42322</v>
      </c>
      <c r="D1599" s="28">
        <f>MONTH(Table11[[#This Row],[Order Date]])</f>
        <v>11</v>
      </c>
      <c r="E1599" s="3" t="s">
        <v>1837</v>
      </c>
      <c r="F1599" s="3" t="s">
        <v>1838</v>
      </c>
      <c r="G1599" s="25" t="s">
        <v>64</v>
      </c>
      <c r="H1599" s="25" t="s">
        <v>144</v>
      </c>
      <c r="I1599" s="3" t="s">
        <v>4692</v>
      </c>
      <c r="J1599" s="25" t="s">
        <v>36</v>
      </c>
      <c r="K1599" s="28">
        <v>2</v>
      </c>
      <c r="L1599" s="7">
        <v>42327</v>
      </c>
      <c r="M1599" s="28">
        <f>Table11[[#This Row],[Ship Date]]-Table11[[#This Row],[Order Date]]</f>
        <v>5</v>
      </c>
      <c r="N1599" s="25" t="s">
        <v>45</v>
      </c>
      <c r="O1599" s="25" t="s">
        <v>23</v>
      </c>
      <c r="P1599" s="25" t="s">
        <v>238</v>
      </c>
      <c r="Q1599" s="25" t="s">
        <v>133</v>
      </c>
      <c r="R1599" s="25" t="s">
        <v>237</v>
      </c>
      <c r="S1599" s="35">
        <v>0</v>
      </c>
      <c r="T1599" s="16">
        <v>59.9</v>
      </c>
      <c r="U1599" s="19">
        <v>23.96</v>
      </c>
      <c r="V1599" s="56">
        <f>Table11[[#This Row],[Profit]]/Table11[[#This Row],[Sales]]</f>
        <v>0.4</v>
      </c>
    </row>
    <row r="1600" spans="1:22" x14ac:dyDescent="0.2">
      <c r="A1600" s="4">
        <v>1599</v>
      </c>
      <c r="B1600" s="5" t="s">
        <v>4836</v>
      </c>
      <c r="C1600" s="6">
        <v>42322</v>
      </c>
      <c r="D1600" s="27">
        <f>MONTH(Table11[[#This Row],[Order Date]])</f>
        <v>11</v>
      </c>
      <c r="E1600" s="5" t="s">
        <v>3304</v>
      </c>
      <c r="F1600" s="5" t="s">
        <v>3305</v>
      </c>
      <c r="G1600" s="24" t="s">
        <v>41</v>
      </c>
      <c r="H1600" s="24" t="s">
        <v>82</v>
      </c>
      <c r="I1600" s="5" t="s">
        <v>4692</v>
      </c>
      <c r="J1600" s="24" t="s">
        <v>36</v>
      </c>
      <c r="K1600" s="27">
        <v>5</v>
      </c>
      <c r="L1600" s="6">
        <v>42327</v>
      </c>
      <c r="M1600" s="27">
        <f>Table11[[#This Row],[Ship Date]]-Table11[[#This Row],[Order Date]]</f>
        <v>5</v>
      </c>
      <c r="N1600" s="24" t="s">
        <v>45</v>
      </c>
      <c r="O1600" s="24" t="s">
        <v>23</v>
      </c>
      <c r="P1600" s="24" t="s">
        <v>238</v>
      </c>
      <c r="Q1600" s="24" t="s">
        <v>133</v>
      </c>
      <c r="R1600" s="24" t="s">
        <v>237</v>
      </c>
      <c r="S1600" s="34">
        <v>0</v>
      </c>
      <c r="T1600" s="15">
        <v>37</v>
      </c>
      <c r="U1600" s="18">
        <v>16.649999999999999</v>
      </c>
      <c r="V1600" s="56">
        <f>Table11[[#This Row],[Profit]]/Table11[[#This Row],[Sales]]</f>
        <v>0.44999999999999996</v>
      </c>
    </row>
    <row r="1601" spans="1:22" x14ac:dyDescent="0.2">
      <c r="A1601" s="4">
        <v>1600</v>
      </c>
      <c r="B1601" s="3" t="s">
        <v>4885</v>
      </c>
      <c r="C1601" s="7">
        <v>42322</v>
      </c>
      <c r="D1601" s="28">
        <f>MONTH(Table11[[#This Row],[Order Date]])</f>
        <v>11</v>
      </c>
      <c r="E1601" s="3" t="s">
        <v>2130</v>
      </c>
      <c r="F1601" s="3" t="s">
        <v>2131</v>
      </c>
      <c r="G1601" s="25" t="s">
        <v>41</v>
      </c>
      <c r="H1601" s="25" t="s">
        <v>155</v>
      </c>
      <c r="I1601" s="3" t="s">
        <v>4692</v>
      </c>
      <c r="J1601" s="25" t="s">
        <v>36</v>
      </c>
      <c r="K1601" s="28">
        <v>2</v>
      </c>
      <c r="L1601" s="7">
        <v>42325</v>
      </c>
      <c r="M1601" s="28">
        <f>Table11[[#This Row],[Ship Date]]-Table11[[#This Row],[Order Date]]</f>
        <v>3</v>
      </c>
      <c r="N1601" s="25" t="s">
        <v>169</v>
      </c>
      <c r="O1601" s="25" t="s">
        <v>23</v>
      </c>
      <c r="P1601" s="25" t="s">
        <v>285</v>
      </c>
      <c r="Q1601" s="25" t="s">
        <v>26</v>
      </c>
      <c r="R1601" s="25" t="s">
        <v>284</v>
      </c>
      <c r="S1601" s="35">
        <v>0</v>
      </c>
      <c r="T1601" s="16">
        <v>33.96</v>
      </c>
      <c r="U1601" s="19">
        <v>16.98</v>
      </c>
      <c r="V1601" s="56">
        <f>Table11[[#This Row],[Profit]]/Table11[[#This Row],[Sales]]</f>
        <v>0.5</v>
      </c>
    </row>
    <row r="1602" spans="1:22" x14ac:dyDescent="0.2">
      <c r="A1602" s="2">
        <v>1601</v>
      </c>
      <c r="B1602" s="5" t="s">
        <v>4885</v>
      </c>
      <c r="C1602" s="6">
        <v>42322</v>
      </c>
      <c r="D1602" s="27">
        <f>MONTH(Table11[[#This Row],[Order Date]])</f>
        <v>11</v>
      </c>
      <c r="E1602" s="5" t="s">
        <v>4886</v>
      </c>
      <c r="F1602" s="5" t="s">
        <v>4887</v>
      </c>
      <c r="G1602" s="24" t="s">
        <v>41</v>
      </c>
      <c r="H1602" s="24" t="s">
        <v>71</v>
      </c>
      <c r="I1602" s="5" t="s">
        <v>4692</v>
      </c>
      <c r="J1602" s="24" t="s">
        <v>36</v>
      </c>
      <c r="K1602" s="27">
        <v>3</v>
      </c>
      <c r="L1602" s="6">
        <v>42325</v>
      </c>
      <c r="M1602" s="27">
        <f>Table11[[#This Row],[Ship Date]]-Table11[[#This Row],[Order Date]]</f>
        <v>3</v>
      </c>
      <c r="N1602" s="24" t="s">
        <v>169</v>
      </c>
      <c r="O1602" s="24" t="s">
        <v>23</v>
      </c>
      <c r="P1602" s="24" t="s">
        <v>285</v>
      </c>
      <c r="Q1602" s="24" t="s">
        <v>26</v>
      </c>
      <c r="R1602" s="24" t="s">
        <v>284</v>
      </c>
      <c r="S1602" s="34">
        <v>0</v>
      </c>
      <c r="T1602" s="15">
        <v>826.11</v>
      </c>
      <c r="U1602" s="18">
        <v>322.18290000000002</v>
      </c>
      <c r="V1602" s="56">
        <f>Table11[[#This Row],[Profit]]/Table11[[#This Row],[Sales]]</f>
        <v>0.39</v>
      </c>
    </row>
    <row r="1603" spans="1:22" x14ac:dyDescent="0.2">
      <c r="A1603" s="4">
        <v>1602</v>
      </c>
      <c r="B1603" s="3" t="s">
        <v>6254</v>
      </c>
      <c r="C1603" s="7">
        <v>42322</v>
      </c>
      <c r="D1603" s="28">
        <f>MONTH(Table11[[#This Row],[Order Date]])</f>
        <v>11</v>
      </c>
      <c r="E1603" s="3" t="s">
        <v>798</v>
      </c>
      <c r="F1603" s="3" t="s">
        <v>6256</v>
      </c>
      <c r="G1603" s="25" t="s">
        <v>28</v>
      </c>
      <c r="H1603" s="25" t="s">
        <v>58</v>
      </c>
      <c r="I1603" s="3" t="s">
        <v>6255</v>
      </c>
      <c r="J1603" s="25" t="s">
        <v>22</v>
      </c>
      <c r="K1603" s="28">
        <v>3</v>
      </c>
      <c r="L1603" s="7">
        <v>42327</v>
      </c>
      <c r="M1603" s="28">
        <f>Table11[[#This Row],[Ship Date]]-Table11[[#This Row],[Order Date]]</f>
        <v>5</v>
      </c>
      <c r="N1603" s="25" t="s">
        <v>45</v>
      </c>
      <c r="O1603" s="25" t="s">
        <v>23</v>
      </c>
      <c r="P1603" s="25" t="s">
        <v>218</v>
      </c>
      <c r="Q1603" s="25" t="s">
        <v>133</v>
      </c>
      <c r="R1603" s="25" t="s">
        <v>217</v>
      </c>
      <c r="S1603" s="35">
        <v>0</v>
      </c>
      <c r="T1603" s="16">
        <v>76.14</v>
      </c>
      <c r="U1603" s="19">
        <v>26.649000000000001</v>
      </c>
      <c r="V1603" s="56">
        <f>Table11[[#This Row],[Profit]]/Table11[[#This Row],[Sales]]</f>
        <v>0.35000000000000003</v>
      </c>
    </row>
    <row r="1604" spans="1:22" x14ac:dyDescent="0.2">
      <c r="A1604" s="4">
        <v>1603</v>
      </c>
      <c r="B1604" s="5" t="s">
        <v>6254</v>
      </c>
      <c r="C1604" s="6">
        <v>42322</v>
      </c>
      <c r="D1604" s="27">
        <f>MONTH(Table11[[#This Row],[Order Date]])</f>
        <v>11</v>
      </c>
      <c r="E1604" s="5" t="s">
        <v>4380</v>
      </c>
      <c r="F1604" s="5" t="s">
        <v>4381</v>
      </c>
      <c r="G1604" s="24" t="s">
        <v>41</v>
      </c>
      <c r="H1604" s="24" t="s">
        <v>68</v>
      </c>
      <c r="I1604" s="5" t="s">
        <v>6255</v>
      </c>
      <c r="J1604" s="24" t="s">
        <v>22</v>
      </c>
      <c r="K1604" s="27">
        <v>2</v>
      </c>
      <c r="L1604" s="6">
        <v>42327</v>
      </c>
      <c r="M1604" s="27">
        <f>Table11[[#This Row],[Ship Date]]-Table11[[#This Row],[Order Date]]</f>
        <v>5</v>
      </c>
      <c r="N1604" s="24" t="s">
        <v>45</v>
      </c>
      <c r="O1604" s="24" t="s">
        <v>23</v>
      </c>
      <c r="P1604" s="24" t="s">
        <v>218</v>
      </c>
      <c r="Q1604" s="24" t="s">
        <v>133</v>
      </c>
      <c r="R1604" s="24" t="s">
        <v>217</v>
      </c>
      <c r="S1604" s="34">
        <v>0</v>
      </c>
      <c r="T1604" s="15">
        <v>19.96</v>
      </c>
      <c r="U1604" s="18">
        <v>9.3811999999999998</v>
      </c>
      <c r="V1604" s="56">
        <f>Table11[[#This Row],[Profit]]/Table11[[#This Row],[Sales]]</f>
        <v>0.47</v>
      </c>
    </row>
    <row r="1605" spans="1:22" x14ac:dyDescent="0.2">
      <c r="A1605" s="2">
        <v>1604</v>
      </c>
      <c r="B1605" s="3" t="s">
        <v>6325</v>
      </c>
      <c r="C1605" s="7">
        <v>42322</v>
      </c>
      <c r="D1605" s="28">
        <f>MONTH(Table11[[#This Row],[Order Date]])</f>
        <v>11</v>
      </c>
      <c r="E1605" s="3" t="s">
        <v>6326</v>
      </c>
      <c r="F1605" s="3" t="s">
        <v>6327</v>
      </c>
      <c r="G1605" s="25" t="s">
        <v>64</v>
      </c>
      <c r="H1605" s="25" t="s">
        <v>144</v>
      </c>
      <c r="I1605" s="3" t="s">
        <v>535</v>
      </c>
      <c r="J1605" s="25" t="s">
        <v>92</v>
      </c>
      <c r="K1605" s="28">
        <v>2</v>
      </c>
      <c r="L1605" s="7">
        <v>42328</v>
      </c>
      <c r="M1605" s="28">
        <f>Table11[[#This Row],[Ship Date]]-Table11[[#This Row],[Order Date]]</f>
        <v>6</v>
      </c>
      <c r="N1605" s="25" t="s">
        <v>45</v>
      </c>
      <c r="O1605" s="25" t="s">
        <v>23</v>
      </c>
      <c r="P1605" s="25" t="s">
        <v>132</v>
      </c>
      <c r="Q1605" s="25" t="s">
        <v>133</v>
      </c>
      <c r="R1605" s="25" t="s">
        <v>131</v>
      </c>
      <c r="S1605" s="35">
        <v>0.2</v>
      </c>
      <c r="T1605" s="16">
        <v>47.984000000000002</v>
      </c>
      <c r="U1605" s="19">
        <v>-1.1996</v>
      </c>
      <c r="V1605" s="56">
        <f>Table11[[#This Row],[Profit]]/Table11[[#This Row],[Sales]]</f>
        <v>-2.4999999999999998E-2</v>
      </c>
    </row>
    <row r="1606" spans="1:22" x14ac:dyDescent="0.2">
      <c r="A1606" s="4">
        <v>1605</v>
      </c>
      <c r="B1606" s="5" t="s">
        <v>7678</v>
      </c>
      <c r="C1606" s="6">
        <v>42322</v>
      </c>
      <c r="D1606" s="27">
        <f>MONTH(Table11[[#This Row],[Order Date]])</f>
        <v>11</v>
      </c>
      <c r="E1606" s="5" t="s">
        <v>239</v>
      </c>
      <c r="F1606" s="5" t="s">
        <v>241</v>
      </c>
      <c r="G1606" s="24" t="s">
        <v>41</v>
      </c>
      <c r="H1606" s="24" t="s">
        <v>240</v>
      </c>
      <c r="I1606" s="5" t="s">
        <v>122</v>
      </c>
      <c r="J1606" s="24" t="s">
        <v>36</v>
      </c>
      <c r="K1606" s="27">
        <v>5</v>
      </c>
      <c r="L1606" s="6">
        <v>42325</v>
      </c>
      <c r="M1606" s="27">
        <f>Table11[[#This Row],[Ship Date]]-Table11[[#This Row],[Order Date]]</f>
        <v>3</v>
      </c>
      <c r="N1606" s="24" t="s">
        <v>169</v>
      </c>
      <c r="O1606" s="24" t="s">
        <v>23</v>
      </c>
      <c r="P1606" s="24" t="s">
        <v>374</v>
      </c>
      <c r="Q1606" s="24" t="s">
        <v>39</v>
      </c>
      <c r="R1606" s="24" t="s">
        <v>284</v>
      </c>
      <c r="S1606" s="34">
        <v>0.2</v>
      </c>
      <c r="T1606" s="15">
        <v>8.7200000000000006</v>
      </c>
      <c r="U1606" s="18">
        <v>2.2890000000000001</v>
      </c>
      <c r="V1606" s="56">
        <f>Table11[[#This Row],[Profit]]/Table11[[#This Row],[Sales]]</f>
        <v>0.26250000000000001</v>
      </c>
    </row>
    <row r="1607" spans="1:22" x14ac:dyDescent="0.2">
      <c r="A1607" s="4">
        <v>1606</v>
      </c>
      <c r="B1607" s="3" t="s">
        <v>7678</v>
      </c>
      <c r="C1607" s="7">
        <v>42322</v>
      </c>
      <c r="D1607" s="28">
        <f>MONTH(Table11[[#This Row],[Order Date]])</f>
        <v>11</v>
      </c>
      <c r="E1607" s="3" t="s">
        <v>4730</v>
      </c>
      <c r="F1607" s="3" t="s">
        <v>4731</v>
      </c>
      <c r="G1607" s="25" t="s">
        <v>64</v>
      </c>
      <c r="H1607" s="25" t="s">
        <v>144</v>
      </c>
      <c r="I1607" s="3" t="s">
        <v>122</v>
      </c>
      <c r="J1607" s="25" t="s">
        <v>36</v>
      </c>
      <c r="K1607" s="28">
        <v>3</v>
      </c>
      <c r="L1607" s="7">
        <v>42325</v>
      </c>
      <c r="M1607" s="28">
        <f>Table11[[#This Row],[Ship Date]]-Table11[[#This Row],[Order Date]]</f>
        <v>3</v>
      </c>
      <c r="N1607" s="25" t="s">
        <v>169</v>
      </c>
      <c r="O1607" s="25" t="s">
        <v>23</v>
      </c>
      <c r="P1607" s="25" t="s">
        <v>374</v>
      </c>
      <c r="Q1607" s="25" t="s">
        <v>39</v>
      </c>
      <c r="R1607" s="25" t="s">
        <v>284</v>
      </c>
      <c r="S1607" s="35">
        <v>0.2</v>
      </c>
      <c r="T1607" s="16">
        <v>91.176000000000002</v>
      </c>
      <c r="U1607" s="19">
        <v>4.5587999999999997</v>
      </c>
      <c r="V1607" s="56">
        <f>Table11[[#This Row],[Profit]]/Table11[[#This Row],[Sales]]</f>
        <v>4.9999999999999996E-2</v>
      </c>
    </row>
    <row r="1608" spans="1:22" x14ac:dyDescent="0.2">
      <c r="A1608" s="2">
        <v>1607</v>
      </c>
      <c r="B1608" s="5" t="s">
        <v>7678</v>
      </c>
      <c r="C1608" s="6">
        <v>42322</v>
      </c>
      <c r="D1608" s="27">
        <f>MONTH(Table11[[#This Row],[Order Date]])</f>
        <v>11</v>
      </c>
      <c r="E1608" s="5" t="s">
        <v>4387</v>
      </c>
      <c r="F1608" s="5" t="s">
        <v>4388</v>
      </c>
      <c r="G1608" s="24" t="s">
        <v>64</v>
      </c>
      <c r="H1608" s="24" t="s">
        <v>144</v>
      </c>
      <c r="I1608" s="5" t="s">
        <v>122</v>
      </c>
      <c r="J1608" s="24" t="s">
        <v>36</v>
      </c>
      <c r="K1608" s="27">
        <v>4</v>
      </c>
      <c r="L1608" s="6">
        <v>42325</v>
      </c>
      <c r="M1608" s="27">
        <f>Table11[[#This Row],[Ship Date]]-Table11[[#This Row],[Order Date]]</f>
        <v>3</v>
      </c>
      <c r="N1608" s="24" t="s">
        <v>169</v>
      </c>
      <c r="O1608" s="24" t="s">
        <v>23</v>
      </c>
      <c r="P1608" s="24" t="s">
        <v>374</v>
      </c>
      <c r="Q1608" s="24" t="s">
        <v>39</v>
      </c>
      <c r="R1608" s="24" t="s">
        <v>284</v>
      </c>
      <c r="S1608" s="34">
        <v>0.2</v>
      </c>
      <c r="T1608" s="15">
        <v>159.96799999999999</v>
      </c>
      <c r="U1608" s="18">
        <v>29.994</v>
      </c>
      <c r="V1608" s="56">
        <f>Table11[[#This Row],[Profit]]/Table11[[#This Row],[Sales]]</f>
        <v>0.1875</v>
      </c>
    </row>
    <row r="1609" spans="1:22" x14ac:dyDescent="0.2">
      <c r="A1609" s="4">
        <v>1608</v>
      </c>
      <c r="B1609" s="3" t="s">
        <v>8275</v>
      </c>
      <c r="C1609" s="7">
        <v>42322</v>
      </c>
      <c r="D1609" s="28">
        <f>MONTH(Table11[[#This Row],[Order Date]])</f>
        <v>11</v>
      </c>
      <c r="E1609" s="3" t="s">
        <v>606</v>
      </c>
      <c r="F1609" s="3" t="s">
        <v>607</v>
      </c>
      <c r="G1609" s="25" t="s">
        <v>28</v>
      </c>
      <c r="H1609" s="25" t="s">
        <v>32</v>
      </c>
      <c r="I1609" s="3" t="s">
        <v>399</v>
      </c>
      <c r="J1609" s="25" t="s">
        <v>22</v>
      </c>
      <c r="K1609" s="28">
        <v>4</v>
      </c>
      <c r="L1609" s="7">
        <v>42327</v>
      </c>
      <c r="M1609" s="28">
        <f>Table11[[#This Row],[Ship Date]]-Table11[[#This Row],[Order Date]]</f>
        <v>5</v>
      </c>
      <c r="N1609" s="25" t="s">
        <v>45</v>
      </c>
      <c r="O1609" s="25" t="s">
        <v>23</v>
      </c>
      <c r="P1609" s="25" t="s">
        <v>589</v>
      </c>
      <c r="Q1609" s="25" t="s">
        <v>39</v>
      </c>
      <c r="R1609" s="25" t="s">
        <v>8276</v>
      </c>
      <c r="S1609" s="35">
        <v>0.2</v>
      </c>
      <c r="T1609" s="16">
        <v>883.84</v>
      </c>
      <c r="U1609" s="19">
        <v>99.432000000000002</v>
      </c>
      <c r="V1609" s="56">
        <f>Table11[[#This Row],[Profit]]/Table11[[#This Row],[Sales]]</f>
        <v>0.1125</v>
      </c>
    </row>
    <row r="1610" spans="1:22" x14ac:dyDescent="0.2">
      <c r="A1610" s="4">
        <v>1609</v>
      </c>
      <c r="B1610" s="5" t="s">
        <v>8275</v>
      </c>
      <c r="C1610" s="6">
        <v>42322</v>
      </c>
      <c r="D1610" s="27">
        <f>MONTH(Table11[[#This Row],[Order Date]])</f>
        <v>11</v>
      </c>
      <c r="E1610" s="5" t="s">
        <v>957</v>
      </c>
      <c r="F1610" s="5" t="s">
        <v>958</v>
      </c>
      <c r="G1610" s="24" t="s">
        <v>28</v>
      </c>
      <c r="H1610" s="24" t="s">
        <v>32</v>
      </c>
      <c r="I1610" s="5" t="s">
        <v>399</v>
      </c>
      <c r="J1610" s="24" t="s">
        <v>22</v>
      </c>
      <c r="K1610" s="27">
        <v>3</v>
      </c>
      <c r="L1610" s="6">
        <v>42327</v>
      </c>
      <c r="M1610" s="27">
        <f>Table11[[#This Row],[Ship Date]]-Table11[[#This Row],[Order Date]]</f>
        <v>5</v>
      </c>
      <c r="N1610" s="24" t="s">
        <v>45</v>
      </c>
      <c r="O1610" s="24" t="s">
        <v>23</v>
      </c>
      <c r="P1610" s="24" t="s">
        <v>589</v>
      </c>
      <c r="Q1610" s="24" t="s">
        <v>39</v>
      </c>
      <c r="R1610" s="24" t="s">
        <v>8276</v>
      </c>
      <c r="S1610" s="34">
        <v>0.2</v>
      </c>
      <c r="T1610" s="15">
        <v>230.352</v>
      </c>
      <c r="U1610" s="18">
        <v>20.155799999999999</v>
      </c>
      <c r="V1610" s="56">
        <f>Table11[[#This Row],[Profit]]/Table11[[#This Row],[Sales]]</f>
        <v>8.7499999999999994E-2</v>
      </c>
    </row>
    <row r="1611" spans="1:22" x14ac:dyDescent="0.2">
      <c r="A1611" s="2">
        <v>1610</v>
      </c>
      <c r="B1611" s="3" t="s">
        <v>1652</v>
      </c>
      <c r="C1611" s="7">
        <v>42323</v>
      </c>
      <c r="D1611" s="28">
        <f>MONTH(Table11[[#This Row],[Order Date]])</f>
        <v>11</v>
      </c>
      <c r="E1611" s="3" t="s">
        <v>247</v>
      </c>
      <c r="F1611" s="3" t="s">
        <v>248</v>
      </c>
      <c r="G1611" s="25" t="s">
        <v>41</v>
      </c>
      <c r="H1611" s="25" t="s">
        <v>53</v>
      </c>
      <c r="I1611" s="3" t="s">
        <v>1201</v>
      </c>
      <c r="J1611" s="25" t="s">
        <v>36</v>
      </c>
      <c r="K1611" s="28">
        <v>9</v>
      </c>
      <c r="L1611" s="7">
        <v>42325</v>
      </c>
      <c r="M1611" s="28">
        <f>Table11[[#This Row],[Ship Date]]-Table11[[#This Row],[Order Date]]</f>
        <v>2</v>
      </c>
      <c r="N1611" s="25" t="s">
        <v>20</v>
      </c>
      <c r="O1611" s="25" t="s">
        <v>23</v>
      </c>
      <c r="P1611" s="25" t="s">
        <v>189</v>
      </c>
      <c r="Q1611" s="25" t="s">
        <v>95</v>
      </c>
      <c r="R1611" s="25" t="s">
        <v>271</v>
      </c>
      <c r="S1611" s="35">
        <v>0.2</v>
      </c>
      <c r="T1611" s="16">
        <v>250.27199999999999</v>
      </c>
      <c r="U1611" s="19">
        <v>15.641999999999999</v>
      </c>
      <c r="V1611" s="56">
        <f>Table11[[#This Row],[Profit]]/Table11[[#This Row],[Sales]]</f>
        <v>6.25E-2</v>
      </c>
    </row>
    <row r="1612" spans="1:22" x14ac:dyDescent="0.2">
      <c r="A1612" s="4">
        <v>1611</v>
      </c>
      <c r="B1612" s="5" t="s">
        <v>1652</v>
      </c>
      <c r="C1612" s="6">
        <v>42323</v>
      </c>
      <c r="D1612" s="27">
        <f>MONTH(Table11[[#This Row],[Order Date]])</f>
        <v>11</v>
      </c>
      <c r="E1612" s="5" t="s">
        <v>375</v>
      </c>
      <c r="F1612" s="5" t="s">
        <v>376</v>
      </c>
      <c r="G1612" s="24" t="s">
        <v>41</v>
      </c>
      <c r="H1612" s="24" t="s">
        <v>68</v>
      </c>
      <c r="I1612" s="5" t="s">
        <v>1201</v>
      </c>
      <c r="J1612" s="24" t="s">
        <v>36</v>
      </c>
      <c r="K1612" s="27">
        <v>3</v>
      </c>
      <c r="L1612" s="6">
        <v>42325</v>
      </c>
      <c r="M1612" s="27">
        <f>Table11[[#This Row],[Ship Date]]-Table11[[#This Row],[Order Date]]</f>
        <v>2</v>
      </c>
      <c r="N1612" s="24" t="s">
        <v>20</v>
      </c>
      <c r="O1612" s="24" t="s">
        <v>23</v>
      </c>
      <c r="P1612" s="24" t="s">
        <v>189</v>
      </c>
      <c r="Q1612" s="24" t="s">
        <v>95</v>
      </c>
      <c r="R1612" s="24" t="s">
        <v>271</v>
      </c>
      <c r="S1612" s="34">
        <v>0.8</v>
      </c>
      <c r="T1612" s="15">
        <v>11.364000000000001</v>
      </c>
      <c r="U1612" s="18">
        <v>-17.045999999999999</v>
      </c>
      <c r="V1612" s="56">
        <f>Table11[[#This Row],[Profit]]/Table11[[#This Row],[Sales]]</f>
        <v>-1.4999999999999998</v>
      </c>
    </row>
    <row r="1613" spans="1:22" x14ac:dyDescent="0.2">
      <c r="A1613" s="4">
        <v>1612</v>
      </c>
      <c r="B1613" s="3" t="s">
        <v>1652</v>
      </c>
      <c r="C1613" s="7">
        <v>42323</v>
      </c>
      <c r="D1613" s="28">
        <f>MONTH(Table11[[#This Row],[Order Date]])</f>
        <v>11</v>
      </c>
      <c r="E1613" s="3" t="s">
        <v>1653</v>
      </c>
      <c r="F1613" s="3" t="s">
        <v>1147</v>
      </c>
      <c r="G1613" s="25" t="s">
        <v>41</v>
      </c>
      <c r="H1613" s="25" t="s">
        <v>513</v>
      </c>
      <c r="I1613" s="3" t="s">
        <v>1201</v>
      </c>
      <c r="J1613" s="25" t="s">
        <v>36</v>
      </c>
      <c r="K1613" s="28">
        <v>5</v>
      </c>
      <c r="L1613" s="7">
        <v>42325</v>
      </c>
      <c r="M1613" s="28">
        <f>Table11[[#This Row],[Ship Date]]-Table11[[#This Row],[Order Date]]</f>
        <v>2</v>
      </c>
      <c r="N1613" s="25" t="s">
        <v>20</v>
      </c>
      <c r="O1613" s="25" t="s">
        <v>23</v>
      </c>
      <c r="P1613" s="25" t="s">
        <v>189</v>
      </c>
      <c r="Q1613" s="25" t="s">
        <v>95</v>
      </c>
      <c r="R1613" s="25" t="s">
        <v>271</v>
      </c>
      <c r="S1613" s="35">
        <v>0.2</v>
      </c>
      <c r="T1613" s="16">
        <v>8.7200000000000006</v>
      </c>
      <c r="U1613" s="19">
        <v>-1.744</v>
      </c>
      <c r="V1613" s="56">
        <f>Table11[[#This Row],[Profit]]/Table11[[#This Row],[Sales]]</f>
        <v>-0.19999999999999998</v>
      </c>
    </row>
    <row r="1614" spans="1:22" x14ac:dyDescent="0.2">
      <c r="A1614" s="2">
        <v>1613</v>
      </c>
      <c r="B1614" s="5" t="s">
        <v>7965</v>
      </c>
      <c r="C1614" s="6">
        <v>42323</v>
      </c>
      <c r="D1614" s="27">
        <f>MONTH(Table11[[#This Row],[Order Date]])</f>
        <v>11</v>
      </c>
      <c r="E1614" s="5" t="s">
        <v>1366</v>
      </c>
      <c r="F1614" s="5" t="s">
        <v>1367</v>
      </c>
      <c r="G1614" s="24" t="s">
        <v>41</v>
      </c>
      <c r="H1614" s="24" t="s">
        <v>53</v>
      </c>
      <c r="I1614" s="5" t="s">
        <v>1437</v>
      </c>
      <c r="J1614" s="24" t="s">
        <v>36</v>
      </c>
      <c r="K1614" s="27">
        <v>3</v>
      </c>
      <c r="L1614" s="6">
        <v>42325</v>
      </c>
      <c r="M1614" s="27">
        <f>Table11[[#This Row],[Ship Date]]-Table11[[#This Row],[Order Date]]</f>
        <v>2</v>
      </c>
      <c r="N1614" s="24" t="s">
        <v>169</v>
      </c>
      <c r="O1614" s="24" t="s">
        <v>23</v>
      </c>
      <c r="P1614" s="24" t="s">
        <v>238</v>
      </c>
      <c r="Q1614" s="24" t="s">
        <v>133</v>
      </c>
      <c r="R1614" s="24" t="s">
        <v>237</v>
      </c>
      <c r="S1614" s="34">
        <v>0</v>
      </c>
      <c r="T1614" s="15">
        <v>70.95</v>
      </c>
      <c r="U1614" s="18">
        <v>20.575500000000002</v>
      </c>
      <c r="V1614" s="56">
        <f>Table11[[#This Row],[Profit]]/Table11[[#This Row],[Sales]]</f>
        <v>0.29000000000000004</v>
      </c>
    </row>
    <row r="1615" spans="1:22" x14ac:dyDescent="0.2">
      <c r="A1615" s="4">
        <v>1614</v>
      </c>
      <c r="B1615" s="3" t="s">
        <v>7965</v>
      </c>
      <c r="C1615" s="7">
        <v>42323</v>
      </c>
      <c r="D1615" s="28">
        <f>MONTH(Table11[[#This Row],[Order Date]])</f>
        <v>11</v>
      </c>
      <c r="E1615" s="3" t="s">
        <v>4903</v>
      </c>
      <c r="F1615" s="3" t="s">
        <v>4904</v>
      </c>
      <c r="G1615" s="25" t="s">
        <v>41</v>
      </c>
      <c r="H1615" s="25" t="s">
        <v>68</v>
      </c>
      <c r="I1615" s="3" t="s">
        <v>1437</v>
      </c>
      <c r="J1615" s="25" t="s">
        <v>36</v>
      </c>
      <c r="K1615" s="28">
        <v>6</v>
      </c>
      <c r="L1615" s="7">
        <v>42325</v>
      </c>
      <c r="M1615" s="28">
        <f>Table11[[#This Row],[Ship Date]]-Table11[[#This Row],[Order Date]]</f>
        <v>2</v>
      </c>
      <c r="N1615" s="25" t="s">
        <v>169</v>
      </c>
      <c r="O1615" s="25" t="s">
        <v>23</v>
      </c>
      <c r="P1615" s="25" t="s">
        <v>238</v>
      </c>
      <c r="Q1615" s="25" t="s">
        <v>133</v>
      </c>
      <c r="R1615" s="25" t="s">
        <v>237</v>
      </c>
      <c r="S1615" s="35">
        <v>0.2</v>
      </c>
      <c r="T1615" s="16">
        <v>34.944000000000003</v>
      </c>
      <c r="U1615" s="19">
        <v>11.7936</v>
      </c>
      <c r="V1615" s="56">
        <f>Table11[[#This Row],[Profit]]/Table11[[#This Row],[Sales]]</f>
        <v>0.33749999999999997</v>
      </c>
    </row>
    <row r="1616" spans="1:22" x14ac:dyDescent="0.2">
      <c r="A1616" s="4">
        <v>1615</v>
      </c>
      <c r="B1616" s="5" t="s">
        <v>7965</v>
      </c>
      <c r="C1616" s="6">
        <v>42323</v>
      </c>
      <c r="D1616" s="27">
        <f>MONTH(Table11[[#This Row],[Order Date]])</f>
        <v>11</v>
      </c>
      <c r="E1616" s="5" t="s">
        <v>3644</v>
      </c>
      <c r="F1616" s="5" t="s">
        <v>3645</v>
      </c>
      <c r="G1616" s="24" t="s">
        <v>41</v>
      </c>
      <c r="H1616" s="24" t="s">
        <v>61</v>
      </c>
      <c r="I1616" s="5" t="s">
        <v>1437</v>
      </c>
      <c r="J1616" s="24" t="s">
        <v>36</v>
      </c>
      <c r="K1616" s="27">
        <v>6</v>
      </c>
      <c r="L1616" s="6">
        <v>42325</v>
      </c>
      <c r="M1616" s="27">
        <f>Table11[[#This Row],[Ship Date]]-Table11[[#This Row],[Order Date]]</f>
        <v>2</v>
      </c>
      <c r="N1616" s="24" t="s">
        <v>169</v>
      </c>
      <c r="O1616" s="24" t="s">
        <v>23</v>
      </c>
      <c r="P1616" s="24" t="s">
        <v>238</v>
      </c>
      <c r="Q1616" s="24" t="s">
        <v>133</v>
      </c>
      <c r="R1616" s="24" t="s">
        <v>237</v>
      </c>
      <c r="S1616" s="34">
        <v>0</v>
      </c>
      <c r="T1616" s="15">
        <v>119.04</v>
      </c>
      <c r="U1616" s="18">
        <v>35.712000000000003</v>
      </c>
      <c r="V1616" s="56">
        <f>Table11[[#This Row],[Profit]]/Table11[[#This Row],[Sales]]</f>
        <v>0.3</v>
      </c>
    </row>
    <row r="1617" spans="1:22" x14ac:dyDescent="0.2">
      <c r="A1617" s="2">
        <v>1616</v>
      </c>
      <c r="B1617" s="3" t="s">
        <v>9483</v>
      </c>
      <c r="C1617" s="7">
        <v>42323</v>
      </c>
      <c r="D1617" s="28">
        <f>MONTH(Table11[[#This Row],[Order Date]])</f>
        <v>11</v>
      </c>
      <c r="E1617" s="3" t="s">
        <v>1924</v>
      </c>
      <c r="F1617" s="3" t="s">
        <v>1925</v>
      </c>
      <c r="G1617" s="25" t="s">
        <v>28</v>
      </c>
      <c r="H1617" s="25" t="s">
        <v>58</v>
      </c>
      <c r="I1617" s="3" t="s">
        <v>6275</v>
      </c>
      <c r="J1617" s="25" t="s">
        <v>92</v>
      </c>
      <c r="K1617" s="28">
        <v>2</v>
      </c>
      <c r="L1617" s="7">
        <v>42327</v>
      </c>
      <c r="M1617" s="28">
        <f>Table11[[#This Row],[Ship Date]]-Table11[[#This Row],[Order Date]]</f>
        <v>4</v>
      </c>
      <c r="N1617" s="25" t="s">
        <v>45</v>
      </c>
      <c r="O1617" s="25" t="s">
        <v>23</v>
      </c>
      <c r="P1617" s="25" t="s">
        <v>285</v>
      </c>
      <c r="Q1617" s="25" t="s">
        <v>26</v>
      </c>
      <c r="R1617" s="25" t="s">
        <v>2931</v>
      </c>
      <c r="S1617" s="35">
        <v>0</v>
      </c>
      <c r="T1617" s="16">
        <v>39.96</v>
      </c>
      <c r="U1617" s="19">
        <v>14.3856</v>
      </c>
      <c r="V1617" s="56">
        <f>Table11[[#This Row],[Profit]]/Table11[[#This Row],[Sales]]</f>
        <v>0.36</v>
      </c>
    </row>
    <row r="1618" spans="1:22" x14ac:dyDescent="0.2">
      <c r="A1618" s="4">
        <v>1617</v>
      </c>
      <c r="B1618" s="5" t="s">
        <v>9592</v>
      </c>
      <c r="C1618" s="6">
        <v>42323</v>
      </c>
      <c r="D1618" s="27">
        <f>MONTH(Table11[[#This Row],[Order Date]])</f>
        <v>11</v>
      </c>
      <c r="E1618" s="5" t="s">
        <v>4104</v>
      </c>
      <c r="F1618" s="5" t="s">
        <v>4105</v>
      </c>
      <c r="G1618" s="24" t="s">
        <v>41</v>
      </c>
      <c r="H1618" s="24" t="s">
        <v>68</v>
      </c>
      <c r="I1618" s="5" t="s">
        <v>8221</v>
      </c>
      <c r="J1618" s="24" t="s">
        <v>36</v>
      </c>
      <c r="K1618" s="27">
        <v>13</v>
      </c>
      <c r="L1618" s="6">
        <v>42328</v>
      </c>
      <c r="M1618" s="27">
        <f>Table11[[#This Row],[Ship Date]]-Table11[[#This Row],[Order Date]]</f>
        <v>5</v>
      </c>
      <c r="N1618" s="24" t="s">
        <v>45</v>
      </c>
      <c r="O1618" s="24" t="s">
        <v>23</v>
      </c>
      <c r="P1618" s="24" t="s">
        <v>441</v>
      </c>
      <c r="Q1618" s="24" t="s">
        <v>133</v>
      </c>
      <c r="R1618" s="24" t="s">
        <v>2496</v>
      </c>
      <c r="S1618" s="34">
        <v>0.7</v>
      </c>
      <c r="T1618" s="15">
        <v>166.92</v>
      </c>
      <c r="U1618" s="18">
        <v>-116.84399999999999</v>
      </c>
      <c r="V1618" s="56">
        <f>Table11[[#This Row],[Profit]]/Table11[[#This Row],[Sales]]</f>
        <v>-0.70000000000000007</v>
      </c>
    </row>
    <row r="1619" spans="1:22" x14ac:dyDescent="0.2">
      <c r="A1619" s="4">
        <v>1618</v>
      </c>
      <c r="B1619" s="3" t="s">
        <v>3763</v>
      </c>
      <c r="C1619" s="7">
        <v>42324</v>
      </c>
      <c r="D1619" s="28">
        <f>MONTH(Table11[[#This Row],[Order Date]])</f>
        <v>11</v>
      </c>
      <c r="E1619" s="3" t="s">
        <v>1879</v>
      </c>
      <c r="F1619" s="3" t="s">
        <v>1880</v>
      </c>
      <c r="G1619" s="25" t="s">
        <v>41</v>
      </c>
      <c r="H1619" s="25" t="s">
        <v>71</v>
      </c>
      <c r="I1619" s="3" t="s">
        <v>1351</v>
      </c>
      <c r="J1619" s="25" t="s">
        <v>92</v>
      </c>
      <c r="K1619" s="28">
        <v>5</v>
      </c>
      <c r="L1619" s="7">
        <v>42330</v>
      </c>
      <c r="M1619" s="28">
        <f>Table11[[#This Row],[Ship Date]]-Table11[[#This Row],[Order Date]]</f>
        <v>6</v>
      </c>
      <c r="N1619" s="25" t="s">
        <v>45</v>
      </c>
      <c r="O1619" s="25" t="s">
        <v>23</v>
      </c>
      <c r="P1619" s="25" t="s">
        <v>238</v>
      </c>
      <c r="Q1619" s="25" t="s">
        <v>133</v>
      </c>
      <c r="R1619" s="25" t="s">
        <v>237</v>
      </c>
      <c r="S1619" s="35">
        <v>0</v>
      </c>
      <c r="T1619" s="16">
        <v>523.25</v>
      </c>
      <c r="U1619" s="19">
        <v>141.2775</v>
      </c>
      <c r="V1619" s="56">
        <f>Table11[[#This Row],[Profit]]/Table11[[#This Row],[Sales]]</f>
        <v>0.27</v>
      </c>
    </row>
    <row r="1620" spans="1:22" x14ac:dyDescent="0.2">
      <c r="A1620" s="2">
        <v>1619</v>
      </c>
      <c r="B1620" s="5" t="s">
        <v>5334</v>
      </c>
      <c r="C1620" s="6">
        <v>42324</v>
      </c>
      <c r="D1620" s="27">
        <f>MONTH(Table11[[#This Row],[Order Date]])</f>
        <v>11</v>
      </c>
      <c r="E1620" s="5" t="s">
        <v>1282</v>
      </c>
      <c r="F1620" s="5" t="s">
        <v>1283</v>
      </c>
      <c r="G1620" s="24" t="s">
        <v>41</v>
      </c>
      <c r="H1620" s="24" t="s">
        <v>82</v>
      </c>
      <c r="I1620" s="5" t="s">
        <v>3602</v>
      </c>
      <c r="J1620" s="24" t="s">
        <v>92</v>
      </c>
      <c r="K1620" s="27">
        <v>9</v>
      </c>
      <c r="L1620" s="6">
        <v>42326</v>
      </c>
      <c r="M1620" s="27">
        <f>Table11[[#This Row],[Ship Date]]-Table11[[#This Row],[Order Date]]</f>
        <v>2</v>
      </c>
      <c r="N1620" s="24" t="s">
        <v>20</v>
      </c>
      <c r="O1620" s="24" t="s">
        <v>23</v>
      </c>
      <c r="P1620" s="24" t="s">
        <v>103</v>
      </c>
      <c r="Q1620" s="24" t="s">
        <v>95</v>
      </c>
      <c r="R1620" s="24" t="s">
        <v>2242</v>
      </c>
      <c r="S1620" s="34">
        <v>0</v>
      </c>
      <c r="T1620" s="15">
        <v>179.82</v>
      </c>
      <c r="U1620" s="18">
        <v>84.5154</v>
      </c>
      <c r="V1620" s="56">
        <f>Table11[[#This Row],[Profit]]/Table11[[#This Row],[Sales]]</f>
        <v>0.47000000000000003</v>
      </c>
    </row>
    <row r="1621" spans="1:22" x14ac:dyDescent="0.2">
      <c r="A1621" s="4">
        <v>1620</v>
      </c>
      <c r="B1621" s="3" t="s">
        <v>5334</v>
      </c>
      <c r="C1621" s="7">
        <v>42324</v>
      </c>
      <c r="D1621" s="28">
        <f>MONTH(Table11[[#This Row],[Order Date]])</f>
        <v>11</v>
      </c>
      <c r="E1621" s="3" t="s">
        <v>5335</v>
      </c>
      <c r="F1621" s="3" t="s">
        <v>5336</v>
      </c>
      <c r="G1621" s="25" t="s">
        <v>28</v>
      </c>
      <c r="H1621" s="25" t="s">
        <v>58</v>
      </c>
      <c r="I1621" s="3" t="s">
        <v>3602</v>
      </c>
      <c r="J1621" s="25" t="s">
        <v>92</v>
      </c>
      <c r="K1621" s="28">
        <v>6</v>
      </c>
      <c r="L1621" s="7">
        <v>42326</v>
      </c>
      <c r="M1621" s="28">
        <f>Table11[[#This Row],[Ship Date]]-Table11[[#This Row],[Order Date]]</f>
        <v>2</v>
      </c>
      <c r="N1621" s="25" t="s">
        <v>20</v>
      </c>
      <c r="O1621" s="25" t="s">
        <v>23</v>
      </c>
      <c r="P1621" s="25" t="s">
        <v>103</v>
      </c>
      <c r="Q1621" s="25" t="s">
        <v>95</v>
      </c>
      <c r="R1621" s="25" t="s">
        <v>2242</v>
      </c>
      <c r="S1621" s="35">
        <v>0</v>
      </c>
      <c r="T1621" s="16">
        <v>185.58</v>
      </c>
      <c r="U1621" s="19">
        <v>76.087800000000001</v>
      </c>
      <c r="V1621" s="56">
        <f>Table11[[#This Row],[Profit]]/Table11[[#This Row],[Sales]]</f>
        <v>0.41</v>
      </c>
    </row>
    <row r="1622" spans="1:22" x14ac:dyDescent="0.2">
      <c r="A1622" s="4">
        <v>1621</v>
      </c>
      <c r="B1622" s="5" t="s">
        <v>5334</v>
      </c>
      <c r="C1622" s="6">
        <v>42324</v>
      </c>
      <c r="D1622" s="27">
        <f>MONTH(Table11[[#This Row],[Order Date]])</f>
        <v>11</v>
      </c>
      <c r="E1622" s="5" t="s">
        <v>2469</v>
      </c>
      <c r="F1622" s="5" t="s">
        <v>2470</v>
      </c>
      <c r="G1622" s="24" t="s">
        <v>28</v>
      </c>
      <c r="H1622" s="24" t="s">
        <v>50</v>
      </c>
      <c r="I1622" s="5" t="s">
        <v>3602</v>
      </c>
      <c r="J1622" s="24" t="s">
        <v>92</v>
      </c>
      <c r="K1622" s="27">
        <v>3</v>
      </c>
      <c r="L1622" s="6">
        <v>42326</v>
      </c>
      <c r="M1622" s="27">
        <f>Table11[[#This Row],[Ship Date]]-Table11[[#This Row],[Order Date]]</f>
        <v>2</v>
      </c>
      <c r="N1622" s="24" t="s">
        <v>20</v>
      </c>
      <c r="O1622" s="24" t="s">
        <v>23</v>
      </c>
      <c r="P1622" s="24" t="s">
        <v>103</v>
      </c>
      <c r="Q1622" s="24" t="s">
        <v>95</v>
      </c>
      <c r="R1622" s="24" t="s">
        <v>2242</v>
      </c>
      <c r="S1622" s="34">
        <v>0</v>
      </c>
      <c r="T1622" s="15">
        <v>214.11</v>
      </c>
      <c r="U1622" s="18">
        <v>36.398699999999998</v>
      </c>
      <c r="V1622" s="56">
        <f>Table11[[#This Row],[Profit]]/Table11[[#This Row],[Sales]]</f>
        <v>0.16999999999999998</v>
      </c>
    </row>
    <row r="1623" spans="1:22" x14ac:dyDescent="0.2">
      <c r="A1623" s="2">
        <v>1622</v>
      </c>
      <c r="B1623" s="3" t="s">
        <v>5334</v>
      </c>
      <c r="C1623" s="7">
        <v>42324</v>
      </c>
      <c r="D1623" s="28">
        <f>MONTH(Table11[[#This Row],[Order Date]])</f>
        <v>11</v>
      </c>
      <c r="E1623" s="3" t="s">
        <v>4658</v>
      </c>
      <c r="F1623" s="3" t="s">
        <v>4659</v>
      </c>
      <c r="G1623" s="25" t="s">
        <v>64</v>
      </c>
      <c r="H1623" s="25" t="s">
        <v>144</v>
      </c>
      <c r="I1623" s="3" t="s">
        <v>3602</v>
      </c>
      <c r="J1623" s="25" t="s">
        <v>92</v>
      </c>
      <c r="K1623" s="28">
        <v>4</v>
      </c>
      <c r="L1623" s="7">
        <v>42326</v>
      </c>
      <c r="M1623" s="28">
        <f>Table11[[#This Row],[Ship Date]]-Table11[[#This Row],[Order Date]]</f>
        <v>2</v>
      </c>
      <c r="N1623" s="25" t="s">
        <v>20</v>
      </c>
      <c r="O1623" s="25" t="s">
        <v>23</v>
      </c>
      <c r="P1623" s="25" t="s">
        <v>103</v>
      </c>
      <c r="Q1623" s="25" t="s">
        <v>95</v>
      </c>
      <c r="R1623" s="25" t="s">
        <v>2242</v>
      </c>
      <c r="S1623" s="35">
        <v>0</v>
      </c>
      <c r="T1623" s="16">
        <v>999.96</v>
      </c>
      <c r="U1623" s="19">
        <v>229.99080000000001</v>
      </c>
      <c r="V1623" s="56">
        <f>Table11[[#This Row],[Profit]]/Table11[[#This Row],[Sales]]</f>
        <v>0.23</v>
      </c>
    </row>
    <row r="1624" spans="1:22" x14ac:dyDescent="0.2">
      <c r="A1624" s="4">
        <v>1623</v>
      </c>
      <c r="B1624" s="5" t="s">
        <v>5334</v>
      </c>
      <c r="C1624" s="6">
        <v>42324</v>
      </c>
      <c r="D1624" s="27">
        <f>MONTH(Table11[[#This Row],[Order Date]])</f>
        <v>11</v>
      </c>
      <c r="E1624" s="5" t="s">
        <v>1926</v>
      </c>
      <c r="F1624" s="5" t="s">
        <v>1927</v>
      </c>
      <c r="G1624" s="24" t="s">
        <v>28</v>
      </c>
      <c r="H1624" s="24" t="s">
        <v>50</v>
      </c>
      <c r="I1624" s="5" t="s">
        <v>3602</v>
      </c>
      <c r="J1624" s="24" t="s">
        <v>92</v>
      </c>
      <c r="K1624" s="27">
        <v>3</v>
      </c>
      <c r="L1624" s="6">
        <v>42326</v>
      </c>
      <c r="M1624" s="27">
        <f>Table11[[#This Row],[Ship Date]]-Table11[[#This Row],[Order Date]]</f>
        <v>2</v>
      </c>
      <c r="N1624" s="24" t="s">
        <v>20</v>
      </c>
      <c r="O1624" s="24" t="s">
        <v>23</v>
      </c>
      <c r="P1624" s="24" t="s">
        <v>103</v>
      </c>
      <c r="Q1624" s="24" t="s">
        <v>95</v>
      </c>
      <c r="R1624" s="24" t="s">
        <v>2242</v>
      </c>
      <c r="S1624" s="34">
        <v>0</v>
      </c>
      <c r="T1624" s="15">
        <v>653.54999999999995</v>
      </c>
      <c r="U1624" s="18">
        <v>111.1035</v>
      </c>
      <c r="V1624" s="56">
        <f>Table11[[#This Row],[Profit]]/Table11[[#This Row],[Sales]]</f>
        <v>0.17</v>
      </c>
    </row>
    <row r="1625" spans="1:22" x14ac:dyDescent="0.2">
      <c r="A1625" s="4">
        <v>1624</v>
      </c>
      <c r="B1625" s="3" t="s">
        <v>6565</v>
      </c>
      <c r="C1625" s="7">
        <v>42324</v>
      </c>
      <c r="D1625" s="28">
        <f>MONTH(Table11[[#This Row],[Order Date]])</f>
        <v>11</v>
      </c>
      <c r="E1625" s="3" t="s">
        <v>49</v>
      </c>
      <c r="F1625" s="3" t="s">
        <v>51</v>
      </c>
      <c r="G1625" s="25" t="s">
        <v>28</v>
      </c>
      <c r="H1625" s="25" t="s">
        <v>50</v>
      </c>
      <c r="I1625" s="3" t="s">
        <v>722</v>
      </c>
      <c r="J1625" s="25" t="s">
        <v>36</v>
      </c>
      <c r="K1625" s="28">
        <v>2</v>
      </c>
      <c r="L1625" s="7">
        <v>42328</v>
      </c>
      <c r="M1625" s="28">
        <f>Table11[[#This Row],[Ship Date]]-Table11[[#This Row],[Order Date]]</f>
        <v>4</v>
      </c>
      <c r="N1625" s="25" t="s">
        <v>45</v>
      </c>
      <c r="O1625" s="25" t="s">
        <v>23</v>
      </c>
      <c r="P1625" s="25" t="s">
        <v>5585</v>
      </c>
      <c r="Q1625" s="25" t="s">
        <v>39</v>
      </c>
      <c r="R1625" s="25" t="s">
        <v>6566</v>
      </c>
      <c r="S1625" s="35">
        <v>0</v>
      </c>
      <c r="T1625" s="16">
        <v>696.42</v>
      </c>
      <c r="U1625" s="19">
        <v>160.17660000000001</v>
      </c>
      <c r="V1625" s="56">
        <f>Table11[[#This Row],[Profit]]/Table11[[#This Row],[Sales]]</f>
        <v>0.23000000000000004</v>
      </c>
    </row>
    <row r="1626" spans="1:22" x14ac:dyDescent="0.2">
      <c r="A1626" s="2">
        <v>1625</v>
      </c>
      <c r="B1626" s="5" t="s">
        <v>6565</v>
      </c>
      <c r="C1626" s="6">
        <v>42324</v>
      </c>
      <c r="D1626" s="27">
        <f>MONTH(Table11[[#This Row],[Order Date]])</f>
        <v>11</v>
      </c>
      <c r="E1626" s="5" t="s">
        <v>553</v>
      </c>
      <c r="F1626" s="5" t="s">
        <v>554</v>
      </c>
      <c r="G1626" s="24" t="s">
        <v>64</v>
      </c>
      <c r="H1626" s="24" t="s">
        <v>65</v>
      </c>
      <c r="I1626" s="5" t="s">
        <v>722</v>
      </c>
      <c r="J1626" s="24" t="s">
        <v>36</v>
      </c>
      <c r="K1626" s="27">
        <v>3</v>
      </c>
      <c r="L1626" s="6">
        <v>42328</v>
      </c>
      <c r="M1626" s="27">
        <f>Table11[[#This Row],[Ship Date]]-Table11[[#This Row],[Order Date]]</f>
        <v>4</v>
      </c>
      <c r="N1626" s="24" t="s">
        <v>45</v>
      </c>
      <c r="O1626" s="24" t="s">
        <v>23</v>
      </c>
      <c r="P1626" s="24" t="s">
        <v>5585</v>
      </c>
      <c r="Q1626" s="24" t="s">
        <v>39</v>
      </c>
      <c r="R1626" s="24" t="s">
        <v>6566</v>
      </c>
      <c r="S1626" s="34">
        <v>0.2</v>
      </c>
      <c r="T1626" s="15">
        <v>304.77600000000001</v>
      </c>
      <c r="U1626" s="18">
        <v>22.8582</v>
      </c>
      <c r="V1626" s="56">
        <f>Table11[[#This Row],[Profit]]/Table11[[#This Row],[Sales]]</f>
        <v>7.4999999999999997E-2</v>
      </c>
    </row>
    <row r="1627" spans="1:22" x14ac:dyDescent="0.2">
      <c r="A1627" s="4">
        <v>1626</v>
      </c>
      <c r="B1627" s="3" t="s">
        <v>8327</v>
      </c>
      <c r="C1627" s="7">
        <v>42324</v>
      </c>
      <c r="D1627" s="28">
        <f>MONTH(Table11[[#This Row],[Order Date]])</f>
        <v>11</v>
      </c>
      <c r="E1627" s="3" t="s">
        <v>3596</v>
      </c>
      <c r="F1627" s="3" t="s">
        <v>3597</v>
      </c>
      <c r="G1627" s="25" t="s">
        <v>41</v>
      </c>
      <c r="H1627" s="25" t="s">
        <v>53</v>
      </c>
      <c r="I1627" s="3" t="s">
        <v>1577</v>
      </c>
      <c r="J1627" s="25" t="s">
        <v>36</v>
      </c>
      <c r="K1627" s="28">
        <v>2</v>
      </c>
      <c r="L1627" s="7">
        <v>42328</v>
      </c>
      <c r="M1627" s="28">
        <f>Table11[[#This Row],[Ship Date]]-Table11[[#This Row],[Order Date]]</f>
        <v>4</v>
      </c>
      <c r="N1627" s="25" t="s">
        <v>45</v>
      </c>
      <c r="O1627" s="25" t="s">
        <v>23</v>
      </c>
      <c r="P1627" s="25" t="s">
        <v>189</v>
      </c>
      <c r="Q1627" s="25" t="s">
        <v>95</v>
      </c>
      <c r="R1627" s="25" t="s">
        <v>271</v>
      </c>
      <c r="S1627" s="35">
        <v>0.2</v>
      </c>
      <c r="T1627" s="16">
        <v>21.488</v>
      </c>
      <c r="U1627" s="19">
        <v>1.6115999999999999</v>
      </c>
      <c r="V1627" s="56">
        <f>Table11[[#This Row],[Profit]]/Table11[[#This Row],[Sales]]</f>
        <v>7.4999999999999997E-2</v>
      </c>
    </row>
    <row r="1628" spans="1:22" x14ac:dyDescent="0.2">
      <c r="A1628" s="4">
        <v>1627</v>
      </c>
      <c r="B1628" s="5" t="s">
        <v>8327</v>
      </c>
      <c r="C1628" s="6">
        <v>42324</v>
      </c>
      <c r="D1628" s="27">
        <f>MONTH(Table11[[#This Row],[Order Date]])</f>
        <v>11</v>
      </c>
      <c r="E1628" s="5" t="s">
        <v>4614</v>
      </c>
      <c r="F1628" s="5" t="s">
        <v>4615</v>
      </c>
      <c r="G1628" s="24" t="s">
        <v>64</v>
      </c>
      <c r="H1628" s="24" t="s">
        <v>65</v>
      </c>
      <c r="I1628" s="5" t="s">
        <v>1577</v>
      </c>
      <c r="J1628" s="24" t="s">
        <v>36</v>
      </c>
      <c r="K1628" s="27">
        <v>3</v>
      </c>
      <c r="L1628" s="6">
        <v>42328</v>
      </c>
      <c r="M1628" s="27">
        <f>Table11[[#This Row],[Ship Date]]-Table11[[#This Row],[Order Date]]</f>
        <v>4</v>
      </c>
      <c r="N1628" s="24" t="s">
        <v>45</v>
      </c>
      <c r="O1628" s="24" t="s">
        <v>23</v>
      </c>
      <c r="P1628" s="24" t="s">
        <v>189</v>
      </c>
      <c r="Q1628" s="24" t="s">
        <v>95</v>
      </c>
      <c r="R1628" s="24" t="s">
        <v>271</v>
      </c>
      <c r="S1628" s="34">
        <v>0.2</v>
      </c>
      <c r="T1628" s="15">
        <v>239.976</v>
      </c>
      <c r="U1628" s="18">
        <v>26.997299999999999</v>
      </c>
      <c r="V1628" s="56">
        <f>Table11[[#This Row],[Profit]]/Table11[[#This Row],[Sales]]</f>
        <v>0.1125</v>
      </c>
    </row>
    <row r="1629" spans="1:22" x14ac:dyDescent="0.2">
      <c r="A1629" s="2">
        <v>1628</v>
      </c>
      <c r="B1629" s="3" t="s">
        <v>8327</v>
      </c>
      <c r="C1629" s="7">
        <v>42324</v>
      </c>
      <c r="D1629" s="28">
        <f>MONTH(Table11[[#This Row],[Order Date]])</f>
        <v>11</v>
      </c>
      <c r="E1629" s="3" t="s">
        <v>6423</v>
      </c>
      <c r="F1629" s="3" t="s">
        <v>6424</v>
      </c>
      <c r="G1629" s="25" t="s">
        <v>28</v>
      </c>
      <c r="H1629" s="25" t="s">
        <v>58</v>
      </c>
      <c r="I1629" s="3" t="s">
        <v>1577</v>
      </c>
      <c r="J1629" s="25" t="s">
        <v>36</v>
      </c>
      <c r="K1629" s="28">
        <v>2</v>
      </c>
      <c r="L1629" s="7">
        <v>42328</v>
      </c>
      <c r="M1629" s="28">
        <f>Table11[[#This Row],[Ship Date]]-Table11[[#This Row],[Order Date]]</f>
        <v>4</v>
      </c>
      <c r="N1629" s="25" t="s">
        <v>45</v>
      </c>
      <c r="O1629" s="25" t="s">
        <v>23</v>
      </c>
      <c r="P1629" s="25" t="s">
        <v>189</v>
      </c>
      <c r="Q1629" s="25" t="s">
        <v>95</v>
      </c>
      <c r="R1629" s="25" t="s">
        <v>271</v>
      </c>
      <c r="S1629" s="35">
        <v>0.6</v>
      </c>
      <c r="T1629" s="16">
        <v>34.503999999999998</v>
      </c>
      <c r="U1629" s="19">
        <v>-15.5268</v>
      </c>
      <c r="V1629" s="56">
        <f>Table11[[#This Row],[Profit]]/Table11[[#This Row],[Sales]]</f>
        <v>-0.45</v>
      </c>
    </row>
    <row r="1630" spans="1:22" x14ac:dyDescent="0.2">
      <c r="A1630" s="4">
        <v>1629</v>
      </c>
      <c r="B1630" s="5" t="s">
        <v>8704</v>
      </c>
      <c r="C1630" s="6">
        <v>42324</v>
      </c>
      <c r="D1630" s="27">
        <f>MONTH(Table11[[#This Row],[Order Date]])</f>
        <v>11</v>
      </c>
      <c r="E1630" s="5" t="s">
        <v>626</v>
      </c>
      <c r="F1630" s="5" t="s">
        <v>627</v>
      </c>
      <c r="G1630" s="24" t="s">
        <v>41</v>
      </c>
      <c r="H1630" s="24" t="s">
        <v>42</v>
      </c>
      <c r="I1630" s="5" t="s">
        <v>1461</v>
      </c>
      <c r="J1630" s="24" t="s">
        <v>36</v>
      </c>
      <c r="K1630" s="27">
        <v>3</v>
      </c>
      <c r="L1630" s="6">
        <v>42326</v>
      </c>
      <c r="M1630" s="27">
        <f>Table11[[#This Row],[Ship Date]]-Table11[[#This Row],[Order Date]]</f>
        <v>2</v>
      </c>
      <c r="N1630" s="24" t="s">
        <v>169</v>
      </c>
      <c r="O1630" s="24" t="s">
        <v>23</v>
      </c>
      <c r="P1630" s="24" t="s">
        <v>38</v>
      </c>
      <c r="Q1630" s="24" t="s">
        <v>39</v>
      </c>
      <c r="R1630" s="24" t="s">
        <v>836</v>
      </c>
      <c r="S1630" s="34">
        <v>0</v>
      </c>
      <c r="T1630" s="15">
        <v>18.899999999999999</v>
      </c>
      <c r="U1630" s="18">
        <v>8.6940000000000008</v>
      </c>
      <c r="V1630" s="56">
        <f>Table11[[#This Row],[Profit]]/Table11[[#This Row],[Sales]]</f>
        <v>0.46000000000000008</v>
      </c>
    </row>
    <row r="1631" spans="1:22" x14ac:dyDescent="0.2">
      <c r="A1631" s="4">
        <v>1630</v>
      </c>
      <c r="B1631" s="3" t="s">
        <v>6747</v>
      </c>
      <c r="C1631" s="7">
        <v>42325</v>
      </c>
      <c r="D1631" s="28">
        <f>MONTH(Table11[[#This Row],[Order Date]])</f>
        <v>11</v>
      </c>
      <c r="E1631" s="3" t="s">
        <v>2336</v>
      </c>
      <c r="F1631" s="3" t="s">
        <v>2337</v>
      </c>
      <c r="G1631" s="25" t="s">
        <v>41</v>
      </c>
      <c r="H1631" s="25" t="s">
        <v>513</v>
      </c>
      <c r="I1631" s="3" t="s">
        <v>2545</v>
      </c>
      <c r="J1631" s="25" t="s">
        <v>22</v>
      </c>
      <c r="K1631" s="28">
        <v>5</v>
      </c>
      <c r="L1631" s="7">
        <v>42329</v>
      </c>
      <c r="M1631" s="28">
        <f>Table11[[#This Row],[Ship Date]]-Table11[[#This Row],[Order Date]]</f>
        <v>4</v>
      </c>
      <c r="N1631" s="25" t="s">
        <v>20</v>
      </c>
      <c r="O1631" s="25" t="s">
        <v>23</v>
      </c>
      <c r="P1631" s="25" t="s">
        <v>189</v>
      </c>
      <c r="Q1631" s="25" t="s">
        <v>95</v>
      </c>
      <c r="R1631" s="25" t="s">
        <v>271</v>
      </c>
      <c r="S1631" s="35">
        <v>0.2</v>
      </c>
      <c r="T1631" s="16">
        <v>40.92</v>
      </c>
      <c r="U1631" s="19">
        <v>3.069</v>
      </c>
      <c r="V1631" s="56">
        <f>Table11[[#This Row],[Profit]]/Table11[[#This Row],[Sales]]</f>
        <v>7.4999999999999997E-2</v>
      </c>
    </row>
    <row r="1632" spans="1:22" x14ac:dyDescent="0.2">
      <c r="A1632" s="2">
        <v>1631</v>
      </c>
      <c r="B1632" s="5" t="s">
        <v>7759</v>
      </c>
      <c r="C1632" s="6">
        <v>42325</v>
      </c>
      <c r="D1632" s="27">
        <f>MONTH(Table11[[#This Row],[Order Date]])</f>
        <v>11</v>
      </c>
      <c r="E1632" s="5" t="s">
        <v>7760</v>
      </c>
      <c r="F1632" s="5" t="s">
        <v>7761</v>
      </c>
      <c r="G1632" s="24" t="s">
        <v>64</v>
      </c>
      <c r="H1632" s="24" t="s">
        <v>65</v>
      </c>
      <c r="I1632" s="5" t="s">
        <v>4470</v>
      </c>
      <c r="J1632" s="24" t="s">
        <v>22</v>
      </c>
      <c r="K1632" s="27">
        <v>4</v>
      </c>
      <c r="L1632" s="6">
        <v>42329</v>
      </c>
      <c r="M1632" s="27">
        <f>Table11[[#This Row],[Ship Date]]-Table11[[#This Row],[Order Date]]</f>
        <v>4</v>
      </c>
      <c r="N1632" s="24" t="s">
        <v>45</v>
      </c>
      <c r="O1632" s="24" t="s">
        <v>23</v>
      </c>
      <c r="P1632" s="24" t="s">
        <v>38</v>
      </c>
      <c r="Q1632" s="24" t="s">
        <v>39</v>
      </c>
      <c r="R1632" s="24" t="s">
        <v>836</v>
      </c>
      <c r="S1632" s="34">
        <v>0.2</v>
      </c>
      <c r="T1632" s="15">
        <v>415.96800000000002</v>
      </c>
      <c r="U1632" s="18">
        <v>51.996000000000002</v>
      </c>
      <c r="V1632" s="56">
        <f>Table11[[#This Row],[Profit]]/Table11[[#This Row],[Sales]]</f>
        <v>0.125</v>
      </c>
    </row>
    <row r="1633" spans="1:22" x14ac:dyDescent="0.2">
      <c r="A1633" s="4">
        <v>1632</v>
      </c>
      <c r="B1633" s="3" t="s">
        <v>7759</v>
      </c>
      <c r="C1633" s="7">
        <v>42325</v>
      </c>
      <c r="D1633" s="28">
        <f>MONTH(Table11[[#This Row],[Order Date]])</f>
        <v>11</v>
      </c>
      <c r="E1633" s="3" t="s">
        <v>3039</v>
      </c>
      <c r="F1633" s="3" t="s">
        <v>3040</v>
      </c>
      <c r="G1633" s="25" t="s">
        <v>41</v>
      </c>
      <c r="H1633" s="25" t="s">
        <v>53</v>
      </c>
      <c r="I1633" s="3" t="s">
        <v>4470</v>
      </c>
      <c r="J1633" s="25" t="s">
        <v>22</v>
      </c>
      <c r="K1633" s="28">
        <v>5</v>
      </c>
      <c r="L1633" s="7">
        <v>42329</v>
      </c>
      <c r="M1633" s="28">
        <f>Table11[[#This Row],[Ship Date]]-Table11[[#This Row],[Order Date]]</f>
        <v>4</v>
      </c>
      <c r="N1633" s="25" t="s">
        <v>45</v>
      </c>
      <c r="O1633" s="25" t="s">
        <v>23</v>
      </c>
      <c r="P1633" s="25" t="s">
        <v>38</v>
      </c>
      <c r="Q1633" s="25" t="s">
        <v>39</v>
      </c>
      <c r="R1633" s="25" t="s">
        <v>836</v>
      </c>
      <c r="S1633" s="35">
        <v>0</v>
      </c>
      <c r="T1633" s="16">
        <v>304.89999999999998</v>
      </c>
      <c r="U1633" s="19">
        <v>6.0979999999999999</v>
      </c>
      <c r="V1633" s="56">
        <f>Table11[[#This Row],[Profit]]/Table11[[#This Row],[Sales]]</f>
        <v>0.02</v>
      </c>
    </row>
    <row r="1634" spans="1:22" x14ac:dyDescent="0.2">
      <c r="A1634" s="4">
        <v>1633</v>
      </c>
      <c r="B1634" s="5" t="s">
        <v>7759</v>
      </c>
      <c r="C1634" s="6">
        <v>42325</v>
      </c>
      <c r="D1634" s="27">
        <f>MONTH(Table11[[#This Row],[Order Date]])</f>
        <v>11</v>
      </c>
      <c r="E1634" s="5" t="s">
        <v>7045</v>
      </c>
      <c r="F1634" s="5" t="s">
        <v>7046</v>
      </c>
      <c r="G1634" s="24" t="s">
        <v>28</v>
      </c>
      <c r="H1634" s="24" t="s">
        <v>58</v>
      </c>
      <c r="I1634" s="5" t="s">
        <v>4470</v>
      </c>
      <c r="J1634" s="24" t="s">
        <v>22</v>
      </c>
      <c r="K1634" s="27">
        <v>4</v>
      </c>
      <c r="L1634" s="6">
        <v>42329</v>
      </c>
      <c r="M1634" s="27">
        <f>Table11[[#This Row],[Ship Date]]-Table11[[#This Row],[Order Date]]</f>
        <v>4</v>
      </c>
      <c r="N1634" s="24" t="s">
        <v>45</v>
      </c>
      <c r="O1634" s="24" t="s">
        <v>23</v>
      </c>
      <c r="P1634" s="24" t="s">
        <v>38</v>
      </c>
      <c r="Q1634" s="24" t="s">
        <v>39</v>
      </c>
      <c r="R1634" s="24" t="s">
        <v>836</v>
      </c>
      <c r="S1634" s="34">
        <v>0</v>
      </c>
      <c r="T1634" s="15">
        <v>80.959999999999994</v>
      </c>
      <c r="U1634" s="18">
        <v>29.145600000000002</v>
      </c>
      <c r="V1634" s="56">
        <f>Table11[[#This Row],[Profit]]/Table11[[#This Row],[Sales]]</f>
        <v>0.36000000000000004</v>
      </c>
    </row>
    <row r="1635" spans="1:22" x14ac:dyDescent="0.2">
      <c r="A1635" s="2">
        <v>1634</v>
      </c>
      <c r="B1635" s="3" t="s">
        <v>7759</v>
      </c>
      <c r="C1635" s="7">
        <v>42325</v>
      </c>
      <c r="D1635" s="28">
        <f>MONTH(Table11[[#This Row],[Order Date]])</f>
        <v>11</v>
      </c>
      <c r="E1635" s="3" t="s">
        <v>6789</v>
      </c>
      <c r="F1635" s="3" t="s">
        <v>6790</v>
      </c>
      <c r="G1635" s="25" t="s">
        <v>41</v>
      </c>
      <c r="H1635" s="25" t="s">
        <v>53</v>
      </c>
      <c r="I1635" s="3" t="s">
        <v>4470</v>
      </c>
      <c r="J1635" s="25" t="s">
        <v>22</v>
      </c>
      <c r="K1635" s="28">
        <v>7</v>
      </c>
      <c r="L1635" s="7">
        <v>42329</v>
      </c>
      <c r="M1635" s="28">
        <f>Table11[[#This Row],[Ship Date]]-Table11[[#This Row],[Order Date]]</f>
        <v>4</v>
      </c>
      <c r="N1635" s="25" t="s">
        <v>45</v>
      </c>
      <c r="O1635" s="25" t="s">
        <v>23</v>
      </c>
      <c r="P1635" s="25" t="s">
        <v>38</v>
      </c>
      <c r="Q1635" s="25" t="s">
        <v>39</v>
      </c>
      <c r="R1635" s="25" t="s">
        <v>836</v>
      </c>
      <c r="S1635" s="35">
        <v>0</v>
      </c>
      <c r="T1635" s="16">
        <v>777.21</v>
      </c>
      <c r="U1635" s="19">
        <v>54.404699999999998</v>
      </c>
      <c r="V1635" s="56">
        <f>Table11[[#This Row],[Profit]]/Table11[[#This Row],[Sales]]</f>
        <v>6.9999999999999993E-2</v>
      </c>
    </row>
    <row r="1636" spans="1:22" x14ac:dyDescent="0.2">
      <c r="A1636" s="4">
        <v>1635</v>
      </c>
      <c r="B1636" s="5" t="s">
        <v>7759</v>
      </c>
      <c r="C1636" s="6">
        <v>42325</v>
      </c>
      <c r="D1636" s="27">
        <f>MONTH(Table11[[#This Row],[Order Date]])</f>
        <v>11</v>
      </c>
      <c r="E1636" s="5" t="s">
        <v>3415</v>
      </c>
      <c r="F1636" s="5" t="s">
        <v>3416</v>
      </c>
      <c r="G1636" s="24" t="s">
        <v>41</v>
      </c>
      <c r="H1636" s="24" t="s">
        <v>82</v>
      </c>
      <c r="I1636" s="5" t="s">
        <v>4470</v>
      </c>
      <c r="J1636" s="24" t="s">
        <v>22</v>
      </c>
      <c r="K1636" s="27">
        <v>5</v>
      </c>
      <c r="L1636" s="6">
        <v>42329</v>
      </c>
      <c r="M1636" s="27">
        <f>Table11[[#This Row],[Ship Date]]-Table11[[#This Row],[Order Date]]</f>
        <v>4</v>
      </c>
      <c r="N1636" s="24" t="s">
        <v>45</v>
      </c>
      <c r="O1636" s="24" t="s">
        <v>23</v>
      </c>
      <c r="P1636" s="24" t="s">
        <v>38</v>
      </c>
      <c r="Q1636" s="24" t="s">
        <v>39</v>
      </c>
      <c r="R1636" s="24" t="s">
        <v>836</v>
      </c>
      <c r="S1636" s="34">
        <v>0</v>
      </c>
      <c r="T1636" s="15">
        <v>32.4</v>
      </c>
      <c r="U1636" s="18">
        <v>15.552</v>
      </c>
      <c r="V1636" s="56">
        <f>Table11[[#This Row],[Profit]]/Table11[[#This Row],[Sales]]</f>
        <v>0.48</v>
      </c>
    </row>
    <row r="1637" spans="1:22" x14ac:dyDescent="0.2">
      <c r="A1637" s="4">
        <v>1636</v>
      </c>
      <c r="B1637" s="3" t="s">
        <v>7759</v>
      </c>
      <c r="C1637" s="7">
        <v>42325</v>
      </c>
      <c r="D1637" s="28">
        <f>MONTH(Table11[[#This Row],[Order Date]])</f>
        <v>11</v>
      </c>
      <c r="E1637" s="3" t="s">
        <v>3087</v>
      </c>
      <c r="F1637" s="3" t="s">
        <v>3088</v>
      </c>
      <c r="G1637" s="25" t="s">
        <v>28</v>
      </c>
      <c r="H1637" s="25" t="s">
        <v>32</v>
      </c>
      <c r="I1637" s="3" t="s">
        <v>4470</v>
      </c>
      <c r="J1637" s="25" t="s">
        <v>22</v>
      </c>
      <c r="K1637" s="28">
        <v>2</v>
      </c>
      <c r="L1637" s="7">
        <v>42329</v>
      </c>
      <c r="M1637" s="28">
        <f>Table11[[#This Row],[Ship Date]]-Table11[[#This Row],[Order Date]]</f>
        <v>4</v>
      </c>
      <c r="N1637" s="25" t="s">
        <v>45</v>
      </c>
      <c r="O1637" s="25" t="s">
        <v>23</v>
      </c>
      <c r="P1637" s="25" t="s">
        <v>38</v>
      </c>
      <c r="Q1637" s="25" t="s">
        <v>39</v>
      </c>
      <c r="R1637" s="25" t="s">
        <v>836</v>
      </c>
      <c r="S1637" s="35">
        <v>0.2</v>
      </c>
      <c r="T1637" s="16">
        <v>225.56800000000001</v>
      </c>
      <c r="U1637" s="19">
        <v>2.8195999999999999</v>
      </c>
      <c r="V1637" s="56">
        <f>Table11[[#This Row],[Profit]]/Table11[[#This Row],[Sales]]</f>
        <v>1.2499999999999999E-2</v>
      </c>
    </row>
    <row r="1638" spans="1:22" x14ac:dyDescent="0.2">
      <c r="A1638" s="2">
        <v>1637</v>
      </c>
      <c r="B1638" s="5" t="s">
        <v>7759</v>
      </c>
      <c r="C1638" s="6">
        <v>42325</v>
      </c>
      <c r="D1638" s="27">
        <f>MONTH(Table11[[#This Row],[Order Date]])</f>
        <v>11</v>
      </c>
      <c r="E1638" s="5" t="s">
        <v>3957</v>
      </c>
      <c r="F1638" s="5" t="s">
        <v>3958</v>
      </c>
      <c r="G1638" s="24" t="s">
        <v>28</v>
      </c>
      <c r="H1638" s="24" t="s">
        <v>58</v>
      </c>
      <c r="I1638" s="5" t="s">
        <v>4470</v>
      </c>
      <c r="J1638" s="24" t="s">
        <v>22</v>
      </c>
      <c r="K1638" s="27">
        <v>3</v>
      </c>
      <c r="L1638" s="6">
        <v>42329</v>
      </c>
      <c r="M1638" s="27">
        <f>Table11[[#This Row],[Ship Date]]-Table11[[#This Row],[Order Date]]</f>
        <v>4</v>
      </c>
      <c r="N1638" s="24" t="s">
        <v>45</v>
      </c>
      <c r="O1638" s="24" t="s">
        <v>23</v>
      </c>
      <c r="P1638" s="24" t="s">
        <v>38</v>
      </c>
      <c r="Q1638" s="24" t="s">
        <v>39</v>
      </c>
      <c r="R1638" s="24" t="s">
        <v>836</v>
      </c>
      <c r="S1638" s="34">
        <v>0</v>
      </c>
      <c r="T1638" s="15">
        <v>36.6</v>
      </c>
      <c r="U1638" s="18">
        <v>15.372</v>
      </c>
      <c r="V1638" s="56">
        <f>Table11[[#This Row],[Profit]]/Table11[[#This Row],[Sales]]</f>
        <v>0.42</v>
      </c>
    </row>
    <row r="1639" spans="1:22" x14ac:dyDescent="0.2">
      <c r="A1639" s="4">
        <v>1638</v>
      </c>
      <c r="B1639" s="3" t="s">
        <v>9001</v>
      </c>
      <c r="C1639" s="7">
        <v>42325</v>
      </c>
      <c r="D1639" s="28">
        <f>MONTH(Table11[[#This Row],[Order Date]])</f>
        <v>11</v>
      </c>
      <c r="E1639" s="3" t="s">
        <v>969</v>
      </c>
      <c r="F1639" s="3" t="s">
        <v>970</v>
      </c>
      <c r="G1639" s="25" t="s">
        <v>41</v>
      </c>
      <c r="H1639" s="25" t="s">
        <v>53</v>
      </c>
      <c r="I1639" s="3" t="s">
        <v>6432</v>
      </c>
      <c r="J1639" s="25" t="s">
        <v>22</v>
      </c>
      <c r="K1639" s="28">
        <v>4</v>
      </c>
      <c r="L1639" s="7">
        <v>42332</v>
      </c>
      <c r="M1639" s="28">
        <f>Table11[[#This Row],[Ship Date]]-Table11[[#This Row],[Order Date]]</f>
        <v>7</v>
      </c>
      <c r="N1639" s="25" t="s">
        <v>45</v>
      </c>
      <c r="O1639" s="25" t="s">
        <v>23</v>
      </c>
      <c r="P1639" s="25" t="s">
        <v>573</v>
      </c>
      <c r="Q1639" s="25" t="s">
        <v>95</v>
      </c>
      <c r="R1639" s="25" t="s">
        <v>4295</v>
      </c>
      <c r="S1639" s="35">
        <v>0</v>
      </c>
      <c r="T1639" s="16">
        <v>541.24</v>
      </c>
      <c r="U1639" s="19">
        <v>5.4123999999999999</v>
      </c>
      <c r="V1639" s="56">
        <f>Table11[[#This Row],[Profit]]/Table11[[#This Row],[Sales]]</f>
        <v>0.01</v>
      </c>
    </row>
    <row r="1640" spans="1:22" x14ac:dyDescent="0.2">
      <c r="A1640" s="4">
        <v>1639</v>
      </c>
      <c r="B1640" s="5" t="s">
        <v>9001</v>
      </c>
      <c r="C1640" s="6">
        <v>42325</v>
      </c>
      <c r="D1640" s="27">
        <f>MONTH(Table11[[#This Row],[Order Date]])</f>
        <v>11</v>
      </c>
      <c r="E1640" s="5" t="s">
        <v>930</v>
      </c>
      <c r="F1640" s="5" t="s">
        <v>167</v>
      </c>
      <c r="G1640" s="24" t="s">
        <v>41</v>
      </c>
      <c r="H1640" s="24" t="s">
        <v>82</v>
      </c>
      <c r="I1640" s="5" t="s">
        <v>6432</v>
      </c>
      <c r="J1640" s="24" t="s">
        <v>22</v>
      </c>
      <c r="K1640" s="27">
        <v>3</v>
      </c>
      <c r="L1640" s="6">
        <v>42332</v>
      </c>
      <c r="M1640" s="27">
        <f>Table11[[#This Row],[Ship Date]]-Table11[[#This Row],[Order Date]]</f>
        <v>7</v>
      </c>
      <c r="N1640" s="24" t="s">
        <v>45</v>
      </c>
      <c r="O1640" s="24" t="s">
        <v>23</v>
      </c>
      <c r="P1640" s="24" t="s">
        <v>573</v>
      </c>
      <c r="Q1640" s="24" t="s">
        <v>95</v>
      </c>
      <c r="R1640" s="24" t="s">
        <v>4295</v>
      </c>
      <c r="S1640" s="34">
        <v>0</v>
      </c>
      <c r="T1640" s="15">
        <v>106.32</v>
      </c>
      <c r="U1640" s="18">
        <v>49.970399999999998</v>
      </c>
      <c r="V1640" s="56">
        <f>Table11[[#This Row],[Profit]]/Table11[[#This Row],[Sales]]</f>
        <v>0.47000000000000003</v>
      </c>
    </row>
    <row r="1641" spans="1:22" x14ac:dyDescent="0.2">
      <c r="A1641" s="2">
        <v>1640</v>
      </c>
      <c r="B1641" s="3" t="s">
        <v>9001</v>
      </c>
      <c r="C1641" s="7">
        <v>42325</v>
      </c>
      <c r="D1641" s="28">
        <f>MONTH(Table11[[#This Row],[Order Date]])</f>
        <v>11</v>
      </c>
      <c r="E1641" s="3" t="s">
        <v>8355</v>
      </c>
      <c r="F1641" s="3" t="s">
        <v>8356</v>
      </c>
      <c r="G1641" s="25" t="s">
        <v>28</v>
      </c>
      <c r="H1641" s="25" t="s">
        <v>32</v>
      </c>
      <c r="I1641" s="3" t="s">
        <v>6432</v>
      </c>
      <c r="J1641" s="25" t="s">
        <v>22</v>
      </c>
      <c r="K1641" s="28">
        <v>5</v>
      </c>
      <c r="L1641" s="7">
        <v>42332</v>
      </c>
      <c r="M1641" s="28">
        <f>Table11[[#This Row],[Ship Date]]-Table11[[#This Row],[Order Date]]</f>
        <v>7</v>
      </c>
      <c r="N1641" s="25" t="s">
        <v>45</v>
      </c>
      <c r="O1641" s="25" t="s">
        <v>23</v>
      </c>
      <c r="P1641" s="25" t="s">
        <v>573</v>
      </c>
      <c r="Q1641" s="25" t="s">
        <v>95</v>
      </c>
      <c r="R1641" s="25" t="s">
        <v>4295</v>
      </c>
      <c r="S1641" s="35">
        <v>0</v>
      </c>
      <c r="T1641" s="16">
        <v>1323.9</v>
      </c>
      <c r="U1641" s="19">
        <v>383.93099999999998</v>
      </c>
      <c r="V1641" s="56">
        <f>Table11[[#This Row],[Profit]]/Table11[[#This Row],[Sales]]</f>
        <v>0.28999999999999998</v>
      </c>
    </row>
    <row r="1642" spans="1:22" x14ac:dyDescent="0.2">
      <c r="A1642" s="4">
        <v>1641</v>
      </c>
      <c r="B1642" s="5" t="s">
        <v>6147</v>
      </c>
      <c r="C1642" s="6">
        <v>42327</v>
      </c>
      <c r="D1642" s="27">
        <f>MONTH(Table11[[#This Row],[Order Date]])</f>
        <v>11</v>
      </c>
      <c r="E1642" s="5" t="s">
        <v>5478</v>
      </c>
      <c r="F1642" s="5" t="s">
        <v>5479</v>
      </c>
      <c r="G1642" s="24" t="s">
        <v>28</v>
      </c>
      <c r="H1642" s="24" t="s">
        <v>58</v>
      </c>
      <c r="I1642" s="5" t="s">
        <v>5582</v>
      </c>
      <c r="J1642" s="24" t="s">
        <v>92</v>
      </c>
      <c r="K1642" s="27">
        <v>2</v>
      </c>
      <c r="L1642" s="6">
        <v>42329</v>
      </c>
      <c r="M1642" s="27">
        <f>Table11[[#This Row],[Ship Date]]-Table11[[#This Row],[Order Date]]</f>
        <v>2</v>
      </c>
      <c r="N1642" s="24" t="s">
        <v>20</v>
      </c>
      <c r="O1642" s="24" t="s">
        <v>23</v>
      </c>
      <c r="P1642" s="24" t="s">
        <v>87</v>
      </c>
      <c r="Q1642" s="24" t="s">
        <v>39</v>
      </c>
      <c r="R1642" s="24" t="s">
        <v>86</v>
      </c>
      <c r="S1642" s="34">
        <v>0</v>
      </c>
      <c r="T1642" s="15">
        <v>141.96</v>
      </c>
      <c r="U1642" s="18">
        <v>22.7136</v>
      </c>
      <c r="V1642" s="56">
        <f>Table11[[#This Row],[Profit]]/Table11[[#This Row],[Sales]]</f>
        <v>0.15999999999999998</v>
      </c>
    </row>
    <row r="1643" spans="1:22" x14ac:dyDescent="0.2">
      <c r="A1643" s="4">
        <v>1642</v>
      </c>
      <c r="B1643" s="3" t="s">
        <v>8452</v>
      </c>
      <c r="C1643" s="7">
        <v>42327</v>
      </c>
      <c r="D1643" s="28">
        <f>MONTH(Table11[[#This Row],[Order Date]])</f>
        <v>11</v>
      </c>
      <c r="E1643" s="3" t="s">
        <v>3625</v>
      </c>
      <c r="F1643" s="3" t="s">
        <v>3626</v>
      </c>
      <c r="G1643" s="25" t="s">
        <v>41</v>
      </c>
      <c r="H1643" s="25" t="s">
        <v>71</v>
      </c>
      <c r="I1643" s="3" t="s">
        <v>5096</v>
      </c>
      <c r="J1643" s="25" t="s">
        <v>36</v>
      </c>
      <c r="K1643" s="28">
        <v>4</v>
      </c>
      <c r="L1643" s="7">
        <v>42334</v>
      </c>
      <c r="M1643" s="28">
        <f>Table11[[#This Row],[Ship Date]]-Table11[[#This Row],[Order Date]]</f>
        <v>7</v>
      </c>
      <c r="N1643" s="25" t="s">
        <v>45</v>
      </c>
      <c r="O1643" s="25" t="s">
        <v>23</v>
      </c>
      <c r="P1643" s="25" t="s">
        <v>1229</v>
      </c>
      <c r="Q1643" s="25" t="s">
        <v>39</v>
      </c>
      <c r="R1643" s="25" t="s">
        <v>1228</v>
      </c>
      <c r="S1643" s="35">
        <v>0</v>
      </c>
      <c r="T1643" s="16">
        <v>31.08</v>
      </c>
      <c r="U1643" s="19">
        <v>8.3916000000000004</v>
      </c>
      <c r="V1643" s="56">
        <f>Table11[[#This Row],[Profit]]/Table11[[#This Row],[Sales]]</f>
        <v>0.27</v>
      </c>
    </row>
    <row r="1644" spans="1:22" x14ac:dyDescent="0.2">
      <c r="A1644" s="2">
        <v>1643</v>
      </c>
      <c r="B1644" s="5" t="s">
        <v>8974</v>
      </c>
      <c r="C1644" s="6">
        <v>42327</v>
      </c>
      <c r="D1644" s="27">
        <f>MONTH(Table11[[#This Row],[Order Date]])</f>
        <v>11</v>
      </c>
      <c r="E1644" s="5" t="s">
        <v>5110</v>
      </c>
      <c r="F1644" s="5" t="s">
        <v>5111</v>
      </c>
      <c r="G1644" s="24" t="s">
        <v>41</v>
      </c>
      <c r="H1644" s="24" t="s">
        <v>68</v>
      </c>
      <c r="I1644" s="5" t="s">
        <v>382</v>
      </c>
      <c r="J1644" s="24" t="s">
        <v>22</v>
      </c>
      <c r="K1644" s="27">
        <v>2</v>
      </c>
      <c r="L1644" s="6">
        <v>42332</v>
      </c>
      <c r="M1644" s="27">
        <f>Table11[[#This Row],[Ship Date]]-Table11[[#This Row],[Order Date]]</f>
        <v>5</v>
      </c>
      <c r="N1644" s="24" t="s">
        <v>45</v>
      </c>
      <c r="O1644" s="24" t="s">
        <v>23</v>
      </c>
      <c r="P1644" s="24" t="s">
        <v>238</v>
      </c>
      <c r="Q1644" s="24" t="s">
        <v>133</v>
      </c>
      <c r="R1644" s="24" t="s">
        <v>237</v>
      </c>
      <c r="S1644" s="34">
        <v>0.2</v>
      </c>
      <c r="T1644" s="15">
        <v>5.984</v>
      </c>
      <c r="U1644" s="18">
        <v>2.2440000000000002</v>
      </c>
      <c r="V1644" s="56">
        <f>Table11[[#This Row],[Profit]]/Table11[[#This Row],[Sales]]</f>
        <v>0.37500000000000006</v>
      </c>
    </row>
    <row r="1645" spans="1:22" x14ac:dyDescent="0.2">
      <c r="A1645" s="4">
        <v>1644</v>
      </c>
      <c r="B1645" s="3" t="s">
        <v>8974</v>
      </c>
      <c r="C1645" s="7">
        <v>42327</v>
      </c>
      <c r="D1645" s="28">
        <f>MONTH(Table11[[#This Row],[Order Date]])</f>
        <v>11</v>
      </c>
      <c r="E1645" s="3" t="s">
        <v>3031</v>
      </c>
      <c r="F1645" s="3" t="s">
        <v>5655</v>
      </c>
      <c r="G1645" s="25" t="s">
        <v>64</v>
      </c>
      <c r="H1645" s="25" t="s">
        <v>65</v>
      </c>
      <c r="I1645" s="3" t="s">
        <v>382</v>
      </c>
      <c r="J1645" s="25" t="s">
        <v>22</v>
      </c>
      <c r="K1645" s="28">
        <v>4</v>
      </c>
      <c r="L1645" s="7">
        <v>42332</v>
      </c>
      <c r="M1645" s="28">
        <f>Table11[[#This Row],[Ship Date]]-Table11[[#This Row],[Order Date]]</f>
        <v>5</v>
      </c>
      <c r="N1645" s="25" t="s">
        <v>45</v>
      </c>
      <c r="O1645" s="25" t="s">
        <v>23</v>
      </c>
      <c r="P1645" s="25" t="s">
        <v>238</v>
      </c>
      <c r="Q1645" s="25" t="s">
        <v>133</v>
      </c>
      <c r="R1645" s="25" t="s">
        <v>237</v>
      </c>
      <c r="S1645" s="35">
        <v>0</v>
      </c>
      <c r="T1645" s="16">
        <v>861.76</v>
      </c>
      <c r="U1645" s="19">
        <v>249.91040000000001</v>
      </c>
      <c r="V1645" s="56">
        <f>Table11[[#This Row],[Profit]]/Table11[[#This Row],[Sales]]</f>
        <v>0.29000000000000004</v>
      </c>
    </row>
    <row r="1646" spans="1:22" x14ac:dyDescent="0.2">
      <c r="A1646" s="4">
        <v>1645</v>
      </c>
      <c r="B1646" s="5" t="s">
        <v>2295</v>
      </c>
      <c r="C1646" s="6">
        <v>42328</v>
      </c>
      <c r="D1646" s="27">
        <f>MONTH(Table11[[#This Row],[Order Date]])</f>
        <v>11</v>
      </c>
      <c r="E1646" s="5" t="s">
        <v>2151</v>
      </c>
      <c r="F1646" s="5" t="s">
        <v>2152</v>
      </c>
      <c r="G1646" s="24" t="s">
        <v>41</v>
      </c>
      <c r="H1646" s="24" t="s">
        <v>61</v>
      </c>
      <c r="I1646" s="5" t="s">
        <v>2296</v>
      </c>
      <c r="J1646" s="24" t="s">
        <v>36</v>
      </c>
      <c r="K1646" s="27">
        <v>3</v>
      </c>
      <c r="L1646" s="6">
        <v>42333</v>
      </c>
      <c r="M1646" s="27">
        <f>Table11[[#This Row],[Ship Date]]-Table11[[#This Row],[Order Date]]</f>
        <v>5</v>
      </c>
      <c r="N1646" s="24" t="s">
        <v>45</v>
      </c>
      <c r="O1646" s="24" t="s">
        <v>23</v>
      </c>
      <c r="P1646" s="24" t="s">
        <v>238</v>
      </c>
      <c r="Q1646" s="24" t="s">
        <v>133</v>
      </c>
      <c r="R1646" s="24" t="s">
        <v>237</v>
      </c>
      <c r="S1646" s="34">
        <v>0</v>
      </c>
      <c r="T1646" s="15">
        <v>60.45</v>
      </c>
      <c r="U1646" s="18">
        <v>16.3215</v>
      </c>
      <c r="V1646" s="56">
        <f>Table11[[#This Row],[Profit]]/Table11[[#This Row],[Sales]]</f>
        <v>0.27</v>
      </c>
    </row>
    <row r="1647" spans="1:22" x14ac:dyDescent="0.2">
      <c r="A1647" s="2">
        <v>1646</v>
      </c>
      <c r="B1647" s="3" t="s">
        <v>2295</v>
      </c>
      <c r="C1647" s="7">
        <v>42328</v>
      </c>
      <c r="D1647" s="28">
        <f>MONTH(Table11[[#This Row],[Order Date]])</f>
        <v>11</v>
      </c>
      <c r="E1647" s="3" t="s">
        <v>2297</v>
      </c>
      <c r="F1647" s="3" t="s">
        <v>2298</v>
      </c>
      <c r="G1647" s="25" t="s">
        <v>41</v>
      </c>
      <c r="H1647" s="25" t="s">
        <v>61</v>
      </c>
      <c r="I1647" s="3" t="s">
        <v>2296</v>
      </c>
      <c r="J1647" s="25" t="s">
        <v>36</v>
      </c>
      <c r="K1647" s="28">
        <v>4</v>
      </c>
      <c r="L1647" s="7">
        <v>42333</v>
      </c>
      <c r="M1647" s="28">
        <f>Table11[[#This Row],[Ship Date]]-Table11[[#This Row],[Order Date]]</f>
        <v>5</v>
      </c>
      <c r="N1647" s="25" t="s">
        <v>45</v>
      </c>
      <c r="O1647" s="25" t="s">
        <v>23</v>
      </c>
      <c r="P1647" s="25" t="s">
        <v>238</v>
      </c>
      <c r="Q1647" s="25" t="s">
        <v>133</v>
      </c>
      <c r="R1647" s="25" t="s">
        <v>237</v>
      </c>
      <c r="S1647" s="35">
        <v>0</v>
      </c>
      <c r="T1647" s="16">
        <v>11.52</v>
      </c>
      <c r="U1647" s="19">
        <v>3.3408000000000002</v>
      </c>
      <c r="V1647" s="56">
        <f>Table11[[#This Row],[Profit]]/Table11[[#This Row],[Sales]]</f>
        <v>0.29000000000000004</v>
      </c>
    </row>
    <row r="1648" spans="1:22" x14ac:dyDescent="0.2">
      <c r="A1648" s="4">
        <v>1647</v>
      </c>
      <c r="B1648" s="5" t="s">
        <v>2295</v>
      </c>
      <c r="C1648" s="6">
        <v>42328</v>
      </c>
      <c r="D1648" s="27">
        <f>MONTH(Table11[[#This Row],[Order Date]])</f>
        <v>11</v>
      </c>
      <c r="E1648" s="5" t="s">
        <v>2299</v>
      </c>
      <c r="F1648" s="5" t="s">
        <v>2300</v>
      </c>
      <c r="G1648" s="24" t="s">
        <v>28</v>
      </c>
      <c r="H1648" s="24" t="s">
        <v>29</v>
      </c>
      <c r="I1648" s="5" t="s">
        <v>2296</v>
      </c>
      <c r="J1648" s="24" t="s">
        <v>36</v>
      </c>
      <c r="K1648" s="27">
        <v>4</v>
      </c>
      <c r="L1648" s="6">
        <v>42333</v>
      </c>
      <c r="M1648" s="27">
        <f>Table11[[#This Row],[Ship Date]]-Table11[[#This Row],[Order Date]]</f>
        <v>5</v>
      </c>
      <c r="N1648" s="24" t="s">
        <v>45</v>
      </c>
      <c r="O1648" s="24" t="s">
        <v>23</v>
      </c>
      <c r="P1648" s="24" t="s">
        <v>238</v>
      </c>
      <c r="Q1648" s="24" t="s">
        <v>133</v>
      </c>
      <c r="R1648" s="24" t="s">
        <v>237</v>
      </c>
      <c r="S1648" s="34">
        <v>0.2</v>
      </c>
      <c r="T1648" s="15">
        <v>186.048</v>
      </c>
      <c r="U1648" s="18">
        <v>9.3024000000000004</v>
      </c>
      <c r="V1648" s="56">
        <f>Table11[[#This Row],[Profit]]/Table11[[#This Row],[Sales]]</f>
        <v>0.05</v>
      </c>
    </row>
    <row r="1649" spans="1:22" x14ac:dyDescent="0.2">
      <c r="A1649" s="4">
        <v>1648</v>
      </c>
      <c r="B1649" s="3" t="s">
        <v>2778</v>
      </c>
      <c r="C1649" s="7">
        <v>42328</v>
      </c>
      <c r="D1649" s="28">
        <f>MONTH(Table11[[#This Row],[Order Date]])</f>
        <v>11</v>
      </c>
      <c r="E1649" s="3" t="s">
        <v>1134</v>
      </c>
      <c r="F1649" s="3" t="s">
        <v>1135</v>
      </c>
      <c r="G1649" s="25" t="s">
        <v>41</v>
      </c>
      <c r="H1649" s="25" t="s">
        <v>61</v>
      </c>
      <c r="I1649" s="3" t="s">
        <v>2779</v>
      </c>
      <c r="J1649" s="25" t="s">
        <v>92</v>
      </c>
      <c r="K1649" s="28">
        <v>7</v>
      </c>
      <c r="L1649" s="7">
        <v>42334</v>
      </c>
      <c r="M1649" s="28">
        <f>Table11[[#This Row],[Ship Date]]-Table11[[#This Row],[Order Date]]</f>
        <v>6</v>
      </c>
      <c r="N1649" s="25" t="s">
        <v>45</v>
      </c>
      <c r="O1649" s="25" t="s">
        <v>23</v>
      </c>
      <c r="P1649" s="25" t="s">
        <v>38</v>
      </c>
      <c r="Q1649" s="25" t="s">
        <v>39</v>
      </c>
      <c r="R1649" s="25" t="s">
        <v>37</v>
      </c>
      <c r="S1649" s="35">
        <v>0</v>
      </c>
      <c r="T1649" s="16">
        <v>19.46</v>
      </c>
      <c r="U1649" s="19">
        <v>5.0595999999999997</v>
      </c>
      <c r="V1649" s="56">
        <f>Table11[[#This Row],[Profit]]/Table11[[#This Row],[Sales]]</f>
        <v>0.25999999999999995</v>
      </c>
    </row>
    <row r="1650" spans="1:22" x14ac:dyDescent="0.2">
      <c r="A1650" s="2">
        <v>1649</v>
      </c>
      <c r="B1650" s="5" t="s">
        <v>4480</v>
      </c>
      <c r="C1650" s="6">
        <v>42328</v>
      </c>
      <c r="D1650" s="27">
        <f>MONTH(Table11[[#This Row],[Order Date]])</f>
        <v>11</v>
      </c>
      <c r="E1650" s="5" t="s">
        <v>4481</v>
      </c>
      <c r="F1650" s="5" t="s">
        <v>4482</v>
      </c>
      <c r="G1650" s="24" t="s">
        <v>41</v>
      </c>
      <c r="H1650" s="24" t="s">
        <v>82</v>
      </c>
      <c r="I1650" s="5" t="s">
        <v>2156</v>
      </c>
      <c r="J1650" s="24" t="s">
        <v>22</v>
      </c>
      <c r="K1650" s="27">
        <v>3</v>
      </c>
      <c r="L1650" s="6">
        <v>42334</v>
      </c>
      <c r="M1650" s="27">
        <f>Table11[[#This Row],[Ship Date]]-Table11[[#This Row],[Order Date]]</f>
        <v>6</v>
      </c>
      <c r="N1650" s="24" t="s">
        <v>45</v>
      </c>
      <c r="O1650" s="24" t="s">
        <v>23</v>
      </c>
      <c r="P1650" s="24" t="s">
        <v>238</v>
      </c>
      <c r="Q1650" s="24" t="s">
        <v>133</v>
      </c>
      <c r="R1650" s="24" t="s">
        <v>237</v>
      </c>
      <c r="S1650" s="34">
        <v>0</v>
      </c>
      <c r="T1650" s="15">
        <v>19.649999999999999</v>
      </c>
      <c r="U1650" s="18">
        <v>9.0389999999999997</v>
      </c>
      <c r="V1650" s="56">
        <f>Table11[[#This Row],[Profit]]/Table11[[#This Row],[Sales]]</f>
        <v>0.46</v>
      </c>
    </row>
    <row r="1651" spans="1:22" x14ac:dyDescent="0.2">
      <c r="A1651" s="4">
        <v>1650</v>
      </c>
      <c r="B1651" s="3" t="s">
        <v>6453</v>
      </c>
      <c r="C1651" s="7">
        <v>42328</v>
      </c>
      <c r="D1651" s="28">
        <f>MONTH(Table11[[#This Row],[Order Date]])</f>
        <v>11</v>
      </c>
      <c r="E1651" s="3" t="s">
        <v>2452</v>
      </c>
      <c r="F1651" s="3" t="s">
        <v>2453</v>
      </c>
      <c r="G1651" s="25" t="s">
        <v>64</v>
      </c>
      <c r="H1651" s="25" t="s">
        <v>65</v>
      </c>
      <c r="I1651" s="3" t="s">
        <v>500</v>
      </c>
      <c r="J1651" s="25" t="s">
        <v>22</v>
      </c>
      <c r="K1651" s="28">
        <v>7</v>
      </c>
      <c r="L1651" s="7">
        <v>42332</v>
      </c>
      <c r="M1651" s="28">
        <f>Table11[[#This Row],[Ship Date]]-Table11[[#This Row],[Order Date]]</f>
        <v>4</v>
      </c>
      <c r="N1651" s="25" t="s">
        <v>45</v>
      </c>
      <c r="O1651" s="25" t="s">
        <v>23</v>
      </c>
      <c r="P1651" s="25" t="s">
        <v>38</v>
      </c>
      <c r="Q1651" s="25" t="s">
        <v>39</v>
      </c>
      <c r="R1651" s="25" t="s">
        <v>2815</v>
      </c>
      <c r="S1651" s="35">
        <v>0.2</v>
      </c>
      <c r="T1651" s="16">
        <v>72.744</v>
      </c>
      <c r="U1651" s="19">
        <v>-15.4581</v>
      </c>
      <c r="V1651" s="56">
        <f>Table11[[#This Row],[Profit]]/Table11[[#This Row],[Sales]]</f>
        <v>-0.21249999999999999</v>
      </c>
    </row>
    <row r="1652" spans="1:22" x14ac:dyDescent="0.2">
      <c r="A1652" s="4">
        <v>1651</v>
      </c>
      <c r="B1652" s="5" t="s">
        <v>6453</v>
      </c>
      <c r="C1652" s="6">
        <v>42328</v>
      </c>
      <c r="D1652" s="27">
        <f>MONTH(Table11[[#This Row],[Order Date]])</f>
        <v>11</v>
      </c>
      <c r="E1652" s="5" t="s">
        <v>1600</v>
      </c>
      <c r="F1652" s="5" t="s">
        <v>1601</v>
      </c>
      <c r="G1652" s="24" t="s">
        <v>28</v>
      </c>
      <c r="H1652" s="24" t="s">
        <v>32</v>
      </c>
      <c r="I1652" s="5" t="s">
        <v>500</v>
      </c>
      <c r="J1652" s="24" t="s">
        <v>22</v>
      </c>
      <c r="K1652" s="27">
        <v>3</v>
      </c>
      <c r="L1652" s="6">
        <v>42332</v>
      </c>
      <c r="M1652" s="27">
        <f>Table11[[#This Row],[Ship Date]]-Table11[[#This Row],[Order Date]]</f>
        <v>4</v>
      </c>
      <c r="N1652" s="24" t="s">
        <v>45</v>
      </c>
      <c r="O1652" s="24" t="s">
        <v>23</v>
      </c>
      <c r="P1652" s="24" t="s">
        <v>38</v>
      </c>
      <c r="Q1652" s="24" t="s">
        <v>39</v>
      </c>
      <c r="R1652" s="24" t="s">
        <v>2815</v>
      </c>
      <c r="S1652" s="34">
        <v>0.2</v>
      </c>
      <c r="T1652" s="15">
        <v>572.16</v>
      </c>
      <c r="U1652" s="18">
        <v>35.76</v>
      </c>
      <c r="V1652" s="56">
        <f>Table11[[#This Row],[Profit]]/Table11[[#This Row],[Sales]]</f>
        <v>6.25E-2</v>
      </c>
    </row>
    <row r="1653" spans="1:22" x14ac:dyDescent="0.2">
      <c r="A1653" s="2">
        <v>1652</v>
      </c>
      <c r="B1653" s="3" t="s">
        <v>7800</v>
      </c>
      <c r="C1653" s="7">
        <v>42328</v>
      </c>
      <c r="D1653" s="28">
        <f>MONTH(Table11[[#This Row],[Order Date]])</f>
        <v>11</v>
      </c>
      <c r="E1653" s="3" t="s">
        <v>1621</v>
      </c>
      <c r="F1653" s="3" t="s">
        <v>1622</v>
      </c>
      <c r="G1653" s="25" t="s">
        <v>41</v>
      </c>
      <c r="H1653" s="25" t="s">
        <v>68</v>
      </c>
      <c r="I1653" s="3" t="s">
        <v>4540</v>
      </c>
      <c r="J1653" s="25" t="s">
        <v>92</v>
      </c>
      <c r="K1653" s="28">
        <v>9</v>
      </c>
      <c r="L1653" s="7">
        <v>42332</v>
      </c>
      <c r="M1653" s="28">
        <f>Table11[[#This Row],[Ship Date]]-Table11[[#This Row],[Order Date]]</f>
        <v>4</v>
      </c>
      <c r="N1653" s="25" t="s">
        <v>45</v>
      </c>
      <c r="O1653" s="25" t="s">
        <v>23</v>
      </c>
      <c r="P1653" s="25" t="s">
        <v>38</v>
      </c>
      <c r="Q1653" s="25" t="s">
        <v>39</v>
      </c>
      <c r="R1653" s="25" t="s">
        <v>114</v>
      </c>
      <c r="S1653" s="35">
        <v>0.2</v>
      </c>
      <c r="T1653" s="16">
        <v>24.192</v>
      </c>
      <c r="U1653" s="19">
        <v>7.56</v>
      </c>
      <c r="V1653" s="56">
        <f>Table11[[#This Row],[Profit]]/Table11[[#This Row],[Sales]]</f>
        <v>0.3125</v>
      </c>
    </row>
    <row r="1654" spans="1:22" x14ac:dyDescent="0.2">
      <c r="A1654" s="4">
        <v>1653</v>
      </c>
      <c r="B1654" s="5" t="s">
        <v>8004</v>
      </c>
      <c r="C1654" s="6">
        <v>42328</v>
      </c>
      <c r="D1654" s="27">
        <f>MONTH(Table11[[#This Row],[Order Date]])</f>
        <v>11</v>
      </c>
      <c r="E1654" s="5" t="s">
        <v>4129</v>
      </c>
      <c r="F1654" s="5" t="s">
        <v>4130</v>
      </c>
      <c r="G1654" s="24" t="s">
        <v>41</v>
      </c>
      <c r="H1654" s="24" t="s">
        <v>61</v>
      </c>
      <c r="I1654" s="5" t="s">
        <v>5617</v>
      </c>
      <c r="J1654" s="24" t="s">
        <v>92</v>
      </c>
      <c r="K1654" s="27">
        <v>6</v>
      </c>
      <c r="L1654" s="6">
        <v>42333</v>
      </c>
      <c r="M1654" s="27">
        <f>Table11[[#This Row],[Ship Date]]-Table11[[#This Row],[Order Date]]</f>
        <v>5</v>
      </c>
      <c r="N1654" s="24" t="s">
        <v>45</v>
      </c>
      <c r="O1654" s="24" t="s">
        <v>23</v>
      </c>
      <c r="P1654" s="24" t="s">
        <v>87</v>
      </c>
      <c r="Q1654" s="24" t="s">
        <v>39</v>
      </c>
      <c r="R1654" s="24" t="s">
        <v>86</v>
      </c>
      <c r="S1654" s="34">
        <v>0</v>
      </c>
      <c r="T1654" s="15">
        <v>119.04</v>
      </c>
      <c r="U1654" s="18">
        <v>30.950399999999998</v>
      </c>
      <c r="V1654" s="56">
        <f>Table11[[#This Row],[Profit]]/Table11[[#This Row],[Sales]]</f>
        <v>0.25999999999999995</v>
      </c>
    </row>
    <row r="1655" spans="1:22" x14ac:dyDescent="0.2">
      <c r="A1655" s="4">
        <v>1654</v>
      </c>
      <c r="B1655" s="3" t="s">
        <v>8004</v>
      </c>
      <c r="C1655" s="7">
        <v>42328</v>
      </c>
      <c r="D1655" s="28">
        <f>MONTH(Table11[[#This Row],[Order Date]])</f>
        <v>11</v>
      </c>
      <c r="E1655" s="3" t="s">
        <v>4489</v>
      </c>
      <c r="F1655" s="3" t="s">
        <v>4490</v>
      </c>
      <c r="G1655" s="25" t="s">
        <v>28</v>
      </c>
      <c r="H1655" s="25" t="s">
        <v>58</v>
      </c>
      <c r="I1655" s="3" t="s">
        <v>5617</v>
      </c>
      <c r="J1655" s="25" t="s">
        <v>92</v>
      </c>
      <c r="K1655" s="28">
        <v>3</v>
      </c>
      <c r="L1655" s="7">
        <v>42333</v>
      </c>
      <c r="M1655" s="28">
        <f>Table11[[#This Row],[Ship Date]]-Table11[[#This Row],[Order Date]]</f>
        <v>5</v>
      </c>
      <c r="N1655" s="25" t="s">
        <v>45</v>
      </c>
      <c r="O1655" s="25" t="s">
        <v>23</v>
      </c>
      <c r="P1655" s="25" t="s">
        <v>87</v>
      </c>
      <c r="Q1655" s="25" t="s">
        <v>39</v>
      </c>
      <c r="R1655" s="25" t="s">
        <v>86</v>
      </c>
      <c r="S1655" s="35">
        <v>0</v>
      </c>
      <c r="T1655" s="16">
        <v>22.14</v>
      </c>
      <c r="U1655" s="19">
        <v>6.4206000000000003</v>
      </c>
      <c r="V1655" s="56">
        <f>Table11[[#This Row],[Profit]]/Table11[[#This Row],[Sales]]</f>
        <v>0.28999999999999998</v>
      </c>
    </row>
    <row r="1656" spans="1:22" x14ac:dyDescent="0.2">
      <c r="A1656" s="2">
        <v>1655</v>
      </c>
      <c r="B1656" s="5" t="s">
        <v>8004</v>
      </c>
      <c r="C1656" s="6">
        <v>42328</v>
      </c>
      <c r="D1656" s="27">
        <f>MONTH(Table11[[#This Row],[Order Date]])</f>
        <v>11</v>
      </c>
      <c r="E1656" s="5" t="s">
        <v>6997</v>
      </c>
      <c r="F1656" s="5" t="s">
        <v>6998</v>
      </c>
      <c r="G1656" s="24" t="s">
        <v>64</v>
      </c>
      <c r="H1656" s="24" t="s">
        <v>144</v>
      </c>
      <c r="I1656" s="5" t="s">
        <v>5617</v>
      </c>
      <c r="J1656" s="24" t="s">
        <v>92</v>
      </c>
      <c r="K1656" s="27">
        <v>2</v>
      </c>
      <c r="L1656" s="6">
        <v>42333</v>
      </c>
      <c r="M1656" s="27">
        <f>Table11[[#This Row],[Ship Date]]-Table11[[#This Row],[Order Date]]</f>
        <v>5</v>
      </c>
      <c r="N1656" s="24" t="s">
        <v>45</v>
      </c>
      <c r="O1656" s="24" t="s">
        <v>23</v>
      </c>
      <c r="P1656" s="24" t="s">
        <v>87</v>
      </c>
      <c r="Q1656" s="24" t="s">
        <v>39</v>
      </c>
      <c r="R1656" s="24" t="s">
        <v>86</v>
      </c>
      <c r="S1656" s="34">
        <v>0</v>
      </c>
      <c r="T1656" s="15">
        <v>13.98</v>
      </c>
      <c r="U1656" s="18">
        <v>6.0114000000000001</v>
      </c>
      <c r="V1656" s="56">
        <f>Table11[[#This Row],[Profit]]/Table11[[#This Row],[Sales]]</f>
        <v>0.43</v>
      </c>
    </row>
    <row r="1657" spans="1:22" x14ac:dyDescent="0.2">
      <c r="A1657" s="4">
        <v>1656</v>
      </c>
      <c r="B1657" s="3" t="s">
        <v>8031</v>
      </c>
      <c r="C1657" s="7">
        <v>42328</v>
      </c>
      <c r="D1657" s="28">
        <f>MONTH(Table11[[#This Row],[Order Date]])</f>
        <v>11</v>
      </c>
      <c r="E1657" s="3" t="s">
        <v>8032</v>
      </c>
      <c r="F1657" s="3" t="s">
        <v>8033</v>
      </c>
      <c r="G1657" s="25" t="s">
        <v>28</v>
      </c>
      <c r="H1657" s="25" t="s">
        <v>58</v>
      </c>
      <c r="I1657" s="3" t="s">
        <v>3880</v>
      </c>
      <c r="J1657" s="25" t="s">
        <v>22</v>
      </c>
      <c r="K1657" s="28">
        <v>2</v>
      </c>
      <c r="L1657" s="7">
        <v>42334</v>
      </c>
      <c r="M1657" s="28">
        <f>Table11[[#This Row],[Ship Date]]-Table11[[#This Row],[Order Date]]</f>
        <v>6</v>
      </c>
      <c r="N1657" s="25" t="s">
        <v>45</v>
      </c>
      <c r="O1657" s="25" t="s">
        <v>23</v>
      </c>
      <c r="P1657" s="25" t="s">
        <v>441</v>
      </c>
      <c r="Q1657" s="25" t="s">
        <v>133</v>
      </c>
      <c r="R1657" s="25" t="s">
        <v>4594</v>
      </c>
      <c r="S1657" s="35">
        <v>0.2</v>
      </c>
      <c r="T1657" s="16">
        <v>63.823999999999998</v>
      </c>
      <c r="U1657" s="19">
        <v>9.5736000000000008</v>
      </c>
      <c r="V1657" s="56">
        <f>Table11[[#This Row],[Profit]]/Table11[[#This Row],[Sales]]</f>
        <v>0.15000000000000002</v>
      </c>
    </row>
    <row r="1658" spans="1:22" x14ac:dyDescent="0.2">
      <c r="A1658" s="4">
        <v>1657</v>
      </c>
      <c r="B1658" s="5" t="s">
        <v>8031</v>
      </c>
      <c r="C1658" s="6">
        <v>42328</v>
      </c>
      <c r="D1658" s="27">
        <f>MONTH(Table11[[#This Row],[Order Date]])</f>
        <v>11</v>
      </c>
      <c r="E1658" s="5" t="s">
        <v>7610</v>
      </c>
      <c r="F1658" s="5" t="s">
        <v>7611</v>
      </c>
      <c r="G1658" s="24" t="s">
        <v>41</v>
      </c>
      <c r="H1658" s="24" t="s">
        <v>53</v>
      </c>
      <c r="I1658" s="5" t="s">
        <v>3880</v>
      </c>
      <c r="J1658" s="24" t="s">
        <v>22</v>
      </c>
      <c r="K1658" s="27">
        <v>3</v>
      </c>
      <c r="L1658" s="6">
        <v>42334</v>
      </c>
      <c r="M1658" s="27">
        <f>Table11[[#This Row],[Ship Date]]-Table11[[#This Row],[Order Date]]</f>
        <v>6</v>
      </c>
      <c r="N1658" s="24" t="s">
        <v>45</v>
      </c>
      <c r="O1658" s="24" t="s">
        <v>23</v>
      </c>
      <c r="P1658" s="24" t="s">
        <v>441</v>
      </c>
      <c r="Q1658" s="24" t="s">
        <v>133</v>
      </c>
      <c r="R1658" s="24" t="s">
        <v>4594</v>
      </c>
      <c r="S1658" s="34">
        <v>0.2</v>
      </c>
      <c r="T1658" s="15">
        <v>141.55199999999999</v>
      </c>
      <c r="U1658" s="18">
        <v>-26.541</v>
      </c>
      <c r="V1658" s="56">
        <f>Table11[[#This Row],[Profit]]/Table11[[#This Row],[Sales]]</f>
        <v>-0.1875</v>
      </c>
    </row>
    <row r="1659" spans="1:22" x14ac:dyDescent="0.2">
      <c r="A1659" s="2">
        <v>1658</v>
      </c>
      <c r="B1659" s="3" t="s">
        <v>8426</v>
      </c>
      <c r="C1659" s="7">
        <v>42328</v>
      </c>
      <c r="D1659" s="28">
        <f>MONTH(Table11[[#This Row],[Order Date]])</f>
        <v>11</v>
      </c>
      <c r="E1659" s="3" t="s">
        <v>8427</v>
      </c>
      <c r="F1659" s="3" t="s">
        <v>8428</v>
      </c>
      <c r="G1659" s="25" t="s">
        <v>64</v>
      </c>
      <c r="H1659" s="25" t="s">
        <v>602</v>
      </c>
      <c r="I1659" s="3" t="s">
        <v>1041</v>
      </c>
      <c r="J1659" s="25" t="s">
        <v>36</v>
      </c>
      <c r="K1659" s="28">
        <v>2</v>
      </c>
      <c r="L1659" s="7">
        <v>42332</v>
      </c>
      <c r="M1659" s="28">
        <f>Table11[[#This Row],[Ship Date]]-Table11[[#This Row],[Order Date]]</f>
        <v>4</v>
      </c>
      <c r="N1659" s="25" t="s">
        <v>45</v>
      </c>
      <c r="O1659" s="25" t="s">
        <v>23</v>
      </c>
      <c r="P1659" s="25" t="s">
        <v>94</v>
      </c>
      <c r="Q1659" s="25" t="s">
        <v>95</v>
      </c>
      <c r="R1659" s="25" t="s">
        <v>718</v>
      </c>
      <c r="S1659" s="35">
        <v>0.4</v>
      </c>
      <c r="T1659" s="16">
        <v>479.988</v>
      </c>
      <c r="U1659" s="19">
        <v>55.998600000000003</v>
      </c>
      <c r="V1659" s="56">
        <f>Table11[[#This Row],[Profit]]/Table11[[#This Row],[Sales]]</f>
        <v>0.11666666666666667</v>
      </c>
    </row>
    <row r="1660" spans="1:22" x14ac:dyDescent="0.2">
      <c r="A1660" s="4">
        <v>1659</v>
      </c>
      <c r="B1660" s="5" t="s">
        <v>8527</v>
      </c>
      <c r="C1660" s="6">
        <v>42328</v>
      </c>
      <c r="D1660" s="27">
        <f>MONTH(Table11[[#This Row],[Order Date]])</f>
        <v>11</v>
      </c>
      <c r="E1660" s="5" t="s">
        <v>1857</v>
      </c>
      <c r="F1660" s="5" t="s">
        <v>1858</v>
      </c>
      <c r="G1660" s="24" t="s">
        <v>41</v>
      </c>
      <c r="H1660" s="24" t="s">
        <v>68</v>
      </c>
      <c r="I1660" s="5" t="s">
        <v>2086</v>
      </c>
      <c r="J1660" s="24" t="s">
        <v>22</v>
      </c>
      <c r="K1660" s="27">
        <v>5</v>
      </c>
      <c r="L1660" s="6">
        <v>42335</v>
      </c>
      <c r="M1660" s="27">
        <f>Table11[[#This Row],[Ship Date]]-Table11[[#This Row],[Order Date]]</f>
        <v>7</v>
      </c>
      <c r="N1660" s="24" t="s">
        <v>45</v>
      </c>
      <c r="O1660" s="24" t="s">
        <v>23</v>
      </c>
      <c r="P1660" s="24" t="s">
        <v>48</v>
      </c>
      <c r="Q1660" s="24" t="s">
        <v>26</v>
      </c>
      <c r="R1660" s="24" t="s">
        <v>1253</v>
      </c>
      <c r="S1660" s="34">
        <v>0.7</v>
      </c>
      <c r="T1660" s="15">
        <v>7.23</v>
      </c>
      <c r="U1660" s="18">
        <v>-5.7839999999999998</v>
      </c>
      <c r="V1660" s="56">
        <f>Table11[[#This Row],[Profit]]/Table11[[#This Row],[Sales]]</f>
        <v>-0.79999999999999993</v>
      </c>
    </row>
    <row r="1661" spans="1:22" x14ac:dyDescent="0.2">
      <c r="A1661" s="4">
        <v>1660</v>
      </c>
      <c r="B1661" s="3" t="s">
        <v>8527</v>
      </c>
      <c r="C1661" s="7">
        <v>42328</v>
      </c>
      <c r="D1661" s="28">
        <f>MONTH(Table11[[#This Row],[Order Date]])</f>
        <v>11</v>
      </c>
      <c r="E1661" s="3" t="s">
        <v>1311</v>
      </c>
      <c r="F1661" s="3" t="s">
        <v>1312</v>
      </c>
      <c r="G1661" s="25" t="s">
        <v>41</v>
      </c>
      <c r="H1661" s="25" t="s">
        <v>53</v>
      </c>
      <c r="I1661" s="3" t="s">
        <v>2086</v>
      </c>
      <c r="J1661" s="25" t="s">
        <v>22</v>
      </c>
      <c r="K1661" s="28">
        <v>2</v>
      </c>
      <c r="L1661" s="7">
        <v>42335</v>
      </c>
      <c r="M1661" s="28">
        <f>Table11[[#This Row],[Ship Date]]-Table11[[#This Row],[Order Date]]</f>
        <v>7</v>
      </c>
      <c r="N1661" s="25" t="s">
        <v>45</v>
      </c>
      <c r="O1661" s="25" t="s">
        <v>23</v>
      </c>
      <c r="P1661" s="25" t="s">
        <v>48</v>
      </c>
      <c r="Q1661" s="25" t="s">
        <v>26</v>
      </c>
      <c r="R1661" s="25" t="s">
        <v>1253</v>
      </c>
      <c r="S1661" s="35">
        <v>0.2</v>
      </c>
      <c r="T1661" s="16">
        <v>17.440000000000001</v>
      </c>
      <c r="U1661" s="19">
        <v>1.3080000000000001</v>
      </c>
      <c r="V1661" s="56">
        <f>Table11[[#This Row],[Profit]]/Table11[[#This Row],[Sales]]</f>
        <v>7.4999999999999997E-2</v>
      </c>
    </row>
    <row r="1662" spans="1:22" x14ac:dyDescent="0.2">
      <c r="A1662" s="2">
        <v>1661</v>
      </c>
      <c r="B1662" s="5" t="s">
        <v>8527</v>
      </c>
      <c r="C1662" s="6">
        <v>42328</v>
      </c>
      <c r="D1662" s="27">
        <f>MONTH(Table11[[#This Row],[Order Date]])</f>
        <v>11</v>
      </c>
      <c r="E1662" s="5" t="s">
        <v>961</v>
      </c>
      <c r="F1662" s="5" t="s">
        <v>962</v>
      </c>
      <c r="G1662" s="24" t="s">
        <v>41</v>
      </c>
      <c r="H1662" s="24" t="s">
        <v>68</v>
      </c>
      <c r="I1662" s="5" t="s">
        <v>2086</v>
      </c>
      <c r="J1662" s="24" t="s">
        <v>22</v>
      </c>
      <c r="K1662" s="27">
        <v>4</v>
      </c>
      <c r="L1662" s="6">
        <v>42335</v>
      </c>
      <c r="M1662" s="27">
        <f>Table11[[#This Row],[Ship Date]]-Table11[[#This Row],[Order Date]]</f>
        <v>7</v>
      </c>
      <c r="N1662" s="24" t="s">
        <v>45</v>
      </c>
      <c r="O1662" s="24" t="s">
        <v>23</v>
      </c>
      <c r="P1662" s="24" t="s">
        <v>48</v>
      </c>
      <c r="Q1662" s="24" t="s">
        <v>26</v>
      </c>
      <c r="R1662" s="24" t="s">
        <v>1253</v>
      </c>
      <c r="S1662" s="34">
        <v>0.7</v>
      </c>
      <c r="T1662" s="15">
        <v>62.88</v>
      </c>
      <c r="U1662" s="18">
        <v>-50.304000000000002</v>
      </c>
      <c r="V1662" s="56">
        <f>Table11[[#This Row],[Profit]]/Table11[[#This Row],[Sales]]</f>
        <v>-0.8</v>
      </c>
    </row>
    <row r="1663" spans="1:22" x14ac:dyDescent="0.2">
      <c r="A1663" s="4">
        <v>1662</v>
      </c>
      <c r="B1663" s="3" t="s">
        <v>8527</v>
      </c>
      <c r="C1663" s="7">
        <v>42328</v>
      </c>
      <c r="D1663" s="28">
        <f>MONTH(Table11[[#This Row],[Order Date]])</f>
        <v>11</v>
      </c>
      <c r="E1663" s="3" t="s">
        <v>1478</v>
      </c>
      <c r="F1663" s="3" t="s">
        <v>1479</v>
      </c>
      <c r="G1663" s="25" t="s">
        <v>28</v>
      </c>
      <c r="H1663" s="25" t="s">
        <v>29</v>
      </c>
      <c r="I1663" s="3" t="s">
        <v>2086</v>
      </c>
      <c r="J1663" s="25" t="s">
        <v>22</v>
      </c>
      <c r="K1663" s="28">
        <v>3</v>
      </c>
      <c r="L1663" s="7">
        <v>42335</v>
      </c>
      <c r="M1663" s="28">
        <f>Table11[[#This Row],[Ship Date]]-Table11[[#This Row],[Order Date]]</f>
        <v>7</v>
      </c>
      <c r="N1663" s="25" t="s">
        <v>45</v>
      </c>
      <c r="O1663" s="25" t="s">
        <v>23</v>
      </c>
      <c r="P1663" s="25" t="s">
        <v>48</v>
      </c>
      <c r="Q1663" s="25" t="s">
        <v>26</v>
      </c>
      <c r="R1663" s="25" t="s">
        <v>1253</v>
      </c>
      <c r="S1663" s="35">
        <v>0.2</v>
      </c>
      <c r="T1663" s="16">
        <v>290.35199999999998</v>
      </c>
      <c r="U1663" s="19">
        <v>-36.293999999999997</v>
      </c>
      <c r="V1663" s="56">
        <f>Table11[[#This Row],[Profit]]/Table11[[#This Row],[Sales]]</f>
        <v>-0.125</v>
      </c>
    </row>
    <row r="1664" spans="1:22" x14ac:dyDescent="0.2">
      <c r="A1664" s="4">
        <v>1663</v>
      </c>
      <c r="B1664" s="5" t="s">
        <v>8959</v>
      </c>
      <c r="C1664" s="6">
        <v>42328</v>
      </c>
      <c r="D1664" s="27">
        <f>MONTH(Table11[[#This Row],[Order Date]])</f>
        <v>11</v>
      </c>
      <c r="E1664" s="5" t="s">
        <v>2803</v>
      </c>
      <c r="F1664" s="5" t="s">
        <v>2804</v>
      </c>
      <c r="G1664" s="24" t="s">
        <v>28</v>
      </c>
      <c r="H1664" s="24" t="s">
        <v>32</v>
      </c>
      <c r="I1664" s="5" t="s">
        <v>2080</v>
      </c>
      <c r="J1664" s="24" t="s">
        <v>92</v>
      </c>
      <c r="K1664" s="27">
        <v>4</v>
      </c>
      <c r="L1664" s="6">
        <v>42332</v>
      </c>
      <c r="M1664" s="27">
        <f>Table11[[#This Row],[Ship Date]]-Table11[[#This Row],[Order Date]]</f>
        <v>4</v>
      </c>
      <c r="N1664" s="24" t="s">
        <v>45</v>
      </c>
      <c r="O1664" s="24" t="s">
        <v>23</v>
      </c>
      <c r="P1664" s="24" t="s">
        <v>132</v>
      </c>
      <c r="Q1664" s="24" t="s">
        <v>133</v>
      </c>
      <c r="R1664" s="24" t="s">
        <v>131</v>
      </c>
      <c r="S1664" s="34">
        <v>0.3</v>
      </c>
      <c r="T1664" s="15">
        <v>344.37200000000001</v>
      </c>
      <c r="U1664" s="18">
        <v>-93.472399999999993</v>
      </c>
      <c r="V1664" s="56">
        <f>Table11[[#This Row],[Profit]]/Table11[[#This Row],[Sales]]</f>
        <v>-0.27142857142857141</v>
      </c>
    </row>
    <row r="1665" spans="1:22" x14ac:dyDescent="0.2">
      <c r="A1665" s="2">
        <v>1664</v>
      </c>
      <c r="B1665" s="3" t="s">
        <v>8994</v>
      </c>
      <c r="C1665" s="7">
        <v>42328</v>
      </c>
      <c r="D1665" s="28">
        <f>MONTH(Table11[[#This Row],[Order Date]])</f>
        <v>11</v>
      </c>
      <c r="E1665" s="3" t="s">
        <v>1068</v>
      </c>
      <c r="F1665" s="3" t="s">
        <v>1069</v>
      </c>
      <c r="G1665" s="25" t="s">
        <v>41</v>
      </c>
      <c r="H1665" s="25" t="s">
        <v>68</v>
      </c>
      <c r="I1665" s="3" t="s">
        <v>3816</v>
      </c>
      <c r="J1665" s="25" t="s">
        <v>22</v>
      </c>
      <c r="K1665" s="28">
        <v>3</v>
      </c>
      <c r="L1665" s="7">
        <v>42331</v>
      </c>
      <c r="M1665" s="28">
        <f>Table11[[#This Row],[Ship Date]]-Table11[[#This Row],[Order Date]]</f>
        <v>3</v>
      </c>
      <c r="N1665" s="25" t="s">
        <v>20</v>
      </c>
      <c r="O1665" s="25" t="s">
        <v>23</v>
      </c>
      <c r="P1665" s="25" t="s">
        <v>405</v>
      </c>
      <c r="Q1665" s="25" t="s">
        <v>39</v>
      </c>
      <c r="R1665" s="25" t="s">
        <v>404</v>
      </c>
      <c r="S1665" s="35">
        <v>0.7</v>
      </c>
      <c r="T1665" s="16">
        <v>4.8959999999999999</v>
      </c>
      <c r="U1665" s="19">
        <v>-3.4272</v>
      </c>
      <c r="V1665" s="56">
        <f>Table11[[#This Row],[Profit]]/Table11[[#This Row],[Sales]]</f>
        <v>-0.70000000000000007</v>
      </c>
    </row>
    <row r="1666" spans="1:22" x14ac:dyDescent="0.2">
      <c r="A1666" s="4">
        <v>1665</v>
      </c>
      <c r="B1666" s="5" t="s">
        <v>8994</v>
      </c>
      <c r="C1666" s="6">
        <v>42328</v>
      </c>
      <c r="D1666" s="27">
        <f>MONTH(Table11[[#This Row],[Order Date]])</f>
        <v>11</v>
      </c>
      <c r="E1666" s="5" t="s">
        <v>1114</v>
      </c>
      <c r="F1666" s="5" t="s">
        <v>1115</v>
      </c>
      <c r="G1666" s="24" t="s">
        <v>28</v>
      </c>
      <c r="H1666" s="24" t="s">
        <v>29</v>
      </c>
      <c r="I1666" s="5" t="s">
        <v>3816</v>
      </c>
      <c r="J1666" s="24" t="s">
        <v>22</v>
      </c>
      <c r="K1666" s="27">
        <v>6</v>
      </c>
      <c r="L1666" s="6">
        <v>42331</v>
      </c>
      <c r="M1666" s="27">
        <f>Table11[[#This Row],[Ship Date]]-Table11[[#This Row],[Order Date]]</f>
        <v>3</v>
      </c>
      <c r="N1666" s="24" t="s">
        <v>20</v>
      </c>
      <c r="O1666" s="24" t="s">
        <v>23</v>
      </c>
      <c r="P1666" s="24" t="s">
        <v>405</v>
      </c>
      <c r="Q1666" s="24" t="s">
        <v>39</v>
      </c>
      <c r="R1666" s="24" t="s">
        <v>404</v>
      </c>
      <c r="S1666" s="34">
        <v>0.7</v>
      </c>
      <c r="T1666" s="15">
        <v>145.76400000000001</v>
      </c>
      <c r="U1666" s="18">
        <v>-247.7988</v>
      </c>
      <c r="V1666" s="56">
        <f>Table11[[#This Row],[Profit]]/Table11[[#This Row],[Sales]]</f>
        <v>-1.7</v>
      </c>
    </row>
    <row r="1667" spans="1:22" x14ac:dyDescent="0.2">
      <c r="A1667" s="4">
        <v>1666</v>
      </c>
      <c r="B1667" s="3" t="s">
        <v>8994</v>
      </c>
      <c r="C1667" s="7">
        <v>42328</v>
      </c>
      <c r="D1667" s="28">
        <f>MONTH(Table11[[#This Row],[Order Date]])</f>
        <v>11</v>
      </c>
      <c r="E1667" s="3" t="s">
        <v>3281</v>
      </c>
      <c r="F1667" s="3" t="s">
        <v>3282</v>
      </c>
      <c r="G1667" s="25" t="s">
        <v>41</v>
      </c>
      <c r="H1667" s="25" t="s">
        <v>68</v>
      </c>
      <c r="I1667" s="3" t="s">
        <v>3816</v>
      </c>
      <c r="J1667" s="25" t="s">
        <v>22</v>
      </c>
      <c r="K1667" s="28">
        <v>6</v>
      </c>
      <c r="L1667" s="7">
        <v>42331</v>
      </c>
      <c r="M1667" s="28">
        <f>Table11[[#This Row],[Ship Date]]-Table11[[#This Row],[Order Date]]</f>
        <v>3</v>
      </c>
      <c r="N1667" s="25" t="s">
        <v>20</v>
      </c>
      <c r="O1667" s="25" t="s">
        <v>23</v>
      </c>
      <c r="P1667" s="25" t="s">
        <v>405</v>
      </c>
      <c r="Q1667" s="25" t="s">
        <v>39</v>
      </c>
      <c r="R1667" s="25" t="s">
        <v>404</v>
      </c>
      <c r="S1667" s="35">
        <v>0.7</v>
      </c>
      <c r="T1667" s="16">
        <v>9.6120000000000001</v>
      </c>
      <c r="U1667" s="19">
        <v>-7.3692000000000002</v>
      </c>
      <c r="V1667" s="56">
        <f>Table11[[#This Row],[Profit]]/Table11[[#This Row],[Sales]]</f>
        <v>-0.76666666666666672</v>
      </c>
    </row>
    <row r="1668" spans="1:22" x14ac:dyDescent="0.2">
      <c r="A1668" s="2">
        <v>1667</v>
      </c>
      <c r="B1668" s="5" t="s">
        <v>9619</v>
      </c>
      <c r="C1668" s="6">
        <v>42328</v>
      </c>
      <c r="D1668" s="27">
        <f>MONTH(Table11[[#This Row],[Order Date]])</f>
        <v>11</v>
      </c>
      <c r="E1668" s="5" t="s">
        <v>3128</v>
      </c>
      <c r="F1668" s="5" t="s">
        <v>3129</v>
      </c>
      <c r="G1668" s="24" t="s">
        <v>41</v>
      </c>
      <c r="H1668" s="24" t="s">
        <v>68</v>
      </c>
      <c r="I1668" s="5" t="s">
        <v>2128</v>
      </c>
      <c r="J1668" s="24" t="s">
        <v>36</v>
      </c>
      <c r="K1668" s="27">
        <v>4</v>
      </c>
      <c r="L1668" s="6">
        <v>42329</v>
      </c>
      <c r="M1668" s="27">
        <f>Table11[[#This Row],[Ship Date]]-Table11[[#This Row],[Order Date]]</f>
        <v>1</v>
      </c>
      <c r="N1668" s="24" t="s">
        <v>169</v>
      </c>
      <c r="O1668" s="24" t="s">
        <v>23</v>
      </c>
      <c r="P1668" s="24" t="s">
        <v>38</v>
      </c>
      <c r="Q1668" s="24" t="s">
        <v>39</v>
      </c>
      <c r="R1668" s="24" t="s">
        <v>836</v>
      </c>
      <c r="S1668" s="34">
        <v>0.2</v>
      </c>
      <c r="T1668" s="15">
        <v>89.695999999999998</v>
      </c>
      <c r="U1668" s="18">
        <v>33.636000000000003</v>
      </c>
      <c r="V1668" s="56">
        <f>Table11[[#This Row],[Profit]]/Table11[[#This Row],[Sales]]</f>
        <v>0.37500000000000006</v>
      </c>
    </row>
    <row r="1669" spans="1:22" x14ac:dyDescent="0.2">
      <c r="A1669" s="4">
        <v>1668</v>
      </c>
      <c r="B1669" s="3" t="s">
        <v>9619</v>
      </c>
      <c r="C1669" s="7">
        <v>42328</v>
      </c>
      <c r="D1669" s="28">
        <f>MONTH(Table11[[#This Row],[Order Date]])</f>
        <v>11</v>
      </c>
      <c r="E1669" s="3" t="s">
        <v>229</v>
      </c>
      <c r="F1669" s="3" t="s">
        <v>230</v>
      </c>
      <c r="G1669" s="25" t="s">
        <v>41</v>
      </c>
      <c r="H1669" s="25" t="s">
        <v>42</v>
      </c>
      <c r="I1669" s="3" t="s">
        <v>2128</v>
      </c>
      <c r="J1669" s="25" t="s">
        <v>36</v>
      </c>
      <c r="K1669" s="28">
        <v>4</v>
      </c>
      <c r="L1669" s="7">
        <v>42329</v>
      </c>
      <c r="M1669" s="28">
        <f>Table11[[#This Row],[Ship Date]]-Table11[[#This Row],[Order Date]]</f>
        <v>1</v>
      </c>
      <c r="N1669" s="25" t="s">
        <v>169</v>
      </c>
      <c r="O1669" s="25" t="s">
        <v>23</v>
      </c>
      <c r="P1669" s="25" t="s">
        <v>38</v>
      </c>
      <c r="Q1669" s="25" t="s">
        <v>39</v>
      </c>
      <c r="R1669" s="25" t="s">
        <v>836</v>
      </c>
      <c r="S1669" s="35">
        <v>0</v>
      </c>
      <c r="T1669" s="16">
        <v>50.12</v>
      </c>
      <c r="U1669" s="19">
        <v>23.5564</v>
      </c>
      <c r="V1669" s="56">
        <f>Table11[[#This Row],[Profit]]/Table11[[#This Row],[Sales]]</f>
        <v>0.47000000000000003</v>
      </c>
    </row>
    <row r="1670" spans="1:22" x14ac:dyDescent="0.2">
      <c r="A1670" s="4">
        <v>1669</v>
      </c>
      <c r="B1670" s="5" t="s">
        <v>9878</v>
      </c>
      <c r="C1670" s="6">
        <v>42328</v>
      </c>
      <c r="D1670" s="27">
        <f>MONTH(Table11[[#This Row],[Order Date]])</f>
        <v>11</v>
      </c>
      <c r="E1670" s="5" t="s">
        <v>5394</v>
      </c>
      <c r="F1670" s="5" t="s">
        <v>5395</v>
      </c>
      <c r="G1670" s="24" t="s">
        <v>28</v>
      </c>
      <c r="H1670" s="24" t="s">
        <v>58</v>
      </c>
      <c r="I1670" s="5" t="s">
        <v>4748</v>
      </c>
      <c r="J1670" s="24" t="s">
        <v>22</v>
      </c>
      <c r="K1670" s="27">
        <v>3</v>
      </c>
      <c r="L1670" s="6">
        <v>42332</v>
      </c>
      <c r="M1670" s="27">
        <f>Table11[[#This Row],[Ship Date]]-Table11[[#This Row],[Order Date]]</f>
        <v>4</v>
      </c>
      <c r="N1670" s="24" t="s">
        <v>45</v>
      </c>
      <c r="O1670" s="24" t="s">
        <v>23</v>
      </c>
      <c r="P1670" s="24" t="s">
        <v>38</v>
      </c>
      <c r="Q1670" s="24" t="s">
        <v>39</v>
      </c>
      <c r="R1670" s="24" t="s">
        <v>114</v>
      </c>
      <c r="S1670" s="34">
        <v>0</v>
      </c>
      <c r="T1670" s="15">
        <v>32.04</v>
      </c>
      <c r="U1670" s="18">
        <v>8.01</v>
      </c>
      <c r="V1670" s="56">
        <f>Table11[[#This Row],[Profit]]/Table11[[#This Row],[Sales]]</f>
        <v>0.25</v>
      </c>
    </row>
    <row r="1671" spans="1:22" x14ac:dyDescent="0.2">
      <c r="A1671" s="2">
        <v>1670</v>
      </c>
      <c r="B1671" s="3" t="s">
        <v>632</v>
      </c>
      <c r="C1671" s="7">
        <v>42329</v>
      </c>
      <c r="D1671" s="28">
        <f>MONTH(Table11[[#This Row],[Order Date]])</f>
        <v>11</v>
      </c>
      <c r="E1671" s="3" t="s">
        <v>633</v>
      </c>
      <c r="F1671" s="3" t="s">
        <v>634</v>
      </c>
      <c r="G1671" s="25" t="s">
        <v>28</v>
      </c>
      <c r="H1671" s="25" t="s">
        <v>32</v>
      </c>
      <c r="I1671" s="3" t="s">
        <v>297</v>
      </c>
      <c r="J1671" s="25" t="s">
        <v>22</v>
      </c>
      <c r="K1671" s="28">
        <v>7</v>
      </c>
      <c r="L1671" s="7">
        <v>42331</v>
      </c>
      <c r="M1671" s="28">
        <f>Table11[[#This Row],[Ship Date]]-Table11[[#This Row],[Order Date]]</f>
        <v>2</v>
      </c>
      <c r="N1671" s="25" t="s">
        <v>20</v>
      </c>
      <c r="O1671" s="25" t="s">
        <v>23</v>
      </c>
      <c r="P1671" s="25" t="s">
        <v>441</v>
      </c>
      <c r="Q1671" s="25" t="s">
        <v>133</v>
      </c>
      <c r="R1671" s="25" t="s">
        <v>536</v>
      </c>
      <c r="S1671" s="35">
        <v>0.3</v>
      </c>
      <c r="T1671" s="16">
        <v>396.80200000000002</v>
      </c>
      <c r="U1671" s="19">
        <v>-11.337199999999999</v>
      </c>
      <c r="V1671" s="56">
        <f>Table11[[#This Row],[Profit]]/Table11[[#This Row],[Sales]]</f>
        <v>-2.8571428571428567E-2</v>
      </c>
    </row>
    <row r="1672" spans="1:22" x14ac:dyDescent="0.2">
      <c r="A1672" s="4">
        <v>1671</v>
      </c>
      <c r="B1672" s="5" t="s">
        <v>632</v>
      </c>
      <c r="C1672" s="6">
        <v>42329</v>
      </c>
      <c r="D1672" s="27">
        <f>MONTH(Table11[[#This Row],[Order Date]])</f>
        <v>11</v>
      </c>
      <c r="E1672" s="5" t="s">
        <v>635</v>
      </c>
      <c r="F1672" s="5" t="s">
        <v>636</v>
      </c>
      <c r="G1672" s="24" t="s">
        <v>41</v>
      </c>
      <c r="H1672" s="24" t="s">
        <v>513</v>
      </c>
      <c r="I1672" s="5" t="s">
        <v>297</v>
      </c>
      <c r="J1672" s="24" t="s">
        <v>22</v>
      </c>
      <c r="K1672" s="27">
        <v>5</v>
      </c>
      <c r="L1672" s="6">
        <v>42331</v>
      </c>
      <c r="M1672" s="27">
        <f>Table11[[#This Row],[Ship Date]]-Table11[[#This Row],[Order Date]]</f>
        <v>2</v>
      </c>
      <c r="N1672" s="24" t="s">
        <v>20</v>
      </c>
      <c r="O1672" s="24" t="s">
        <v>23</v>
      </c>
      <c r="P1672" s="24" t="s">
        <v>441</v>
      </c>
      <c r="Q1672" s="24" t="s">
        <v>133</v>
      </c>
      <c r="R1672" s="24" t="s">
        <v>536</v>
      </c>
      <c r="S1672" s="34">
        <v>0.2</v>
      </c>
      <c r="T1672" s="15">
        <v>15.88</v>
      </c>
      <c r="U1672" s="18">
        <v>-3.7715000000000001</v>
      </c>
      <c r="V1672" s="56">
        <f>Table11[[#This Row],[Profit]]/Table11[[#This Row],[Sales]]</f>
        <v>-0.23749999999999999</v>
      </c>
    </row>
    <row r="1673" spans="1:22" x14ac:dyDescent="0.2">
      <c r="A1673" s="4">
        <v>1672</v>
      </c>
      <c r="B1673" s="3" t="s">
        <v>5878</v>
      </c>
      <c r="C1673" s="7">
        <v>42329</v>
      </c>
      <c r="D1673" s="28">
        <f>MONTH(Table11[[#This Row],[Order Date]])</f>
        <v>11</v>
      </c>
      <c r="E1673" s="3" t="s">
        <v>5879</v>
      </c>
      <c r="F1673" s="3" t="s">
        <v>5880</v>
      </c>
      <c r="G1673" s="25" t="s">
        <v>28</v>
      </c>
      <c r="H1673" s="25" t="s">
        <v>29</v>
      </c>
      <c r="I1673" s="3" t="s">
        <v>3774</v>
      </c>
      <c r="J1673" s="25" t="s">
        <v>22</v>
      </c>
      <c r="K1673" s="28">
        <v>2</v>
      </c>
      <c r="L1673" s="7">
        <v>42333</v>
      </c>
      <c r="M1673" s="28">
        <f>Table11[[#This Row],[Ship Date]]-Table11[[#This Row],[Order Date]]</f>
        <v>4</v>
      </c>
      <c r="N1673" s="25" t="s">
        <v>45</v>
      </c>
      <c r="O1673" s="25" t="s">
        <v>23</v>
      </c>
      <c r="P1673" s="25" t="s">
        <v>1229</v>
      </c>
      <c r="Q1673" s="25" t="s">
        <v>39</v>
      </c>
      <c r="R1673" s="25" t="s">
        <v>1228</v>
      </c>
      <c r="S1673" s="35">
        <v>0</v>
      </c>
      <c r="T1673" s="16">
        <v>141.96</v>
      </c>
      <c r="U1673" s="19">
        <v>41.168399999999998</v>
      </c>
      <c r="V1673" s="56">
        <f>Table11[[#This Row],[Profit]]/Table11[[#This Row],[Sales]]</f>
        <v>0.28999999999999998</v>
      </c>
    </row>
    <row r="1674" spans="1:22" x14ac:dyDescent="0.2">
      <c r="A1674" s="2">
        <v>1673</v>
      </c>
      <c r="B1674" s="5" t="s">
        <v>5878</v>
      </c>
      <c r="C1674" s="6">
        <v>42329</v>
      </c>
      <c r="D1674" s="27">
        <f>MONTH(Table11[[#This Row],[Order Date]])</f>
        <v>11</v>
      </c>
      <c r="E1674" s="5" t="s">
        <v>1187</v>
      </c>
      <c r="F1674" s="5" t="s">
        <v>1188</v>
      </c>
      <c r="G1674" s="24" t="s">
        <v>41</v>
      </c>
      <c r="H1674" s="24" t="s">
        <v>68</v>
      </c>
      <c r="I1674" s="5" t="s">
        <v>3774</v>
      </c>
      <c r="J1674" s="24" t="s">
        <v>22</v>
      </c>
      <c r="K1674" s="27">
        <v>4</v>
      </c>
      <c r="L1674" s="6">
        <v>42333</v>
      </c>
      <c r="M1674" s="27">
        <f>Table11[[#This Row],[Ship Date]]-Table11[[#This Row],[Order Date]]</f>
        <v>4</v>
      </c>
      <c r="N1674" s="24" t="s">
        <v>45</v>
      </c>
      <c r="O1674" s="24" t="s">
        <v>23</v>
      </c>
      <c r="P1674" s="24" t="s">
        <v>1229</v>
      </c>
      <c r="Q1674" s="24" t="s">
        <v>39</v>
      </c>
      <c r="R1674" s="24" t="s">
        <v>1228</v>
      </c>
      <c r="S1674" s="34">
        <v>0.2</v>
      </c>
      <c r="T1674" s="15">
        <v>66.048000000000002</v>
      </c>
      <c r="U1674" s="18">
        <v>23.116800000000001</v>
      </c>
      <c r="V1674" s="56">
        <f>Table11[[#This Row],[Profit]]/Table11[[#This Row],[Sales]]</f>
        <v>0.35000000000000003</v>
      </c>
    </row>
    <row r="1675" spans="1:22" x14ac:dyDescent="0.2">
      <c r="A1675" s="4">
        <v>1674</v>
      </c>
      <c r="B1675" s="3" t="s">
        <v>6647</v>
      </c>
      <c r="C1675" s="7">
        <v>42329</v>
      </c>
      <c r="D1675" s="28">
        <f>MONTH(Table11[[#This Row],[Order Date]])</f>
        <v>11</v>
      </c>
      <c r="E1675" s="3" t="s">
        <v>3890</v>
      </c>
      <c r="F1675" s="3" t="s">
        <v>3891</v>
      </c>
      <c r="G1675" s="25" t="s">
        <v>28</v>
      </c>
      <c r="H1675" s="25" t="s">
        <v>29</v>
      </c>
      <c r="I1675" s="3" t="s">
        <v>5355</v>
      </c>
      <c r="J1675" s="25" t="s">
        <v>36</v>
      </c>
      <c r="K1675" s="28">
        <v>2</v>
      </c>
      <c r="L1675" s="7">
        <v>42334</v>
      </c>
      <c r="M1675" s="28">
        <f>Table11[[#This Row],[Ship Date]]-Table11[[#This Row],[Order Date]]</f>
        <v>5</v>
      </c>
      <c r="N1675" s="25" t="s">
        <v>20</v>
      </c>
      <c r="O1675" s="25" t="s">
        <v>23</v>
      </c>
      <c r="P1675" s="25" t="s">
        <v>94</v>
      </c>
      <c r="Q1675" s="25" t="s">
        <v>95</v>
      </c>
      <c r="R1675" s="25" t="s">
        <v>6648</v>
      </c>
      <c r="S1675" s="35">
        <v>0.32</v>
      </c>
      <c r="T1675" s="16">
        <v>246.1328</v>
      </c>
      <c r="U1675" s="19">
        <v>-76.011600000000001</v>
      </c>
      <c r="V1675" s="56">
        <f>Table11[[#This Row],[Profit]]/Table11[[#This Row],[Sales]]</f>
        <v>-0.30882352941176472</v>
      </c>
    </row>
    <row r="1676" spans="1:22" x14ac:dyDescent="0.2">
      <c r="A1676" s="4">
        <v>1675</v>
      </c>
      <c r="B1676" s="5" t="s">
        <v>6647</v>
      </c>
      <c r="C1676" s="6">
        <v>42329</v>
      </c>
      <c r="D1676" s="27">
        <f>MONTH(Table11[[#This Row],[Order Date]])</f>
        <v>11</v>
      </c>
      <c r="E1676" s="5" t="s">
        <v>40</v>
      </c>
      <c r="F1676" s="5" t="s">
        <v>43</v>
      </c>
      <c r="G1676" s="24" t="s">
        <v>41</v>
      </c>
      <c r="H1676" s="24" t="s">
        <v>42</v>
      </c>
      <c r="I1676" s="5" t="s">
        <v>5355</v>
      </c>
      <c r="J1676" s="24" t="s">
        <v>36</v>
      </c>
      <c r="K1676" s="27">
        <v>2</v>
      </c>
      <c r="L1676" s="6">
        <v>42334</v>
      </c>
      <c r="M1676" s="27">
        <f>Table11[[#This Row],[Ship Date]]-Table11[[#This Row],[Order Date]]</f>
        <v>5</v>
      </c>
      <c r="N1676" s="24" t="s">
        <v>20</v>
      </c>
      <c r="O1676" s="24" t="s">
        <v>23</v>
      </c>
      <c r="P1676" s="24" t="s">
        <v>94</v>
      </c>
      <c r="Q1676" s="24" t="s">
        <v>95</v>
      </c>
      <c r="R1676" s="24" t="s">
        <v>6648</v>
      </c>
      <c r="S1676" s="34">
        <v>0.2</v>
      </c>
      <c r="T1676" s="15">
        <v>11.696</v>
      </c>
      <c r="U1676" s="18">
        <v>3.9474</v>
      </c>
      <c r="V1676" s="56">
        <f>Table11[[#This Row],[Profit]]/Table11[[#This Row],[Sales]]</f>
        <v>0.33750000000000002</v>
      </c>
    </row>
    <row r="1677" spans="1:22" x14ac:dyDescent="0.2">
      <c r="A1677" s="2">
        <v>1676</v>
      </c>
      <c r="B1677" s="3" t="s">
        <v>6647</v>
      </c>
      <c r="C1677" s="7">
        <v>42329</v>
      </c>
      <c r="D1677" s="28">
        <f>MONTH(Table11[[#This Row],[Order Date]])</f>
        <v>11</v>
      </c>
      <c r="E1677" s="3" t="s">
        <v>6142</v>
      </c>
      <c r="F1677" s="3" t="s">
        <v>6143</v>
      </c>
      <c r="G1677" s="25" t="s">
        <v>64</v>
      </c>
      <c r="H1677" s="25" t="s">
        <v>1075</v>
      </c>
      <c r="I1677" s="3" t="s">
        <v>5355</v>
      </c>
      <c r="J1677" s="25" t="s">
        <v>36</v>
      </c>
      <c r="K1677" s="28">
        <v>1</v>
      </c>
      <c r="L1677" s="7">
        <v>42334</v>
      </c>
      <c r="M1677" s="28">
        <f>Table11[[#This Row],[Ship Date]]-Table11[[#This Row],[Order Date]]</f>
        <v>5</v>
      </c>
      <c r="N1677" s="25" t="s">
        <v>20</v>
      </c>
      <c r="O1677" s="25" t="s">
        <v>23</v>
      </c>
      <c r="P1677" s="25" t="s">
        <v>94</v>
      </c>
      <c r="Q1677" s="25" t="s">
        <v>95</v>
      </c>
      <c r="R1677" s="25" t="s">
        <v>6648</v>
      </c>
      <c r="S1677" s="35">
        <v>0.2</v>
      </c>
      <c r="T1677" s="16">
        <v>439.99200000000002</v>
      </c>
      <c r="U1677" s="19">
        <v>164.99700000000001</v>
      </c>
      <c r="V1677" s="56">
        <f>Table11[[#This Row],[Profit]]/Table11[[#This Row],[Sales]]</f>
        <v>0.375</v>
      </c>
    </row>
    <row r="1678" spans="1:22" x14ac:dyDescent="0.2">
      <c r="A1678" s="4">
        <v>1677</v>
      </c>
      <c r="B1678" s="5" t="s">
        <v>8250</v>
      </c>
      <c r="C1678" s="6">
        <v>42329</v>
      </c>
      <c r="D1678" s="27">
        <f>MONTH(Table11[[#This Row],[Order Date]])</f>
        <v>11</v>
      </c>
      <c r="E1678" s="5" t="s">
        <v>2928</v>
      </c>
      <c r="F1678" s="5" t="s">
        <v>2929</v>
      </c>
      <c r="G1678" s="24" t="s">
        <v>41</v>
      </c>
      <c r="H1678" s="24" t="s">
        <v>61</v>
      </c>
      <c r="I1678" s="5" t="s">
        <v>5325</v>
      </c>
      <c r="J1678" s="24" t="s">
        <v>22</v>
      </c>
      <c r="K1678" s="27">
        <v>6</v>
      </c>
      <c r="L1678" s="6">
        <v>42331</v>
      </c>
      <c r="M1678" s="27">
        <f>Table11[[#This Row],[Ship Date]]-Table11[[#This Row],[Order Date]]</f>
        <v>2</v>
      </c>
      <c r="N1678" s="24" t="s">
        <v>20</v>
      </c>
      <c r="O1678" s="24" t="s">
        <v>23</v>
      </c>
      <c r="P1678" s="24" t="s">
        <v>226</v>
      </c>
      <c r="Q1678" s="24" t="s">
        <v>95</v>
      </c>
      <c r="R1678" s="24" t="s">
        <v>1308</v>
      </c>
      <c r="S1678" s="34">
        <v>0</v>
      </c>
      <c r="T1678" s="15">
        <v>10.92</v>
      </c>
      <c r="U1678" s="18">
        <v>4.9139999999999997</v>
      </c>
      <c r="V1678" s="56">
        <f>Table11[[#This Row],[Profit]]/Table11[[#This Row],[Sales]]</f>
        <v>0.44999999999999996</v>
      </c>
    </row>
    <row r="1679" spans="1:22" x14ac:dyDescent="0.2">
      <c r="A1679" s="4">
        <v>1678</v>
      </c>
      <c r="B1679" s="3" t="s">
        <v>8250</v>
      </c>
      <c r="C1679" s="7">
        <v>42329</v>
      </c>
      <c r="D1679" s="28">
        <f>MONTH(Table11[[#This Row],[Order Date]])</f>
        <v>11</v>
      </c>
      <c r="E1679" s="3" t="s">
        <v>8251</v>
      </c>
      <c r="F1679" s="3" t="s">
        <v>8252</v>
      </c>
      <c r="G1679" s="25" t="s">
        <v>64</v>
      </c>
      <c r="H1679" s="25" t="s">
        <v>602</v>
      </c>
      <c r="I1679" s="3" t="s">
        <v>5325</v>
      </c>
      <c r="J1679" s="25" t="s">
        <v>22</v>
      </c>
      <c r="K1679" s="28">
        <v>2</v>
      </c>
      <c r="L1679" s="7">
        <v>42331</v>
      </c>
      <c r="M1679" s="28">
        <f>Table11[[#This Row],[Ship Date]]-Table11[[#This Row],[Order Date]]</f>
        <v>2</v>
      </c>
      <c r="N1679" s="25" t="s">
        <v>20</v>
      </c>
      <c r="O1679" s="25" t="s">
        <v>23</v>
      </c>
      <c r="P1679" s="25" t="s">
        <v>226</v>
      </c>
      <c r="Q1679" s="25" t="s">
        <v>95</v>
      </c>
      <c r="R1679" s="25" t="s">
        <v>1308</v>
      </c>
      <c r="S1679" s="35">
        <v>0</v>
      </c>
      <c r="T1679" s="16">
        <v>83.9</v>
      </c>
      <c r="U1679" s="19">
        <v>22.652999999999999</v>
      </c>
      <c r="V1679" s="56">
        <f>Table11[[#This Row],[Profit]]/Table11[[#This Row],[Sales]]</f>
        <v>0.26999999999999996</v>
      </c>
    </row>
    <row r="1680" spans="1:22" x14ac:dyDescent="0.2">
      <c r="A1680" s="2">
        <v>1679</v>
      </c>
      <c r="B1680" s="5" t="s">
        <v>8250</v>
      </c>
      <c r="C1680" s="6">
        <v>42329</v>
      </c>
      <c r="D1680" s="27">
        <f>MONTH(Table11[[#This Row],[Order Date]])</f>
        <v>11</v>
      </c>
      <c r="E1680" s="5" t="s">
        <v>6891</v>
      </c>
      <c r="F1680" s="5" t="s">
        <v>6892</v>
      </c>
      <c r="G1680" s="24" t="s">
        <v>41</v>
      </c>
      <c r="H1680" s="24" t="s">
        <v>71</v>
      </c>
      <c r="I1680" s="5" t="s">
        <v>5325</v>
      </c>
      <c r="J1680" s="24" t="s">
        <v>22</v>
      </c>
      <c r="K1680" s="27">
        <v>5</v>
      </c>
      <c r="L1680" s="6">
        <v>42331</v>
      </c>
      <c r="M1680" s="27">
        <f>Table11[[#This Row],[Ship Date]]-Table11[[#This Row],[Order Date]]</f>
        <v>2</v>
      </c>
      <c r="N1680" s="24" t="s">
        <v>20</v>
      </c>
      <c r="O1680" s="24" t="s">
        <v>23</v>
      </c>
      <c r="P1680" s="24" t="s">
        <v>226</v>
      </c>
      <c r="Q1680" s="24" t="s">
        <v>95</v>
      </c>
      <c r="R1680" s="24" t="s">
        <v>1308</v>
      </c>
      <c r="S1680" s="34">
        <v>0</v>
      </c>
      <c r="T1680" s="15">
        <v>19.75</v>
      </c>
      <c r="U1680" s="18">
        <v>5.1349999999999998</v>
      </c>
      <c r="V1680" s="56">
        <f>Table11[[#This Row],[Profit]]/Table11[[#This Row],[Sales]]</f>
        <v>0.26</v>
      </c>
    </row>
    <row r="1681" spans="1:22" x14ac:dyDescent="0.2">
      <c r="A1681" s="4">
        <v>1680</v>
      </c>
      <c r="B1681" s="3" t="s">
        <v>8250</v>
      </c>
      <c r="C1681" s="7">
        <v>42329</v>
      </c>
      <c r="D1681" s="28">
        <f>MONTH(Table11[[#This Row],[Order Date]])</f>
        <v>11</v>
      </c>
      <c r="E1681" s="3" t="s">
        <v>5983</v>
      </c>
      <c r="F1681" s="3" t="s">
        <v>5984</v>
      </c>
      <c r="G1681" s="25" t="s">
        <v>64</v>
      </c>
      <c r="H1681" s="25" t="s">
        <v>144</v>
      </c>
      <c r="I1681" s="3" t="s">
        <v>5325</v>
      </c>
      <c r="J1681" s="25" t="s">
        <v>22</v>
      </c>
      <c r="K1681" s="28">
        <v>3</v>
      </c>
      <c r="L1681" s="7">
        <v>42331</v>
      </c>
      <c r="M1681" s="28">
        <f>Table11[[#This Row],[Ship Date]]-Table11[[#This Row],[Order Date]]</f>
        <v>2</v>
      </c>
      <c r="N1681" s="25" t="s">
        <v>20</v>
      </c>
      <c r="O1681" s="25" t="s">
        <v>23</v>
      </c>
      <c r="P1681" s="25" t="s">
        <v>226</v>
      </c>
      <c r="Q1681" s="25" t="s">
        <v>95</v>
      </c>
      <c r="R1681" s="25" t="s">
        <v>1308</v>
      </c>
      <c r="S1681" s="35">
        <v>0</v>
      </c>
      <c r="T1681" s="16">
        <v>393.54</v>
      </c>
      <c r="U1681" s="19">
        <v>165.2868</v>
      </c>
      <c r="V1681" s="56">
        <f>Table11[[#This Row],[Profit]]/Table11[[#This Row],[Sales]]</f>
        <v>0.42</v>
      </c>
    </row>
    <row r="1682" spans="1:22" x14ac:dyDescent="0.2">
      <c r="A1682" s="4">
        <v>1681</v>
      </c>
      <c r="B1682" s="5" t="s">
        <v>8792</v>
      </c>
      <c r="C1682" s="6">
        <v>42329</v>
      </c>
      <c r="D1682" s="27">
        <f>MONTH(Table11[[#This Row],[Order Date]])</f>
        <v>11</v>
      </c>
      <c r="E1682" s="5" t="s">
        <v>5853</v>
      </c>
      <c r="F1682" s="5" t="s">
        <v>5854</v>
      </c>
      <c r="G1682" s="24" t="s">
        <v>41</v>
      </c>
      <c r="H1682" s="24" t="s">
        <v>71</v>
      </c>
      <c r="I1682" s="5" t="s">
        <v>2302</v>
      </c>
      <c r="J1682" s="24" t="s">
        <v>36</v>
      </c>
      <c r="K1682" s="27">
        <v>6</v>
      </c>
      <c r="L1682" s="6">
        <v>42331</v>
      </c>
      <c r="M1682" s="27">
        <f>Table11[[#This Row],[Ship Date]]-Table11[[#This Row],[Order Date]]</f>
        <v>2</v>
      </c>
      <c r="N1682" s="24" t="s">
        <v>20</v>
      </c>
      <c r="O1682" s="24" t="s">
        <v>23</v>
      </c>
      <c r="P1682" s="24" t="s">
        <v>277</v>
      </c>
      <c r="Q1682" s="24" t="s">
        <v>39</v>
      </c>
      <c r="R1682" s="24" t="s">
        <v>481</v>
      </c>
      <c r="S1682" s="34">
        <v>0.2</v>
      </c>
      <c r="T1682" s="15">
        <v>325.63200000000001</v>
      </c>
      <c r="U1682" s="18">
        <v>28.492799999999999</v>
      </c>
      <c r="V1682" s="56">
        <f>Table11[[#This Row],[Profit]]/Table11[[#This Row],[Sales]]</f>
        <v>8.7499999999999994E-2</v>
      </c>
    </row>
    <row r="1683" spans="1:22" x14ac:dyDescent="0.2">
      <c r="A1683" s="2">
        <v>1682</v>
      </c>
      <c r="B1683" s="3" t="s">
        <v>8792</v>
      </c>
      <c r="C1683" s="7">
        <v>42329</v>
      </c>
      <c r="D1683" s="28">
        <f>MONTH(Table11[[#This Row],[Order Date]])</f>
        <v>11</v>
      </c>
      <c r="E1683" s="3" t="s">
        <v>4282</v>
      </c>
      <c r="F1683" s="3" t="s">
        <v>4283</v>
      </c>
      <c r="G1683" s="25" t="s">
        <v>64</v>
      </c>
      <c r="H1683" s="25" t="s">
        <v>144</v>
      </c>
      <c r="I1683" s="3" t="s">
        <v>2302</v>
      </c>
      <c r="J1683" s="25" t="s">
        <v>36</v>
      </c>
      <c r="K1683" s="28">
        <v>2</v>
      </c>
      <c r="L1683" s="7">
        <v>42331</v>
      </c>
      <c r="M1683" s="28">
        <f>Table11[[#This Row],[Ship Date]]-Table11[[#This Row],[Order Date]]</f>
        <v>2</v>
      </c>
      <c r="N1683" s="25" t="s">
        <v>20</v>
      </c>
      <c r="O1683" s="25" t="s">
        <v>23</v>
      </c>
      <c r="P1683" s="25" t="s">
        <v>277</v>
      </c>
      <c r="Q1683" s="25" t="s">
        <v>39</v>
      </c>
      <c r="R1683" s="25" t="s">
        <v>481</v>
      </c>
      <c r="S1683" s="35">
        <v>0.2</v>
      </c>
      <c r="T1683" s="16">
        <v>23.344000000000001</v>
      </c>
      <c r="U1683" s="19">
        <v>-1.4590000000000001</v>
      </c>
      <c r="V1683" s="56">
        <f>Table11[[#This Row],[Profit]]/Table11[[#This Row],[Sales]]</f>
        <v>-6.25E-2</v>
      </c>
    </row>
    <row r="1684" spans="1:22" x14ac:dyDescent="0.2">
      <c r="A1684" s="4">
        <v>1683</v>
      </c>
      <c r="B1684" s="5" t="s">
        <v>8792</v>
      </c>
      <c r="C1684" s="6">
        <v>42329</v>
      </c>
      <c r="D1684" s="27">
        <f>MONTH(Table11[[#This Row],[Order Date]])</f>
        <v>11</v>
      </c>
      <c r="E1684" s="5" t="s">
        <v>3498</v>
      </c>
      <c r="F1684" s="5" t="s">
        <v>3499</v>
      </c>
      <c r="G1684" s="24" t="s">
        <v>41</v>
      </c>
      <c r="H1684" s="24" t="s">
        <v>42</v>
      </c>
      <c r="I1684" s="5" t="s">
        <v>2302</v>
      </c>
      <c r="J1684" s="24" t="s">
        <v>36</v>
      </c>
      <c r="K1684" s="27">
        <v>5</v>
      </c>
      <c r="L1684" s="6">
        <v>42331</v>
      </c>
      <c r="M1684" s="27">
        <f>Table11[[#This Row],[Ship Date]]-Table11[[#This Row],[Order Date]]</f>
        <v>2</v>
      </c>
      <c r="N1684" s="24" t="s">
        <v>20</v>
      </c>
      <c r="O1684" s="24" t="s">
        <v>23</v>
      </c>
      <c r="P1684" s="24" t="s">
        <v>277</v>
      </c>
      <c r="Q1684" s="24" t="s">
        <v>39</v>
      </c>
      <c r="R1684" s="24" t="s">
        <v>481</v>
      </c>
      <c r="S1684" s="34">
        <v>0.2</v>
      </c>
      <c r="T1684" s="15">
        <v>16.52</v>
      </c>
      <c r="U1684" s="18">
        <v>5.3689999999999998</v>
      </c>
      <c r="V1684" s="56">
        <f>Table11[[#This Row],[Profit]]/Table11[[#This Row],[Sales]]</f>
        <v>0.32500000000000001</v>
      </c>
    </row>
    <row r="1685" spans="1:22" x14ac:dyDescent="0.2">
      <c r="A1685" s="4">
        <v>1684</v>
      </c>
      <c r="B1685" s="3" t="s">
        <v>9099</v>
      </c>
      <c r="C1685" s="7">
        <v>42329</v>
      </c>
      <c r="D1685" s="28">
        <f>MONTH(Table11[[#This Row],[Order Date]])</f>
        <v>11</v>
      </c>
      <c r="E1685" s="3" t="s">
        <v>3356</v>
      </c>
      <c r="F1685" s="3" t="s">
        <v>3357</v>
      </c>
      <c r="G1685" s="25" t="s">
        <v>28</v>
      </c>
      <c r="H1685" s="25" t="s">
        <v>50</v>
      </c>
      <c r="I1685" s="3" t="s">
        <v>7194</v>
      </c>
      <c r="J1685" s="25" t="s">
        <v>22</v>
      </c>
      <c r="K1685" s="28">
        <v>8</v>
      </c>
      <c r="L1685" s="7">
        <v>42333</v>
      </c>
      <c r="M1685" s="28">
        <f>Table11[[#This Row],[Ship Date]]-Table11[[#This Row],[Order Date]]</f>
        <v>4</v>
      </c>
      <c r="N1685" s="25" t="s">
        <v>45</v>
      </c>
      <c r="O1685" s="25" t="s">
        <v>23</v>
      </c>
      <c r="P1685" s="25" t="s">
        <v>132</v>
      </c>
      <c r="Q1685" s="25" t="s">
        <v>133</v>
      </c>
      <c r="R1685" s="25" t="s">
        <v>131</v>
      </c>
      <c r="S1685" s="35">
        <v>0.4</v>
      </c>
      <c r="T1685" s="16">
        <v>1252.704</v>
      </c>
      <c r="U1685" s="19">
        <v>-480.20319999999998</v>
      </c>
      <c r="V1685" s="56">
        <f>Table11[[#This Row],[Profit]]/Table11[[#This Row],[Sales]]</f>
        <v>-0.38333333333333336</v>
      </c>
    </row>
    <row r="1686" spans="1:22" x14ac:dyDescent="0.2">
      <c r="A1686" s="2">
        <v>1685</v>
      </c>
      <c r="B1686" s="5" t="s">
        <v>9099</v>
      </c>
      <c r="C1686" s="6">
        <v>42329</v>
      </c>
      <c r="D1686" s="27">
        <f>MONTH(Table11[[#This Row],[Order Date]])</f>
        <v>11</v>
      </c>
      <c r="E1686" s="5" t="s">
        <v>2352</v>
      </c>
      <c r="F1686" s="5" t="s">
        <v>2353</v>
      </c>
      <c r="G1686" s="24" t="s">
        <v>64</v>
      </c>
      <c r="H1686" s="24" t="s">
        <v>65</v>
      </c>
      <c r="I1686" s="5" t="s">
        <v>7194</v>
      </c>
      <c r="J1686" s="24" t="s">
        <v>22</v>
      </c>
      <c r="K1686" s="27">
        <v>5</v>
      </c>
      <c r="L1686" s="6">
        <v>42333</v>
      </c>
      <c r="M1686" s="27">
        <f>Table11[[#This Row],[Ship Date]]-Table11[[#This Row],[Order Date]]</f>
        <v>4</v>
      </c>
      <c r="N1686" s="24" t="s">
        <v>45</v>
      </c>
      <c r="O1686" s="24" t="s">
        <v>23</v>
      </c>
      <c r="P1686" s="24" t="s">
        <v>132</v>
      </c>
      <c r="Q1686" s="24" t="s">
        <v>133</v>
      </c>
      <c r="R1686" s="24" t="s">
        <v>131</v>
      </c>
      <c r="S1686" s="34">
        <v>0.4</v>
      </c>
      <c r="T1686" s="15">
        <v>110.97</v>
      </c>
      <c r="U1686" s="18">
        <v>-24.043500000000002</v>
      </c>
      <c r="V1686" s="56">
        <f>Table11[[#This Row],[Profit]]/Table11[[#This Row],[Sales]]</f>
        <v>-0.21666666666666667</v>
      </c>
    </row>
    <row r="1687" spans="1:22" x14ac:dyDescent="0.2">
      <c r="A1687" s="4">
        <v>1686</v>
      </c>
      <c r="B1687" s="3" t="s">
        <v>9442</v>
      </c>
      <c r="C1687" s="7">
        <v>42329</v>
      </c>
      <c r="D1687" s="28">
        <f>MONTH(Table11[[#This Row],[Order Date]])</f>
        <v>11</v>
      </c>
      <c r="E1687" s="3" t="s">
        <v>4311</v>
      </c>
      <c r="F1687" s="3" t="s">
        <v>4312</v>
      </c>
      <c r="G1687" s="25" t="s">
        <v>41</v>
      </c>
      <c r="H1687" s="25" t="s">
        <v>61</v>
      </c>
      <c r="I1687" s="3" t="s">
        <v>1355</v>
      </c>
      <c r="J1687" s="25" t="s">
        <v>36</v>
      </c>
      <c r="K1687" s="28">
        <v>2</v>
      </c>
      <c r="L1687" s="7">
        <v>42335</v>
      </c>
      <c r="M1687" s="28">
        <f>Table11[[#This Row],[Ship Date]]-Table11[[#This Row],[Order Date]]</f>
        <v>6</v>
      </c>
      <c r="N1687" s="25" t="s">
        <v>45</v>
      </c>
      <c r="O1687" s="25" t="s">
        <v>23</v>
      </c>
      <c r="P1687" s="25" t="s">
        <v>94</v>
      </c>
      <c r="Q1687" s="25" t="s">
        <v>95</v>
      </c>
      <c r="R1687" s="25" t="s">
        <v>93</v>
      </c>
      <c r="S1687" s="35">
        <v>0.2</v>
      </c>
      <c r="T1687" s="16">
        <v>5.3440000000000003</v>
      </c>
      <c r="U1687" s="19">
        <v>0.73480000000000001</v>
      </c>
      <c r="V1687" s="56">
        <f>Table11[[#This Row],[Profit]]/Table11[[#This Row],[Sales]]</f>
        <v>0.13749999999999998</v>
      </c>
    </row>
    <row r="1688" spans="1:22" x14ac:dyDescent="0.2">
      <c r="A1688" s="4">
        <v>1687</v>
      </c>
      <c r="B1688" s="5" t="s">
        <v>9442</v>
      </c>
      <c r="C1688" s="6">
        <v>42329</v>
      </c>
      <c r="D1688" s="27">
        <f>MONTH(Table11[[#This Row],[Order Date]])</f>
        <v>11</v>
      </c>
      <c r="E1688" s="5" t="s">
        <v>98</v>
      </c>
      <c r="F1688" s="5" t="s">
        <v>99</v>
      </c>
      <c r="G1688" s="24" t="s">
        <v>41</v>
      </c>
      <c r="H1688" s="24" t="s">
        <v>68</v>
      </c>
      <c r="I1688" s="5" t="s">
        <v>1355</v>
      </c>
      <c r="J1688" s="24" t="s">
        <v>36</v>
      </c>
      <c r="K1688" s="27">
        <v>2</v>
      </c>
      <c r="L1688" s="6">
        <v>42335</v>
      </c>
      <c r="M1688" s="27">
        <f>Table11[[#This Row],[Ship Date]]-Table11[[#This Row],[Order Date]]</f>
        <v>6</v>
      </c>
      <c r="N1688" s="24" t="s">
        <v>45</v>
      </c>
      <c r="O1688" s="24" t="s">
        <v>23</v>
      </c>
      <c r="P1688" s="24" t="s">
        <v>94</v>
      </c>
      <c r="Q1688" s="24" t="s">
        <v>95</v>
      </c>
      <c r="R1688" s="24" t="s">
        <v>93</v>
      </c>
      <c r="S1688" s="34">
        <v>0.8</v>
      </c>
      <c r="T1688" s="15">
        <v>1.696</v>
      </c>
      <c r="U1688" s="18">
        <v>-2.544</v>
      </c>
      <c r="V1688" s="56">
        <f>Table11[[#This Row],[Profit]]/Table11[[#This Row],[Sales]]</f>
        <v>-1.5</v>
      </c>
    </row>
    <row r="1689" spans="1:22" x14ac:dyDescent="0.2">
      <c r="A1689" s="2">
        <v>1688</v>
      </c>
      <c r="B1689" s="3" t="s">
        <v>9442</v>
      </c>
      <c r="C1689" s="7">
        <v>42329</v>
      </c>
      <c r="D1689" s="28">
        <f>MONTH(Table11[[#This Row],[Order Date]])</f>
        <v>11</v>
      </c>
      <c r="E1689" s="3" t="s">
        <v>9140</v>
      </c>
      <c r="F1689" s="3" t="s">
        <v>9141</v>
      </c>
      <c r="G1689" s="25" t="s">
        <v>41</v>
      </c>
      <c r="H1689" s="25" t="s">
        <v>71</v>
      </c>
      <c r="I1689" s="3" t="s">
        <v>1355</v>
      </c>
      <c r="J1689" s="25" t="s">
        <v>36</v>
      </c>
      <c r="K1689" s="28">
        <v>3</v>
      </c>
      <c r="L1689" s="7">
        <v>42335</v>
      </c>
      <c r="M1689" s="28">
        <f>Table11[[#This Row],[Ship Date]]-Table11[[#This Row],[Order Date]]</f>
        <v>6</v>
      </c>
      <c r="N1689" s="25" t="s">
        <v>45</v>
      </c>
      <c r="O1689" s="25" t="s">
        <v>23</v>
      </c>
      <c r="P1689" s="25" t="s">
        <v>94</v>
      </c>
      <c r="Q1689" s="25" t="s">
        <v>95</v>
      </c>
      <c r="R1689" s="25" t="s">
        <v>93</v>
      </c>
      <c r="S1689" s="35">
        <v>0.8</v>
      </c>
      <c r="T1689" s="16">
        <v>24.588000000000001</v>
      </c>
      <c r="U1689" s="19">
        <v>-67.617000000000004</v>
      </c>
      <c r="V1689" s="56">
        <f>Table11[[#This Row],[Profit]]/Table11[[#This Row],[Sales]]</f>
        <v>-2.75</v>
      </c>
    </row>
    <row r="1690" spans="1:22" x14ac:dyDescent="0.2">
      <c r="A1690" s="4">
        <v>1689</v>
      </c>
      <c r="B1690" s="5" t="s">
        <v>9442</v>
      </c>
      <c r="C1690" s="6">
        <v>42329</v>
      </c>
      <c r="D1690" s="27">
        <f>MONTH(Table11[[#This Row],[Order Date]])</f>
        <v>11</v>
      </c>
      <c r="E1690" s="5" t="s">
        <v>1434</v>
      </c>
      <c r="F1690" s="5" t="s">
        <v>1435</v>
      </c>
      <c r="G1690" s="24" t="s">
        <v>41</v>
      </c>
      <c r="H1690" s="24" t="s">
        <v>68</v>
      </c>
      <c r="I1690" s="5" t="s">
        <v>1355</v>
      </c>
      <c r="J1690" s="24" t="s">
        <v>36</v>
      </c>
      <c r="K1690" s="27">
        <v>5</v>
      </c>
      <c r="L1690" s="6">
        <v>42335</v>
      </c>
      <c r="M1690" s="27">
        <f>Table11[[#This Row],[Ship Date]]-Table11[[#This Row],[Order Date]]</f>
        <v>6</v>
      </c>
      <c r="N1690" s="24" t="s">
        <v>45</v>
      </c>
      <c r="O1690" s="24" t="s">
        <v>23</v>
      </c>
      <c r="P1690" s="24" t="s">
        <v>94</v>
      </c>
      <c r="Q1690" s="24" t="s">
        <v>95</v>
      </c>
      <c r="R1690" s="24" t="s">
        <v>93</v>
      </c>
      <c r="S1690" s="34">
        <v>0.8</v>
      </c>
      <c r="T1690" s="15">
        <v>7.98</v>
      </c>
      <c r="U1690" s="18">
        <v>-13.167</v>
      </c>
      <c r="V1690" s="56">
        <f>Table11[[#This Row],[Profit]]/Table11[[#This Row],[Sales]]</f>
        <v>-1.65</v>
      </c>
    </row>
    <row r="1691" spans="1:22" x14ac:dyDescent="0.2">
      <c r="A1691" s="4">
        <v>1690</v>
      </c>
      <c r="B1691" s="3" t="s">
        <v>9747</v>
      </c>
      <c r="C1691" s="7">
        <v>42329</v>
      </c>
      <c r="D1691" s="28">
        <f>MONTH(Table11[[#This Row],[Order Date]])</f>
        <v>11</v>
      </c>
      <c r="E1691" s="3" t="s">
        <v>767</v>
      </c>
      <c r="F1691" s="3" t="s">
        <v>768</v>
      </c>
      <c r="G1691" s="25" t="s">
        <v>28</v>
      </c>
      <c r="H1691" s="25" t="s">
        <v>58</v>
      </c>
      <c r="I1691" s="3" t="s">
        <v>4530</v>
      </c>
      <c r="J1691" s="25" t="s">
        <v>22</v>
      </c>
      <c r="K1691" s="28">
        <v>1</v>
      </c>
      <c r="L1691" s="7">
        <v>42332</v>
      </c>
      <c r="M1691" s="28">
        <f>Table11[[#This Row],[Ship Date]]-Table11[[#This Row],[Order Date]]</f>
        <v>3</v>
      </c>
      <c r="N1691" s="25" t="s">
        <v>169</v>
      </c>
      <c r="O1691" s="25" t="s">
        <v>23</v>
      </c>
      <c r="P1691" s="25" t="s">
        <v>80</v>
      </c>
      <c r="Q1691" s="25" t="s">
        <v>26</v>
      </c>
      <c r="R1691" s="25" t="s">
        <v>649</v>
      </c>
      <c r="S1691" s="35">
        <v>0.2</v>
      </c>
      <c r="T1691" s="16">
        <v>18.175999999999998</v>
      </c>
      <c r="U1691" s="19">
        <v>4.7712000000000003</v>
      </c>
      <c r="V1691" s="56">
        <f>Table11[[#This Row],[Profit]]/Table11[[#This Row],[Sales]]</f>
        <v>0.26250000000000007</v>
      </c>
    </row>
    <row r="1692" spans="1:22" x14ac:dyDescent="0.2">
      <c r="A1692" s="2">
        <v>1691</v>
      </c>
      <c r="B1692" s="5" t="s">
        <v>90</v>
      </c>
      <c r="C1692" s="6">
        <v>42330</v>
      </c>
      <c r="D1692" s="27">
        <f>MONTH(Table11[[#This Row],[Order Date]])</f>
        <v>11</v>
      </c>
      <c r="E1692" s="5" t="s">
        <v>96</v>
      </c>
      <c r="F1692" s="5" t="s">
        <v>97</v>
      </c>
      <c r="G1692" s="24" t="s">
        <v>41</v>
      </c>
      <c r="H1692" s="24" t="s">
        <v>71</v>
      </c>
      <c r="I1692" s="5" t="s">
        <v>91</v>
      </c>
      <c r="J1692" s="24" t="s">
        <v>92</v>
      </c>
      <c r="K1692" s="27">
        <v>5</v>
      </c>
      <c r="L1692" s="6">
        <v>42334</v>
      </c>
      <c r="M1692" s="27">
        <f>Table11[[#This Row],[Ship Date]]-Table11[[#This Row],[Order Date]]</f>
        <v>4</v>
      </c>
      <c r="N1692" s="24" t="s">
        <v>45</v>
      </c>
      <c r="O1692" s="24" t="s">
        <v>23</v>
      </c>
      <c r="P1692" s="24" t="s">
        <v>94</v>
      </c>
      <c r="Q1692" s="24" t="s">
        <v>95</v>
      </c>
      <c r="R1692" s="24" t="s">
        <v>93</v>
      </c>
      <c r="S1692" s="34">
        <v>0.8</v>
      </c>
      <c r="T1692" s="15">
        <v>68.81</v>
      </c>
      <c r="U1692" s="18">
        <v>-123.858</v>
      </c>
      <c r="V1692" s="56">
        <f>Table11[[#This Row],[Profit]]/Table11[[#This Row],[Sales]]</f>
        <v>-1.8</v>
      </c>
    </row>
    <row r="1693" spans="1:22" x14ac:dyDescent="0.2">
      <c r="A1693" s="4">
        <v>1692</v>
      </c>
      <c r="B1693" s="3" t="s">
        <v>90</v>
      </c>
      <c r="C1693" s="7">
        <v>42330</v>
      </c>
      <c r="D1693" s="28">
        <f>MONTH(Table11[[#This Row],[Order Date]])</f>
        <v>11</v>
      </c>
      <c r="E1693" s="3" t="s">
        <v>98</v>
      </c>
      <c r="F1693" s="3" t="s">
        <v>99</v>
      </c>
      <c r="G1693" s="25" t="s">
        <v>41</v>
      </c>
      <c r="H1693" s="25" t="s">
        <v>68</v>
      </c>
      <c r="I1693" s="3" t="s">
        <v>91</v>
      </c>
      <c r="J1693" s="25" t="s">
        <v>92</v>
      </c>
      <c r="K1693" s="28">
        <v>3</v>
      </c>
      <c r="L1693" s="7">
        <v>42334</v>
      </c>
      <c r="M1693" s="28">
        <f>Table11[[#This Row],[Ship Date]]-Table11[[#This Row],[Order Date]]</f>
        <v>4</v>
      </c>
      <c r="N1693" s="25" t="s">
        <v>45</v>
      </c>
      <c r="O1693" s="25" t="s">
        <v>23</v>
      </c>
      <c r="P1693" s="25" t="s">
        <v>94</v>
      </c>
      <c r="Q1693" s="25" t="s">
        <v>95</v>
      </c>
      <c r="R1693" s="25" t="s">
        <v>93</v>
      </c>
      <c r="S1693" s="35">
        <v>0.8</v>
      </c>
      <c r="T1693" s="16">
        <v>2.544</v>
      </c>
      <c r="U1693" s="19">
        <v>-3.8159999999999998</v>
      </c>
      <c r="V1693" s="56">
        <f>Table11[[#This Row],[Profit]]/Table11[[#This Row],[Sales]]</f>
        <v>-1.5</v>
      </c>
    </row>
    <row r="1694" spans="1:22" x14ac:dyDescent="0.2">
      <c r="A1694" s="4">
        <v>1693</v>
      </c>
      <c r="B1694" s="5" t="s">
        <v>3878</v>
      </c>
      <c r="C1694" s="6">
        <v>42330</v>
      </c>
      <c r="D1694" s="27">
        <f>MONTH(Table11[[#This Row],[Order Date]])</f>
        <v>11</v>
      </c>
      <c r="E1694" s="5" t="s">
        <v>2100</v>
      </c>
      <c r="F1694" s="5" t="s">
        <v>2101</v>
      </c>
      <c r="G1694" s="24" t="s">
        <v>41</v>
      </c>
      <c r="H1694" s="24" t="s">
        <v>68</v>
      </c>
      <c r="I1694" s="5" t="s">
        <v>85</v>
      </c>
      <c r="J1694" s="24" t="s">
        <v>22</v>
      </c>
      <c r="K1694" s="27">
        <v>2</v>
      </c>
      <c r="L1694" s="6">
        <v>42334</v>
      </c>
      <c r="M1694" s="27">
        <f>Table11[[#This Row],[Ship Date]]-Table11[[#This Row],[Order Date]]</f>
        <v>4</v>
      </c>
      <c r="N1694" s="24" t="s">
        <v>45</v>
      </c>
      <c r="O1694" s="24" t="s">
        <v>23</v>
      </c>
      <c r="P1694" s="24" t="s">
        <v>132</v>
      </c>
      <c r="Q1694" s="24" t="s">
        <v>133</v>
      </c>
      <c r="R1694" s="24" t="s">
        <v>131</v>
      </c>
      <c r="S1694" s="34">
        <v>0.7</v>
      </c>
      <c r="T1694" s="15">
        <v>11.61</v>
      </c>
      <c r="U1694" s="18">
        <v>-9.2880000000000003</v>
      </c>
      <c r="V1694" s="56">
        <f>Table11[[#This Row],[Profit]]/Table11[[#This Row],[Sales]]</f>
        <v>-0.8</v>
      </c>
    </row>
    <row r="1695" spans="1:22" x14ac:dyDescent="0.2">
      <c r="A1695" s="2">
        <v>1694</v>
      </c>
      <c r="B1695" s="3" t="s">
        <v>3933</v>
      </c>
      <c r="C1695" s="7">
        <v>42330</v>
      </c>
      <c r="D1695" s="28">
        <f>MONTH(Table11[[#This Row],[Order Date]])</f>
        <v>11</v>
      </c>
      <c r="E1695" s="3" t="s">
        <v>3934</v>
      </c>
      <c r="F1695" s="3" t="s">
        <v>3935</v>
      </c>
      <c r="G1695" s="25" t="s">
        <v>28</v>
      </c>
      <c r="H1695" s="25" t="s">
        <v>50</v>
      </c>
      <c r="I1695" s="3" t="s">
        <v>1823</v>
      </c>
      <c r="J1695" s="25" t="s">
        <v>92</v>
      </c>
      <c r="K1695" s="28">
        <v>2</v>
      </c>
      <c r="L1695" s="7">
        <v>42335</v>
      </c>
      <c r="M1695" s="28">
        <f>Table11[[#This Row],[Ship Date]]-Table11[[#This Row],[Order Date]]</f>
        <v>5</v>
      </c>
      <c r="N1695" s="25" t="s">
        <v>45</v>
      </c>
      <c r="O1695" s="25" t="s">
        <v>23</v>
      </c>
      <c r="P1695" s="25" t="s">
        <v>94</v>
      </c>
      <c r="Q1695" s="25" t="s">
        <v>95</v>
      </c>
      <c r="R1695" s="25" t="s">
        <v>598</v>
      </c>
      <c r="S1695" s="35">
        <v>0.3</v>
      </c>
      <c r="T1695" s="16">
        <v>206.96199999999999</v>
      </c>
      <c r="U1695" s="19">
        <v>-32.522599999999997</v>
      </c>
      <c r="V1695" s="56">
        <f>Table11[[#This Row],[Profit]]/Table11[[#This Row],[Sales]]</f>
        <v>-0.15714285714285714</v>
      </c>
    </row>
    <row r="1696" spans="1:22" x14ac:dyDescent="0.2">
      <c r="A1696" s="4">
        <v>1695</v>
      </c>
      <c r="B1696" s="5" t="s">
        <v>4510</v>
      </c>
      <c r="C1696" s="6">
        <v>42330</v>
      </c>
      <c r="D1696" s="27">
        <f>MONTH(Table11[[#This Row],[Order Date]])</f>
        <v>11</v>
      </c>
      <c r="E1696" s="5" t="s">
        <v>3578</v>
      </c>
      <c r="F1696" s="5" t="s">
        <v>3579</v>
      </c>
      <c r="G1696" s="24" t="s">
        <v>41</v>
      </c>
      <c r="H1696" s="24" t="s">
        <v>82</v>
      </c>
      <c r="I1696" s="5" t="s">
        <v>3554</v>
      </c>
      <c r="J1696" s="24" t="s">
        <v>22</v>
      </c>
      <c r="K1696" s="27">
        <v>3</v>
      </c>
      <c r="L1696" s="6">
        <v>42334</v>
      </c>
      <c r="M1696" s="27">
        <f>Table11[[#This Row],[Ship Date]]-Table11[[#This Row],[Order Date]]</f>
        <v>4</v>
      </c>
      <c r="N1696" s="24" t="s">
        <v>45</v>
      </c>
      <c r="O1696" s="24" t="s">
        <v>23</v>
      </c>
      <c r="P1696" s="24" t="s">
        <v>1101</v>
      </c>
      <c r="Q1696" s="24" t="s">
        <v>133</v>
      </c>
      <c r="R1696" s="24" t="s">
        <v>1168</v>
      </c>
      <c r="S1696" s="34">
        <v>0</v>
      </c>
      <c r="T1696" s="15">
        <v>14.94</v>
      </c>
      <c r="U1696" s="18">
        <v>7.0217999999999998</v>
      </c>
      <c r="V1696" s="56">
        <f>Table11[[#This Row],[Profit]]/Table11[[#This Row],[Sales]]</f>
        <v>0.47000000000000003</v>
      </c>
    </row>
    <row r="1697" spans="1:22" x14ac:dyDescent="0.2">
      <c r="A1697" s="4">
        <v>1696</v>
      </c>
      <c r="B1697" s="3" t="s">
        <v>5257</v>
      </c>
      <c r="C1697" s="7">
        <v>42330</v>
      </c>
      <c r="D1697" s="28">
        <f>MONTH(Table11[[#This Row],[Order Date]])</f>
        <v>11</v>
      </c>
      <c r="E1697" s="3" t="s">
        <v>5259</v>
      </c>
      <c r="F1697" s="3" t="s">
        <v>5260</v>
      </c>
      <c r="G1697" s="25" t="s">
        <v>64</v>
      </c>
      <c r="H1697" s="25" t="s">
        <v>144</v>
      </c>
      <c r="I1697" s="3" t="s">
        <v>2946</v>
      </c>
      <c r="J1697" s="25" t="s">
        <v>92</v>
      </c>
      <c r="K1697" s="28">
        <v>4</v>
      </c>
      <c r="L1697" s="7">
        <v>42334</v>
      </c>
      <c r="M1697" s="28">
        <f>Table11[[#This Row],[Ship Date]]-Table11[[#This Row],[Order Date]]</f>
        <v>4</v>
      </c>
      <c r="N1697" s="25" t="s">
        <v>45</v>
      </c>
      <c r="O1697" s="25" t="s">
        <v>23</v>
      </c>
      <c r="P1697" s="25" t="s">
        <v>94</v>
      </c>
      <c r="Q1697" s="25" t="s">
        <v>95</v>
      </c>
      <c r="R1697" s="25" t="s">
        <v>5258</v>
      </c>
      <c r="S1697" s="35">
        <v>0.2</v>
      </c>
      <c r="T1697" s="16">
        <v>27.167999999999999</v>
      </c>
      <c r="U1697" s="19">
        <v>-1.3584000000000001</v>
      </c>
      <c r="V1697" s="56">
        <f>Table11[[#This Row],[Profit]]/Table11[[#This Row],[Sales]]</f>
        <v>-0.05</v>
      </c>
    </row>
    <row r="1698" spans="1:22" x14ac:dyDescent="0.2">
      <c r="A1698" s="2">
        <v>1697</v>
      </c>
      <c r="B1698" s="5" t="s">
        <v>6104</v>
      </c>
      <c r="C1698" s="6">
        <v>42330</v>
      </c>
      <c r="D1698" s="27">
        <f>MONTH(Table11[[#This Row],[Order Date]])</f>
        <v>11</v>
      </c>
      <c r="E1698" s="5" t="s">
        <v>2386</v>
      </c>
      <c r="F1698" s="5" t="s">
        <v>2387</v>
      </c>
      <c r="G1698" s="24" t="s">
        <v>41</v>
      </c>
      <c r="H1698" s="24" t="s">
        <v>68</v>
      </c>
      <c r="I1698" s="5" t="s">
        <v>3765</v>
      </c>
      <c r="J1698" s="24" t="s">
        <v>22</v>
      </c>
      <c r="K1698" s="27">
        <v>2</v>
      </c>
      <c r="L1698" s="6">
        <v>42335</v>
      </c>
      <c r="M1698" s="27">
        <f>Table11[[#This Row],[Ship Date]]-Table11[[#This Row],[Order Date]]</f>
        <v>5</v>
      </c>
      <c r="N1698" s="24" t="s">
        <v>45</v>
      </c>
      <c r="O1698" s="24" t="s">
        <v>23</v>
      </c>
      <c r="P1698" s="24" t="s">
        <v>299</v>
      </c>
      <c r="Q1698" s="24" t="s">
        <v>26</v>
      </c>
      <c r="R1698" s="24" t="s">
        <v>298</v>
      </c>
      <c r="S1698" s="34">
        <v>0.7</v>
      </c>
      <c r="T1698" s="15">
        <v>2.9460000000000002</v>
      </c>
      <c r="U1698" s="18">
        <v>-2.0621999999999998</v>
      </c>
      <c r="V1698" s="56">
        <f>Table11[[#This Row],[Profit]]/Table11[[#This Row],[Sales]]</f>
        <v>-0.69999999999999984</v>
      </c>
    </row>
    <row r="1699" spans="1:22" x14ac:dyDescent="0.2">
      <c r="A1699" s="4">
        <v>1698</v>
      </c>
      <c r="B1699" s="3" t="s">
        <v>6104</v>
      </c>
      <c r="C1699" s="7">
        <v>42330</v>
      </c>
      <c r="D1699" s="28">
        <f>MONTH(Table11[[#This Row],[Order Date]])</f>
        <v>11</v>
      </c>
      <c r="E1699" s="3" t="s">
        <v>963</v>
      </c>
      <c r="F1699" s="3" t="s">
        <v>964</v>
      </c>
      <c r="G1699" s="25" t="s">
        <v>41</v>
      </c>
      <c r="H1699" s="25" t="s">
        <v>240</v>
      </c>
      <c r="I1699" s="3" t="s">
        <v>3765</v>
      </c>
      <c r="J1699" s="25" t="s">
        <v>22</v>
      </c>
      <c r="K1699" s="28">
        <v>6</v>
      </c>
      <c r="L1699" s="7">
        <v>42335</v>
      </c>
      <c r="M1699" s="28">
        <f>Table11[[#This Row],[Ship Date]]-Table11[[#This Row],[Order Date]]</f>
        <v>5</v>
      </c>
      <c r="N1699" s="25" t="s">
        <v>45</v>
      </c>
      <c r="O1699" s="25" t="s">
        <v>23</v>
      </c>
      <c r="P1699" s="25" t="s">
        <v>299</v>
      </c>
      <c r="Q1699" s="25" t="s">
        <v>26</v>
      </c>
      <c r="R1699" s="25" t="s">
        <v>298</v>
      </c>
      <c r="S1699" s="35">
        <v>0.2</v>
      </c>
      <c r="T1699" s="16">
        <v>55.103999999999999</v>
      </c>
      <c r="U1699" s="19">
        <v>18.5976</v>
      </c>
      <c r="V1699" s="56">
        <f>Table11[[#This Row],[Profit]]/Table11[[#This Row],[Sales]]</f>
        <v>0.33750000000000002</v>
      </c>
    </row>
    <row r="1700" spans="1:22" x14ac:dyDescent="0.2">
      <c r="A1700" s="4">
        <v>1699</v>
      </c>
      <c r="B1700" s="5" t="s">
        <v>7041</v>
      </c>
      <c r="C1700" s="6">
        <v>42330</v>
      </c>
      <c r="D1700" s="27">
        <f>MONTH(Table11[[#This Row],[Order Date]])</f>
        <v>11</v>
      </c>
      <c r="E1700" s="5" t="s">
        <v>2198</v>
      </c>
      <c r="F1700" s="5" t="s">
        <v>2199</v>
      </c>
      <c r="G1700" s="24" t="s">
        <v>41</v>
      </c>
      <c r="H1700" s="24" t="s">
        <v>82</v>
      </c>
      <c r="I1700" s="5" t="s">
        <v>1207</v>
      </c>
      <c r="J1700" s="24" t="s">
        <v>22</v>
      </c>
      <c r="K1700" s="27">
        <v>2</v>
      </c>
      <c r="L1700" s="6">
        <v>42333</v>
      </c>
      <c r="M1700" s="27">
        <f>Table11[[#This Row],[Ship Date]]-Table11[[#This Row],[Order Date]]</f>
        <v>3</v>
      </c>
      <c r="N1700" s="24" t="s">
        <v>20</v>
      </c>
      <c r="O1700" s="24" t="s">
        <v>23</v>
      </c>
      <c r="P1700" s="24" t="s">
        <v>38</v>
      </c>
      <c r="Q1700" s="24" t="s">
        <v>39</v>
      </c>
      <c r="R1700" s="24" t="s">
        <v>37</v>
      </c>
      <c r="S1700" s="34">
        <v>0</v>
      </c>
      <c r="T1700" s="15">
        <v>37.94</v>
      </c>
      <c r="U1700" s="18">
        <v>18.211200000000002</v>
      </c>
      <c r="V1700" s="56">
        <f>Table11[[#This Row],[Profit]]/Table11[[#This Row],[Sales]]</f>
        <v>0.48000000000000009</v>
      </c>
    </row>
    <row r="1701" spans="1:22" x14ac:dyDescent="0.2">
      <c r="A1701" s="2">
        <v>1700</v>
      </c>
      <c r="B1701" s="3" t="s">
        <v>7041</v>
      </c>
      <c r="C1701" s="7">
        <v>42330</v>
      </c>
      <c r="D1701" s="28">
        <f>MONTH(Table11[[#This Row],[Order Date]])</f>
        <v>11</v>
      </c>
      <c r="E1701" s="3" t="s">
        <v>5433</v>
      </c>
      <c r="F1701" s="3" t="s">
        <v>5434</v>
      </c>
      <c r="G1701" s="25" t="s">
        <v>41</v>
      </c>
      <c r="H1701" s="25" t="s">
        <v>82</v>
      </c>
      <c r="I1701" s="3" t="s">
        <v>1207</v>
      </c>
      <c r="J1701" s="25" t="s">
        <v>22</v>
      </c>
      <c r="K1701" s="28">
        <v>10</v>
      </c>
      <c r="L1701" s="7">
        <v>42333</v>
      </c>
      <c r="M1701" s="28">
        <f>Table11[[#This Row],[Ship Date]]-Table11[[#This Row],[Order Date]]</f>
        <v>3</v>
      </c>
      <c r="N1701" s="25" t="s">
        <v>20</v>
      </c>
      <c r="O1701" s="25" t="s">
        <v>23</v>
      </c>
      <c r="P1701" s="25" t="s">
        <v>38</v>
      </c>
      <c r="Q1701" s="25" t="s">
        <v>39</v>
      </c>
      <c r="R1701" s="25" t="s">
        <v>37</v>
      </c>
      <c r="S1701" s="35">
        <v>0</v>
      </c>
      <c r="T1701" s="16">
        <v>42.8</v>
      </c>
      <c r="U1701" s="19">
        <v>19.260000000000002</v>
      </c>
      <c r="V1701" s="56">
        <f>Table11[[#This Row],[Profit]]/Table11[[#This Row],[Sales]]</f>
        <v>0.45000000000000007</v>
      </c>
    </row>
    <row r="1702" spans="1:22" x14ac:dyDescent="0.2">
      <c r="A1702" s="4">
        <v>1701</v>
      </c>
      <c r="B1702" s="5" t="s">
        <v>7041</v>
      </c>
      <c r="C1702" s="6">
        <v>42330</v>
      </c>
      <c r="D1702" s="27">
        <f>MONTH(Table11[[#This Row],[Order Date]])</f>
        <v>11</v>
      </c>
      <c r="E1702" s="5" t="s">
        <v>2066</v>
      </c>
      <c r="F1702" s="5" t="s">
        <v>2067</v>
      </c>
      <c r="G1702" s="24" t="s">
        <v>41</v>
      </c>
      <c r="H1702" s="24" t="s">
        <v>53</v>
      </c>
      <c r="I1702" s="5" t="s">
        <v>1207</v>
      </c>
      <c r="J1702" s="24" t="s">
        <v>22</v>
      </c>
      <c r="K1702" s="27">
        <v>3</v>
      </c>
      <c r="L1702" s="6">
        <v>42333</v>
      </c>
      <c r="M1702" s="27">
        <f>Table11[[#This Row],[Ship Date]]-Table11[[#This Row],[Order Date]]</f>
        <v>3</v>
      </c>
      <c r="N1702" s="24" t="s">
        <v>20</v>
      </c>
      <c r="O1702" s="24" t="s">
        <v>23</v>
      </c>
      <c r="P1702" s="24" t="s">
        <v>38</v>
      </c>
      <c r="Q1702" s="24" t="s">
        <v>39</v>
      </c>
      <c r="R1702" s="24" t="s">
        <v>37</v>
      </c>
      <c r="S1702" s="34">
        <v>0</v>
      </c>
      <c r="T1702" s="15">
        <v>33.630000000000003</v>
      </c>
      <c r="U1702" s="18">
        <v>10.089</v>
      </c>
      <c r="V1702" s="56">
        <f>Table11[[#This Row],[Profit]]/Table11[[#This Row],[Sales]]</f>
        <v>0.3</v>
      </c>
    </row>
    <row r="1703" spans="1:22" x14ac:dyDescent="0.2">
      <c r="A1703" s="4">
        <v>1702</v>
      </c>
      <c r="B1703" s="3" t="s">
        <v>7702</v>
      </c>
      <c r="C1703" s="7">
        <v>42330</v>
      </c>
      <c r="D1703" s="28">
        <f>MONTH(Table11[[#This Row],[Order Date]])</f>
        <v>11</v>
      </c>
      <c r="E1703" s="3" t="s">
        <v>7430</v>
      </c>
      <c r="F1703" s="3" t="s">
        <v>7431</v>
      </c>
      <c r="G1703" s="25" t="s">
        <v>64</v>
      </c>
      <c r="H1703" s="25" t="s">
        <v>602</v>
      </c>
      <c r="I1703" s="3" t="s">
        <v>56</v>
      </c>
      <c r="J1703" s="25" t="s">
        <v>22</v>
      </c>
      <c r="K1703" s="28">
        <v>3</v>
      </c>
      <c r="L1703" s="7">
        <v>42331</v>
      </c>
      <c r="M1703" s="28">
        <f>Table11[[#This Row],[Ship Date]]-Table11[[#This Row],[Order Date]]</f>
        <v>1</v>
      </c>
      <c r="N1703" s="25" t="s">
        <v>169</v>
      </c>
      <c r="O1703" s="25" t="s">
        <v>23</v>
      </c>
      <c r="P1703" s="25" t="s">
        <v>48</v>
      </c>
      <c r="Q1703" s="25" t="s">
        <v>26</v>
      </c>
      <c r="R1703" s="25" t="s">
        <v>2050</v>
      </c>
      <c r="S1703" s="35">
        <v>0.5</v>
      </c>
      <c r="T1703" s="16">
        <v>32.984999999999999</v>
      </c>
      <c r="U1703" s="19">
        <v>-1.9791000000000001</v>
      </c>
      <c r="V1703" s="56">
        <f>Table11[[#This Row],[Profit]]/Table11[[#This Row],[Sales]]</f>
        <v>-6.0000000000000005E-2</v>
      </c>
    </row>
    <row r="1704" spans="1:22" x14ac:dyDescent="0.2">
      <c r="A1704" s="2">
        <v>1703</v>
      </c>
      <c r="B1704" s="5" t="s">
        <v>9432</v>
      </c>
      <c r="C1704" s="6">
        <v>42330</v>
      </c>
      <c r="D1704" s="27">
        <f>MONTH(Table11[[#This Row],[Order Date]])</f>
        <v>11</v>
      </c>
      <c r="E1704" s="5" t="s">
        <v>115</v>
      </c>
      <c r="F1704" s="5" t="s">
        <v>116</v>
      </c>
      <c r="G1704" s="24" t="s">
        <v>41</v>
      </c>
      <c r="H1704" s="24" t="s">
        <v>61</v>
      </c>
      <c r="I1704" s="5" t="s">
        <v>9310</v>
      </c>
      <c r="J1704" s="24" t="s">
        <v>92</v>
      </c>
      <c r="K1704" s="27">
        <v>4</v>
      </c>
      <c r="L1704" s="6">
        <v>42333</v>
      </c>
      <c r="M1704" s="27">
        <f>Table11[[#This Row],[Ship Date]]-Table11[[#This Row],[Order Date]]</f>
        <v>3</v>
      </c>
      <c r="N1704" s="24" t="s">
        <v>20</v>
      </c>
      <c r="O1704" s="24" t="s">
        <v>23</v>
      </c>
      <c r="P1704" s="24" t="s">
        <v>1101</v>
      </c>
      <c r="Q1704" s="24" t="s">
        <v>133</v>
      </c>
      <c r="R1704" s="24" t="s">
        <v>8023</v>
      </c>
      <c r="S1704" s="34">
        <v>0</v>
      </c>
      <c r="T1704" s="15">
        <v>17.12</v>
      </c>
      <c r="U1704" s="18">
        <v>4.9648000000000003</v>
      </c>
      <c r="V1704" s="56">
        <f>Table11[[#This Row],[Profit]]/Table11[[#This Row],[Sales]]</f>
        <v>0.28999999999999998</v>
      </c>
    </row>
    <row r="1705" spans="1:22" x14ac:dyDescent="0.2">
      <c r="A1705" s="4">
        <v>1704</v>
      </c>
      <c r="B1705" s="3" t="s">
        <v>9432</v>
      </c>
      <c r="C1705" s="7">
        <v>42330</v>
      </c>
      <c r="D1705" s="28">
        <f>MONTH(Table11[[#This Row],[Order Date]])</f>
        <v>11</v>
      </c>
      <c r="E1705" s="3" t="s">
        <v>8109</v>
      </c>
      <c r="F1705" s="3" t="s">
        <v>8110</v>
      </c>
      <c r="G1705" s="25" t="s">
        <v>41</v>
      </c>
      <c r="H1705" s="25" t="s">
        <v>82</v>
      </c>
      <c r="I1705" s="3" t="s">
        <v>9310</v>
      </c>
      <c r="J1705" s="25" t="s">
        <v>92</v>
      </c>
      <c r="K1705" s="28">
        <v>3</v>
      </c>
      <c r="L1705" s="7">
        <v>42333</v>
      </c>
      <c r="M1705" s="28">
        <f>Table11[[#This Row],[Ship Date]]-Table11[[#This Row],[Order Date]]</f>
        <v>3</v>
      </c>
      <c r="N1705" s="25" t="s">
        <v>20</v>
      </c>
      <c r="O1705" s="25" t="s">
        <v>23</v>
      </c>
      <c r="P1705" s="25" t="s">
        <v>1101</v>
      </c>
      <c r="Q1705" s="25" t="s">
        <v>133</v>
      </c>
      <c r="R1705" s="25" t="s">
        <v>8023</v>
      </c>
      <c r="S1705" s="35">
        <v>0</v>
      </c>
      <c r="T1705" s="16">
        <v>59.94</v>
      </c>
      <c r="U1705" s="19">
        <v>28.171800000000001</v>
      </c>
      <c r="V1705" s="56">
        <f>Table11[[#This Row],[Profit]]/Table11[[#This Row],[Sales]]</f>
        <v>0.47000000000000003</v>
      </c>
    </row>
    <row r="1706" spans="1:22" x14ac:dyDescent="0.2">
      <c r="A1706" s="4">
        <v>1705</v>
      </c>
      <c r="B1706" s="5" t="s">
        <v>3620</v>
      </c>
      <c r="C1706" s="6">
        <v>42331</v>
      </c>
      <c r="D1706" s="27">
        <f>MONTH(Table11[[#This Row],[Order Date]])</f>
        <v>11</v>
      </c>
      <c r="E1706" s="5" t="s">
        <v>3154</v>
      </c>
      <c r="F1706" s="5" t="s">
        <v>3155</v>
      </c>
      <c r="G1706" s="24" t="s">
        <v>41</v>
      </c>
      <c r="H1706" s="24" t="s">
        <v>82</v>
      </c>
      <c r="I1706" s="5" t="s">
        <v>1124</v>
      </c>
      <c r="J1706" s="24" t="s">
        <v>36</v>
      </c>
      <c r="K1706" s="27">
        <v>4</v>
      </c>
      <c r="L1706" s="6">
        <v>42335</v>
      </c>
      <c r="M1706" s="27">
        <f>Table11[[#This Row],[Ship Date]]-Table11[[#This Row],[Order Date]]</f>
        <v>4</v>
      </c>
      <c r="N1706" s="24" t="s">
        <v>45</v>
      </c>
      <c r="O1706" s="24" t="s">
        <v>23</v>
      </c>
      <c r="P1706" s="24" t="s">
        <v>94</v>
      </c>
      <c r="Q1706" s="24" t="s">
        <v>95</v>
      </c>
      <c r="R1706" s="24" t="s">
        <v>598</v>
      </c>
      <c r="S1706" s="34">
        <v>0.2</v>
      </c>
      <c r="T1706" s="15">
        <v>335.52</v>
      </c>
      <c r="U1706" s="18">
        <v>117.432</v>
      </c>
      <c r="V1706" s="56">
        <f>Table11[[#This Row],[Profit]]/Table11[[#This Row],[Sales]]</f>
        <v>0.35000000000000003</v>
      </c>
    </row>
    <row r="1707" spans="1:22" x14ac:dyDescent="0.2">
      <c r="A1707" s="2">
        <v>1706</v>
      </c>
      <c r="B1707" s="3" t="s">
        <v>3620</v>
      </c>
      <c r="C1707" s="7">
        <v>42331</v>
      </c>
      <c r="D1707" s="28">
        <f>MONTH(Table11[[#This Row],[Order Date]])</f>
        <v>11</v>
      </c>
      <c r="E1707" s="3" t="s">
        <v>3383</v>
      </c>
      <c r="F1707" s="3" t="s">
        <v>3384</v>
      </c>
      <c r="G1707" s="25" t="s">
        <v>41</v>
      </c>
      <c r="H1707" s="25" t="s">
        <v>68</v>
      </c>
      <c r="I1707" s="3" t="s">
        <v>1124</v>
      </c>
      <c r="J1707" s="25" t="s">
        <v>36</v>
      </c>
      <c r="K1707" s="28">
        <v>2</v>
      </c>
      <c r="L1707" s="7">
        <v>42335</v>
      </c>
      <c r="M1707" s="28">
        <f>Table11[[#This Row],[Ship Date]]-Table11[[#This Row],[Order Date]]</f>
        <v>4</v>
      </c>
      <c r="N1707" s="25" t="s">
        <v>45</v>
      </c>
      <c r="O1707" s="25" t="s">
        <v>23</v>
      </c>
      <c r="P1707" s="25" t="s">
        <v>94</v>
      </c>
      <c r="Q1707" s="25" t="s">
        <v>95</v>
      </c>
      <c r="R1707" s="25" t="s">
        <v>598</v>
      </c>
      <c r="S1707" s="35">
        <v>0.8</v>
      </c>
      <c r="T1707" s="16">
        <v>23.911999999999999</v>
      </c>
      <c r="U1707" s="19">
        <v>-40.650399999999998</v>
      </c>
      <c r="V1707" s="56">
        <f>Table11[[#This Row],[Profit]]/Table11[[#This Row],[Sales]]</f>
        <v>-1.7</v>
      </c>
    </row>
    <row r="1708" spans="1:22" x14ac:dyDescent="0.2">
      <c r="A1708" s="4">
        <v>1707</v>
      </c>
      <c r="B1708" s="5" t="s">
        <v>3620</v>
      </c>
      <c r="C1708" s="6">
        <v>42331</v>
      </c>
      <c r="D1708" s="27">
        <f>MONTH(Table11[[#This Row],[Order Date]])</f>
        <v>11</v>
      </c>
      <c r="E1708" s="5" t="s">
        <v>3621</v>
      </c>
      <c r="F1708" s="5" t="s">
        <v>3622</v>
      </c>
      <c r="G1708" s="24" t="s">
        <v>41</v>
      </c>
      <c r="H1708" s="24" t="s">
        <v>53</v>
      </c>
      <c r="I1708" s="5" t="s">
        <v>1124</v>
      </c>
      <c r="J1708" s="24" t="s">
        <v>36</v>
      </c>
      <c r="K1708" s="27">
        <v>2</v>
      </c>
      <c r="L1708" s="6">
        <v>42335</v>
      </c>
      <c r="M1708" s="27">
        <f>Table11[[#This Row],[Ship Date]]-Table11[[#This Row],[Order Date]]</f>
        <v>4</v>
      </c>
      <c r="N1708" s="24" t="s">
        <v>45</v>
      </c>
      <c r="O1708" s="24" t="s">
        <v>23</v>
      </c>
      <c r="P1708" s="24" t="s">
        <v>94</v>
      </c>
      <c r="Q1708" s="24" t="s">
        <v>95</v>
      </c>
      <c r="R1708" s="24" t="s">
        <v>598</v>
      </c>
      <c r="S1708" s="34">
        <v>0.2</v>
      </c>
      <c r="T1708" s="15">
        <v>27.056000000000001</v>
      </c>
      <c r="U1708" s="18">
        <v>2.3673999999999999</v>
      </c>
      <c r="V1708" s="56">
        <f>Table11[[#This Row],[Profit]]/Table11[[#This Row],[Sales]]</f>
        <v>8.7499999999999994E-2</v>
      </c>
    </row>
    <row r="1709" spans="1:22" x14ac:dyDescent="0.2">
      <c r="A1709" s="4">
        <v>1708</v>
      </c>
      <c r="B1709" s="3" t="s">
        <v>8767</v>
      </c>
      <c r="C1709" s="7">
        <v>42331</v>
      </c>
      <c r="D1709" s="28">
        <f>MONTH(Table11[[#This Row],[Order Date]])</f>
        <v>11</v>
      </c>
      <c r="E1709" s="3" t="s">
        <v>7478</v>
      </c>
      <c r="F1709" s="3" t="s">
        <v>7479</v>
      </c>
      <c r="G1709" s="25" t="s">
        <v>41</v>
      </c>
      <c r="H1709" s="25" t="s">
        <v>71</v>
      </c>
      <c r="I1709" s="3" t="s">
        <v>1827</v>
      </c>
      <c r="J1709" s="25" t="s">
        <v>22</v>
      </c>
      <c r="K1709" s="28">
        <v>8</v>
      </c>
      <c r="L1709" s="7">
        <v>42335</v>
      </c>
      <c r="M1709" s="28">
        <f>Table11[[#This Row],[Ship Date]]-Table11[[#This Row],[Order Date]]</f>
        <v>4</v>
      </c>
      <c r="N1709" s="25" t="s">
        <v>20</v>
      </c>
      <c r="O1709" s="25" t="s">
        <v>23</v>
      </c>
      <c r="P1709" s="25" t="s">
        <v>695</v>
      </c>
      <c r="Q1709" s="25" t="s">
        <v>133</v>
      </c>
      <c r="R1709" s="25" t="s">
        <v>882</v>
      </c>
      <c r="S1709" s="35">
        <v>0</v>
      </c>
      <c r="T1709" s="16">
        <v>2625.12</v>
      </c>
      <c r="U1709" s="19">
        <v>735.03359999999998</v>
      </c>
      <c r="V1709" s="56">
        <f>Table11[[#This Row],[Profit]]/Table11[[#This Row],[Sales]]</f>
        <v>0.28000000000000003</v>
      </c>
    </row>
    <row r="1710" spans="1:22" x14ac:dyDescent="0.2">
      <c r="A1710" s="2">
        <v>1709</v>
      </c>
      <c r="B1710" s="5" t="s">
        <v>8767</v>
      </c>
      <c r="C1710" s="6">
        <v>42331</v>
      </c>
      <c r="D1710" s="27">
        <f>MONTH(Table11[[#This Row],[Order Date]])</f>
        <v>11</v>
      </c>
      <c r="E1710" s="5" t="s">
        <v>3021</v>
      </c>
      <c r="F1710" s="5" t="s">
        <v>3022</v>
      </c>
      <c r="G1710" s="24" t="s">
        <v>41</v>
      </c>
      <c r="H1710" s="24" t="s">
        <v>61</v>
      </c>
      <c r="I1710" s="5" t="s">
        <v>1827</v>
      </c>
      <c r="J1710" s="24" t="s">
        <v>22</v>
      </c>
      <c r="K1710" s="27">
        <v>3</v>
      </c>
      <c r="L1710" s="6">
        <v>42335</v>
      </c>
      <c r="M1710" s="27">
        <f>Table11[[#This Row],[Ship Date]]-Table11[[#This Row],[Order Date]]</f>
        <v>4</v>
      </c>
      <c r="N1710" s="24" t="s">
        <v>20</v>
      </c>
      <c r="O1710" s="24" t="s">
        <v>23</v>
      </c>
      <c r="P1710" s="24" t="s">
        <v>695</v>
      </c>
      <c r="Q1710" s="24" t="s">
        <v>133</v>
      </c>
      <c r="R1710" s="24" t="s">
        <v>882</v>
      </c>
      <c r="S1710" s="34">
        <v>0</v>
      </c>
      <c r="T1710" s="15">
        <v>17.940000000000001</v>
      </c>
      <c r="U1710" s="18">
        <v>4.4850000000000003</v>
      </c>
      <c r="V1710" s="56">
        <f>Table11[[#This Row],[Profit]]/Table11[[#This Row],[Sales]]</f>
        <v>0.25</v>
      </c>
    </row>
    <row r="1711" spans="1:22" x14ac:dyDescent="0.2">
      <c r="A1711" s="4">
        <v>1710</v>
      </c>
      <c r="B1711" s="3" t="s">
        <v>9472</v>
      </c>
      <c r="C1711" s="7">
        <v>42331</v>
      </c>
      <c r="D1711" s="28">
        <f>MONTH(Table11[[#This Row],[Order Date]])</f>
        <v>11</v>
      </c>
      <c r="E1711" s="3" t="s">
        <v>1217</v>
      </c>
      <c r="F1711" s="3" t="s">
        <v>1218</v>
      </c>
      <c r="G1711" s="25" t="s">
        <v>64</v>
      </c>
      <c r="H1711" s="25" t="s">
        <v>65</v>
      </c>
      <c r="I1711" s="3" t="s">
        <v>4890</v>
      </c>
      <c r="J1711" s="25" t="s">
        <v>22</v>
      </c>
      <c r="K1711" s="28">
        <v>2</v>
      </c>
      <c r="L1711" s="7">
        <v>42333</v>
      </c>
      <c r="M1711" s="28">
        <f>Table11[[#This Row],[Ship Date]]-Table11[[#This Row],[Order Date]]</f>
        <v>2</v>
      </c>
      <c r="N1711" s="25" t="s">
        <v>20</v>
      </c>
      <c r="O1711" s="25" t="s">
        <v>23</v>
      </c>
      <c r="P1711" s="25" t="s">
        <v>218</v>
      </c>
      <c r="Q1711" s="25" t="s">
        <v>133</v>
      </c>
      <c r="R1711" s="25" t="s">
        <v>461</v>
      </c>
      <c r="S1711" s="35">
        <v>0</v>
      </c>
      <c r="T1711" s="16">
        <v>307.98</v>
      </c>
      <c r="U1711" s="19">
        <v>89.3142</v>
      </c>
      <c r="V1711" s="56">
        <f>Table11[[#This Row],[Profit]]/Table11[[#This Row],[Sales]]</f>
        <v>0.28999999999999998</v>
      </c>
    </row>
    <row r="1712" spans="1:22" x14ac:dyDescent="0.2">
      <c r="A1712" s="4">
        <v>1711</v>
      </c>
      <c r="B1712" s="5" t="s">
        <v>9472</v>
      </c>
      <c r="C1712" s="6">
        <v>42331</v>
      </c>
      <c r="D1712" s="27">
        <f>MONTH(Table11[[#This Row],[Order Date]])</f>
        <v>11</v>
      </c>
      <c r="E1712" s="5" t="s">
        <v>9473</v>
      </c>
      <c r="F1712" s="5" t="s">
        <v>9474</v>
      </c>
      <c r="G1712" s="24" t="s">
        <v>41</v>
      </c>
      <c r="H1712" s="24" t="s">
        <v>82</v>
      </c>
      <c r="I1712" s="5" t="s">
        <v>4890</v>
      </c>
      <c r="J1712" s="24" t="s">
        <v>22</v>
      </c>
      <c r="K1712" s="27">
        <v>6</v>
      </c>
      <c r="L1712" s="6">
        <v>42333</v>
      </c>
      <c r="M1712" s="27">
        <f>Table11[[#This Row],[Ship Date]]-Table11[[#This Row],[Order Date]]</f>
        <v>2</v>
      </c>
      <c r="N1712" s="24" t="s">
        <v>20</v>
      </c>
      <c r="O1712" s="24" t="s">
        <v>23</v>
      </c>
      <c r="P1712" s="24" t="s">
        <v>218</v>
      </c>
      <c r="Q1712" s="24" t="s">
        <v>133</v>
      </c>
      <c r="R1712" s="24" t="s">
        <v>461</v>
      </c>
      <c r="S1712" s="34">
        <v>0</v>
      </c>
      <c r="T1712" s="15">
        <v>44.1</v>
      </c>
      <c r="U1712" s="18">
        <v>20.727</v>
      </c>
      <c r="V1712" s="56">
        <f>Table11[[#This Row],[Profit]]/Table11[[#This Row],[Sales]]</f>
        <v>0.47</v>
      </c>
    </row>
    <row r="1713" spans="1:22" x14ac:dyDescent="0.2">
      <c r="A1713" s="2">
        <v>1712</v>
      </c>
      <c r="B1713" s="3" t="s">
        <v>9472</v>
      </c>
      <c r="C1713" s="7">
        <v>42331</v>
      </c>
      <c r="D1713" s="28">
        <f>MONTH(Table11[[#This Row],[Order Date]])</f>
        <v>11</v>
      </c>
      <c r="E1713" s="3" t="s">
        <v>639</v>
      </c>
      <c r="F1713" s="3" t="s">
        <v>640</v>
      </c>
      <c r="G1713" s="25" t="s">
        <v>41</v>
      </c>
      <c r="H1713" s="25" t="s">
        <v>61</v>
      </c>
      <c r="I1713" s="3" t="s">
        <v>4890</v>
      </c>
      <c r="J1713" s="25" t="s">
        <v>22</v>
      </c>
      <c r="K1713" s="28">
        <v>4</v>
      </c>
      <c r="L1713" s="7">
        <v>42333</v>
      </c>
      <c r="M1713" s="28">
        <f>Table11[[#This Row],[Ship Date]]-Table11[[#This Row],[Order Date]]</f>
        <v>2</v>
      </c>
      <c r="N1713" s="25" t="s">
        <v>20</v>
      </c>
      <c r="O1713" s="25" t="s">
        <v>23</v>
      </c>
      <c r="P1713" s="25" t="s">
        <v>218</v>
      </c>
      <c r="Q1713" s="25" t="s">
        <v>133</v>
      </c>
      <c r="R1713" s="25" t="s">
        <v>461</v>
      </c>
      <c r="S1713" s="35">
        <v>0</v>
      </c>
      <c r="T1713" s="16">
        <v>13.12</v>
      </c>
      <c r="U1713" s="19">
        <v>5.6416000000000004</v>
      </c>
      <c r="V1713" s="56">
        <f>Table11[[#This Row],[Profit]]/Table11[[#This Row],[Sales]]</f>
        <v>0.43000000000000005</v>
      </c>
    </row>
    <row r="1714" spans="1:22" x14ac:dyDescent="0.2">
      <c r="A1714" s="4">
        <v>1713</v>
      </c>
      <c r="B1714" s="5" t="s">
        <v>9472</v>
      </c>
      <c r="C1714" s="6">
        <v>42331</v>
      </c>
      <c r="D1714" s="27">
        <f>MONTH(Table11[[#This Row],[Order Date]])</f>
        <v>11</v>
      </c>
      <c r="E1714" s="5" t="s">
        <v>5439</v>
      </c>
      <c r="F1714" s="5" t="s">
        <v>591</v>
      </c>
      <c r="G1714" s="24" t="s">
        <v>41</v>
      </c>
      <c r="H1714" s="24" t="s">
        <v>155</v>
      </c>
      <c r="I1714" s="5" t="s">
        <v>4890</v>
      </c>
      <c r="J1714" s="24" t="s">
        <v>22</v>
      </c>
      <c r="K1714" s="27">
        <v>2</v>
      </c>
      <c r="L1714" s="6">
        <v>42333</v>
      </c>
      <c r="M1714" s="27">
        <f>Table11[[#This Row],[Ship Date]]-Table11[[#This Row],[Order Date]]</f>
        <v>2</v>
      </c>
      <c r="N1714" s="24" t="s">
        <v>20</v>
      </c>
      <c r="O1714" s="24" t="s">
        <v>23</v>
      </c>
      <c r="P1714" s="24" t="s">
        <v>218</v>
      </c>
      <c r="Q1714" s="24" t="s">
        <v>133</v>
      </c>
      <c r="R1714" s="24" t="s">
        <v>461</v>
      </c>
      <c r="S1714" s="34">
        <v>0</v>
      </c>
      <c r="T1714" s="15">
        <v>16.559999999999999</v>
      </c>
      <c r="U1714" s="18">
        <v>7.7831999999999999</v>
      </c>
      <c r="V1714" s="56">
        <f>Table11[[#This Row],[Profit]]/Table11[[#This Row],[Sales]]</f>
        <v>0.47000000000000003</v>
      </c>
    </row>
    <row r="1715" spans="1:22" x14ac:dyDescent="0.2">
      <c r="A1715" s="4">
        <v>1714</v>
      </c>
      <c r="B1715" s="3" t="s">
        <v>9472</v>
      </c>
      <c r="C1715" s="7">
        <v>42331</v>
      </c>
      <c r="D1715" s="28">
        <f>MONTH(Table11[[#This Row],[Order Date]])</f>
        <v>11</v>
      </c>
      <c r="E1715" s="3" t="s">
        <v>1679</v>
      </c>
      <c r="F1715" s="3" t="s">
        <v>1680</v>
      </c>
      <c r="G1715" s="25" t="s">
        <v>41</v>
      </c>
      <c r="H1715" s="25" t="s">
        <v>82</v>
      </c>
      <c r="I1715" s="3" t="s">
        <v>4890</v>
      </c>
      <c r="J1715" s="25" t="s">
        <v>22</v>
      </c>
      <c r="K1715" s="28">
        <v>6</v>
      </c>
      <c r="L1715" s="7">
        <v>42333</v>
      </c>
      <c r="M1715" s="28">
        <f>Table11[[#This Row],[Ship Date]]-Table11[[#This Row],[Order Date]]</f>
        <v>2</v>
      </c>
      <c r="N1715" s="25" t="s">
        <v>20</v>
      </c>
      <c r="O1715" s="25" t="s">
        <v>23</v>
      </c>
      <c r="P1715" s="25" t="s">
        <v>218</v>
      </c>
      <c r="Q1715" s="25" t="s">
        <v>133</v>
      </c>
      <c r="R1715" s="25" t="s">
        <v>461</v>
      </c>
      <c r="S1715" s="35">
        <v>0</v>
      </c>
      <c r="T1715" s="16">
        <v>38.880000000000003</v>
      </c>
      <c r="U1715" s="19">
        <v>18.662400000000002</v>
      </c>
      <c r="V1715" s="56">
        <f>Table11[[#This Row],[Profit]]/Table11[[#This Row],[Sales]]</f>
        <v>0.48000000000000004</v>
      </c>
    </row>
    <row r="1716" spans="1:22" x14ac:dyDescent="0.2">
      <c r="A1716" s="2">
        <v>1715</v>
      </c>
      <c r="B1716" s="5" t="s">
        <v>259</v>
      </c>
      <c r="C1716" s="6">
        <v>42332</v>
      </c>
      <c r="D1716" s="27">
        <f>MONTH(Table11[[#This Row],[Order Date]])</f>
        <v>11</v>
      </c>
      <c r="E1716" s="5" t="s">
        <v>261</v>
      </c>
      <c r="F1716" s="5" t="s">
        <v>262</v>
      </c>
      <c r="G1716" s="24" t="s">
        <v>64</v>
      </c>
      <c r="H1716" s="24" t="s">
        <v>144</v>
      </c>
      <c r="I1716" s="5" t="s">
        <v>260</v>
      </c>
      <c r="J1716" s="24" t="s">
        <v>22</v>
      </c>
      <c r="K1716" s="27">
        <v>2</v>
      </c>
      <c r="L1716" s="6">
        <v>42338</v>
      </c>
      <c r="M1716" s="27">
        <f>Table11[[#This Row],[Ship Date]]-Table11[[#This Row],[Order Date]]</f>
        <v>6</v>
      </c>
      <c r="N1716" s="24" t="s">
        <v>45</v>
      </c>
      <c r="O1716" s="24" t="s">
        <v>23</v>
      </c>
      <c r="P1716" s="24" t="s">
        <v>38</v>
      </c>
      <c r="Q1716" s="24" t="s">
        <v>39</v>
      </c>
      <c r="R1716" s="24" t="s">
        <v>37</v>
      </c>
      <c r="S1716" s="34">
        <v>0</v>
      </c>
      <c r="T1716" s="15">
        <v>13.98</v>
      </c>
      <c r="U1716" s="18">
        <v>6.1512000000000002</v>
      </c>
      <c r="V1716" s="56">
        <f>Table11[[#This Row],[Profit]]/Table11[[#This Row],[Sales]]</f>
        <v>0.44</v>
      </c>
    </row>
    <row r="1717" spans="1:22" x14ac:dyDescent="0.2">
      <c r="A1717" s="4">
        <v>1716</v>
      </c>
      <c r="B1717" s="3" t="s">
        <v>259</v>
      </c>
      <c r="C1717" s="7">
        <v>42332</v>
      </c>
      <c r="D1717" s="28">
        <f>MONTH(Table11[[#This Row],[Order Date]])</f>
        <v>11</v>
      </c>
      <c r="E1717" s="3" t="s">
        <v>263</v>
      </c>
      <c r="F1717" s="3" t="s">
        <v>264</v>
      </c>
      <c r="G1717" s="25" t="s">
        <v>41</v>
      </c>
      <c r="H1717" s="25" t="s">
        <v>68</v>
      </c>
      <c r="I1717" s="3" t="s">
        <v>260</v>
      </c>
      <c r="J1717" s="25" t="s">
        <v>22</v>
      </c>
      <c r="K1717" s="28">
        <v>6</v>
      </c>
      <c r="L1717" s="7">
        <v>42338</v>
      </c>
      <c r="M1717" s="28">
        <f>Table11[[#This Row],[Ship Date]]-Table11[[#This Row],[Order Date]]</f>
        <v>6</v>
      </c>
      <c r="N1717" s="25" t="s">
        <v>45</v>
      </c>
      <c r="O1717" s="25" t="s">
        <v>23</v>
      </c>
      <c r="P1717" s="25" t="s">
        <v>38</v>
      </c>
      <c r="Q1717" s="25" t="s">
        <v>39</v>
      </c>
      <c r="R1717" s="25" t="s">
        <v>37</v>
      </c>
      <c r="S1717" s="35">
        <v>0.2</v>
      </c>
      <c r="T1717" s="16">
        <v>25.824000000000002</v>
      </c>
      <c r="U1717" s="19">
        <v>9.3612000000000002</v>
      </c>
      <c r="V1717" s="56">
        <f>Table11[[#This Row],[Profit]]/Table11[[#This Row],[Sales]]</f>
        <v>0.36249999999999999</v>
      </c>
    </row>
    <row r="1718" spans="1:22" x14ac:dyDescent="0.2">
      <c r="A1718" s="4">
        <v>1717</v>
      </c>
      <c r="B1718" s="5" t="s">
        <v>259</v>
      </c>
      <c r="C1718" s="6">
        <v>42332</v>
      </c>
      <c r="D1718" s="27">
        <f>MONTH(Table11[[#This Row],[Order Date]])</f>
        <v>11</v>
      </c>
      <c r="E1718" s="5" t="s">
        <v>265</v>
      </c>
      <c r="F1718" s="5" t="s">
        <v>266</v>
      </c>
      <c r="G1718" s="24" t="s">
        <v>41</v>
      </c>
      <c r="H1718" s="24" t="s">
        <v>82</v>
      </c>
      <c r="I1718" s="5" t="s">
        <v>260</v>
      </c>
      <c r="J1718" s="24" t="s">
        <v>22</v>
      </c>
      <c r="K1718" s="27">
        <v>3</v>
      </c>
      <c r="L1718" s="6">
        <v>42338</v>
      </c>
      <c r="M1718" s="27">
        <f>Table11[[#This Row],[Ship Date]]-Table11[[#This Row],[Order Date]]</f>
        <v>6</v>
      </c>
      <c r="N1718" s="24" t="s">
        <v>45</v>
      </c>
      <c r="O1718" s="24" t="s">
        <v>23</v>
      </c>
      <c r="P1718" s="24" t="s">
        <v>38</v>
      </c>
      <c r="Q1718" s="24" t="s">
        <v>39</v>
      </c>
      <c r="R1718" s="24" t="s">
        <v>37</v>
      </c>
      <c r="S1718" s="34">
        <v>0</v>
      </c>
      <c r="T1718" s="15">
        <v>146.72999999999999</v>
      </c>
      <c r="U1718" s="18">
        <v>68.963099999999997</v>
      </c>
      <c r="V1718" s="56">
        <f>Table11[[#This Row],[Profit]]/Table11[[#This Row],[Sales]]</f>
        <v>0.47000000000000003</v>
      </c>
    </row>
    <row r="1719" spans="1:22" x14ac:dyDescent="0.2">
      <c r="A1719" s="2">
        <v>1718</v>
      </c>
      <c r="B1719" s="3" t="s">
        <v>259</v>
      </c>
      <c r="C1719" s="7">
        <v>42332</v>
      </c>
      <c r="D1719" s="28">
        <f>MONTH(Table11[[#This Row],[Order Date]])</f>
        <v>11</v>
      </c>
      <c r="E1719" s="3" t="s">
        <v>267</v>
      </c>
      <c r="F1719" s="3" t="s">
        <v>268</v>
      </c>
      <c r="G1719" s="25" t="s">
        <v>28</v>
      </c>
      <c r="H1719" s="25" t="s">
        <v>58</v>
      </c>
      <c r="I1719" s="3" t="s">
        <v>260</v>
      </c>
      <c r="J1719" s="25" t="s">
        <v>22</v>
      </c>
      <c r="K1719" s="28">
        <v>4</v>
      </c>
      <c r="L1719" s="7">
        <v>42338</v>
      </c>
      <c r="M1719" s="28">
        <f>Table11[[#This Row],[Ship Date]]-Table11[[#This Row],[Order Date]]</f>
        <v>6</v>
      </c>
      <c r="N1719" s="25" t="s">
        <v>45</v>
      </c>
      <c r="O1719" s="25" t="s">
        <v>23</v>
      </c>
      <c r="P1719" s="25" t="s">
        <v>38</v>
      </c>
      <c r="Q1719" s="25" t="s">
        <v>39</v>
      </c>
      <c r="R1719" s="25" t="s">
        <v>37</v>
      </c>
      <c r="S1719" s="35">
        <v>0</v>
      </c>
      <c r="T1719" s="16">
        <v>79.760000000000005</v>
      </c>
      <c r="U1719" s="19">
        <v>22.332799999999999</v>
      </c>
      <c r="V1719" s="56">
        <f>Table11[[#This Row],[Profit]]/Table11[[#This Row],[Sales]]</f>
        <v>0.27999999999999997</v>
      </c>
    </row>
    <row r="1720" spans="1:22" x14ac:dyDescent="0.2">
      <c r="A1720" s="4">
        <v>1719</v>
      </c>
      <c r="B1720" s="5" t="s">
        <v>3974</v>
      </c>
      <c r="C1720" s="6">
        <v>42332</v>
      </c>
      <c r="D1720" s="27">
        <f>MONTH(Table11[[#This Row],[Order Date]])</f>
        <v>11</v>
      </c>
      <c r="E1720" s="5" t="s">
        <v>3975</v>
      </c>
      <c r="F1720" s="5" t="s">
        <v>3976</v>
      </c>
      <c r="G1720" s="24" t="s">
        <v>41</v>
      </c>
      <c r="H1720" s="24" t="s">
        <v>82</v>
      </c>
      <c r="I1720" s="5" t="s">
        <v>224</v>
      </c>
      <c r="J1720" s="24" t="s">
        <v>22</v>
      </c>
      <c r="K1720" s="27">
        <v>9</v>
      </c>
      <c r="L1720" s="6">
        <v>42336</v>
      </c>
      <c r="M1720" s="27">
        <f>Table11[[#This Row],[Ship Date]]-Table11[[#This Row],[Order Date]]</f>
        <v>4</v>
      </c>
      <c r="N1720" s="24" t="s">
        <v>45</v>
      </c>
      <c r="O1720" s="24" t="s">
        <v>23</v>
      </c>
      <c r="P1720" s="24" t="s">
        <v>38</v>
      </c>
      <c r="Q1720" s="24" t="s">
        <v>39</v>
      </c>
      <c r="R1720" s="24" t="s">
        <v>37</v>
      </c>
      <c r="S1720" s="34">
        <v>0</v>
      </c>
      <c r="T1720" s="15">
        <v>368.91</v>
      </c>
      <c r="U1720" s="18">
        <v>180.76589999999999</v>
      </c>
      <c r="V1720" s="56">
        <f>Table11[[#This Row],[Profit]]/Table11[[#This Row],[Sales]]</f>
        <v>0.48999999999999994</v>
      </c>
    </row>
    <row r="1721" spans="1:22" x14ac:dyDescent="0.2">
      <c r="A1721" s="4">
        <v>1720</v>
      </c>
      <c r="B1721" s="3" t="s">
        <v>3974</v>
      </c>
      <c r="C1721" s="7">
        <v>42332</v>
      </c>
      <c r="D1721" s="28">
        <f>MONTH(Table11[[#This Row],[Order Date]])</f>
        <v>11</v>
      </c>
      <c r="E1721" s="3" t="s">
        <v>1462</v>
      </c>
      <c r="F1721" s="3" t="s">
        <v>1463</v>
      </c>
      <c r="G1721" s="25" t="s">
        <v>41</v>
      </c>
      <c r="H1721" s="25" t="s">
        <v>61</v>
      </c>
      <c r="I1721" s="3" t="s">
        <v>224</v>
      </c>
      <c r="J1721" s="25" t="s">
        <v>22</v>
      </c>
      <c r="K1721" s="28">
        <v>5</v>
      </c>
      <c r="L1721" s="7">
        <v>42336</v>
      </c>
      <c r="M1721" s="28">
        <f>Table11[[#This Row],[Ship Date]]-Table11[[#This Row],[Order Date]]</f>
        <v>4</v>
      </c>
      <c r="N1721" s="25" t="s">
        <v>45</v>
      </c>
      <c r="O1721" s="25" t="s">
        <v>23</v>
      </c>
      <c r="P1721" s="25" t="s">
        <v>38</v>
      </c>
      <c r="Q1721" s="25" t="s">
        <v>39</v>
      </c>
      <c r="R1721" s="25" t="s">
        <v>37</v>
      </c>
      <c r="S1721" s="35">
        <v>0</v>
      </c>
      <c r="T1721" s="16">
        <v>14.7</v>
      </c>
      <c r="U1721" s="19">
        <v>6.6150000000000002</v>
      </c>
      <c r="V1721" s="56">
        <f>Table11[[#This Row],[Profit]]/Table11[[#This Row],[Sales]]</f>
        <v>0.45</v>
      </c>
    </row>
    <row r="1722" spans="1:22" x14ac:dyDescent="0.2">
      <c r="A1722" s="2">
        <v>1721</v>
      </c>
      <c r="B1722" s="5" t="s">
        <v>6496</v>
      </c>
      <c r="C1722" s="6">
        <v>42332</v>
      </c>
      <c r="D1722" s="27">
        <f>MONTH(Table11[[#This Row],[Order Date]])</f>
        <v>11</v>
      </c>
      <c r="E1722" s="5" t="s">
        <v>3157</v>
      </c>
      <c r="F1722" s="5" t="s">
        <v>3158</v>
      </c>
      <c r="G1722" s="24" t="s">
        <v>41</v>
      </c>
      <c r="H1722" s="24" t="s">
        <v>68</v>
      </c>
      <c r="I1722" s="5" t="s">
        <v>2607</v>
      </c>
      <c r="J1722" s="24" t="s">
        <v>22</v>
      </c>
      <c r="K1722" s="27">
        <v>2</v>
      </c>
      <c r="L1722" s="6">
        <v>42337</v>
      </c>
      <c r="M1722" s="27">
        <f>Table11[[#This Row],[Ship Date]]-Table11[[#This Row],[Order Date]]</f>
        <v>5</v>
      </c>
      <c r="N1722" s="24" t="s">
        <v>45</v>
      </c>
      <c r="O1722" s="24" t="s">
        <v>23</v>
      </c>
      <c r="P1722" s="24" t="s">
        <v>38</v>
      </c>
      <c r="Q1722" s="24" t="s">
        <v>39</v>
      </c>
      <c r="R1722" s="24" t="s">
        <v>37</v>
      </c>
      <c r="S1722" s="34">
        <v>0.2</v>
      </c>
      <c r="T1722" s="15">
        <v>3.1680000000000001</v>
      </c>
      <c r="U1722" s="18">
        <v>0.99</v>
      </c>
      <c r="V1722" s="56">
        <f>Table11[[#This Row],[Profit]]/Table11[[#This Row],[Sales]]</f>
        <v>0.3125</v>
      </c>
    </row>
    <row r="1723" spans="1:22" x14ac:dyDescent="0.2">
      <c r="A1723" s="4">
        <v>1722</v>
      </c>
      <c r="B1723" s="3" t="s">
        <v>6496</v>
      </c>
      <c r="C1723" s="7">
        <v>42332</v>
      </c>
      <c r="D1723" s="28">
        <f>MONTH(Table11[[#This Row],[Order Date]])</f>
        <v>11</v>
      </c>
      <c r="E1723" s="3" t="s">
        <v>1747</v>
      </c>
      <c r="F1723" s="3" t="s">
        <v>1748</v>
      </c>
      <c r="G1723" s="25" t="s">
        <v>41</v>
      </c>
      <c r="H1723" s="25" t="s">
        <v>82</v>
      </c>
      <c r="I1723" s="3" t="s">
        <v>2607</v>
      </c>
      <c r="J1723" s="25" t="s">
        <v>22</v>
      </c>
      <c r="K1723" s="28">
        <v>3</v>
      </c>
      <c r="L1723" s="7">
        <v>42337</v>
      </c>
      <c r="M1723" s="28">
        <f>Table11[[#This Row],[Ship Date]]-Table11[[#This Row],[Order Date]]</f>
        <v>5</v>
      </c>
      <c r="N1723" s="25" t="s">
        <v>45</v>
      </c>
      <c r="O1723" s="25" t="s">
        <v>23</v>
      </c>
      <c r="P1723" s="25" t="s">
        <v>38</v>
      </c>
      <c r="Q1723" s="25" t="s">
        <v>39</v>
      </c>
      <c r="R1723" s="25" t="s">
        <v>37</v>
      </c>
      <c r="S1723" s="35">
        <v>0</v>
      </c>
      <c r="T1723" s="16">
        <v>19.440000000000001</v>
      </c>
      <c r="U1723" s="19">
        <v>9.3312000000000008</v>
      </c>
      <c r="V1723" s="56">
        <f>Table11[[#This Row],[Profit]]/Table11[[#This Row],[Sales]]</f>
        <v>0.48000000000000004</v>
      </c>
    </row>
    <row r="1724" spans="1:22" x14ac:dyDescent="0.2">
      <c r="A1724" s="4">
        <v>1723</v>
      </c>
      <c r="B1724" s="5" t="s">
        <v>6496</v>
      </c>
      <c r="C1724" s="6">
        <v>42332</v>
      </c>
      <c r="D1724" s="27">
        <f>MONTH(Table11[[#This Row],[Order Date]])</f>
        <v>11</v>
      </c>
      <c r="E1724" s="5" t="s">
        <v>1364</v>
      </c>
      <c r="F1724" s="5" t="s">
        <v>1365</v>
      </c>
      <c r="G1724" s="24" t="s">
        <v>41</v>
      </c>
      <c r="H1724" s="24" t="s">
        <v>53</v>
      </c>
      <c r="I1724" s="5" t="s">
        <v>2607</v>
      </c>
      <c r="J1724" s="24" t="s">
        <v>22</v>
      </c>
      <c r="K1724" s="27">
        <v>7</v>
      </c>
      <c r="L1724" s="6">
        <v>42337</v>
      </c>
      <c r="M1724" s="27">
        <f>Table11[[#This Row],[Ship Date]]-Table11[[#This Row],[Order Date]]</f>
        <v>5</v>
      </c>
      <c r="N1724" s="24" t="s">
        <v>45</v>
      </c>
      <c r="O1724" s="24" t="s">
        <v>23</v>
      </c>
      <c r="P1724" s="24" t="s">
        <v>38</v>
      </c>
      <c r="Q1724" s="24" t="s">
        <v>39</v>
      </c>
      <c r="R1724" s="24" t="s">
        <v>37</v>
      </c>
      <c r="S1724" s="34">
        <v>0</v>
      </c>
      <c r="T1724" s="15">
        <v>454.86</v>
      </c>
      <c r="U1724" s="18">
        <v>54.583199999999998</v>
      </c>
      <c r="V1724" s="56">
        <f>Table11[[#This Row],[Profit]]/Table11[[#This Row],[Sales]]</f>
        <v>0.12</v>
      </c>
    </row>
    <row r="1725" spans="1:22" x14ac:dyDescent="0.2">
      <c r="A1725" s="2">
        <v>1724</v>
      </c>
      <c r="B1725" s="3" t="s">
        <v>6496</v>
      </c>
      <c r="C1725" s="7">
        <v>42332</v>
      </c>
      <c r="D1725" s="28">
        <f>MONTH(Table11[[#This Row],[Order Date]])</f>
        <v>11</v>
      </c>
      <c r="E1725" s="3" t="s">
        <v>975</v>
      </c>
      <c r="F1725" s="3" t="s">
        <v>976</v>
      </c>
      <c r="G1725" s="25" t="s">
        <v>41</v>
      </c>
      <c r="H1725" s="25" t="s">
        <v>68</v>
      </c>
      <c r="I1725" s="3" t="s">
        <v>2607</v>
      </c>
      <c r="J1725" s="25" t="s">
        <v>22</v>
      </c>
      <c r="K1725" s="28">
        <v>8</v>
      </c>
      <c r="L1725" s="7">
        <v>42337</v>
      </c>
      <c r="M1725" s="28">
        <f>Table11[[#This Row],[Ship Date]]-Table11[[#This Row],[Order Date]]</f>
        <v>5</v>
      </c>
      <c r="N1725" s="25" t="s">
        <v>45</v>
      </c>
      <c r="O1725" s="25" t="s">
        <v>23</v>
      </c>
      <c r="P1725" s="25" t="s">
        <v>38</v>
      </c>
      <c r="Q1725" s="25" t="s">
        <v>39</v>
      </c>
      <c r="R1725" s="25" t="s">
        <v>37</v>
      </c>
      <c r="S1725" s="35">
        <v>0.2</v>
      </c>
      <c r="T1725" s="16">
        <v>91.391999999999996</v>
      </c>
      <c r="U1725" s="19">
        <v>29.702400000000001</v>
      </c>
      <c r="V1725" s="56">
        <f>Table11[[#This Row],[Profit]]/Table11[[#This Row],[Sales]]</f>
        <v>0.32500000000000001</v>
      </c>
    </row>
    <row r="1726" spans="1:22" x14ac:dyDescent="0.2">
      <c r="A1726" s="4">
        <v>1725</v>
      </c>
      <c r="B1726" s="5" t="s">
        <v>4425</v>
      </c>
      <c r="C1726" s="6">
        <v>42333</v>
      </c>
      <c r="D1726" s="27">
        <f>MONTH(Table11[[#This Row],[Order Date]])</f>
        <v>11</v>
      </c>
      <c r="E1726" s="5" t="s">
        <v>4426</v>
      </c>
      <c r="F1726" s="5" t="s">
        <v>4427</v>
      </c>
      <c r="G1726" s="24" t="s">
        <v>41</v>
      </c>
      <c r="H1726" s="24" t="s">
        <v>61</v>
      </c>
      <c r="I1726" s="5" t="s">
        <v>130</v>
      </c>
      <c r="J1726" s="24" t="s">
        <v>22</v>
      </c>
      <c r="K1726" s="27">
        <v>5</v>
      </c>
      <c r="L1726" s="6">
        <v>42337</v>
      </c>
      <c r="M1726" s="27">
        <f>Table11[[#This Row],[Ship Date]]-Table11[[#This Row],[Order Date]]</f>
        <v>4</v>
      </c>
      <c r="N1726" s="24" t="s">
        <v>45</v>
      </c>
      <c r="O1726" s="24" t="s">
        <v>23</v>
      </c>
      <c r="P1726" s="24" t="s">
        <v>80</v>
      </c>
      <c r="Q1726" s="24" t="s">
        <v>26</v>
      </c>
      <c r="R1726" s="24" t="s">
        <v>461</v>
      </c>
      <c r="S1726" s="34">
        <v>0.2</v>
      </c>
      <c r="T1726" s="15">
        <v>13.12</v>
      </c>
      <c r="U1726" s="18">
        <v>1.476</v>
      </c>
      <c r="V1726" s="56">
        <f>Table11[[#This Row],[Profit]]/Table11[[#This Row],[Sales]]</f>
        <v>0.1125</v>
      </c>
    </row>
    <row r="1727" spans="1:22" x14ac:dyDescent="0.2">
      <c r="A1727" s="4">
        <v>1726</v>
      </c>
      <c r="B1727" s="3" t="s">
        <v>4347</v>
      </c>
      <c r="C1727" s="7">
        <v>42334</v>
      </c>
      <c r="D1727" s="28">
        <f>MONTH(Table11[[#This Row],[Order Date]])</f>
        <v>11</v>
      </c>
      <c r="E1727" s="3" t="s">
        <v>700</v>
      </c>
      <c r="F1727" s="3" t="s">
        <v>701</v>
      </c>
      <c r="G1727" s="25" t="s">
        <v>41</v>
      </c>
      <c r="H1727" s="25" t="s">
        <v>68</v>
      </c>
      <c r="I1727" s="3" t="s">
        <v>2365</v>
      </c>
      <c r="J1727" s="25" t="s">
        <v>36</v>
      </c>
      <c r="K1727" s="28">
        <v>3</v>
      </c>
      <c r="L1727" s="7">
        <v>42338</v>
      </c>
      <c r="M1727" s="28">
        <f>Table11[[#This Row],[Ship Date]]-Table11[[#This Row],[Order Date]]</f>
        <v>4</v>
      </c>
      <c r="N1727" s="25" t="s">
        <v>45</v>
      </c>
      <c r="O1727" s="25" t="s">
        <v>23</v>
      </c>
      <c r="P1727" s="25" t="s">
        <v>1101</v>
      </c>
      <c r="Q1727" s="25" t="s">
        <v>133</v>
      </c>
      <c r="R1727" s="25" t="s">
        <v>4348</v>
      </c>
      <c r="S1727" s="35">
        <v>0</v>
      </c>
      <c r="T1727" s="16">
        <v>14.73</v>
      </c>
      <c r="U1727" s="19">
        <v>6.9230999999999998</v>
      </c>
      <c r="V1727" s="56">
        <f>Table11[[#This Row],[Profit]]/Table11[[#This Row],[Sales]]</f>
        <v>0.47</v>
      </c>
    </row>
    <row r="1728" spans="1:22" x14ac:dyDescent="0.2">
      <c r="A1728" s="2">
        <v>1727</v>
      </c>
      <c r="B1728" s="5" t="s">
        <v>4347</v>
      </c>
      <c r="C1728" s="6">
        <v>42334</v>
      </c>
      <c r="D1728" s="27">
        <f>MONTH(Table11[[#This Row],[Order Date]])</f>
        <v>11</v>
      </c>
      <c r="E1728" s="5" t="s">
        <v>4349</v>
      </c>
      <c r="F1728" s="5" t="s">
        <v>4350</v>
      </c>
      <c r="G1728" s="24" t="s">
        <v>41</v>
      </c>
      <c r="H1728" s="24" t="s">
        <v>53</v>
      </c>
      <c r="I1728" s="5" t="s">
        <v>2365</v>
      </c>
      <c r="J1728" s="24" t="s">
        <v>36</v>
      </c>
      <c r="K1728" s="27">
        <v>5</v>
      </c>
      <c r="L1728" s="6">
        <v>42338</v>
      </c>
      <c r="M1728" s="27">
        <f>Table11[[#This Row],[Ship Date]]-Table11[[#This Row],[Order Date]]</f>
        <v>4</v>
      </c>
      <c r="N1728" s="24" t="s">
        <v>45</v>
      </c>
      <c r="O1728" s="24" t="s">
        <v>23</v>
      </c>
      <c r="P1728" s="24" t="s">
        <v>1101</v>
      </c>
      <c r="Q1728" s="24" t="s">
        <v>133</v>
      </c>
      <c r="R1728" s="24" t="s">
        <v>4348</v>
      </c>
      <c r="S1728" s="34">
        <v>0</v>
      </c>
      <c r="T1728" s="15">
        <v>104.9</v>
      </c>
      <c r="U1728" s="18">
        <v>25.175999999999998</v>
      </c>
      <c r="V1728" s="56">
        <f>Table11[[#This Row],[Profit]]/Table11[[#This Row],[Sales]]</f>
        <v>0.23999999999999996</v>
      </c>
    </row>
    <row r="1729" spans="1:22" x14ac:dyDescent="0.2">
      <c r="A1729" s="4">
        <v>1728</v>
      </c>
      <c r="B1729" s="3" t="s">
        <v>4347</v>
      </c>
      <c r="C1729" s="7">
        <v>42334</v>
      </c>
      <c r="D1729" s="28">
        <f>MONTH(Table11[[#This Row],[Order Date]])</f>
        <v>11</v>
      </c>
      <c r="E1729" s="3" t="s">
        <v>2708</v>
      </c>
      <c r="F1729" s="3" t="s">
        <v>2709</v>
      </c>
      <c r="G1729" s="25" t="s">
        <v>41</v>
      </c>
      <c r="H1729" s="25" t="s">
        <v>68</v>
      </c>
      <c r="I1729" s="3" t="s">
        <v>2365</v>
      </c>
      <c r="J1729" s="25" t="s">
        <v>36</v>
      </c>
      <c r="K1729" s="28">
        <v>4</v>
      </c>
      <c r="L1729" s="7">
        <v>42338</v>
      </c>
      <c r="M1729" s="28">
        <f>Table11[[#This Row],[Ship Date]]-Table11[[#This Row],[Order Date]]</f>
        <v>4</v>
      </c>
      <c r="N1729" s="25" t="s">
        <v>45</v>
      </c>
      <c r="O1729" s="25" t="s">
        <v>23</v>
      </c>
      <c r="P1729" s="25" t="s">
        <v>1101</v>
      </c>
      <c r="Q1729" s="25" t="s">
        <v>133</v>
      </c>
      <c r="R1729" s="25" t="s">
        <v>4348</v>
      </c>
      <c r="S1729" s="35">
        <v>0</v>
      </c>
      <c r="T1729" s="16">
        <v>61.04</v>
      </c>
      <c r="U1729" s="19">
        <v>30.52</v>
      </c>
      <c r="V1729" s="56">
        <f>Table11[[#This Row],[Profit]]/Table11[[#This Row],[Sales]]</f>
        <v>0.5</v>
      </c>
    </row>
    <row r="1730" spans="1:22" x14ac:dyDescent="0.2">
      <c r="A1730" s="4">
        <v>1729</v>
      </c>
      <c r="B1730" s="5" t="s">
        <v>4347</v>
      </c>
      <c r="C1730" s="6">
        <v>42334</v>
      </c>
      <c r="D1730" s="27">
        <f>MONTH(Table11[[#This Row],[Order Date]])</f>
        <v>11</v>
      </c>
      <c r="E1730" s="5" t="s">
        <v>3589</v>
      </c>
      <c r="F1730" s="5" t="s">
        <v>3590</v>
      </c>
      <c r="G1730" s="24" t="s">
        <v>41</v>
      </c>
      <c r="H1730" s="24" t="s">
        <v>82</v>
      </c>
      <c r="I1730" s="5" t="s">
        <v>2365</v>
      </c>
      <c r="J1730" s="24" t="s">
        <v>36</v>
      </c>
      <c r="K1730" s="27">
        <v>3</v>
      </c>
      <c r="L1730" s="6">
        <v>42338</v>
      </c>
      <c r="M1730" s="27">
        <f>Table11[[#This Row],[Ship Date]]-Table11[[#This Row],[Order Date]]</f>
        <v>4</v>
      </c>
      <c r="N1730" s="24" t="s">
        <v>45</v>
      </c>
      <c r="O1730" s="24" t="s">
        <v>23</v>
      </c>
      <c r="P1730" s="24" t="s">
        <v>1101</v>
      </c>
      <c r="Q1730" s="24" t="s">
        <v>133</v>
      </c>
      <c r="R1730" s="24" t="s">
        <v>4348</v>
      </c>
      <c r="S1730" s="34">
        <v>0</v>
      </c>
      <c r="T1730" s="15">
        <v>10.95</v>
      </c>
      <c r="U1730" s="18">
        <v>5.1464999999999996</v>
      </c>
      <c r="V1730" s="56">
        <f>Table11[[#This Row],[Profit]]/Table11[[#This Row],[Sales]]</f>
        <v>0.47</v>
      </c>
    </row>
    <row r="1731" spans="1:22" x14ac:dyDescent="0.2">
      <c r="A1731" s="2">
        <v>1730</v>
      </c>
      <c r="B1731" s="3" t="s">
        <v>6633</v>
      </c>
      <c r="C1731" s="7">
        <v>42334</v>
      </c>
      <c r="D1731" s="28">
        <f>MONTH(Table11[[#This Row],[Order Date]])</f>
        <v>11</v>
      </c>
      <c r="E1731" s="3" t="s">
        <v>6594</v>
      </c>
      <c r="F1731" s="3" t="s">
        <v>6595</v>
      </c>
      <c r="G1731" s="25" t="s">
        <v>28</v>
      </c>
      <c r="H1731" s="25" t="s">
        <v>58</v>
      </c>
      <c r="I1731" s="3" t="s">
        <v>6634</v>
      </c>
      <c r="J1731" s="25" t="s">
        <v>36</v>
      </c>
      <c r="K1731" s="28">
        <v>11</v>
      </c>
      <c r="L1731" s="7">
        <v>42338</v>
      </c>
      <c r="M1731" s="28">
        <f>Table11[[#This Row],[Ship Date]]-Table11[[#This Row],[Order Date]]</f>
        <v>4</v>
      </c>
      <c r="N1731" s="25" t="s">
        <v>45</v>
      </c>
      <c r="O1731" s="25" t="s">
        <v>23</v>
      </c>
      <c r="P1731" s="25" t="s">
        <v>299</v>
      </c>
      <c r="Q1731" s="25" t="s">
        <v>26</v>
      </c>
      <c r="R1731" s="25" t="s">
        <v>293</v>
      </c>
      <c r="S1731" s="35">
        <v>0.2</v>
      </c>
      <c r="T1731" s="16">
        <v>692.47199999999998</v>
      </c>
      <c r="U1731" s="19">
        <v>190.4298</v>
      </c>
      <c r="V1731" s="56">
        <f>Table11[[#This Row],[Profit]]/Table11[[#This Row],[Sales]]</f>
        <v>0.27500000000000002</v>
      </c>
    </row>
    <row r="1732" spans="1:22" x14ac:dyDescent="0.2">
      <c r="A1732" s="4">
        <v>1731</v>
      </c>
      <c r="B1732" s="5" t="s">
        <v>7714</v>
      </c>
      <c r="C1732" s="6">
        <v>42334</v>
      </c>
      <c r="D1732" s="27">
        <f>MONTH(Table11[[#This Row],[Order Date]])</f>
        <v>11</v>
      </c>
      <c r="E1732" s="5" t="s">
        <v>1219</v>
      </c>
      <c r="F1732" s="5" t="s">
        <v>1220</v>
      </c>
      <c r="G1732" s="24" t="s">
        <v>64</v>
      </c>
      <c r="H1732" s="24" t="s">
        <v>1075</v>
      </c>
      <c r="I1732" s="5" t="s">
        <v>789</v>
      </c>
      <c r="J1732" s="24" t="s">
        <v>36</v>
      </c>
      <c r="K1732" s="27">
        <v>1</v>
      </c>
      <c r="L1732" s="6">
        <v>42339</v>
      </c>
      <c r="M1732" s="27">
        <f>Table11[[#This Row],[Ship Date]]-Table11[[#This Row],[Order Date]]</f>
        <v>5</v>
      </c>
      <c r="N1732" s="24" t="s">
        <v>45</v>
      </c>
      <c r="O1732" s="24" t="s">
        <v>23</v>
      </c>
      <c r="P1732" s="24" t="s">
        <v>528</v>
      </c>
      <c r="Q1732" s="24" t="s">
        <v>95</v>
      </c>
      <c r="R1732" s="24" t="s">
        <v>284</v>
      </c>
      <c r="S1732" s="34">
        <v>0</v>
      </c>
      <c r="T1732" s="15">
        <v>599.99</v>
      </c>
      <c r="U1732" s="18">
        <v>233.99610000000001</v>
      </c>
      <c r="V1732" s="56">
        <f>Table11[[#This Row],[Profit]]/Table11[[#This Row],[Sales]]</f>
        <v>0.39</v>
      </c>
    </row>
    <row r="1733" spans="1:22" x14ac:dyDescent="0.2">
      <c r="A1733" s="4">
        <v>1732</v>
      </c>
      <c r="B1733" s="3" t="s">
        <v>1193</v>
      </c>
      <c r="C1733" s="7">
        <v>42335</v>
      </c>
      <c r="D1733" s="28">
        <f>MONTH(Table11[[#This Row],[Order Date]])</f>
        <v>11</v>
      </c>
      <c r="E1733" s="3" t="s">
        <v>1196</v>
      </c>
      <c r="F1733" s="3" t="s">
        <v>1197</v>
      </c>
      <c r="G1733" s="25" t="s">
        <v>28</v>
      </c>
      <c r="H1733" s="25" t="s">
        <v>50</v>
      </c>
      <c r="I1733" s="3" t="s">
        <v>1194</v>
      </c>
      <c r="J1733" s="25" t="s">
        <v>22</v>
      </c>
      <c r="K1733" s="28">
        <v>3</v>
      </c>
      <c r="L1733" s="7">
        <v>42340</v>
      </c>
      <c r="M1733" s="28">
        <f>Table11[[#This Row],[Ship Date]]-Table11[[#This Row],[Order Date]]</f>
        <v>5</v>
      </c>
      <c r="N1733" s="25" t="s">
        <v>45</v>
      </c>
      <c r="O1733" s="25" t="s">
        <v>23</v>
      </c>
      <c r="P1733" s="25" t="s">
        <v>48</v>
      </c>
      <c r="Q1733" s="25" t="s">
        <v>26</v>
      </c>
      <c r="R1733" s="25" t="s">
        <v>1195</v>
      </c>
      <c r="S1733" s="35">
        <v>0.45</v>
      </c>
      <c r="T1733" s="16">
        <v>375.45749999999998</v>
      </c>
      <c r="U1733" s="19">
        <v>-157.0095</v>
      </c>
      <c r="V1733" s="56">
        <f>Table11[[#This Row],[Profit]]/Table11[[#This Row],[Sales]]</f>
        <v>-0.41818181818181821</v>
      </c>
    </row>
    <row r="1734" spans="1:22" x14ac:dyDescent="0.2">
      <c r="A1734" s="2">
        <v>1733</v>
      </c>
      <c r="B1734" s="5" t="s">
        <v>1193</v>
      </c>
      <c r="C1734" s="6">
        <v>42335</v>
      </c>
      <c r="D1734" s="27">
        <f>MONTH(Table11[[#This Row],[Order Date]])</f>
        <v>11</v>
      </c>
      <c r="E1734" s="5" t="s">
        <v>1198</v>
      </c>
      <c r="F1734" s="5" t="s">
        <v>1199</v>
      </c>
      <c r="G1734" s="24" t="s">
        <v>64</v>
      </c>
      <c r="H1734" s="24" t="s">
        <v>144</v>
      </c>
      <c r="I1734" s="5" t="s">
        <v>1194</v>
      </c>
      <c r="J1734" s="24" t="s">
        <v>22</v>
      </c>
      <c r="K1734" s="27">
        <v>3</v>
      </c>
      <c r="L1734" s="6">
        <v>42340</v>
      </c>
      <c r="M1734" s="27">
        <f>Table11[[#This Row],[Ship Date]]-Table11[[#This Row],[Order Date]]</f>
        <v>5</v>
      </c>
      <c r="N1734" s="24" t="s">
        <v>45</v>
      </c>
      <c r="O1734" s="24" t="s">
        <v>23</v>
      </c>
      <c r="P1734" s="24" t="s">
        <v>48</v>
      </c>
      <c r="Q1734" s="24" t="s">
        <v>26</v>
      </c>
      <c r="R1734" s="24" t="s">
        <v>1195</v>
      </c>
      <c r="S1734" s="34">
        <v>0.2</v>
      </c>
      <c r="T1734" s="15">
        <v>83.975999999999999</v>
      </c>
      <c r="U1734" s="18">
        <v>-1.0497000000000001</v>
      </c>
      <c r="V1734" s="56">
        <f>Table11[[#This Row],[Profit]]/Table11[[#This Row],[Sales]]</f>
        <v>-1.2500000000000001E-2</v>
      </c>
    </row>
    <row r="1735" spans="1:22" x14ac:dyDescent="0.2">
      <c r="A1735" s="4">
        <v>1734</v>
      </c>
      <c r="B1735" s="3" t="s">
        <v>2202</v>
      </c>
      <c r="C1735" s="7">
        <v>42335</v>
      </c>
      <c r="D1735" s="28">
        <f>MONTH(Table11[[#This Row],[Order Date]])</f>
        <v>11</v>
      </c>
      <c r="E1735" s="3" t="s">
        <v>1627</v>
      </c>
      <c r="F1735" s="3" t="s">
        <v>1628</v>
      </c>
      <c r="G1735" s="25" t="s">
        <v>28</v>
      </c>
      <c r="H1735" s="25" t="s">
        <v>32</v>
      </c>
      <c r="I1735" s="3" t="s">
        <v>2203</v>
      </c>
      <c r="J1735" s="25" t="s">
        <v>22</v>
      </c>
      <c r="K1735" s="28">
        <v>5</v>
      </c>
      <c r="L1735" s="7">
        <v>42341</v>
      </c>
      <c r="M1735" s="28">
        <f>Table11[[#This Row],[Ship Date]]-Table11[[#This Row],[Order Date]]</f>
        <v>6</v>
      </c>
      <c r="N1735" s="25" t="s">
        <v>45</v>
      </c>
      <c r="O1735" s="25" t="s">
        <v>23</v>
      </c>
      <c r="P1735" s="25" t="s">
        <v>38</v>
      </c>
      <c r="Q1735" s="25" t="s">
        <v>39</v>
      </c>
      <c r="R1735" s="25" t="s">
        <v>2204</v>
      </c>
      <c r="S1735" s="35">
        <v>0.2</v>
      </c>
      <c r="T1735" s="16">
        <v>283.92</v>
      </c>
      <c r="U1735" s="19">
        <v>17.745000000000001</v>
      </c>
      <c r="V1735" s="56">
        <f>Table11[[#This Row],[Profit]]/Table11[[#This Row],[Sales]]</f>
        <v>6.25E-2</v>
      </c>
    </row>
    <row r="1736" spans="1:22" x14ac:dyDescent="0.2">
      <c r="A1736" s="4">
        <v>1735</v>
      </c>
      <c r="B1736" s="5" t="s">
        <v>2561</v>
      </c>
      <c r="C1736" s="6">
        <v>42335</v>
      </c>
      <c r="D1736" s="27">
        <f>MONTH(Table11[[#This Row],[Order Date]])</f>
        <v>11</v>
      </c>
      <c r="E1736" s="5" t="s">
        <v>2563</v>
      </c>
      <c r="F1736" s="5" t="s">
        <v>2564</v>
      </c>
      <c r="G1736" s="24" t="s">
        <v>41</v>
      </c>
      <c r="H1736" s="24" t="s">
        <v>68</v>
      </c>
      <c r="I1736" s="5" t="s">
        <v>2562</v>
      </c>
      <c r="J1736" s="24" t="s">
        <v>92</v>
      </c>
      <c r="K1736" s="27">
        <v>2</v>
      </c>
      <c r="L1736" s="6">
        <v>42339</v>
      </c>
      <c r="M1736" s="27">
        <f>Table11[[#This Row],[Ship Date]]-Table11[[#This Row],[Order Date]]</f>
        <v>4</v>
      </c>
      <c r="N1736" s="24" t="s">
        <v>45</v>
      </c>
      <c r="O1736" s="24" t="s">
        <v>23</v>
      </c>
      <c r="P1736" s="24" t="s">
        <v>1510</v>
      </c>
      <c r="Q1736" s="24" t="s">
        <v>26</v>
      </c>
      <c r="R1736" s="24" t="s">
        <v>1509</v>
      </c>
      <c r="S1736" s="34">
        <v>0</v>
      </c>
      <c r="T1736" s="15">
        <v>6.24</v>
      </c>
      <c r="U1736" s="18">
        <v>3.0575999999999999</v>
      </c>
      <c r="V1736" s="56">
        <f>Table11[[#This Row],[Profit]]/Table11[[#This Row],[Sales]]</f>
        <v>0.48999999999999994</v>
      </c>
    </row>
    <row r="1737" spans="1:22" x14ac:dyDescent="0.2">
      <c r="A1737" s="2">
        <v>1736</v>
      </c>
      <c r="B1737" s="3" t="s">
        <v>5597</v>
      </c>
      <c r="C1737" s="7">
        <v>42335</v>
      </c>
      <c r="D1737" s="28">
        <f>MONTH(Table11[[#This Row],[Order Date]])</f>
        <v>11</v>
      </c>
      <c r="E1737" s="3" t="s">
        <v>5598</v>
      </c>
      <c r="F1737" s="3" t="s">
        <v>5599</v>
      </c>
      <c r="G1737" s="25" t="s">
        <v>64</v>
      </c>
      <c r="H1737" s="25" t="s">
        <v>65</v>
      </c>
      <c r="I1737" s="3" t="s">
        <v>1860</v>
      </c>
      <c r="J1737" s="25" t="s">
        <v>36</v>
      </c>
      <c r="K1737" s="28">
        <v>3</v>
      </c>
      <c r="L1737" s="7">
        <v>42337</v>
      </c>
      <c r="M1737" s="28">
        <f>Table11[[#This Row],[Ship Date]]-Table11[[#This Row],[Order Date]]</f>
        <v>2</v>
      </c>
      <c r="N1737" s="25" t="s">
        <v>169</v>
      </c>
      <c r="O1737" s="25" t="s">
        <v>23</v>
      </c>
      <c r="P1737" s="25" t="s">
        <v>218</v>
      </c>
      <c r="Q1737" s="25" t="s">
        <v>133</v>
      </c>
      <c r="R1737" s="25" t="s">
        <v>536</v>
      </c>
      <c r="S1737" s="35">
        <v>0</v>
      </c>
      <c r="T1737" s="16">
        <v>83.97</v>
      </c>
      <c r="U1737" s="19">
        <v>23.511600000000001</v>
      </c>
      <c r="V1737" s="56">
        <f>Table11[[#This Row],[Profit]]/Table11[[#This Row],[Sales]]</f>
        <v>0.28000000000000003</v>
      </c>
    </row>
    <row r="1738" spans="1:22" x14ac:dyDescent="0.2">
      <c r="A1738" s="4">
        <v>1737</v>
      </c>
      <c r="B1738" s="5" t="s">
        <v>5597</v>
      </c>
      <c r="C1738" s="6">
        <v>42335</v>
      </c>
      <c r="D1738" s="27">
        <f>MONTH(Table11[[#This Row],[Order Date]])</f>
        <v>11</v>
      </c>
      <c r="E1738" s="5" t="s">
        <v>5600</v>
      </c>
      <c r="F1738" s="5" t="s">
        <v>5601</v>
      </c>
      <c r="G1738" s="24" t="s">
        <v>64</v>
      </c>
      <c r="H1738" s="24" t="s">
        <v>144</v>
      </c>
      <c r="I1738" s="5" t="s">
        <v>1860</v>
      </c>
      <c r="J1738" s="24" t="s">
        <v>36</v>
      </c>
      <c r="K1738" s="27">
        <v>3</v>
      </c>
      <c r="L1738" s="6">
        <v>42337</v>
      </c>
      <c r="M1738" s="27">
        <f>Table11[[#This Row],[Ship Date]]-Table11[[#This Row],[Order Date]]</f>
        <v>2</v>
      </c>
      <c r="N1738" s="24" t="s">
        <v>169</v>
      </c>
      <c r="O1738" s="24" t="s">
        <v>23</v>
      </c>
      <c r="P1738" s="24" t="s">
        <v>218</v>
      </c>
      <c r="Q1738" s="24" t="s">
        <v>133</v>
      </c>
      <c r="R1738" s="24" t="s">
        <v>536</v>
      </c>
      <c r="S1738" s="34">
        <v>0</v>
      </c>
      <c r="T1738" s="15">
        <v>104.97</v>
      </c>
      <c r="U1738" s="18">
        <v>7.3479000000000001</v>
      </c>
      <c r="V1738" s="56">
        <f>Table11[[#This Row],[Profit]]/Table11[[#This Row],[Sales]]</f>
        <v>7.0000000000000007E-2</v>
      </c>
    </row>
    <row r="1739" spans="1:22" x14ac:dyDescent="0.2">
      <c r="A1739" s="4">
        <v>1738</v>
      </c>
      <c r="B1739" s="3" t="s">
        <v>6226</v>
      </c>
      <c r="C1739" s="7">
        <v>42335</v>
      </c>
      <c r="D1739" s="28">
        <f>MONTH(Table11[[#This Row],[Order Date]])</f>
        <v>11</v>
      </c>
      <c r="E1739" s="3" t="s">
        <v>3746</v>
      </c>
      <c r="F1739" s="3" t="s">
        <v>3747</v>
      </c>
      <c r="G1739" s="25" t="s">
        <v>41</v>
      </c>
      <c r="H1739" s="25" t="s">
        <v>61</v>
      </c>
      <c r="I1739" s="3" t="s">
        <v>1459</v>
      </c>
      <c r="J1739" s="25" t="s">
        <v>22</v>
      </c>
      <c r="K1739" s="28">
        <v>3</v>
      </c>
      <c r="L1739" s="7">
        <v>42339</v>
      </c>
      <c r="M1739" s="28">
        <f>Table11[[#This Row],[Ship Date]]-Table11[[#This Row],[Order Date]]</f>
        <v>4</v>
      </c>
      <c r="N1739" s="25" t="s">
        <v>45</v>
      </c>
      <c r="O1739" s="25" t="s">
        <v>23</v>
      </c>
      <c r="P1739" s="25" t="s">
        <v>238</v>
      </c>
      <c r="Q1739" s="25" t="s">
        <v>133</v>
      </c>
      <c r="R1739" s="25" t="s">
        <v>237</v>
      </c>
      <c r="S1739" s="35">
        <v>0</v>
      </c>
      <c r="T1739" s="16">
        <v>29.79</v>
      </c>
      <c r="U1739" s="19">
        <v>12.511799999999999</v>
      </c>
      <c r="V1739" s="56">
        <f>Table11[[#This Row],[Profit]]/Table11[[#This Row],[Sales]]</f>
        <v>0.42</v>
      </c>
    </row>
    <row r="1740" spans="1:22" x14ac:dyDescent="0.2">
      <c r="A1740" s="2">
        <v>1739</v>
      </c>
      <c r="B1740" s="5" t="s">
        <v>6689</v>
      </c>
      <c r="C1740" s="6">
        <v>42335</v>
      </c>
      <c r="D1740" s="27">
        <f>MONTH(Table11[[#This Row],[Order Date]])</f>
        <v>11</v>
      </c>
      <c r="E1740" s="5" t="s">
        <v>1249</v>
      </c>
      <c r="F1740" s="5" t="s">
        <v>1250</v>
      </c>
      <c r="G1740" s="24" t="s">
        <v>64</v>
      </c>
      <c r="H1740" s="24" t="s">
        <v>144</v>
      </c>
      <c r="I1740" s="5" t="s">
        <v>177</v>
      </c>
      <c r="J1740" s="24" t="s">
        <v>92</v>
      </c>
      <c r="K1740" s="27">
        <v>3</v>
      </c>
      <c r="L1740" s="6">
        <v>42339</v>
      </c>
      <c r="M1740" s="27">
        <f>Table11[[#This Row],[Ship Date]]-Table11[[#This Row],[Order Date]]</f>
        <v>4</v>
      </c>
      <c r="N1740" s="24" t="s">
        <v>45</v>
      </c>
      <c r="O1740" s="24" t="s">
        <v>23</v>
      </c>
      <c r="P1740" s="24" t="s">
        <v>38</v>
      </c>
      <c r="Q1740" s="24" t="s">
        <v>39</v>
      </c>
      <c r="R1740" s="24" t="s">
        <v>37</v>
      </c>
      <c r="S1740" s="34">
        <v>0</v>
      </c>
      <c r="T1740" s="15">
        <v>107.97</v>
      </c>
      <c r="U1740" s="18">
        <v>22.6737</v>
      </c>
      <c r="V1740" s="56">
        <f>Table11[[#This Row],[Profit]]/Table11[[#This Row],[Sales]]</f>
        <v>0.21</v>
      </c>
    </row>
    <row r="1741" spans="1:22" x14ac:dyDescent="0.2">
      <c r="A1741" s="4">
        <v>1740</v>
      </c>
      <c r="B1741" s="3" t="s">
        <v>6689</v>
      </c>
      <c r="C1741" s="7">
        <v>42335</v>
      </c>
      <c r="D1741" s="28">
        <f>MONTH(Table11[[#This Row],[Order Date]])</f>
        <v>11</v>
      </c>
      <c r="E1741" s="3" t="s">
        <v>286</v>
      </c>
      <c r="F1741" s="3" t="s">
        <v>287</v>
      </c>
      <c r="G1741" s="25" t="s">
        <v>41</v>
      </c>
      <c r="H1741" s="25" t="s">
        <v>82</v>
      </c>
      <c r="I1741" s="3" t="s">
        <v>177</v>
      </c>
      <c r="J1741" s="25" t="s">
        <v>92</v>
      </c>
      <c r="K1741" s="28">
        <v>3</v>
      </c>
      <c r="L1741" s="7">
        <v>42339</v>
      </c>
      <c r="M1741" s="28">
        <f>Table11[[#This Row],[Ship Date]]-Table11[[#This Row],[Order Date]]</f>
        <v>4</v>
      </c>
      <c r="N1741" s="25" t="s">
        <v>45</v>
      </c>
      <c r="O1741" s="25" t="s">
        <v>23</v>
      </c>
      <c r="P1741" s="25" t="s">
        <v>38</v>
      </c>
      <c r="Q1741" s="25" t="s">
        <v>39</v>
      </c>
      <c r="R1741" s="25" t="s">
        <v>37</v>
      </c>
      <c r="S1741" s="35">
        <v>0</v>
      </c>
      <c r="T1741" s="16">
        <v>113.82</v>
      </c>
      <c r="U1741" s="19">
        <v>53.495399999999997</v>
      </c>
      <c r="V1741" s="56">
        <f>Table11[[#This Row],[Profit]]/Table11[[#This Row],[Sales]]</f>
        <v>0.47</v>
      </c>
    </row>
    <row r="1742" spans="1:22" x14ac:dyDescent="0.2">
      <c r="A1742" s="4">
        <v>1741</v>
      </c>
      <c r="B1742" s="5" t="s">
        <v>7297</v>
      </c>
      <c r="C1742" s="6">
        <v>42335</v>
      </c>
      <c r="D1742" s="27">
        <f>MONTH(Table11[[#This Row],[Order Date]])</f>
        <v>11</v>
      </c>
      <c r="E1742" s="5" t="s">
        <v>6286</v>
      </c>
      <c r="F1742" s="5" t="s">
        <v>6287</v>
      </c>
      <c r="G1742" s="24" t="s">
        <v>64</v>
      </c>
      <c r="H1742" s="24" t="s">
        <v>65</v>
      </c>
      <c r="I1742" s="5" t="s">
        <v>1905</v>
      </c>
      <c r="J1742" s="24" t="s">
        <v>92</v>
      </c>
      <c r="K1742" s="27">
        <v>8</v>
      </c>
      <c r="L1742" s="6">
        <v>42341</v>
      </c>
      <c r="M1742" s="27">
        <f>Table11[[#This Row],[Ship Date]]-Table11[[#This Row],[Order Date]]</f>
        <v>6</v>
      </c>
      <c r="N1742" s="24" t="s">
        <v>45</v>
      </c>
      <c r="O1742" s="24" t="s">
        <v>23</v>
      </c>
      <c r="P1742" s="24" t="s">
        <v>132</v>
      </c>
      <c r="Q1742" s="24" t="s">
        <v>133</v>
      </c>
      <c r="R1742" s="24" t="s">
        <v>131</v>
      </c>
      <c r="S1742" s="34">
        <v>0.4</v>
      </c>
      <c r="T1742" s="15">
        <v>748.75199999999995</v>
      </c>
      <c r="U1742" s="18">
        <v>-162.2296</v>
      </c>
      <c r="V1742" s="56">
        <f>Table11[[#This Row],[Profit]]/Table11[[#This Row],[Sales]]</f>
        <v>-0.21666666666666667</v>
      </c>
    </row>
    <row r="1743" spans="1:22" x14ac:dyDescent="0.2">
      <c r="A1743" s="2">
        <v>1742</v>
      </c>
      <c r="B1743" s="3" t="s">
        <v>8815</v>
      </c>
      <c r="C1743" s="7">
        <v>42335</v>
      </c>
      <c r="D1743" s="28">
        <f>MONTH(Table11[[#This Row],[Order Date]])</f>
        <v>11</v>
      </c>
      <c r="E1743" s="3" t="s">
        <v>1979</v>
      </c>
      <c r="F1743" s="3" t="s">
        <v>1980</v>
      </c>
      <c r="G1743" s="25" t="s">
        <v>41</v>
      </c>
      <c r="H1743" s="25" t="s">
        <v>82</v>
      </c>
      <c r="I1743" s="3" t="s">
        <v>164</v>
      </c>
      <c r="J1743" s="25" t="s">
        <v>92</v>
      </c>
      <c r="K1743" s="28">
        <v>6</v>
      </c>
      <c r="L1743" s="7">
        <v>42337</v>
      </c>
      <c r="M1743" s="28">
        <f>Table11[[#This Row],[Ship Date]]-Table11[[#This Row],[Order Date]]</f>
        <v>2</v>
      </c>
      <c r="N1743" s="25" t="s">
        <v>20</v>
      </c>
      <c r="O1743" s="25" t="s">
        <v>23</v>
      </c>
      <c r="P1743" s="25" t="s">
        <v>1101</v>
      </c>
      <c r="Q1743" s="25" t="s">
        <v>133</v>
      </c>
      <c r="R1743" s="25" t="s">
        <v>3613</v>
      </c>
      <c r="S1743" s="35">
        <v>0</v>
      </c>
      <c r="T1743" s="16">
        <v>40.08</v>
      </c>
      <c r="U1743" s="19">
        <v>19.238399999999999</v>
      </c>
      <c r="V1743" s="56">
        <f>Table11[[#This Row],[Profit]]/Table11[[#This Row],[Sales]]</f>
        <v>0.48</v>
      </c>
    </row>
    <row r="1744" spans="1:22" x14ac:dyDescent="0.2">
      <c r="A1744" s="4">
        <v>1743</v>
      </c>
      <c r="B1744" s="5" t="s">
        <v>8815</v>
      </c>
      <c r="C1744" s="6">
        <v>42335</v>
      </c>
      <c r="D1744" s="27">
        <f>MONTH(Table11[[#This Row],[Order Date]])</f>
        <v>11</v>
      </c>
      <c r="E1744" s="5" t="s">
        <v>2334</v>
      </c>
      <c r="F1744" s="5" t="s">
        <v>2335</v>
      </c>
      <c r="G1744" s="24" t="s">
        <v>41</v>
      </c>
      <c r="H1744" s="24" t="s">
        <v>82</v>
      </c>
      <c r="I1744" s="5" t="s">
        <v>164</v>
      </c>
      <c r="J1744" s="24" t="s">
        <v>92</v>
      </c>
      <c r="K1744" s="27">
        <v>3</v>
      </c>
      <c r="L1744" s="6">
        <v>42337</v>
      </c>
      <c r="M1744" s="27">
        <f>Table11[[#This Row],[Ship Date]]-Table11[[#This Row],[Order Date]]</f>
        <v>2</v>
      </c>
      <c r="N1744" s="24" t="s">
        <v>20</v>
      </c>
      <c r="O1744" s="24" t="s">
        <v>23</v>
      </c>
      <c r="P1744" s="24" t="s">
        <v>1101</v>
      </c>
      <c r="Q1744" s="24" t="s">
        <v>133</v>
      </c>
      <c r="R1744" s="24" t="s">
        <v>3613</v>
      </c>
      <c r="S1744" s="34">
        <v>0</v>
      </c>
      <c r="T1744" s="15">
        <v>59.94</v>
      </c>
      <c r="U1744" s="18">
        <v>28.171800000000001</v>
      </c>
      <c r="V1744" s="56">
        <f>Table11[[#This Row],[Profit]]/Table11[[#This Row],[Sales]]</f>
        <v>0.47000000000000003</v>
      </c>
    </row>
    <row r="1745" spans="1:22" x14ac:dyDescent="0.2">
      <c r="A1745" s="4">
        <v>1744</v>
      </c>
      <c r="B1745" s="3" t="s">
        <v>8815</v>
      </c>
      <c r="C1745" s="7">
        <v>42335</v>
      </c>
      <c r="D1745" s="28">
        <f>MONTH(Table11[[#This Row],[Order Date]])</f>
        <v>11</v>
      </c>
      <c r="E1745" s="3" t="s">
        <v>4726</v>
      </c>
      <c r="F1745" s="3" t="s">
        <v>4727</v>
      </c>
      <c r="G1745" s="25" t="s">
        <v>64</v>
      </c>
      <c r="H1745" s="25" t="s">
        <v>144</v>
      </c>
      <c r="I1745" s="3" t="s">
        <v>164</v>
      </c>
      <c r="J1745" s="25" t="s">
        <v>92</v>
      </c>
      <c r="K1745" s="28">
        <v>2</v>
      </c>
      <c r="L1745" s="7">
        <v>42337</v>
      </c>
      <c r="M1745" s="28">
        <f>Table11[[#This Row],[Ship Date]]-Table11[[#This Row],[Order Date]]</f>
        <v>2</v>
      </c>
      <c r="N1745" s="25" t="s">
        <v>20</v>
      </c>
      <c r="O1745" s="25" t="s">
        <v>23</v>
      </c>
      <c r="P1745" s="25" t="s">
        <v>1101</v>
      </c>
      <c r="Q1745" s="25" t="s">
        <v>133</v>
      </c>
      <c r="R1745" s="25" t="s">
        <v>3613</v>
      </c>
      <c r="S1745" s="35">
        <v>0</v>
      </c>
      <c r="T1745" s="16">
        <v>259.98</v>
      </c>
      <c r="U1745" s="19">
        <v>88.393199999999993</v>
      </c>
      <c r="V1745" s="56">
        <f>Table11[[#This Row],[Profit]]/Table11[[#This Row],[Sales]]</f>
        <v>0.33999999999999997</v>
      </c>
    </row>
    <row r="1746" spans="1:22" x14ac:dyDescent="0.2">
      <c r="A1746" s="2">
        <v>1745</v>
      </c>
      <c r="B1746" s="5" t="s">
        <v>8815</v>
      </c>
      <c r="C1746" s="6">
        <v>42335</v>
      </c>
      <c r="D1746" s="27">
        <f>MONTH(Table11[[#This Row],[Order Date]])</f>
        <v>11</v>
      </c>
      <c r="E1746" s="5" t="s">
        <v>5862</v>
      </c>
      <c r="F1746" s="5" t="s">
        <v>5863</v>
      </c>
      <c r="G1746" s="24" t="s">
        <v>28</v>
      </c>
      <c r="H1746" s="24" t="s">
        <v>29</v>
      </c>
      <c r="I1746" s="5" t="s">
        <v>164</v>
      </c>
      <c r="J1746" s="24" t="s">
        <v>92</v>
      </c>
      <c r="K1746" s="27">
        <v>1</v>
      </c>
      <c r="L1746" s="6">
        <v>42337</v>
      </c>
      <c r="M1746" s="27">
        <f>Table11[[#This Row],[Ship Date]]-Table11[[#This Row],[Order Date]]</f>
        <v>2</v>
      </c>
      <c r="N1746" s="24" t="s">
        <v>20</v>
      </c>
      <c r="O1746" s="24" t="s">
        <v>23</v>
      </c>
      <c r="P1746" s="24" t="s">
        <v>1101</v>
      </c>
      <c r="Q1746" s="24" t="s">
        <v>133</v>
      </c>
      <c r="R1746" s="24" t="s">
        <v>3613</v>
      </c>
      <c r="S1746" s="34">
        <v>0</v>
      </c>
      <c r="T1746" s="15">
        <v>170.98</v>
      </c>
      <c r="U1746" s="18">
        <v>32.486199999999997</v>
      </c>
      <c r="V1746" s="56">
        <f>Table11[[#This Row],[Profit]]/Table11[[#This Row],[Sales]]</f>
        <v>0.19</v>
      </c>
    </row>
    <row r="1747" spans="1:22" x14ac:dyDescent="0.2">
      <c r="A1747" s="4">
        <v>1746</v>
      </c>
      <c r="B1747" s="3" t="s">
        <v>8815</v>
      </c>
      <c r="C1747" s="7">
        <v>42335</v>
      </c>
      <c r="D1747" s="28">
        <f>MONTH(Table11[[#This Row],[Order Date]])</f>
        <v>11</v>
      </c>
      <c r="E1747" s="3" t="s">
        <v>8816</v>
      </c>
      <c r="F1747" s="3" t="s">
        <v>8817</v>
      </c>
      <c r="G1747" s="25" t="s">
        <v>28</v>
      </c>
      <c r="H1747" s="25" t="s">
        <v>58</v>
      </c>
      <c r="I1747" s="3" t="s">
        <v>164</v>
      </c>
      <c r="J1747" s="25" t="s">
        <v>92</v>
      </c>
      <c r="K1747" s="28">
        <v>3</v>
      </c>
      <c r="L1747" s="7">
        <v>42337</v>
      </c>
      <c r="M1747" s="28">
        <f>Table11[[#This Row],[Ship Date]]-Table11[[#This Row],[Order Date]]</f>
        <v>2</v>
      </c>
      <c r="N1747" s="25" t="s">
        <v>20</v>
      </c>
      <c r="O1747" s="25" t="s">
        <v>23</v>
      </c>
      <c r="P1747" s="25" t="s">
        <v>1101</v>
      </c>
      <c r="Q1747" s="25" t="s">
        <v>133</v>
      </c>
      <c r="R1747" s="25" t="s">
        <v>3613</v>
      </c>
      <c r="S1747" s="35">
        <v>0</v>
      </c>
      <c r="T1747" s="16">
        <v>38.97</v>
      </c>
      <c r="U1747" s="19">
        <v>4.6764000000000001</v>
      </c>
      <c r="V1747" s="56">
        <f>Table11[[#This Row],[Profit]]/Table11[[#This Row],[Sales]]</f>
        <v>0.12000000000000001</v>
      </c>
    </row>
    <row r="1748" spans="1:22" x14ac:dyDescent="0.2">
      <c r="A1748" s="4">
        <v>1747</v>
      </c>
      <c r="B1748" s="5" t="s">
        <v>8815</v>
      </c>
      <c r="C1748" s="6">
        <v>42335</v>
      </c>
      <c r="D1748" s="27">
        <f>MONTH(Table11[[#This Row],[Order Date]])</f>
        <v>11</v>
      </c>
      <c r="E1748" s="5" t="s">
        <v>3544</v>
      </c>
      <c r="F1748" s="5" t="s">
        <v>3545</v>
      </c>
      <c r="G1748" s="24" t="s">
        <v>41</v>
      </c>
      <c r="H1748" s="24" t="s">
        <v>82</v>
      </c>
      <c r="I1748" s="5" t="s">
        <v>164</v>
      </c>
      <c r="J1748" s="24" t="s">
        <v>92</v>
      </c>
      <c r="K1748" s="27">
        <v>5</v>
      </c>
      <c r="L1748" s="6">
        <v>42337</v>
      </c>
      <c r="M1748" s="27">
        <f>Table11[[#This Row],[Ship Date]]-Table11[[#This Row],[Order Date]]</f>
        <v>2</v>
      </c>
      <c r="N1748" s="24" t="s">
        <v>20</v>
      </c>
      <c r="O1748" s="24" t="s">
        <v>23</v>
      </c>
      <c r="P1748" s="24" t="s">
        <v>1101</v>
      </c>
      <c r="Q1748" s="24" t="s">
        <v>133</v>
      </c>
      <c r="R1748" s="24" t="s">
        <v>3613</v>
      </c>
      <c r="S1748" s="34">
        <v>0</v>
      </c>
      <c r="T1748" s="15">
        <v>154.9</v>
      </c>
      <c r="U1748" s="18">
        <v>69.704999999999998</v>
      </c>
      <c r="V1748" s="56">
        <f>Table11[[#This Row],[Profit]]/Table11[[#This Row],[Sales]]</f>
        <v>0.44999999999999996</v>
      </c>
    </row>
    <row r="1749" spans="1:22" x14ac:dyDescent="0.2">
      <c r="A1749" s="2">
        <v>1748</v>
      </c>
      <c r="B1749" s="3" t="s">
        <v>8815</v>
      </c>
      <c r="C1749" s="7">
        <v>42335</v>
      </c>
      <c r="D1749" s="28">
        <f>MONTH(Table11[[#This Row],[Order Date]])</f>
        <v>11</v>
      </c>
      <c r="E1749" s="3" t="s">
        <v>3081</v>
      </c>
      <c r="F1749" s="3" t="s">
        <v>3082</v>
      </c>
      <c r="G1749" s="25" t="s">
        <v>28</v>
      </c>
      <c r="H1749" s="25" t="s">
        <v>50</v>
      </c>
      <c r="I1749" s="3" t="s">
        <v>164</v>
      </c>
      <c r="J1749" s="25" t="s">
        <v>92</v>
      </c>
      <c r="K1749" s="28">
        <v>4</v>
      </c>
      <c r="L1749" s="7">
        <v>42337</v>
      </c>
      <c r="M1749" s="28">
        <f>Table11[[#This Row],[Ship Date]]-Table11[[#This Row],[Order Date]]</f>
        <v>2</v>
      </c>
      <c r="N1749" s="25" t="s">
        <v>20</v>
      </c>
      <c r="O1749" s="25" t="s">
        <v>23</v>
      </c>
      <c r="P1749" s="25" t="s">
        <v>1101</v>
      </c>
      <c r="Q1749" s="25" t="s">
        <v>133</v>
      </c>
      <c r="R1749" s="25" t="s">
        <v>3613</v>
      </c>
      <c r="S1749" s="35">
        <v>0.3</v>
      </c>
      <c r="T1749" s="16">
        <v>446.06799999999998</v>
      </c>
      <c r="U1749" s="19">
        <v>0</v>
      </c>
      <c r="V1749" s="56">
        <f>Table11[[#This Row],[Profit]]/Table11[[#This Row],[Sales]]</f>
        <v>0</v>
      </c>
    </row>
    <row r="1750" spans="1:22" x14ac:dyDescent="0.2">
      <c r="A1750" s="4">
        <v>1749</v>
      </c>
      <c r="B1750" s="5" t="s">
        <v>845</v>
      </c>
      <c r="C1750" s="6">
        <v>42336</v>
      </c>
      <c r="D1750" s="27">
        <f>MONTH(Table11[[#This Row],[Order Date]])</f>
        <v>11</v>
      </c>
      <c r="E1750" s="5" t="s">
        <v>819</v>
      </c>
      <c r="F1750" s="5" t="s">
        <v>820</v>
      </c>
      <c r="G1750" s="24" t="s">
        <v>28</v>
      </c>
      <c r="H1750" s="24" t="s">
        <v>58</v>
      </c>
      <c r="I1750" s="5" t="s">
        <v>846</v>
      </c>
      <c r="J1750" s="24" t="s">
        <v>36</v>
      </c>
      <c r="K1750" s="27">
        <v>9</v>
      </c>
      <c r="L1750" s="6">
        <v>42342</v>
      </c>
      <c r="M1750" s="27">
        <f>Table11[[#This Row],[Ship Date]]-Table11[[#This Row],[Order Date]]</f>
        <v>6</v>
      </c>
      <c r="N1750" s="24" t="s">
        <v>45</v>
      </c>
      <c r="O1750" s="24" t="s">
        <v>23</v>
      </c>
      <c r="P1750" s="24" t="s">
        <v>189</v>
      </c>
      <c r="Q1750" s="24" t="s">
        <v>95</v>
      </c>
      <c r="R1750" s="24" t="s">
        <v>271</v>
      </c>
      <c r="S1750" s="34">
        <v>0.6</v>
      </c>
      <c r="T1750" s="15">
        <v>12.132</v>
      </c>
      <c r="U1750" s="18">
        <v>-8.4923999999999999</v>
      </c>
      <c r="V1750" s="56">
        <f>Table11[[#This Row],[Profit]]/Table11[[#This Row],[Sales]]</f>
        <v>-0.70000000000000007</v>
      </c>
    </row>
    <row r="1751" spans="1:22" x14ac:dyDescent="0.2">
      <c r="A1751" s="4">
        <v>1750</v>
      </c>
      <c r="B1751" s="3" t="s">
        <v>845</v>
      </c>
      <c r="C1751" s="7">
        <v>42336</v>
      </c>
      <c r="D1751" s="28">
        <f>MONTH(Table11[[#This Row],[Order Date]])</f>
        <v>11</v>
      </c>
      <c r="E1751" s="3" t="s">
        <v>847</v>
      </c>
      <c r="F1751" s="3" t="s">
        <v>848</v>
      </c>
      <c r="G1751" s="25" t="s">
        <v>41</v>
      </c>
      <c r="H1751" s="25" t="s">
        <v>53</v>
      </c>
      <c r="I1751" s="3" t="s">
        <v>846</v>
      </c>
      <c r="J1751" s="25" t="s">
        <v>36</v>
      </c>
      <c r="K1751" s="28">
        <v>2</v>
      </c>
      <c r="L1751" s="7">
        <v>42342</v>
      </c>
      <c r="M1751" s="28">
        <f>Table11[[#This Row],[Ship Date]]-Table11[[#This Row],[Order Date]]</f>
        <v>6</v>
      </c>
      <c r="N1751" s="25" t="s">
        <v>45</v>
      </c>
      <c r="O1751" s="25" t="s">
        <v>23</v>
      </c>
      <c r="P1751" s="25" t="s">
        <v>189</v>
      </c>
      <c r="Q1751" s="25" t="s">
        <v>95</v>
      </c>
      <c r="R1751" s="25" t="s">
        <v>271</v>
      </c>
      <c r="S1751" s="35">
        <v>0.2</v>
      </c>
      <c r="T1751" s="16">
        <v>82.367999999999995</v>
      </c>
      <c r="U1751" s="19">
        <v>-19.5624</v>
      </c>
      <c r="V1751" s="56">
        <f>Table11[[#This Row],[Profit]]/Table11[[#This Row],[Sales]]</f>
        <v>-0.23750000000000002</v>
      </c>
    </row>
    <row r="1752" spans="1:22" x14ac:dyDescent="0.2">
      <c r="A1752" s="2">
        <v>1751</v>
      </c>
      <c r="B1752" s="5" t="s">
        <v>845</v>
      </c>
      <c r="C1752" s="6">
        <v>42336</v>
      </c>
      <c r="D1752" s="27">
        <f>MONTH(Table11[[#This Row],[Order Date]])</f>
        <v>11</v>
      </c>
      <c r="E1752" s="5" t="s">
        <v>562</v>
      </c>
      <c r="F1752" s="5" t="s">
        <v>563</v>
      </c>
      <c r="G1752" s="24" t="s">
        <v>41</v>
      </c>
      <c r="H1752" s="24" t="s">
        <v>53</v>
      </c>
      <c r="I1752" s="5" t="s">
        <v>846</v>
      </c>
      <c r="J1752" s="24" t="s">
        <v>36</v>
      </c>
      <c r="K1752" s="27">
        <v>5</v>
      </c>
      <c r="L1752" s="6">
        <v>42342</v>
      </c>
      <c r="M1752" s="27">
        <f>Table11[[#This Row],[Ship Date]]-Table11[[#This Row],[Order Date]]</f>
        <v>6</v>
      </c>
      <c r="N1752" s="24" t="s">
        <v>45</v>
      </c>
      <c r="O1752" s="24" t="s">
        <v>23</v>
      </c>
      <c r="P1752" s="24" t="s">
        <v>189</v>
      </c>
      <c r="Q1752" s="24" t="s">
        <v>95</v>
      </c>
      <c r="R1752" s="24" t="s">
        <v>271</v>
      </c>
      <c r="S1752" s="34">
        <v>0.2</v>
      </c>
      <c r="T1752" s="15">
        <v>53.92</v>
      </c>
      <c r="U1752" s="18">
        <v>4.0439999999999996</v>
      </c>
      <c r="V1752" s="56">
        <f>Table11[[#This Row],[Profit]]/Table11[[#This Row],[Sales]]</f>
        <v>7.4999999999999983E-2</v>
      </c>
    </row>
    <row r="1753" spans="1:22" x14ac:dyDescent="0.2">
      <c r="A1753" s="4">
        <v>1752</v>
      </c>
      <c r="B1753" s="3" t="s">
        <v>845</v>
      </c>
      <c r="C1753" s="7">
        <v>42336</v>
      </c>
      <c r="D1753" s="28">
        <f>MONTH(Table11[[#This Row],[Order Date]])</f>
        <v>11</v>
      </c>
      <c r="E1753" s="3" t="s">
        <v>849</v>
      </c>
      <c r="F1753" s="3" t="s">
        <v>850</v>
      </c>
      <c r="G1753" s="25" t="s">
        <v>64</v>
      </c>
      <c r="H1753" s="25" t="s">
        <v>65</v>
      </c>
      <c r="I1753" s="3" t="s">
        <v>846</v>
      </c>
      <c r="J1753" s="25" t="s">
        <v>36</v>
      </c>
      <c r="K1753" s="28">
        <v>6</v>
      </c>
      <c r="L1753" s="7">
        <v>42342</v>
      </c>
      <c r="M1753" s="28">
        <f>Table11[[#This Row],[Ship Date]]-Table11[[#This Row],[Order Date]]</f>
        <v>6</v>
      </c>
      <c r="N1753" s="25" t="s">
        <v>45</v>
      </c>
      <c r="O1753" s="25" t="s">
        <v>23</v>
      </c>
      <c r="P1753" s="25" t="s">
        <v>189</v>
      </c>
      <c r="Q1753" s="25" t="s">
        <v>95</v>
      </c>
      <c r="R1753" s="25" t="s">
        <v>271</v>
      </c>
      <c r="S1753" s="35">
        <v>0.2</v>
      </c>
      <c r="T1753" s="16">
        <v>647.904</v>
      </c>
      <c r="U1753" s="19">
        <v>56.691600000000001</v>
      </c>
      <c r="V1753" s="56">
        <f>Table11[[#This Row],[Profit]]/Table11[[#This Row],[Sales]]</f>
        <v>8.7500000000000008E-2</v>
      </c>
    </row>
    <row r="1754" spans="1:22" x14ac:dyDescent="0.2">
      <c r="A1754" s="4">
        <v>1753</v>
      </c>
      <c r="B1754" s="5" t="s">
        <v>6294</v>
      </c>
      <c r="C1754" s="6">
        <v>42336</v>
      </c>
      <c r="D1754" s="27">
        <f>MONTH(Table11[[#This Row],[Order Date]])</f>
        <v>11</v>
      </c>
      <c r="E1754" s="5" t="s">
        <v>6296</v>
      </c>
      <c r="F1754" s="5" t="s">
        <v>6297</v>
      </c>
      <c r="G1754" s="24" t="s">
        <v>28</v>
      </c>
      <c r="H1754" s="24" t="s">
        <v>58</v>
      </c>
      <c r="I1754" s="5" t="s">
        <v>500</v>
      </c>
      <c r="J1754" s="24" t="s">
        <v>22</v>
      </c>
      <c r="K1754" s="27">
        <v>5</v>
      </c>
      <c r="L1754" s="6">
        <v>42341</v>
      </c>
      <c r="M1754" s="27">
        <f>Table11[[#This Row],[Ship Date]]-Table11[[#This Row],[Order Date]]</f>
        <v>5</v>
      </c>
      <c r="N1754" s="24" t="s">
        <v>45</v>
      </c>
      <c r="O1754" s="24" t="s">
        <v>23</v>
      </c>
      <c r="P1754" s="24" t="s">
        <v>189</v>
      </c>
      <c r="Q1754" s="24" t="s">
        <v>95</v>
      </c>
      <c r="R1754" s="24" t="s">
        <v>6295</v>
      </c>
      <c r="S1754" s="34">
        <v>0.6</v>
      </c>
      <c r="T1754" s="15">
        <v>151.96</v>
      </c>
      <c r="U1754" s="18">
        <v>-182.352</v>
      </c>
      <c r="V1754" s="56">
        <f>Table11[[#This Row],[Profit]]/Table11[[#This Row],[Sales]]</f>
        <v>-1.2</v>
      </c>
    </row>
    <row r="1755" spans="1:22" x14ac:dyDescent="0.2">
      <c r="A1755" s="2">
        <v>1754</v>
      </c>
      <c r="B1755" s="3" t="s">
        <v>6523</v>
      </c>
      <c r="C1755" s="7">
        <v>42336</v>
      </c>
      <c r="D1755" s="28">
        <f>MONTH(Table11[[#This Row],[Order Date]])</f>
        <v>11</v>
      </c>
      <c r="E1755" s="3" t="s">
        <v>798</v>
      </c>
      <c r="F1755" s="3" t="s">
        <v>799</v>
      </c>
      <c r="G1755" s="25" t="s">
        <v>28</v>
      </c>
      <c r="H1755" s="25" t="s">
        <v>58</v>
      </c>
      <c r="I1755" s="3" t="s">
        <v>4665</v>
      </c>
      <c r="J1755" s="25" t="s">
        <v>22</v>
      </c>
      <c r="K1755" s="28">
        <v>3</v>
      </c>
      <c r="L1755" s="7">
        <v>42342</v>
      </c>
      <c r="M1755" s="28">
        <f>Table11[[#This Row],[Ship Date]]-Table11[[#This Row],[Order Date]]</f>
        <v>6</v>
      </c>
      <c r="N1755" s="25" t="s">
        <v>45</v>
      </c>
      <c r="O1755" s="25" t="s">
        <v>23</v>
      </c>
      <c r="P1755" s="25" t="s">
        <v>238</v>
      </c>
      <c r="Q1755" s="25" t="s">
        <v>133</v>
      </c>
      <c r="R1755" s="25" t="s">
        <v>3271</v>
      </c>
      <c r="S1755" s="35">
        <v>0</v>
      </c>
      <c r="T1755" s="16">
        <v>322.58999999999997</v>
      </c>
      <c r="U1755" s="19">
        <v>64.518000000000001</v>
      </c>
      <c r="V1755" s="56">
        <f>Table11[[#This Row],[Profit]]/Table11[[#This Row],[Sales]]</f>
        <v>0.2</v>
      </c>
    </row>
    <row r="1756" spans="1:22" x14ac:dyDescent="0.2">
      <c r="A1756" s="4">
        <v>1755</v>
      </c>
      <c r="B1756" s="5" t="s">
        <v>7983</v>
      </c>
      <c r="C1756" s="6">
        <v>42336</v>
      </c>
      <c r="D1756" s="27">
        <f>MONTH(Table11[[#This Row],[Order Date]])</f>
        <v>11</v>
      </c>
      <c r="E1756" s="5" t="s">
        <v>767</v>
      </c>
      <c r="F1756" s="5" t="s">
        <v>768</v>
      </c>
      <c r="G1756" s="24" t="s">
        <v>28</v>
      </c>
      <c r="H1756" s="24" t="s">
        <v>58</v>
      </c>
      <c r="I1756" s="5" t="s">
        <v>3447</v>
      </c>
      <c r="J1756" s="24" t="s">
        <v>36</v>
      </c>
      <c r="K1756" s="27">
        <v>3</v>
      </c>
      <c r="L1756" s="6">
        <v>42341</v>
      </c>
      <c r="M1756" s="27">
        <f>Table11[[#This Row],[Ship Date]]-Table11[[#This Row],[Order Date]]</f>
        <v>5</v>
      </c>
      <c r="N1756" s="24" t="s">
        <v>45</v>
      </c>
      <c r="O1756" s="24" t="s">
        <v>23</v>
      </c>
      <c r="P1756" s="24" t="s">
        <v>238</v>
      </c>
      <c r="Q1756" s="24" t="s">
        <v>133</v>
      </c>
      <c r="R1756" s="24" t="s">
        <v>237</v>
      </c>
      <c r="S1756" s="34">
        <v>0</v>
      </c>
      <c r="T1756" s="15">
        <v>68.16</v>
      </c>
      <c r="U1756" s="18">
        <v>27.945599999999999</v>
      </c>
      <c r="V1756" s="56">
        <f>Table11[[#This Row],[Profit]]/Table11[[#This Row],[Sales]]</f>
        <v>0.41000000000000003</v>
      </c>
    </row>
    <row r="1757" spans="1:22" x14ac:dyDescent="0.2">
      <c r="A1757" s="4">
        <v>1756</v>
      </c>
      <c r="B1757" s="3" t="s">
        <v>7983</v>
      </c>
      <c r="C1757" s="7">
        <v>42336</v>
      </c>
      <c r="D1757" s="28">
        <f>MONTH(Table11[[#This Row],[Order Date]])</f>
        <v>11</v>
      </c>
      <c r="E1757" s="3" t="s">
        <v>2880</v>
      </c>
      <c r="F1757" s="3" t="s">
        <v>591</v>
      </c>
      <c r="G1757" s="25" t="s">
        <v>41</v>
      </c>
      <c r="H1757" s="25" t="s">
        <v>155</v>
      </c>
      <c r="I1757" s="3" t="s">
        <v>3447</v>
      </c>
      <c r="J1757" s="25" t="s">
        <v>36</v>
      </c>
      <c r="K1757" s="28">
        <v>8</v>
      </c>
      <c r="L1757" s="7">
        <v>42341</v>
      </c>
      <c r="M1757" s="28">
        <f>Table11[[#This Row],[Ship Date]]-Table11[[#This Row],[Order Date]]</f>
        <v>5</v>
      </c>
      <c r="N1757" s="25" t="s">
        <v>45</v>
      </c>
      <c r="O1757" s="25" t="s">
        <v>23</v>
      </c>
      <c r="P1757" s="25" t="s">
        <v>238</v>
      </c>
      <c r="Q1757" s="25" t="s">
        <v>133</v>
      </c>
      <c r="R1757" s="25" t="s">
        <v>237</v>
      </c>
      <c r="S1757" s="35">
        <v>0</v>
      </c>
      <c r="T1757" s="16">
        <v>62.24</v>
      </c>
      <c r="U1757" s="19">
        <v>29.252800000000001</v>
      </c>
      <c r="V1757" s="56">
        <f>Table11[[#This Row],[Profit]]/Table11[[#This Row],[Sales]]</f>
        <v>0.47</v>
      </c>
    </row>
    <row r="1758" spans="1:22" x14ac:dyDescent="0.2">
      <c r="A1758" s="2">
        <v>1757</v>
      </c>
      <c r="B1758" s="5" t="s">
        <v>9475</v>
      </c>
      <c r="C1758" s="6">
        <v>42336</v>
      </c>
      <c r="D1758" s="27">
        <f>MONTH(Table11[[#This Row],[Order Date]])</f>
        <v>11</v>
      </c>
      <c r="E1758" s="5" t="s">
        <v>2253</v>
      </c>
      <c r="F1758" s="5" t="s">
        <v>2254</v>
      </c>
      <c r="G1758" s="24" t="s">
        <v>41</v>
      </c>
      <c r="H1758" s="24" t="s">
        <v>82</v>
      </c>
      <c r="I1758" s="5" t="s">
        <v>3227</v>
      </c>
      <c r="J1758" s="24" t="s">
        <v>22</v>
      </c>
      <c r="K1758" s="27">
        <v>4</v>
      </c>
      <c r="L1758" s="6">
        <v>42340</v>
      </c>
      <c r="M1758" s="27">
        <f>Table11[[#This Row],[Ship Date]]-Table11[[#This Row],[Order Date]]</f>
        <v>4</v>
      </c>
      <c r="N1758" s="24" t="s">
        <v>45</v>
      </c>
      <c r="O1758" s="24" t="s">
        <v>23</v>
      </c>
      <c r="P1758" s="24" t="s">
        <v>94</v>
      </c>
      <c r="Q1758" s="24" t="s">
        <v>95</v>
      </c>
      <c r="R1758" s="24" t="s">
        <v>1095</v>
      </c>
      <c r="S1758" s="34">
        <v>0.2</v>
      </c>
      <c r="T1758" s="15">
        <v>335.52</v>
      </c>
      <c r="U1758" s="18">
        <v>117.432</v>
      </c>
      <c r="V1758" s="56">
        <f>Table11[[#This Row],[Profit]]/Table11[[#This Row],[Sales]]</f>
        <v>0.35000000000000003</v>
      </c>
    </row>
    <row r="1759" spans="1:22" x14ac:dyDescent="0.2">
      <c r="A1759" s="4">
        <v>1758</v>
      </c>
      <c r="B1759" s="3" t="s">
        <v>9656</v>
      </c>
      <c r="C1759" s="7">
        <v>42336</v>
      </c>
      <c r="D1759" s="28">
        <f>MONTH(Table11[[#This Row],[Order Date]])</f>
        <v>11</v>
      </c>
      <c r="E1759" s="3" t="s">
        <v>599</v>
      </c>
      <c r="F1759" s="3" t="s">
        <v>600</v>
      </c>
      <c r="G1759" s="25" t="s">
        <v>41</v>
      </c>
      <c r="H1759" s="25" t="s">
        <v>61</v>
      </c>
      <c r="I1759" s="3" t="s">
        <v>5484</v>
      </c>
      <c r="J1759" s="25" t="s">
        <v>92</v>
      </c>
      <c r="K1759" s="28">
        <v>2</v>
      </c>
      <c r="L1759" s="7">
        <v>42341</v>
      </c>
      <c r="M1759" s="28">
        <f>Table11[[#This Row],[Ship Date]]-Table11[[#This Row],[Order Date]]</f>
        <v>5</v>
      </c>
      <c r="N1759" s="25" t="s">
        <v>45</v>
      </c>
      <c r="O1759" s="25" t="s">
        <v>23</v>
      </c>
      <c r="P1759" s="25" t="s">
        <v>589</v>
      </c>
      <c r="Q1759" s="25" t="s">
        <v>39</v>
      </c>
      <c r="R1759" s="25" t="s">
        <v>5241</v>
      </c>
      <c r="S1759" s="35">
        <v>0</v>
      </c>
      <c r="T1759" s="16">
        <v>8.2799999999999994</v>
      </c>
      <c r="U1759" s="19">
        <v>3.4775999999999998</v>
      </c>
      <c r="V1759" s="56">
        <f>Table11[[#This Row],[Profit]]/Table11[[#This Row],[Sales]]</f>
        <v>0.42</v>
      </c>
    </row>
    <row r="1760" spans="1:22" x14ac:dyDescent="0.2">
      <c r="A1760" s="4">
        <v>1759</v>
      </c>
      <c r="B1760" s="5" t="s">
        <v>9770</v>
      </c>
      <c r="C1760" s="6">
        <v>42336</v>
      </c>
      <c r="D1760" s="27">
        <f>MONTH(Table11[[#This Row],[Order Date]])</f>
        <v>11</v>
      </c>
      <c r="E1760" s="5" t="s">
        <v>6484</v>
      </c>
      <c r="F1760" s="5" t="s">
        <v>6485</v>
      </c>
      <c r="G1760" s="24" t="s">
        <v>41</v>
      </c>
      <c r="H1760" s="24" t="s">
        <v>71</v>
      </c>
      <c r="I1760" s="5" t="s">
        <v>1670</v>
      </c>
      <c r="J1760" s="24" t="s">
        <v>22</v>
      </c>
      <c r="K1760" s="27">
        <v>4</v>
      </c>
      <c r="L1760" s="6">
        <v>42338</v>
      </c>
      <c r="M1760" s="27">
        <f>Table11[[#This Row],[Ship Date]]-Table11[[#This Row],[Order Date]]</f>
        <v>2</v>
      </c>
      <c r="N1760" s="24" t="s">
        <v>169</v>
      </c>
      <c r="O1760" s="24" t="s">
        <v>23</v>
      </c>
      <c r="P1760" s="24" t="s">
        <v>38</v>
      </c>
      <c r="Q1760" s="24" t="s">
        <v>39</v>
      </c>
      <c r="R1760" s="24" t="s">
        <v>114</v>
      </c>
      <c r="S1760" s="34">
        <v>0</v>
      </c>
      <c r="T1760" s="15">
        <v>45.28</v>
      </c>
      <c r="U1760" s="18">
        <v>15.395200000000001</v>
      </c>
      <c r="V1760" s="56">
        <f>Table11[[#This Row],[Profit]]/Table11[[#This Row],[Sales]]</f>
        <v>0.34</v>
      </c>
    </row>
    <row r="1761" spans="1:22" x14ac:dyDescent="0.2">
      <c r="A1761" s="2">
        <v>1760</v>
      </c>
      <c r="B1761" s="3" t="s">
        <v>9910</v>
      </c>
      <c r="C1761" s="7">
        <v>42336</v>
      </c>
      <c r="D1761" s="28">
        <f>MONTH(Table11[[#This Row],[Order Date]])</f>
        <v>11</v>
      </c>
      <c r="E1761" s="3" t="s">
        <v>367</v>
      </c>
      <c r="F1761" s="3" t="s">
        <v>368</v>
      </c>
      <c r="G1761" s="25" t="s">
        <v>28</v>
      </c>
      <c r="H1761" s="25" t="s">
        <v>58</v>
      </c>
      <c r="I1761" s="3" t="s">
        <v>5654</v>
      </c>
      <c r="J1761" s="25" t="s">
        <v>22</v>
      </c>
      <c r="K1761" s="28">
        <v>5</v>
      </c>
      <c r="L1761" s="7">
        <v>42340</v>
      </c>
      <c r="M1761" s="28">
        <f>Table11[[#This Row],[Ship Date]]-Table11[[#This Row],[Order Date]]</f>
        <v>4</v>
      </c>
      <c r="N1761" s="25" t="s">
        <v>45</v>
      </c>
      <c r="O1761" s="25" t="s">
        <v>23</v>
      </c>
      <c r="P1761" s="25" t="s">
        <v>441</v>
      </c>
      <c r="Q1761" s="25" t="s">
        <v>133</v>
      </c>
      <c r="R1761" s="25" t="s">
        <v>440</v>
      </c>
      <c r="S1761" s="35">
        <v>0.2</v>
      </c>
      <c r="T1761" s="16">
        <v>71.12</v>
      </c>
      <c r="U1761" s="19">
        <v>9.7789999999999999</v>
      </c>
      <c r="V1761" s="56">
        <f>Table11[[#This Row],[Profit]]/Table11[[#This Row],[Sales]]</f>
        <v>0.13749999999999998</v>
      </c>
    </row>
    <row r="1762" spans="1:22" x14ac:dyDescent="0.2">
      <c r="A1762" s="4">
        <v>1761</v>
      </c>
      <c r="B1762" s="5" t="s">
        <v>9910</v>
      </c>
      <c r="C1762" s="6">
        <v>42336</v>
      </c>
      <c r="D1762" s="27">
        <f>MONTH(Table11[[#This Row],[Order Date]])</f>
        <v>11</v>
      </c>
      <c r="E1762" s="5" t="s">
        <v>3520</v>
      </c>
      <c r="F1762" s="5" t="s">
        <v>498</v>
      </c>
      <c r="G1762" s="24" t="s">
        <v>41</v>
      </c>
      <c r="H1762" s="24" t="s">
        <v>240</v>
      </c>
      <c r="I1762" s="5" t="s">
        <v>5654</v>
      </c>
      <c r="J1762" s="24" t="s">
        <v>22</v>
      </c>
      <c r="K1762" s="27">
        <v>2</v>
      </c>
      <c r="L1762" s="6">
        <v>42340</v>
      </c>
      <c r="M1762" s="27">
        <f>Table11[[#This Row],[Ship Date]]-Table11[[#This Row],[Order Date]]</f>
        <v>4</v>
      </c>
      <c r="N1762" s="24" t="s">
        <v>45</v>
      </c>
      <c r="O1762" s="24" t="s">
        <v>23</v>
      </c>
      <c r="P1762" s="24" t="s">
        <v>441</v>
      </c>
      <c r="Q1762" s="24" t="s">
        <v>133</v>
      </c>
      <c r="R1762" s="24" t="s">
        <v>440</v>
      </c>
      <c r="S1762" s="34">
        <v>0.2</v>
      </c>
      <c r="T1762" s="15">
        <v>3.008</v>
      </c>
      <c r="U1762" s="18">
        <v>0.56399999999999995</v>
      </c>
      <c r="V1762" s="56">
        <f>Table11[[#This Row],[Profit]]/Table11[[#This Row],[Sales]]</f>
        <v>0.18749999999999997</v>
      </c>
    </row>
    <row r="1763" spans="1:22" x14ac:dyDescent="0.2">
      <c r="A1763" s="4">
        <v>1762</v>
      </c>
      <c r="B1763" s="3" t="s">
        <v>1813</v>
      </c>
      <c r="C1763" s="7">
        <v>42337</v>
      </c>
      <c r="D1763" s="28">
        <f>MONTH(Table11[[#This Row],[Order Date]])</f>
        <v>11</v>
      </c>
      <c r="E1763" s="3" t="s">
        <v>1816</v>
      </c>
      <c r="F1763" s="3" t="s">
        <v>1817</v>
      </c>
      <c r="G1763" s="25" t="s">
        <v>28</v>
      </c>
      <c r="H1763" s="25" t="s">
        <v>32</v>
      </c>
      <c r="I1763" s="3" t="s">
        <v>1814</v>
      </c>
      <c r="J1763" s="25" t="s">
        <v>36</v>
      </c>
      <c r="K1763" s="28">
        <v>2</v>
      </c>
      <c r="L1763" s="7">
        <v>42341</v>
      </c>
      <c r="M1763" s="28">
        <f>Table11[[#This Row],[Ship Date]]-Table11[[#This Row],[Order Date]]</f>
        <v>4</v>
      </c>
      <c r="N1763" s="25" t="s">
        <v>45</v>
      </c>
      <c r="O1763" s="25" t="s">
        <v>23</v>
      </c>
      <c r="P1763" s="25" t="s">
        <v>212</v>
      </c>
      <c r="Q1763" s="25" t="s">
        <v>95</v>
      </c>
      <c r="R1763" s="25" t="s">
        <v>1815</v>
      </c>
      <c r="S1763" s="35">
        <v>0</v>
      </c>
      <c r="T1763" s="16">
        <v>301.95999999999998</v>
      </c>
      <c r="U1763" s="19">
        <v>87.568399999999997</v>
      </c>
      <c r="V1763" s="56">
        <f>Table11[[#This Row],[Profit]]/Table11[[#This Row],[Sales]]</f>
        <v>0.29000000000000004</v>
      </c>
    </row>
    <row r="1764" spans="1:22" x14ac:dyDescent="0.2">
      <c r="A1764" s="2">
        <v>1763</v>
      </c>
      <c r="B1764" s="5" t="s">
        <v>1813</v>
      </c>
      <c r="C1764" s="6">
        <v>42337</v>
      </c>
      <c r="D1764" s="27">
        <f>MONTH(Table11[[#This Row],[Order Date]])</f>
        <v>11</v>
      </c>
      <c r="E1764" s="5" t="s">
        <v>1818</v>
      </c>
      <c r="F1764" s="5" t="s">
        <v>1819</v>
      </c>
      <c r="G1764" s="24" t="s">
        <v>41</v>
      </c>
      <c r="H1764" s="24" t="s">
        <v>71</v>
      </c>
      <c r="I1764" s="5" t="s">
        <v>1814</v>
      </c>
      <c r="J1764" s="24" t="s">
        <v>36</v>
      </c>
      <c r="K1764" s="27">
        <v>5</v>
      </c>
      <c r="L1764" s="6">
        <v>42341</v>
      </c>
      <c r="M1764" s="27">
        <f>Table11[[#This Row],[Ship Date]]-Table11[[#This Row],[Order Date]]</f>
        <v>4</v>
      </c>
      <c r="N1764" s="24" t="s">
        <v>45</v>
      </c>
      <c r="O1764" s="24" t="s">
        <v>23</v>
      </c>
      <c r="P1764" s="24" t="s">
        <v>212</v>
      </c>
      <c r="Q1764" s="24" t="s">
        <v>95</v>
      </c>
      <c r="R1764" s="24" t="s">
        <v>1815</v>
      </c>
      <c r="S1764" s="34">
        <v>0.1</v>
      </c>
      <c r="T1764" s="15">
        <v>555.21</v>
      </c>
      <c r="U1764" s="18">
        <v>178.90100000000001</v>
      </c>
      <c r="V1764" s="56">
        <f>Table11[[#This Row],[Profit]]/Table11[[#This Row],[Sales]]</f>
        <v>0.32222222222222224</v>
      </c>
    </row>
    <row r="1765" spans="1:22" x14ac:dyDescent="0.2">
      <c r="A1765" s="4">
        <v>1764</v>
      </c>
      <c r="B1765" s="3" t="s">
        <v>1813</v>
      </c>
      <c r="C1765" s="7">
        <v>42337</v>
      </c>
      <c r="D1765" s="28">
        <f>MONTH(Table11[[#This Row],[Order Date]])</f>
        <v>11</v>
      </c>
      <c r="E1765" s="3" t="s">
        <v>1820</v>
      </c>
      <c r="F1765" s="3" t="s">
        <v>1821</v>
      </c>
      <c r="G1765" s="25" t="s">
        <v>41</v>
      </c>
      <c r="H1765" s="25" t="s">
        <v>53</v>
      </c>
      <c r="I1765" s="3" t="s">
        <v>1814</v>
      </c>
      <c r="J1765" s="25" t="s">
        <v>36</v>
      </c>
      <c r="K1765" s="28">
        <v>4</v>
      </c>
      <c r="L1765" s="7">
        <v>42341</v>
      </c>
      <c r="M1765" s="28">
        <f>Table11[[#This Row],[Ship Date]]-Table11[[#This Row],[Order Date]]</f>
        <v>4</v>
      </c>
      <c r="N1765" s="25" t="s">
        <v>45</v>
      </c>
      <c r="O1765" s="25" t="s">
        <v>23</v>
      </c>
      <c r="P1765" s="25" t="s">
        <v>212</v>
      </c>
      <c r="Q1765" s="25" t="s">
        <v>95</v>
      </c>
      <c r="R1765" s="25" t="s">
        <v>1815</v>
      </c>
      <c r="S1765" s="35">
        <v>0</v>
      </c>
      <c r="T1765" s="16">
        <v>523.48</v>
      </c>
      <c r="U1765" s="19">
        <v>130.87</v>
      </c>
      <c r="V1765" s="56">
        <f>Table11[[#This Row],[Profit]]/Table11[[#This Row],[Sales]]</f>
        <v>0.25</v>
      </c>
    </row>
    <row r="1766" spans="1:22" x14ac:dyDescent="0.2">
      <c r="A1766" s="4">
        <v>1765</v>
      </c>
      <c r="B1766" s="5" t="s">
        <v>1813</v>
      </c>
      <c r="C1766" s="6">
        <v>42337</v>
      </c>
      <c r="D1766" s="27">
        <f>MONTH(Table11[[#This Row],[Order Date]])</f>
        <v>11</v>
      </c>
      <c r="E1766" s="5" t="s">
        <v>157</v>
      </c>
      <c r="F1766" s="5" t="s">
        <v>158</v>
      </c>
      <c r="G1766" s="24" t="s">
        <v>41</v>
      </c>
      <c r="H1766" s="24" t="s">
        <v>61</v>
      </c>
      <c r="I1766" s="5" t="s">
        <v>1814</v>
      </c>
      <c r="J1766" s="24" t="s">
        <v>36</v>
      </c>
      <c r="K1766" s="27">
        <v>9</v>
      </c>
      <c r="L1766" s="6">
        <v>42341</v>
      </c>
      <c r="M1766" s="27">
        <f>Table11[[#This Row],[Ship Date]]-Table11[[#This Row],[Order Date]]</f>
        <v>4</v>
      </c>
      <c r="N1766" s="24" t="s">
        <v>45</v>
      </c>
      <c r="O1766" s="24" t="s">
        <v>23</v>
      </c>
      <c r="P1766" s="24" t="s">
        <v>212</v>
      </c>
      <c r="Q1766" s="24" t="s">
        <v>95</v>
      </c>
      <c r="R1766" s="24" t="s">
        <v>1815</v>
      </c>
      <c r="S1766" s="34">
        <v>0</v>
      </c>
      <c r="T1766" s="15">
        <v>161.82</v>
      </c>
      <c r="U1766" s="18">
        <v>46.927799999999998</v>
      </c>
      <c r="V1766" s="56">
        <f>Table11[[#This Row],[Profit]]/Table11[[#This Row],[Sales]]</f>
        <v>0.28999999999999998</v>
      </c>
    </row>
    <row r="1767" spans="1:22" x14ac:dyDescent="0.2">
      <c r="A1767" s="2">
        <v>1766</v>
      </c>
      <c r="B1767" s="3" t="s">
        <v>2800</v>
      </c>
      <c r="C1767" s="7">
        <v>42337</v>
      </c>
      <c r="D1767" s="28">
        <f>MONTH(Table11[[#This Row],[Order Date]])</f>
        <v>11</v>
      </c>
      <c r="E1767" s="3" t="s">
        <v>2802</v>
      </c>
      <c r="F1767" s="3" t="s">
        <v>167</v>
      </c>
      <c r="G1767" s="25" t="s">
        <v>41</v>
      </c>
      <c r="H1767" s="25" t="s">
        <v>82</v>
      </c>
      <c r="I1767" s="3" t="s">
        <v>2801</v>
      </c>
      <c r="J1767" s="25" t="s">
        <v>36</v>
      </c>
      <c r="K1767" s="28">
        <v>4</v>
      </c>
      <c r="L1767" s="7">
        <v>42342</v>
      </c>
      <c r="M1767" s="28">
        <f>Table11[[#This Row],[Ship Date]]-Table11[[#This Row],[Order Date]]</f>
        <v>5</v>
      </c>
      <c r="N1767" s="25" t="s">
        <v>45</v>
      </c>
      <c r="O1767" s="25" t="s">
        <v>23</v>
      </c>
      <c r="P1767" s="25" t="s">
        <v>212</v>
      </c>
      <c r="Q1767" s="25" t="s">
        <v>95</v>
      </c>
      <c r="R1767" s="25" t="s">
        <v>775</v>
      </c>
      <c r="S1767" s="35">
        <v>0</v>
      </c>
      <c r="T1767" s="16">
        <v>19.920000000000002</v>
      </c>
      <c r="U1767" s="19">
        <v>9.3623999999999992</v>
      </c>
      <c r="V1767" s="56">
        <f>Table11[[#This Row],[Profit]]/Table11[[#This Row],[Sales]]</f>
        <v>0.46999999999999992</v>
      </c>
    </row>
    <row r="1768" spans="1:22" x14ac:dyDescent="0.2">
      <c r="A1768" s="4">
        <v>1767</v>
      </c>
      <c r="B1768" s="5" t="s">
        <v>2800</v>
      </c>
      <c r="C1768" s="6">
        <v>42337</v>
      </c>
      <c r="D1768" s="27">
        <f>MONTH(Table11[[#This Row],[Order Date]])</f>
        <v>11</v>
      </c>
      <c r="E1768" s="5" t="s">
        <v>2803</v>
      </c>
      <c r="F1768" s="5" t="s">
        <v>2804</v>
      </c>
      <c r="G1768" s="24" t="s">
        <v>28</v>
      </c>
      <c r="H1768" s="24" t="s">
        <v>32</v>
      </c>
      <c r="I1768" s="5" t="s">
        <v>2801</v>
      </c>
      <c r="J1768" s="24" t="s">
        <v>36</v>
      </c>
      <c r="K1768" s="27">
        <v>9</v>
      </c>
      <c r="L1768" s="6">
        <v>42342</v>
      </c>
      <c r="M1768" s="27">
        <f>Table11[[#This Row],[Ship Date]]-Table11[[#This Row],[Order Date]]</f>
        <v>5</v>
      </c>
      <c r="N1768" s="24" t="s">
        <v>45</v>
      </c>
      <c r="O1768" s="24" t="s">
        <v>23</v>
      </c>
      <c r="P1768" s="24" t="s">
        <v>212</v>
      </c>
      <c r="Q1768" s="24" t="s">
        <v>95</v>
      </c>
      <c r="R1768" s="24" t="s">
        <v>775</v>
      </c>
      <c r="S1768" s="34">
        <v>0</v>
      </c>
      <c r="T1768" s="15">
        <v>1106.9100000000001</v>
      </c>
      <c r="U1768" s="18">
        <v>121.76009999999999</v>
      </c>
      <c r="V1768" s="56">
        <f>Table11[[#This Row],[Profit]]/Table11[[#This Row],[Sales]]</f>
        <v>0.10999999999999999</v>
      </c>
    </row>
    <row r="1769" spans="1:22" x14ac:dyDescent="0.2">
      <c r="A1769" s="4">
        <v>1768</v>
      </c>
      <c r="B1769" s="3" t="s">
        <v>3661</v>
      </c>
      <c r="C1769" s="7">
        <v>42337</v>
      </c>
      <c r="D1769" s="28">
        <f>MONTH(Table11[[#This Row],[Order Date]])</f>
        <v>11</v>
      </c>
      <c r="E1769" s="3" t="s">
        <v>3664</v>
      </c>
      <c r="F1769" s="3" t="s">
        <v>3665</v>
      </c>
      <c r="G1769" s="25" t="s">
        <v>64</v>
      </c>
      <c r="H1769" s="25" t="s">
        <v>144</v>
      </c>
      <c r="I1769" s="3" t="s">
        <v>3662</v>
      </c>
      <c r="J1769" s="25" t="s">
        <v>22</v>
      </c>
      <c r="K1769" s="28">
        <v>3</v>
      </c>
      <c r="L1769" s="7">
        <v>42338</v>
      </c>
      <c r="M1769" s="28">
        <f>Table11[[#This Row],[Ship Date]]-Table11[[#This Row],[Order Date]]</f>
        <v>1</v>
      </c>
      <c r="N1769" s="25" t="s">
        <v>169</v>
      </c>
      <c r="O1769" s="25" t="s">
        <v>23</v>
      </c>
      <c r="P1769" s="25" t="s">
        <v>94</v>
      </c>
      <c r="Q1769" s="25" t="s">
        <v>95</v>
      </c>
      <c r="R1769" s="25" t="s">
        <v>3663</v>
      </c>
      <c r="S1769" s="35">
        <v>0.2</v>
      </c>
      <c r="T1769" s="16">
        <v>21.48</v>
      </c>
      <c r="U1769" s="19">
        <v>-0.26850000000000002</v>
      </c>
      <c r="V1769" s="56">
        <f>Table11[[#This Row],[Profit]]/Table11[[#This Row],[Sales]]</f>
        <v>-1.2500000000000001E-2</v>
      </c>
    </row>
    <row r="1770" spans="1:22" x14ac:dyDescent="0.2">
      <c r="A1770" s="2">
        <v>1769</v>
      </c>
      <c r="B1770" s="5" t="s">
        <v>3661</v>
      </c>
      <c r="C1770" s="6">
        <v>42337</v>
      </c>
      <c r="D1770" s="27">
        <f>MONTH(Table11[[#This Row],[Order Date]])</f>
        <v>11</v>
      </c>
      <c r="E1770" s="5" t="s">
        <v>3666</v>
      </c>
      <c r="F1770" s="5" t="s">
        <v>3667</v>
      </c>
      <c r="G1770" s="24" t="s">
        <v>41</v>
      </c>
      <c r="H1770" s="24" t="s">
        <v>68</v>
      </c>
      <c r="I1770" s="5" t="s">
        <v>3662</v>
      </c>
      <c r="J1770" s="24" t="s">
        <v>22</v>
      </c>
      <c r="K1770" s="27">
        <v>4</v>
      </c>
      <c r="L1770" s="6">
        <v>42338</v>
      </c>
      <c r="M1770" s="27">
        <f>Table11[[#This Row],[Ship Date]]-Table11[[#This Row],[Order Date]]</f>
        <v>1</v>
      </c>
      <c r="N1770" s="24" t="s">
        <v>169</v>
      </c>
      <c r="O1770" s="24" t="s">
        <v>23</v>
      </c>
      <c r="P1770" s="24" t="s">
        <v>94</v>
      </c>
      <c r="Q1770" s="24" t="s">
        <v>95</v>
      </c>
      <c r="R1770" s="24" t="s">
        <v>3663</v>
      </c>
      <c r="S1770" s="34">
        <v>0.8</v>
      </c>
      <c r="T1770" s="15">
        <v>8.7840000000000007</v>
      </c>
      <c r="U1770" s="18">
        <v>-13.6152</v>
      </c>
      <c r="V1770" s="56">
        <f>Table11[[#This Row],[Profit]]/Table11[[#This Row],[Sales]]</f>
        <v>-1.5499999999999998</v>
      </c>
    </row>
    <row r="1771" spans="1:22" x14ac:dyDescent="0.2">
      <c r="A1771" s="4">
        <v>1770</v>
      </c>
      <c r="B1771" s="3" t="s">
        <v>5930</v>
      </c>
      <c r="C1771" s="7">
        <v>42337</v>
      </c>
      <c r="D1771" s="28">
        <f>MONTH(Table11[[#This Row],[Order Date]])</f>
        <v>11</v>
      </c>
      <c r="E1771" s="3" t="s">
        <v>263</v>
      </c>
      <c r="F1771" s="3" t="s">
        <v>264</v>
      </c>
      <c r="G1771" s="25" t="s">
        <v>41</v>
      </c>
      <c r="H1771" s="25" t="s">
        <v>68</v>
      </c>
      <c r="I1771" s="3" t="s">
        <v>2080</v>
      </c>
      <c r="J1771" s="25" t="s">
        <v>92</v>
      </c>
      <c r="K1771" s="28">
        <v>1</v>
      </c>
      <c r="L1771" s="7">
        <v>42338</v>
      </c>
      <c r="M1771" s="28">
        <f>Table11[[#This Row],[Ship Date]]-Table11[[#This Row],[Order Date]]</f>
        <v>1</v>
      </c>
      <c r="N1771" s="25" t="s">
        <v>1141</v>
      </c>
      <c r="O1771" s="25" t="s">
        <v>23</v>
      </c>
      <c r="P1771" s="25" t="s">
        <v>38</v>
      </c>
      <c r="Q1771" s="25" t="s">
        <v>39</v>
      </c>
      <c r="R1771" s="25" t="s">
        <v>114</v>
      </c>
      <c r="S1771" s="35">
        <v>0.2</v>
      </c>
      <c r="T1771" s="16">
        <v>4.3040000000000003</v>
      </c>
      <c r="U1771" s="19">
        <v>1.5602</v>
      </c>
      <c r="V1771" s="56">
        <f>Table11[[#This Row],[Profit]]/Table11[[#This Row],[Sales]]</f>
        <v>0.36249999999999999</v>
      </c>
    </row>
    <row r="1772" spans="1:22" x14ac:dyDescent="0.2">
      <c r="A1772" s="4">
        <v>1771</v>
      </c>
      <c r="B1772" s="5" t="s">
        <v>6542</v>
      </c>
      <c r="C1772" s="6">
        <v>42337</v>
      </c>
      <c r="D1772" s="27">
        <f>MONTH(Table11[[#This Row],[Order Date]])</f>
        <v>11</v>
      </c>
      <c r="E1772" s="5" t="s">
        <v>5564</v>
      </c>
      <c r="F1772" s="5" t="s">
        <v>5565</v>
      </c>
      <c r="G1772" s="24" t="s">
        <v>41</v>
      </c>
      <c r="H1772" s="24" t="s">
        <v>61</v>
      </c>
      <c r="I1772" s="5" t="s">
        <v>6543</v>
      </c>
      <c r="J1772" s="24" t="s">
        <v>92</v>
      </c>
      <c r="K1772" s="27">
        <v>2</v>
      </c>
      <c r="L1772" s="6">
        <v>42338</v>
      </c>
      <c r="M1772" s="27">
        <f>Table11[[#This Row],[Ship Date]]-Table11[[#This Row],[Order Date]]</f>
        <v>1</v>
      </c>
      <c r="N1772" s="24" t="s">
        <v>169</v>
      </c>
      <c r="O1772" s="24" t="s">
        <v>23</v>
      </c>
      <c r="P1772" s="24" t="s">
        <v>38</v>
      </c>
      <c r="Q1772" s="24" t="s">
        <v>39</v>
      </c>
      <c r="R1772" s="24" t="s">
        <v>2237</v>
      </c>
      <c r="S1772" s="34">
        <v>0</v>
      </c>
      <c r="T1772" s="15">
        <v>56.3</v>
      </c>
      <c r="U1772" s="18">
        <v>15.763999999999999</v>
      </c>
      <c r="V1772" s="56">
        <f>Table11[[#This Row],[Profit]]/Table11[[#This Row],[Sales]]</f>
        <v>0.28000000000000003</v>
      </c>
    </row>
    <row r="1773" spans="1:22" x14ac:dyDescent="0.2">
      <c r="A1773" s="2">
        <v>1772</v>
      </c>
      <c r="B1773" s="3" t="s">
        <v>4483</v>
      </c>
      <c r="C1773" s="7">
        <v>42338</v>
      </c>
      <c r="D1773" s="28">
        <f>MONTH(Table11[[#This Row],[Order Date]])</f>
        <v>11</v>
      </c>
      <c r="E1773" s="3" t="s">
        <v>88</v>
      </c>
      <c r="F1773" s="3" t="s">
        <v>89</v>
      </c>
      <c r="G1773" s="25" t="s">
        <v>41</v>
      </c>
      <c r="H1773" s="25" t="s">
        <v>68</v>
      </c>
      <c r="I1773" s="3" t="s">
        <v>4484</v>
      </c>
      <c r="J1773" s="25" t="s">
        <v>22</v>
      </c>
      <c r="K1773" s="28">
        <v>3</v>
      </c>
      <c r="L1773" s="7">
        <v>42342</v>
      </c>
      <c r="M1773" s="28">
        <f>Table11[[#This Row],[Ship Date]]-Table11[[#This Row],[Order Date]]</f>
        <v>4</v>
      </c>
      <c r="N1773" s="25" t="s">
        <v>45</v>
      </c>
      <c r="O1773" s="25" t="s">
        <v>23</v>
      </c>
      <c r="P1773" s="25" t="s">
        <v>132</v>
      </c>
      <c r="Q1773" s="25" t="s">
        <v>133</v>
      </c>
      <c r="R1773" s="25" t="s">
        <v>131</v>
      </c>
      <c r="S1773" s="35">
        <v>0.7</v>
      </c>
      <c r="T1773" s="16">
        <v>152.99100000000001</v>
      </c>
      <c r="U1773" s="19">
        <v>-122.39279999999999</v>
      </c>
      <c r="V1773" s="56">
        <f>Table11[[#This Row],[Profit]]/Table11[[#This Row],[Sales]]</f>
        <v>-0.79999999999999993</v>
      </c>
    </row>
    <row r="1774" spans="1:22" x14ac:dyDescent="0.2">
      <c r="A1774" s="4">
        <v>1773</v>
      </c>
      <c r="B1774" s="5" t="s">
        <v>4483</v>
      </c>
      <c r="C1774" s="6">
        <v>42338</v>
      </c>
      <c r="D1774" s="27">
        <f>MONTH(Table11[[#This Row],[Order Date]])</f>
        <v>11</v>
      </c>
      <c r="E1774" s="5" t="s">
        <v>3348</v>
      </c>
      <c r="F1774" s="5" t="s">
        <v>3349</v>
      </c>
      <c r="G1774" s="24" t="s">
        <v>41</v>
      </c>
      <c r="H1774" s="24" t="s">
        <v>240</v>
      </c>
      <c r="I1774" s="5" t="s">
        <v>4484</v>
      </c>
      <c r="J1774" s="24" t="s">
        <v>22</v>
      </c>
      <c r="K1774" s="27">
        <v>7</v>
      </c>
      <c r="L1774" s="6">
        <v>42342</v>
      </c>
      <c r="M1774" s="27">
        <f>Table11[[#This Row],[Ship Date]]-Table11[[#This Row],[Order Date]]</f>
        <v>4</v>
      </c>
      <c r="N1774" s="24" t="s">
        <v>45</v>
      </c>
      <c r="O1774" s="24" t="s">
        <v>23</v>
      </c>
      <c r="P1774" s="24" t="s">
        <v>132</v>
      </c>
      <c r="Q1774" s="24" t="s">
        <v>133</v>
      </c>
      <c r="R1774" s="24" t="s">
        <v>131</v>
      </c>
      <c r="S1774" s="34">
        <v>0.2</v>
      </c>
      <c r="T1774" s="15">
        <v>10.584</v>
      </c>
      <c r="U1774" s="18">
        <v>-2.3814000000000002</v>
      </c>
      <c r="V1774" s="56">
        <f>Table11[[#This Row],[Profit]]/Table11[[#This Row],[Sales]]</f>
        <v>-0.22500000000000003</v>
      </c>
    </row>
    <row r="1775" spans="1:22" x14ac:dyDescent="0.2">
      <c r="A1775" s="4">
        <v>1774</v>
      </c>
      <c r="B1775" s="3" t="s">
        <v>4483</v>
      </c>
      <c r="C1775" s="7">
        <v>42338</v>
      </c>
      <c r="D1775" s="28">
        <f>MONTH(Table11[[#This Row],[Order Date]])</f>
        <v>11</v>
      </c>
      <c r="E1775" s="3" t="s">
        <v>4485</v>
      </c>
      <c r="F1775" s="3" t="s">
        <v>4486</v>
      </c>
      <c r="G1775" s="25" t="s">
        <v>64</v>
      </c>
      <c r="H1775" s="25" t="s">
        <v>65</v>
      </c>
      <c r="I1775" s="3" t="s">
        <v>4484</v>
      </c>
      <c r="J1775" s="25" t="s">
        <v>22</v>
      </c>
      <c r="K1775" s="28">
        <v>4</v>
      </c>
      <c r="L1775" s="7">
        <v>42342</v>
      </c>
      <c r="M1775" s="28">
        <f>Table11[[#This Row],[Ship Date]]-Table11[[#This Row],[Order Date]]</f>
        <v>4</v>
      </c>
      <c r="N1775" s="25" t="s">
        <v>45</v>
      </c>
      <c r="O1775" s="25" t="s">
        <v>23</v>
      </c>
      <c r="P1775" s="25" t="s">
        <v>132</v>
      </c>
      <c r="Q1775" s="25" t="s">
        <v>133</v>
      </c>
      <c r="R1775" s="25" t="s">
        <v>131</v>
      </c>
      <c r="S1775" s="35">
        <v>0.4</v>
      </c>
      <c r="T1775" s="16">
        <v>94.92</v>
      </c>
      <c r="U1775" s="19">
        <v>15.82</v>
      </c>
      <c r="V1775" s="56">
        <f>Table11[[#This Row],[Profit]]/Table11[[#This Row],[Sales]]</f>
        <v>0.16666666666666666</v>
      </c>
    </row>
    <row r="1776" spans="1:22" x14ac:dyDescent="0.2">
      <c r="A1776" s="2">
        <v>1775</v>
      </c>
      <c r="B1776" s="5" t="s">
        <v>5449</v>
      </c>
      <c r="C1776" s="6">
        <v>42338</v>
      </c>
      <c r="D1776" s="27">
        <f>MONTH(Table11[[#This Row],[Order Date]])</f>
        <v>11</v>
      </c>
      <c r="E1776" s="5" t="s">
        <v>2149</v>
      </c>
      <c r="F1776" s="5" t="s">
        <v>2150</v>
      </c>
      <c r="G1776" s="24" t="s">
        <v>41</v>
      </c>
      <c r="H1776" s="24" t="s">
        <v>68</v>
      </c>
      <c r="I1776" s="5" t="s">
        <v>3617</v>
      </c>
      <c r="J1776" s="24" t="s">
        <v>92</v>
      </c>
      <c r="K1776" s="27">
        <v>3</v>
      </c>
      <c r="L1776" s="6">
        <v>42341</v>
      </c>
      <c r="M1776" s="27">
        <f>Table11[[#This Row],[Ship Date]]-Table11[[#This Row],[Order Date]]</f>
        <v>3</v>
      </c>
      <c r="N1776" s="24" t="s">
        <v>20</v>
      </c>
      <c r="O1776" s="24" t="s">
        <v>23</v>
      </c>
      <c r="P1776" s="24" t="s">
        <v>94</v>
      </c>
      <c r="Q1776" s="24" t="s">
        <v>95</v>
      </c>
      <c r="R1776" s="24" t="s">
        <v>1095</v>
      </c>
      <c r="S1776" s="34">
        <v>0.8</v>
      </c>
      <c r="T1776" s="15">
        <v>3.8820000000000001</v>
      </c>
      <c r="U1776" s="18">
        <v>-5.8230000000000004</v>
      </c>
      <c r="V1776" s="56">
        <f>Table11[[#This Row],[Profit]]/Table11[[#This Row],[Sales]]</f>
        <v>-1.5</v>
      </c>
    </row>
    <row r="1777" spans="1:22" x14ac:dyDescent="0.2">
      <c r="A1777" s="4">
        <v>1776</v>
      </c>
      <c r="B1777" s="3" t="s">
        <v>6722</v>
      </c>
      <c r="C1777" s="7">
        <v>42338</v>
      </c>
      <c r="D1777" s="28">
        <f>MONTH(Table11[[#This Row],[Order Date]])</f>
        <v>11</v>
      </c>
      <c r="E1777" s="3" t="s">
        <v>2602</v>
      </c>
      <c r="F1777" s="3" t="s">
        <v>2603</v>
      </c>
      <c r="G1777" s="25" t="s">
        <v>41</v>
      </c>
      <c r="H1777" s="25" t="s">
        <v>155</v>
      </c>
      <c r="I1777" s="3" t="s">
        <v>270</v>
      </c>
      <c r="J1777" s="25" t="s">
        <v>92</v>
      </c>
      <c r="K1777" s="28">
        <v>2</v>
      </c>
      <c r="L1777" s="7">
        <v>42340</v>
      </c>
      <c r="M1777" s="28">
        <f>Table11[[#This Row],[Ship Date]]-Table11[[#This Row],[Order Date]]</f>
        <v>2</v>
      </c>
      <c r="N1777" s="25" t="s">
        <v>20</v>
      </c>
      <c r="O1777" s="25" t="s">
        <v>23</v>
      </c>
      <c r="P1777" s="25" t="s">
        <v>25</v>
      </c>
      <c r="Q1777" s="25" t="s">
        <v>26</v>
      </c>
      <c r="R1777" s="25" t="s">
        <v>24</v>
      </c>
      <c r="S1777" s="35">
        <v>0</v>
      </c>
      <c r="T1777" s="16">
        <v>17.48</v>
      </c>
      <c r="U1777" s="19">
        <v>8.2156000000000002</v>
      </c>
      <c r="V1777" s="56">
        <f>Table11[[#This Row],[Profit]]/Table11[[#This Row],[Sales]]</f>
        <v>0.47000000000000003</v>
      </c>
    </row>
    <row r="1778" spans="1:22" x14ac:dyDescent="0.2">
      <c r="A1778" s="4">
        <v>1777</v>
      </c>
      <c r="B1778" s="5" t="s">
        <v>6722</v>
      </c>
      <c r="C1778" s="6">
        <v>42338</v>
      </c>
      <c r="D1778" s="27">
        <f>MONTH(Table11[[#This Row],[Order Date]])</f>
        <v>11</v>
      </c>
      <c r="E1778" s="5" t="s">
        <v>2899</v>
      </c>
      <c r="F1778" s="5" t="s">
        <v>2900</v>
      </c>
      <c r="G1778" s="24" t="s">
        <v>41</v>
      </c>
      <c r="H1778" s="24" t="s">
        <v>155</v>
      </c>
      <c r="I1778" s="5" t="s">
        <v>270</v>
      </c>
      <c r="J1778" s="24" t="s">
        <v>92</v>
      </c>
      <c r="K1778" s="27">
        <v>2</v>
      </c>
      <c r="L1778" s="6">
        <v>42340</v>
      </c>
      <c r="M1778" s="27">
        <f>Table11[[#This Row],[Ship Date]]-Table11[[#This Row],[Order Date]]</f>
        <v>2</v>
      </c>
      <c r="N1778" s="24" t="s">
        <v>20</v>
      </c>
      <c r="O1778" s="24" t="s">
        <v>23</v>
      </c>
      <c r="P1778" s="24" t="s">
        <v>25</v>
      </c>
      <c r="Q1778" s="24" t="s">
        <v>26</v>
      </c>
      <c r="R1778" s="24" t="s">
        <v>24</v>
      </c>
      <c r="S1778" s="34">
        <v>0</v>
      </c>
      <c r="T1778" s="15">
        <v>71.88</v>
      </c>
      <c r="U1778" s="18">
        <v>32.345999999999997</v>
      </c>
      <c r="V1778" s="56">
        <f>Table11[[#This Row],[Profit]]/Table11[[#This Row],[Sales]]</f>
        <v>0.44999999999999996</v>
      </c>
    </row>
    <row r="1779" spans="1:22" x14ac:dyDescent="0.2">
      <c r="A1779" s="2">
        <v>1778</v>
      </c>
      <c r="B1779" s="3" t="s">
        <v>8106</v>
      </c>
      <c r="C1779" s="7">
        <v>42338</v>
      </c>
      <c r="D1779" s="28">
        <f>MONTH(Table11[[#This Row],[Order Date]])</f>
        <v>11</v>
      </c>
      <c r="E1779" s="3" t="s">
        <v>4232</v>
      </c>
      <c r="F1779" s="3" t="s">
        <v>4233</v>
      </c>
      <c r="G1779" s="25" t="s">
        <v>64</v>
      </c>
      <c r="H1779" s="25" t="s">
        <v>65</v>
      </c>
      <c r="I1779" s="3" t="s">
        <v>3946</v>
      </c>
      <c r="J1779" s="25" t="s">
        <v>22</v>
      </c>
      <c r="K1779" s="28">
        <v>3</v>
      </c>
      <c r="L1779" s="7">
        <v>42343</v>
      </c>
      <c r="M1779" s="28">
        <f>Table11[[#This Row],[Ship Date]]-Table11[[#This Row],[Order Date]]</f>
        <v>5</v>
      </c>
      <c r="N1779" s="25" t="s">
        <v>45</v>
      </c>
      <c r="O1779" s="25" t="s">
        <v>23</v>
      </c>
      <c r="P1779" s="25" t="s">
        <v>80</v>
      </c>
      <c r="Q1779" s="25" t="s">
        <v>26</v>
      </c>
      <c r="R1779" s="25" t="s">
        <v>4054</v>
      </c>
      <c r="S1779" s="35">
        <v>0.2</v>
      </c>
      <c r="T1779" s="16">
        <v>177.48</v>
      </c>
      <c r="U1779" s="19">
        <v>19.9665</v>
      </c>
      <c r="V1779" s="56">
        <f>Table11[[#This Row],[Profit]]/Table11[[#This Row],[Sales]]</f>
        <v>0.1125</v>
      </c>
    </row>
    <row r="1780" spans="1:22" x14ac:dyDescent="0.2">
      <c r="A1780" s="4">
        <v>1779</v>
      </c>
      <c r="B1780" s="5" t="s">
        <v>8403</v>
      </c>
      <c r="C1780" s="6">
        <v>42338</v>
      </c>
      <c r="D1780" s="27">
        <f>MONTH(Table11[[#This Row],[Order Date]])</f>
        <v>11</v>
      </c>
      <c r="E1780" s="5" t="s">
        <v>3228</v>
      </c>
      <c r="F1780" s="5" t="s">
        <v>3229</v>
      </c>
      <c r="G1780" s="24" t="s">
        <v>41</v>
      </c>
      <c r="H1780" s="24" t="s">
        <v>82</v>
      </c>
      <c r="I1780" s="5" t="s">
        <v>4036</v>
      </c>
      <c r="J1780" s="24" t="s">
        <v>22</v>
      </c>
      <c r="K1780" s="27">
        <v>7</v>
      </c>
      <c r="L1780" s="6">
        <v>42342</v>
      </c>
      <c r="M1780" s="27">
        <f>Table11[[#This Row],[Ship Date]]-Table11[[#This Row],[Order Date]]</f>
        <v>4</v>
      </c>
      <c r="N1780" s="24" t="s">
        <v>45</v>
      </c>
      <c r="O1780" s="24" t="s">
        <v>23</v>
      </c>
      <c r="P1780" s="24" t="s">
        <v>238</v>
      </c>
      <c r="Q1780" s="24" t="s">
        <v>133</v>
      </c>
      <c r="R1780" s="24" t="s">
        <v>237</v>
      </c>
      <c r="S1780" s="34">
        <v>0</v>
      </c>
      <c r="T1780" s="15">
        <v>23.66</v>
      </c>
      <c r="U1780" s="18">
        <v>10.883599999999999</v>
      </c>
      <c r="V1780" s="56">
        <f>Table11[[#This Row],[Profit]]/Table11[[#This Row],[Sales]]</f>
        <v>0.45999999999999996</v>
      </c>
    </row>
    <row r="1781" spans="1:22" x14ac:dyDescent="0.2">
      <c r="A1781" s="4">
        <v>1780</v>
      </c>
      <c r="B1781" s="3" t="s">
        <v>8403</v>
      </c>
      <c r="C1781" s="7">
        <v>42338</v>
      </c>
      <c r="D1781" s="28">
        <f>MONTH(Table11[[#This Row],[Order Date]])</f>
        <v>11</v>
      </c>
      <c r="E1781" s="3" t="s">
        <v>5992</v>
      </c>
      <c r="F1781" s="3" t="s">
        <v>5993</v>
      </c>
      <c r="G1781" s="25" t="s">
        <v>28</v>
      </c>
      <c r="H1781" s="25" t="s">
        <v>29</v>
      </c>
      <c r="I1781" s="3" t="s">
        <v>4036</v>
      </c>
      <c r="J1781" s="25" t="s">
        <v>22</v>
      </c>
      <c r="K1781" s="28">
        <v>12</v>
      </c>
      <c r="L1781" s="7">
        <v>42342</v>
      </c>
      <c r="M1781" s="28">
        <f>Table11[[#This Row],[Ship Date]]-Table11[[#This Row],[Order Date]]</f>
        <v>4</v>
      </c>
      <c r="N1781" s="25" t="s">
        <v>45</v>
      </c>
      <c r="O1781" s="25" t="s">
        <v>23</v>
      </c>
      <c r="P1781" s="25" t="s">
        <v>238</v>
      </c>
      <c r="Q1781" s="25" t="s">
        <v>133</v>
      </c>
      <c r="R1781" s="25" t="s">
        <v>237</v>
      </c>
      <c r="S1781" s="35">
        <v>0.2</v>
      </c>
      <c r="T1781" s="16">
        <v>681.40800000000002</v>
      </c>
      <c r="U1781" s="19">
        <v>42.588000000000001</v>
      </c>
      <c r="V1781" s="56">
        <f>Table11[[#This Row],[Profit]]/Table11[[#This Row],[Sales]]</f>
        <v>6.25E-2</v>
      </c>
    </row>
    <row r="1782" spans="1:22" x14ac:dyDescent="0.2">
      <c r="A1782" s="2">
        <v>1781</v>
      </c>
      <c r="B1782" s="5" t="s">
        <v>8806</v>
      </c>
      <c r="C1782" s="6">
        <v>42338</v>
      </c>
      <c r="D1782" s="27">
        <f>MONTH(Table11[[#This Row],[Order Date]])</f>
        <v>11</v>
      </c>
      <c r="E1782" s="5" t="s">
        <v>7045</v>
      </c>
      <c r="F1782" s="5" t="s">
        <v>7046</v>
      </c>
      <c r="G1782" s="24" t="s">
        <v>28</v>
      </c>
      <c r="H1782" s="24" t="s">
        <v>58</v>
      </c>
      <c r="I1782" s="5" t="s">
        <v>4953</v>
      </c>
      <c r="J1782" s="24" t="s">
        <v>22</v>
      </c>
      <c r="K1782" s="27">
        <v>4</v>
      </c>
      <c r="L1782" s="6">
        <v>42340</v>
      </c>
      <c r="M1782" s="27">
        <f>Table11[[#This Row],[Ship Date]]-Table11[[#This Row],[Order Date]]</f>
        <v>2</v>
      </c>
      <c r="N1782" s="24" t="s">
        <v>20</v>
      </c>
      <c r="O1782" s="24" t="s">
        <v>23</v>
      </c>
      <c r="P1782" s="24" t="s">
        <v>1229</v>
      </c>
      <c r="Q1782" s="24" t="s">
        <v>39</v>
      </c>
      <c r="R1782" s="24" t="s">
        <v>1228</v>
      </c>
      <c r="S1782" s="34">
        <v>0</v>
      </c>
      <c r="T1782" s="15">
        <v>80.959999999999994</v>
      </c>
      <c r="U1782" s="18">
        <v>29.145600000000002</v>
      </c>
      <c r="V1782" s="56">
        <f>Table11[[#This Row],[Profit]]/Table11[[#This Row],[Sales]]</f>
        <v>0.36000000000000004</v>
      </c>
    </row>
    <row r="1783" spans="1:22" x14ac:dyDescent="0.2">
      <c r="A1783" s="4">
        <v>1782</v>
      </c>
      <c r="B1783" s="3" t="s">
        <v>8806</v>
      </c>
      <c r="C1783" s="7">
        <v>42338</v>
      </c>
      <c r="D1783" s="28">
        <f>MONTH(Table11[[#This Row],[Order Date]])</f>
        <v>11</v>
      </c>
      <c r="E1783" s="3" t="s">
        <v>5506</v>
      </c>
      <c r="F1783" s="3" t="s">
        <v>5507</v>
      </c>
      <c r="G1783" s="25" t="s">
        <v>41</v>
      </c>
      <c r="H1783" s="25" t="s">
        <v>82</v>
      </c>
      <c r="I1783" s="3" t="s">
        <v>4953</v>
      </c>
      <c r="J1783" s="25" t="s">
        <v>22</v>
      </c>
      <c r="K1783" s="28">
        <v>4</v>
      </c>
      <c r="L1783" s="7">
        <v>42340</v>
      </c>
      <c r="M1783" s="28">
        <f>Table11[[#This Row],[Ship Date]]-Table11[[#This Row],[Order Date]]</f>
        <v>2</v>
      </c>
      <c r="N1783" s="25" t="s">
        <v>20</v>
      </c>
      <c r="O1783" s="25" t="s">
        <v>23</v>
      </c>
      <c r="P1783" s="25" t="s">
        <v>1229</v>
      </c>
      <c r="Q1783" s="25" t="s">
        <v>39</v>
      </c>
      <c r="R1783" s="25" t="s">
        <v>1228</v>
      </c>
      <c r="S1783" s="35">
        <v>0</v>
      </c>
      <c r="T1783" s="16">
        <v>25.92</v>
      </c>
      <c r="U1783" s="19">
        <v>12.441599999999999</v>
      </c>
      <c r="V1783" s="56">
        <f>Table11[[#This Row],[Profit]]/Table11[[#This Row],[Sales]]</f>
        <v>0.47999999999999993</v>
      </c>
    </row>
    <row r="1784" spans="1:22" x14ac:dyDescent="0.2">
      <c r="A1784" s="4">
        <v>1783</v>
      </c>
      <c r="B1784" s="5" t="s">
        <v>8865</v>
      </c>
      <c r="C1784" s="6">
        <v>42338</v>
      </c>
      <c r="D1784" s="27">
        <f>MONTH(Table11[[#This Row],[Order Date]])</f>
        <v>11</v>
      </c>
      <c r="E1784" s="5" t="s">
        <v>5394</v>
      </c>
      <c r="F1784" s="5" t="s">
        <v>5395</v>
      </c>
      <c r="G1784" s="24" t="s">
        <v>28</v>
      </c>
      <c r="H1784" s="24" t="s">
        <v>58</v>
      </c>
      <c r="I1784" s="5" t="s">
        <v>3309</v>
      </c>
      <c r="J1784" s="24" t="s">
        <v>36</v>
      </c>
      <c r="K1784" s="27">
        <v>2</v>
      </c>
      <c r="L1784" s="6">
        <v>42341</v>
      </c>
      <c r="M1784" s="27">
        <f>Table11[[#This Row],[Ship Date]]-Table11[[#This Row],[Order Date]]</f>
        <v>3</v>
      </c>
      <c r="N1784" s="24" t="s">
        <v>169</v>
      </c>
      <c r="O1784" s="24" t="s">
        <v>23</v>
      </c>
      <c r="P1784" s="24" t="s">
        <v>80</v>
      </c>
      <c r="Q1784" s="24" t="s">
        <v>26</v>
      </c>
      <c r="R1784" s="24" t="s">
        <v>1345</v>
      </c>
      <c r="S1784" s="34">
        <v>0.2</v>
      </c>
      <c r="T1784" s="15">
        <v>17.088000000000001</v>
      </c>
      <c r="U1784" s="18">
        <v>1.0680000000000001</v>
      </c>
      <c r="V1784" s="56">
        <f>Table11[[#This Row],[Profit]]/Table11[[#This Row],[Sales]]</f>
        <v>6.25E-2</v>
      </c>
    </row>
    <row r="1785" spans="1:22" x14ac:dyDescent="0.2">
      <c r="A1785" s="2">
        <v>1784</v>
      </c>
      <c r="B1785" s="3" t="s">
        <v>9106</v>
      </c>
      <c r="C1785" s="7">
        <v>42338</v>
      </c>
      <c r="D1785" s="28">
        <f>MONTH(Table11[[#This Row],[Order Date]])</f>
        <v>11</v>
      </c>
      <c r="E1785" s="3" t="s">
        <v>2104</v>
      </c>
      <c r="F1785" s="3" t="s">
        <v>2105</v>
      </c>
      <c r="G1785" s="25" t="s">
        <v>41</v>
      </c>
      <c r="H1785" s="25" t="s">
        <v>68</v>
      </c>
      <c r="I1785" s="3" t="s">
        <v>1757</v>
      </c>
      <c r="J1785" s="25" t="s">
        <v>22</v>
      </c>
      <c r="K1785" s="28">
        <v>7</v>
      </c>
      <c r="L1785" s="7">
        <v>42341</v>
      </c>
      <c r="M1785" s="28">
        <f>Table11[[#This Row],[Ship Date]]-Table11[[#This Row],[Order Date]]</f>
        <v>3</v>
      </c>
      <c r="N1785" s="25" t="s">
        <v>169</v>
      </c>
      <c r="O1785" s="25" t="s">
        <v>23</v>
      </c>
      <c r="P1785" s="25" t="s">
        <v>80</v>
      </c>
      <c r="Q1785" s="25" t="s">
        <v>26</v>
      </c>
      <c r="R1785" s="25" t="s">
        <v>333</v>
      </c>
      <c r="S1785" s="35">
        <v>0.7</v>
      </c>
      <c r="T1785" s="16">
        <v>6.048</v>
      </c>
      <c r="U1785" s="19">
        <v>-4.2336</v>
      </c>
      <c r="V1785" s="56">
        <f>Table11[[#This Row],[Profit]]/Table11[[#This Row],[Sales]]</f>
        <v>-0.7</v>
      </c>
    </row>
    <row r="1786" spans="1:22" x14ac:dyDescent="0.2">
      <c r="A1786" s="4">
        <v>1785</v>
      </c>
      <c r="B1786" s="5" t="s">
        <v>9106</v>
      </c>
      <c r="C1786" s="6">
        <v>42338</v>
      </c>
      <c r="D1786" s="27">
        <f>MONTH(Table11[[#This Row],[Order Date]])</f>
        <v>11</v>
      </c>
      <c r="E1786" s="5" t="s">
        <v>4972</v>
      </c>
      <c r="F1786" s="5" t="s">
        <v>4973</v>
      </c>
      <c r="G1786" s="24" t="s">
        <v>41</v>
      </c>
      <c r="H1786" s="24" t="s">
        <v>71</v>
      </c>
      <c r="I1786" s="5" t="s">
        <v>1757</v>
      </c>
      <c r="J1786" s="24" t="s">
        <v>22</v>
      </c>
      <c r="K1786" s="27">
        <v>3</v>
      </c>
      <c r="L1786" s="6">
        <v>42341</v>
      </c>
      <c r="M1786" s="27">
        <f>Table11[[#This Row],[Ship Date]]-Table11[[#This Row],[Order Date]]</f>
        <v>3</v>
      </c>
      <c r="N1786" s="24" t="s">
        <v>169</v>
      </c>
      <c r="O1786" s="24" t="s">
        <v>23</v>
      </c>
      <c r="P1786" s="24" t="s">
        <v>80</v>
      </c>
      <c r="Q1786" s="24" t="s">
        <v>26</v>
      </c>
      <c r="R1786" s="24" t="s">
        <v>333</v>
      </c>
      <c r="S1786" s="34">
        <v>0.2</v>
      </c>
      <c r="T1786" s="15">
        <v>98.352000000000004</v>
      </c>
      <c r="U1786" s="18">
        <v>9.8352000000000004</v>
      </c>
      <c r="V1786" s="56">
        <f>Table11[[#This Row],[Profit]]/Table11[[#This Row],[Sales]]</f>
        <v>0.1</v>
      </c>
    </row>
    <row r="1787" spans="1:22" x14ac:dyDescent="0.2">
      <c r="A1787" s="4">
        <v>1786</v>
      </c>
      <c r="B1787" s="3" t="s">
        <v>9106</v>
      </c>
      <c r="C1787" s="7">
        <v>42338</v>
      </c>
      <c r="D1787" s="28">
        <f>MONTH(Table11[[#This Row],[Order Date]])</f>
        <v>11</v>
      </c>
      <c r="E1787" s="3" t="s">
        <v>811</v>
      </c>
      <c r="F1787" s="3" t="s">
        <v>812</v>
      </c>
      <c r="G1787" s="25" t="s">
        <v>28</v>
      </c>
      <c r="H1787" s="25" t="s">
        <v>58</v>
      </c>
      <c r="I1787" s="3" t="s">
        <v>1757</v>
      </c>
      <c r="J1787" s="25" t="s">
        <v>22</v>
      </c>
      <c r="K1787" s="28">
        <v>2</v>
      </c>
      <c r="L1787" s="7">
        <v>42341</v>
      </c>
      <c r="M1787" s="28">
        <f>Table11[[#This Row],[Ship Date]]-Table11[[#This Row],[Order Date]]</f>
        <v>3</v>
      </c>
      <c r="N1787" s="25" t="s">
        <v>169</v>
      </c>
      <c r="O1787" s="25" t="s">
        <v>23</v>
      </c>
      <c r="P1787" s="25" t="s">
        <v>80</v>
      </c>
      <c r="Q1787" s="25" t="s">
        <v>26</v>
      </c>
      <c r="R1787" s="25" t="s">
        <v>333</v>
      </c>
      <c r="S1787" s="35">
        <v>0.2</v>
      </c>
      <c r="T1787" s="16">
        <v>335.74400000000003</v>
      </c>
      <c r="U1787" s="19">
        <v>25.180800000000001</v>
      </c>
      <c r="V1787" s="56">
        <f>Table11[[#This Row],[Profit]]/Table11[[#This Row],[Sales]]</f>
        <v>7.4999999999999997E-2</v>
      </c>
    </row>
    <row r="1788" spans="1:22" x14ac:dyDescent="0.2">
      <c r="A1788" s="2">
        <v>1787</v>
      </c>
      <c r="B1788" s="5" t="s">
        <v>3467</v>
      </c>
      <c r="C1788" s="6">
        <v>42339</v>
      </c>
      <c r="D1788" s="27">
        <f>MONTH(Table11[[#This Row],[Order Date]])</f>
        <v>12</v>
      </c>
      <c r="E1788" s="5" t="s">
        <v>3468</v>
      </c>
      <c r="F1788" s="5" t="s">
        <v>3469</v>
      </c>
      <c r="G1788" s="24" t="s">
        <v>41</v>
      </c>
      <c r="H1788" s="24" t="s">
        <v>68</v>
      </c>
      <c r="I1788" s="5" t="s">
        <v>717</v>
      </c>
      <c r="J1788" s="24" t="s">
        <v>22</v>
      </c>
      <c r="K1788" s="27">
        <v>2</v>
      </c>
      <c r="L1788" s="6">
        <v>42346</v>
      </c>
      <c r="M1788" s="27">
        <f>Table11[[#This Row],[Ship Date]]-Table11[[#This Row],[Order Date]]</f>
        <v>7</v>
      </c>
      <c r="N1788" s="24" t="s">
        <v>45</v>
      </c>
      <c r="O1788" s="24" t="s">
        <v>23</v>
      </c>
      <c r="P1788" s="24" t="s">
        <v>87</v>
      </c>
      <c r="Q1788" s="24" t="s">
        <v>39</v>
      </c>
      <c r="R1788" s="24" t="s">
        <v>86</v>
      </c>
      <c r="S1788" s="34">
        <v>0.2</v>
      </c>
      <c r="T1788" s="15">
        <v>55.423999999999999</v>
      </c>
      <c r="U1788" s="18">
        <v>19.398399999999999</v>
      </c>
      <c r="V1788" s="56">
        <f>Table11[[#This Row],[Profit]]/Table11[[#This Row],[Sales]]</f>
        <v>0.35</v>
      </c>
    </row>
    <row r="1789" spans="1:22" x14ac:dyDescent="0.2">
      <c r="A1789" s="4">
        <v>1788</v>
      </c>
      <c r="B1789" s="3" t="s">
        <v>3489</v>
      </c>
      <c r="C1789" s="7">
        <v>42339</v>
      </c>
      <c r="D1789" s="28">
        <f>MONTH(Table11[[#This Row],[Order Date]])</f>
        <v>12</v>
      </c>
      <c r="E1789" s="3" t="s">
        <v>3490</v>
      </c>
      <c r="F1789" s="3" t="s">
        <v>3491</v>
      </c>
      <c r="G1789" s="25" t="s">
        <v>28</v>
      </c>
      <c r="H1789" s="25" t="s">
        <v>58</v>
      </c>
      <c r="I1789" s="3" t="s">
        <v>2850</v>
      </c>
      <c r="J1789" s="25" t="s">
        <v>22</v>
      </c>
      <c r="K1789" s="28">
        <v>4</v>
      </c>
      <c r="L1789" s="7">
        <v>42340</v>
      </c>
      <c r="M1789" s="28">
        <f>Table11[[#This Row],[Ship Date]]-Table11[[#This Row],[Order Date]]</f>
        <v>1</v>
      </c>
      <c r="N1789" s="25" t="s">
        <v>1141</v>
      </c>
      <c r="O1789" s="25" t="s">
        <v>23</v>
      </c>
      <c r="P1789" s="25" t="s">
        <v>94</v>
      </c>
      <c r="Q1789" s="25" t="s">
        <v>95</v>
      </c>
      <c r="R1789" s="25" t="s">
        <v>165</v>
      </c>
      <c r="S1789" s="35">
        <v>0.6</v>
      </c>
      <c r="T1789" s="16">
        <v>6.6879999999999997</v>
      </c>
      <c r="U1789" s="19">
        <v>-4.0128000000000004</v>
      </c>
      <c r="V1789" s="56">
        <f>Table11[[#This Row],[Profit]]/Table11[[#This Row],[Sales]]</f>
        <v>-0.60000000000000009</v>
      </c>
    </row>
    <row r="1790" spans="1:22" x14ac:dyDescent="0.2">
      <c r="A1790" s="4">
        <v>1789</v>
      </c>
      <c r="B1790" s="5" t="s">
        <v>5220</v>
      </c>
      <c r="C1790" s="6">
        <v>42339</v>
      </c>
      <c r="D1790" s="27">
        <f>MONTH(Table11[[#This Row],[Order Date]])</f>
        <v>12</v>
      </c>
      <c r="E1790" s="5" t="s">
        <v>3725</v>
      </c>
      <c r="F1790" s="5" t="s">
        <v>3726</v>
      </c>
      <c r="G1790" s="24" t="s">
        <v>41</v>
      </c>
      <c r="H1790" s="24" t="s">
        <v>61</v>
      </c>
      <c r="I1790" s="5" t="s">
        <v>3386</v>
      </c>
      <c r="J1790" s="24" t="s">
        <v>92</v>
      </c>
      <c r="K1790" s="27">
        <v>5</v>
      </c>
      <c r="L1790" s="6">
        <v>42344</v>
      </c>
      <c r="M1790" s="27">
        <f>Table11[[#This Row],[Ship Date]]-Table11[[#This Row],[Order Date]]</f>
        <v>5</v>
      </c>
      <c r="N1790" s="24" t="s">
        <v>45</v>
      </c>
      <c r="O1790" s="24" t="s">
        <v>23</v>
      </c>
      <c r="P1790" s="24" t="s">
        <v>87</v>
      </c>
      <c r="Q1790" s="24" t="s">
        <v>39</v>
      </c>
      <c r="R1790" s="24" t="s">
        <v>86</v>
      </c>
      <c r="S1790" s="34">
        <v>0</v>
      </c>
      <c r="T1790" s="15">
        <v>13.9</v>
      </c>
      <c r="U1790" s="18">
        <v>5.56</v>
      </c>
      <c r="V1790" s="56">
        <f>Table11[[#This Row],[Profit]]/Table11[[#This Row],[Sales]]</f>
        <v>0.39999999999999997</v>
      </c>
    </row>
    <row r="1791" spans="1:22" x14ac:dyDescent="0.2">
      <c r="A1791" s="2">
        <v>1790</v>
      </c>
      <c r="B1791" s="3" t="s">
        <v>6340</v>
      </c>
      <c r="C1791" s="7">
        <v>42339</v>
      </c>
      <c r="D1791" s="28">
        <f>MONTH(Table11[[#This Row],[Order Date]])</f>
        <v>12</v>
      </c>
      <c r="E1791" s="3" t="s">
        <v>1449</v>
      </c>
      <c r="F1791" s="3" t="s">
        <v>1450</v>
      </c>
      <c r="G1791" s="25" t="s">
        <v>41</v>
      </c>
      <c r="H1791" s="25" t="s">
        <v>53</v>
      </c>
      <c r="I1791" s="3" t="s">
        <v>3475</v>
      </c>
      <c r="J1791" s="25" t="s">
        <v>36</v>
      </c>
      <c r="K1791" s="28">
        <v>4</v>
      </c>
      <c r="L1791" s="7">
        <v>42345</v>
      </c>
      <c r="M1791" s="28">
        <f>Table11[[#This Row],[Ship Date]]-Table11[[#This Row],[Order Date]]</f>
        <v>6</v>
      </c>
      <c r="N1791" s="25" t="s">
        <v>45</v>
      </c>
      <c r="O1791" s="25" t="s">
        <v>23</v>
      </c>
      <c r="P1791" s="25" t="s">
        <v>285</v>
      </c>
      <c r="Q1791" s="25" t="s">
        <v>26</v>
      </c>
      <c r="R1791" s="25" t="s">
        <v>4320</v>
      </c>
      <c r="S1791" s="35">
        <v>0</v>
      </c>
      <c r="T1791" s="16">
        <v>61.68</v>
      </c>
      <c r="U1791" s="19">
        <v>16.653600000000001</v>
      </c>
      <c r="V1791" s="56">
        <f>Table11[[#This Row],[Profit]]/Table11[[#This Row],[Sales]]</f>
        <v>0.27</v>
      </c>
    </row>
    <row r="1792" spans="1:22" x14ac:dyDescent="0.2">
      <c r="A1792" s="4">
        <v>1791</v>
      </c>
      <c r="B1792" s="5" t="s">
        <v>6340</v>
      </c>
      <c r="C1792" s="6">
        <v>42339</v>
      </c>
      <c r="D1792" s="27">
        <f>MONTH(Table11[[#This Row],[Order Date]])</f>
        <v>12</v>
      </c>
      <c r="E1792" s="5" t="s">
        <v>5144</v>
      </c>
      <c r="F1792" s="5" t="s">
        <v>5145</v>
      </c>
      <c r="G1792" s="24" t="s">
        <v>41</v>
      </c>
      <c r="H1792" s="24" t="s">
        <v>68</v>
      </c>
      <c r="I1792" s="5" t="s">
        <v>3475</v>
      </c>
      <c r="J1792" s="24" t="s">
        <v>36</v>
      </c>
      <c r="K1792" s="27">
        <v>4</v>
      </c>
      <c r="L1792" s="6">
        <v>42345</v>
      </c>
      <c r="M1792" s="27">
        <f>Table11[[#This Row],[Ship Date]]-Table11[[#This Row],[Order Date]]</f>
        <v>6</v>
      </c>
      <c r="N1792" s="24" t="s">
        <v>45</v>
      </c>
      <c r="O1792" s="24" t="s">
        <v>23</v>
      </c>
      <c r="P1792" s="24" t="s">
        <v>285</v>
      </c>
      <c r="Q1792" s="24" t="s">
        <v>26</v>
      </c>
      <c r="R1792" s="24" t="s">
        <v>4320</v>
      </c>
      <c r="S1792" s="34">
        <v>0</v>
      </c>
      <c r="T1792" s="15">
        <v>63.96</v>
      </c>
      <c r="U1792" s="18">
        <v>30.700800000000001</v>
      </c>
      <c r="V1792" s="56">
        <f>Table11[[#This Row],[Profit]]/Table11[[#This Row],[Sales]]</f>
        <v>0.48</v>
      </c>
    </row>
    <row r="1793" spans="1:22" x14ac:dyDescent="0.2">
      <c r="A1793" s="4">
        <v>1792</v>
      </c>
      <c r="B1793" s="3" t="s">
        <v>8374</v>
      </c>
      <c r="C1793" s="7">
        <v>42339</v>
      </c>
      <c r="D1793" s="28">
        <f>MONTH(Table11[[#This Row],[Order Date]])</f>
        <v>12</v>
      </c>
      <c r="E1793" s="3" t="s">
        <v>1528</v>
      </c>
      <c r="F1793" s="3" t="s">
        <v>1529</v>
      </c>
      <c r="G1793" s="25" t="s">
        <v>28</v>
      </c>
      <c r="H1793" s="25" t="s">
        <v>32</v>
      </c>
      <c r="I1793" s="3" t="s">
        <v>549</v>
      </c>
      <c r="J1793" s="25" t="s">
        <v>92</v>
      </c>
      <c r="K1793" s="28">
        <v>5</v>
      </c>
      <c r="L1793" s="7">
        <v>42343</v>
      </c>
      <c r="M1793" s="28">
        <f>Table11[[#This Row],[Ship Date]]-Table11[[#This Row],[Order Date]]</f>
        <v>4</v>
      </c>
      <c r="N1793" s="25" t="s">
        <v>20</v>
      </c>
      <c r="O1793" s="25" t="s">
        <v>23</v>
      </c>
      <c r="P1793" s="25" t="s">
        <v>87</v>
      </c>
      <c r="Q1793" s="25" t="s">
        <v>39</v>
      </c>
      <c r="R1793" s="25" t="s">
        <v>86</v>
      </c>
      <c r="S1793" s="35">
        <v>0.2</v>
      </c>
      <c r="T1793" s="16">
        <v>2003.92</v>
      </c>
      <c r="U1793" s="19">
        <v>125.245</v>
      </c>
      <c r="V1793" s="56">
        <f>Table11[[#This Row],[Profit]]/Table11[[#This Row],[Sales]]</f>
        <v>6.25E-2</v>
      </c>
    </row>
    <row r="1794" spans="1:22" x14ac:dyDescent="0.2">
      <c r="A1794" s="2">
        <v>1793</v>
      </c>
      <c r="B1794" s="5" t="s">
        <v>8374</v>
      </c>
      <c r="C1794" s="6">
        <v>42339</v>
      </c>
      <c r="D1794" s="27">
        <f>MONTH(Table11[[#This Row],[Order Date]])</f>
        <v>12</v>
      </c>
      <c r="E1794" s="5" t="s">
        <v>4828</v>
      </c>
      <c r="F1794" s="5" t="s">
        <v>4829</v>
      </c>
      <c r="G1794" s="24" t="s">
        <v>41</v>
      </c>
      <c r="H1794" s="24" t="s">
        <v>82</v>
      </c>
      <c r="I1794" s="5" t="s">
        <v>549</v>
      </c>
      <c r="J1794" s="24" t="s">
        <v>92</v>
      </c>
      <c r="K1794" s="27">
        <v>5</v>
      </c>
      <c r="L1794" s="6">
        <v>42343</v>
      </c>
      <c r="M1794" s="27">
        <f>Table11[[#This Row],[Ship Date]]-Table11[[#This Row],[Order Date]]</f>
        <v>4</v>
      </c>
      <c r="N1794" s="24" t="s">
        <v>20</v>
      </c>
      <c r="O1794" s="24" t="s">
        <v>23</v>
      </c>
      <c r="P1794" s="24" t="s">
        <v>87</v>
      </c>
      <c r="Q1794" s="24" t="s">
        <v>39</v>
      </c>
      <c r="R1794" s="24" t="s">
        <v>86</v>
      </c>
      <c r="S1794" s="34">
        <v>0</v>
      </c>
      <c r="T1794" s="15">
        <v>32.4</v>
      </c>
      <c r="U1794" s="18">
        <v>15.552</v>
      </c>
      <c r="V1794" s="56">
        <f>Table11[[#This Row],[Profit]]/Table11[[#This Row],[Sales]]</f>
        <v>0.48</v>
      </c>
    </row>
    <row r="1795" spans="1:22" x14ac:dyDescent="0.2">
      <c r="A1795" s="4">
        <v>1794</v>
      </c>
      <c r="B1795" s="3" t="s">
        <v>8374</v>
      </c>
      <c r="C1795" s="7">
        <v>42339</v>
      </c>
      <c r="D1795" s="28">
        <f>MONTH(Table11[[#This Row],[Order Date]])</f>
        <v>12</v>
      </c>
      <c r="E1795" s="3" t="s">
        <v>794</v>
      </c>
      <c r="F1795" s="3" t="s">
        <v>795</v>
      </c>
      <c r="G1795" s="25" t="s">
        <v>28</v>
      </c>
      <c r="H1795" s="25" t="s">
        <v>50</v>
      </c>
      <c r="I1795" s="3" t="s">
        <v>549</v>
      </c>
      <c r="J1795" s="25" t="s">
        <v>92</v>
      </c>
      <c r="K1795" s="28">
        <v>9</v>
      </c>
      <c r="L1795" s="7">
        <v>42343</v>
      </c>
      <c r="M1795" s="28">
        <f>Table11[[#This Row],[Ship Date]]-Table11[[#This Row],[Order Date]]</f>
        <v>4</v>
      </c>
      <c r="N1795" s="25" t="s">
        <v>20</v>
      </c>
      <c r="O1795" s="25" t="s">
        <v>23</v>
      </c>
      <c r="P1795" s="25" t="s">
        <v>87</v>
      </c>
      <c r="Q1795" s="25" t="s">
        <v>39</v>
      </c>
      <c r="R1795" s="25" t="s">
        <v>86</v>
      </c>
      <c r="S1795" s="35">
        <v>0</v>
      </c>
      <c r="T1795" s="16">
        <v>1913.4</v>
      </c>
      <c r="U1795" s="19">
        <v>401.81400000000002</v>
      </c>
      <c r="V1795" s="56">
        <f>Table11[[#This Row],[Profit]]/Table11[[#This Row],[Sales]]</f>
        <v>0.21</v>
      </c>
    </row>
    <row r="1796" spans="1:22" x14ac:dyDescent="0.2">
      <c r="A1796" s="4">
        <v>1795</v>
      </c>
      <c r="B1796" s="5" t="s">
        <v>8374</v>
      </c>
      <c r="C1796" s="6">
        <v>42339</v>
      </c>
      <c r="D1796" s="27">
        <f>MONTH(Table11[[#This Row],[Order Date]])</f>
        <v>12</v>
      </c>
      <c r="E1796" s="5" t="s">
        <v>4124</v>
      </c>
      <c r="F1796" s="5" t="s">
        <v>4125</v>
      </c>
      <c r="G1796" s="24" t="s">
        <v>41</v>
      </c>
      <c r="H1796" s="24" t="s">
        <v>53</v>
      </c>
      <c r="I1796" s="5" t="s">
        <v>549</v>
      </c>
      <c r="J1796" s="24" t="s">
        <v>92</v>
      </c>
      <c r="K1796" s="27">
        <v>3</v>
      </c>
      <c r="L1796" s="6">
        <v>42343</v>
      </c>
      <c r="M1796" s="27">
        <f>Table11[[#This Row],[Ship Date]]-Table11[[#This Row],[Order Date]]</f>
        <v>4</v>
      </c>
      <c r="N1796" s="24" t="s">
        <v>20</v>
      </c>
      <c r="O1796" s="24" t="s">
        <v>23</v>
      </c>
      <c r="P1796" s="24" t="s">
        <v>87</v>
      </c>
      <c r="Q1796" s="24" t="s">
        <v>39</v>
      </c>
      <c r="R1796" s="24" t="s">
        <v>86</v>
      </c>
      <c r="S1796" s="34">
        <v>0</v>
      </c>
      <c r="T1796" s="15">
        <v>146.72999999999999</v>
      </c>
      <c r="U1796" s="18">
        <v>2.9346000000000001</v>
      </c>
      <c r="V1796" s="56">
        <f>Table11[[#This Row],[Profit]]/Table11[[#This Row],[Sales]]</f>
        <v>0.02</v>
      </c>
    </row>
    <row r="1797" spans="1:22" x14ac:dyDescent="0.2">
      <c r="A1797" s="2">
        <v>1796</v>
      </c>
      <c r="B1797" s="3" t="s">
        <v>8374</v>
      </c>
      <c r="C1797" s="7">
        <v>42339</v>
      </c>
      <c r="D1797" s="28">
        <f>MONTH(Table11[[#This Row],[Order Date]])</f>
        <v>12</v>
      </c>
      <c r="E1797" s="3" t="s">
        <v>1368</v>
      </c>
      <c r="F1797" s="3" t="s">
        <v>1369</v>
      </c>
      <c r="G1797" s="25" t="s">
        <v>41</v>
      </c>
      <c r="H1797" s="25" t="s">
        <v>82</v>
      </c>
      <c r="I1797" s="3" t="s">
        <v>549</v>
      </c>
      <c r="J1797" s="25" t="s">
        <v>92</v>
      </c>
      <c r="K1797" s="28">
        <v>5</v>
      </c>
      <c r="L1797" s="7">
        <v>42343</v>
      </c>
      <c r="M1797" s="28">
        <f>Table11[[#This Row],[Ship Date]]-Table11[[#This Row],[Order Date]]</f>
        <v>4</v>
      </c>
      <c r="N1797" s="25" t="s">
        <v>20</v>
      </c>
      <c r="O1797" s="25" t="s">
        <v>23</v>
      </c>
      <c r="P1797" s="25" t="s">
        <v>87</v>
      </c>
      <c r="Q1797" s="25" t="s">
        <v>39</v>
      </c>
      <c r="R1797" s="25" t="s">
        <v>86</v>
      </c>
      <c r="S1797" s="35">
        <v>0</v>
      </c>
      <c r="T1797" s="16">
        <v>114.2</v>
      </c>
      <c r="U1797" s="19">
        <v>52.531999999999996</v>
      </c>
      <c r="V1797" s="56">
        <f>Table11[[#This Row],[Profit]]/Table11[[#This Row],[Sales]]</f>
        <v>0.45999999999999996</v>
      </c>
    </row>
    <row r="1798" spans="1:22" x14ac:dyDescent="0.2">
      <c r="A1798" s="4">
        <v>1797</v>
      </c>
      <c r="B1798" s="5" t="s">
        <v>9517</v>
      </c>
      <c r="C1798" s="6">
        <v>42339</v>
      </c>
      <c r="D1798" s="27">
        <f>MONTH(Table11[[#This Row],[Order Date]])</f>
        <v>12</v>
      </c>
      <c r="E1798" s="5" t="s">
        <v>3001</v>
      </c>
      <c r="F1798" s="5" t="s">
        <v>3002</v>
      </c>
      <c r="G1798" s="24" t="s">
        <v>28</v>
      </c>
      <c r="H1798" s="24" t="s">
        <v>32</v>
      </c>
      <c r="I1798" s="5" t="s">
        <v>9038</v>
      </c>
      <c r="J1798" s="24" t="s">
        <v>92</v>
      </c>
      <c r="K1798" s="27">
        <v>9</v>
      </c>
      <c r="L1798" s="6">
        <v>42344</v>
      </c>
      <c r="M1798" s="27">
        <f>Table11[[#This Row],[Ship Date]]-Table11[[#This Row],[Order Date]]</f>
        <v>5</v>
      </c>
      <c r="N1798" s="24" t="s">
        <v>45</v>
      </c>
      <c r="O1798" s="24" t="s">
        <v>23</v>
      </c>
      <c r="P1798" s="24" t="s">
        <v>38</v>
      </c>
      <c r="Q1798" s="24" t="s">
        <v>39</v>
      </c>
      <c r="R1798" s="24" t="s">
        <v>836</v>
      </c>
      <c r="S1798" s="34">
        <v>0.2</v>
      </c>
      <c r="T1798" s="15">
        <v>2676.672</v>
      </c>
      <c r="U1798" s="18">
        <v>267.66719999999998</v>
      </c>
      <c r="V1798" s="56">
        <f>Table11[[#This Row],[Profit]]/Table11[[#This Row],[Sales]]</f>
        <v>9.9999999999999992E-2</v>
      </c>
    </row>
    <row r="1799" spans="1:22" x14ac:dyDescent="0.2">
      <c r="A1799" s="4">
        <v>1798</v>
      </c>
      <c r="B1799" s="3" t="s">
        <v>9782</v>
      </c>
      <c r="C1799" s="7">
        <v>42339</v>
      </c>
      <c r="D1799" s="28">
        <f>MONTH(Table11[[#This Row],[Order Date]])</f>
        <v>12</v>
      </c>
      <c r="E1799" s="3" t="s">
        <v>7824</v>
      </c>
      <c r="F1799" s="3" t="s">
        <v>7825</v>
      </c>
      <c r="G1799" s="25" t="s">
        <v>41</v>
      </c>
      <c r="H1799" s="25" t="s">
        <v>82</v>
      </c>
      <c r="I1799" s="3" t="s">
        <v>164</v>
      </c>
      <c r="J1799" s="25" t="s">
        <v>92</v>
      </c>
      <c r="K1799" s="28">
        <v>3</v>
      </c>
      <c r="L1799" s="7">
        <v>42343</v>
      </c>
      <c r="M1799" s="28">
        <f>Table11[[#This Row],[Ship Date]]-Table11[[#This Row],[Order Date]]</f>
        <v>4</v>
      </c>
      <c r="N1799" s="25" t="s">
        <v>45</v>
      </c>
      <c r="O1799" s="25" t="s">
        <v>23</v>
      </c>
      <c r="P1799" s="25" t="s">
        <v>212</v>
      </c>
      <c r="Q1799" s="25" t="s">
        <v>95</v>
      </c>
      <c r="R1799" s="25" t="s">
        <v>293</v>
      </c>
      <c r="S1799" s="35">
        <v>0</v>
      </c>
      <c r="T1799" s="16">
        <v>19.440000000000001</v>
      </c>
      <c r="U1799" s="19">
        <v>9.3312000000000008</v>
      </c>
      <c r="V1799" s="56">
        <f>Table11[[#This Row],[Profit]]/Table11[[#This Row],[Sales]]</f>
        <v>0.48000000000000004</v>
      </c>
    </row>
    <row r="1800" spans="1:22" x14ac:dyDescent="0.2">
      <c r="A1800" s="2">
        <v>1799</v>
      </c>
      <c r="B1800" s="5" t="s">
        <v>9782</v>
      </c>
      <c r="C1800" s="6">
        <v>42339</v>
      </c>
      <c r="D1800" s="27">
        <f>MONTH(Table11[[#This Row],[Order Date]])</f>
        <v>12</v>
      </c>
      <c r="E1800" s="5" t="s">
        <v>3731</v>
      </c>
      <c r="F1800" s="5" t="s">
        <v>3732</v>
      </c>
      <c r="G1800" s="24" t="s">
        <v>41</v>
      </c>
      <c r="H1800" s="24" t="s">
        <v>61</v>
      </c>
      <c r="I1800" s="5" t="s">
        <v>164</v>
      </c>
      <c r="J1800" s="24" t="s">
        <v>92</v>
      </c>
      <c r="K1800" s="27">
        <v>2</v>
      </c>
      <c r="L1800" s="6">
        <v>42343</v>
      </c>
      <c r="M1800" s="27">
        <f>Table11[[#This Row],[Ship Date]]-Table11[[#This Row],[Order Date]]</f>
        <v>4</v>
      </c>
      <c r="N1800" s="24" t="s">
        <v>45</v>
      </c>
      <c r="O1800" s="24" t="s">
        <v>23</v>
      </c>
      <c r="P1800" s="24" t="s">
        <v>212</v>
      </c>
      <c r="Q1800" s="24" t="s">
        <v>95</v>
      </c>
      <c r="R1800" s="24" t="s">
        <v>293</v>
      </c>
      <c r="S1800" s="34">
        <v>0</v>
      </c>
      <c r="T1800" s="15">
        <v>3.64</v>
      </c>
      <c r="U1800" s="18">
        <v>1.0192000000000001</v>
      </c>
      <c r="V1800" s="56">
        <f>Table11[[#This Row],[Profit]]/Table11[[#This Row],[Sales]]</f>
        <v>0.28000000000000003</v>
      </c>
    </row>
    <row r="1801" spans="1:22" x14ac:dyDescent="0.2">
      <c r="A1801" s="4">
        <v>1800</v>
      </c>
      <c r="B1801" s="3" t="s">
        <v>9782</v>
      </c>
      <c r="C1801" s="7">
        <v>42339</v>
      </c>
      <c r="D1801" s="28">
        <f>MONTH(Table11[[#This Row],[Order Date]])</f>
        <v>12</v>
      </c>
      <c r="E1801" s="3" t="s">
        <v>4649</v>
      </c>
      <c r="F1801" s="3" t="s">
        <v>4650</v>
      </c>
      <c r="G1801" s="25" t="s">
        <v>41</v>
      </c>
      <c r="H1801" s="25" t="s">
        <v>82</v>
      </c>
      <c r="I1801" s="3" t="s">
        <v>164</v>
      </c>
      <c r="J1801" s="25" t="s">
        <v>92</v>
      </c>
      <c r="K1801" s="28">
        <v>2</v>
      </c>
      <c r="L1801" s="7">
        <v>42343</v>
      </c>
      <c r="M1801" s="28">
        <f>Table11[[#This Row],[Ship Date]]-Table11[[#This Row],[Order Date]]</f>
        <v>4</v>
      </c>
      <c r="N1801" s="25" t="s">
        <v>45</v>
      </c>
      <c r="O1801" s="25" t="s">
        <v>23</v>
      </c>
      <c r="P1801" s="25" t="s">
        <v>212</v>
      </c>
      <c r="Q1801" s="25" t="s">
        <v>95</v>
      </c>
      <c r="R1801" s="25" t="s">
        <v>293</v>
      </c>
      <c r="S1801" s="35">
        <v>0</v>
      </c>
      <c r="T1801" s="16">
        <v>18.54</v>
      </c>
      <c r="U1801" s="19">
        <v>8.7138000000000009</v>
      </c>
      <c r="V1801" s="56">
        <f>Table11[[#This Row],[Profit]]/Table11[[#This Row],[Sales]]</f>
        <v>0.47000000000000008</v>
      </c>
    </row>
    <row r="1802" spans="1:22" x14ac:dyDescent="0.2">
      <c r="A1802" s="4">
        <v>1801</v>
      </c>
      <c r="B1802" s="5" t="s">
        <v>1200</v>
      </c>
      <c r="C1802" s="6">
        <v>42341</v>
      </c>
      <c r="D1802" s="27">
        <f>MONTH(Table11[[#This Row],[Order Date]])</f>
        <v>12</v>
      </c>
      <c r="E1802" s="5" t="s">
        <v>1202</v>
      </c>
      <c r="F1802" s="5" t="s">
        <v>1203</v>
      </c>
      <c r="G1802" s="24" t="s">
        <v>64</v>
      </c>
      <c r="H1802" s="24" t="s">
        <v>602</v>
      </c>
      <c r="I1802" s="5" t="s">
        <v>1201</v>
      </c>
      <c r="J1802" s="24" t="s">
        <v>36</v>
      </c>
      <c r="K1802" s="27">
        <v>4</v>
      </c>
      <c r="L1802" s="6">
        <v>42345</v>
      </c>
      <c r="M1802" s="27">
        <f>Table11[[#This Row],[Ship Date]]-Table11[[#This Row],[Order Date]]</f>
        <v>4</v>
      </c>
      <c r="N1802" s="24" t="s">
        <v>45</v>
      </c>
      <c r="O1802" s="24" t="s">
        <v>23</v>
      </c>
      <c r="P1802" s="24" t="s">
        <v>132</v>
      </c>
      <c r="Q1802" s="24" t="s">
        <v>133</v>
      </c>
      <c r="R1802" s="24" t="s">
        <v>131</v>
      </c>
      <c r="S1802" s="34">
        <v>0.7</v>
      </c>
      <c r="T1802" s="15">
        <v>482.34</v>
      </c>
      <c r="U1802" s="18">
        <v>-337.63799999999998</v>
      </c>
      <c r="V1802" s="56">
        <f>Table11[[#This Row],[Profit]]/Table11[[#This Row],[Sales]]</f>
        <v>-0.7</v>
      </c>
    </row>
    <row r="1803" spans="1:22" x14ac:dyDescent="0.2">
      <c r="A1803" s="2">
        <v>1802</v>
      </c>
      <c r="B1803" s="3" t="s">
        <v>1200</v>
      </c>
      <c r="C1803" s="7">
        <v>42341</v>
      </c>
      <c r="D1803" s="28">
        <f>MONTH(Table11[[#This Row],[Order Date]])</f>
        <v>12</v>
      </c>
      <c r="E1803" s="3" t="s">
        <v>1204</v>
      </c>
      <c r="F1803" s="3" t="s">
        <v>1205</v>
      </c>
      <c r="G1803" s="25" t="s">
        <v>28</v>
      </c>
      <c r="H1803" s="25" t="s">
        <v>58</v>
      </c>
      <c r="I1803" s="3" t="s">
        <v>1201</v>
      </c>
      <c r="J1803" s="25" t="s">
        <v>36</v>
      </c>
      <c r="K1803" s="28">
        <v>1</v>
      </c>
      <c r="L1803" s="7">
        <v>42345</v>
      </c>
      <c r="M1803" s="28">
        <f>Table11[[#This Row],[Ship Date]]-Table11[[#This Row],[Order Date]]</f>
        <v>4</v>
      </c>
      <c r="N1803" s="25" t="s">
        <v>45</v>
      </c>
      <c r="O1803" s="25" t="s">
        <v>23</v>
      </c>
      <c r="P1803" s="25" t="s">
        <v>132</v>
      </c>
      <c r="Q1803" s="25" t="s">
        <v>133</v>
      </c>
      <c r="R1803" s="25" t="s">
        <v>131</v>
      </c>
      <c r="S1803" s="35">
        <v>0.2</v>
      </c>
      <c r="T1803" s="16">
        <v>2.96</v>
      </c>
      <c r="U1803" s="19">
        <v>0.77700000000000002</v>
      </c>
      <c r="V1803" s="56">
        <f>Table11[[#This Row],[Profit]]/Table11[[#This Row],[Sales]]</f>
        <v>0.26250000000000001</v>
      </c>
    </row>
    <row r="1804" spans="1:22" x14ac:dyDescent="0.2">
      <c r="A1804" s="4">
        <v>1803</v>
      </c>
      <c r="B1804" s="5" t="s">
        <v>1620</v>
      </c>
      <c r="C1804" s="6">
        <v>42341</v>
      </c>
      <c r="D1804" s="27">
        <f>MONTH(Table11[[#This Row],[Order Date]])</f>
        <v>12</v>
      </c>
      <c r="E1804" s="5" t="s">
        <v>1621</v>
      </c>
      <c r="F1804" s="5" t="s">
        <v>1622</v>
      </c>
      <c r="G1804" s="24" t="s">
        <v>41</v>
      </c>
      <c r="H1804" s="24" t="s">
        <v>68</v>
      </c>
      <c r="I1804" s="5" t="s">
        <v>673</v>
      </c>
      <c r="J1804" s="24" t="s">
        <v>92</v>
      </c>
      <c r="K1804" s="27">
        <v>4</v>
      </c>
      <c r="L1804" s="6">
        <v>42346</v>
      </c>
      <c r="M1804" s="27">
        <f>Table11[[#This Row],[Ship Date]]-Table11[[#This Row],[Order Date]]</f>
        <v>5</v>
      </c>
      <c r="N1804" s="24" t="s">
        <v>45</v>
      </c>
      <c r="O1804" s="24" t="s">
        <v>23</v>
      </c>
      <c r="P1804" s="24" t="s">
        <v>238</v>
      </c>
      <c r="Q1804" s="24" t="s">
        <v>133</v>
      </c>
      <c r="R1804" s="24" t="s">
        <v>237</v>
      </c>
      <c r="S1804" s="34">
        <v>0.2</v>
      </c>
      <c r="T1804" s="15">
        <v>10.752000000000001</v>
      </c>
      <c r="U1804" s="18">
        <v>3.36</v>
      </c>
      <c r="V1804" s="56">
        <f>Table11[[#This Row],[Profit]]/Table11[[#This Row],[Sales]]</f>
        <v>0.31249999999999994</v>
      </c>
    </row>
    <row r="1805" spans="1:22" x14ac:dyDescent="0.2">
      <c r="A1805" s="4">
        <v>1804</v>
      </c>
      <c r="B1805" s="3" t="s">
        <v>6076</v>
      </c>
      <c r="C1805" s="7">
        <v>42341</v>
      </c>
      <c r="D1805" s="28">
        <f>MONTH(Table11[[#This Row],[Order Date]])</f>
        <v>12</v>
      </c>
      <c r="E1805" s="3" t="s">
        <v>5922</v>
      </c>
      <c r="F1805" s="3" t="s">
        <v>5923</v>
      </c>
      <c r="G1805" s="25" t="s">
        <v>41</v>
      </c>
      <c r="H1805" s="25" t="s">
        <v>82</v>
      </c>
      <c r="I1805" s="3" t="s">
        <v>3245</v>
      </c>
      <c r="J1805" s="25" t="s">
        <v>92</v>
      </c>
      <c r="K1805" s="28">
        <v>2</v>
      </c>
      <c r="L1805" s="7">
        <v>42346</v>
      </c>
      <c r="M1805" s="28">
        <f>Table11[[#This Row],[Ship Date]]-Table11[[#This Row],[Order Date]]</f>
        <v>5</v>
      </c>
      <c r="N1805" s="25" t="s">
        <v>45</v>
      </c>
      <c r="O1805" s="25" t="s">
        <v>23</v>
      </c>
      <c r="P1805" s="25" t="s">
        <v>132</v>
      </c>
      <c r="Q1805" s="25" t="s">
        <v>133</v>
      </c>
      <c r="R1805" s="25" t="s">
        <v>131</v>
      </c>
      <c r="S1805" s="35">
        <v>0.2</v>
      </c>
      <c r="T1805" s="16">
        <v>16.448</v>
      </c>
      <c r="U1805" s="19">
        <v>5.5511999999999997</v>
      </c>
      <c r="V1805" s="56">
        <f>Table11[[#This Row],[Profit]]/Table11[[#This Row],[Sales]]</f>
        <v>0.33749999999999997</v>
      </c>
    </row>
    <row r="1806" spans="1:22" x14ac:dyDescent="0.2">
      <c r="A1806" s="2">
        <v>1805</v>
      </c>
      <c r="B1806" s="5" t="s">
        <v>6076</v>
      </c>
      <c r="C1806" s="6">
        <v>42341</v>
      </c>
      <c r="D1806" s="27">
        <f>MONTH(Table11[[#This Row],[Order Date]])</f>
        <v>12</v>
      </c>
      <c r="E1806" s="5" t="s">
        <v>205</v>
      </c>
      <c r="F1806" s="5" t="s">
        <v>206</v>
      </c>
      <c r="G1806" s="24" t="s">
        <v>64</v>
      </c>
      <c r="H1806" s="24" t="s">
        <v>144</v>
      </c>
      <c r="I1806" s="5" t="s">
        <v>3245</v>
      </c>
      <c r="J1806" s="24" t="s">
        <v>92</v>
      </c>
      <c r="K1806" s="27">
        <v>2</v>
      </c>
      <c r="L1806" s="6">
        <v>42346</v>
      </c>
      <c r="M1806" s="27">
        <f>Table11[[#This Row],[Ship Date]]-Table11[[#This Row],[Order Date]]</f>
        <v>5</v>
      </c>
      <c r="N1806" s="24" t="s">
        <v>45</v>
      </c>
      <c r="O1806" s="24" t="s">
        <v>23</v>
      </c>
      <c r="P1806" s="24" t="s">
        <v>132</v>
      </c>
      <c r="Q1806" s="24" t="s">
        <v>133</v>
      </c>
      <c r="R1806" s="24" t="s">
        <v>131</v>
      </c>
      <c r="S1806" s="34">
        <v>0.2</v>
      </c>
      <c r="T1806" s="15">
        <v>36.783999999999999</v>
      </c>
      <c r="U1806" s="18">
        <v>10.5754</v>
      </c>
      <c r="V1806" s="56">
        <f>Table11[[#This Row],[Profit]]/Table11[[#This Row],[Sales]]</f>
        <v>0.28750000000000003</v>
      </c>
    </row>
    <row r="1807" spans="1:22" x14ac:dyDescent="0.2">
      <c r="A1807" s="4">
        <v>1806</v>
      </c>
      <c r="B1807" s="3" t="s">
        <v>7601</v>
      </c>
      <c r="C1807" s="7">
        <v>42341</v>
      </c>
      <c r="D1807" s="28">
        <f>MONTH(Table11[[#This Row],[Order Date]])</f>
        <v>12</v>
      </c>
      <c r="E1807" s="3" t="s">
        <v>6886</v>
      </c>
      <c r="F1807" s="3" t="s">
        <v>6887</v>
      </c>
      <c r="G1807" s="25" t="s">
        <v>41</v>
      </c>
      <c r="H1807" s="25" t="s">
        <v>68</v>
      </c>
      <c r="I1807" s="3" t="s">
        <v>3783</v>
      </c>
      <c r="J1807" s="25" t="s">
        <v>36</v>
      </c>
      <c r="K1807" s="28">
        <v>6</v>
      </c>
      <c r="L1807" s="7">
        <v>42345</v>
      </c>
      <c r="M1807" s="28">
        <f>Table11[[#This Row],[Ship Date]]-Table11[[#This Row],[Order Date]]</f>
        <v>4</v>
      </c>
      <c r="N1807" s="25" t="s">
        <v>45</v>
      </c>
      <c r="O1807" s="25" t="s">
        <v>23</v>
      </c>
      <c r="P1807" s="25" t="s">
        <v>238</v>
      </c>
      <c r="Q1807" s="25" t="s">
        <v>133</v>
      </c>
      <c r="R1807" s="25" t="s">
        <v>237</v>
      </c>
      <c r="S1807" s="35">
        <v>0.2</v>
      </c>
      <c r="T1807" s="16">
        <v>590.35199999999998</v>
      </c>
      <c r="U1807" s="19">
        <v>206.6232</v>
      </c>
      <c r="V1807" s="56">
        <f>Table11[[#This Row],[Profit]]/Table11[[#This Row],[Sales]]</f>
        <v>0.35000000000000003</v>
      </c>
    </row>
    <row r="1808" spans="1:22" x14ac:dyDescent="0.2">
      <c r="A1808" s="4">
        <v>1807</v>
      </c>
      <c r="B1808" s="5" t="s">
        <v>9415</v>
      </c>
      <c r="C1808" s="6">
        <v>42341</v>
      </c>
      <c r="D1808" s="27">
        <f>MONTH(Table11[[#This Row],[Order Date]])</f>
        <v>12</v>
      </c>
      <c r="E1808" s="5" t="s">
        <v>4452</v>
      </c>
      <c r="F1808" s="5" t="s">
        <v>4922</v>
      </c>
      <c r="G1808" s="24" t="s">
        <v>28</v>
      </c>
      <c r="H1808" s="24" t="s">
        <v>29</v>
      </c>
      <c r="I1808" s="5" t="s">
        <v>4890</v>
      </c>
      <c r="J1808" s="24" t="s">
        <v>22</v>
      </c>
      <c r="K1808" s="27">
        <v>3</v>
      </c>
      <c r="L1808" s="6">
        <v>42345</v>
      </c>
      <c r="M1808" s="27">
        <f>Table11[[#This Row],[Ship Date]]-Table11[[#This Row],[Order Date]]</f>
        <v>4</v>
      </c>
      <c r="N1808" s="24" t="s">
        <v>45</v>
      </c>
      <c r="O1808" s="24" t="s">
        <v>23</v>
      </c>
      <c r="P1808" s="24" t="s">
        <v>38</v>
      </c>
      <c r="Q1808" s="24" t="s">
        <v>39</v>
      </c>
      <c r="R1808" s="24" t="s">
        <v>114</v>
      </c>
      <c r="S1808" s="34">
        <v>0.15</v>
      </c>
      <c r="T1808" s="15">
        <v>359.49900000000002</v>
      </c>
      <c r="U1808" s="18">
        <v>-29.605799999999999</v>
      </c>
      <c r="V1808" s="56">
        <f>Table11[[#This Row],[Profit]]/Table11[[#This Row],[Sales]]</f>
        <v>-8.2352941176470573E-2</v>
      </c>
    </row>
    <row r="1809" spans="1:22" x14ac:dyDescent="0.2">
      <c r="A1809" s="2">
        <v>1808</v>
      </c>
      <c r="B1809" s="3" t="s">
        <v>9572</v>
      </c>
      <c r="C1809" s="7">
        <v>42341</v>
      </c>
      <c r="D1809" s="28">
        <f>MONTH(Table11[[#This Row],[Order Date]])</f>
        <v>12</v>
      </c>
      <c r="E1809" s="3" t="s">
        <v>2046</v>
      </c>
      <c r="F1809" s="3" t="s">
        <v>2047</v>
      </c>
      <c r="G1809" s="25" t="s">
        <v>28</v>
      </c>
      <c r="H1809" s="25" t="s">
        <v>58</v>
      </c>
      <c r="I1809" s="3" t="s">
        <v>1215</v>
      </c>
      <c r="J1809" s="25" t="s">
        <v>22</v>
      </c>
      <c r="K1809" s="28">
        <v>3</v>
      </c>
      <c r="L1809" s="7">
        <v>42345</v>
      </c>
      <c r="M1809" s="28">
        <f>Table11[[#This Row],[Ship Date]]-Table11[[#This Row],[Order Date]]</f>
        <v>4</v>
      </c>
      <c r="N1809" s="25" t="s">
        <v>45</v>
      </c>
      <c r="O1809" s="25" t="s">
        <v>23</v>
      </c>
      <c r="P1809" s="25" t="s">
        <v>80</v>
      </c>
      <c r="Q1809" s="25" t="s">
        <v>26</v>
      </c>
      <c r="R1809" s="25" t="s">
        <v>1345</v>
      </c>
      <c r="S1809" s="35">
        <v>0.2</v>
      </c>
      <c r="T1809" s="16">
        <v>77.951999999999998</v>
      </c>
      <c r="U1809" s="19">
        <v>12.667199999999999</v>
      </c>
      <c r="V1809" s="56">
        <f>Table11[[#This Row],[Profit]]/Table11[[#This Row],[Sales]]</f>
        <v>0.16250000000000001</v>
      </c>
    </row>
    <row r="1810" spans="1:22" x14ac:dyDescent="0.2">
      <c r="A1810" s="4">
        <v>1809</v>
      </c>
      <c r="B1810" s="5" t="s">
        <v>9572</v>
      </c>
      <c r="C1810" s="6">
        <v>42341</v>
      </c>
      <c r="D1810" s="27">
        <f>MONTH(Table11[[#This Row],[Order Date]])</f>
        <v>12</v>
      </c>
      <c r="E1810" s="5" t="s">
        <v>4429</v>
      </c>
      <c r="F1810" s="5" t="s">
        <v>4430</v>
      </c>
      <c r="G1810" s="24" t="s">
        <v>41</v>
      </c>
      <c r="H1810" s="24" t="s">
        <v>68</v>
      </c>
      <c r="I1810" s="5" t="s">
        <v>1215</v>
      </c>
      <c r="J1810" s="24" t="s">
        <v>22</v>
      </c>
      <c r="K1810" s="27">
        <v>5</v>
      </c>
      <c r="L1810" s="6">
        <v>42345</v>
      </c>
      <c r="M1810" s="27">
        <f>Table11[[#This Row],[Ship Date]]-Table11[[#This Row],[Order Date]]</f>
        <v>4</v>
      </c>
      <c r="N1810" s="24" t="s">
        <v>45</v>
      </c>
      <c r="O1810" s="24" t="s">
        <v>23</v>
      </c>
      <c r="P1810" s="24" t="s">
        <v>80</v>
      </c>
      <c r="Q1810" s="24" t="s">
        <v>26</v>
      </c>
      <c r="R1810" s="24" t="s">
        <v>1345</v>
      </c>
      <c r="S1810" s="34">
        <v>0.7</v>
      </c>
      <c r="T1810" s="15">
        <v>95.97</v>
      </c>
      <c r="U1810" s="18">
        <v>-73.576999999999998</v>
      </c>
      <c r="V1810" s="56">
        <f>Table11[[#This Row],[Profit]]/Table11[[#This Row],[Sales]]</f>
        <v>-0.76666666666666661</v>
      </c>
    </row>
    <row r="1811" spans="1:22" x14ac:dyDescent="0.2">
      <c r="A1811" s="4">
        <v>1810</v>
      </c>
      <c r="B1811" s="3" t="s">
        <v>9572</v>
      </c>
      <c r="C1811" s="7">
        <v>42341</v>
      </c>
      <c r="D1811" s="28">
        <f>MONTH(Table11[[#This Row],[Order Date]])</f>
        <v>12</v>
      </c>
      <c r="E1811" s="3" t="s">
        <v>735</v>
      </c>
      <c r="F1811" s="3" t="s">
        <v>736</v>
      </c>
      <c r="G1811" s="25" t="s">
        <v>64</v>
      </c>
      <c r="H1811" s="25" t="s">
        <v>65</v>
      </c>
      <c r="I1811" s="3" t="s">
        <v>1215</v>
      </c>
      <c r="J1811" s="25" t="s">
        <v>22</v>
      </c>
      <c r="K1811" s="28">
        <v>2</v>
      </c>
      <c r="L1811" s="7">
        <v>42345</v>
      </c>
      <c r="M1811" s="28">
        <f>Table11[[#This Row],[Ship Date]]-Table11[[#This Row],[Order Date]]</f>
        <v>4</v>
      </c>
      <c r="N1811" s="25" t="s">
        <v>45</v>
      </c>
      <c r="O1811" s="25" t="s">
        <v>23</v>
      </c>
      <c r="P1811" s="25" t="s">
        <v>80</v>
      </c>
      <c r="Q1811" s="25" t="s">
        <v>26</v>
      </c>
      <c r="R1811" s="25" t="s">
        <v>1345</v>
      </c>
      <c r="S1811" s="35">
        <v>0.2</v>
      </c>
      <c r="T1811" s="16">
        <v>105.584</v>
      </c>
      <c r="U1811" s="19">
        <v>9.2385999999999999</v>
      </c>
      <c r="V1811" s="56">
        <f>Table11[[#This Row],[Profit]]/Table11[[#This Row],[Sales]]</f>
        <v>8.7499999999999994E-2</v>
      </c>
    </row>
    <row r="1812" spans="1:22" x14ac:dyDescent="0.2">
      <c r="A1812" s="2">
        <v>1811</v>
      </c>
      <c r="B1812" s="5" t="s">
        <v>9572</v>
      </c>
      <c r="C1812" s="6">
        <v>42341</v>
      </c>
      <c r="D1812" s="27">
        <f>MONTH(Table11[[#This Row],[Order Date]])</f>
        <v>12</v>
      </c>
      <c r="E1812" s="5" t="s">
        <v>1754</v>
      </c>
      <c r="F1812" s="5" t="s">
        <v>1755</v>
      </c>
      <c r="G1812" s="24" t="s">
        <v>41</v>
      </c>
      <c r="H1812" s="24" t="s">
        <v>61</v>
      </c>
      <c r="I1812" s="5" t="s">
        <v>1215</v>
      </c>
      <c r="J1812" s="24" t="s">
        <v>22</v>
      </c>
      <c r="K1812" s="27">
        <v>2</v>
      </c>
      <c r="L1812" s="6">
        <v>42345</v>
      </c>
      <c r="M1812" s="27">
        <f>Table11[[#This Row],[Ship Date]]-Table11[[#This Row],[Order Date]]</f>
        <v>4</v>
      </c>
      <c r="N1812" s="24" t="s">
        <v>45</v>
      </c>
      <c r="O1812" s="24" t="s">
        <v>23</v>
      </c>
      <c r="P1812" s="24" t="s">
        <v>80</v>
      </c>
      <c r="Q1812" s="24" t="s">
        <v>26</v>
      </c>
      <c r="R1812" s="24" t="s">
        <v>1345</v>
      </c>
      <c r="S1812" s="34">
        <v>0.2</v>
      </c>
      <c r="T1812" s="15">
        <v>9.3439999999999994</v>
      </c>
      <c r="U1812" s="18">
        <v>1.1679999999999999</v>
      </c>
      <c r="V1812" s="56">
        <f>Table11[[#This Row],[Profit]]/Table11[[#This Row],[Sales]]</f>
        <v>0.125</v>
      </c>
    </row>
    <row r="1813" spans="1:22" x14ac:dyDescent="0.2">
      <c r="A1813" s="4">
        <v>1812</v>
      </c>
      <c r="B1813" s="3" t="s">
        <v>9911</v>
      </c>
      <c r="C1813" s="7">
        <v>42341</v>
      </c>
      <c r="D1813" s="28">
        <f>MONTH(Table11[[#This Row],[Order Date]])</f>
        <v>12</v>
      </c>
      <c r="E1813" s="3" t="s">
        <v>2689</v>
      </c>
      <c r="F1813" s="3" t="s">
        <v>2690</v>
      </c>
      <c r="G1813" s="25" t="s">
        <v>41</v>
      </c>
      <c r="H1813" s="25" t="s">
        <v>82</v>
      </c>
      <c r="I1813" s="3" t="s">
        <v>91</v>
      </c>
      <c r="J1813" s="25" t="s">
        <v>92</v>
      </c>
      <c r="K1813" s="28">
        <v>7</v>
      </c>
      <c r="L1813" s="7">
        <v>42343</v>
      </c>
      <c r="M1813" s="28">
        <f>Table11[[#This Row],[Ship Date]]-Table11[[#This Row],[Order Date]]</f>
        <v>2</v>
      </c>
      <c r="N1813" s="25" t="s">
        <v>20</v>
      </c>
      <c r="O1813" s="25" t="s">
        <v>23</v>
      </c>
      <c r="P1813" s="25" t="s">
        <v>2373</v>
      </c>
      <c r="Q1813" s="25" t="s">
        <v>133</v>
      </c>
      <c r="R1813" s="25" t="s">
        <v>79</v>
      </c>
      <c r="S1813" s="35">
        <v>0</v>
      </c>
      <c r="T1813" s="16">
        <v>184.66</v>
      </c>
      <c r="U1813" s="19">
        <v>84.943600000000004</v>
      </c>
      <c r="V1813" s="56">
        <f>Table11[[#This Row],[Profit]]/Table11[[#This Row],[Sales]]</f>
        <v>0.46</v>
      </c>
    </row>
    <row r="1814" spans="1:22" x14ac:dyDescent="0.2">
      <c r="A1814" s="4">
        <v>1813</v>
      </c>
      <c r="B1814" s="5" t="s">
        <v>5261</v>
      </c>
      <c r="C1814" s="6">
        <v>42342</v>
      </c>
      <c r="D1814" s="27">
        <f>MONTH(Table11[[#This Row],[Order Date]])</f>
        <v>12</v>
      </c>
      <c r="E1814" s="5" t="s">
        <v>4784</v>
      </c>
      <c r="F1814" s="5" t="s">
        <v>4785</v>
      </c>
      <c r="G1814" s="24" t="s">
        <v>41</v>
      </c>
      <c r="H1814" s="24" t="s">
        <v>68</v>
      </c>
      <c r="I1814" s="5" t="s">
        <v>5262</v>
      </c>
      <c r="J1814" s="24" t="s">
        <v>22</v>
      </c>
      <c r="K1814" s="27">
        <v>3</v>
      </c>
      <c r="L1814" s="6">
        <v>42346</v>
      </c>
      <c r="M1814" s="27">
        <f>Table11[[#This Row],[Ship Date]]-Table11[[#This Row],[Order Date]]</f>
        <v>4</v>
      </c>
      <c r="N1814" s="24" t="s">
        <v>45</v>
      </c>
      <c r="O1814" s="24" t="s">
        <v>23</v>
      </c>
      <c r="P1814" s="24" t="s">
        <v>48</v>
      </c>
      <c r="Q1814" s="24" t="s">
        <v>26</v>
      </c>
      <c r="R1814" s="24" t="s">
        <v>5021</v>
      </c>
      <c r="S1814" s="34">
        <v>0.7</v>
      </c>
      <c r="T1814" s="15">
        <v>8.2260000000000009</v>
      </c>
      <c r="U1814" s="18">
        <v>-6.0324</v>
      </c>
      <c r="V1814" s="56">
        <f>Table11[[#This Row],[Profit]]/Table11[[#This Row],[Sales]]</f>
        <v>-0.73333333333333328</v>
      </c>
    </row>
    <row r="1815" spans="1:22" x14ac:dyDescent="0.2">
      <c r="A1815" s="2">
        <v>1814</v>
      </c>
      <c r="B1815" s="3" t="s">
        <v>5883</v>
      </c>
      <c r="C1815" s="7">
        <v>42342</v>
      </c>
      <c r="D1815" s="28">
        <f>MONTH(Table11[[#This Row],[Order Date]])</f>
        <v>12</v>
      </c>
      <c r="E1815" s="3" t="s">
        <v>5490</v>
      </c>
      <c r="F1815" s="3" t="s">
        <v>5491</v>
      </c>
      <c r="G1815" s="25" t="s">
        <v>28</v>
      </c>
      <c r="H1815" s="25" t="s">
        <v>58</v>
      </c>
      <c r="I1815" s="3" t="s">
        <v>46</v>
      </c>
      <c r="J1815" s="25" t="s">
        <v>22</v>
      </c>
      <c r="K1815" s="28">
        <v>3</v>
      </c>
      <c r="L1815" s="7">
        <v>42348</v>
      </c>
      <c r="M1815" s="28">
        <f>Table11[[#This Row],[Ship Date]]-Table11[[#This Row],[Order Date]]</f>
        <v>6</v>
      </c>
      <c r="N1815" s="25" t="s">
        <v>45</v>
      </c>
      <c r="O1815" s="25" t="s">
        <v>23</v>
      </c>
      <c r="P1815" s="25" t="s">
        <v>238</v>
      </c>
      <c r="Q1815" s="25" t="s">
        <v>133</v>
      </c>
      <c r="R1815" s="25" t="s">
        <v>5438</v>
      </c>
      <c r="S1815" s="35">
        <v>0</v>
      </c>
      <c r="T1815" s="16">
        <v>28.44</v>
      </c>
      <c r="U1815" s="19">
        <v>11.375999999999999</v>
      </c>
      <c r="V1815" s="56">
        <f>Table11[[#This Row],[Profit]]/Table11[[#This Row],[Sales]]</f>
        <v>0.39999999999999997</v>
      </c>
    </row>
    <row r="1816" spans="1:22" x14ac:dyDescent="0.2">
      <c r="A1816" s="4">
        <v>1815</v>
      </c>
      <c r="B1816" s="5" t="s">
        <v>5883</v>
      </c>
      <c r="C1816" s="6">
        <v>42342</v>
      </c>
      <c r="D1816" s="27">
        <f>MONTH(Table11[[#This Row],[Order Date]])</f>
        <v>12</v>
      </c>
      <c r="E1816" s="5" t="s">
        <v>1370</v>
      </c>
      <c r="F1816" s="5" t="s">
        <v>1371</v>
      </c>
      <c r="G1816" s="24" t="s">
        <v>28</v>
      </c>
      <c r="H1816" s="24" t="s">
        <v>32</v>
      </c>
      <c r="I1816" s="5" t="s">
        <v>46</v>
      </c>
      <c r="J1816" s="24" t="s">
        <v>22</v>
      </c>
      <c r="K1816" s="27">
        <v>5</v>
      </c>
      <c r="L1816" s="6">
        <v>42348</v>
      </c>
      <c r="M1816" s="27">
        <f>Table11[[#This Row],[Ship Date]]-Table11[[#This Row],[Order Date]]</f>
        <v>6</v>
      </c>
      <c r="N1816" s="24" t="s">
        <v>45</v>
      </c>
      <c r="O1816" s="24" t="s">
        <v>23</v>
      </c>
      <c r="P1816" s="24" t="s">
        <v>238</v>
      </c>
      <c r="Q1816" s="24" t="s">
        <v>133</v>
      </c>
      <c r="R1816" s="24" t="s">
        <v>5438</v>
      </c>
      <c r="S1816" s="34">
        <v>0.1</v>
      </c>
      <c r="T1816" s="15">
        <v>364.41</v>
      </c>
      <c r="U1816" s="18">
        <v>8.0980000000000008</v>
      </c>
      <c r="V1816" s="56">
        <f>Table11[[#This Row],[Profit]]/Table11[[#This Row],[Sales]]</f>
        <v>2.2222222222222223E-2</v>
      </c>
    </row>
    <row r="1817" spans="1:22" x14ac:dyDescent="0.2">
      <c r="A1817" s="4">
        <v>1816</v>
      </c>
      <c r="B1817" s="3" t="s">
        <v>5883</v>
      </c>
      <c r="C1817" s="7">
        <v>42342</v>
      </c>
      <c r="D1817" s="28">
        <f>MONTH(Table11[[#This Row],[Order Date]])</f>
        <v>12</v>
      </c>
      <c r="E1817" s="3" t="s">
        <v>1489</v>
      </c>
      <c r="F1817" s="3" t="s">
        <v>1490</v>
      </c>
      <c r="G1817" s="25" t="s">
        <v>64</v>
      </c>
      <c r="H1817" s="25" t="s">
        <v>65</v>
      </c>
      <c r="I1817" s="3" t="s">
        <v>46</v>
      </c>
      <c r="J1817" s="25" t="s">
        <v>22</v>
      </c>
      <c r="K1817" s="28">
        <v>4</v>
      </c>
      <c r="L1817" s="7">
        <v>42348</v>
      </c>
      <c r="M1817" s="28">
        <f>Table11[[#This Row],[Ship Date]]-Table11[[#This Row],[Order Date]]</f>
        <v>6</v>
      </c>
      <c r="N1817" s="25" t="s">
        <v>45</v>
      </c>
      <c r="O1817" s="25" t="s">
        <v>23</v>
      </c>
      <c r="P1817" s="25" t="s">
        <v>238</v>
      </c>
      <c r="Q1817" s="25" t="s">
        <v>133</v>
      </c>
      <c r="R1817" s="25" t="s">
        <v>5438</v>
      </c>
      <c r="S1817" s="35">
        <v>0</v>
      </c>
      <c r="T1817" s="16">
        <v>39.96</v>
      </c>
      <c r="U1817" s="19">
        <v>10.3896</v>
      </c>
      <c r="V1817" s="56">
        <f>Table11[[#This Row],[Profit]]/Table11[[#This Row],[Sales]]</f>
        <v>0.26</v>
      </c>
    </row>
    <row r="1818" spans="1:22" x14ac:dyDescent="0.2">
      <c r="A1818" s="2">
        <v>1817</v>
      </c>
      <c r="B1818" s="5" t="s">
        <v>5883</v>
      </c>
      <c r="C1818" s="6">
        <v>42342</v>
      </c>
      <c r="D1818" s="27">
        <f>MONTH(Table11[[#This Row],[Order Date]])</f>
        <v>12</v>
      </c>
      <c r="E1818" s="5" t="s">
        <v>832</v>
      </c>
      <c r="F1818" s="5" t="s">
        <v>833</v>
      </c>
      <c r="G1818" s="24" t="s">
        <v>28</v>
      </c>
      <c r="H1818" s="24" t="s">
        <v>32</v>
      </c>
      <c r="I1818" s="5" t="s">
        <v>46</v>
      </c>
      <c r="J1818" s="24" t="s">
        <v>22</v>
      </c>
      <c r="K1818" s="27">
        <v>2</v>
      </c>
      <c r="L1818" s="6">
        <v>42348</v>
      </c>
      <c r="M1818" s="27">
        <f>Table11[[#This Row],[Ship Date]]-Table11[[#This Row],[Order Date]]</f>
        <v>6</v>
      </c>
      <c r="N1818" s="24" t="s">
        <v>45</v>
      </c>
      <c r="O1818" s="24" t="s">
        <v>23</v>
      </c>
      <c r="P1818" s="24" t="s">
        <v>238</v>
      </c>
      <c r="Q1818" s="24" t="s">
        <v>133</v>
      </c>
      <c r="R1818" s="24" t="s">
        <v>5438</v>
      </c>
      <c r="S1818" s="34">
        <v>0.1</v>
      </c>
      <c r="T1818" s="15">
        <v>361.76400000000001</v>
      </c>
      <c r="U1818" s="18">
        <v>68.333200000000005</v>
      </c>
      <c r="V1818" s="56">
        <f>Table11[[#This Row],[Profit]]/Table11[[#This Row],[Sales]]</f>
        <v>0.18888888888888888</v>
      </c>
    </row>
    <row r="1819" spans="1:22" x14ac:dyDescent="0.2">
      <c r="A1819" s="4">
        <v>1818</v>
      </c>
      <c r="B1819" s="3" t="s">
        <v>5895</v>
      </c>
      <c r="C1819" s="7">
        <v>42342</v>
      </c>
      <c r="D1819" s="28">
        <f>MONTH(Table11[[#This Row],[Order Date]])</f>
        <v>12</v>
      </c>
      <c r="E1819" s="3" t="s">
        <v>4738</v>
      </c>
      <c r="F1819" s="3" t="s">
        <v>4739</v>
      </c>
      <c r="G1819" s="25" t="s">
        <v>41</v>
      </c>
      <c r="H1819" s="25" t="s">
        <v>155</v>
      </c>
      <c r="I1819" s="3" t="s">
        <v>2428</v>
      </c>
      <c r="J1819" s="25" t="s">
        <v>22</v>
      </c>
      <c r="K1819" s="28">
        <v>3</v>
      </c>
      <c r="L1819" s="7">
        <v>42347</v>
      </c>
      <c r="M1819" s="28">
        <f>Table11[[#This Row],[Ship Date]]-Table11[[#This Row],[Order Date]]</f>
        <v>5</v>
      </c>
      <c r="N1819" s="25" t="s">
        <v>20</v>
      </c>
      <c r="O1819" s="25" t="s">
        <v>23</v>
      </c>
      <c r="P1819" s="25" t="s">
        <v>238</v>
      </c>
      <c r="Q1819" s="25" t="s">
        <v>133</v>
      </c>
      <c r="R1819" s="25" t="s">
        <v>237</v>
      </c>
      <c r="S1819" s="35">
        <v>0</v>
      </c>
      <c r="T1819" s="16">
        <v>17.940000000000001</v>
      </c>
      <c r="U1819" s="19">
        <v>8.7905999999999995</v>
      </c>
      <c r="V1819" s="56">
        <f>Table11[[#This Row],[Profit]]/Table11[[#This Row],[Sales]]</f>
        <v>0.48999999999999994</v>
      </c>
    </row>
    <row r="1820" spans="1:22" x14ac:dyDescent="0.2">
      <c r="A1820" s="4">
        <v>1819</v>
      </c>
      <c r="B1820" s="5" t="s">
        <v>5895</v>
      </c>
      <c r="C1820" s="6">
        <v>42342</v>
      </c>
      <c r="D1820" s="27">
        <f>MONTH(Table11[[#This Row],[Order Date]])</f>
        <v>12</v>
      </c>
      <c r="E1820" s="5" t="s">
        <v>5896</v>
      </c>
      <c r="F1820" s="5" t="s">
        <v>5897</v>
      </c>
      <c r="G1820" s="24" t="s">
        <v>28</v>
      </c>
      <c r="H1820" s="24" t="s">
        <v>32</v>
      </c>
      <c r="I1820" s="5" t="s">
        <v>2428</v>
      </c>
      <c r="J1820" s="24" t="s">
        <v>22</v>
      </c>
      <c r="K1820" s="27">
        <v>7</v>
      </c>
      <c r="L1820" s="6">
        <v>42347</v>
      </c>
      <c r="M1820" s="27">
        <f>Table11[[#This Row],[Ship Date]]-Table11[[#This Row],[Order Date]]</f>
        <v>5</v>
      </c>
      <c r="N1820" s="24" t="s">
        <v>20</v>
      </c>
      <c r="O1820" s="24" t="s">
        <v>23</v>
      </c>
      <c r="P1820" s="24" t="s">
        <v>238</v>
      </c>
      <c r="Q1820" s="24" t="s">
        <v>133</v>
      </c>
      <c r="R1820" s="24" t="s">
        <v>237</v>
      </c>
      <c r="S1820" s="34">
        <v>0.1</v>
      </c>
      <c r="T1820" s="15">
        <v>384.17399999999998</v>
      </c>
      <c r="U1820" s="18">
        <v>29.880199999999999</v>
      </c>
      <c r="V1820" s="56">
        <f>Table11[[#This Row],[Profit]]/Table11[[#This Row],[Sales]]</f>
        <v>7.7777777777777779E-2</v>
      </c>
    </row>
    <row r="1821" spans="1:22" x14ac:dyDescent="0.2">
      <c r="A1821" s="2">
        <v>1820</v>
      </c>
      <c r="B1821" s="3" t="s">
        <v>5895</v>
      </c>
      <c r="C1821" s="7">
        <v>42342</v>
      </c>
      <c r="D1821" s="28">
        <f>MONTH(Table11[[#This Row],[Order Date]])</f>
        <v>12</v>
      </c>
      <c r="E1821" s="3" t="s">
        <v>3105</v>
      </c>
      <c r="F1821" s="3" t="s">
        <v>3106</v>
      </c>
      <c r="G1821" s="25" t="s">
        <v>64</v>
      </c>
      <c r="H1821" s="25" t="s">
        <v>65</v>
      </c>
      <c r="I1821" s="3" t="s">
        <v>2428</v>
      </c>
      <c r="J1821" s="25" t="s">
        <v>22</v>
      </c>
      <c r="K1821" s="28">
        <v>5</v>
      </c>
      <c r="L1821" s="7">
        <v>42347</v>
      </c>
      <c r="M1821" s="28">
        <f>Table11[[#This Row],[Ship Date]]-Table11[[#This Row],[Order Date]]</f>
        <v>5</v>
      </c>
      <c r="N1821" s="25" t="s">
        <v>20</v>
      </c>
      <c r="O1821" s="25" t="s">
        <v>23</v>
      </c>
      <c r="P1821" s="25" t="s">
        <v>238</v>
      </c>
      <c r="Q1821" s="25" t="s">
        <v>133</v>
      </c>
      <c r="R1821" s="25" t="s">
        <v>237</v>
      </c>
      <c r="S1821" s="35">
        <v>0</v>
      </c>
      <c r="T1821" s="16">
        <v>1799.75</v>
      </c>
      <c r="U1821" s="19">
        <v>539.92499999999995</v>
      </c>
      <c r="V1821" s="56">
        <f>Table11[[#This Row],[Profit]]/Table11[[#This Row],[Sales]]</f>
        <v>0.3</v>
      </c>
    </row>
    <row r="1822" spans="1:22" x14ac:dyDescent="0.2">
      <c r="A1822" s="4">
        <v>1821</v>
      </c>
      <c r="B1822" s="5" t="s">
        <v>6273</v>
      </c>
      <c r="C1822" s="6">
        <v>42342</v>
      </c>
      <c r="D1822" s="27">
        <f>MONTH(Table11[[#This Row],[Order Date]])</f>
        <v>12</v>
      </c>
      <c r="E1822" s="5" t="s">
        <v>1106</v>
      </c>
      <c r="F1822" s="5" t="s">
        <v>1107</v>
      </c>
      <c r="G1822" s="24" t="s">
        <v>41</v>
      </c>
      <c r="H1822" s="24" t="s">
        <v>82</v>
      </c>
      <c r="I1822" s="5" t="s">
        <v>742</v>
      </c>
      <c r="J1822" s="24" t="s">
        <v>36</v>
      </c>
      <c r="K1822" s="27">
        <v>7</v>
      </c>
      <c r="L1822" s="6">
        <v>42347</v>
      </c>
      <c r="M1822" s="27">
        <f>Table11[[#This Row],[Ship Date]]-Table11[[#This Row],[Order Date]]</f>
        <v>5</v>
      </c>
      <c r="N1822" s="24" t="s">
        <v>45</v>
      </c>
      <c r="O1822" s="24" t="s">
        <v>23</v>
      </c>
      <c r="P1822" s="24" t="s">
        <v>528</v>
      </c>
      <c r="Q1822" s="24" t="s">
        <v>95</v>
      </c>
      <c r="R1822" s="24" t="s">
        <v>284</v>
      </c>
      <c r="S1822" s="34">
        <v>0</v>
      </c>
      <c r="T1822" s="15">
        <v>85.96</v>
      </c>
      <c r="U1822" s="18">
        <v>40.401200000000003</v>
      </c>
      <c r="V1822" s="56">
        <f>Table11[[#This Row],[Profit]]/Table11[[#This Row],[Sales]]</f>
        <v>0.47000000000000008</v>
      </c>
    </row>
    <row r="1823" spans="1:22" x14ac:dyDescent="0.2">
      <c r="A1823" s="4">
        <v>1822</v>
      </c>
      <c r="B1823" s="3" t="s">
        <v>6703</v>
      </c>
      <c r="C1823" s="7">
        <v>42342</v>
      </c>
      <c r="D1823" s="28">
        <f>MONTH(Table11[[#This Row],[Order Date]])</f>
        <v>12</v>
      </c>
      <c r="E1823" s="3" t="s">
        <v>2370</v>
      </c>
      <c r="F1823" s="3" t="s">
        <v>2371</v>
      </c>
      <c r="G1823" s="25" t="s">
        <v>41</v>
      </c>
      <c r="H1823" s="25" t="s">
        <v>68</v>
      </c>
      <c r="I1823" s="3" t="s">
        <v>1504</v>
      </c>
      <c r="J1823" s="25" t="s">
        <v>22</v>
      </c>
      <c r="K1823" s="28">
        <v>7</v>
      </c>
      <c r="L1823" s="7">
        <v>42345</v>
      </c>
      <c r="M1823" s="28">
        <f>Table11[[#This Row],[Ship Date]]-Table11[[#This Row],[Order Date]]</f>
        <v>3</v>
      </c>
      <c r="N1823" s="25" t="s">
        <v>20</v>
      </c>
      <c r="O1823" s="25" t="s">
        <v>23</v>
      </c>
      <c r="P1823" s="25" t="s">
        <v>299</v>
      </c>
      <c r="Q1823" s="25" t="s">
        <v>26</v>
      </c>
      <c r="R1823" s="25" t="s">
        <v>4749</v>
      </c>
      <c r="S1823" s="35">
        <v>0.7</v>
      </c>
      <c r="T1823" s="16">
        <v>1598.058</v>
      </c>
      <c r="U1823" s="19">
        <v>-1065.3720000000001</v>
      </c>
      <c r="V1823" s="56">
        <f>Table11[[#This Row],[Profit]]/Table11[[#This Row],[Sales]]</f>
        <v>-0.66666666666666674</v>
      </c>
    </row>
    <row r="1824" spans="1:22" x14ac:dyDescent="0.2">
      <c r="A1824" s="2">
        <v>1823</v>
      </c>
      <c r="B1824" s="5" t="s">
        <v>6703</v>
      </c>
      <c r="C1824" s="6">
        <v>42342</v>
      </c>
      <c r="D1824" s="27">
        <f>MONTH(Table11[[#This Row],[Order Date]])</f>
        <v>12</v>
      </c>
      <c r="E1824" s="5" t="s">
        <v>2345</v>
      </c>
      <c r="F1824" s="5" t="s">
        <v>2346</v>
      </c>
      <c r="G1824" s="24" t="s">
        <v>41</v>
      </c>
      <c r="H1824" s="24" t="s">
        <v>61</v>
      </c>
      <c r="I1824" s="5" t="s">
        <v>1504</v>
      </c>
      <c r="J1824" s="24" t="s">
        <v>22</v>
      </c>
      <c r="K1824" s="27">
        <v>4</v>
      </c>
      <c r="L1824" s="6">
        <v>42345</v>
      </c>
      <c r="M1824" s="27">
        <f>Table11[[#This Row],[Ship Date]]-Table11[[#This Row],[Order Date]]</f>
        <v>3</v>
      </c>
      <c r="N1824" s="24" t="s">
        <v>20</v>
      </c>
      <c r="O1824" s="24" t="s">
        <v>23</v>
      </c>
      <c r="P1824" s="24" t="s">
        <v>299</v>
      </c>
      <c r="Q1824" s="24" t="s">
        <v>26</v>
      </c>
      <c r="R1824" s="24" t="s">
        <v>4749</v>
      </c>
      <c r="S1824" s="34">
        <v>0.2</v>
      </c>
      <c r="T1824" s="15">
        <v>36.96</v>
      </c>
      <c r="U1824" s="18">
        <v>12.012</v>
      </c>
      <c r="V1824" s="56">
        <f>Table11[[#This Row],[Profit]]/Table11[[#This Row],[Sales]]</f>
        <v>0.32500000000000001</v>
      </c>
    </row>
    <row r="1825" spans="1:22" x14ac:dyDescent="0.2">
      <c r="A1825" s="4">
        <v>1824</v>
      </c>
      <c r="B1825" s="3" t="s">
        <v>6855</v>
      </c>
      <c r="C1825" s="7">
        <v>42342</v>
      </c>
      <c r="D1825" s="28">
        <f>MONTH(Table11[[#This Row],[Order Date]])</f>
        <v>12</v>
      </c>
      <c r="E1825" s="3" t="s">
        <v>843</v>
      </c>
      <c r="F1825" s="3" t="s">
        <v>844</v>
      </c>
      <c r="G1825" s="25" t="s">
        <v>41</v>
      </c>
      <c r="H1825" s="25" t="s">
        <v>155</v>
      </c>
      <c r="I1825" s="3" t="s">
        <v>3303</v>
      </c>
      <c r="J1825" s="25" t="s">
        <v>36</v>
      </c>
      <c r="K1825" s="28">
        <v>3</v>
      </c>
      <c r="L1825" s="7">
        <v>42347</v>
      </c>
      <c r="M1825" s="28">
        <f>Table11[[#This Row],[Ship Date]]-Table11[[#This Row],[Order Date]]</f>
        <v>5</v>
      </c>
      <c r="N1825" s="25" t="s">
        <v>20</v>
      </c>
      <c r="O1825" s="25" t="s">
        <v>23</v>
      </c>
      <c r="P1825" s="25" t="s">
        <v>38</v>
      </c>
      <c r="Q1825" s="25" t="s">
        <v>39</v>
      </c>
      <c r="R1825" s="25" t="s">
        <v>37</v>
      </c>
      <c r="S1825" s="35">
        <v>0</v>
      </c>
      <c r="T1825" s="16">
        <v>271.44</v>
      </c>
      <c r="U1825" s="19">
        <v>122.148</v>
      </c>
      <c r="V1825" s="56">
        <f>Table11[[#This Row],[Profit]]/Table11[[#This Row],[Sales]]</f>
        <v>0.45</v>
      </c>
    </row>
    <row r="1826" spans="1:22" x14ac:dyDescent="0.2">
      <c r="A1826" s="4">
        <v>1825</v>
      </c>
      <c r="B1826" s="5" t="s">
        <v>6855</v>
      </c>
      <c r="C1826" s="6">
        <v>42342</v>
      </c>
      <c r="D1826" s="27">
        <f>MONTH(Table11[[#This Row],[Order Date]])</f>
        <v>12</v>
      </c>
      <c r="E1826" s="5" t="s">
        <v>6856</v>
      </c>
      <c r="F1826" s="5" t="s">
        <v>6857</v>
      </c>
      <c r="G1826" s="24" t="s">
        <v>64</v>
      </c>
      <c r="H1826" s="24" t="s">
        <v>65</v>
      </c>
      <c r="I1826" s="5" t="s">
        <v>3303</v>
      </c>
      <c r="J1826" s="24" t="s">
        <v>36</v>
      </c>
      <c r="K1826" s="27">
        <v>3</v>
      </c>
      <c r="L1826" s="6">
        <v>42347</v>
      </c>
      <c r="M1826" s="27">
        <f>Table11[[#This Row],[Ship Date]]-Table11[[#This Row],[Order Date]]</f>
        <v>5</v>
      </c>
      <c r="N1826" s="24" t="s">
        <v>20</v>
      </c>
      <c r="O1826" s="24" t="s">
        <v>23</v>
      </c>
      <c r="P1826" s="24" t="s">
        <v>38</v>
      </c>
      <c r="Q1826" s="24" t="s">
        <v>39</v>
      </c>
      <c r="R1826" s="24" t="s">
        <v>37</v>
      </c>
      <c r="S1826" s="34">
        <v>0.2</v>
      </c>
      <c r="T1826" s="15">
        <v>110.352</v>
      </c>
      <c r="U1826" s="18">
        <v>8.2764000000000006</v>
      </c>
      <c r="V1826" s="56">
        <f>Table11[[#This Row],[Profit]]/Table11[[#This Row],[Sales]]</f>
        <v>7.4999999999999997E-2</v>
      </c>
    </row>
    <row r="1827" spans="1:22" x14ac:dyDescent="0.2">
      <c r="A1827" s="2">
        <v>1826</v>
      </c>
      <c r="B1827" s="3" t="s">
        <v>6855</v>
      </c>
      <c r="C1827" s="7">
        <v>42342</v>
      </c>
      <c r="D1827" s="28">
        <f>MONTH(Table11[[#This Row],[Order Date]])</f>
        <v>12</v>
      </c>
      <c r="E1827" s="3" t="s">
        <v>6858</v>
      </c>
      <c r="F1827" s="3" t="s">
        <v>6859</v>
      </c>
      <c r="G1827" s="25" t="s">
        <v>28</v>
      </c>
      <c r="H1827" s="25" t="s">
        <v>58</v>
      </c>
      <c r="I1827" s="3" t="s">
        <v>3303</v>
      </c>
      <c r="J1827" s="25" t="s">
        <v>36</v>
      </c>
      <c r="K1827" s="28">
        <v>5</v>
      </c>
      <c r="L1827" s="7">
        <v>42347</v>
      </c>
      <c r="M1827" s="28">
        <f>Table11[[#This Row],[Ship Date]]-Table11[[#This Row],[Order Date]]</f>
        <v>5</v>
      </c>
      <c r="N1827" s="25" t="s">
        <v>20</v>
      </c>
      <c r="O1827" s="25" t="s">
        <v>23</v>
      </c>
      <c r="P1827" s="25" t="s">
        <v>38</v>
      </c>
      <c r="Q1827" s="25" t="s">
        <v>39</v>
      </c>
      <c r="R1827" s="25" t="s">
        <v>37</v>
      </c>
      <c r="S1827" s="35">
        <v>0</v>
      </c>
      <c r="T1827" s="16">
        <v>36.4</v>
      </c>
      <c r="U1827" s="19">
        <v>13.832000000000001</v>
      </c>
      <c r="V1827" s="56">
        <f>Table11[[#This Row],[Profit]]/Table11[[#This Row],[Sales]]</f>
        <v>0.38000000000000006</v>
      </c>
    </row>
    <row r="1828" spans="1:22" x14ac:dyDescent="0.2">
      <c r="A1828" s="4">
        <v>1827</v>
      </c>
      <c r="B1828" s="5" t="s">
        <v>7392</v>
      </c>
      <c r="C1828" s="6">
        <v>42342</v>
      </c>
      <c r="D1828" s="27">
        <f>MONTH(Table11[[#This Row],[Order Date]])</f>
        <v>12</v>
      </c>
      <c r="E1828" s="5" t="s">
        <v>4157</v>
      </c>
      <c r="F1828" s="5" t="s">
        <v>4158</v>
      </c>
      <c r="G1828" s="24" t="s">
        <v>41</v>
      </c>
      <c r="H1828" s="24" t="s">
        <v>61</v>
      </c>
      <c r="I1828" s="5" t="s">
        <v>2595</v>
      </c>
      <c r="J1828" s="24" t="s">
        <v>22</v>
      </c>
      <c r="K1828" s="27">
        <v>5</v>
      </c>
      <c r="L1828" s="6">
        <v>42347</v>
      </c>
      <c r="M1828" s="27">
        <f>Table11[[#This Row],[Ship Date]]-Table11[[#This Row],[Order Date]]</f>
        <v>5</v>
      </c>
      <c r="N1828" s="24" t="s">
        <v>45</v>
      </c>
      <c r="O1828" s="24" t="s">
        <v>23</v>
      </c>
      <c r="P1828" s="24" t="s">
        <v>38</v>
      </c>
      <c r="Q1828" s="24" t="s">
        <v>39</v>
      </c>
      <c r="R1828" s="24" t="s">
        <v>990</v>
      </c>
      <c r="S1828" s="34">
        <v>0</v>
      </c>
      <c r="T1828" s="15">
        <v>16.899999999999999</v>
      </c>
      <c r="U1828" s="18">
        <v>6.2530000000000001</v>
      </c>
      <c r="V1828" s="56">
        <f>Table11[[#This Row],[Profit]]/Table11[[#This Row],[Sales]]</f>
        <v>0.37000000000000005</v>
      </c>
    </row>
    <row r="1829" spans="1:22" x14ac:dyDescent="0.2">
      <c r="A1829" s="4">
        <v>1828</v>
      </c>
      <c r="B1829" s="3" t="s">
        <v>7392</v>
      </c>
      <c r="C1829" s="7">
        <v>42342</v>
      </c>
      <c r="D1829" s="28">
        <f>MONTH(Table11[[#This Row],[Order Date]])</f>
        <v>12</v>
      </c>
      <c r="E1829" s="3" t="s">
        <v>3490</v>
      </c>
      <c r="F1829" s="3" t="s">
        <v>3491</v>
      </c>
      <c r="G1829" s="25" t="s">
        <v>28</v>
      </c>
      <c r="H1829" s="25" t="s">
        <v>58</v>
      </c>
      <c r="I1829" s="3" t="s">
        <v>2595</v>
      </c>
      <c r="J1829" s="25" t="s">
        <v>22</v>
      </c>
      <c r="K1829" s="28">
        <v>6</v>
      </c>
      <c r="L1829" s="7">
        <v>42347</v>
      </c>
      <c r="M1829" s="28">
        <f>Table11[[#This Row],[Ship Date]]-Table11[[#This Row],[Order Date]]</f>
        <v>5</v>
      </c>
      <c r="N1829" s="25" t="s">
        <v>45</v>
      </c>
      <c r="O1829" s="25" t="s">
        <v>23</v>
      </c>
      <c r="P1829" s="25" t="s">
        <v>38</v>
      </c>
      <c r="Q1829" s="25" t="s">
        <v>39</v>
      </c>
      <c r="R1829" s="25" t="s">
        <v>990</v>
      </c>
      <c r="S1829" s="35">
        <v>0</v>
      </c>
      <c r="T1829" s="16">
        <v>25.08</v>
      </c>
      <c r="U1829" s="19">
        <v>9.0288000000000004</v>
      </c>
      <c r="V1829" s="56">
        <f>Table11[[#This Row],[Profit]]/Table11[[#This Row],[Sales]]</f>
        <v>0.36000000000000004</v>
      </c>
    </row>
    <row r="1830" spans="1:22" x14ac:dyDescent="0.2">
      <c r="A1830" s="2">
        <v>1829</v>
      </c>
      <c r="B1830" s="5" t="s">
        <v>6131</v>
      </c>
      <c r="C1830" s="6">
        <v>42343</v>
      </c>
      <c r="D1830" s="27">
        <f>MONTH(Table11[[#This Row],[Order Date]])</f>
        <v>12</v>
      </c>
      <c r="E1830" s="5" t="s">
        <v>2207</v>
      </c>
      <c r="F1830" s="5" t="s">
        <v>2208</v>
      </c>
      <c r="G1830" s="24" t="s">
        <v>28</v>
      </c>
      <c r="H1830" s="24" t="s">
        <v>58</v>
      </c>
      <c r="I1830" s="5" t="s">
        <v>4591</v>
      </c>
      <c r="J1830" s="24" t="s">
        <v>36</v>
      </c>
      <c r="K1830" s="27">
        <v>2</v>
      </c>
      <c r="L1830" s="6">
        <v>42347</v>
      </c>
      <c r="M1830" s="27">
        <f>Table11[[#This Row],[Ship Date]]-Table11[[#This Row],[Order Date]]</f>
        <v>4</v>
      </c>
      <c r="N1830" s="24" t="s">
        <v>45</v>
      </c>
      <c r="O1830" s="24" t="s">
        <v>23</v>
      </c>
      <c r="P1830" s="24" t="s">
        <v>38</v>
      </c>
      <c r="Q1830" s="24" t="s">
        <v>39</v>
      </c>
      <c r="R1830" s="24" t="s">
        <v>836</v>
      </c>
      <c r="S1830" s="34">
        <v>0</v>
      </c>
      <c r="T1830" s="15">
        <v>44.46</v>
      </c>
      <c r="U1830" s="18">
        <v>14.671799999999999</v>
      </c>
      <c r="V1830" s="56">
        <f>Table11[[#This Row],[Profit]]/Table11[[#This Row],[Sales]]</f>
        <v>0.32999999999999996</v>
      </c>
    </row>
    <row r="1831" spans="1:22" x14ac:dyDescent="0.2">
      <c r="A1831" s="4">
        <v>1830</v>
      </c>
      <c r="B1831" s="3" t="s">
        <v>6527</v>
      </c>
      <c r="C1831" s="7">
        <v>42343</v>
      </c>
      <c r="D1831" s="28">
        <f>MONTH(Table11[[#This Row],[Order Date]])</f>
        <v>12</v>
      </c>
      <c r="E1831" s="3" t="s">
        <v>3675</v>
      </c>
      <c r="F1831" s="3" t="s">
        <v>3676</v>
      </c>
      <c r="G1831" s="25" t="s">
        <v>64</v>
      </c>
      <c r="H1831" s="25" t="s">
        <v>144</v>
      </c>
      <c r="I1831" s="3" t="s">
        <v>4456</v>
      </c>
      <c r="J1831" s="25" t="s">
        <v>22</v>
      </c>
      <c r="K1831" s="28">
        <v>2</v>
      </c>
      <c r="L1831" s="7">
        <v>42347</v>
      </c>
      <c r="M1831" s="28">
        <f>Table11[[#This Row],[Ship Date]]-Table11[[#This Row],[Order Date]]</f>
        <v>4</v>
      </c>
      <c r="N1831" s="25" t="s">
        <v>20</v>
      </c>
      <c r="O1831" s="25" t="s">
        <v>23</v>
      </c>
      <c r="P1831" s="25" t="s">
        <v>132</v>
      </c>
      <c r="Q1831" s="25" t="s">
        <v>133</v>
      </c>
      <c r="R1831" s="25" t="s">
        <v>131</v>
      </c>
      <c r="S1831" s="35">
        <v>0.2</v>
      </c>
      <c r="T1831" s="16">
        <v>47.984000000000002</v>
      </c>
      <c r="U1831" s="19">
        <v>0.5998</v>
      </c>
      <c r="V1831" s="56">
        <f>Table11[[#This Row],[Profit]]/Table11[[#This Row],[Sales]]</f>
        <v>1.2499999999999999E-2</v>
      </c>
    </row>
    <row r="1832" spans="1:22" x14ac:dyDescent="0.2">
      <c r="A1832" s="4">
        <v>1831</v>
      </c>
      <c r="B1832" s="5" t="s">
        <v>6527</v>
      </c>
      <c r="C1832" s="6">
        <v>42343</v>
      </c>
      <c r="D1832" s="27">
        <f>MONTH(Table11[[#This Row],[Order Date]])</f>
        <v>12</v>
      </c>
      <c r="E1832" s="5" t="s">
        <v>1703</v>
      </c>
      <c r="F1832" s="5" t="s">
        <v>1704</v>
      </c>
      <c r="G1832" s="24" t="s">
        <v>41</v>
      </c>
      <c r="H1832" s="24" t="s">
        <v>68</v>
      </c>
      <c r="I1832" s="5" t="s">
        <v>4456</v>
      </c>
      <c r="J1832" s="24" t="s">
        <v>22</v>
      </c>
      <c r="K1832" s="27">
        <v>6</v>
      </c>
      <c r="L1832" s="6">
        <v>42347</v>
      </c>
      <c r="M1832" s="27">
        <f>Table11[[#This Row],[Ship Date]]-Table11[[#This Row],[Order Date]]</f>
        <v>4</v>
      </c>
      <c r="N1832" s="24" t="s">
        <v>20</v>
      </c>
      <c r="O1832" s="24" t="s">
        <v>23</v>
      </c>
      <c r="P1832" s="24" t="s">
        <v>132</v>
      </c>
      <c r="Q1832" s="24" t="s">
        <v>133</v>
      </c>
      <c r="R1832" s="24" t="s">
        <v>131</v>
      </c>
      <c r="S1832" s="34">
        <v>0.7</v>
      </c>
      <c r="T1832" s="15">
        <v>26.064</v>
      </c>
      <c r="U1832" s="18">
        <v>-19.982399999999998</v>
      </c>
      <c r="V1832" s="56">
        <f>Table11[[#This Row],[Profit]]/Table11[[#This Row],[Sales]]</f>
        <v>-0.76666666666666661</v>
      </c>
    </row>
    <row r="1833" spans="1:22" x14ac:dyDescent="0.2">
      <c r="A1833" s="2">
        <v>1832</v>
      </c>
      <c r="B1833" s="3" t="s">
        <v>7624</v>
      </c>
      <c r="C1833" s="7">
        <v>42343</v>
      </c>
      <c r="D1833" s="28">
        <f>MONTH(Table11[[#This Row],[Order Date]])</f>
        <v>12</v>
      </c>
      <c r="E1833" s="3" t="s">
        <v>3449</v>
      </c>
      <c r="F1833" s="3" t="s">
        <v>3450</v>
      </c>
      <c r="G1833" s="25" t="s">
        <v>41</v>
      </c>
      <c r="H1833" s="25" t="s">
        <v>68</v>
      </c>
      <c r="I1833" s="3" t="s">
        <v>6007</v>
      </c>
      <c r="J1833" s="25" t="s">
        <v>92</v>
      </c>
      <c r="K1833" s="28">
        <v>5</v>
      </c>
      <c r="L1833" s="7">
        <v>42344</v>
      </c>
      <c r="M1833" s="28">
        <f>Table11[[#This Row],[Ship Date]]-Table11[[#This Row],[Order Date]]</f>
        <v>1</v>
      </c>
      <c r="N1833" s="25" t="s">
        <v>169</v>
      </c>
      <c r="O1833" s="25" t="s">
        <v>23</v>
      </c>
      <c r="P1833" s="25" t="s">
        <v>212</v>
      </c>
      <c r="Q1833" s="25" t="s">
        <v>95</v>
      </c>
      <c r="R1833" s="25" t="s">
        <v>7625</v>
      </c>
      <c r="S1833" s="35">
        <v>0</v>
      </c>
      <c r="T1833" s="16">
        <v>152.80000000000001</v>
      </c>
      <c r="U1833" s="19">
        <v>76.400000000000006</v>
      </c>
      <c r="V1833" s="56">
        <f>Table11[[#This Row],[Profit]]/Table11[[#This Row],[Sales]]</f>
        <v>0.5</v>
      </c>
    </row>
    <row r="1834" spans="1:22" x14ac:dyDescent="0.2">
      <c r="A1834" s="4">
        <v>1833</v>
      </c>
      <c r="B1834" s="5" t="s">
        <v>9171</v>
      </c>
      <c r="C1834" s="6">
        <v>42343</v>
      </c>
      <c r="D1834" s="27">
        <f>MONTH(Table11[[#This Row],[Order Date]])</f>
        <v>12</v>
      </c>
      <c r="E1834" s="5" t="s">
        <v>5564</v>
      </c>
      <c r="F1834" s="5" t="s">
        <v>5565</v>
      </c>
      <c r="G1834" s="24" t="s">
        <v>41</v>
      </c>
      <c r="H1834" s="24" t="s">
        <v>61</v>
      </c>
      <c r="I1834" s="5" t="s">
        <v>130</v>
      </c>
      <c r="J1834" s="24" t="s">
        <v>22</v>
      </c>
      <c r="K1834" s="27">
        <v>2</v>
      </c>
      <c r="L1834" s="6">
        <v>42344</v>
      </c>
      <c r="M1834" s="27">
        <f>Table11[[#This Row],[Ship Date]]-Table11[[#This Row],[Order Date]]</f>
        <v>1</v>
      </c>
      <c r="N1834" s="24" t="s">
        <v>169</v>
      </c>
      <c r="O1834" s="24" t="s">
        <v>23</v>
      </c>
      <c r="P1834" s="24" t="s">
        <v>94</v>
      </c>
      <c r="Q1834" s="24" t="s">
        <v>95</v>
      </c>
      <c r="R1834" s="24" t="s">
        <v>718</v>
      </c>
      <c r="S1834" s="34">
        <v>0.2</v>
      </c>
      <c r="T1834" s="15">
        <v>45.04</v>
      </c>
      <c r="U1834" s="18">
        <v>4.5039999999999996</v>
      </c>
      <c r="V1834" s="56">
        <f>Table11[[#This Row],[Profit]]/Table11[[#This Row],[Sales]]</f>
        <v>9.9999999999999992E-2</v>
      </c>
    </row>
    <row r="1835" spans="1:22" x14ac:dyDescent="0.2">
      <c r="A1835" s="4">
        <v>1834</v>
      </c>
      <c r="B1835" s="3" t="s">
        <v>9228</v>
      </c>
      <c r="C1835" s="7">
        <v>42343</v>
      </c>
      <c r="D1835" s="28">
        <f>MONTH(Table11[[#This Row],[Order Date]])</f>
        <v>12</v>
      </c>
      <c r="E1835" s="3" t="s">
        <v>3152</v>
      </c>
      <c r="F1835" s="3" t="s">
        <v>3153</v>
      </c>
      <c r="G1835" s="25" t="s">
        <v>41</v>
      </c>
      <c r="H1835" s="25" t="s">
        <v>68</v>
      </c>
      <c r="I1835" s="3" t="s">
        <v>5040</v>
      </c>
      <c r="J1835" s="25" t="s">
        <v>22</v>
      </c>
      <c r="K1835" s="28">
        <v>5</v>
      </c>
      <c r="L1835" s="7">
        <v>42347</v>
      </c>
      <c r="M1835" s="28">
        <f>Table11[[#This Row],[Ship Date]]-Table11[[#This Row],[Order Date]]</f>
        <v>4</v>
      </c>
      <c r="N1835" s="25" t="s">
        <v>20</v>
      </c>
      <c r="O1835" s="25" t="s">
        <v>23</v>
      </c>
      <c r="P1835" s="25" t="s">
        <v>238</v>
      </c>
      <c r="Q1835" s="25" t="s">
        <v>133</v>
      </c>
      <c r="R1835" s="25" t="s">
        <v>237</v>
      </c>
      <c r="S1835" s="35">
        <v>0.2</v>
      </c>
      <c r="T1835" s="16">
        <v>232.4</v>
      </c>
      <c r="U1835" s="19">
        <v>78.435000000000002</v>
      </c>
      <c r="V1835" s="56">
        <f>Table11[[#This Row],[Profit]]/Table11[[#This Row],[Sales]]</f>
        <v>0.33750000000000002</v>
      </c>
    </row>
    <row r="1836" spans="1:22" x14ac:dyDescent="0.2">
      <c r="A1836" s="2">
        <v>1835</v>
      </c>
      <c r="B1836" s="5" t="s">
        <v>9228</v>
      </c>
      <c r="C1836" s="6">
        <v>42343</v>
      </c>
      <c r="D1836" s="27">
        <f>MONTH(Table11[[#This Row],[Order Date]])</f>
        <v>12</v>
      </c>
      <c r="E1836" s="5" t="s">
        <v>5896</v>
      </c>
      <c r="F1836" s="5" t="s">
        <v>5897</v>
      </c>
      <c r="G1836" s="24" t="s">
        <v>28</v>
      </c>
      <c r="H1836" s="24" t="s">
        <v>32</v>
      </c>
      <c r="I1836" s="5" t="s">
        <v>5040</v>
      </c>
      <c r="J1836" s="24" t="s">
        <v>22</v>
      </c>
      <c r="K1836" s="27">
        <v>3</v>
      </c>
      <c r="L1836" s="6">
        <v>42347</v>
      </c>
      <c r="M1836" s="27">
        <f>Table11[[#This Row],[Ship Date]]-Table11[[#This Row],[Order Date]]</f>
        <v>4</v>
      </c>
      <c r="N1836" s="24" t="s">
        <v>20</v>
      </c>
      <c r="O1836" s="24" t="s">
        <v>23</v>
      </c>
      <c r="P1836" s="24" t="s">
        <v>238</v>
      </c>
      <c r="Q1836" s="24" t="s">
        <v>133</v>
      </c>
      <c r="R1836" s="24" t="s">
        <v>237</v>
      </c>
      <c r="S1836" s="34">
        <v>0.1</v>
      </c>
      <c r="T1836" s="15">
        <v>164.64599999999999</v>
      </c>
      <c r="U1836" s="18">
        <v>12.8058</v>
      </c>
      <c r="V1836" s="56">
        <f>Table11[[#This Row],[Profit]]/Table11[[#This Row],[Sales]]</f>
        <v>7.7777777777777779E-2</v>
      </c>
    </row>
    <row r="1837" spans="1:22" x14ac:dyDescent="0.2">
      <c r="A1837" s="4">
        <v>1836</v>
      </c>
      <c r="B1837" s="3" t="s">
        <v>9228</v>
      </c>
      <c r="C1837" s="7">
        <v>42343</v>
      </c>
      <c r="D1837" s="28">
        <f>MONTH(Table11[[#This Row],[Order Date]])</f>
        <v>12</v>
      </c>
      <c r="E1837" s="3" t="s">
        <v>2591</v>
      </c>
      <c r="F1837" s="3" t="s">
        <v>2592</v>
      </c>
      <c r="G1837" s="25" t="s">
        <v>41</v>
      </c>
      <c r="H1837" s="25" t="s">
        <v>82</v>
      </c>
      <c r="I1837" s="3" t="s">
        <v>5040</v>
      </c>
      <c r="J1837" s="25" t="s">
        <v>22</v>
      </c>
      <c r="K1837" s="28">
        <v>2</v>
      </c>
      <c r="L1837" s="7">
        <v>42347</v>
      </c>
      <c r="M1837" s="28">
        <f>Table11[[#This Row],[Ship Date]]-Table11[[#This Row],[Order Date]]</f>
        <v>4</v>
      </c>
      <c r="N1837" s="25" t="s">
        <v>20</v>
      </c>
      <c r="O1837" s="25" t="s">
        <v>23</v>
      </c>
      <c r="P1837" s="25" t="s">
        <v>238</v>
      </c>
      <c r="Q1837" s="25" t="s">
        <v>133</v>
      </c>
      <c r="R1837" s="25" t="s">
        <v>237</v>
      </c>
      <c r="S1837" s="35">
        <v>0</v>
      </c>
      <c r="T1837" s="16">
        <v>22.68</v>
      </c>
      <c r="U1837" s="19">
        <v>11.113200000000001</v>
      </c>
      <c r="V1837" s="56">
        <f>Table11[[#This Row],[Profit]]/Table11[[#This Row],[Sales]]</f>
        <v>0.49000000000000005</v>
      </c>
    </row>
    <row r="1838" spans="1:22" x14ac:dyDescent="0.2">
      <c r="A1838" s="4">
        <v>1837</v>
      </c>
      <c r="B1838" s="5" t="s">
        <v>9315</v>
      </c>
      <c r="C1838" s="6">
        <v>42343</v>
      </c>
      <c r="D1838" s="27">
        <f>MONTH(Table11[[#This Row],[Order Date]])</f>
        <v>12</v>
      </c>
      <c r="E1838" s="5" t="s">
        <v>743</v>
      </c>
      <c r="F1838" s="5" t="s">
        <v>744</v>
      </c>
      <c r="G1838" s="24" t="s">
        <v>64</v>
      </c>
      <c r="H1838" s="24" t="s">
        <v>144</v>
      </c>
      <c r="I1838" s="5" t="s">
        <v>2430</v>
      </c>
      <c r="J1838" s="24" t="s">
        <v>36</v>
      </c>
      <c r="K1838" s="27">
        <v>3</v>
      </c>
      <c r="L1838" s="6">
        <v>42348</v>
      </c>
      <c r="M1838" s="27">
        <f>Table11[[#This Row],[Ship Date]]-Table11[[#This Row],[Order Date]]</f>
        <v>5</v>
      </c>
      <c r="N1838" s="24" t="s">
        <v>45</v>
      </c>
      <c r="O1838" s="24" t="s">
        <v>23</v>
      </c>
      <c r="P1838" s="24" t="s">
        <v>38</v>
      </c>
      <c r="Q1838" s="24" t="s">
        <v>39</v>
      </c>
      <c r="R1838" s="24" t="s">
        <v>37</v>
      </c>
      <c r="S1838" s="34">
        <v>0</v>
      </c>
      <c r="T1838" s="15">
        <v>39</v>
      </c>
      <c r="U1838" s="18">
        <v>17.55</v>
      </c>
      <c r="V1838" s="56">
        <f>Table11[[#This Row],[Profit]]/Table11[[#This Row],[Sales]]</f>
        <v>0.45</v>
      </c>
    </row>
    <row r="1839" spans="1:22" x14ac:dyDescent="0.2">
      <c r="A1839" s="2">
        <v>1838</v>
      </c>
      <c r="B1839" s="3" t="s">
        <v>9315</v>
      </c>
      <c r="C1839" s="7">
        <v>42343</v>
      </c>
      <c r="D1839" s="28">
        <f>MONTH(Table11[[#This Row],[Order Date]])</f>
        <v>12</v>
      </c>
      <c r="E1839" s="3" t="s">
        <v>2816</v>
      </c>
      <c r="F1839" s="3" t="s">
        <v>2817</v>
      </c>
      <c r="G1839" s="25" t="s">
        <v>41</v>
      </c>
      <c r="H1839" s="25" t="s">
        <v>42</v>
      </c>
      <c r="I1839" s="3" t="s">
        <v>2430</v>
      </c>
      <c r="J1839" s="25" t="s">
        <v>36</v>
      </c>
      <c r="K1839" s="28">
        <v>4</v>
      </c>
      <c r="L1839" s="7">
        <v>42348</v>
      </c>
      <c r="M1839" s="28">
        <f>Table11[[#This Row],[Ship Date]]-Table11[[#This Row],[Order Date]]</f>
        <v>5</v>
      </c>
      <c r="N1839" s="25" t="s">
        <v>45</v>
      </c>
      <c r="O1839" s="25" t="s">
        <v>23</v>
      </c>
      <c r="P1839" s="25" t="s">
        <v>38</v>
      </c>
      <c r="Q1839" s="25" t="s">
        <v>39</v>
      </c>
      <c r="R1839" s="25" t="s">
        <v>37</v>
      </c>
      <c r="S1839" s="35">
        <v>0</v>
      </c>
      <c r="T1839" s="16">
        <v>12.6</v>
      </c>
      <c r="U1839" s="19">
        <v>6.048</v>
      </c>
      <c r="V1839" s="56">
        <f>Table11[[#This Row],[Profit]]/Table11[[#This Row],[Sales]]</f>
        <v>0.48000000000000004</v>
      </c>
    </row>
    <row r="1840" spans="1:22" x14ac:dyDescent="0.2">
      <c r="A1840" s="4">
        <v>1839</v>
      </c>
      <c r="B1840" s="5" t="s">
        <v>9377</v>
      </c>
      <c r="C1840" s="6">
        <v>42343</v>
      </c>
      <c r="D1840" s="27">
        <f>MONTH(Table11[[#This Row],[Order Date]])</f>
        <v>12</v>
      </c>
      <c r="E1840" s="5" t="s">
        <v>786</v>
      </c>
      <c r="F1840" s="5" t="s">
        <v>787</v>
      </c>
      <c r="G1840" s="24" t="s">
        <v>28</v>
      </c>
      <c r="H1840" s="24" t="s">
        <v>32</v>
      </c>
      <c r="I1840" s="5" t="s">
        <v>5159</v>
      </c>
      <c r="J1840" s="24" t="s">
        <v>36</v>
      </c>
      <c r="K1840" s="27">
        <v>2</v>
      </c>
      <c r="L1840" s="6">
        <v>42346</v>
      </c>
      <c r="M1840" s="27">
        <f>Table11[[#This Row],[Ship Date]]-Table11[[#This Row],[Order Date]]</f>
        <v>3</v>
      </c>
      <c r="N1840" s="24" t="s">
        <v>169</v>
      </c>
      <c r="O1840" s="24" t="s">
        <v>23</v>
      </c>
      <c r="P1840" s="24" t="s">
        <v>299</v>
      </c>
      <c r="Q1840" s="24" t="s">
        <v>26</v>
      </c>
      <c r="R1840" s="24" t="s">
        <v>5035</v>
      </c>
      <c r="S1840" s="34">
        <v>0.2</v>
      </c>
      <c r="T1840" s="15">
        <v>97.424000000000007</v>
      </c>
      <c r="U1840" s="18">
        <v>10.9602</v>
      </c>
      <c r="V1840" s="56">
        <f>Table11[[#This Row],[Profit]]/Table11[[#This Row],[Sales]]</f>
        <v>0.1125</v>
      </c>
    </row>
    <row r="1841" spans="1:22" x14ac:dyDescent="0.2">
      <c r="A1841" s="4">
        <v>1840</v>
      </c>
      <c r="B1841" s="3" t="s">
        <v>10014</v>
      </c>
      <c r="C1841" s="7">
        <v>42343</v>
      </c>
      <c r="D1841" s="28">
        <f>MONTH(Table11[[#This Row],[Order Date]])</f>
        <v>12</v>
      </c>
      <c r="E1841" s="3" t="s">
        <v>2268</v>
      </c>
      <c r="F1841" s="3" t="s">
        <v>2269</v>
      </c>
      <c r="G1841" s="25" t="s">
        <v>41</v>
      </c>
      <c r="H1841" s="25" t="s">
        <v>155</v>
      </c>
      <c r="I1841" s="3" t="s">
        <v>4946</v>
      </c>
      <c r="J1841" s="25" t="s">
        <v>22</v>
      </c>
      <c r="K1841" s="28">
        <v>2</v>
      </c>
      <c r="L1841" s="7">
        <v>42349</v>
      </c>
      <c r="M1841" s="28">
        <f>Table11[[#This Row],[Ship Date]]-Table11[[#This Row],[Order Date]]</f>
        <v>6</v>
      </c>
      <c r="N1841" s="25" t="s">
        <v>45</v>
      </c>
      <c r="O1841" s="25" t="s">
        <v>23</v>
      </c>
      <c r="P1841" s="25" t="s">
        <v>189</v>
      </c>
      <c r="Q1841" s="25" t="s">
        <v>95</v>
      </c>
      <c r="R1841" s="25" t="s">
        <v>476</v>
      </c>
      <c r="S1841" s="35">
        <v>0.2</v>
      </c>
      <c r="T1841" s="16">
        <v>12.224</v>
      </c>
      <c r="U1841" s="19">
        <v>4.4311999999999996</v>
      </c>
      <c r="V1841" s="56">
        <f>Table11[[#This Row],[Profit]]/Table11[[#This Row],[Sales]]</f>
        <v>0.36249999999999993</v>
      </c>
    </row>
    <row r="1842" spans="1:22" x14ac:dyDescent="0.2">
      <c r="A1842" s="2">
        <v>1841</v>
      </c>
      <c r="B1842" s="5" t="s">
        <v>2821</v>
      </c>
      <c r="C1842" s="6">
        <v>42344</v>
      </c>
      <c r="D1842" s="27">
        <f>MONTH(Table11[[#This Row],[Order Date]])</f>
        <v>12</v>
      </c>
      <c r="E1842" s="5" t="s">
        <v>2822</v>
      </c>
      <c r="F1842" s="5" t="s">
        <v>2823</v>
      </c>
      <c r="G1842" s="24" t="s">
        <v>41</v>
      </c>
      <c r="H1842" s="24" t="s">
        <v>61</v>
      </c>
      <c r="I1842" s="5" t="s">
        <v>1969</v>
      </c>
      <c r="J1842" s="24" t="s">
        <v>22</v>
      </c>
      <c r="K1842" s="27">
        <v>9</v>
      </c>
      <c r="L1842" s="6">
        <v>42351</v>
      </c>
      <c r="M1842" s="27">
        <f>Table11[[#This Row],[Ship Date]]-Table11[[#This Row],[Order Date]]</f>
        <v>7</v>
      </c>
      <c r="N1842" s="24" t="s">
        <v>45</v>
      </c>
      <c r="O1842" s="24" t="s">
        <v>23</v>
      </c>
      <c r="P1842" s="24" t="s">
        <v>38</v>
      </c>
      <c r="Q1842" s="24" t="s">
        <v>39</v>
      </c>
      <c r="R1842" s="24" t="s">
        <v>836</v>
      </c>
      <c r="S1842" s="34">
        <v>0</v>
      </c>
      <c r="T1842" s="15">
        <v>120.15</v>
      </c>
      <c r="U1842" s="18">
        <v>33.642000000000003</v>
      </c>
      <c r="V1842" s="56">
        <f>Table11[[#This Row],[Profit]]/Table11[[#This Row],[Sales]]</f>
        <v>0.28000000000000003</v>
      </c>
    </row>
    <row r="1843" spans="1:22" x14ac:dyDescent="0.2">
      <c r="A1843" s="4">
        <v>1842</v>
      </c>
      <c r="B1843" s="3" t="s">
        <v>2821</v>
      </c>
      <c r="C1843" s="7">
        <v>42344</v>
      </c>
      <c r="D1843" s="28">
        <f>MONTH(Table11[[#This Row],[Order Date]])</f>
        <v>12</v>
      </c>
      <c r="E1843" s="3" t="s">
        <v>2824</v>
      </c>
      <c r="F1843" s="3" t="s">
        <v>2825</v>
      </c>
      <c r="G1843" s="25" t="s">
        <v>64</v>
      </c>
      <c r="H1843" s="25" t="s">
        <v>65</v>
      </c>
      <c r="I1843" s="3" t="s">
        <v>1969</v>
      </c>
      <c r="J1843" s="25" t="s">
        <v>22</v>
      </c>
      <c r="K1843" s="28">
        <v>2</v>
      </c>
      <c r="L1843" s="7">
        <v>42351</v>
      </c>
      <c r="M1843" s="28">
        <f>Table11[[#This Row],[Ship Date]]-Table11[[#This Row],[Order Date]]</f>
        <v>7</v>
      </c>
      <c r="N1843" s="25" t="s">
        <v>45</v>
      </c>
      <c r="O1843" s="25" t="s">
        <v>23</v>
      </c>
      <c r="P1843" s="25" t="s">
        <v>38</v>
      </c>
      <c r="Q1843" s="25" t="s">
        <v>39</v>
      </c>
      <c r="R1843" s="25" t="s">
        <v>836</v>
      </c>
      <c r="S1843" s="35">
        <v>0.2</v>
      </c>
      <c r="T1843" s="16">
        <v>219.184</v>
      </c>
      <c r="U1843" s="19">
        <v>19.178599999999999</v>
      </c>
      <c r="V1843" s="56">
        <f>Table11[[#This Row],[Profit]]/Table11[[#This Row],[Sales]]</f>
        <v>8.7499999999999994E-2</v>
      </c>
    </row>
    <row r="1844" spans="1:22" x14ac:dyDescent="0.2">
      <c r="A1844" s="4">
        <v>1843</v>
      </c>
      <c r="B1844" s="5" t="s">
        <v>3156</v>
      </c>
      <c r="C1844" s="6">
        <v>42344</v>
      </c>
      <c r="D1844" s="27">
        <f>MONTH(Table11[[#This Row],[Order Date]])</f>
        <v>12</v>
      </c>
      <c r="E1844" s="5" t="s">
        <v>3157</v>
      </c>
      <c r="F1844" s="5" t="s">
        <v>3158</v>
      </c>
      <c r="G1844" s="24" t="s">
        <v>41</v>
      </c>
      <c r="H1844" s="24" t="s">
        <v>68</v>
      </c>
      <c r="I1844" s="5" t="s">
        <v>1131</v>
      </c>
      <c r="J1844" s="24" t="s">
        <v>22</v>
      </c>
      <c r="K1844" s="27">
        <v>7</v>
      </c>
      <c r="L1844" s="6">
        <v>42350</v>
      </c>
      <c r="M1844" s="27">
        <f>Table11[[#This Row],[Ship Date]]-Table11[[#This Row],[Order Date]]</f>
        <v>6</v>
      </c>
      <c r="N1844" s="24" t="s">
        <v>45</v>
      </c>
      <c r="O1844" s="24" t="s">
        <v>23</v>
      </c>
      <c r="P1844" s="24" t="s">
        <v>94</v>
      </c>
      <c r="Q1844" s="24" t="s">
        <v>95</v>
      </c>
      <c r="R1844" s="24" t="s">
        <v>1095</v>
      </c>
      <c r="S1844" s="34">
        <v>0.8</v>
      </c>
      <c r="T1844" s="15">
        <v>2.7719999999999998</v>
      </c>
      <c r="U1844" s="18">
        <v>-4.851</v>
      </c>
      <c r="V1844" s="56">
        <f>Table11[[#This Row],[Profit]]/Table11[[#This Row],[Sales]]</f>
        <v>-1.7500000000000002</v>
      </c>
    </row>
    <row r="1845" spans="1:22" x14ac:dyDescent="0.2">
      <c r="A1845" s="2">
        <v>1844</v>
      </c>
      <c r="B1845" s="3" t="s">
        <v>3576</v>
      </c>
      <c r="C1845" s="7">
        <v>42344</v>
      </c>
      <c r="D1845" s="28">
        <f>MONTH(Table11[[#This Row],[Order Date]])</f>
        <v>12</v>
      </c>
      <c r="E1845" s="3" t="s">
        <v>2031</v>
      </c>
      <c r="F1845" s="3" t="s">
        <v>2032</v>
      </c>
      <c r="G1845" s="25" t="s">
        <v>28</v>
      </c>
      <c r="H1845" s="25" t="s">
        <v>58</v>
      </c>
      <c r="I1845" s="3" t="s">
        <v>3577</v>
      </c>
      <c r="J1845" s="25" t="s">
        <v>22</v>
      </c>
      <c r="K1845" s="28">
        <v>6</v>
      </c>
      <c r="L1845" s="7">
        <v>42349</v>
      </c>
      <c r="M1845" s="28">
        <f>Table11[[#This Row],[Ship Date]]-Table11[[#This Row],[Order Date]]</f>
        <v>5</v>
      </c>
      <c r="N1845" s="25" t="s">
        <v>45</v>
      </c>
      <c r="O1845" s="25" t="s">
        <v>23</v>
      </c>
      <c r="P1845" s="25" t="s">
        <v>277</v>
      </c>
      <c r="Q1845" s="25" t="s">
        <v>39</v>
      </c>
      <c r="R1845" s="25" t="s">
        <v>1159</v>
      </c>
      <c r="S1845" s="35">
        <v>0.2</v>
      </c>
      <c r="T1845" s="16">
        <v>206.11199999999999</v>
      </c>
      <c r="U1845" s="19">
        <v>48.951599999999999</v>
      </c>
      <c r="V1845" s="56">
        <f>Table11[[#This Row],[Profit]]/Table11[[#This Row],[Sales]]</f>
        <v>0.23749999999999999</v>
      </c>
    </row>
    <row r="1846" spans="1:22" x14ac:dyDescent="0.2">
      <c r="A1846" s="4">
        <v>1845</v>
      </c>
      <c r="B1846" s="5" t="s">
        <v>3576</v>
      </c>
      <c r="C1846" s="6">
        <v>42344</v>
      </c>
      <c r="D1846" s="27">
        <f>MONTH(Table11[[#This Row],[Order Date]])</f>
        <v>12</v>
      </c>
      <c r="E1846" s="5" t="s">
        <v>3578</v>
      </c>
      <c r="F1846" s="5" t="s">
        <v>3579</v>
      </c>
      <c r="G1846" s="24" t="s">
        <v>41</v>
      </c>
      <c r="H1846" s="24" t="s">
        <v>82</v>
      </c>
      <c r="I1846" s="5" t="s">
        <v>3577</v>
      </c>
      <c r="J1846" s="24" t="s">
        <v>22</v>
      </c>
      <c r="K1846" s="27">
        <v>5</v>
      </c>
      <c r="L1846" s="6">
        <v>42349</v>
      </c>
      <c r="M1846" s="27">
        <f>Table11[[#This Row],[Ship Date]]-Table11[[#This Row],[Order Date]]</f>
        <v>5</v>
      </c>
      <c r="N1846" s="24" t="s">
        <v>45</v>
      </c>
      <c r="O1846" s="24" t="s">
        <v>23</v>
      </c>
      <c r="P1846" s="24" t="s">
        <v>277</v>
      </c>
      <c r="Q1846" s="24" t="s">
        <v>39</v>
      </c>
      <c r="R1846" s="24" t="s">
        <v>1159</v>
      </c>
      <c r="S1846" s="34">
        <v>0.2</v>
      </c>
      <c r="T1846" s="15">
        <v>19.920000000000002</v>
      </c>
      <c r="U1846" s="18">
        <v>6.7229999999999999</v>
      </c>
      <c r="V1846" s="56">
        <f>Table11[[#This Row],[Profit]]/Table11[[#This Row],[Sales]]</f>
        <v>0.33749999999999997</v>
      </c>
    </row>
    <row r="1847" spans="1:22" x14ac:dyDescent="0.2">
      <c r="A1847" s="4">
        <v>1846</v>
      </c>
      <c r="B1847" s="3" t="s">
        <v>3576</v>
      </c>
      <c r="C1847" s="7">
        <v>42344</v>
      </c>
      <c r="D1847" s="28">
        <f>MONTH(Table11[[#This Row],[Order Date]])</f>
        <v>12</v>
      </c>
      <c r="E1847" s="3" t="s">
        <v>1169</v>
      </c>
      <c r="F1847" s="3" t="s">
        <v>1170</v>
      </c>
      <c r="G1847" s="25" t="s">
        <v>41</v>
      </c>
      <c r="H1847" s="25" t="s">
        <v>82</v>
      </c>
      <c r="I1847" s="3" t="s">
        <v>3577</v>
      </c>
      <c r="J1847" s="25" t="s">
        <v>22</v>
      </c>
      <c r="K1847" s="28">
        <v>8</v>
      </c>
      <c r="L1847" s="7">
        <v>42349</v>
      </c>
      <c r="M1847" s="28">
        <f>Table11[[#This Row],[Ship Date]]-Table11[[#This Row],[Order Date]]</f>
        <v>5</v>
      </c>
      <c r="N1847" s="25" t="s">
        <v>45</v>
      </c>
      <c r="O1847" s="25" t="s">
        <v>23</v>
      </c>
      <c r="P1847" s="25" t="s">
        <v>277</v>
      </c>
      <c r="Q1847" s="25" t="s">
        <v>39</v>
      </c>
      <c r="R1847" s="25" t="s">
        <v>1159</v>
      </c>
      <c r="S1847" s="35">
        <v>0.2</v>
      </c>
      <c r="T1847" s="16">
        <v>198.27199999999999</v>
      </c>
      <c r="U1847" s="19">
        <v>61.96</v>
      </c>
      <c r="V1847" s="56">
        <f>Table11[[#This Row],[Profit]]/Table11[[#This Row],[Sales]]</f>
        <v>0.3125</v>
      </c>
    </row>
    <row r="1848" spans="1:22" x14ac:dyDescent="0.2">
      <c r="A1848" s="2">
        <v>1847</v>
      </c>
      <c r="B1848" s="5" t="s">
        <v>3576</v>
      </c>
      <c r="C1848" s="6">
        <v>42344</v>
      </c>
      <c r="D1848" s="27">
        <f>MONTH(Table11[[#This Row],[Order Date]])</f>
        <v>12</v>
      </c>
      <c r="E1848" s="5" t="s">
        <v>847</v>
      </c>
      <c r="F1848" s="5" t="s">
        <v>848</v>
      </c>
      <c r="G1848" s="24" t="s">
        <v>41</v>
      </c>
      <c r="H1848" s="24" t="s">
        <v>53</v>
      </c>
      <c r="I1848" s="5" t="s">
        <v>3577</v>
      </c>
      <c r="J1848" s="24" t="s">
        <v>22</v>
      </c>
      <c r="K1848" s="27">
        <v>6</v>
      </c>
      <c r="L1848" s="6">
        <v>42349</v>
      </c>
      <c r="M1848" s="27">
        <f>Table11[[#This Row],[Ship Date]]-Table11[[#This Row],[Order Date]]</f>
        <v>5</v>
      </c>
      <c r="N1848" s="24" t="s">
        <v>45</v>
      </c>
      <c r="O1848" s="24" t="s">
        <v>23</v>
      </c>
      <c r="P1848" s="24" t="s">
        <v>277</v>
      </c>
      <c r="Q1848" s="24" t="s">
        <v>39</v>
      </c>
      <c r="R1848" s="24" t="s">
        <v>1159</v>
      </c>
      <c r="S1848" s="34">
        <v>0.2</v>
      </c>
      <c r="T1848" s="15">
        <v>247.10400000000001</v>
      </c>
      <c r="U1848" s="18">
        <v>-58.687199999999997</v>
      </c>
      <c r="V1848" s="56">
        <f>Table11[[#This Row],[Profit]]/Table11[[#This Row],[Sales]]</f>
        <v>-0.23749999999999999</v>
      </c>
    </row>
    <row r="1849" spans="1:22" x14ac:dyDescent="0.2">
      <c r="A1849" s="4">
        <v>1848</v>
      </c>
      <c r="B1849" s="3" t="s">
        <v>3576</v>
      </c>
      <c r="C1849" s="7">
        <v>42344</v>
      </c>
      <c r="D1849" s="28">
        <f>MONTH(Table11[[#This Row],[Order Date]])</f>
        <v>12</v>
      </c>
      <c r="E1849" s="3" t="s">
        <v>157</v>
      </c>
      <c r="F1849" s="3" t="s">
        <v>158</v>
      </c>
      <c r="G1849" s="25" t="s">
        <v>41</v>
      </c>
      <c r="H1849" s="25" t="s">
        <v>61</v>
      </c>
      <c r="I1849" s="3" t="s">
        <v>3577</v>
      </c>
      <c r="J1849" s="25" t="s">
        <v>22</v>
      </c>
      <c r="K1849" s="28">
        <v>6</v>
      </c>
      <c r="L1849" s="7">
        <v>42349</v>
      </c>
      <c r="M1849" s="28">
        <f>Table11[[#This Row],[Ship Date]]-Table11[[#This Row],[Order Date]]</f>
        <v>5</v>
      </c>
      <c r="N1849" s="25" t="s">
        <v>45</v>
      </c>
      <c r="O1849" s="25" t="s">
        <v>23</v>
      </c>
      <c r="P1849" s="25" t="s">
        <v>277</v>
      </c>
      <c r="Q1849" s="25" t="s">
        <v>39</v>
      </c>
      <c r="R1849" s="25" t="s">
        <v>1159</v>
      </c>
      <c r="S1849" s="35">
        <v>0.2</v>
      </c>
      <c r="T1849" s="16">
        <v>86.304000000000002</v>
      </c>
      <c r="U1849" s="19">
        <v>9.7091999999999992</v>
      </c>
      <c r="V1849" s="56">
        <f>Table11[[#This Row],[Profit]]/Table11[[#This Row],[Sales]]</f>
        <v>0.11249999999999999</v>
      </c>
    </row>
    <row r="1850" spans="1:22" x14ac:dyDescent="0.2">
      <c r="A1850" s="4">
        <v>1849</v>
      </c>
      <c r="B1850" s="5" t="s">
        <v>4592</v>
      </c>
      <c r="C1850" s="6">
        <v>42344</v>
      </c>
      <c r="D1850" s="27">
        <f>MONTH(Table11[[#This Row],[Order Date]])</f>
        <v>12</v>
      </c>
      <c r="E1850" s="5" t="s">
        <v>4448</v>
      </c>
      <c r="F1850" s="5" t="s">
        <v>4449</v>
      </c>
      <c r="G1850" s="24" t="s">
        <v>64</v>
      </c>
      <c r="H1850" s="24" t="s">
        <v>65</v>
      </c>
      <c r="I1850" s="5" t="s">
        <v>4593</v>
      </c>
      <c r="J1850" s="24" t="s">
        <v>22</v>
      </c>
      <c r="K1850" s="27">
        <v>2</v>
      </c>
      <c r="L1850" s="6">
        <v>42344</v>
      </c>
      <c r="M1850" s="27">
        <f>Table11[[#This Row],[Ship Date]]-Table11[[#This Row],[Order Date]]</f>
        <v>0</v>
      </c>
      <c r="N1850" s="24" t="s">
        <v>1141</v>
      </c>
      <c r="O1850" s="24" t="s">
        <v>23</v>
      </c>
      <c r="P1850" s="24" t="s">
        <v>441</v>
      </c>
      <c r="Q1850" s="24" t="s">
        <v>133</v>
      </c>
      <c r="R1850" s="24" t="s">
        <v>4594</v>
      </c>
      <c r="S1850" s="34">
        <v>0.4</v>
      </c>
      <c r="T1850" s="15">
        <v>485.94</v>
      </c>
      <c r="U1850" s="18">
        <v>-89.088999999999999</v>
      </c>
      <c r="V1850" s="56">
        <f>Table11[[#This Row],[Profit]]/Table11[[#This Row],[Sales]]</f>
        <v>-0.18333333333333332</v>
      </c>
    </row>
    <row r="1851" spans="1:22" x14ac:dyDescent="0.2">
      <c r="A1851" s="2">
        <v>1850</v>
      </c>
      <c r="B1851" s="3" t="s">
        <v>4592</v>
      </c>
      <c r="C1851" s="7">
        <v>42344</v>
      </c>
      <c r="D1851" s="28">
        <f>MONTH(Table11[[#This Row],[Order Date]])</f>
        <v>12</v>
      </c>
      <c r="E1851" s="3" t="s">
        <v>1754</v>
      </c>
      <c r="F1851" s="3" t="s">
        <v>1755</v>
      </c>
      <c r="G1851" s="25" t="s">
        <v>41</v>
      </c>
      <c r="H1851" s="25" t="s">
        <v>61</v>
      </c>
      <c r="I1851" s="3" t="s">
        <v>4593</v>
      </c>
      <c r="J1851" s="25" t="s">
        <v>22</v>
      </c>
      <c r="K1851" s="28">
        <v>8</v>
      </c>
      <c r="L1851" s="7">
        <v>42344</v>
      </c>
      <c r="M1851" s="28">
        <f>Table11[[#This Row],[Ship Date]]-Table11[[#This Row],[Order Date]]</f>
        <v>0</v>
      </c>
      <c r="N1851" s="25" t="s">
        <v>1141</v>
      </c>
      <c r="O1851" s="25" t="s">
        <v>23</v>
      </c>
      <c r="P1851" s="25" t="s">
        <v>441</v>
      </c>
      <c r="Q1851" s="25" t="s">
        <v>133</v>
      </c>
      <c r="R1851" s="25" t="s">
        <v>4594</v>
      </c>
      <c r="S1851" s="35">
        <v>0.2</v>
      </c>
      <c r="T1851" s="16">
        <v>37.375999999999998</v>
      </c>
      <c r="U1851" s="19">
        <v>4.6719999999999997</v>
      </c>
      <c r="V1851" s="56">
        <f>Table11[[#This Row],[Profit]]/Table11[[#This Row],[Sales]]</f>
        <v>0.125</v>
      </c>
    </row>
    <row r="1852" spans="1:22" x14ac:dyDescent="0.2">
      <c r="A1852" s="4">
        <v>1851</v>
      </c>
      <c r="B1852" s="5" t="s">
        <v>4592</v>
      </c>
      <c r="C1852" s="6">
        <v>42344</v>
      </c>
      <c r="D1852" s="27">
        <f>MONTH(Table11[[#This Row],[Order Date]])</f>
        <v>12</v>
      </c>
      <c r="E1852" s="5" t="s">
        <v>784</v>
      </c>
      <c r="F1852" s="5" t="s">
        <v>785</v>
      </c>
      <c r="G1852" s="24" t="s">
        <v>28</v>
      </c>
      <c r="H1852" s="24" t="s">
        <v>32</v>
      </c>
      <c r="I1852" s="5" t="s">
        <v>4593</v>
      </c>
      <c r="J1852" s="24" t="s">
        <v>22</v>
      </c>
      <c r="K1852" s="27">
        <v>1</v>
      </c>
      <c r="L1852" s="6">
        <v>42344</v>
      </c>
      <c r="M1852" s="27">
        <f>Table11[[#This Row],[Ship Date]]-Table11[[#This Row],[Order Date]]</f>
        <v>0</v>
      </c>
      <c r="N1852" s="24" t="s">
        <v>1141</v>
      </c>
      <c r="O1852" s="24" t="s">
        <v>23</v>
      </c>
      <c r="P1852" s="24" t="s">
        <v>441</v>
      </c>
      <c r="Q1852" s="24" t="s">
        <v>133</v>
      </c>
      <c r="R1852" s="24" t="s">
        <v>4594</v>
      </c>
      <c r="S1852" s="34">
        <v>0.3</v>
      </c>
      <c r="T1852" s="15">
        <v>70.686000000000007</v>
      </c>
      <c r="U1852" s="18">
        <v>-24.235199999999999</v>
      </c>
      <c r="V1852" s="56">
        <f>Table11[[#This Row],[Profit]]/Table11[[#This Row],[Sales]]</f>
        <v>-0.3428571428571428</v>
      </c>
    </row>
    <row r="1853" spans="1:22" x14ac:dyDescent="0.2">
      <c r="A1853" s="4">
        <v>1852</v>
      </c>
      <c r="B1853" s="3" t="s">
        <v>4807</v>
      </c>
      <c r="C1853" s="7">
        <v>42344</v>
      </c>
      <c r="D1853" s="28">
        <f>MONTH(Table11[[#This Row],[Order Date]])</f>
        <v>12</v>
      </c>
      <c r="E1853" s="3" t="s">
        <v>4481</v>
      </c>
      <c r="F1853" s="3" t="s">
        <v>4482</v>
      </c>
      <c r="G1853" s="25" t="s">
        <v>41</v>
      </c>
      <c r="H1853" s="25" t="s">
        <v>82</v>
      </c>
      <c r="I1853" s="3" t="s">
        <v>3366</v>
      </c>
      <c r="J1853" s="25" t="s">
        <v>92</v>
      </c>
      <c r="K1853" s="28">
        <v>5</v>
      </c>
      <c r="L1853" s="7">
        <v>42349</v>
      </c>
      <c r="M1853" s="28">
        <f>Table11[[#This Row],[Ship Date]]-Table11[[#This Row],[Order Date]]</f>
        <v>5</v>
      </c>
      <c r="N1853" s="25" t="s">
        <v>45</v>
      </c>
      <c r="O1853" s="25" t="s">
        <v>23</v>
      </c>
      <c r="P1853" s="25" t="s">
        <v>38</v>
      </c>
      <c r="Q1853" s="25" t="s">
        <v>39</v>
      </c>
      <c r="R1853" s="25" t="s">
        <v>4808</v>
      </c>
      <c r="S1853" s="35">
        <v>0</v>
      </c>
      <c r="T1853" s="16">
        <v>32.75</v>
      </c>
      <c r="U1853" s="19">
        <v>15.065</v>
      </c>
      <c r="V1853" s="56">
        <f>Table11[[#This Row],[Profit]]/Table11[[#This Row],[Sales]]</f>
        <v>0.45999999999999996</v>
      </c>
    </row>
    <row r="1854" spans="1:22" x14ac:dyDescent="0.2">
      <c r="A1854" s="2">
        <v>1853</v>
      </c>
      <c r="B1854" s="5" t="s">
        <v>4826</v>
      </c>
      <c r="C1854" s="6">
        <v>42344</v>
      </c>
      <c r="D1854" s="27">
        <f>MONTH(Table11[[#This Row],[Order Date]])</f>
        <v>12</v>
      </c>
      <c r="E1854" s="5" t="s">
        <v>4828</v>
      </c>
      <c r="F1854" s="5" t="s">
        <v>4829</v>
      </c>
      <c r="G1854" s="24" t="s">
        <v>41</v>
      </c>
      <c r="H1854" s="24" t="s">
        <v>82</v>
      </c>
      <c r="I1854" s="5" t="s">
        <v>4827</v>
      </c>
      <c r="J1854" s="24" t="s">
        <v>22</v>
      </c>
      <c r="K1854" s="27">
        <v>1</v>
      </c>
      <c r="L1854" s="6">
        <v>42348</v>
      </c>
      <c r="M1854" s="27">
        <f>Table11[[#This Row],[Ship Date]]-Table11[[#This Row],[Order Date]]</f>
        <v>4</v>
      </c>
      <c r="N1854" s="24" t="s">
        <v>45</v>
      </c>
      <c r="O1854" s="24" t="s">
        <v>23</v>
      </c>
      <c r="P1854" s="24" t="s">
        <v>238</v>
      </c>
      <c r="Q1854" s="24" t="s">
        <v>133</v>
      </c>
      <c r="R1854" s="24" t="s">
        <v>237</v>
      </c>
      <c r="S1854" s="34">
        <v>0</v>
      </c>
      <c r="T1854" s="15">
        <v>6.48</v>
      </c>
      <c r="U1854" s="18">
        <v>3.1103999999999998</v>
      </c>
      <c r="V1854" s="56">
        <f>Table11[[#This Row],[Profit]]/Table11[[#This Row],[Sales]]</f>
        <v>0.47999999999999993</v>
      </c>
    </row>
    <row r="1855" spans="1:22" x14ac:dyDescent="0.2">
      <c r="A1855" s="4">
        <v>1854</v>
      </c>
      <c r="B1855" s="3" t="s">
        <v>4826</v>
      </c>
      <c r="C1855" s="7">
        <v>42344</v>
      </c>
      <c r="D1855" s="28">
        <f>MONTH(Table11[[#This Row],[Order Date]])</f>
        <v>12</v>
      </c>
      <c r="E1855" s="3" t="s">
        <v>4830</v>
      </c>
      <c r="F1855" s="3" t="s">
        <v>4831</v>
      </c>
      <c r="G1855" s="25" t="s">
        <v>41</v>
      </c>
      <c r="H1855" s="25" t="s">
        <v>82</v>
      </c>
      <c r="I1855" s="3" t="s">
        <v>4827</v>
      </c>
      <c r="J1855" s="25" t="s">
        <v>22</v>
      </c>
      <c r="K1855" s="28">
        <v>7</v>
      </c>
      <c r="L1855" s="7">
        <v>42348</v>
      </c>
      <c r="M1855" s="28">
        <f>Table11[[#This Row],[Ship Date]]-Table11[[#This Row],[Order Date]]</f>
        <v>4</v>
      </c>
      <c r="N1855" s="25" t="s">
        <v>45</v>
      </c>
      <c r="O1855" s="25" t="s">
        <v>23</v>
      </c>
      <c r="P1855" s="25" t="s">
        <v>238</v>
      </c>
      <c r="Q1855" s="25" t="s">
        <v>133</v>
      </c>
      <c r="R1855" s="25" t="s">
        <v>237</v>
      </c>
      <c r="S1855" s="35">
        <v>0</v>
      </c>
      <c r="T1855" s="16">
        <v>41.86</v>
      </c>
      <c r="U1855" s="19">
        <v>20.511399999999998</v>
      </c>
      <c r="V1855" s="56">
        <f>Table11[[#This Row],[Profit]]/Table11[[#This Row],[Sales]]</f>
        <v>0.49</v>
      </c>
    </row>
    <row r="1856" spans="1:22" x14ac:dyDescent="0.2">
      <c r="A1856" s="4">
        <v>1855</v>
      </c>
      <c r="B1856" s="5" t="s">
        <v>4826</v>
      </c>
      <c r="C1856" s="6">
        <v>42344</v>
      </c>
      <c r="D1856" s="27">
        <f>MONTH(Table11[[#This Row],[Order Date]])</f>
        <v>12</v>
      </c>
      <c r="E1856" s="5" t="s">
        <v>4832</v>
      </c>
      <c r="F1856" s="5" t="s">
        <v>4833</v>
      </c>
      <c r="G1856" s="24" t="s">
        <v>64</v>
      </c>
      <c r="H1856" s="24" t="s">
        <v>144</v>
      </c>
      <c r="I1856" s="5" t="s">
        <v>4827</v>
      </c>
      <c r="J1856" s="24" t="s">
        <v>22</v>
      </c>
      <c r="K1856" s="27">
        <v>9</v>
      </c>
      <c r="L1856" s="6">
        <v>42348</v>
      </c>
      <c r="M1856" s="27">
        <f>Table11[[#This Row],[Ship Date]]-Table11[[#This Row],[Order Date]]</f>
        <v>4</v>
      </c>
      <c r="N1856" s="24" t="s">
        <v>45</v>
      </c>
      <c r="O1856" s="24" t="s">
        <v>23</v>
      </c>
      <c r="P1856" s="24" t="s">
        <v>238</v>
      </c>
      <c r="Q1856" s="24" t="s">
        <v>133</v>
      </c>
      <c r="R1856" s="24" t="s">
        <v>237</v>
      </c>
      <c r="S1856" s="34">
        <v>0</v>
      </c>
      <c r="T1856" s="15">
        <v>1619.91</v>
      </c>
      <c r="U1856" s="18">
        <v>97.194599999999994</v>
      </c>
      <c r="V1856" s="56">
        <f>Table11[[#This Row],[Profit]]/Table11[[#This Row],[Sales]]</f>
        <v>5.9999999999999991E-2</v>
      </c>
    </row>
    <row r="1857" spans="1:22" x14ac:dyDescent="0.2">
      <c r="A1857" s="2">
        <v>1856</v>
      </c>
      <c r="B1857" s="3" t="s">
        <v>4826</v>
      </c>
      <c r="C1857" s="7">
        <v>42344</v>
      </c>
      <c r="D1857" s="28">
        <f>MONTH(Table11[[#This Row],[Order Date]])</f>
        <v>12</v>
      </c>
      <c r="E1857" s="3" t="s">
        <v>4050</v>
      </c>
      <c r="F1857" s="3" t="s">
        <v>4051</v>
      </c>
      <c r="G1857" s="25" t="s">
        <v>28</v>
      </c>
      <c r="H1857" s="25" t="s">
        <v>58</v>
      </c>
      <c r="I1857" s="3" t="s">
        <v>4827</v>
      </c>
      <c r="J1857" s="25" t="s">
        <v>22</v>
      </c>
      <c r="K1857" s="28">
        <v>4</v>
      </c>
      <c r="L1857" s="7">
        <v>42348</v>
      </c>
      <c r="M1857" s="28">
        <f>Table11[[#This Row],[Ship Date]]-Table11[[#This Row],[Order Date]]</f>
        <v>4</v>
      </c>
      <c r="N1857" s="25" t="s">
        <v>45</v>
      </c>
      <c r="O1857" s="25" t="s">
        <v>23</v>
      </c>
      <c r="P1857" s="25" t="s">
        <v>238</v>
      </c>
      <c r="Q1857" s="25" t="s">
        <v>133</v>
      </c>
      <c r="R1857" s="25" t="s">
        <v>237</v>
      </c>
      <c r="S1857" s="35">
        <v>0</v>
      </c>
      <c r="T1857" s="16">
        <v>113.92</v>
      </c>
      <c r="U1857" s="19">
        <v>42.150399999999998</v>
      </c>
      <c r="V1857" s="56">
        <f>Table11[[#This Row],[Profit]]/Table11[[#This Row],[Sales]]</f>
        <v>0.37</v>
      </c>
    </row>
    <row r="1858" spans="1:22" x14ac:dyDescent="0.2">
      <c r="A1858" s="4">
        <v>1857</v>
      </c>
      <c r="B1858" s="5" t="s">
        <v>6463</v>
      </c>
      <c r="C1858" s="6">
        <v>42344</v>
      </c>
      <c r="D1858" s="27">
        <f>MONTH(Table11[[#This Row],[Order Date]])</f>
        <v>12</v>
      </c>
      <c r="E1858" s="5" t="s">
        <v>2108</v>
      </c>
      <c r="F1858" s="5" t="s">
        <v>2109</v>
      </c>
      <c r="G1858" s="24" t="s">
        <v>64</v>
      </c>
      <c r="H1858" s="24" t="s">
        <v>1075</v>
      </c>
      <c r="I1858" s="5" t="s">
        <v>3493</v>
      </c>
      <c r="J1858" s="24" t="s">
        <v>92</v>
      </c>
      <c r="K1858" s="27">
        <v>2</v>
      </c>
      <c r="L1858" s="6">
        <v>42346</v>
      </c>
      <c r="M1858" s="27">
        <f>Table11[[#This Row],[Ship Date]]-Table11[[#This Row],[Order Date]]</f>
        <v>2</v>
      </c>
      <c r="N1858" s="24" t="s">
        <v>20</v>
      </c>
      <c r="O1858" s="24" t="s">
        <v>23</v>
      </c>
      <c r="P1858" s="24" t="s">
        <v>226</v>
      </c>
      <c r="Q1858" s="24" t="s">
        <v>95</v>
      </c>
      <c r="R1858" s="24" t="s">
        <v>3859</v>
      </c>
      <c r="S1858" s="34">
        <v>0</v>
      </c>
      <c r="T1858" s="15">
        <v>999.98</v>
      </c>
      <c r="U1858" s="18">
        <v>449.99099999999999</v>
      </c>
      <c r="V1858" s="56">
        <f>Table11[[#This Row],[Profit]]/Table11[[#This Row],[Sales]]</f>
        <v>0.44999999999999996</v>
      </c>
    </row>
    <row r="1859" spans="1:22" x14ac:dyDescent="0.2">
      <c r="A1859" s="4">
        <v>1858</v>
      </c>
      <c r="B1859" s="3" t="s">
        <v>7564</v>
      </c>
      <c r="C1859" s="7">
        <v>42344</v>
      </c>
      <c r="D1859" s="28">
        <f>MONTH(Table11[[#This Row],[Order Date]])</f>
        <v>12</v>
      </c>
      <c r="E1859" s="3" t="s">
        <v>7565</v>
      </c>
      <c r="F1859" s="3" t="s">
        <v>7566</v>
      </c>
      <c r="G1859" s="25" t="s">
        <v>41</v>
      </c>
      <c r="H1859" s="25" t="s">
        <v>82</v>
      </c>
      <c r="I1859" s="3" t="s">
        <v>4534</v>
      </c>
      <c r="J1859" s="25" t="s">
        <v>22</v>
      </c>
      <c r="K1859" s="28">
        <v>1</v>
      </c>
      <c r="L1859" s="7">
        <v>42348</v>
      </c>
      <c r="M1859" s="28">
        <f>Table11[[#This Row],[Ship Date]]-Table11[[#This Row],[Order Date]]</f>
        <v>4</v>
      </c>
      <c r="N1859" s="25" t="s">
        <v>45</v>
      </c>
      <c r="O1859" s="25" t="s">
        <v>23</v>
      </c>
      <c r="P1859" s="25" t="s">
        <v>1229</v>
      </c>
      <c r="Q1859" s="25" t="s">
        <v>39</v>
      </c>
      <c r="R1859" s="25" t="s">
        <v>3568</v>
      </c>
      <c r="S1859" s="35">
        <v>0</v>
      </c>
      <c r="T1859" s="16">
        <v>6.48</v>
      </c>
      <c r="U1859" s="19">
        <v>3.1103999999999998</v>
      </c>
      <c r="V1859" s="56">
        <f>Table11[[#This Row],[Profit]]/Table11[[#This Row],[Sales]]</f>
        <v>0.47999999999999993</v>
      </c>
    </row>
    <row r="1860" spans="1:22" x14ac:dyDescent="0.2">
      <c r="A1860" s="2">
        <v>1859</v>
      </c>
      <c r="B1860" s="5" t="s">
        <v>7564</v>
      </c>
      <c r="C1860" s="6">
        <v>42344</v>
      </c>
      <c r="D1860" s="27">
        <f>MONTH(Table11[[#This Row],[Order Date]])</f>
        <v>12</v>
      </c>
      <c r="E1860" s="5" t="s">
        <v>4435</v>
      </c>
      <c r="F1860" s="5" t="s">
        <v>4436</v>
      </c>
      <c r="G1860" s="24" t="s">
        <v>41</v>
      </c>
      <c r="H1860" s="24" t="s">
        <v>53</v>
      </c>
      <c r="I1860" s="5" t="s">
        <v>4534</v>
      </c>
      <c r="J1860" s="24" t="s">
        <v>22</v>
      </c>
      <c r="K1860" s="27">
        <v>5</v>
      </c>
      <c r="L1860" s="6">
        <v>42348</v>
      </c>
      <c r="M1860" s="27">
        <f>Table11[[#This Row],[Ship Date]]-Table11[[#This Row],[Order Date]]</f>
        <v>4</v>
      </c>
      <c r="N1860" s="24" t="s">
        <v>45</v>
      </c>
      <c r="O1860" s="24" t="s">
        <v>23</v>
      </c>
      <c r="P1860" s="24" t="s">
        <v>1229</v>
      </c>
      <c r="Q1860" s="24" t="s">
        <v>39</v>
      </c>
      <c r="R1860" s="24" t="s">
        <v>3568</v>
      </c>
      <c r="S1860" s="34">
        <v>0</v>
      </c>
      <c r="T1860" s="15">
        <v>1325.85</v>
      </c>
      <c r="U1860" s="18">
        <v>238.65299999999999</v>
      </c>
      <c r="V1860" s="56">
        <f>Table11[[#This Row],[Profit]]/Table11[[#This Row],[Sales]]</f>
        <v>0.18</v>
      </c>
    </row>
    <row r="1861" spans="1:22" x14ac:dyDescent="0.2">
      <c r="A1861" s="4">
        <v>1860</v>
      </c>
      <c r="B1861" s="3" t="s">
        <v>7564</v>
      </c>
      <c r="C1861" s="7">
        <v>42344</v>
      </c>
      <c r="D1861" s="28">
        <f>MONTH(Table11[[#This Row],[Order Date]])</f>
        <v>12</v>
      </c>
      <c r="E1861" s="3" t="s">
        <v>2362</v>
      </c>
      <c r="F1861" s="3" t="s">
        <v>2363</v>
      </c>
      <c r="G1861" s="25" t="s">
        <v>41</v>
      </c>
      <c r="H1861" s="25" t="s">
        <v>42</v>
      </c>
      <c r="I1861" s="3" t="s">
        <v>4534</v>
      </c>
      <c r="J1861" s="25" t="s">
        <v>22</v>
      </c>
      <c r="K1861" s="28">
        <v>3</v>
      </c>
      <c r="L1861" s="7">
        <v>42348</v>
      </c>
      <c r="M1861" s="28">
        <f>Table11[[#This Row],[Ship Date]]-Table11[[#This Row],[Order Date]]</f>
        <v>4</v>
      </c>
      <c r="N1861" s="25" t="s">
        <v>45</v>
      </c>
      <c r="O1861" s="25" t="s">
        <v>23</v>
      </c>
      <c r="P1861" s="25" t="s">
        <v>1229</v>
      </c>
      <c r="Q1861" s="25" t="s">
        <v>39</v>
      </c>
      <c r="R1861" s="25" t="s">
        <v>3568</v>
      </c>
      <c r="S1861" s="35">
        <v>0</v>
      </c>
      <c r="T1861" s="16">
        <v>14.94</v>
      </c>
      <c r="U1861" s="19">
        <v>6.8723999999999998</v>
      </c>
      <c r="V1861" s="56">
        <f>Table11[[#This Row],[Profit]]/Table11[[#This Row],[Sales]]</f>
        <v>0.46</v>
      </c>
    </row>
    <row r="1862" spans="1:22" x14ac:dyDescent="0.2">
      <c r="A1862" s="4">
        <v>1861</v>
      </c>
      <c r="B1862" s="5" t="s">
        <v>7604</v>
      </c>
      <c r="C1862" s="6">
        <v>42344</v>
      </c>
      <c r="D1862" s="27">
        <f>MONTH(Table11[[#This Row],[Order Date]])</f>
        <v>12</v>
      </c>
      <c r="E1862" s="5" t="s">
        <v>3609</v>
      </c>
      <c r="F1862" s="5" t="s">
        <v>3610</v>
      </c>
      <c r="G1862" s="24" t="s">
        <v>41</v>
      </c>
      <c r="H1862" s="24" t="s">
        <v>71</v>
      </c>
      <c r="I1862" s="5" t="s">
        <v>4505</v>
      </c>
      <c r="J1862" s="24" t="s">
        <v>22</v>
      </c>
      <c r="K1862" s="27">
        <v>2</v>
      </c>
      <c r="L1862" s="6">
        <v>42349</v>
      </c>
      <c r="M1862" s="27">
        <f>Table11[[#This Row],[Ship Date]]-Table11[[#This Row],[Order Date]]</f>
        <v>5</v>
      </c>
      <c r="N1862" s="24" t="s">
        <v>45</v>
      </c>
      <c r="O1862" s="24" t="s">
        <v>23</v>
      </c>
      <c r="P1862" s="24" t="s">
        <v>38</v>
      </c>
      <c r="Q1862" s="24" t="s">
        <v>39</v>
      </c>
      <c r="R1862" s="24" t="s">
        <v>114</v>
      </c>
      <c r="S1862" s="34">
        <v>0</v>
      </c>
      <c r="T1862" s="15">
        <v>7.78</v>
      </c>
      <c r="U1862" s="18">
        <v>2.0228000000000002</v>
      </c>
      <c r="V1862" s="56">
        <f>Table11[[#This Row],[Profit]]/Table11[[#This Row],[Sales]]</f>
        <v>0.26</v>
      </c>
    </row>
    <row r="1863" spans="1:22" x14ac:dyDescent="0.2">
      <c r="A1863" s="2">
        <v>1862</v>
      </c>
      <c r="B1863" s="3" t="s">
        <v>8197</v>
      </c>
      <c r="C1863" s="7">
        <v>42344</v>
      </c>
      <c r="D1863" s="28">
        <f>MONTH(Table11[[#This Row],[Order Date]])</f>
        <v>12</v>
      </c>
      <c r="E1863" s="3" t="s">
        <v>3983</v>
      </c>
      <c r="F1863" s="3" t="s">
        <v>3984</v>
      </c>
      <c r="G1863" s="25" t="s">
        <v>64</v>
      </c>
      <c r="H1863" s="25" t="s">
        <v>65</v>
      </c>
      <c r="I1863" s="3" t="s">
        <v>1504</v>
      </c>
      <c r="J1863" s="25" t="s">
        <v>22</v>
      </c>
      <c r="K1863" s="28">
        <v>6</v>
      </c>
      <c r="L1863" s="7">
        <v>42349</v>
      </c>
      <c r="M1863" s="28">
        <f>Table11[[#This Row],[Ship Date]]-Table11[[#This Row],[Order Date]]</f>
        <v>5</v>
      </c>
      <c r="N1863" s="25" t="s">
        <v>20</v>
      </c>
      <c r="O1863" s="25" t="s">
        <v>23</v>
      </c>
      <c r="P1863" s="25" t="s">
        <v>285</v>
      </c>
      <c r="Q1863" s="25" t="s">
        <v>26</v>
      </c>
      <c r="R1863" s="25" t="s">
        <v>997</v>
      </c>
      <c r="S1863" s="35">
        <v>0</v>
      </c>
      <c r="T1863" s="16">
        <v>173.94</v>
      </c>
      <c r="U1863" s="19">
        <v>50.442599999999999</v>
      </c>
      <c r="V1863" s="56">
        <f>Table11[[#This Row],[Profit]]/Table11[[#This Row],[Sales]]</f>
        <v>0.28999999999999998</v>
      </c>
    </row>
    <row r="1864" spans="1:22" x14ac:dyDescent="0.2">
      <c r="A1864" s="4">
        <v>1863</v>
      </c>
      <c r="B1864" s="5" t="s">
        <v>8353</v>
      </c>
      <c r="C1864" s="6">
        <v>42344</v>
      </c>
      <c r="D1864" s="27">
        <f>MONTH(Table11[[#This Row],[Order Date]])</f>
        <v>12</v>
      </c>
      <c r="E1864" s="5" t="s">
        <v>369</v>
      </c>
      <c r="F1864" s="5" t="s">
        <v>370</v>
      </c>
      <c r="G1864" s="24" t="s">
        <v>41</v>
      </c>
      <c r="H1864" s="24" t="s">
        <v>68</v>
      </c>
      <c r="I1864" s="5" t="s">
        <v>3602</v>
      </c>
      <c r="J1864" s="24" t="s">
        <v>92</v>
      </c>
      <c r="K1864" s="27">
        <v>3</v>
      </c>
      <c r="L1864" s="6">
        <v>42345</v>
      </c>
      <c r="M1864" s="27">
        <f>Table11[[#This Row],[Ship Date]]-Table11[[#This Row],[Order Date]]</f>
        <v>1</v>
      </c>
      <c r="N1864" s="24" t="s">
        <v>169</v>
      </c>
      <c r="O1864" s="24" t="s">
        <v>23</v>
      </c>
      <c r="P1864" s="24" t="s">
        <v>441</v>
      </c>
      <c r="Q1864" s="24" t="s">
        <v>133</v>
      </c>
      <c r="R1864" s="24" t="s">
        <v>246</v>
      </c>
      <c r="S1864" s="34">
        <v>0.7</v>
      </c>
      <c r="T1864" s="15">
        <v>14.832000000000001</v>
      </c>
      <c r="U1864" s="18">
        <v>-10.382400000000001</v>
      </c>
      <c r="V1864" s="56">
        <f>Table11[[#This Row],[Profit]]/Table11[[#This Row],[Sales]]</f>
        <v>-0.7</v>
      </c>
    </row>
    <row r="1865" spans="1:22" x14ac:dyDescent="0.2">
      <c r="A1865" s="4">
        <v>1864</v>
      </c>
      <c r="B1865" s="3" t="s">
        <v>9107</v>
      </c>
      <c r="C1865" s="7">
        <v>42344</v>
      </c>
      <c r="D1865" s="28">
        <f>MONTH(Table11[[#This Row],[Order Date]])</f>
        <v>12</v>
      </c>
      <c r="E1865" s="3" t="s">
        <v>3707</v>
      </c>
      <c r="F1865" s="3" t="s">
        <v>3708</v>
      </c>
      <c r="G1865" s="25" t="s">
        <v>41</v>
      </c>
      <c r="H1865" s="25" t="s">
        <v>82</v>
      </c>
      <c r="I1865" s="3" t="s">
        <v>803</v>
      </c>
      <c r="J1865" s="25" t="s">
        <v>36</v>
      </c>
      <c r="K1865" s="28">
        <v>2</v>
      </c>
      <c r="L1865" s="7">
        <v>42349</v>
      </c>
      <c r="M1865" s="28">
        <f>Table11[[#This Row],[Ship Date]]-Table11[[#This Row],[Order Date]]</f>
        <v>5</v>
      </c>
      <c r="N1865" s="25" t="s">
        <v>20</v>
      </c>
      <c r="O1865" s="25" t="s">
        <v>23</v>
      </c>
      <c r="P1865" s="25" t="s">
        <v>38</v>
      </c>
      <c r="Q1865" s="25" t="s">
        <v>39</v>
      </c>
      <c r="R1865" s="25" t="s">
        <v>7543</v>
      </c>
      <c r="S1865" s="35">
        <v>0</v>
      </c>
      <c r="T1865" s="16">
        <v>8.9600000000000009</v>
      </c>
      <c r="U1865" s="19">
        <v>4.3903999999999996</v>
      </c>
      <c r="V1865" s="56">
        <f>Table11[[#This Row],[Profit]]/Table11[[#This Row],[Sales]]</f>
        <v>0.48999999999999994</v>
      </c>
    </row>
    <row r="1866" spans="1:22" x14ac:dyDescent="0.2">
      <c r="A1866" s="2">
        <v>1865</v>
      </c>
      <c r="B1866" s="5" t="s">
        <v>1623</v>
      </c>
      <c r="C1866" s="6">
        <v>42345</v>
      </c>
      <c r="D1866" s="27">
        <f>MONTH(Table11[[#This Row],[Order Date]])</f>
        <v>12</v>
      </c>
      <c r="E1866" s="5" t="s">
        <v>1625</v>
      </c>
      <c r="F1866" s="5" t="s">
        <v>1626</v>
      </c>
      <c r="G1866" s="24" t="s">
        <v>41</v>
      </c>
      <c r="H1866" s="24" t="s">
        <v>71</v>
      </c>
      <c r="I1866" s="5" t="s">
        <v>1624</v>
      </c>
      <c r="J1866" s="24" t="s">
        <v>22</v>
      </c>
      <c r="K1866" s="27">
        <v>3</v>
      </c>
      <c r="L1866" s="6">
        <v>42349</v>
      </c>
      <c r="M1866" s="27">
        <f>Table11[[#This Row],[Ship Date]]-Table11[[#This Row],[Order Date]]</f>
        <v>4</v>
      </c>
      <c r="N1866" s="24" t="s">
        <v>45</v>
      </c>
      <c r="O1866" s="24" t="s">
        <v>23</v>
      </c>
      <c r="P1866" s="24" t="s">
        <v>25</v>
      </c>
      <c r="Q1866" s="24" t="s">
        <v>26</v>
      </c>
      <c r="R1866" s="24" t="s">
        <v>24</v>
      </c>
      <c r="S1866" s="34">
        <v>0</v>
      </c>
      <c r="T1866" s="15">
        <v>152.94</v>
      </c>
      <c r="U1866" s="18">
        <v>41.293799999999997</v>
      </c>
      <c r="V1866" s="56">
        <f>Table11[[#This Row],[Profit]]/Table11[[#This Row],[Sales]]</f>
        <v>0.26999999999999996</v>
      </c>
    </row>
    <row r="1867" spans="1:22" x14ac:dyDescent="0.2">
      <c r="A1867" s="4">
        <v>1866</v>
      </c>
      <c r="B1867" s="3" t="s">
        <v>1623</v>
      </c>
      <c r="C1867" s="7">
        <v>42345</v>
      </c>
      <c r="D1867" s="28">
        <f>MONTH(Table11[[#This Row],[Order Date]])</f>
        <v>12</v>
      </c>
      <c r="E1867" s="3" t="s">
        <v>1627</v>
      </c>
      <c r="F1867" s="3" t="s">
        <v>1628</v>
      </c>
      <c r="G1867" s="25" t="s">
        <v>28</v>
      </c>
      <c r="H1867" s="25" t="s">
        <v>32</v>
      </c>
      <c r="I1867" s="3" t="s">
        <v>1624</v>
      </c>
      <c r="J1867" s="25" t="s">
        <v>22</v>
      </c>
      <c r="K1867" s="28">
        <v>4</v>
      </c>
      <c r="L1867" s="7">
        <v>42349</v>
      </c>
      <c r="M1867" s="28">
        <f>Table11[[#This Row],[Ship Date]]-Table11[[#This Row],[Order Date]]</f>
        <v>4</v>
      </c>
      <c r="N1867" s="25" t="s">
        <v>45</v>
      </c>
      <c r="O1867" s="25" t="s">
        <v>23</v>
      </c>
      <c r="P1867" s="25" t="s">
        <v>25</v>
      </c>
      <c r="Q1867" s="25" t="s">
        <v>26</v>
      </c>
      <c r="R1867" s="25" t="s">
        <v>24</v>
      </c>
      <c r="S1867" s="35">
        <v>0</v>
      </c>
      <c r="T1867" s="16">
        <v>283.92</v>
      </c>
      <c r="U1867" s="19">
        <v>70.98</v>
      </c>
      <c r="V1867" s="56">
        <f>Table11[[#This Row],[Profit]]/Table11[[#This Row],[Sales]]</f>
        <v>0.25</v>
      </c>
    </row>
    <row r="1868" spans="1:22" x14ac:dyDescent="0.2">
      <c r="A1868" s="4">
        <v>1867</v>
      </c>
      <c r="B1868" s="5" t="s">
        <v>1691</v>
      </c>
      <c r="C1868" s="6">
        <v>42345</v>
      </c>
      <c r="D1868" s="27">
        <f>MONTH(Table11[[#This Row],[Order Date]])</f>
        <v>12</v>
      </c>
      <c r="E1868" s="5" t="s">
        <v>1693</v>
      </c>
      <c r="F1868" s="5" t="s">
        <v>1694</v>
      </c>
      <c r="G1868" s="24" t="s">
        <v>41</v>
      </c>
      <c r="H1868" s="24" t="s">
        <v>240</v>
      </c>
      <c r="I1868" s="5" t="s">
        <v>1692</v>
      </c>
      <c r="J1868" s="24" t="s">
        <v>22</v>
      </c>
      <c r="K1868" s="27">
        <v>2</v>
      </c>
      <c r="L1868" s="6">
        <v>42347</v>
      </c>
      <c r="M1868" s="27">
        <f>Table11[[#This Row],[Ship Date]]-Table11[[#This Row],[Order Date]]</f>
        <v>2</v>
      </c>
      <c r="N1868" s="24" t="s">
        <v>169</v>
      </c>
      <c r="O1868" s="24" t="s">
        <v>23</v>
      </c>
      <c r="P1868" s="24" t="s">
        <v>87</v>
      </c>
      <c r="Q1868" s="24" t="s">
        <v>39</v>
      </c>
      <c r="R1868" s="24" t="s">
        <v>86</v>
      </c>
      <c r="S1868" s="34">
        <v>0</v>
      </c>
      <c r="T1868" s="15">
        <v>3.96</v>
      </c>
      <c r="U1868" s="18">
        <v>0</v>
      </c>
      <c r="V1868" s="56">
        <f>Table11[[#This Row],[Profit]]/Table11[[#This Row],[Sales]]</f>
        <v>0</v>
      </c>
    </row>
    <row r="1869" spans="1:22" x14ac:dyDescent="0.2">
      <c r="A1869" s="2">
        <v>1868</v>
      </c>
      <c r="B1869" s="3" t="s">
        <v>1691</v>
      </c>
      <c r="C1869" s="7">
        <v>42345</v>
      </c>
      <c r="D1869" s="28">
        <f>MONTH(Table11[[#This Row],[Order Date]])</f>
        <v>12</v>
      </c>
      <c r="E1869" s="3" t="s">
        <v>1009</v>
      </c>
      <c r="F1869" s="3" t="s">
        <v>1010</v>
      </c>
      <c r="G1869" s="25" t="s">
        <v>41</v>
      </c>
      <c r="H1869" s="25" t="s">
        <v>42</v>
      </c>
      <c r="I1869" s="3" t="s">
        <v>1692</v>
      </c>
      <c r="J1869" s="25" t="s">
        <v>22</v>
      </c>
      <c r="K1869" s="28">
        <v>1</v>
      </c>
      <c r="L1869" s="7">
        <v>42347</v>
      </c>
      <c r="M1869" s="28">
        <f>Table11[[#This Row],[Ship Date]]-Table11[[#This Row],[Order Date]]</f>
        <v>2</v>
      </c>
      <c r="N1869" s="25" t="s">
        <v>169</v>
      </c>
      <c r="O1869" s="25" t="s">
        <v>23</v>
      </c>
      <c r="P1869" s="25" t="s">
        <v>87</v>
      </c>
      <c r="Q1869" s="25" t="s">
        <v>39</v>
      </c>
      <c r="R1869" s="25" t="s">
        <v>86</v>
      </c>
      <c r="S1869" s="35">
        <v>0</v>
      </c>
      <c r="T1869" s="16">
        <v>2.61</v>
      </c>
      <c r="U1869" s="19">
        <v>1.2005999999999999</v>
      </c>
      <c r="V1869" s="56">
        <f>Table11[[#This Row],[Profit]]/Table11[[#This Row],[Sales]]</f>
        <v>0.45999999999999996</v>
      </c>
    </row>
    <row r="1870" spans="1:22" x14ac:dyDescent="0.2">
      <c r="A1870" s="4">
        <v>1869</v>
      </c>
      <c r="B1870" s="5" t="s">
        <v>2110</v>
      </c>
      <c r="C1870" s="6">
        <v>42345</v>
      </c>
      <c r="D1870" s="27">
        <f>MONTH(Table11[[#This Row],[Order Date]])</f>
        <v>12</v>
      </c>
      <c r="E1870" s="5" t="s">
        <v>1924</v>
      </c>
      <c r="F1870" s="5" t="s">
        <v>1925</v>
      </c>
      <c r="G1870" s="24" t="s">
        <v>28</v>
      </c>
      <c r="H1870" s="24" t="s">
        <v>58</v>
      </c>
      <c r="I1870" s="5" t="s">
        <v>1752</v>
      </c>
      <c r="J1870" s="24" t="s">
        <v>22</v>
      </c>
      <c r="K1870" s="27">
        <v>4</v>
      </c>
      <c r="L1870" s="6">
        <v>42350</v>
      </c>
      <c r="M1870" s="27">
        <f>Table11[[#This Row],[Ship Date]]-Table11[[#This Row],[Order Date]]</f>
        <v>5</v>
      </c>
      <c r="N1870" s="24" t="s">
        <v>45</v>
      </c>
      <c r="O1870" s="24" t="s">
        <v>23</v>
      </c>
      <c r="P1870" s="24" t="s">
        <v>38</v>
      </c>
      <c r="Q1870" s="24" t="s">
        <v>39</v>
      </c>
      <c r="R1870" s="24" t="s">
        <v>37</v>
      </c>
      <c r="S1870" s="34">
        <v>0</v>
      </c>
      <c r="T1870" s="15">
        <v>79.92</v>
      </c>
      <c r="U1870" s="18">
        <v>28.7712</v>
      </c>
      <c r="V1870" s="56">
        <f>Table11[[#This Row],[Profit]]/Table11[[#This Row],[Sales]]</f>
        <v>0.36</v>
      </c>
    </row>
    <row r="1871" spans="1:22" x14ac:dyDescent="0.2">
      <c r="A1871" s="4">
        <v>1870</v>
      </c>
      <c r="B1871" s="3" t="s">
        <v>7156</v>
      </c>
      <c r="C1871" s="7">
        <v>42345</v>
      </c>
      <c r="D1871" s="28">
        <f>MONTH(Table11[[#This Row],[Order Date]])</f>
        <v>12</v>
      </c>
      <c r="E1871" s="3" t="s">
        <v>3023</v>
      </c>
      <c r="F1871" s="3" t="s">
        <v>3024</v>
      </c>
      <c r="G1871" s="25" t="s">
        <v>41</v>
      </c>
      <c r="H1871" s="25" t="s">
        <v>68</v>
      </c>
      <c r="I1871" s="3" t="s">
        <v>872</v>
      </c>
      <c r="J1871" s="25" t="s">
        <v>22</v>
      </c>
      <c r="K1871" s="28">
        <v>5</v>
      </c>
      <c r="L1871" s="7">
        <v>42347</v>
      </c>
      <c r="M1871" s="28">
        <f>Table11[[#This Row],[Ship Date]]-Table11[[#This Row],[Order Date]]</f>
        <v>2</v>
      </c>
      <c r="N1871" s="25" t="s">
        <v>169</v>
      </c>
      <c r="O1871" s="25" t="s">
        <v>23</v>
      </c>
      <c r="P1871" s="25" t="s">
        <v>238</v>
      </c>
      <c r="Q1871" s="25" t="s">
        <v>133</v>
      </c>
      <c r="R1871" s="25" t="s">
        <v>237</v>
      </c>
      <c r="S1871" s="35">
        <v>0.2</v>
      </c>
      <c r="T1871" s="16">
        <v>21.36</v>
      </c>
      <c r="U1871" s="19">
        <v>7.2089999999999996</v>
      </c>
      <c r="V1871" s="56">
        <f>Table11[[#This Row],[Profit]]/Table11[[#This Row],[Sales]]</f>
        <v>0.33749999999999997</v>
      </c>
    </row>
    <row r="1872" spans="1:22" x14ac:dyDescent="0.2">
      <c r="A1872" s="2">
        <v>1871</v>
      </c>
      <c r="B1872" s="5" t="s">
        <v>7156</v>
      </c>
      <c r="C1872" s="6">
        <v>42345</v>
      </c>
      <c r="D1872" s="27">
        <f>MONTH(Table11[[#This Row],[Order Date]])</f>
        <v>12</v>
      </c>
      <c r="E1872" s="5" t="s">
        <v>2788</v>
      </c>
      <c r="F1872" s="5" t="s">
        <v>2789</v>
      </c>
      <c r="G1872" s="24" t="s">
        <v>41</v>
      </c>
      <c r="H1872" s="24" t="s">
        <v>68</v>
      </c>
      <c r="I1872" s="5" t="s">
        <v>872</v>
      </c>
      <c r="J1872" s="24" t="s">
        <v>22</v>
      </c>
      <c r="K1872" s="27">
        <v>2</v>
      </c>
      <c r="L1872" s="6">
        <v>42347</v>
      </c>
      <c r="M1872" s="27">
        <f>Table11[[#This Row],[Ship Date]]-Table11[[#This Row],[Order Date]]</f>
        <v>2</v>
      </c>
      <c r="N1872" s="24" t="s">
        <v>169</v>
      </c>
      <c r="O1872" s="24" t="s">
        <v>23</v>
      </c>
      <c r="P1872" s="24" t="s">
        <v>238</v>
      </c>
      <c r="Q1872" s="24" t="s">
        <v>133</v>
      </c>
      <c r="R1872" s="24" t="s">
        <v>237</v>
      </c>
      <c r="S1872" s="34">
        <v>0.2</v>
      </c>
      <c r="T1872" s="15">
        <v>6.6879999999999997</v>
      </c>
      <c r="U1872" s="18">
        <v>2.3408000000000002</v>
      </c>
      <c r="V1872" s="56">
        <f>Table11[[#This Row],[Profit]]/Table11[[#This Row],[Sales]]</f>
        <v>0.35000000000000003</v>
      </c>
    </row>
    <row r="1873" spans="1:22" x14ac:dyDescent="0.2">
      <c r="A1873" s="4">
        <v>1872</v>
      </c>
      <c r="B1873" s="3" t="s">
        <v>7156</v>
      </c>
      <c r="C1873" s="7">
        <v>42345</v>
      </c>
      <c r="D1873" s="28">
        <f>MONTH(Table11[[#This Row],[Order Date]])</f>
        <v>12</v>
      </c>
      <c r="E1873" s="3" t="s">
        <v>3306</v>
      </c>
      <c r="F1873" s="3" t="s">
        <v>3307</v>
      </c>
      <c r="G1873" s="25" t="s">
        <v>64</v>
      </c>
      <c r="H1873" s="25" t="s">
        <v>65</v>
      </c>
      <c r="I1873" s="3" t="s">
        <v>872</v>
      </c>
      <c r="J1873" s="25" t="s">
        <v>22</v>
      </c>
      <c r="K1873" s="28">
        <v>6</v>
      </c>
      <c r="L1873" s="7">
        <v>42347</v>
      </c>
      <c r="M1873" s="28">
        <f>Table11[[#This Row],[Ship Date]]-Table11[[#This Row],[Order Date]]</f>
        <v>2</v>
      </c>
      <c r="N1873" s="25" t="s">
        <v>169</v>
      </c>
      <c r="O1873" s="25" t="s">
        <v>23</v>
      </c>
      <c r="P1873" s="25" t="s">
        <v>238</v>
      </c>
      <c r="Q1873" s="25" t="s">
        <v>133</v>
      </c>
      <c r="R1873" s="25" t="s">
        <v>237</v>
      </c>
      <c r="S1873" s="35">
        <v>0</v>
      </c>
      <c r="T1873" s="16">
        <v>773.94</v>
      </c>
      <c r="U1873" s="19">
        <v>224.4426</v>
      </c>
      <c r="V1873" s="56">
        <f>Table11[[#This Row],[Profit]]/Table11[[#This Row],[Sales]]</f>
        <v>0.28999999999999998</v>
      </c>
    </row>
    <row r="1874" spans="1:22" x14ac:dyDescent="0.2">
      <c r="A1874" s="4">
        <v>1873</v>
      </c>
      <c r="B1874" s="5" t="s">
        <v>9973</v>
      </c>
      <c r="C1874" s="6">
        <v>42345</v>
      </c>
      <c r="D1874" s="27">
        <f>MONTH(Table11[[#This Row],[Order Date]])</f>
        <v>12</v>
      </c>
      <c r="E1874" s="5" t="s">
        <v>2214</v>
      </c>
      <c r="F1874" s="5" t="s">
        <v>2215</v>
      </c>
      <c r="G1874" s="24" t="s">
        <v>41</v>
      </c>
      <c r="H1874" s="24" t="s">
        <v>82</v>
      </c>
      <c r="I1874" s="5" t="s">
        <v>893</v>
      </c>
      <c r="J1874" s="24" t="s">
        <v>36</v>
      </c>
      <c r="K1874" s="27">
        <v>2</v>
      </c>
      <c r="L1874" s="6">
        <v>42345</v>
      </c>
      <c r="M1874" s="27">
        <f>Table11[[#This Row],[Ship Date]]-Table11[[#This Row],[Order Date]]</f>
        <v>0</v>
      </c>
      <c r="N1874" s="24" t="s">
        <v>1141</v>
      </c>
      <c r="O1874" s="24" t="s">
        <v>23</v>
      </c>
      <c r="P1874" s="24" t="s">
        <v>38</v>
      </c>
      <c r="Q1874" s="24" t="s">
        <v>39</v>
      </c>
      <c r="R1874" s="24" t="s">
        <v>2513</v>
      </c>
      <c r="S1874" s="34">
        <v>0</v>
      </c>
      <c r="T1874" s="15">
        <v>12.96</v>
      </c>
      <c r="U1874" s="18">
        <v>6.2207999999999997</v>
      </c>
      <c r="V1874" s="56">
        <f>Table11[[#This Row],[Profit]]/Table11[[#This Row],[Sales]]</f>
        <v>0.47999999999999993</v>
      </c>
    </row>
    <row r="1875" spans="1:22" x14ac:dyDescent="0.2">
      <c r="A1875" s="2">
        <v>1874</v>
      </c>
      <c r="B1875" s="3" t="s">
        <v>3941</v>
      </c>
      <c r="C1875" s="7">
        <v>42346</v>
      </c>
      <c r="D1875" s="28">
        <f>MONTH(Table11[[#This Row],[Order Date]])</f>
        <v>12</v>
      </c>
      <c r="E1875" s="3" t="s">
        <v>2885</v>
      </c>
      <c r="F1875" s="3" t="s">
        <v>2886</v>
      </c>
      <c r="G1875" s="25" t="s">
        <v>41</v>
      </c>
      <c r="H1875" s="25" t="s">
        <v>82</v>
      </c>
      <c r="I1875" s="3" t="s">
        <v>3683</v>
      </c>
      <c r="J1875" s="25" t="s">
        <v>92</v>
      </c>
      <c r="K1875" s="28">
        <v>11</v>
      </c>
      <c r="L1875" s="7">
        <v>42349</v>
      </c>
      <c r="M1875" s="28">
        <f>Table11[[#This Row],[Ship Date]]-Table11[[#This Row],[Order Date]]</f>
        <v>3</v>
      </c>
      <c r="N1875" s="25" t="s">
        <v>20</v>
      </c>
      <c r="O1875" s="25" t="s">
        <v>23</v>
      </c>
      <c r="P1875" s="25" t="s">
        <v>94</v>
      </c>
      <c r="Q1875" s="25" t="s">
        <v>95</v>
      </c>
      <c r="R1875" s="25" t="s">
        <v>93</v>
      </c>
      <c r="S1875" s="35">
        <v>0.2</v>
      </c>
      <c r="T1875" s="16">
        <v>360.71199999999999</v>
      </c>
      <c r="U1875" s="19">
        <v>130.75810000000001</v>
      </c>
      <c r="V1875" s="56">
        <f>Table11[[#This Row],[Profit]]/Table11[[#This Row],[Sales]]</f>
        <v>0.36250000000000004</v>
      </c>
    </row>
    <row r="1876" spans="1:22" x14ac:dyDescent="0.2">
      <c r="A1876" s="4">
        <v>1875</v>
      </c>
      <c r="B1876" s="5" t="s">
        <v>3941</v>
      </c>
      <c r="C1876" s="6">
        <v>42346</v>
      </c>
      <c r="D1876" s="27">
        <f>MONTH(Table11[[#This Row],[Order Date]])</f>
        <v>12</v>
      </c>
      <c r="E1876" s="5" t="s">
        <v>3942</v>
      </c>
      <c r="F1876" s="5" t="s">
        <v>3943</v>
      </c>
      <c r="G1876" s="24" t="s">
        <v>64</v>
      </c>
      <c r="H1876" s="24" t="s">
        <v>65</v>
      </c>
      <c r="I1876" s="5" t="s">
        <v>3683</v>
      </c>
      <c r="J1876" s="24" t="s">
        <v>92</v>
      </c>
      <c r="K1876" s="27">
        <v>6</v>
      </c>
      <c r="L1876" s="6">
        <v>42349</v>
      </c>
      <c r="M1876" s="27">
        <f>Table11[[#This Row],[Ship Date]]-Table11[[#This Row],[Order Date]]</f>
        <v>3</v>
      </c>
      <c r="N1876" s="24" t="s">
        <v>20</v>
      </c>
      <c r="O1876" s="24" t="s">
        <v>23</v>
      </c>
      <c r="P1876" s="24" t="s">
        <v>94</v>
      </c>
      <c r="Q1876" s="24" t="s">
        <v>95</v>
      </c>
      <c r="R1876" s="24" t="s">
        <v>93</v>
      </c>
      <c r="S1876" s="34">
        <v>0.2</v>
      </c>
      <c r="T1876" s="15">
        <v>1718.4</v>
      </c>
      <c r="U1876" s="18">
        <v>150.36000000000001</v>
      </c>
      <c r="V1876" s="56">
        <f>Table11[[#This Row],[Profit]]/Table11[[#This Row],[Sales]]</f>
        <v>8.7500000000000008E-2</v>
      </c>
    </row>
    <row r="1877" spans="1:22" x14ac:dyDescent="0.2">
      <c r="A1877" s="4">
        <v>1876</v>
      </c>
      <c r="B1877" s="3" t="s">
        <v>6198</v>
      </c>
      <c r="C1877" s="7">
        <v>42346</v>
      </c>
      <c r="D1877" s="28">
        <f>MONTH(Table11[[#This Row],[Order Date]])</f>
        <v>12</v>
      </c>
      <c r="E1877" s="3" t="s">
        <v>653</v>
      </c>
      <c r="F1877" s="3" t="s">
        <v>654</v>
      </c>
      <c r="G1877" s="25" t="s">
        <v>64</v>
      </c>
      <c r="H1877" s="25" t="s">
        <v>65</v>
      </c>
      <c r="I1877" s="3" t="s">
        <v>2494</v>
      </c>
      <c r="J1877" s="25" t="s">
        <v>92</v>
      </c>
      <c r="K1877" s="28">
        <v>5</v>
      </c>
      <c r="L1877" s="7">
        <v>42348</v>
      </c>
      <c r="M1877" s="28">
        <f>Table11[[#This Row],[Ship Date]]-Table11[[#This Row],[Order Date]]</f>
        <v>2</v>
      </c>
      <c r="N1877" s="25" t="s">
        <v>20</v>
      </c>
      <c r="O1877" s="25" t="s">
        <v>23</v>
      </c>
      <c r="P1877" s="25" t="s">
        <v>94</v>
      </c>
      <c r="Q1877" s="25" t="s">
        <v>95</v>
      </c>
      <c r="R1877" s="25" t="s">
        <v>165</v>
      </c>
      <c r="S1877" s="35">
        <v>0.2</v>
      </c>
      <c r="T1877" s="16">
        <v>119.96</v>
      </c>
      <c r="U1877" s="19">
        <v>11.996</v>
      </c>
      <c r="V1877" s="56">
        <f>Table11[[#This Row],[Profit]]/Table11[[#This Row],[Sales]]</f>
        <v>0.1</v>
      </c>
    </row>
    <row r="1878" spans="1:22" x14ac:dyDescent="0.2">
      <c r="A1878" s="2">
        <v>1877</v>
      </c>
      <c r="B1878" s="5" t="s">
        <v>8764</v>
      </c>
      <c r="C1878" s="6">
        <v>42346</v>
      </c>
      <c r="D1878" s="27">
        <f>MONTH(Table11[[#This Row],[Order Date]])</f>
        <v>12</v>
      </c>
      <c r="E1878" s="5" t="s">
        <v>104</v>
      </c>
      <c r="F1878" s="5" t="s">
        <v>105</v>
      </c>
      <c r="G1878" s="24" t="s">
        <v>41</v>
      </c>
      <c r="H1878" s="24" t="s">
        <v>53</v>
      </c>
      <c r="I1878" s="5" t="s">
        <v>3354</v>
      </c>
      <c r="J1878" s="24" t="s">
        <v>36</v>
      </c>
      <c r="K1878" s="27">
        <v>2</v>
      </c>
      <c r="L1878" s="6">
        <v>42350</v>
      </c>
      <c r="M1878" s="27">
        <f>Table11[[#This Row],[Ship Date]]-Table11[[#This Row],[Order Date]]</f>
        <v>4</v>
      </c>
      <c r="N1878" s="24" t="s">
        <v>45</v>
      </c>
      <c r="O1878" s="24" t="s">
        <v>23</v>
      </c>
      <c r="P1878" s="24" t="s">
        <v>38</v>
      </c>
      <c r="Q1878" s="24" t="s">
        <v>39</v>
      </c>
      <c r="R1878" s="24" t="s">
        <v>37</v>
      </c>
      <c r="S1878" s="34">
        <v>0</v>
      </c>
      <c r="T1878" s="15">
        <v>221.96</v>
      </c>
      <c r="U1878" s="18">
        <v>4.4391999999999996</v>
      </c>
      <c r="V1878" s="56">
        <f>Table11[[#This Row],[Profit]]/Table11[[#This Row],[Sales]]</f>
        <v>1.9999999999999997E-2</v>
      </c>
    </row>
    <row r="1879" spans="1:22" x14ac:dyDescent="0.2">
      <c r="A1879" s="4">
        <v>1878</v>
      </c>
      <c r="B1879" s="3" t="s">
        <v>8764</v>
      </c>
      <c r="C1879" s="7">
        <v>42346</v>
      </c>
      <c r="D1879" s="28">
        <f>MONTH(Table11[[#This Row],[Order Date]])</f>
        <v>12</v>
      </c>
      <c r="E1879" s="3" t="s">
        <v>3516</v>
      </c>
      <c r="F1879" s="3" t="s">
        <v>3517</v>
      </c>
      <c r="G1879" s="25" t="s">
        <v>64</v>
      </c>
      <c r="H1879" s="25" t="s">
        <v>144</v>
      </c>
      <c r="I1879" s="3" t="s">
        <v>3354</v>
      </c>
      <c r="J1879" s="25" t="s">
        <v>36</v>
      </c>
      <c r="K1879" s="28">
        <v>4</v>
      </c>
      <c r="L1879" s="7">
        <v>42350</v>
      </c>
      <c r="M1879" s="28">
        <f>Table11[[#This Row],[Ship Date]]-Table11[[#This Row],[Order Date]]</f>
        <v>4</v>
      </c>
      <c r="N1879" s="25" t="s">
        <v>45</v>
      </c>
      <c r="O1879" s="25" t="s">
        <v>23</v>
      </c>
      <c r="P1879" s="25" t="s">
        <v>38</v>
      </c>
      <c r="Q1879" s="25" t="s">
        <v>39</v>
      </c>
      <c r="R1879" s="25" t="s">
        <v>37</v>
      </c>
      <c r="S1879" s="35">
        <v>0</v>
      </c>
      <c r="T1879" s="16">
        <v>236</v>
      </c>
      <c r="U1879" s="19">
        <v>40.119999999999997</v>
      </c>
      <c r="V1879" s="56">
        <f>Table11[[#This Row],[Profit]]/Table11[[#This Row],[Sales]]</f>
        <v>0.16999999999999998</v>
      </c>
    </row>
    <row r="1880" spans="1:22" x14ac:dyDescent="0.2">
      <c r="A1880" s="4">
        <v>1879</v>
      </c>
      <c r="B1880" s="5" t="s">
        <v>9365</v>
      </c>
      <c r="C1880" s="6">
        <v>42346</v>
      </c>
      <c r="D1880" s="27">
        <f>MONTH(Table11[[#This Row],[Order Date]])</f>
        <v>12</v>
      </c>
      <c r="E1880" s="5" t="s">
        <v>4338</v>
      </c>
      <c r="F1880" s="5" t="s">
        <v>4339</v>
      </c>
      <c r="G1880" s="24" t="s">
        <v>41</v>
      </c>
      <c r="H1880" s="24" t="s">
        <v>82</v>
      </c>
      <c r="I1880" s="5" t="s">
        <v>3208</v>
      </c>
      <c r="J1880" s="24" t="s">
        <v>36</v>
      </c>
      <c r="K1880" s="27">
        <v>3</v>
      </c>
      <c r="L1880" s="6">
        <v>42350</v>
      </c>
      <c r="M1880" s="27">
        <f>Table11[[#This Row],[Ship Date]]-Table11[[#This Row],[Order Date]]</f>
        <v>4</v>
      </c>
      <c r="N1880" s="24" t="s">
        <v>45</v>
      </c>
      <c r="O1880" s="24" t="s">
        <v>23</v>
      </c>
      <c r="P1880" s="24" t="s">
        <v>405</v>
      </c>
      <c r="Q1880" s="24" t="s">
        <v>39</v>
      </c>
      <c r="R1880" s="24" t="s">
        <v>954</v>
      </c>
      <c r="S1880" s="34">
        <v>0.2</v>
      </c>
      <c r="T1880" s="15">
        <v>15.696</v>
      </c>
      <c r="U1880" s="18">
        <v>5.1012000000000004</v>
      </c>
      <c r="V1880" s="56">
        <f>Table11[[#This Row],[Profit]]/Table11[[#This Row],[Sales]]</f>
        <v>0.32500000000000001</v>
      </c>
    </row>
    <row r="1881" spans="1:22" x14ac:dyDescent="0.2">
      <c r="A1881" s="2">
        <v>1880</v>
      </c>
      <c r="B1881" s="3" t="s">
        <v>2590</v>
      </c>
      <c r="C1881" s="7">
        <v>42347</v>
      </c>
      <c r="D1881" s="28">
        <f>MONTH(Table11[[#This Row],[Order Date]])</f>
        <v>12</v>
      </c>
      <c r="E1881" s="3" t="s">
        <v>2591</v>
      </c>
      <c r="F1881" s="3" t="s">
        <v>2592</v>
      </c>
      <c r="G1881" s="25" t="s">
        <v>41</v>
      </c>
      <c r="H1881" s="25" t="s">
        <v>82</v>
      </c>
      <c r="I1881" s="3" t="s">
        <v>307</v>
      </c>
      <c r="J1881" s="25" t="s">
        <v>36</v>
      </c>
      <c r="K1881" s="28">
        <v>3</v>
      </c>
      <c r="L1881" s="7">
        <v>42350</v>
      </c>
      <c r="M1881" s="28">
        <f>Table11[[#This Row],[Ship Date]]-Table11[[#This Row],[Order Date]]</f>
        <v>3</v>
      </c>
      <c r="N1881" s="25" t="s">
        <v>169</v>
      </c>
      <c r="O1881" s="25" t="s">
        <v>23</v>
      </c>
      <c r="P1881" s="25" t="s">
        <v>226</v>
      </c>
      <c r="Q1881" s="25" t="s">
        <v>95</v>
      </c>
      <c r="R1881" s="25" t="s">
        <v>440</v>
      </c>
      <c r="S1881" s="35">
        <v>0</v>
      </c>
      <c r="T1881" s="16">
        <v>34.020000000000003</v>
      </c>
      <c r="U1881" s="19">
        <v>16.669799999999999</v>
      </c>
      <c r="V1881" s="56">
        <f>Table11[[#This Row],[Profit]]/Table11[[#This Row],[Sales]]</f>
        <v>0.48999999999999994</v>
      </c>
    </row>
    <row r="1882" spans="1:22" x14ac:dyDescent="0.2">
      <c r="A1882" s="4">
        <v>1881</v>
      </c>
      <c r="B1882" s="5" t="s">
        <v>6054</v>
      </c>
      <c r="C1882" s="6">
        <v>42348</v>
      </c>
      <c r="D1882" s="27">
        <f>MONTH(Table11[[#This Row],[Order Date]])</f>
        <v>12</v>
      </c>
      <c r="E1882" s="5" t="s">
        <v>506</v>
      </c>
      <c r="F1882" s="5" t="s">
        <v>6055</v>
      </c>
      <c r="G1882" s="24" t="s">
        <v>41</v>
      </c>
      <c r="H1882" s="24" t="s">
        <v>61</v>
      </c>
      <c r="I1882" s="5" t="s">
        <v>3475</v>
      </c>
      <c r="J1882" s="24" t="s">
        <v>36</v>
      </c>
      <c r="K1882" s="27">
        <v>2</v>
      </c>
      <c r="L1882" s="6">
        <v>42354</v>
      </c>
      <c r="M1882" s="27">
        <f>Table11[[#This Row],[Ship Date]]-Table11[[#This Row],[Order Date]]</f>
        <v>6</v>
      </c>
      <c r="N1882" s="24" t="s">
        <v>45</v>
      </c>
      <c r="O1882" s="24" t="s">
        <v>23</v>
      </c>
      <c r="P1882" s="24" t="s">
        <v>212</v>
      </c>
      <c r="Q1882" s="24" t="s">
        <v>95</v>
      </c>
      <c r="R1882" s="24" t="s">
        <v>293</v>
      </c>
      <c r="S1882" s="34">
        <v>0</v>
      </c>
      <c r="T1882" s="15">
        <v>3.9</v>
      </c>
      <c r="U1882" s="18">
        <v>1.5209999999999999</v>
      </c>
      <c r="V1882" s="56">
        <f>Table11[[#This Row],[Profit]]/Table11[[#This Row],[Sales]]</f>
        <v>0.38999999999999996</v>
      </c>
    </row>
    <row r="1883" spans="1:22" x14ac:dyDescent="0.2">
      <c r="A1883" s="4">
        <v>1882</v>
      </c>
      <c r="B1883" s="3" t="s">
        <v>6054</v>
      </c>
      <c r="C1883" s="7">
        <v>42348</v>
      </c>
      <c r="D1883" s="28">
        <f>MONTH(Table11[[#This Row],[Order Date]])</f>
        <v>12</v>
      </c>
      <c r="E1883" s="3" t="s">
        <v>5072</v>
      </c>
      <c r="F1883" s="3" t="s">
        <v>5073</v>
      </c>
      <c r="G1883" s="25" t="s">
        <v>28</v>
      </c>
      <c r="H1883" s="25" t="s">
        <v>50</v>
      </c>
      <c r="I1883" s="3" t="s">
        <v>3475</v>
      </c>
      <c r="J1883" s="25" t="s">
        <v>36</v>
      </c>
      <c r="K1883" s="28">
        <v>2</v>
      </c>
      <c r="L1883" s="7">
        <v>42354</v>
      </c>
      <c r="M1883" s="28">
        <f>Table11[[#This Row],[Ship Date]]-Table11[[#This Row],[Order Date]]</f>
        <v>6</v>
      </c>
      <c r="N1883" s="25" t="s">
        <v>45</v>
      </c>
      <c r="O1883" s="25" t="s">
        <v>23</v>
      </c>
      <c r="P1883" s="25" t="s">
        <v>212</v>
      </c>
      <c r="Q1883" s="25" t="s">
        <v>95</v>
      </c>
      <c r="R1883" s="25" t="s">
        <v>293</v>
      </c>
      <c r="S1883" s="35">
        <v>0</v>
      </c>
      <c r="T1883" s="16">
        <v>801.96</v>
      </c>
      <c r="U1883" s="19">
        <v>200.49</v>
      </c>
      <c r="V1883" s="56">
        <f>Table11[[#This Row],[Profit]]/Table11[[#This Row],[Sales]]</f>
        <v>0.25</v>
      </c>
    </row>
    <row r="1884" spans="1:22" x14ac:dyDescent="0.2">
      <c r="A1884" s="2">
        <v>1883</v>
      </c>
      <c r="B1884" s="5" t="s">
        <v>6054</v>
      </c>
      <c r="C1884" s="6">
        <v>42348</v>
      </c>
      <c r="D1884" s="27">
        <f>MONTH(Table11[[#This Row],[Order Date]])</f>
        <v>12</v>
      </c>
      <c r="E1884" s="5" t="s">
        <v>3432</v>
      </c>
      <c r="F1884" s="5" t="s">
        <v>3433</v>
      </c>
      <c r="G1884" s="24" t="s">
        <v>28</v>
      </c>
      <c r="H1884" s="24" t="s">
        <v>32</v>
      </c>
      <c r="I1884" s="5" t="s">
        <v>3475</v>
      </c>
      <c r="J1884" s="24" t="s">
        <v>36</v>
      </c>
      <c r="K1884" s="27">
        <v>2</v>
      </c>
      <c r="L1884" s="6">
        <v>42354</v>
      </c>
      <c r="M1884" s="27">
        <f>Table11[[#This Row],[Ship Date]]-Table11[[#This Row],[Order Date]]</f>
        <v>6</v>
      </c>
      <c r="N1884" s="24" t="s">
        <v>45</v>
      </c>
      <c r="O1884" s="24" t="s">
        <v>23</v>
      </c>
      <c r="P1884" s="24" t="s">
        <v>212</v>
      </c>
      <c r="Q1884" s="24" t="s">
        <v>95</v>
      </c>
      <c r="R1884" s="24" t="s">
        <v>293</v>
      </c>
      <c r="S1884" s="34">
        <v>0</v>
      </c>
      <c r="T1884" s="15">
        <v>191.96</v>
      </c>
      <c r="U1884" s="18">
        <v>32.633200000000002</v>
      </c>
      <c r="V1884" s="56">
        <f>Table11[[#This Row],[Profit]]/Table11[[#This Row],[Sales]]</f>
        <v>0.17</v>
      </c>
    </row>
    <row r="1885" spans="1:22" x14ac:dyDescent="0.2">
      <c r="A1885" s="4">
        <v>1884</v>
      </c>
      <c r="B1885" s="3" t="s">
        <v>6054</v>
      </c>
      <c r="C1885" s="7">
        <v>42348</v>
      </c>
      <c r="D1885" s="28">
        <f>MONTH(Table11[[#This Row],[Order Date]])</f>
        <v>12</v>
      </c>
      <c r="E1885" s="3" t="s">
        <v>2439</v>
      </c>
      <c r="F1885" s="3" t="s">
        <v>2440</v>
      </c>
      <c r="G1885" s="25" t="s">
        <v>41</v>
      </c>
      <c r="H1885" s="25" t="s">
        <v>42</v>
      </c>
      <c r="I1885" s="3" t="s">
        <v>3475</v>
      </c>
      <c r="J1885" s="25" t="s">
        <v>36</v>
      </c>
      <c r="K1885" s="28">
        <v>1</v>
      </c>
      <c r="L1885" s="7">
        <v>42354</v>
      </c>
      <c r="M1885" s="28">
        <f>Table11[[#This Row],[Ship Date]]-Table11[[#This Row],[Order Date]]</f>
        <v>6</v>
      </c>
      <c r="N1885" s="25" t="s">
        <v>45</v>
      </c>
      <c r="O1885" s="25" t="s">
        <v>23</v>
      </c>
      <c r="P1885" s="25" t="s">
        <v>212</v>
      </c>
      <c r="Q1885" s="25" t="s">
        <v>95</v>
      </c>
      <c r="R1885" s="25" t="s">
        <v>293</v>
      </c>
      <c r="S1885" s="35">
        <v>0</v>
      </c>
      <c r="T1885" s="16">
        <v>2.61</v>
      </c>
      <c r="U1885" s="19">
        <v>1.2005999999999999</v>
      </c>
      <c r="V1885" s="56">
        <f>Table11[[#This Row],[Profit]]/Table11[[#This Row],[Sales]]</f>
        <v>0.45999999999999996</v>
      </c>
    </row>
    <row r="1886" spans="1:22" x14ac:dyDescent="0.2">
      <c r="A1886" s="4">
        <v>1885</v>
      </c>
      <c r="B1886" s="5" t="s">
        <v>6417</v>
      </c>
      <c r="C1886" s="6">
        <v>42348</v>
      </c>
      <c r="D1886" s="27">
        <f>MONTH(Table11[[#This Row],[Order Date]])</f>
        <v>12</v>
      </c>
      <c r="E1886" s="5" t="s">
        <v>4817</v>
      </c>
      <c r="F1886" s="5" t="s">
        <v>2673</v>
      </c>
      <c r="G1886" s="24" t="s">
        <v>41</v>
      </c>
      <c r="H1886" s="24" t="s">
        <v>61</v>
      </c>
      <c r="I1886" s="5" t="s">
        <v>6418</v>
      </c>
      <c r="J1886" s="24" t="s">
        <v>22</v>
      </c>
      <c r="K1886" s="27">
        <v>1</v>
      </c>
      <c r="L1886" s="6">
        <v>42354</v>
      </c>
      <c r="M1886" s="27">
        <f>Table11[[#This Row],[Ship Date]]-Table11[[#This Row],[Order Date]]</f>
        <v>6</v>
      </c>
      <c r="N1886" s="24" t="s">
        <v>45</v>
      </c>
      <c r="O1886" s="24" t="s">
        <v>23</v>
      </c>
      <c r="P1886" s="24" t="s">
        <v>1125</v>
      </c>
      <c r="Q1886" s="24" t="s">
        <v>26</v>
      </c>
      <c r="R1886" s="24" t="s">
        <v>2871</v>
      </c>
      <c r="S1886" s="34">
        <v>0</v>
      </c>
      <c r="T1886" s="15">
        <v>1.78</v>
      </c>
      <c r="U1886" s="18">
        <v>0.49840000000000001</v>
      </c>
      <c r="V1886" s="56">
        <f>Table11[[#This Row],[Profit]]/Table11[[#This Row],[Sales]]</f>
        <v>0.28000000000000003</v>
      </c>
    </row>
    <row r="1887" spans="1:22" x14ac:dyDescent="0.2">
      <c r="A1887" s="2">
        <v>1886</v>
      </c>
      <c r="B1887" s="3" t="s">
        <v>6417</v>
      </c>
      <c r="C1887" s="7">
        <v>42348</v>
      </c>
      <c r="D1887" s="28">
        <f>MONTH(Table11[[#This Row],[Order Date]])</f>
        <v>12</v>
      </c>
      <c r="E1887" s="3" t="s">
        <v>5357</v>
      </c>
      <c r="F1887" s="3" t="s">
        <v>5358</v>
      </c>
      <c r="G1887" s="25" t="s">
        <v>41</v>
      </c>
      <c r="H1887" s="25" t="s">
        <v>82</v>
      </c>
      <c r="I1887" s="3" t="s">
        <v>6418</v>
      </c>
      <c r="J1887" s="25" t="s">
        <v>22</v>
      </c>
      <c r="K1887" s="28">
        <v>4</v>
      </c>
      <c r="L1887" s="7">
        <v>42354</v>
      </c>
      <c r="M1887" s="28">
        <f>Table11[[#This Row],[Ship Date]]-Table11[[#This Row],[Order Date]]</f>
        <v>6</v>
      </c>
      <c r="N1887" s="25" t="s">
        <v>45</v>
      </c>
      <c r="O1887" s="25" t="s">
        <v>23</v>
      </c>
      <c r="P1887" s="25" t="s">
        <v>1125</v>
      </c>
      <c r="Q1887" s="25" t="s">
        <v>26</v>
      </c>
      <c r="R1887" s="25" t="s">
        <v>2871</v>
      </c>
      <c r="S1887" s="35">
        <v>0</v>
      </c>
      <c r="T1887" s="16">
        <v>25.92</v>
      </c>
      <c r="U1887" s="19">
        <v>12.441599999999999</v>
      </c>
      <c r="V1887" s="56">
        <f>Table11[[#This Row],[Profit]]/Table11[[#This Row],[Sales]]</f>
        <v>0.47999999999999993</v>
      </c>
    </row>
    <row r="1888" spans="1:22" x14ac:dyDescent="0.2">
      <c r="A1888" s="4">
        <v>1887</v>
      </c>
      <c r="B1888" s="5" t="s">
        <v>6417</v>
      </c>
      <c r="C1888" s="6">
        <v>42348</v>
      </c>
      <c r="D1888" s="27">
        <f>MONTH(Table11[[#This Row],[Order Date]])</f>
        <v>12</v>
      </c>
      <c r="E1888" s="5" t="s">
        <v>6419</v>
      </c>
      <c r="F1888" s="5" t="s">
        <v>6420</v>
      </c>
      <c r="G1888" s="24" t="s">
        <v>64</v>
      </c>
      <c r="H1888" s="24" t="s">
        <v>144</v>
      </c>
      <c r="I1888" s="5" t="s">
        <v>6418</v>
      </c>
      <c r="J1888" s="24" t="s">
        <v>22</v>
      </c>
      <c r="K1888" s="27">
        <v>6</v>
      </c>
      <c r="L1888" s="6">
        <v>42354</v>
      </c>
      <c r="M1888" s="27">
        <f>Table11[[#This Row],[Ship Date]]-Table11[[#This Row],[Order Date]]</f>
        <v>6</v>
      </c>
      <c r="N1888" s="24" t="s">
        <v>45</v>
      </c>
      <c r="O1888" s="24" t="s">
        <v>23</v>
      </c>
      <c r="P1888" s="24" t="s">
        <v>1125</v>
      </c>
      <c r="Q1888" s="24" t="s">
        <v>26</v>
      </c>
      <c r="R1888" s="24" t="s">
        <v>2871</v>
      </c>
      <c r="S1888" s="34">
        <v>0</v>
      </c>
      <c r="T1888" s="15">
        <v>101.94</v>
      </c>
      <c r="U1888" s="18">
        <v>21.407399999999999</v>
      </c>
      <c r="V1888" s="56">
        <f>Table11[[#This Row],[Profit]]/Table11[[#This Row],[Sales]]</f>
        <v>0.21</v>
      </c>
    </row>
    <row r="1889" spans="1:22" x14ac:dyDescent="0.2">
      <c r="A1889" s="4">
        <v>1888</v>
      </c>
      <c r="B1889" s="3" t="s">
        <v>6571</v>
      </c>
      <c r="C1889" s="7">
        <v>42348</v>
      </c>
      <c r="D1889" s="28">
        <f>MONTH(Table11[[#This Row],[Order Date]])</f>
        <v>12</v>
      </c>
      <c r="E1889" s="3" t="s">
        <v>2309</v>
      </c>
      <c r="F1889" s="3" t="s">
        <v>2310</v>
      </c>
      <c r="G1889" s="25" t="s">
        <v>41</v>
      </c>
      <c r="H1889" s="25" t="s">
        <v>42</v>
      </c>
      <c r="I1889" s="3" t="s">
        <v>164</v>
      </c>
      <c r="J1889" s="25" t="s">
        <v>92</v>
      </c>
      <c r="K1889" s="28">
        <v>1</v>
      </c>
      <c r="L1889" s="7">
        <v>42348</v>
      </c>
      <c r="M1889" s="28">
        <f>Table11[[#This Row],[Ship Date]]-Table11[[#This Row],[Order Date]]</f>
        <v>0</v>
      </c>
      <c r="N1889" s="25" t="s">
        <v>1141</v>
      </c>
      <c r="O1889" s="25" t="s">
        <v>23</v>
      </c>
      <c r="P1889" s="25" t="s">
        <v>238</v>
      </c>
      <c r="Q1889" s="25" t="s">
        <v>133</v>
      </c>
      <c r="R1889" s="25" t="s">
        <v>237</v>
      </c>
      <c r="S1889" s="35">
        <v>0</v>
      </c>
      <c r="T1889" s="16">
        <v>7.31</v>
      </c>
      <c r="U1889" s="19">
        <v>3.4357000000000002</v>
      </c>
      <c r="V1889" s="56">
        <f>Table11[[#This Row],[Profit]]/Table11[[#This Row],[Sales]]</f>
        <v>0.47000000000000003</v>
      </c>
    </row>
    <row r="1890" spans="1:22" x14ac:dyDescent="0.2">
      <c r="A1890" s="2">
        <v>1889</v>
      </c>
      <c r="B1890" s="5" t="s">
        <v>6571</v>
      </c>
      <c r="C1890" s="6">
        <v>42348</v>
      </c>
      <c r="D1890" s="27">
        <f>MONTH(Table11[[#This Row],[Order Date]])</f>
        <v>12</v>
      </c>
      <c r="E1890" s="5" t="s">
        <v>2108</v>
      </c>
      <c r="F1890" s="5" t="s">
        <v>2109</v>
      </c>
      <c r="G1890" s="24" t="s">
        <v>64</v>
      </c>
      <c r="H1890" s="24" t="s">
        <v>1075</v>
      </c>
      <c r="I1890" s="5" t="s">
        <v>164</v>
      </c>
      <c r="J1890" s="24" t="s">
        <v>92</v>
      </c>
      <c r="K1890" s="27">
        <v>2</v>
      </c>
      <c r="L1890" s="6">
        <v>42348</v>
      </c>
      <c r="M1890" s="27">
        <f>Table11[[#This Row],[Ship Date]]-Table11[[#This Row],[Order Date]]</f>
        <v>0</v>
      </c>
      <c r="N1890" s="24" t="s">
        <v>1141</v>
      </c>
      <c r="O1890" s="24" t="s">
        <v>23</v>
      </c>
      <c r="P1890" s="24" t="s">
        <v>238</v>
      </c>
      <c r="Q1890" s="24" t="s">
        <v>133</v>
      </c>
      <c r="R1890" s="24" t="s">
        <v>237</v>
      </c>
      <c r="S1890" s="34">
        <v>0.2</v>
      </c>
      <c r="T1890" s="15">
        <v>799.98400000000004</v>
      </c>
      <c r="U1890" s="18">
        <v>249.995</v>
      </c>
      <c r="V1890" s="56">
        <f>Table11[[#This Row],[Profit]]/Table11[[#This Row],[Sales]]</f>
        <v>0.3125</v>
      </c>
    </row>
    <row r="1891" spans="1:22" x14ac:dyDescent="0.2">
      <c r="A1891" s="4">
        <v>1890</v>
      </c>
      <c r="B1891" s="3" t="s">
        <v>6571</v>
      </c>
      <c r="C1891" s="7">
        <v>42348</v>
      </c>
      <c r="D1891" s="28">
        <f>MONTH(Table11[[#This Row],[Order Date]])</f>
        <v>12</v>
      </c>
      <c r="E1891" s="3" t="s">
        <v>1120</v>
      </c>
      <c r="F1891" s="3" t="s">
        <v>1121</v>
      </c>
      <c r="G1891" s="25" t="s">
        <v>41</v>
      </c>
      <c r="H1891" s="25" t="s">
        <v>82</v>
      </c>
      <c r="I1891" s="3" t="s">
        <v>164</v>
      </c>
      <c r="J1891" s="25" t="s">
        <v>92</v>
      </c>
      <c r="K1891" s="28">
        <v>6</v>
      </c>
      <c r="L1891" s="7">
        <v>42348</v>
      </c>
      <c r="M1891" s="28">
        <f>Table11[[#This Row],[Ship Date]]-Table11[[#This Row],[Order Date]]</f>
        <v>0</v>
      </c>
      <c r="N1891" s="25" t="s">
        <v>1141</v>
      </c>
      <c r="O1891" s="25" t="s">
        <v>23</v>
      </c>
      <c r="P1891" s="25" t="s">
        <v>238</v>
      </c>
      <c r="Q1891" s="25" t="s">
        <v>133</v>
      </c>
      <c r="R1891" s="25" t="s">
        <v>237</v>
      </c>
      <c r="S1891" s="35">
        <v>0</v>
      </c>
      <c r="T1891" s="16">
        <v>41.28</v>
      </c>
      <c r="U1891" s="19">
        <v>18.988800000000001</v>
      </c>
      <c r="V1891" s="56">
        <f>Table11[[#This Row],[Profit]]/Table11[[#This Row],[Sales]]</f>
        <v>0.46</v>
      </c>
    </row>
    <row r="1892" spans="1:22" x14ac:dyDescent="0.2">
      <c r="A1892" s="4">
        <v>1891</v>
      </c>
      <c r="B1892" s="5" t="s">
        <v>6571</v>
      </c>
      <c r="C1892" s="6">
        <v>42348</v>
      </c>
      <c r="D1892" s="27">
        <f>MONTH(Table11[[#This Row],[Order Date]])</f>
        <v>12</v>
      </c>
      <c r="E1892" s="5" t="s">
        <v>560</v>
      </c>
      <c r="F1892" s="5" t="s">
        <v>561</v>
      </c>
      <c r="G1892" s="24" t="s">
        <v>41</v>
      </c>
      <c r="H1892" s="24" t="s">
        <v>82</v>
      </c>
      <c r="I1892" s="5" t="s">
        <v>164</v>
      </c>
      <c r="J1892" s="24" t="s">
        <v>92</v>
      </c>
      <c r="K1892" s="27">
        <v>7</v>
      </c>
      <c r="L1892" s="6">
        <v>42348</v>
      </c>
      <c r="M1892" s="27">
        <f>Table11[[#This Row],[Ship Date]]-Table11[[#This Row],[Order Date]]</f>
        <v>0</v>
      </c>
      <c r="N1892" s="24" t="s">
        <v>1141</v>
      </c>
      <c r="O1892" s="24" t="s">
        <v>23</v>
      </c>
      <c r="P1892" s="24" t="s">
        <v>238</v>
      </c>
      <c r="Q1892" s="24" t="s">
        <v>133</v>
      </c>
      <c r="R1892" s="24" t="s">
        <v>237</v>
      </c>
      <c r="S1892" s="34">
        <v>0</v>
      </c>
      <c r="T1892" s="15">
        <v>184.66</v>
      </c>
      <c r="U1892" s="18">
        <v>84.943600000000004</v>
      </c>
      <c r="V1892" s="56">
        <f>Table11[[#This Row],[Profit]]/Table11[[#This Row],[Sales]]</f>
        <v>0.46</v>
      </c>
    </row>
    <row r="1893" spans="1:22" x14ac:dyDescent="0.2">
      <c r="A1893" s="2">
        <v>1892</v>
      </c>
      <c r="B1893" s="3" t="s">
        <v>7663</v>
      </c>
      <c r="C1893" s="7">
        <v>42348</v>
      </c>
      <c r="D1893" s="28">
        <f>MONTH(Table11[[#This Row],[Order Date]])</f>
        <v>12</v>
      </c>
      <c r="E1893" s="3" t="s">
        <v>4619</v>
      </c>
      <c r="F1893" s="3" t="s">
        <v>4620</v>
      </c>
      <c r="G1893" s="25" t="s">
        <v>41</v>
      </c>
      <c r="H1893" s="25" t="s">
        <v>61</v>
      </c>
      <c r="I1893" s="3" t="s">
        <v>2663</v>
      </c>
      <c r="J1893" s="25" t="s">
        <v>36</v>
      </c>
      <c r="K1893" s="28">
        <v>9</v>
      </c>
      <c r="L1893" s="7">
        <v>42354</v>
      </c>
      <c r="M1893" s="28">
        <f>Table11[[#This Row],[Ship Date]]-Table11[[#This Row],[Order Date]]</f>
        <v>6</v>
      </c>
      <c r="N1893" s="25" t="s">
        <v>45</v>
      </c>
      <c r="O1893" s="25" t="s">
        <v>23</v>
      </c>
      <c r="P1893" s="25" t="s">
        <v>2408</v>
      </c>
      <c r="Q1893" s="25" t="s">
        <v>133</v>
      </c>
      <c r="R1893" s="25" t="s">
        <v>3967</v>
      </c>
      <c r="S1893" s="35">
        <v>0</v>
      </c>
      <c r="T1893" s="16">
        <v>27.36</v>
      </c>
      <c r="U1893" s="19">
        <v>9.3024000000000004</v>
      </c>
      <c r="V1893" s="56">
        <f>Table11[[#This Row],[Profit]]/Table11[[#This Row],[Sales]]</f>
        <v>0.34</v>
      </c>
    </row>
    <row r="1894" spans="1:22" x14ac:dyDescent="0.2">
      <c r="A1894" s="4">
        <v>1893</v>
      </c>
      <c r="B1894" s="5" t="s">
        <v>7663</v>
      </c>
      <c r="C1894" s="6">
        <v>42348</v>
      </c>
      <c r="D1894" s="27">
        <f>MONTH(Table11[[#This Row],[Order Date]])</f>
        <v>12</v>
      </c>
      <c r="E1894" s="5" t="s">
        <v>1451</v>
      </c>
      <c r="F1894" s="5" t="s">
        <v>1452</v>
      </c>
      <c r="G1894" s="24" t="s">
        <v>41</v>
      </c>
      <c r="H1894" s="24" t="s">
        <v>82</v>
      </c>
      <c r="I1894" s="5" t="s">
        <v>2663</v>
      </c>
      <c r="J1894" s="24" t="s">
        <v>36</v>
      </c>
      <c r="K1894" s="27">
        <v>5</v>
      </c>
      <c r="L1894" s="6">
        <v>42354</v>
      </c>
      <c r="M1894" s="27">
        <f>Table11[[#This Row],[Ship Date]]-Table11[[#This Row],[Order Date]]</f>
        <v>6</v>
      </c>
      <c r="N1894" s="24" t="s">
        <v>45</v>
      </c>
      <c r="O1894" s="24" t="s">
        <v>23</v>
      </c>
      <c r="P1894" s="24" t="s">
        <v>2408</v>
      </c>
      <c r="Q1894" s="24" t="s">
        <v>133</v>
      </c>
      <c r="R1894" s="24" t="s">
        <v>3967</v>
      </c>
      <c r="S1894" s="34">
        <v>0</v>
      </c>
      <c r="T1894" s="15">
        <v>44.75</v>
      </c>
      <c r="U1894" s="18">
        <v>20.585000000000001</v>
      </c>
      <c r="V1894" s="56">
        <f>Table11[[#This Row],[Profit]]/Table11[[#This Row],[Sales]]</f>
        <v>0.46</v>
      </c>
    </row>
    <row r="1895" spans="1:22" x14ac:dyDescent="0.2">
      <c r="A1895" s="4">
        <v>1894</v>
      </c>
      <c r="B1895" s="3" t="s">
        <v>7663</v>
      </c>
      <c r="C1895" s="7">
        <v>42348</v>
      </c>
      <c r="D1895" s="28">
        <f>MONTH(Table11[[#This Row],[Order Date]])</f>
        <v>12</v>
      </c>
      <c r="E1895" s="3" t="s">
        <v>1792</v>
      </c>
      <c r="F1895" s="3" t="s">
        <v>1793</v>
      </c>
      <c r="G1895" s="25" t="s">
        <v>64</v>
      </c>
      <c r="H1895" s="25" t="s">
        <v>65</v>
      </c>
      <c r="I1895" s="3" t="s">
        <v>2663</v>
      </c>
      <c r="J1895" s="25" t="s">
        <v>36</v>
      </c>
      <c r="K1895" s="28">
        <v>1</v>
      </c>
      <c r="L1895" s="7">
        <v>42354</v>
      </c>
      <c r="M1895" s="28">
        <f>Table11[[#This Row],[Ship Date]]-Table11[[#This Row],[Order Date]]</f>
        <v>6</v>
      </c>
      <c r="N1895" s="25" t="s">
        <v>45</v>
      </c>
      <c r="O1895" s="25" t="s">
        <v>23</v>
      </c>
      <c r="P1895" s="25" t="s">
        <v>2408</v>
      </c>
      <c r="Q1895" s="25" t="s">
        <v>133</v>
      </c>
      <c r="R1895" s="25" t="s">
        <v>3967</v>
      </c>
      <c r="S1895" s="35">
        <v>0</v>
      </c>
      <c r="T1895" s="16">
        <v>134.99</v>
      </c>
      <c r="U1895" s="19">
        <v>36.447299999999998</v>
      </c>
      <c r="V1895" s="56">
        <f>Table11[[#This Row],[Profit]]/Table11[[#This Row],[Sales]]</f>
        <v>0.26999999999999996</v>
      </c>
    </row>
    <row r="1896" spans="1:22" x14ac:dyDescent="0.2">
      <c r="A1896" s="2">
        <v>1895</v>
      </c>
      <c r="B1896" s="5" t="s">
        <v>7663</v>
      </c>
      <c r="C1896" s="6">
        <v>42348</v>
      </c>
      <c r="D1896" s="27">
        <f>MONTH(Table11[[#This Row],[Order Date]])</f>
        <v>12</v>
      </c>
      <c r="E1896" s="5" t="s">
        <v>7175</v>
      </c>
      <c r="F1896" s="5" t="s">
        <v>7176</v>
      </c>
      <c r="G1896" s="24" t="s">
        <v>41</v>
      </c>
      <c r="H1896" s="24" t="s">
        <v>82</v>
      </c>
      <c r="I1896" s="5" t="s">
        <v>2663</v>
      </c>
      <c r="J1896" s="24" t="s">
        <v>36</v>
      </c>
      <c r="K1896" s="27">
        <v>5</v>
      </c>
      <c r="L1896" s="6">
        <v>42354</v>
      </c>
      <c r="M1896" s="27">
        <f>Table11[[#This Row],[Ship Date]]-Table11[[#This Row],[Order Date]]</f>
        <v>6</v>
      </c>
      <c r="N1896" s="24" t="s">
        <v>45</v>
      </c>
      <c r="O1896" s="24" t="s">
        <v>23</v>
      </c>
      <c r="P1896" s="24" t="s">
        <v>2408</v>
      </c>
      <c r="Q1896" s="24" t="s">
        <v>133</v>
      </c>
      <c r="R1896" s="24" t="s">
        <v>3967</v>
      </c>
      <c r="S1896" s="34">
        <v>0</v>
      </c>
      <c r="T1896" s="15">
        <v>26.4</v>
      </c>
      <c r="U1896" s="18">
        <v>12.672000000000001</v>
      </c>
      <c r="V1896" s="56">
        <f>Table11[[#This Row],[Profit]]/Table11[[#This Row],[Sales]]</f>
        <v>0.48000000000000004</v>
      </c>
    </row>
    <row r="1897" spans="1:22" x14ac:dyDescent="0.2">
      <c r="A1897" s="4">
        <v>1896</v>
      </c>
      <c r="B1897" s="3" t="s">
        <v>7663</v>
      </c>
      <c r="C1897" s="7">
        <v>42348</v>
      </c>
      <c r="D1897" s="28">
        <f>MONTH(Table11[[#This Row],[Order Date]])</f>
        <v>12</v>
      </c>
      <c r="E1897" s="3" t="s">
        <v>1132</v>
      </c>
      <c r="F1897" s="3" t="s">
        <v>1133</v>
      </c>
      <c r="G1897" s="25" t="s">
        <v>28</v>
      </c>
      <c r="H1897" s="25" t="s">
        <v>32</v>
      </c>
      <c r="I1897" s="3" t="s">
        <v>2663</v>
      </c>
      <c r="J1897" s="25" t="s">
        <v>36</v>
      </c>
      <c r="K1897" s="28">
        <v>3</v>
      </c>
      <c r="L1897" s="7">
        <v>42354</v>
      </c>
      <c r="M1897" s="28">
        <f>Table11[[#This Row],[Ship Date]]-Table11[[#This Row],[Order Date]]</f>
        <v>6</v>
      </c>
      <c r="N1897" s="25" t="s">
        <v>45</v>
      </c>
      <c r="O1897" s="25" t="s">
        <v>23</v>
      </c>
      <c r="P1897" s="25" t="s">
        <v>2408</v>
      </c>
      <c r="Q1897" s="25" t="s">
        <v>133</v>
      </c>
      <c r="R1897" s="25" t="s">
        <v>3967</v>
      </c>
      <c r="S1897" s="35">
        <v>0</v>
      </c>
      <c r="T1897" s="16">
        <v>542.94000000000005</v>
      </c>
      <c r="U1897" s="19">
        <v>141.1644</v>
      </c>
      <c r="V1897" s="56">
        <f>Table11[[#This Row],[Profit]]/Table11[[#This Row],[Sales]]</f>
        <v>0.25999999999999995</v>
      </c>
    </row>
    <row r="1898" spans="1:22" x14ac:dyDescent="0.2">
      <c r="A1898" s="4">
        <v>1897</v>
      </c>
      <c r="B1898" s="5" t="s">
        <v>8078</v>
      </c>
      <c r="C1898" s="6">
        <v>42348</v>
      </c>
      <c r="D1898" s="27">
        <f>MONTH(Table11[[#This Row],[Order Date]])</f>
        <v>12</v>
      </c>
      <c r="E1898" s="5" t="s">
        <v>5564</v>
      </c>
      <c r="F1898" s="5" t="s">
        <v>5565</v>
      </c>
      <c r="G1898" s="24" t="s">
        <v>41</v>
      </c>
      <c r="H1898" s="24" t="s">
        <v>61</v>
      </c>
      <c r="I1898" s="5" t="s">
        <v>7475</v>
      </c>
      <c r="J1898" s="24" t="s">
        <v>92</v>
      </c>
      <c r="K1898" s="27">
        <v>2</v>
      </c>
      <c r="L1898" s="6">
        <v>42353</v>
      </c>
      <c r="M1898" s="27">
        <f>Table11[[#This Row],[Ship Date]]-Table11[[#This Row],[Order Date]]</f>
        <v>5</v>
      </c>
      <c r="N1898" s="24" t="s">
        <v>45</v>
      </c>
      <c r="O1898" s="24" t="s">
        <v>23</v>
      </c>
      <c r="P1898" s="24" t="s">
        <v>38</v>
      </c>
      <c r="Q1898" s="24" t="s">
        <v>39</v>
      </c>
      <c r="R1898" s="24" t="s">
        <v>37</v>
      </c>
      <c r="S1898" s="34">
        <v>0</v>
      </c>
      <c r="T1898" s="15">
        <v>56.3</v>
      </c>
      <c r="U1898" s="18">
        <v>15.763999999999999</v>
      </c>
      <c r="V1898" s="56">
        <f>Table11[[#This Row],[Profit]]/Table11[[#This Row],[Sales]]</f>
        <v>0.28000000000000003</v>
      </c>
    </row>
    <row r="1899" spans="1:22" x14ac:dyDescent="0.2">
      <c r="A1899" s="2">
        <v>1898</v>
      </c>
      <c r="B1899" s="3" t="s">
        <v>8537</v>
      </c>
      <c r="C1899" s="7">
        <v>42348</v>
      </c>
      <c r="D1899" s="28">
        <f>MONTH(Table11[[#This Row],[Order Date]])</f>
        <v>12</v>
      </c>
      <c r="E1899" s="3" t="s">
        <v>3397</v>
      </c>
      <c r="F1899" s="3" t="s">
        <v>3398</v>
      </c>
      <c r="G1899" s="25" t="s">
        <v>41</v>
      </c>
      <c r="H1899" s="25" t="s">
        <v>71</v>
      </c>
      <c r="I1899" s="3" t="s">
        <v>3642</v>
      </c>
      <c r="J1899" s="25" t="s">
        <v>22</v>
      </c>
      <c r="K1899" s="28">
        <v>7</v>
      </c>
      <c r="L1899" s="7">
        <v>42353</v>
      </c>
      <c r="M1899" s="28">
        <f>Table11[[#This Row],[Ship Date]]-Table11[[#This Row],[Order Date]]</f>
        <v>5</v>
      </c>
      <c r="N1899" s="25" t="s">
        <v>45</v>
      </c>
      <c r="O1899" s="25" t="s">
        <v>23</v>
      </c>
      <c r="P1899" s="25" t="s">
        <v>189</v>
      </c>
      <c r="Q1899" s="25" t="s">
        <v>95</v>
      </c>
      <c r="R1899" s="25" t="s">
        <v>271</v>
      </c>
      <c r="S1899" s="35">
        <v>0.8</v>
      </c>
      <c r="T1899" s="16">
        <v>53.088000000000001</v>
      </c>
      <c r="U1899" s="19">
        <v>-108.8304</v>
      </c>
      <c r="V1899" s="56">
        <f>Table11[[#This Row],[Profit]]/Table11[[#This Row],[Sales]]</f>
        <v>-2.0499999999999998</v>
      </c>
    </row>
    <row r="1900" spans="1:22" x14ac:dyDescent="0.2">
      <c r="A1900" s="4">
        <v>1899</v>
      </c>
      <c r="B1900" s="5" t="s">
        <v>9044</v>
      </c>
      <c r="C1900" s="6">
        <v>42348</v>
      </c>
      <c r="D1900" s="27">
        <f>MONTH(Table11[[#This Row],[Order Date]])</f>
        <v>12</v>
      </c>
      <c r="E1900" s="5" t="s">
        <v>2568</v>
      </c>
      <c r="F1900" s="5" t="s">
        <v>2569</v>
      </c>
      <c r="G1900" s="24" t="s">
        <v>41</v>
      </c>
      <c r="H1900" s="24" t="s">
        <v>42</v>
      </c>
      <c r="I1900" s="5" t="s">
        <v>2644</v>
      </c>
      <c r="J1900" s="24" t="s">
        <v>22</v>
      </c>
      <c r="K1900" s="27">
        <v>2</v>
      </c>
      <c r="L1900" s="6">
        <v>42352</v>
      </c>
      <c r="M1900" s="27">
        <f>Table11[[#This Row],[Ship Date]]-Table11[[#This Row],[Order Date]]</f>
        <v>4</v>
      </c>
      <c r="N1900" s="24" t="s">
        <v>45</v>
      </c>
      <c r="O1900" s="24" t="s">
        <v>23</v>
      </c>
      <c r="P1900" s="24" t="s">
        <v>38</v>
      </c>
      <c r="Q1900" s="24" t="s">
        <v>39</v>
      </c>
      <c r="R1900" s="24" t="s">
        <v>114</v>
      </c>
      <c r="S1900" s="34">
        <v>0</v>
      </c>
      <c r="T1900" s="15">
        <v>5.76</v>
      </c>
      <c r="U1900" s="18">
        <v>2.8224</v>
      </c>
      <c r="V1900" s="56">
        <f>Table11[[#This Row],[Profit]]/Table11[[#This Row],[Sales]]</f>
        <v>0.49000000000000005</v>
      </c>
    </row>
    <row r="1901" spans="1:22" x14ac:dyDescent="0.2">
      <c r="A1901" s="4">
        <v>1900</v>
      </c>
      <c r="B1901" s="3" t="s">
        <v>9248</v>
      </c>
      <c r="C1901" s="7">
        <v>42348</v>
      </c>
      <c r="D1901" s="28">
        <f>MONTH(Table11[[#This Row],[Order Date]])</f>
        <v>12</v>
      </c>
      <c r="E1901" s="3" t="s">
        <v>4994</v>
      </c>
      <c r="F1901" s="3" t="s">
        <v>4995</v>
      </c>
      <c r="G1901" s="25" t="s">
        <v>64</v>
      </c>
      <c r="H1901" s="25" t="s">
        <v>144</v>
      </c>
      <c r="I1901" s="3" t="s">
        <v>2638</v>
      </c>
      <c r="J1901" s="25" t="s">
        <v>22</v>
      </c>
      <c r="K1901" s="28">
        <v>2</v>
      </c>
      <c r="L1901" s="7">
        <v>42354</v>
      </c>
      <c r="M1901" s="28">
        <f>Table11[[#This Row],[Ship Date]]-Table11[[#This Row],[Order Date]]</f>
        <v>6</v>
      </c>
      <c r="N1901" s="25" t="s">
        <v>45</v>
      </c>
      <c r="O1901" s="25" t="s">
        <v>23</v>
      </c>
      <c r="P1901" s="25" t="s">
        <v>441</v>
      </c>
      <c r="Q1901" s="25" t="s">
        <v>133</v>
      </c>
      <c r="R1901" s="25" t="s">
        <v>1920</v>
      </c>
      <c r="S1901" s="35">
        <v>0.2</v>
      </c>
      <c r="T1901" s="16">
        <v>25.488</v>
      </c>
      <c r="U1901" s="19">
        <v>4.4603999999999999</v>
      </c>
      <c r="V1901" s="56">
        <f>Table11[[#This Row],[Profit]]/Table11[[#This Row],[Sales]]</f>
        <v>0.17499999999999999</v>
      </c>
    </row>
    <row r="1902" spans="1:22" x14ac:dyDescent="0.2">
      <c r="A1902" s="2">
        <v>1901</v>
      </c>
      <c r="B1902" s="5" t="s">
        <v>3836</v>
      </c>
      <c r="C1902" s="6">
        <v>42349</v>
      </c>
      <c r="D1902" s="27">
        <f>MONTH(Table11[[#This Row],[Order Date]])</f>
        <v>12</v>
      </c>
      <c r="E1902" s="5" t="s">
        <v>1740</v>
      </c>
      <c r="F1902" s="5" t="s">
        <v>1741</v>
      </c>
      <c r="G1902" s="24" t="s">
        <v>41</v>
      </c>
      <c r="H1902" s="24" t="s">
        <v>42</v>
      </c>
      <c r="I1902" s="5" t="s">
        <v>3837</v>
      </c>
      <c r="J1902" s="24" t="s">
        <v>22</v>
      </c>
      <c r="K1902" s="27">
        <v>2</v>
      </c>
      <c r="L1902" s="6">
        <v>42350</v>
      </c>
      <c r="M1902" s="27">
        <f>Table11[[#This Row],[Ship Date]]-Table11[[#This Row],[Order Date]]</f>
        <v>1</v>
      </c>
      <c r="N1902" s="24" t="s">
        <v>169</v>
      </c>
      <c r="O1902" s="24" t="s">
        <v>23</v>
      </c>
      <c r="P1902" s="24" t="s">
        <v>285</v>
      </c>
      <c r="Q1902" s="24" t="s">
        <v>26</v>
      </c>
      <c r="R1902" s="24" t="s">
        <v>3838</v>
      </c>
      <c r="S1902" s="34">
        <v>0</v>
      </c>
      <c r="T1902" s="15">
        <v>196.62</v>
      </c>
      <c r="U1902" s="18">
        <v>96.343800000000002</v>
      </c>
      <c r="V1902" s="56">
        <f>Table11[[#This Row],[Profit]]/Table11[[#This Row],[Sales]]</f>
        <v>0.49</v>
      </c>
    </row>
    <row r="1903" spans="1:22" x14ac:dyDescent="0.2">
      <c r="A1903" s="4">
        <v>1902</v>
      </c>
      <c r="B1903" s="3" t="s">
        <v>4332</v>
      </c>
      <c r="C1903" s="7">
        <v>42349</v>
      </c>
      <c r="D1903" s="28">
        <f>MONTH(Table11[[#This Row],[Order Date]])</f>
        <v>12</v>
      </c>
      <c r="E1903" s="3" t="s">
        <v>2023</v>
      </c>
      <c r="F1903" s="3" t="s">
        <v>2024</v>
      </c>
      <c r="G1903" s="25" t="s">
        <v>64</v>
      </c>
      <c r="H1903" s="25" t="s">
        <v>144</v>
      </c>
      <c r="I1903" s="3" t="s">
        <v>4333</v>
      </c>
      <c r="J1903" s="25" t="s">
        <v>22</v>
      </c>
      <c r="K1903" s="28">
        <v>2</v>
      </c>
      <c r="L1903" s="7">
        <v>42349</v>
      </c>
      <c r="M1903" s="28">
        <f>Table11[[#This Row],[Ship Date]]-Table11[[#This Row],[Order Date]]</f>
        <v>0</v>
      </c>
      <c r="N1903" s="25" t="s">
        <v>1141</v>
      </c>
      <c r="O1903" s="25" t="s">
        <v>23</v>
      </c>
      <c r="P1903" s="25" t="s">
        <v>94</v>
      </c>
      <c r="Q1903" s="25" t="s">
        <v>95</v>
      </c>
      <c r="R1903" s="25" t="s">
        <v>165</v>
      </c>
      <c r="S1903" s="35">
        <v>0.2</v>
      </c>
      <c r="T1903" s="16">
        <v>159.98400000000001</v>
      </c>
      <c r="U1903" s="19">
        <v>35.996400000000001</v>
      </c>
      <c r="V1903" s="56">
        <f>Table11[[#This Row],[Profit]]/Table11[[#This Row],[Sales]]</f>
        <v>0.22500000000000001</v>
      </c>
    </row>
    <row r="1904" spans="1:22" x14ac:dyDescent="0.2">
      <c r="A1904" s="4">
        <v>1903</v>
      </c>
      <c r="B1904" s="5" t="s">
        <v>4332</v>
      </c>
      <c r="C1904" s="6">
        <v>42349</v>
      </c>
      <c r="D1904" s="27">
        <f>MONTH(Table11[[#This Row],[Order Date]])</f>
        <v>12</v>
      </c>
      <c r="E1904" s="5" t="s">
        <v>4334</v>
      </c>
      <c r="F1904" s="5" t="s">
        <v>4335</v>
      </c>
      <c r="G1904" s="24" t="s">
        <v>41</v>
      </c>
      <c r="H1904" s="24" t="s">
        <v>53</v>
      </c>
      <c r="I1904" s="5" t="s">
        <v>4333</v>
      </c>
      <c r="J1904" s="24" t="s">
        <v>22</v>
      </c>
      <c r="K1904" s="27">
        <v>3</v>
      </c>
      <c r="L1904" s="6">
        <v>42349</v>
      </c>
      <c r="M1904" s="27">
        <f>Table11[[#This Row],[Ship Date]]-Table11[[#This Row],[Order Date]]</f>
        <v>0</v>
      </c>
      <c r="N1904" s="24" t="s">
        <v>1141</v>
      </c>
      <c r="O1904" s="24" t="s">
        <v>23</v>
      </c>
      <c r="P1904" s="24" t="s">
        <v>94</v>
      </c>
      <c r="Q1904" s="24" t="s">
        <v>95</v>
      </c>
      <c r="R1904" s="24" t="s">
        <v>165</v>
      </c>
      <c r="S1904" s="34">
        <v>0.2</v>
      </c>
      <c r="T1904" s="15">
        <v>46.344000000000001</v>
      </c>
      <c r="U1904" s="18">
        <v>4.6344000000000003</v>
      </c>
      <c r="V1904" s="56">
        <f>Table11[[#This Row],[Profit]]/Table11[[#This Row],[Sales]]</f>
        <v>0.1</v>
      </c>
    </row>
    <row r="1905" spans="1:22" x14ac:dyDescent="0.2">
      <c r="A1905" s="2">
        <v>1904</v>
      </c>
      <c r="B1905" s="3" t="s">
        <v>5215</v>
      </c>
      <c r="C1905" s="7">
        <v>42349</v>
      </c>
      <c r="D1905" s="28">
        <f>MONTH(Table11[[#This Row],[Order Date]])</f>
        <v>12</v>
      </c>
      <c r="E1905" s="3" t="s">
        <v>1414</v>
      </c>
      <c r="F1905" s="3" t="s">
        <v>1415</v>
      </c>
      <c r="G1905" s="25" t="s">
        <v>41</v>
      </c>
      <c r="H1905" s="25" t="s">
        <v>68</v>
      </c>
      <c r="I1905" s="3" t="s">
        <v>3577</v>
      </c>
      <c r="J1905" s="25" t="s">
        <v>22</v>
      </c>
      <c r="K1905" s="28">
        <v>2</v>
      </c>
      <c r="L1905" s="7">
        <v>42353</v>
      </c>
      <c r="M1905" s="28">
        <f>Table11[[#This Row],[Ship Date]]-Table11[[#This Row],[Order Date]]</f>
        <v>4</v>
      </c>
      <c r="N1905" s="25" t="s">
        <v>45</v>
      </c>
      <c r="O1905" s="25" t="s">
        <v>23</v>
      </c>
      <c r="P1905" s="25" t="s">
        <v>48</v>
      </c>
      <c r="Q1905" s="25" t="s">
        <v>26</v>
      </c>
      <c r="R1905" s="25" t="s">
        <v>1345</v>
      </c>
      <c r="S1905" s="35">
        <v>0.7</v>
      </c>
      <c r="T1905" s="16">
        <v>12.827999999999999</v>
      </c>
      <c r="U1905" s="19">
        <v>-8.9795999999999996</v>
      </c>
      <c r="V1905" s="56">
        <f>Table11[[#This Row],[Profit]]/Table11[[#This Row],[Sales]]</f>
        <v>-0.7</v>
      </c>
    </row>
    <row r="1906" spans="1:22" x14ac:dyDescent="0.2">
      <c r="A1906" s="4">
        <v>1905</v>
      </c>
      <c r="B1906" s="5" t="s">
        <v>7028</v>
      </c>
      <c r="C1906" s="6">
        <v>42349</v>
      </c>
      <c r="D1906" s="27">
        <f>MONTH(Table11[[#This Row],[Order Date]])</f>
        <v>12</v>
      </c>
      <c r="E1906" s="5" t="s">
        <v>4943</v>
      </c>
      <c r="F1906" s="5" t="s">
        <v>4944</v>
      </c>
      <c r="G1906" s="24" t="s">
        <v>41</v>
      </c>
      <c r="H1906" s="24" t="s">
        <v>61</v>
      </c>
      <c r="I1906" s="5" t="s">
        <v>85</v>
      </c>
      <c r="J1906" s="24" t="s">
        <v>22</v>
      </c>
      <c r="K1906" s="27">
        <v>5</v>
      </c>
      <c r="L1906" s="6">
        <v>42354</v>
      </c>
      <c r="M1906" s="27">
        <f>Table11[[#This Row],[Ship Date]]-Table11[[#This Row],[Order Date]]</f>
        <v>5</v>
      </c>
      <c r="N1906" s="24" t="s">
        <v>45</v>
      </c>
      <c r="O1906" s="24" t="s">
        <v>23</v>
      </c>
      <c r="P1906" s="24" t="s">
        <v>405</v>
      </c>
      <c r="Q1906" s="24" t="s">
        <v>39</v>
      </c>
      <c r="R1906" s="24" t="s">
        <v>954</v>
      </c>
      <c r="S1906" s="34">
        <v>0.2</v>
      </c>
      <c r="T1906" s="15">
        <v>13.12</v>
      </c>
      <c r="U1906" s="18">
        <v>1.1479999999999999</v>
      </c>
      <c r="V1906" s="56">
        <f>Table11[[#This Row],[Profit]]/Table11[[#This Row],[Sales]]</f>
        <v>8.7499999999999994E-2</v>
      </c>
    </row>
    <row r="1907" spans="1:22" x14ac:dyDescent="0.2">
      <c r="A1907" s="4">
        <v>1906</v>
      </c>
      <c r="B1907" s="3" t="s">
        <v>7028</v>
      </c>
      <c r="C1907" s="7">
        <v>42349</v>
      </c>
      <c r="D1907" s="28">
        <f>MONTH(Table11[[#This Row],[Order Date]])</f>
        <v>12</v>
      </c>
      <c r="E1907" s="3" t="s">
        <v>5012</v>
      </c>
      <c r="F1907" s="3" t="s">
        <v>5013</v>
      </c>
      <c r="G1907" s="25" t="s">
        <v>28</v>
      </c>
      <c r="H1907" s="25" t="s">
        <v>29</v>
      </c>
      <c r="I1907" s="3" t="s">
        <v>85</v>
      </c>
      <c r="J1907" s="25" t="s">
        <v>22</v>
      </c>
      <c r="K1907" s="28">
        <v>4</v>
      </c>
      <c r="L1907" s="7">
        <v>42354</v>
      </c>
      <c r="M1907" s="28">
        <f>Table11[[#This Row],[Ship Date]]-Table11[[#This Row],[Order Date]]</f>
        <v>5</v>
      </c>
      <c r="N1907" s="25" t="s">
        <v>45</v>
      </c>
      <c r="O1907" s="25" t="s">
        <v>23</v>
      </c>
      <c r="P1907" s="25" t="s">
        <v>405</v>
      </c>
      <c r="Q1907" s="25" t="s">
        <v>39</v>
      </c>
      <c r="R1907" s="25" t="s">
        <v>954</v>
      </c>
      <c r="S1907" s="35">
        <v>0.7</v>
      </c>
      <c r="T1907" s="16">
        <v>69.575999999999993</v>
      </c>
      <c r="U1907" s="19">
        <v>-143.79040000000001</v>
      </c>
      <c r="V1907" s="56">
        <f>Table11[[#This Row],[Profit]]/Table11[[#This Row],[Sales]]</f>
        <v>-2.0666666666666669</v>
      </c>
    </row>
    <row r="1908" spans="1:22" x14ac:dyDescent="0.2">
      <c r="A1908" s="2">
        <v>1907</v>
      </c>
      <c r="B1908" s="5" t="s">
        <v>7028</v>
      </c>
      <c r="C1908" s="6">
        <v>42349</v>
      </c>
      <c r="D1908" s="27">
        <f>MONTH(Table11[[#This Row],[Order Date]])</f>
        <v>12</v>
      </c>
      <c r="E1908" s="5" t="s">
        <v>2842</v>
      </c>
      <c r="F1908" s="5" t="s">
        <v>2843</v>
      </c>
      <c r="G1908" s="24" t="s">
        <v>41</v>
      </c>
      <c r="H1908" s="24" t="s">
        <v>61</v>
      </c>
      <c r="I1908" s="5" t="s">
        <v>85</v>
      </c>
      <c r="J1908" s="24" t="s">
        <v>22</v>
      </c>
      <c r="K1908" s="27">
        <v>3</v>
      </c>
      <c r="L1908" s="6">
        <v>42354</v>
      </c>
      <c r="M1908" s="27">
        <f>Table11[[#This Row],[Ship Date]]-Table11[[#This Row],[Order Date]]</f>
        <v>5</v>
      </c>
      <c r="N1908" s="24" t="s">
        <v>45</v>
      </c>
      <c r="O1908" s="24" t="s">
        <v>23</v>
      </c>
      <c r="P1908" s="24" t="s">
        <v>405</v>
      </c>
      <c r="Q1908" s="24" t="s">
        <v>39</v>
      </c>
      <c r="R1908" s="24" t="s">
        <v>954</v>
      </c>
      <c r="S1908" s="34">
        <v>0.2</v>
      </c>
      <c r="T1908" s="15">
        <v>4.2240000000000002</v>
      </c>
      <c r="U1908" s="18">
        <v>0.47520000000000001</v>
      </c>
      <c r="V1908" s="56">
        <f>Table11[[#This Row],[Profit]]/Table11[[#This Row],[Sales]]</f>
        <v>0.1125</v>
      </c>
    </row>
    <row r="1909" spans="1:22" x14ac:dyDescent="0.2">
      <c r="A1909" s="4">
        <v>1908</v>
      </c>
      <c r="B1909" s="3" t="s">
        <v>7028</v>
      </c>
      <c r="C1909" s="7">
        <v>42349</v>
      </c>
      <c r="D1909" s="28">
        <f>MONTH(Table11[[#This Row],[Order Date]])</f>
        <v>12</v>
      </c>
      <c r="E1909" s="3" t="s">
        <v>7029</v>
      </c>
      <c r="F1909" s="3" t="s">
        <v>7030</v>
      </c>
      <c r="G1909" s="25" t="s">
        <v>64</v>
      </c>
      <c r="H1909" s="25" t="s">
        <v>144</v>
      </c>
      <c r="I1909" s="3" t="s">
        <v>85</v>
      </c>
      <c r="J1909" s="25" t="s">
        <v>22</v>
      </c>
      <c r="K1909" s="28">
        <v>4</v>
      </c>
      <c r="L1909" s="7">
        <v>42354</v>
      </c>
      <c r="M1909" s="28">
        <f>Table11[[#This Row],[Ship Date]]-Table11[[#This Row],[Order Date]]</f>
        <v>5</v>
      </c>
      <c r="N1909" s="25" t="s">
        <v>45</v>
      </c>
      <c r="O1909" s="25" t="s">
        <v>23</v>
      </c>
      <c r="P1909" s="25" t="s">
        <v>405</v>
      </c>
      <c r="Q1909" s="25" t="s">
        <v>39</v>
      </c>
      <c r="R1909" s="25" t="s">
        <v>954</v>
      </c>
      <c r="S1909" s="35">
        <v>0.2</v>
      </c>
      <c r="T1909" s="16">
        <v>58.08</v>
      </c>
      <c r="U1909" s="19">
        <v>-6.5339999999999998</v>
      </c>
      <c r="V1909" s="56">
        <f>Table11[[#This Row],[Profit]]/Table11[[#This Row],[Sales]]</f>
        <v>-0.1125</v>
      </c>
    </row>
    <row r="1910" spans="1:22" x14ac:dyDescent="0.2">
      <c r="A1910" s="4">
        <v>1909</v>
      </c>
      <c r="B1910" s="5" t="s">
        <v>7028</v>
      </c>
      <c r="C1910" s="6">
        <v>42349</v>
      </c>
      <c r="D1910" s="27">
        <f>MONTH(Table11[[#This Row],[Order Date]])</f>
        <v>12</v>
      </c>
      <c r="E1910" s="5" t="s">
        <v>3584</v>
      </c>
      <c r="F1910" s="5" t="s">
        <v>3585</v>
      </c>
      <c r="G1910" s="24" t="s">
        <v>28</v>
      </c>
      <c r="H1910" s="24" t="s">
        <v>58</v>
      </c>
      <c r="I1910" s="5" t="s">
        <v>85</v>
      </c>
      <c r="J1910" s="24" t="s">
        <v>22</v>
      </c>
      <c r="K1910" s="27">
        <v>9</v>
      </c>
      <c r="L1910" s="6">
        <v>42354</v>
      </c>
      <c r="M1910" s="27">
        <f>Table11[[#This Row],[Ship Date]]-Table11[[#This Row],[Order Date]]</f>
        <v>5</v>
      </c>
      <c r="N1910" s="24" t="s">
        <v>45</v>
      </c>
      <c r="O1910" s="24" t="s">
        <v>23</v>
      </c>
      <c r="P1910" s="24" t="s">
        <v>405</v>
      </c>
      <c r="Q1910" s="24" t="s">
        <v>39</v>
      </c>
      <c r="R1910" s="24" t="s">
        <v>954</v>
      </c>
      <c r="S1910" s="34">
        <v>0.2</v>
      </c>
      <c r="T1910" s="15">
        <v>52.415999999999997</v>
      </c>
      <c r="U1910" s="18">
        <v>15.069599999999999</v>
      </c>
      <c r="V1910" s="56">
        <f>Table11[[#This Row],[Profit]]/Table11[[#This Row],[Sales]]</f>
        <v>0.28750000000000003</v>
      </c>
    </row>
    <row r="1911" spans="1:22" x14ac:dyDescent="0.2">
      <c r="A1911" s="2">
        <v>1910</v>
      </c>
      <c r="B1911" s="3" t="s">
        <v>7028</v>
      </c>
      <c r="C1911" s="7">
        <v>42349</v>
      </c>
      <c r="D1911" s="28">
        <f>MONTH(Table11[[#This Row],[Order Date]])</f>
        <v>12</v>
      </c>
      <c r="E1911" s="3" t="s">
        <v>3465</v>
      </c>
      <c r="F1911" s="3" t="s">
        <v>3466</v>
      </c>
      <c r="G1911" s="25" t="s">
        <v>28</v>
      </c>
      <c r="H1911" s="25" t="s">
        <v>58</v>
      </c>
      <c r="I1911" s="3" t="s">
        <v>85</v>
      </c>
      <c r="J1911" s="25" t="s">
        <v>22</v>
      </c>
      <c r="K1911" s="28">
        <v>5</v>
      </c>
      <c r="L1911" s="7">
        <v>42354</v>
      </c>
      <c r="M1911" s="28">
        <f>Table11[[#This Row],[Ship Date]]-Table11[[#This Row],[Order Date]]</f>
        <v>5</v>
      </c>
      <c r="N1911" s="25" t="s">
        <v>45</v>
      </c>
      <c r="O1911" s="25" t="s">
        <v>23</v>
      </c>
      <c r="P1911" s="25" t="s">
        <v>405</v>
      </c>
      <c r="Q1911" s="25" t="s">
        <v>39</v>
      </c>
      <c r="R1911" s="25" t="s">
        <v>954</v>
      </c>
      <c r="S1911" s="35">
        <v>0.2</v>
      </c>
      <c r="T1911" s="16">
        <v>54.92</v>
      </c>
      <c r="U1911" s="19">
        <v>10.984</v>
      </c>
      <c r="V1911" s="56">
        <f>Table11[[#This Row],[Profit]]/Table11[[#This Row],[Sales]]</f>
        <v>0.19999999999999998</v>
      </c>
    </row>
    <row r="1912" spans="1:22" x14ac:dyDescent="0.2">
      <c r="A1912" s="4">
        <v>1911</v>
      </c>
      <c r="B1912" s="5" t="s">
        <v>7028</v>
      </c>
      <c r="C1912" s="6">
        <v>42349</v>
      </c>
      <c r="D1912" s="27">
        <f>MONTH(Table11[[#This Row],[Order Date]])</f>
        <v>12</v>
      </c>
      <c r="E1912" s="5" t="s">
        <v>4891</v>
      </c>
      <c r="F1912" s="5" t="s">
        <v>4892</v>
      </c>
      <c r="G1912" s="24" t="s">
        <v>28</v>
      </c>
      <c r="H1912" s="24" t="s">
        <v>50</v>
      </c>
      <c r="I1912" s="5" t="s">
        <v>85</v>
      </c>
      <c r="J1912" s="24" t="s">
        <v>22</v>
      </c>
      <c r="K1912" s="27">
        <v>5</v>
      </c>
      <c r="L1912" s="6">
        <v>42354</v>
      </c>
      <c r="M1912" s="27">
        <f>Table11[[#This Row],[Ship Date]]-Table11[[#This Row],[Order Date]]</f>
        <v>5</v>
      </c>
      <c r="N1912" s="24" t="s">
        <v>45</v>
      </c>
      <c r="O1912" s="24" t="s">
        <v>23</v>
      </c>
      <c r="P1912" s="24" t="s">
        <v>405</v>
      </c>
      <c r="Q1912" s="24" t="s">
        <v>39</v>
      </c>
      <c r="R1912" s="24" t="s">
        <v>954</v>
      </c>
      <c r="S1912" s="34">
        <v>0.5</v>
      </c>
      <c r="T1912" s="15">
        <v>364.95</v>
      </c>
      <c r="U1912" s="18">
        <v>-248.166</v>
      </c>
      <c r="V1912" s="56">
        <f>Table11[[#This Row],[Profit]]/Table11[[#This Row],[Sales]]</f>
        <v>-0.68</v>
      </c>
    </row>
    <row r="1913" spans="1:22" x14ac:dyDescent="0.2">
      <c r="A1913" s="4">
        <v>1912</v>
      </c>
      <c r="B1913" s="3" t="s">
        <v>7028</v>
      </c>
      <c r="C1913" s="7">
        <v>42349</v>
      </c>
      <c r="D1913" s="28">
        <f>MONTH(Table11[[#This Row],[Order Date]])</f>
        <v>12</v>
      </c>
      <c r="E1913" s="3" t="s">
        <v>2687</v>
      </c>
      <c r="F1913" s="3" t="s">
        <v>7031</v>
      </c>
      <c r="G1913" s="25" t="s">
        <v>41</v>
      </c>
      <c r="H1913" s="25" t="s">
        <v>82</v>
      </c>
      <c r="I1913" s="3" t="s">
        <v>85</v>
      </c>
      <c r="J1913" s="25" t="s">
        <v>22</v>
      </c>
      <c r="K1913" s="28">
        <v>3</v>
      </c>
      <c r="L1913" s="7">
        <v>42354</v>
      </c>
      <c r="M1913" s="28">
        <f>Table11[[#This Row],[Ship Date]]-Table11[[#This Row],[Order Date]]</f>
        <v>5</v>
      </c>
      <c r="N1913" s="25" t="s">
        <v>45</v>
      </c>
      <c r="O1913" s="25" t="s">
        <v>23</v>
      </c>
      <c r="P1913" s="25" t="s">
        <v>405</v>
      </c>
      <c r="Q1913" s="25" t="s">
        <v>39</v>
      </c>
      <c r="R1913" s="25" t="s">
        <v>954</v>
      </c>
      <c r="S1913" s="35">
        <v>0.2</v>
      </c>
      <c r="T1913" s="16">
        <v>85.055999999999997</v>
      </c>
      <c r="U1913" s="19">
        <v>28.706399999999999</v>
      </c>
      <c r="V1913" s="56">
        <f>Table11[[#This Row],[Profit]]/Table11[[#This Row],[Sales]]</f>
        <v>0.33749999999999997</v>
      </c>
    </row>
    <row r="1914" spans="1:22" x14ac:dyDescent="0.2">
      <c r="A1914" s="2">
        <v>1913</v>
      </c>
      <c r="B1914" s="5" t="s">
        <v>7028</v>
      </c>
      <c r="C1914" s="6">
        <v>42349</v>
      </c>
      <c r="D1914" s="27">
        <f>MONTH(Table11[[#This Row],[Order Date]])</f>
        <v>12</v>
      </c>
      <c r="E1914" s="5" t="s">
        <v>392</v>
      </c>
      <c r="F1914" s="5" t="s">
        <v>393</v>
      </c>
      <c r="G1914" s="24" t="s">
        <v>41</v>
      </c>
      <c r="H1914" s="24" t="s">
        <v>82</v>
      </c>
      <c r="I1914" s="5" t="s">
        <v>85</v>
      </c>
      <c r="J1914" s="24" t="s">
        <v>22</v>
      </c>
      <c r="K1914" s="27">
        <v>3</v>
      </c>
      <c r="L1914" s="6">
        <v>42354</v>
      </c>
      <c r="M1914" s="27">
        <f>Table11[[#This Row],[Ship Date]]-Table11[[#This Row],[Order Date]]</f>
        <v>5</v>
      </c>
      <c r="N1914" s="24" t="s">
        <v>45</v>
      </c>
      <c r="O1914" s="24" t="s">
        <v>23</v>
      </c>
      <c r="P1914" s="24" t="s">
        <v>405</v>
      </c>
      <c r="Q1914" s="24" t="s">
        <v>39</v>
      </c>
      <c r="R1914" s="24" t="s">
        <v>954</v>
      </c>
      <c r="S1914" s="34">
        <v>0.2</v>
      </c>
      <c r="T1914" s="15">
        <v>27.696000000000002</v>
      </c>
      <c r="U1914" s="18">
        <v>9.6936</v>
      </c>
      <c r="V1914" s="56">
        <f>Table11[[#This Row],[Profit]]/Table11[[#This Row],[Sales]]</f>
        <v>0.35</v>
      </c>
    </row>
    <row r="1915" spans="1:22" x14ac:dyDescent="0.2">
      <c r="A1915" s="4">
        <v>1914</v>
      </c>
      <c r="B1915" s="3" t="s">
        <v>9154</v>
      </c>
      <c r="C1915" s="7">
        <v>42349</v>
      </c>
      <c r="D1915" s="28">
        <f>MONTH(Table11[[#This Row],[Order Date]])</f>
        <v>12</v>
      </c>
      <c r="E1915" s="3" t="s">
        <v>5282</v>
      </c>
      <c r="F1915" s="3" t="s">
        <v>5283</v>
      </c>
      <c r="G1915" s="25" t="s">
        <v>41</v>
      </c>
      <c r="H1915" s="25" t="s">
        <v>68</v>
      </c>
      <c r="I1915" s="3" t="s">
        <v>500</v>
      </c>
      <c r="J1915" s="25" t="s">
        <v>22</v>
      </c>
      <c r="K1915" s="28">
        <v>3</v>
      </c>
      <c r="L1915" s="7">
        <v>42353</v>
      </c>
      <c r="M1915" s="28">
        <f>Table11[[#This Row],[Ship Date]]-Table11[[#This Row],[Order Date]]</f>
        <v>4</v>
      </c>
      <c r="N1915" s="25" t="s">
        <v>45</v>
      </c>
      <c r="O1915" s="25" t="s">
        <v>23</v>
      </c>
      <c r="P1915" s="25" t="s">
        <v>441</v>
      </c>
      <c r="Q1915" s="25" t="s">
        <v>133</v>
      </c>
      <c r="R1915" s="25" t="s">
        <v>246</v>
      </c>
      <c r="S1915" s="35">
        <v>0.7</v>
      </c>
      <c r="T1915" s="16">
        <v>10.332000000000001</v>
      </c>
      <c r="U1915" s="19">
        <v>-7.5768000000000004</v>
      </c>
      <c r="V1915" s="56">
        <f>Table11[[#This Row],[Profit]]/Table11[[#This Row],[Sales]]</f>
        <v>-0.73333333333333328</v>
      </c>
    </row>
    <row r="1916" spans="1:22" x14ac:dyDescent="0.2">
      <c r="A1916" s="4">
        <v>1915</v>
      </c>
      <c r="B1916" s="5" t="s">
        <v>9231</v>
      </c>
      <c r="C1916" s="6">
        <v>42349</v>
      </c>
      <c r="D1916" s="27">
        <f>MONTH(Table11[[#This Row],[Order Date]])</f>
        <v>12</v>
      </c>
      <c r="E1916" s="5" t="s">
        <v>2251</v>
      </c>
      <c r="F1916" s="5" t="s">
        <v>2252</v>
      </c>
      <c r="G1916" s="24" t="s">
        <v>41</v>
      </c>
      <c r="H1916" s="24" t="s">
        <v>68</v>
      </c>
      <c r="I1916" s="5" t="s">
        <v>638</v>
      </c>
      <c r="J1916" s="24" t="s">
        <v>92</v>
      </c>
      <c r="K1916" s="27">
        <v>4</v>
      </c>
      <c r="L1916" s="6">
        <v>42355</v>
      </c>
      <c r="M1916" s="27">
        <f>Table11[[#This Row],[Ship Date]]-Table11[[#This Row],[Order Date]]</f>
        <v>6</v>
      </c>
      <c r="N1916" s="24" t="s">
        <v>45</v>
      </c>
      <c r="O1916" s="24" t="s">
        <v>23</v>
      </c>
      <c r="P1916" s="24" t="s">
        <v>38</v>
      </c>
      <c r="Q1916" s="24" t="s">
        <v>39</v>
      </c>
      <c r="R1916" s="24" t="s">
        <v>4341</v>
      </c>
      <c r="S1916" s="34">
        <v>0.2</v>
      </c>
      <c r="T1916" s="15">
        <v>110.52800000000001</v>
      </c>
      <c r="U1916" s="18">
        <v>38.684800000000003</v>
      </c>
      <c r="V1916" s="56">
        <f>Table11[[#This Row],[Profit]]/Table11[[#This Row],[Sales]]</f>
        <v>0.35000000000000003</v>
      </c>
    </row>
    <row r="1917" spans="1:22" x14ac:dyDescent="0.2">
      <c r="A1917" s="2">
        <v>1916</v>
      </c>
      <c r="B1917" s="3" t="s">
        <v>9293</v>
      </c>
      <c r="C1917" s="7">
        <v>42349</v>
      </c>
      <c r="D1917" s="28">
        <f>MONTH(Table11[[#This Row],[Order Date]])</f>
        <v>12</v>
      </c>
      <c r="E1917" s="3" t="s">
        <v>2720</v>
      </c>
      <c r="F1917" s="3" t="s">
        <v>2721</v>
      </c>
      <c r="G1917" s="25" t="s">
        <v>64</v>
      </c>
      <c r="H1917" s="25" t="s">
        <v>144</v>
      </c>
      <c r="I1917" s="3" t="s">
        <v>1686</v>
      </c>
      <c r="J1917" s="25" t="s">
        <v>22</v>
      </c>
      <c r="K1917" s="28">
        <v>11</v>
      </c>
      <c r="L1917" s="7">
        <v>42352</v>
      </c>
      <c r="M1917" s="28">
        <f>Table11[[#This Row],[Ship Date]]-Table11[[#This Row],[Order Date]]</f>
        <v>3</v>
      </c>
      <c r="N1917" s="25" t="s">
        <v>169</v>
      </c>
      <c r="O1917" s="25" t="s">
        <v>23</v>
      </c>
      <c r="P1917" s="25" t="s">
        <v>212</v>
      </c>
      <c r="Q1917" s="25" t="s">
        <v>95</v>
      </c>
      <c r="R1917" s="25" t="s">
        <v>775</v>
      </c>
      <c r="S1917" s="35">
        <v>0</v>
      </c>
      <c r="T1917" s="16">
        <v>175.23</v>
      </c>
      <c r="U1917" s="19">
        <v>61.330500000000001</v>
      </c>
      <c r="V1917" s="56">
        <f>Table11[[#This Row],[Profit]]/Table11[[#This Row],[Sales]]</f>
        <v>0.35000000000000003</v>
      </c>
    </row>
    <row r="1918" spans="1:22" x14ac:dyDescent="0.2">
      <c r="A1918" s="4">
        <v>1917</v>
      </c>
      <c r="B1918" s="5" t="s">
        <v>9293</v>
      </c>
      <c r="C1918" s="6">
        <v>42349</v>
      </c>
      <c r="D1918" s="27">
        <f>MONTH(Table11[[#This Row],[Order Date]])</f>
        <v>12</v>
      </c>
      <c r="E1918" s="5" t="s">
        <v>5243</v>
      </c>
      <c r="F1918" s="5" t="s">
        <v>5244</v>
      </c>
      <c r="G1918" s="24" t="s">
        <v>64</v>
      </c>
      <c r="H1918" s="24" t="s">
        <v>65</v>
      </c>
      <c r="I1918" s="5" t="s">
        <v>1686</v>
      </c>
      <c r="J1918" s="24" t="s">
        <v>22</v>
      </c>
      <c r="K1918" s="27">
        <v>1</v>
      </c>
      <c r="L1918" s="6">
        <v>42352</v>
      </c>
      <c r="M1918" s="27">
        <f>Table11[[#This Row],[Ship Date]]-Table11[[#This Row],[Order Date]]</f>
        <v>3</v>
      </c>
      <c r="N1918" s="24" t="s">
        <v>169</v>
      </c>
      <c r="O1918" s="24" t="s">
        <v>23</v>
      </c>
      <c r="P1918" s="24" t="s">
        <v>212</v>
      </c>
      <c r="Q1918" s="24" t="s">
        <v>95</v>
      </c>
      <c r="R1918" s="24" t="s">
        <v>775</v>
      </c>
      <c r="S1918" s="34">
        <v>0</v>
      </c>
      <c r="T1918" s="15">
        <v>125.99</v>
      </c>
      <c r="U1918" s="18">
        <v>31.497499999999999</v>
      </c>
      <c r="V1918" s="56">
        <f>Table11[[#This Row],[Profit]]/Table11[[#This Row],[Sales]]</f>
        <v>0.25</v>
      </c>
    </row>
    <row r="1919" spans="1:22" x14ac:dyDescent="0.2">
      <c r="A1919" s="4">
        <v>1918</v>
      </c>
      <c r="B1919" s="3" t="s">
        <v>9293</v>
      </c>
      <c r="C1919" s="7">
        <v>42349</v>
      </c>
      <c r="D1919" s="28">
        <f>MONTH(Table11[[#This Row],[Order Date]])</f>
        <v>12</v>
      </c>
      <c r="E1919" s="3" t="s">
        <v>3559</v>
      </c>
      <c r="F1919" s="3" t="s">
        <v>3560</v>
      </c>
      <c r="G1919" s="25" t="s">
        <v>41</v>
      </c>
      <c r="H1919" s="25" t="s">
        <v>68</v>
      </c>
      <c r="I1919" s="3" t="s">
        <v>1686</v>
      </c>
      <c r="J1919" s="25" t="s">
        <v>22</v>
      </c>
      <c r="K1919" s="28">
        <v>2</v>
      </c>
      <c r="L1919" s="7">
        <v>42352</v>
      </c>
      <c r="M1919" s="28">
        <f>Table11[[#This Row],[Ship Date]]-Table11[[#This Row],[Order Date]]</f>
        <v>3</v>
      </c>
      <c r="N1919" s="25" t="s">
        <v>169</v>
      </c>
      <c r="O1919" s="25" t="s">
        <v>23</v>
      </c>
      <c r="P1919" s="25" t="s">
        <v>212</v>
      </c>
      <c r="Q1919" s="25" t="s">
        <v>95</v>
      </c>
      <c r="R1919" s="25" t="s">
        <v>775</v>
      </c>
      <c r="S1919" s="35">
        <v>0</v>
      </c>
      <c r="T1919" s="16">
        <v>23</v>
      </c>
      <c r="U1919" s="19">
        <v>10.35</v>
      </c>
      <c r="V1919" s="56">
        <f>Table11[[#This Row],[Profit]]/Table11[[#This Row],[Sales]]</f>
        <v>0.45</v>
      </c>
    </row>
    <row r="1920" spans="1:22" x14ac:dyDescent="0.2">
      <c r="A1920" s="2">
        <v>1919</v>
      </c>
      <c r="B1920" s="5" t="s">
        <v>2177</v>
      </c>
      <c r="C1920" s="6">
        <v>42350</v>
      </c>
      <c r="D1920" s="27">
        <f>MONTH(Table11[[#This Row],[Order Date]])</f>
        <v>12</v>
      </c>
      <c r="E1920" s="5" t="s">
        <v>2179</v>
      </c>
      <c r="F1920" s="5" t="s">
        <v>2180</v>
      </c>
      <c r="G1920" s="24" t="s">
        <v>28</v>
      </c>
      <c r="H1920" s="24" t="s">
        <v>32</v>
      </c>
      <c r="I1920" s="5" t="s">
        <v>2178</v>
      </c>
      <c r="J1920" s="24" t="s">
        <v>22</v>
      </c>
      <c r="K1920" s="27">
        <v>2</v>
      </c>
      <c r="L1920" s="6">
        <v>42354</v>
      </c>
      <c r="M1920" s="27">
        <f>Table11[[#This Row],[Ship Date]]-Table11[[#This Row],[Order Date]]</f>
        <v>4</v>
      </c>
      <c r="N1920" s="24" t="s">
        <v>45</v>
      </c>
      <c r="O1920" s="24" t="s">
        <v>23</v>
      </c>
      <c r="P1920" s="24" t="s">
        <v>38</v>
      </c>
      <c r="Q1920" s="24" t="s">
        <v>39</v>
      </c>
      <c r="R1920" s="24" t="s">
        <v>2174</v>
      </c>
      <c r="S1920" s="34">
        <v>0.2</v>
      </c>
      <c r="T1920" s="15">
        <v>348.928</v>
      </c>
      <c r="U1920" s="18">
        <v>34.892800000000001</v>
      </c>
      <c r="V1920" s="56">
        <f>Table11[[#This Row],[Profit]]/Table11[[#This Row],[Sales]]</f>
        <v>0.1</v>
      </c>
    </row>
    <row r="1921" spans="1:22" x14ac:dyDescent="0.2">
      <c r="A1921" s="4">
        <v>1920</v>
      </c>
      <c r="B1921" s="3" t="s">
        <v>4822</v>
      </c>
      <c r="C1921" s="7">
        <v>42350</v>
      </c>
      <c r="D1921" s="28">
        <f>MONTH(Table11[[#This Row],[Order Date]])</f>
        <v>12</v>
      </c>
      <c r="E1921" s="3" t="s">
        <v>4823</v>
      </c>
      <c r="F1921" s="3" t="s">
        <v>498</v>
      </c>
      <c r="G1921" s="25" t="s">
        <v>41</v>
      </c>
      <c r="H1921" s="25" t="s">
        <v>240</v>
      </c>
      <c r="I1921" s="3" t="s">
        <v>4593</v>
      </c>
      <c r="J1921" s="25" t="s">
        <v>22</v>
      </c>
      <c r="K1921" s="28">
        <v>2</v>
      </c>
      <c r="L1921" s="7">
        <v>42353</v>
      </c>
      <c r="M1921" s="28">
        <f>Table11[[#This Row],[Ship Date]]-Table11[[#This Row],[Order Date]]</f>
        <v>3</v>
      </c>
      <c r="N1921" s="25" t="s">
        <v>169</v>
      </c>
      <c r="O1921" s="25" t="s">
        <v>23</v>
      </c>
      <c r="P1921" s="25" t="s">
        <v>38</v>
      </c>
      <c r="Q1921" s="25" t="s">
        <v>39</v>
      </c>
      <c r="R1921" s="25" t="s">
        <v>836</v>
      </c>
      <c r="S1921" s="35">
        <v>0</v>
      </c>
      <c r="T1921" s="16">
        <v>7.86</v>
      </c>
      <c r="U1921" s="19">
        <v>3.6156000000000001</v>
      </c>
      <c r="V1921" s="56">
        <f>Table11[[#This Row],[Profit]]/Table11[[#This Row],[Sales]]</f>
        <v>0.46</v>
      </c>
    </row>
    <row r="1922" spans="1:22" x14ac:dyDescent="0.2">
      <c r="A1922" s="4">
        <v>1921</v>
      </c>
      <c r="B1922" s="5" t="s">
        <v>4822</v>
      </c>
      <c r="C1922" s="6">
        <v>42350</v>
      </c>
      <c r="D1922" s="27">
        <f>MONTH(Table11[[#This Row],[Order Date]])</f>
        <v>12</v>
      </c>
      <c r="E1922" s="5" t="s">
        <v>4824</v>
      </c>
      <c r="F1922" s="5" t="s">
        <v>4825</v>
      </c>
      <c r="G1922" s="24" t="s">
        <v>41</v>
      </c>
      <c r="H1922" s="24" t="s">
        <v>68</v>
      </c>
      <c r="I1922" s="5" t="s">
        <v>4593</v>
      </c>
      <c r="J1922" s="24" t="s">
        <v>22</v>
      </c>
      <c r="K1922" s="27">
        <v>2</v>
      </c>
      <c r="L1922" s="6">
        <v>42353</v>
      </c>
      <c r="M1922" s="27">
        <f>Table11[[#This Row],[Ship Date]]-Table11[[#This Row],[Order Date]]</f>
        <v>3</v>
      </c>
      <c r="N1922" s="24" t="s">
        <v>169</v>
      </c>
      <c r="O1922" s="24" t="s">
        <v>23</v>
      </c>
      <c r="P1922" s="24" t="s">
        <v>38</v>
      </c>
      <c r="Q1922" s="24" t="s">
        <v>39</v>
      </c>
      <c r="R1922" s="24" t="s">
        <v>836</v>
      </c>
      <c r="S1922" s="34">
        <v>0.2</v>
      </c>
      <c r="T1922" s="15">
        <v>24.448</v>
      </c>
      <c r="U1922" s="18">
        <v>8.8623999999999992</v>
      </c>
      <c r="V1922" s="56">
        <f>Table11[[#This Row],[Profit]]/Table11[[#This Row],[Sales]]</f>
        <v>0.36249999999999993</v>
      </c>
    </row>
    <row r="1923" spans="1:22" x14ac:dyDescent="0.2">
      <c r="A1923" s="2">
        <v>1922</v>
      </c>
      <c r="B1923" s="3" t="s">
        <v>6969</v>
      </c>
      <c r="C1923" s="7">
        <v>42350</v>
      </c>
      <c r="D1923" s="28">
        <f>MONTH(Table11[[#This Row],[Order Date]])</f>
        <v>12</v>
      </c>
      <c r="E1923" s="3" t="s">
        <v>1538</v>
      </c>
      <c r="F1923" s="3" t="s">
        <v>1539</v>
      </c>
      <c r="G1923" s="25" t="s">
        <v>41</v>
      </c>
      <c r="H1923" s="25" t="s">
        <v>61</v>
      </c>
      <c r="I1923" s="3" t="s">
        <v>583</v>
      </c>
      <c r="J1923" s="25" t="s">
        <v>22</v>
      </c>
      <c r="K1923" s="28">
        <v>3</v>
      </c>
      <c r="L1923" s="7">
        <v>42355</v>
      </c>
      <c r="M1923" s="28">
        <f>Table11[[#This Row],[Ship Date]]-Table11[[#This Row],[Order Date]]</f>
        <v>5</v>
      </c>
      <c r="N1923" s="25" t="s">
        <v>45</v>
      </c>
      <c r="O1923" s="25" t="s">
        <v>23</v>
      </c>
      <c r="P1923" s="25" t="s">
        <v>2408</v>
      </c>
      <c r="Q1923" s="25" t="s">
        <v>133</v>
      </c>
      <c r="R1923" s="25" t="s">
        <v>3967</v>
      </c>
      <c r="S1923" s="35">
        <v>0</v>
      </c>
      <c r="T1923" s="16">
        <v>8.2200000000000006</v>
      </c>
      <c r="U1923" s="19">
        <v>2.2193999999999998</v>
      </c>
      <c r="V1923" s="56">
        <f>Table11[[#This Row],[Profit]]/Table11[[#This Row],[Sales]]</f>
        <v>0.26999999999999996</v>
      </c>
    </row>
    <row r="1924" spans="1:22" x14ac:dyDescent="0.2">
      <c r="A1924" s="4">
        <v>1923</v>
      </c>
      <c r="B1924" s="5" t="s">
        <v>6996</v>
      </c>
      <c r="C1924" s="6">
        <v>42350</v>
      </c>
      <c r="D1924" s="27">
        <f>MONTH(Table11[[#This Row],[Order Date]])</f>
        <v>12</v>
      </c>
      <c r="E1924" s="5" t="s">
        <v>6997</v>
      </c>
      <c r="F1924" s="5" t="s">
        <v>6998</v>
      </c>
      <c r="G1924" s="24" t="s">
        <v>64</v>
      </c>
      <c r="H1924" s="24" t="s">
        <v>144</v>
      </c>
      <c r="I1924" s="5" t="s">
        <v>761</v>
      </c>
      <c r="J1924" s="24" t="s">
        <v>22</v>
      </c>
      <c r="K1924" s="27">
        <v>4</v>
      </c>
      <c r="L1924" s="6">
        <v>42354</v>
      </c>
      <c r="M1924" s="27">
        <f>Table11[[#This Row],[Ship Date]]-Table11[[#This Row],[Order Date]]</f>
        <v>4</v>
      </c>
      <c r="N1924" s="24" t="s">
        <v>45</v>
      </c>
      <c r="O1924" s="24" t="s">
        <v>23</v>
      </c>
      <c r="P1924" s="24" t="s">
        <v>94</v>
      </c>
      <c r="Q1924" s="24" t="s">
        <v>95</v>
      </c>
      <c r="R1924" s="24" t="s">
        <v>1095</v>
      </c>
      <c r="S1924" s="34">
        <v>0.2</v>
      </c>
      <c r="T1924" s="15">
        <v>22.367999999999999</v>
      </c>
      <c r="U1924" s="18">
        <v>6.4307999999999996</v>
      </c>
      <c r="V1924" s="56">
        <f>Table11[[#This Row],[Profit]]/Table11[[#This Row],[Sales]]</f>
        <v>0.28749999999999998</v>
      </c>
    </row>
    <row r="1925" spans="1:22" x14ac:dyDescent="0.2">
      <c r="A1925" s="4">
        <v>1924</v>
      </c>
      <c r="B1925" s="3" t="s">
        <v>7723</v>
      </c>
      <c r="C1925" s="7">
        <v>42350</v>
      </c>
      <c r="D1925" s="28">
        <f>MONTH(Table11[[#This Row],[Order Date]])</f>
        <v>12</v>
      </c>
      <c r="E1925" s="3" t="s">
        <v>566</v>
      </c>
      <c r="F1925" s="3" t="s">
        <v>567</v>
      </c>
      <c r="G1925" s="25" t="s">
        <v>41</v>
      </c>
      <c r="H1925" s="25" t="s">
        <v>61</v>
      </c>
      <c r="I1925" s="3" t="s">
        <v>1467</v>
      </c>
      <c r="J1925" s="25" t="s">
        <v>22</v>
      </c>
      <c r="K1925" s="28">
        <v>1</v>
      </c>
      <c r="L1925" s="7">
        <v>42354</v>
      </c>
      <c r="M1925" s="28">
        <f>Table11[[#This Row],[Ship Date]]-Table11[[#This Row],[Order Date]]</f>
        <v>4</v>
      </c>
      <c r="N1925" s="25" t="s">
        <v>20</v>
      </c>
      <c r="O1925" s="25" t="s">
        <v>23</v>
      </c>
      <c r="P1925" s="25" t="s">
        <v>38</v>
      </c>
      <c r="Q1925" s="25" t="s">
        <v>39</v>
      </c>
      <c r="R1925" s="25" t="s">
        <v>7724</v>
      </c>
      <c r="S1925" s="35">
        <v>0</v>
      </c>
      <c r="T1925" s="16">
        <v>2.21</v>
      </c>
      <c r="U1925" s="19">
        <v>0.59670000000000001</v>
      </c>
      <c r="V1925" s="56">
        <f>Table11[[#This Row],[Profit]]/Table11[[#This Row],[Sales]]</f>
        <v>0.27</v>
      </c>
    </row>
    <row r="1926" spans="1:22" x14ac:dyDescent="0.2">
      <c r="A1926" s="2">
        <v>1925</v>
      </c>
      <c r="B1926" s="5" t="s">
        <v>7723</v>
      </c>
      <c r="C1926" s="6">
        <v>42350</v>
      </c>
      <c r="D1926" s="27">
        <f>MONTH(Table11[[#This Row],[Order Date]])</f>
        <v>12</v>
      </c>
      <c r="E1926" s="5" t="s">
        <v>2679</v>
      </c>
      <c r="F1926" s="5" t="s">
        <v>2680</v>
      </c>
      <c r="G1926" s="24" t="s">
        <v>41</v>
      </c>
      <c r="H1926" s="24" t="s">
        <v>155</v>
      </c>
      <c r="I1926" s="5" t="s">
        <v>1467</v>
      </c>
      <c r="J1926" s="24" t="s">
        <v>22</v>
      </c>
      <c r="K1926" s="27">
        <v>4</v>
      </c>
      <c r="L1926" s="6">
        <v>42354</v>
      </c>
      <c r="M1926" s="27">
        <f>Table11[[#This Row],[Ship Date]]-Table11[[#This Row],[Order Date]]</f>
        <v>4</v>
      </c>
      <c r="N1926" s="24" t="s">
        <v>20</v>
      </c>
      <c r="O1926" s="24" t="s">
        <v>23</v>
      </c>
      <c r="P1926" s="24" t="s">
        <v>38</v>
      </c>
      <c r="Q1926" s="24" t="s">
        <v>39</v>
      </c>
      <c r="R1926" s="24" t="s">
        <v>7724</v>
      </c>
      <c r="S1926" s="34">
        <v>0</v>
      </c>
      <c r="T1926" s="15">
        <v>15.52</v>
      </c>
      <c r="U1926" s="18">
        <v>7.4496000000000002</v>
      </c>
      <c r="V1926" s="56">
        <f>Table11[[#This Row],[Profit]]/Table11[[#This Row],[Sales]]</f>
        <v>0.48000000000000004</v>
      </c>
    </row>
    <row r="1927" spans="1:22" x14ac:dyDescent="0.2">
      <c r="A1927" s="4">
        <v>1926</v>
      </c>
      <c r="B1927" s="3" t="s">
        <v>7723</v>
      </c>
      <c r="C1927" s="7">
        <v>42350</v>
      </c>
      <c r="D1927" s="28">
        <f>MONTH(Table11[[#This Row],[Order Date]])</f>
        <v>12</v>
      </c>
      <c r="E1927" s="3" t="s">
        <v>4914</v>
      </c>
      <c r="F1927" s="3" t="s">
        <v>4915</v>
      </c>
      <c r="G1927" s="25" t="s">
        <v>41</v>
      </c>
      <c r="H1927" s="25" t="s">
        <v>82</v>
      </c>
      <c r="I1927" s="3" t="s">
        <v>1467</v>
      </c>
      <c r="J1927" s="25" t="s">
        <v>22</v>
      </c>
      <c r="K1927" s="28">
        <v>4</v>
      </c>
      <c r="L1927" s="7">
        <v>42354</v>
      </c>
      <c r="M1927" s="28">
        <f>Table11[[#This Row],[Ship Date]]-Table11[[#This Row],[Order Date]]</f>
        <v>4</v>
      </c>
      <c r="N1927" s="25" t="s">
        <v>20</v>
      </c>
      <c r="O1927" s="25" t="s">
        <v>23</v>
      </c>
      <c r="P1927" s="25" t="s">
        <v>38</v>
      </c>
      <c r="Q1927" s="25" t="s">
        <v>39</v>
      </c>
      <c r="R1927" s="25" t="s">
        <v>7724</v>
      </c>
      <c r="S1927" s="35">
        <v>0</v>
      </c>
      <c r="T1927" s="16">
        <v>36.44</v>
      </c>
      <c r="U1927" s="19">
        <v>16.398</v>
      </c>
      <c r="V1927" s="56">
        <f>Table11[[#This Row],[Profit]]/Table11[[#This Row],[Sales]]</f>
        <v>0.45</v>
      </c>
    </row>
    <row r="1928" spans="1:22" x14ac:dyDescent="0.2">
      <c r="A1928" s="4">
        <v>1927</v>
      </c>
      <c r="B1928" s="5" t="s">
        <v>7999</v>
      </c>
      <c r="C1928" s="6">
        <v>42350</v>
      </c>
      <c r="D1928" s="27">
        <f>MONTH(Table11[[#This Row],[Order Date]])</f>
        <v>12</v>
      </c>
      <c r="E1928" s="5" t="s">
        <v>4625</v>
      </c>
      <c r="F1928" s="5" t="s">
        <v>4626</v>
      </c>
      <c r="G1928" s="24" t="s">
        <v>28</v>
      </c>
      <c r="H1928" s="24" t="s">
        <v>58</v>
      </c>
      <c r="I1928" s="5" t="s">
        <v>3382</v>
      </c>
      <c r="J1928" s="24" t="s">
        <v>22</v>
      </c>
      <c r="K1928" s="27">
        <v>3</v>
      </c>
      <c r="L1928" s="6">
        <v>42354</v>
      </c>
      <c r="M1928" s="27">
        <f>Table11[[#This Row],[Ship Date]]-Table11[[#This Row],[Order Date]]</f>
        <v>4</v>
      </c>
      <c r="N1928" s="24" t="s">
        <v>45</v>
      </c>
      <c r="O1928" s="24" t="s">
        <v>23</v>
      </c>
      <c r="P1928" s="24" t="s">
        <v>38</v>
      </c>
      <c r="Q1928" s="24" t="s">
        <v>39</v>
      </c>
      <c r="R1928" s="24" t="s">
        <v>557</v>
      </c>
      <c r="S1928" s="34">
        <v>0</v>
      </c>
      <c r="T1928" s="15">
        <v>166.5</v>
      </c>
      <c r="U1928" s="18">
        <v>21.645</v>
      </c>
      <c r="V1928" s="56">
        <f>Table11[[#This Row],[Profit]]/Table11[[#This Row],[Sales]]</f>
        <v>0.13</v>
      </c>
    </row>
    <row r="1929" spans="1:22" x14ac:dyDescent="0.2">
      <c r="A1929" s="2">
        <v>1928</v>
      </c>
      <c r="B1929" s="3" t="s">
        <v>7999</v>
      </c>
      <c r="C1929" s="7">
        <v>42350</v>
      </c>
      <c r="D1929" s="28">
        <f>MONTH(Table11[[#This Row],[Order Date]])</f>
        <v>12</v>
      </c>
      <c r="E1929" s="3" t="s">
        <v>2527</v>
      </c>
      <c r="F1929" s="3" t="s">
        <v>2528</v>
      </c>
      <c r="G1929" s="25" t="s">
        <v>41</v>
      </c>
      <c r="H1929" s="25" t="s">
        <v>53</v>
      </c>
      <c r="I1929" s="3" t="s">
        <v>3382</v>
      </c>
      <c r="J1929" s="25" t="s">
        <v>22</v>
      </c>
      <c r="K1929" s="28">
        <v>2</v>
      </c>
      <c r="L1929" s="7">
        <v>42354</v>
      </c>
      <c r="M1929" s="28">
        <f>Table11[[#This Row],[Ship Date]]-Table11[[#This Row],[Order Date]]</f>
        <v>4</v>
      </c>
      <c r="N1929" s="25" t="s">
        <v>45</v>
      </c>
      <c r="O1929" s="25" t="s">
        <v>23</v>
      </c>
      <c r="P1929" s="25" t="s">
        <v>38</v>
      </c>
      <c r="Q1929" s="25" t="s">
        <v>39</v>
      </c>
      <c r="R1929" s="25" t="s">
        <v>557</v>
      </c>
      <c r="S1929" s="35">
        <v>0</v>
      </c>
      <c r="T1929" s="16">
        <v>360.38</v>
      </c>
      <c r="U1929" s="19">
        <v>93.698800000000006</v>
      </c>
      <c r="V1929" s="56">
        <f>Table11[[#This Row],[Profit]]/Table11[[#This Row],[Sales]]</f>
        <v>0.26</v>
      </c>
    </row>
    <row r="1930" spans="1:22" x14ac:dyDescent="0.2">
      <c r="A1930" s="4">
        <v>1929</v>
      </c>
      <c r="B1930" s="5" t="s">
        <v>8893</v>
      </c>
      <c r="C1930" s="6">
        <v>42350</v>
      </c>
      <c r="D1930" s="27">
        <f>MONTH(Table11[[#This Row],[Order Date]])</f>
        <v>12</v>
      </c>
      <c r="E1930" s="5" t="s">
        <v>1153</v>
      </c>
      <c r="F1930" s="5" t="s">
        <v>1154</v>
      </c>
      <c r="G1930" s="24" t="s">
        <v>41</v>
      </c>
      <c r="H1930" s="24" t="s">
        <v>82</v>
      </c>
      <c r="I1930" s="5" t="s">
        <v>516</v>
      </c>
      <c r="J1930" s="24" t="s">
        <v>36</v>
      </c>
      <c r="K1930" s="27">
        <v>5</v>
      </c>
      <c r="L1930" s="6">
        <v>42353</v>
      </c>
      <c r="M1930" s="27">
        <f>Table11[[#This Row],[Ship Date]]-Table11[[#This Row],[Order Date]]</f>
        <v>3</v>
      </c>
      <c r="N1930" s="24" t="s">
        <v>20</v>
      </c>
      <c r="O1930" s="24" t="s">
        <v>23</v>
      </c>
      <c r="P1930" s="24" t="s">
        <v>1229</v>
      </c>
      <c r="Q1930" s="24" t="s">
        <v>39</v>
      </c>
      <c r="R1930" s="24" t="s">
        <v>1228</v>
      </c>
      <c r="S1930" s="34">
        <v>0</v>
      </c>
      <c r="T1930" s="15">
        <v>32.4</v>
      </c>
      <c r="U1930" s="18">
        <v>15.875999999999999</v>
      </c>
      <c r="V1930" s="56">
        <f>Table11[[#This Row],[Profit]]/Table11[[#This Row],[Sales]]</f>
        <v>0.49</v>
      </c>
    </row>
    <row r="1931" spans="1:22" x14ac:dyDescent="0.2">
      <c r="A1931" s="4">
        <v>1930</v>
      </c>
      <c r="B1931" s="3" t="s">
        <v>8893</v>
      </c>
      <c r="C1931" s="7">
        <v>42350</v>
      </c>
      <c r="D1931" s="28">
        <f>MONTH(Table11[[#This Row],[Order Date]])</f>
        <v>12</v>
      </c>
      <c r="E1931" s="3" t="s">
        <v>495</v>
      </c>
      <c r="F1931" s="3" t="s">
        <v>496</v>
      </c>
      <c r="G1931" s="25" t="s">
        <v>41</v>
      </c>
      <c r="H1931" s="25" t="s">
        <v>82</v>
      </c>
      <c r="I1931" s="3" t="s">
        <v>516</v>
      </c>
      <c r="J1931" s="25" t="s">
        <v>36</v>
      </c>
      <c r="K1931" s="28">
        <v>2</v>
      </c>
      <c r="L1931" s="7">
        <v>42353</v>
      </c>
      <c r="M1931" s="28">
        <f>Table11[[#This Row],[Ship Date]]-Table11[[#This Row],[Order Date]]</f>
        <v>3</v>
      </c>
      <c r="N1931" s="25" t="s">
        <v>20</v>
      </c>
      <c r="O1931" s="25" t="s">
        <v>23</v>
      </c>
      <c r="P1931" s="25" t="s">
        <v>1229</v>
      </c>
      <c r="Q1931" s="25" t="s">
        <v>39</v>
      </c>
      <c r="R1931" s="25" t="s">
        <v>1228</v>
      </c>
      <c r="S1931" s="35">
        <v>0</v>
      </c>
      <c r="T1931" s="16">
        <v>97.88</v>
      </c>
      <c r="U1931" s="19">
        <v>48.94</v>
      </c>
      <c r="V1931" s="56">
        <f>Table11[[#This Row],[Profit]]/Table11[[#This Row],[Sales]]</f>
        <v>0.5</v>
      </c>
    </row>
    <row r="1932" spans="1:22" x14ac:dyDescent="0.2">
      <c r="A1932" s="2">
        <v>1931</v>
      </c>
      <c r="B1932" s="5" t="s">
        <v>8998</v>
      </c>
      <c r="C1932" s="6">
        <v>42350</v>
      </c>
      <c r="D1932" s="27">
        <f>MONTH(Table11[[#This Row],[Order Date]])</f>
        <v>12</v>
      </c>
      <c r="E1932" s="5" t="s">
        <v>4012</v>
      </c>
      <c r="F1932" s="5" t="s">
        <v>4013</v>
      </c>
      <c r="G1932" s="24" t="s">
        <v>64</v>
      </c>
      <c r="H1932" s="24" t="s">
        <v>144</v>
      </c>
      <c r="I1932" s="5" t="s">
        <v>283</v>
      </c>
      <c r="J1932" s="24" t="s">
        <v>22</v>
      </c>
      <c r="K1932" s="27">
        <v>6</v>
      </c>
      <c r="L1932" s="6">
        <v>42353</v>
      </c>
      <c r="M1932" s="27">
        <f>Table11[[#This Row],[Ship Date]]-Table11[[#This Row],[Order Date]]</f>
        <v>3</v>
      </c>
      <c r="N1932" s="24" t="s">
        <v>169</v>
      </c>
      <c r="O1932" s="24" t="s">
        <v>23</v>
      </c>
      <c r="P1932" s="24" t="s">
        <v>38</v>
      </c>
      <c r="Q1932" s="24" t="s">
        <v>39</v>
      </c>
      <c r="R1932" s="24" t="s">
        <v>37</v>
      </c>
      <c r="S1932" s="34">
        <v>0</v>
      </c>
      <c r="T1932" s="15">
        <v>299.94</v>
      </c>
      <c r="U1932" s="18">
        <v>128.9742</v>
      </c>
      <c r="V1932" s="56">
        <f>Table11[[#This Row],[Profit]]/Table11[[#This Row],[Sales]]</f>
        <v>0.43</v>
      </c>
    </row>
    <row r="1933" spans="1:22" x14ac:dyDescent="0.2">
      <c r="A1933" s="4">
        <v>1932</v>
      </c>
      <c r="B1933" s="3" t="s">
        <v>8998</v>
      </c>
      <c r="C1933" s="7">
        <v>42350</v>
      </c>
      <c r="D1933" s="28">
        <f>MONTH(Table11[[#This Row],[Order Date]])</f>
        <v>12</v>
      </c>
      <c r="E1933" s="3" t="s">
        <v>1146</v>
      </c>
      <c r="F1933" s="3" t="s">
        <v>1147</v>
      </c>
      <c r="G1933" s="25" t="s">
        <v>41</v>
      </c>
      <c r="H1933" s="25" t="s">
        <v>513</v>
      </c>
      <c r="I1933" s="3" t="s">
        <v>283</v>
      </c>
      <c r="J1933" s="25" t="s">
        <v>22</v>
      </c>
      <c r="K1933" s="28">
        <v>7</v>
      </c>
      <c r="L1933" s="7">
        <v>42353</v>
      </c>
      <c r="M1933" s="28">
        <f>Table11[[#This Row],[Ship Date]]-Table11[[#This Row],[Order Date]]</f>
        <v>3</v>
      </c>
      <c r="N1933" s="25" t="s">
        <v>169</v>
      </c>
      <c r="O1933" s="25" t="s">
        <v>23</v>
      </c>
      <c r="P1933" s="25" t="s">
        <v>38</v>
      </c>
      <c r="Q1933" s="25" t="s">
        <v>39</v>
      </c>
      <c r="R1933" s="25" t="s">
        <v>37</v>
      </c>
      <c r="S1933" s="35">
        <v>0</v>
      </c>
      <c r="T1933" s="16">
        <v>25.76</v>
      </c>
      <c r="U1933" s="19">
        <v>0.51519999999999999</v>
      </c>
      <c r="V1933" s="56">
        <f>Table11[[#This Row],[Profit]]/Table11[[#This Row],[Sales]]</f>
        <v>1.9999999999999997E-2</v>
      </c>
    </row>
    <row r="1934" spans="1:22" x14ac:dyDescent="0.2">
      <c r="A1934" s="4">
        <v>1933</v>
      </c>
      <c r="B1934" s="5" t="s">
        <v>2511</v>
      </c>
      <c r="C1934" s="6">
        <v>42351</v>
      </c>
      <c r="D1934" s="27">
        <f>MONTH(Table11[[#This Row],[Order Date]])</f>
        <v>12</v>
      </c>
      <c r="E1934" s="5" t="s">
        <v>2514</v>
      </c>
      <c r="F1934" s="5" t="s">
        <v>2515</v>
      </c>
      <c r="G1934" s="24" t="s">
        <v>41</v>
      </c>
      <c r="H1934" s="24" t="s">
        <v>82</v>
      </c>
      <c r="I1934" s="5" t="s">
        <v>2512</v>
      </c>
      <c r="J1934" s="24" t="s">
        <v>36</v>
      </c>
      <c r="K1934" s="27">
        <v>2</v>
      </c>
      <c r="L1934" s="6">
        <v>42355</v>
      </c>
      <c r="M1934" s="27">
        <f>Table11[[#This Row],[Ship Date]]-Table11[[#This Row],[Order Date]]</f>
        <v>4</v>
      </c>
      <c r="N1934" s="24" t="s">
        <v>45</v>
      </c>
      <c r="O1934" s="24" t="s">
        <v>23</v>
      </c>
      <c r="P1934" s="24" t="s">
        <v>38</v>
      </c>
      <c r="Q1934" s="24" t="s">
        <v>39</v>
      </c>
      <c r="R1934" s="24" t="s">
        <v>2513</v>
      </c>
      <c r="S1934" s="34">
        <v>0</v>
      </c>
      <c r="T1934" s="15">
        <v>12.96</v>
      </c>
      <c r="U1934" s="18">
        <v>6.2207999999999997</v>
      </c>
      <c r="V1934" s="56">
        <f>Table11[[#This Row],[Profit]]/Table11[[#This Row],[Sales]]</f>
        <v>0.47999999999999993</v>
      </c>
    </row>
    <row r="1935" spans="1:22" x14ac:dyDescent="0.2">
      <c r="A1935" s="2">
        <v>1934</v>
      </c>
      <c r="B1935" s="3" t="s">
        <v>2511</v>
      </c>
      <c r="C1935" s="7">
        <v>42351</v>
      </c>
      <c r="D1935" s="28">
        <f>MONTH(Table11[[#This Row],[Order Date]])</f>
        <v>12</v>
      </c>
      <c r="E1935" s="3" t="s">
        <v>2516</v>
      </c>
      <c r="F1935" s="3" t="s">
        <v>2517</v>
      </c>
      <c r="G1935" s="25" t="s">
        <v>41</v>
      </c>
      <c r="H1935" s="25" t="s">
        <v>71</v>
      </c>
      <c r="I1935" s="3" t="s">
        <v>2512</v>
      </c>
      <c r="J1935" s="25" t="s">
        <v>36</v>
      </c>
      <c r="K1935" s="28">
        <v>4</v>
      </c>
      <c r="L1935" s="7">
        <v>42355</v>
      </c>
      <c r="M1935" s="28">
        <f>Table11[[#This Row],[Ship Date]]-Table11[[#This Row],[Order Date]]</f>
        <v>4</v>
      </c>
      <c r="N1935" s="25" t="s">
        <v>45</v>
      </c>
      <c r="O1935" s="25" t="s">
        <v>23</v>
      </c>
      <c r="P1935" s="25" t="s">
        <v>38</v>
      </c>
      <c r="Q1935" s="25" t="s">
        <v>39</v>
      </c>
      <c r="R1935" s="25" t="s">
        <v>2513</v>
      </c>
      <c r="S1935" s="35">
        <v>0</v>
      </c>
      <c r="T1935" s="16">
        <v>134.47999999999999</v>
      </c>
      <c r="U1935" s="19">
        <v>34.964799999999997</v>
      </c>
      <c r="V1935" s="56">
        <f>Table11[[#This Row],[Profit]]/Table11[[#This Row],[Sales]]</f>
        <v>0.26</v>
      </c>
    </row>
    <row r="1936" spans="1:22" x14ac:dyDescent="0.2">
      <c r="A1936" s="4">
        <v>1935</v>
      </c>
      <c r="B1936" s="5" t="s">
        <v>4032</v>
      </c>
      <c r="C1936" s="6">
        <v>42351</v>
      </c>
      <c r="D1936" s="27">
        <f>MONTH(Table11[[#This Row],[Order Date]])</f>
        <v>12</v>
      </c>
      <c r="E1936" s="5" t="s">
        <v>4033</v>
      </c>
      <c r="F1936" s="5" t="s">
        <v>4034</v>
      </c>
      <c r="G1936" s="24" t="s">
        <v>41</v>
      </c>
      <c r="H1936" s="24" t="s">
        <v>42</v>
      </c>
      <c r="I1936" s="5" t="s">
        <v>3220</v>
      </c>
      <c r="J1936" s="24" t="s">
        <v>22</v>
      </c>
      <c r="K1936" s="27">
        <v>2</v>
      </c>
      <c r="L1936" s="6">
        <v>42353</v>
      </c>
      <c r="M1936" s="27">
        <f>Table11[[#This Row],[Ship Date]]-Table11[[#This Row],[Order Date]]</f>
        <v>2</v>
      </c>
      <c r="N1936" s="24" t="s">
        <v>20</v>
      </c>
      <c r="O1936" s="24" t="s">
        <v>23</v>
      </c>
      <c r="P1936" s="24" t="s">
        <v>38</v>
      </c>
      <c r="Q1936" s="24" t="s">
        <v>39</v>
      </c>
      <c r="R1936" s="24" t="s">
        <v>37</v>
      </c>
      <c r="S1936" s="34">
        <v>0</v>
      </c>
      <c r="T1936" s="15">
        <v>9.9600000000000009</v>
      </c>
      <c r="U1936" s="18">
        <v>4.5815999999999999</v>
      </c>
      <c r="V1936" s="56">
        <f>Table11[[#This Row],[Profit]]/Table11[[#This Row],[Sales]]</f>
        <v>0.45999999999999996</v>
      </c>
    </row>
    <row r="1937" spans="1:22" x14ac:dyDescent="0.2">
      <c r="A1937" s="4">
        <v>1936</v>
      </c>
      <c r="B1937" s="3" t="s">
        <v>5813</v>
      </c>
      <c r="C1937" s="7">
        <v>42351</v>
      </c>
      <c r="D1937" s="28">
        <f>MONTH(Table11[[#This Row],[Order Date]])</f>
        <v>12</v>
      </c>
      <c r="E1937" s="3" t="s">
        <v>2189</v>
      </c>
      <c r="F1937" s="3" t="s">
        <v>2624</v>
      </c>
      <c r="G1937" s="25" t="s">
        <v>64</v>
      </c>
      <c r="H1937" s="25" t="s">
        <v>65</v>
      </c>
      <c r="I1937" s="3" t="s">
        <v>2626</v>
      </c>
      <c r="J1937" s="25" t="s">
        <v>22</v>
      </c>
      <c r="K1937" s="28">
        <v>3</v>
      </c>
      <c r="L1937" s="7">
        <v>42353</v>
      </c>
      <c r="M1937" s="28">
        <f>Table11[[#This Row],[Ship Date]]-Table11[[#This Row],[Order Date]]</f>
        <v>2</v>
      </c>
      <c r="N1937" s="25" t="s">
        <v>169</v>
      </c>
      <c r="O1937" s="25" t="s">
        <v>23</v>
      </c>
      <c r="P1937" s="25" t="s">
        <v>38</v>
      </c>
      <c r="Q1937" s="25" t="s">
        <v>39</v>
      </c>
      <c r="R1937" s="25" t="s">
        <v>5814</v>
      </c>
      <c r="S1937" s="35">
        <v>0.2</v>
      </c>
      <c r="T1937" s="16">
        <v>494.37599999999998</v>
      </c>
      <c r="U1937" s="19">
        <v>49.437600000000003</v>
      </c>
      <c r="V1937" s="56">
        <f>Table11[[#This Row],[Profit]]/Table11[[#This Row],[Sales]]</f>
        <v>0.1</v>
      </c>
    </row>
    <row r="1938" spans="1:22" x14ac:dyDescent="0.2">
      <c r="A1938" s="2">
        <v>1937</v>
      </c>
      <c r="B1938" s="5" t="s">
        <v>5813</v>
      </c>
      <c r="C1938" s="6">
        <v>42351</v>
      </c>
      <c r="D1938" s="27">
        <f>MONTH(Table11[[#This Row],[Order Date]])</f>
        <v>12</v>
      </c>
      <c r="E1938" s="5" t="s">
        <v>1212</v>
      </c>
      <c r="F1938" s="5" t="s">
        <v>1213</v>
      </c>
      <c r="G1938" s="24" t="s">
        <v>41</v>
      </c>
      <c r="H1938" s="24" t="s">
        <v>68</v>
      </c>
      <c r="I1938" s="5" t="s">
        <v>2626</v>
      </c>
      <c r="J1938" s="24" t="s">
        <v>22</v>
      </c>
      <c r="K1938" s="27">
        <v>5</v>
      </c>
      <c r="L1938" s="6">
        <v>42353</v>
      </c>
      <c r="M1938" s="27">
        <f>Table11[[#This Row],[Ship Date]]-Table11[[#This Row],[Order Date]]</f>
        <v>2</v>
      </c>
      <c r="N1938" s="24" t="s">
        <v>169</v>
      </c>
      <c r="O1938" s="24" t="s">
        <v>23</v>
      </c>
      <c r="P1938" s="24" t="s">
        <v>38</v>
      </c>
      <c r="Q1938" s="24" t="s">
        <v>39</v>
      </c>
      <c r="R1938" s="24" t="s">
        <v>5814</v>
      </c>
      <c r="S1938" s="34">
        <v>0.2</v>
      </c>
      <c r="T1938" s="15">
        <v>29.2</v>
      </c>
      <c r="U1938" s="18">
        <v>9.8550000000000004</v>
      </c>
      <c r="V1938" s="56">
        <f>Table11[[#This Row],[Profit]]/Table11[[#This Row],[Sales]]</f>
        <v>0.33750000000000002</v>
      </c>
    </row>
    <row r="1939" spans="1:22" x14ac:dyDescent="0.2">
      <c r="A1939" s="4">
        <v>1938</v>
      </c>
      <c r="B1939" s="3" t="s">
        <v>5813</v>
      </c>
      <c r="C1939" s="7">
        <v>42351</v>
      </c>
      <c r="D1939" s="28">
        <f>MONTH(Table11[[#This Row],[Order Date]])</f>
        <v>12</v>
      </c>
      <c r="E1939" s="3" t="s">
        <v>406</v>
      </c>
      <c r="F1939" s="3" t="s">
        <v>407</v>
      </c>
      <c r="G1939" s="25" t="s">
        <v>64</v>
      </c>
      <c r="H1939" s="25" t="s">
        <v>144</v>
      </c>
      <c r="I1939" s="3" t="s">
        <v>2626</v>
      </c>
      <c r="J1939" s="25" t="s">
        <v>22</v>
      </c>
      <c r="K1939" s="28">
        <v>5</v>
      </c>
      <c r="L1939" s="7">
        <v>42353</v>
      </c>
      <c r="M1939" s="28">
        <f>Table11[[#This Row],[Ship Date]]-Table11[[#This Row],[Order Date]]</f>
        <v>2</v>
      </c>
      <c r="N1939" s="25" t="s">
        <v>169</v>
      </c>
      <c r="O1939" s="25" t="s">
        <v>23</v>
      </c>
      <c r="P1939" s="25" t="s">
        <v>38</v>
      </c>
      <c r="Q1939" s="25" t="s">
        <v>39</v>
      </c>
      <c r="R1939" s="25" t="s">
        <v>5814</v>
      </c>
      <c r="S1939" s="35">
        <v>0</v>
      </c>
      <c r="T1939" s="16">
        <v>248.85</v>
      </c>
      <c r="U1939" s="19">
        <v>27.3735</v>
      </c>
      <c r="V1939" s="56">
        <f>Table11[[#This Row],[Profit]]/Table11[[#This Row],[Sales]]</f>
        <v>0.11</v>
      </c>
    </row>
    <row r="1940" spans="1:22" x14ac:dyDescent="0.2">
      <c r="A1940" s="4">
        <v>1939</v>
      </c>
      <c r="B1940" s="5" t="s">
        <v>5813</v>
      </c>
      <c r="C1940" s="6">
        <v>42351</v>
      </c>
      <c r="D1940" s="27">
        <f>MONTH(Table11[[#This Row],[Order Date]])</f>
        <v>12</v>
      </c>
      <c r="E1940" s="5" t="s">
        <v>5815</v>
      </c>
      <c r="F1940" s="5" t="s">
        <v>5816</v>
      </c>
      <c r="G1940" s="24" t="s">
        <v>64</v>
      </c>
      <c r="H1940" s="24" t="s">
        <v>144</v>
      </c>
      <c r="I1940" s="5" t="s">
        <v>2626</v>
      </c>
      <c r="J1940" s="24" t="s">
        <v>22</v>
      </c>
      <c r="K1940" s="27">
        <v>1</v>
      </c>
      <c r="L1940" s="6">
        <v>42353</v>
      </c>
      <c r="M1940" s="27">
        <f>Table11[[#This Row],[Ship Date]]-Table11[[#This Row],[Order Date]]</f>
        <v>2</v>
      </c>
      <c r="N1940" s="24" t="s">
        <v>169</v>
      </c>
      <c r="O1940" s="24" t="s">
        <v>23</v>
      </c>
      <c r="P1940" s="24" t="s">
        <v>38</v>
      </c>
      <c r="Q1940" s="24" t="s">
        <v>39</v>
      </c>
      <c r="R1940" s="24" t="s">
        <v>5814</v>
      </c>
      <c r="S1940" s="34">
        <v>0</v>
      </c>
      <c r="T1940" s="15">
        <v>36.24</v>
      </c>
      <c r="U1940" s="18">
        <v>15.220800000000001</v>
      </c>
      <c r="V1940" s="56">
        <f>Table11[[#This Row],[Profit]]/Table11[[#This Row],[Sales]]</f>
        <v>0.42</v>
      </c>
    </row>
    <row r="1941" spans="1:22" x14ac:dyDescent="0.2">
      <c r="A1941" s="2">
        <v>1940</v>
      </c>
      <c r="B1941" s="3" t="s">
        <v>5872</v>
      </c>
      <c r="C1941" s="7">
        <v>42351</v>
      </c>
      <c r="D1941" s="28">
        <f>MONTH(Table11[[#This Row],[Order Date]])</f>
        <v>12</v>
      </c>
      <c r="E1941" s="3" t="s">
        <v>1705</v>
      </c>
      <c r="F1941" s="3" t="s">
        <v>1706</v>
      </c>
      <c r="G1941" s="25" t="s">
        <v>41</v>
      </c>
      <c r="H1941" s="25" t="s">
        <v>82</v>
      </c>
      <c r="I1941" s="3" t="s">
        <v>5277</v>
      </c>
      <c r="J1941" s="25" t="s">
        <v>92</v>
      </c>
      <c r="K1941" s="28">
        <v>3</v>
      </c>
      <c r="L1941" s="7">
        <v>42358</v>
      </c>
      <c r="M1941" s="28">
        <f>Table11[[#This Row],[Ship Date]]-Table11[[#This Row],[Order Date]]</f>
        <v>7</v>
      </c>
      <c r="N1941" s="25" t="s">
        <v>45</v>
      </c>
      <c r="O1941" s="25" t="s">
        <v>23</v>
      </c>
      <c r="P1941" s="25" t="s">
        <v>1101</v>
      </c>
      <c r="Q1941" s="25" t="s">
        <v>133</v>
      </c>
      <c r="R1941" s="25" t="s">
        <v>5873</v>
      </c>
      <c r="S1941" s="35">
        <v>0</v>
      </c>
      <c r="T1941" s="16">
        <v>19.440000000000001</v>
      </c>
      <c r="U1941" s="19">
        <v>9.3312000000000008</v>
      </c>
      <c r="V1941" s="56">
        <f>Table11[[#This Row],[Profit]]/Table11[[#This Row],[Sales]]</f>
        <v>0.48000000000000004</v>
      </c>
    </row>
    <row r="1942" spans="1:22" x14ac:dyDescent="0.2">
      <c r="A1942" s="4">
        <v>1941</v>
      </c>
      <c r="B1942" s="5" t="s">
        <v>5872</v>
      </c>
      <c r="C1942" s="6">
        <v>42351</v>
      </c>
      <c r="D1942" s="27">
        <f>MONTH(Table11[[#This Row],[Order Date]])</f>
        <v>12</v>
      </c>
      <c r="E1942" s="5" t="s">
        <v>375</v>
      </c>
      <c r="F1942" s="5" t="s">
        <v>376</v>
      </c>
      <c r="G1942" s="24" t="s">
        <v>41</v>
      </c>
      <c r="H1942" s="24" t="s">
        <v>68</v>
      </c>
      <c r="I1942" s="5" t="s">
        <v>5277</v>
      </c>
      <c r="J1942" s="24" t="s">
        <v>92</v>
      </c>
      <c r="K1942" s="27">
        <v>2</v>
      </c>
      <c r="L1942" s="6">
        <v>42358</v>
      </c>
      <c r="M1942" s="27">
        <f>Table11[[#This Row],[Ship Date]]-Table11[[#This Row],[Order Date]]</f>
        <v>7</v>
      </c>
      <c r="N1942" s="24" t="s">
        <v>45</v>
      </c>
      <c r="O1942" s="24" t="s">
        <v>23</v>
      </c>
      <c r="P1942" s="24" t="s">
        <v>1101</v>
      </c>
      <c r="Q1942" s="24" t="s">
        <v>133</v>
      </c>
      <c r="R1942" s="24" t="s">
        <v>5873</v>
      </c>
      <c r="S1942" s="34">
        <v>0</v>
      </c>
      <c r="T1942" s="15">
        <v>37.880000000000003</v>
      </c>
      <c r="U1942" s="18">
        <v>18.940000000000001</v>
      </c>
      <c r="V1942" s="56">
        <f>Table11[[#This Row],[Profit]]/Table11[[#This Row],[Sales]]</f>
        <v>0.5</v>
      </c>
    </row>
    <row r="1943" spans="1:22" x14ac:dyDescent="0.2">
      <c r="A1943" s="4">
        <v>1942</v>
      </c>
      <c r="B1943" s="3" t="s">
        <v>4293</v>
      </c>
      <c r="C1943" s="7">
        <v>42352</v>
      </c>
      <c r="D1943" s="28">
        <f>MONTH(Table11[[#This Row],[Order Date]])</f>
        <v>12</v>
      </c>
      <c r="E1943" s="3" t="s">
        <v>2134</v>
      </c>
      <c r="F1943" s="3" t="s">
        <v>2135</v>
      </c>
      <c r="G1943" s="25" t="s">
        <v>41</v>
      </c>
      <c r="H1943" s="25" t="s">
        <v>68</v>
      </c>
      <c r="I1943" s="3" t="s">
        <v>1167</v>
      </c>
      <c r="J1943" s="25" t="s">
        <v>36</v>
      </c>
      <c r="K1943" s="28">
        <v>2</v>
      </c>
      <c r="L1943" s="7">
        <v>42354</v>
      </c>
      <c r="M1943" s="28">
        <f>Table11[[#This Row],[Ship Date]]-Table11[[#This Row],[Order Date]]</f>
        <v>2</v>
      </c>
      <c r="N1943" s="25" t="s">
        <v>20</v>
      </c>
      <c r="O1943" s="25" t="s">
        <v>23</v>
      </c>
      <c r="P1943" s="25" t="s">
        <v>1125</v>
      </c>
      <c r="Q1943" s="25" t="s">
        <v>26</v>
      </c>
      <c r="R1943" s="25" t="s">
        <v>440</v>
      </c>
      <c r="S1943" s="35">
        <v>0</v>
      </c>
      <c r="T1943" s="16">
        <v>3.76</v>
      </c>
      <c r="U1943" s="19">
        <v>1.8048</v>
      </c>
      <c r="V1943" s="56">
        <f>Table11[[#This Row],[Profit]]/Table11[[#This Row],[Sales]]</f>
        <v>0.48000000000000004</v>
      </c>
    </row>
    <row r="1944" spans="1:22" x14ac:dyDescent="0.2">
      <c r="A1944" s="2">
        <v>1943</v>
      </c>
      <c r="B1944" s="5" t="s">
        <v>4613</v>
      </c>
      <c r="C1944" s="6">
        <v>42352</v>
      </c>
      <c r="D1944" s="27">
        <f>MONTH(Table11[[#This Row],[Order Date]])</f>
        <v>12</v>
      </c>
      <c r="E1944" s="5" t="s">
        <v>4614</v>
      </c>
      <c r="F1944" s="5" t="s">
        <v>4615</v>
      </c>
      <c r="G1944" s="24" t="s">
        <v>64</v>
      </c>
      <c r="H1944" s="24" t="s">
        <v>65</v>
      </c>
      <c r="I1944" s="5" t="s">
        <v>1950</v>
      </c>
      <c r="J1944" s="24" t="s">
        <v>22</v>
      </c>
      <c r="K1944" s="27">
        <v>4</v>
      </c>
      <c r="L1944" s="6">
        <v>42354</v>
      </c>
      <c r="M1944" s="27">
        <f>Table11[[#This Row],[Ship Date]]-Table11[[#This Row],[Order Date]]</f>
        <v>2</v>
      </c>
      <c r="N1944" s="24" t="s">
        <v>20</v>
      </c>
      <c r="O1944" s="24" t="s">
        <v>23</v>
      </c>
      <c r="P1944" s="24" t="s">
        <v>374</v>
      </c>
      <c r="Q1944" s="24" t="s">
        <v>39</v>
      </c>
      <c r="R1944" s="24" t="s">
        <v>373</v>
      </c>
      <c r="S1944" s="34">
        <v>0.2</v>
      </c>
      <c r="T1944" s="15">
        <v>319.96800000000002</v>
      </c>
      <c r="U1944" s="18">
        <v>35.996400000000001</v>
      </c>
      <c r="V1944" s="56">
        <f>Table11[[#This Row],[Profit]]/Table11[[#This Row],[Sales]]</f>
        <v>0.1125</v>
      </c>
    </row>
    <row r="1945" spans="1:22" x14ac:dyDescent="0.2">
      <c r="A1945" s="4">
        <v>1944</v>
      </c>
      <c r="B1945" s="3" t="s">
        <v>7266</v>
      </c>
      <c r="C1945" s="7">
        <v>42352</v>
      </c>
      <c r="D1945" s="28">
        <f>MONTH(Table11[[#This Row],[Order Date]])</f>
        <v>12</v>
      </c>
      <c r="E1945" s="3" t="s">
        <v>3027</v>
      </c>
      <c r="F1945" s="3" t="s">
        <v>3028</v>
      </c>
      <c r="G1945" s="25" t="s">
        <v>41</v>
      </c>
      <c r="H1945" s="25" t="s">
        <v>68</v>
      </c>
      <c r="I1945" s="3" t="s">
        <v>3703</v>
      </c>
      <c r="J1945" s="25" t="s">
        <v>22</v>
      </c>
      <c r="K1945" s="28">
        <v>2</v>
      </c>
      <c r="L1945" s="7">
        <v>42357</v>
      </c>
      <c r="M1945" s="28">
        <f>Table11[[#This Row],[Ship Date]]-Table11[[#This Row],[Order Date]]</f>
        <v>5</v>
      </c>
      <c r="N1945" s="25" t="s">
        <v>45</v>
      </c>
      <c r="O1945" s="25" t="s">
        <v>23</v>
      </c>
      <c r="P1945" s="25" t="s">
        <v>38</v>
      </c>
      <c r="Q1945" s="25" t="s">
        <v>39</v>
      </c>
      <c r="R1945" s="25" t="s">
        <v>836</v>
      </c>
      <c r="S1945" s="35">
        <v>0.2</v>
      </c>
      <c r="T1945" s="16">
        <v>8.0960000000000001</v>
      </c>
      <c r="U1945" s="19">
        <v>2.7324000000000002</v>
      </c>
      <c r="V1945" s="56">
        <f>Table11[[#This Row],[Profit]]/Table11[[#This Row],[Sales]]</f>
        <v>0.33750000000000002</v>
      </c>
    </row>
    <row r="1946" spans="1:22" x14ac:dyDescent="0.2">
      <c r="A1946" s="4">
        <v>1945</v>
      </c>
      <c r="B1946" s="5" t="s">
        <v>7563</v>
      </c>
      <c r="C1946" s="6">
        <v>42352</v>
      </c>
      <c r="D1946" s="27">
        <f>MONTH(Table11[[#This Row],[Order Date]])</f>
        <v>12</v>
      </c>
      <c r="E1946" s="5" t="s">
        <v>5118</v>
      </c>
      <c r="F1946" s="5" t="s">
        <v>5119</v>
      </c>
      <c r="G1946" s="24" t="s">
        <v>28</v>
      </c>
      <c r="H1946" s="24" t="s">
        <v>58</v>
      </c>
      <c r="I1946" s="5" t="s">
        <v>3475</v>
      </c>
      <c r="J1946" s="24" t="s">
        <v>36</v>
      </c>
      <c r="K1946" s="27">
        <v>2</v>
      </c>
      <c r="L1946" s="6">
        <v>42356</v>
      </c>
      <c r="M1946" s="27">
        <f>Table11[[#This Row],[Ship Date]]-Table11[[#This Row],[Order Date]]</f>
        <v>4</v>
      </c>
      <c r="N1946" s="24" t="s">
        <v>45</v>
      </c>
      <c r="O1946" s="24" t="s">
        <v>23</v>
      </c>
      <c r="P1946" s="24" t="s">
        <v>1315</v>
      </c>
      <c r="Q1946" s="24" t="s">
        <v>26</v>
      </c>
      <c r="R1946" s="24" t="s">
        <v>293</v>
      </c>
      <c r="S1946" s="34">
        <v>0</v>
      </c>
      <c r="T1946" s="15">
        <v>6.16</v>
      </c>
      <c r="U1946" s="18">
        <v>1.9712000000000001</v>
      </c>
      <c r="V1946" s="56">
        <f>Table11[[#This Row],[Profit]]/Table11[[#This Row],[Sales]]</f>
        <v>0.32</v>
      </c>
    </row>
    <row r="1947" spans="1:22" x14ac:dyDescent="0.2">
      <c r="A1947" s="2">
        <v>1946</v>
      </c>
      <c r="B1947" s="3" t="s">
        <v>7563</v>
      </c>
      <c r="C1947" s="7">
        <v>42352</v>
      </c>
      <c r="D1947" s="28">
        <f>MONTH(Table11[[#This Row],[Order Date]])</f>
        <v>12</v>
      </c>
      <c r="E1947" s="3" t="s">
        <v>5564</v>
      </c>
      <c r="F1947" s="3" t="s">
        <v>5565</v>
      </c>
      <c r="G1947" s="25" t="s">
        <v>41</v>
      </c>
      <c r="H1947" s="25" t="s">
        <v>61</v>
      </c>
      <c r="I1947" s="3" t="s">
        <v>3475</v>
      </c>
      <c r="J1947" s="25" t="s">
        <v>36</v>
      </c>
      <c r="K1947" s="28">
        <v>2</v>
      </c>
      <c r="L1947" s="7">
        <v>42356</v>
      </c>
      <c r="M1947" s="28">
        <f>Table11[[#This Row],[Ship Date]]-Table11[[#This Row],[Order Date]]</f>
        <v>4</v>
      </c>
      <c r="N1947" s="25" t="s">
        <v>45</v>
      </c>
      <c r="O1947" s="25" t="s">
        <v>23</v>
      </c>
      <c r="P1947" s="25" t="s">
        <v>1315</v>
      </c>
      <c r="Q1947" s="25" t="s">
        <v>26</v>
      </c>
      <c r="R1947" s="25" t="s">
        <v>293</v>
      </c>
      <c r="S1947" s="35">
        <v>0</v>
      </c>
      <c r="T1947" s="16">
        <v>56.3</v>
      </c>
      <c r="U1947" s="19">
        <v>15.763999999999999</v>
      </c>
      <c r="V1947" s="56">
        <f>Table11[[#This Row],[Profit]]/Table11[[#This Row],[Sales]]</f>
        <v>0.28000000000000003</v>
      </c>
    </row>
    <row r="1948" spans="1:22" x14ac:dyDescent="0.2">
      <c r="A1948" s="4">
        <v>1947</v>
      </c>
      <c r="B1948" s="5" t="s">
        <v>7869</v>
      </c>
      <c r="C1948" s="6">
        <v>42352</v>
      </c>
      <c r="D1948" s="27">
        <f>MONTH(Table11[[#This Row],[Order Date]])</f>
        <v>12</v>
      </c>
      <c r="E1948" s="5" t="s">
        <v>5845</v>
      </c>
      <c r="F1948" s="5" t="s">
        <v>5846</v>
      </c>
      <c r="G1948" s="24" t="s">
        <v>28</v>
      </c>
      <c r="H1948" s="24" t="s">
        <v>58</v>
      </c>
      <c r="I1948" s="5" t="s">
        <v>3344</v>
      </c>
      <c r="J1948" s="24" t="s">
        <v>92</v>
      </c>
      <c r="K1948" s="27">
        <v>3</v>
      </c>
      <c r="L1948" s="6">
        <v>42356</v>
      </c>
      <c r="M1948" s="27">
        <f>Table11[[#This Row],[Ship Date]]-Table11[[#This Row],[Order Date]]</f>
        <v>4</v>
      </c>
      <c r="N1948" s="24" t="s">
        <v>45</v>
      </c>
      <c r="O1948" s="24" t="s">
        <v>23</v>
      </c>
      <c r="P1948" s="24" t="s">
        <v>38</v>
      </c>
      <c r="Q1948" s="24" t="s">
        <v>39</v>
      </c>
      <c r="R1948" s="24" t="s">
        <v>37</v>
      </c>
      <c r="S1948" s="34">
        <v>0</v>
      </c>
      <c r="T1948" s="15">
        <v>15.24</v>
      </c>
      <c r="U1948" s="18">
        <v>5.1816000000000004</v>
      </c>
      <c r="V1948" s="56">
        <f>Table11[[#This Row],[Profit]]/Table11[[#This Row],[Sales]]</f>
        <v>0.34</v>
      </c>
    </row>
    <row r="1949" spans="1:22" x14ac:dyDescent="0.2">
      <c r="A1949" s="4">
        <v>1948</v>
      </c>
      <c r="B1949" s="3" t="s">
        <v>7902</v>
      </c>
      <c r="C1949" s="7">
        <v>42352</v>
      </c>
      <c r="D1949" s="28">
        <f>MONTH(Table11[[#This Row],[Order Date]])</f>
        <v>12</v>
      </c>
      <c r="E1949" s="3" t="s">
        <v>813</v>
      </c>
      <c r="F1949" s="3" t="s">
        <v>814</v>
      </c>
      <c r="G1949" s="25" t="s">
        <v>28</v>
      </c>
      <c r="H1949" s="25" t="s">
        <v>58</v>
      </c>
      <c r="I1949" s="3" t="s">
        <v>140</v>
      </c>
      <c r="J1949" s="25" t="s">
        <v>22</v>
      </c>
      <c r="K1949" s="28">
        <v>3</v>
      </c>
      <c r="L1949" s="7">
        <v>42356</v>
      </c>
      <c r="M1949" s="28">
        <f>Table11[[#This Row],[Ship Date]]-Table11[[#This Row],[Order Date]]</f>
        <v>4</v>
      </c>
      <c r="N1949" s="25" t="s">
        <v>45</v>
      </c>
      <c r="O1949" s="25" t="s">
        <v>23</v>
      </c>
      <c r="P1949" s="25" t="s">
        <v>38</v>
      </c>
      <c r="Q1949" s="25" t="s">
        <v>39</v>
      </c>
      <c r="R1949" s="25" t="s">
        <v>1514</v>
      </c>
      <c r="S1949" s="35">
        <v>0</v>
      </c>
      <c r="T1949" s="16">
        <v>29.22</v>
      </c>
      <c r="U1949" s="19">
        <v>12.8568</v>
      </c>
      <c r="V1949" s="56">
        <f>Table11[[#This Row],[Profit]]/Table11[[#This Row],[Sales]]</f>
        <v>0.44</v>
      </c>
    </row>
    <row r="1950" spans="1:22" x14ac:dyDescent="0.2">
      <c r="A1950" s="2">
        <v>1949</v>
      </c>
      <c r="B1950" s="5" t="s">
        <v>9792</v>
      </c>
      <c r="C1950" s="6">
        <v>42352</v>
      </c>
      <c r="D1950" s="27">
        <f>MONTH(Table11[[#This Row],[Order Date]])</f>
        <v>12</v>
      </c>
      <c r="E1950" s="5" t="s">
        <v>3758</v>
      </c>
      <c r="F1950" s="5" t="s">
        <v>3759</v>
      </c>
      <c r="G1950" s="24" t="s">
        <v>64</v>
      </c>
      <c r="H1950" s="24" t="s">
        <v>144</v>
      </c>
      <c r="I1950" s="5" t="s">
        <v>1670</v>
      </c>
      <c r="J1950" s="24" t="s">
        <v>22</v>
      </c>
      <c r="K1950" s="27">
        <v>2</v>
      </c>
      <c r="L1950" s="6">
        <v>42357</v>
      </c>
      <c r="M1950" s="27">
        <f>Table11[[#This Row],[Ship Date]]-Table11[[#This Row],[Order Date]]</f>
        <v>5</v>
      </c>
      <c r="N1950" s="24" t="s">
        <v>20</v>
      </c>
      <c r="O1950" s="24" t="s">
        <v>23</v>
      </c>
      <c r="P1950" s="24" t="s">
        <v>38</v>
      </c>
      <c r="Q1950" s="24" t="s">
        <v>39</v>
      </c>
      <c r="R1950" s="24" t="s">
        <v>37</v>
      </c>
      <c r="S1950" s="34">
        <v>0</v>
      </c>
      <c r="T1950" s="15">
        <v>50</v>
      </c>
      <c r="U1950" s="18">
        <v>10.5</v>
      </c>
      <c r="V1950" s="56">
        <f>Table11[[#This Row],[Profit]]/Table11[[#This Row],[Sales]]</f>
        <v>0.21</v>
      </c>
    </row>
    <row r="1951" spans="1:22" x14ac:dyDescent="0.2">
      <c r="A1951" s="4">
        <v>1950</v>
      </c>
      <c r="B1951" s="3" t="s">
        <v>10124</v>
      </c>
      <c r="C1951" s="7">
        <v>42352</v>
      </c>
      <c r="D1951" s="28">
        <f>MONTH(Table11[[#This Row],[Order Date]])</f>
        <v>12</v>
      </c>
      <c r="E1951" s="3" t="s">
        <v>1066</v>
      </c>
      <c r="F1951" s="3" t="s">
        <v>1067</v>
      </c>
      <c r="G1951" s="25" t="s">
        <v>41</v>
      </c>
      <c r="H1951" s="25" t="s">
        <v>68</v>
      </c>
      <c r="I1951" s="3" t="s">
        <v>6088</v>
      </c>
      <c r="J1951" s="25" t="s">
        <v>36</v>
      </c>
      <c r="K1951" s="28">
        <v>2</v>
      </c>
      <c r="L1951" s="7">
        <v>42354</v>
      </c>
      <c r="M1951" s="28">
        <f>Table11[[#This Row],[Ship Date]]-Table11[[#This Row],[Order Date]]</f>
        <v>2</v>
      </c>
      <c r="N1951" s="25" t="s">
        <v>20</v>
      </c>
      <c r="O1951" s="25" t="s">
        <v>23</v>
      </c>
      <c r="P1951" s="25" t="s">
        <v>38</v>
      </c>
      <c r="Q1951" s="25" t="s">
        <v>39</v>
      </c>
      <c r="R1951" s="25" t="s">
        <v>37</v>
      </c>
      <c r="S1951" s="35">
        <v>0.2</v>
      </c>
      <c r="T1951" s="16">
        <v>55.264000000000003</v>
      </c>
      <c r="U1951" s="19">
        <v>20.724</v>
      </c>
      <c r="V1951" s="56">
        <f>Table11[[#This Row],[Profit]]/Table11[[#This Row],[Sales]]</f>
        <v>0.375</v>
      </c>
    </row>
    <row r="1952" spans="1:22" x14ac:dyDescent="0.2">
      <c r="A1952" s="4">
        <v>1951</v>
      </c>
      <c r="B1952" s="5" t="s">
        <v>10124</v>
      </c>
      <c r="C1952" s="6">
        <v>42352</v>
      </c>
      <c r="D1952" s="27">
        <f>MONTH(Table11[[#This Row],[Order Date]])</f>
        <v>12</v>
      </c>
      <c r="E1952" s="5" t="s">
        <v>4916</v>
      </c>
      <c r="F1952" s="5" t="s">
        <v>4917</v>
      </c>
      <c r="G1952" s="24" t="s">
        <v>41</v>
      </c>
      <c r="H1952" s="24" t="s">
        <v>82</v>
      </c>
      <c r="I1952" s="5" t="s">
        <v>6088</v>
      </c>
      <c r="J1952" s="24" t="s">
        <v>36</v>
      </c>
      <c r="K1952" s="27">
        <v>1</v>
      </c>
      <c r="L1952" s="6">
        <v>42354</v>
      </c>
      <c r="M1952" s="27">
        <f>Table11[[#This Row],[Ship Date]]-Table11[[#This Row],[Order Date]]</f>
        <v>2</v>
      </c>
      <c r="N1952" s="24" t="s">
        <v>20</v>
      </c>
      <c r="O1952" s="24" t="s">
        <v>23</v>
      </c>
      <c r="P1952" s="24" t="s">
        <v>38</v>
      </c>
      <c r="Q1952" s="24" t="s">
        <v>39</v>
      </c>
      <c r="R1952" s="24" t="s">
        <v>37</v>
      </c>
      <c r="S1952" s="34">
        <v>0</v>
      </c>
      <c r="T1952" s="15">
        <v>6.48</v>
      </c>
      <c r="U1952" s="18">
        <v>3.1103999999999998</v>
      </c>
      <c r="V1952" s="56">
        <f>Table11[[#This Row],[Profit]]/Table11[[#This Row],[Sales]]</f>
        <v>0.47999999999999993</v>
      </c>
    </row>
    <row r="1953" spans="1:22" x14ac:dyDescent="0.2">
      <c r="A1953" s="2">
        <v>1952</v>
      </c>
      <c r="B1953" s="3" t="s">
        <v>10124</v>
      </c>
      <c r="C1953" s="7">
        <v>42352</v>
      </c>
      <c r="D1953" s="28">
        <f>MONTH(Table11[[#This Row],[Order Date]])</f>
        <v>12</v>
      </c>
      <c r="E1953" s="3" t="s">
        <v>5134</v>
      </c>
      <c r="F1953" s="3" t="s">
        <v>5135</v>
      </c>
      <c r="G1953" s="25" t="s">
        <v>41</v>
      </c>
      <c r="H1953" s="25" t="s">
        <v>68</v>
      </c>
      <c r="I1953" s="3" t="s">
        <v>6088</v>
      </c>
      <c r="J1953" s="25" t="s">
        <v>36</v>
      </c>
      <c r="K1953" s="28">
        <v>3</v>
      </c>
      <c r="L1953" s="7">
        <v>42354</v>
      </c>
      <c r="M1953" s="28">
        <f>Table11[[#This Row],[Ship Date]]-Table11[[#This Row],[Order Date]]</f>
        <v>2</v>
      </c>
      <c r="N1953" s="25" t="s">
        <v>20</v>
      </c>
      <c r="O1953" s="25" t="s">
        <v>23</v>
      </c>
      <c r="P1953" s="25" t="s">
        <v>38</v>
      </c>
      <c r="Q1953" s="25" t="s">
        <v>39</v>
      </c>
      <c r="R1953" s="25" t="s">
        <v>37</v>
      </c>
      <c r="S1953" s="35">
        <v>0.2</v>
      </c>
      <c r="T1953" s="16">
        <v>34.247999999999998</v>
      </c>
      <c r="U1953" s="19">
        <v>11.5587</v>
      </c>
      <c r="V1953" s="56">
        <f>Table11[[#This Row],[Profit]]/Table11[[#This Row],[Sales]]</f>
        <v>0.33750000000000002</v>
      </c>
    </row>
    <row r="1954" spans="1:22" x14ac:dyDescent="0.2">
      <c r="A1954" s="4">
        <v>1953</v>
      </c>
      <c r="B1954" s="5" t="s">
        <v>10124</v>
      </c>
      <c r="C1954" s="6">
        <v>42352</v>
      </c>
      <c r="D1954" s="27">
        <f>MONTH(Table11[[#This Row],[Order Date]])</f>
        <v>12</v>
      </c>
      <c r="E1954" s="5" t="s">
        <v>3368</v>
      </c>
      <c r="F1954" s="5" t="s">
        <v>3369</v>
      </c>
      <c r="G1954" s="24" t="s">
        <v>28</v>
      </c>
      <c r="H1954" s="24" t="s">
        <v>50</v>
      </c>
      <c r="I1954" s="5" t="s">
        <v>6088</v>
      </c>
      <c r="J1954" s="24" t="s">
        <v>36</v>
      </c>
      <c r="K1954" s="27">
        <v>2</v>
      </c>
      <c r="L1954" s="6">
        <v>42354</v>
      </c>
      <c r="M1954" s="27">
        <f>Table11[[#This Row],[Ship Date]]-Table11[[#This Row],[Order Date]]</f>
        <v>2</v>
      </c>
      <c r="N1954" s="24" t="s">
        <v>20</v>
      </c>
      <c r="O1954" s="24" t="s">
        <v>23</v>
      </c>
      <c r="P1954" s="24" t="s">
        <v>38</v>
      </c>
      <c r="Q1954" s="24" t="s">
        <v>39</v>
      </c>
      <c r="R1954" s="24" t="s">
        <v>37</v>
      </c>
      <c r="S1954" s="34">
        <v>0.2</v>
      </c>
      <c r="T1954" s="15">
        <v>273.56799999999998</v>
      </c>
      <c r="U1954" s="18">
        <v>10.258800000000001</v>
      </c>
      <c r="V1954" s="56">
        <f>Table11[[#This Row],[Profit]]/Table11[[#This Row],[Sales]]</f>
        <v>3.7500000000000006E-2</v>
      </c>
    </row>
    <row r="1955" spans="1:22" x14ac:dyDescent="0.2">
      <c r="A1955" s="4">
        <v>1954</v>
      </c>
      <c r="B1955" s="3" t="s">
        <v>637</v>
      </c>
      <c r="C1955" s="7">
        <v>42353</v>
      </c>
      <c r="D1955" s="28">
        <f>MONTH(Table11[[#This Row],[Order Date]])</f>
        <v>12</v>
      </c>
      <c r="E1955" s="3" t="s">
        <v>639</v>
      </c>
      <c r="F1955" s="3" t="s">
        <v>640</v>
      </c>
      <c r="G1955" s="25" t="s">
        <v>41</v>
      </c>
      <c r="H1955" s="25" t="s">
        <v>61</v>
      </c>
      <c r="I1955" s="3" t="s">
        <v>638</v>
      </c>
      <c r="J1955" s="25" t="s">
        <v>92</v>
      </c>
      <c r="K1955" s="28">
        <v>1</v>
      </c>
      <c r="L1955" s="7">
        <v>42357</v>
      </c>
      <c r="M1955" s="28">
        <f>Table11[[#This Row],[Ship Date]]-Table11[[#This Row],[Order Date]]</f>
        <v>4</v>
      </c>
      <c r="N1955" s="25" t="s">
        <v>45</v>
      </c>
      <c r="O1955" s="25" t="s">
        <v>23</v>
      </c>
      <c r="P1955" s="25" t="s">
        <v>238</v>
      </c>
      <c r="Q1955" s="25" t="s">
        <v>133</v>
      </c>
      <c r="R1955" s="25" t="s">
        <v>237</v>
      </c>
      <c r="S1955" s="35">
        <v>0</v>
      </c>
      <c r="T1955" s="16">
        <v>3.28</v>
      </c>
      <c r="U1955" s="19">
        <v>1.4104000000000001</v>
      </c>
      <c r="V1955" s="56">
        <f>Table11[[#This Row],[Profit]]/Table11[[#This Row],[Sales]]</f>
        <v>0.43000000000000005</v>
      </c>
    </row>
    <row r="1956" spans="1:22" x14ac:dyDescent="0.2">
      <c r="A1956" s="2">
        <v>1955</v>
      </c>
      <c r="B1956" s="5" t="s">
        <v>1409</v>
      </c>
      <c r="C1956" s="6">
        <v>42353</v>
      </c>
      <c r="D1956" s="27">
        <f>MONTH(Table11[[#This Row],[Order Date]])</f>
        <v>12</v>
      </c>
      <c r="E1956" s="5" t="s">
        <v>1410</v>
      </c>
      <c r="F1956" s="5" t="s">
        <v>1411</v>
      </c>
      <c r="G1956" s="24" t="s">
        <v>41</v>
      </c>
      <c r="H1956" s="24" t="s">
        <v>71</v>
      </c>
      <c r="I1956" s="5" t="s">
        <v>731</v>
      </c>
      <c r="J1956" s="24" t="s">
        <v>22</v>
      </c>
      <c r="K1956" s="27">
        <v>4</v>
      </c>
      <c r="L1956" s="6">
        <v>42360</v>
      </c>
      <c r="M1956" s="27">
        <f>Table11[[#This Row],[Ship Date]]-Table11[[#This Row],[Order Date]]</f>
        <v>7</v>
      </c>
      <c r="N1956" s="24" t="s">
        <v>45</v>
      </c>
      <c r="O1956" s="24" t="s">
        <v>23</v>
      </c>
      <c r="P1956" s="24" t="s">
        <v>87</v>
      </c>
      <c r="Q1956" s="24" t="s">
        <v>39</v>
      </c>
      <c r="R1956" s="24" t="s">
        <v>86</v>
      </c>
      <c r="S1956" s="34">
        <v>0</v>
      </c>
      <c r="T1956" s="15">
        <v>103.92</v>
      </c>
      <c r="U1956" s="18">
        <v>36.372</v>
      </c>
      <c r="V1956" s="56">
        <f>Table11[[#This Row],[Profit]]/Table11[[#This Row],[Sales]]</f>
        <v>0.35</v>
      </c>
    </row>
    <row r="1957" spans="1:22" x14ac:dyDescent="0.2">
      <c r="A1957" s="4">
        <v>1956</v>
      </c>
      <c r="B1957" s="3" t="s">
        <v>1409</v>
      </c>
      <c r="C1957" s="7">
        <v>42353</v>
      </c>
      <c r="D1957" s="28">
        <f>MONTH(Table11[[#This Row],[Order Date]])</f>
        <v>12</v>
      </c>
      <c r="E1957" s="3" t="s">
        <v>1412</v>
      </c>
      <c r="F1957" s="3" t="s">
        <v>1413</v>
      </c>
      <c r="G1957" s="25" t="s">
        <v>64</v>
      </c>
      <c r="H1957" s="25" t="s">
        <v>144</v>
      </c>
      <c r="I1957" s="3" t="s">
        <v>731</v>
      </c>
      <c r="J1957" s="25" t="s">
        <v>22</v>
      </c>
      <c r="K1957" s="28">
        <v>9</v>
      </c>
      <c r="L1957" s="7">
        <v>42360</v>
      </c>
      <c r="M1957" s="28">
        <f>Table11[[#This Row],[Ship Date]]-Table11[[#This Row],[Order Date]]</f>
        <v>7</v>
      </c>
      <c r="N1957" s="25" t="s">
        <v>45</v>
      </c>
      <c r="O1957" s="25" t="s">
        <v>23</v>
      </c>
      <c r="P1957" s="25" t="s">
        <v>87</v>
      </c>
      <c r="Q1957" s="25" t="s">
        <v>39</v>
      </c>
      <c r="R1957" s="25" t="s">
        <v>86</v>
      </c>
      <c r="S1957" s="35">
        <v>0</v>
      </c>
      <c r="T1957" s="16">
        <v>899.91</v>
      </c>
      <c r="U1957" s="19">
        <v>377.9622</v>
      </c>
      <c r="V1957" s="56">
        <f>Table11[[#This Row],[Profit]]/Table11[[#This Row],[Sales]]</f>
        <v>0.42</v>
      </c>
    </row>
    <row r="1958" spans="1:22" x14ac:dyDescent="0.2">
      <c r="A1958" s="4">
        <v>1957</v>
      </c>
      <c r="B1958" s="5" t="s">
        <v>1409</v>
      </c>
      <c r="C1958" s="6">
        <v>42353</v>
      </c>
      <c r="D1958" s="27">
        <f>MONTH(Table11[[#This Row],[Order Date]])</f>
        <v>12</v>
      </c>
      <c r="E1958" s="5" t="s">
        <v>1414</v>
      </c>
      <c r="F1958" s="5" t="s">
        <v>1415</v>
      </c>
      <c r="G1958" s="24" t="s">
        <v>41</v>
      </c>
      <c r="H1958" s="24" t="s">
        <v>68</v>
      </c>
      <c r="I1958" s="5" t="s">
        <v>731</v>
      </c>
      <c r="J1958" s="24" t="s">
        <v>22</v>
      </c>
      <c r="K1958" s="27">
        <v>3</v>
      </c>
      <c r="L1958" s="6">
        <v>42360</v>
      </c>
      <c r="M1958" s="27">
        <f>Table11[[#This Row],[Ship Date]]-Table11[[#This Row],[Order Date]]</f>
        <v>7</v>
      </c>
      <c r="N1958" s="24" t="s">
        <v>45</v>
      </c>
      <c r="O1958" s="24" t="s">
        <v>23</v>
      </c>
      <c r="P1958" s="24" t="s">
        <v>87</v>
      </c>
      <c r="Q1958" s="24" t="s">
        <v>39</v>
      </c>
      <c r="R1958" s="24" t="s">
        <v>86</v>
      </c>
      <c r="S1958" s="34">
        <v>0.2</v>
      </c>
      <c r="T1958" s="15">
        <v>51.311999999999998</v>
      </c>
      <c r="U1958" s="18">
        <v>18.6006</v>
      </c>
      <c r="V1958" s="56">
        <f>Table11[[#This Row],[Profit]]/Table11[[#This Row],[Sales]]</f>
        <v>0.36250000000000004</v>
      </c>
    </row>
    <row r="1959" spans="1:22" x14ac:dyDescent="0.2">
      <c r="A1959" s="2">
        <v>1958</v>
      </c>
      <c r="B1959" s="3" t="s">
        <v>5678</v>
      </c>
      <c r="C1959" s="7">
        <v>42353</v>
      </c>
      <c r="D1959" s="28">
        <f>MONTH(Table11[[#This Row],[Order Date]])</f>
        <v>12</v>
      </c>
      <c r="E1959" s="3" t="s">
        <v>2382</v>
      </c>
      <c r="F1959" s="3" t="s">
        <v>3762</v>
      </c>
      <c r="G1959" s="25" t="s">
        <v>64</v>
      </c>
      <c r="H1959" s="25" t="s">
        <v>144</v>
      </c>
      <c r="I1959" s="3" t="s">
        <v>1314</v>
      </c>
      <c r="J1959" s="25" t="s">
        <v>22</v>
      </c>
      <c r="K1959" s="28">
        <v>6</v>
      </c>
      <c r="L1959" s="7">
        <v>42356</v>
      </c>
      <c r="M1959" s="28">
        <f>Table11[[#This Row],[Ship Date]]-Table11[[#This Row],[Order Date]]</f>
        <v>3</v>
      </c>
      <c r="N1959" s="25" t="s">
        <v>169</v>
      </c>
      <c r="O1959" s="25" t="s">
        <v>23</v>
      </c>
      <c r="P1959" s="25" t="s">
        <v>441</v>
      </c>
      <c r="Q1959" s="25" t="s">
        <v>133</v>
      </c>
      <c r="R1959" s="25" t="s">
        <v>536</v>
      </c>
      <c r="S1959" s="35">
        <v>0.2</v>
      </c>
      <c r="T1959" s="16">
        <v>2025.36</v>
      </c>
      <c r="U1959" s="19">
        <v>607.60799999999995</v>
      </c>
      <c r="V1959" s="56">
        <f>Table11[[#This Row],[Profit]]/Table11[[#This Row],[Sales]]</f>
        <v>0.3</v>
      </c>
    </row>
    <row r="1960" spans="1:22" x14ac:dyDescent="0.2">
      <c r="A1960" s="4">
        <v>1959</v>
      </c>
      <c r="B1960" s="5" t="s">
        <v>5678</v>
      </c>
      <c r="C1960" s="6">
        <v>42353</v>
      </c>
      <c r="D1960" s="27">
        <f>MONTH(Table11[[#This Row],[Order Date]])</f>
        <v>12</v>
      </c>
      <c r="E1960" s="5" t="s">
        <v>5679</v>
      </c>
      <c r="F1960" s="5" t="s">
        <v>5680</v>
      </c>
      <c r="G1960" s="24" t="s">
        <v>64</v>
      </c>
      <c r="H1960" s="24" t="s">
        <v>602</v>
      </c>
      <c r="I1960" s="5" t="s">
        <v>1314</v>
      </c>
      <c r="J1960" s="24" t="s">
        <v>22</v>
      </c>
      <c r="K1960" s="27">
        <v>2</v>
      </c>
      <c r="L1960" s="6">
        <v>42356</v>
      </c>
      <c r="M1960" s="27">
        <f>Table11[[#This Row],[Ship Date]]-Table11[[#This Row],[Order Date]]</f>
        <v>3</v>
      </c>
      <c r="N1960" s="24" t="s">
        <v>169</v>
      </c>
      <c r="O1960" s="24" t="s">
        <v>23</v>
      </c>
      <c r="P1960" s="24" t="s">
        <v>441</v>
      </c>
      <c r="Q1960" s="24" t="s">
        <v>133</v>
      </c>
      <c r="R1960" s="24" t="s">
        <v>536</v>
      </c>
      <c r="S1960" s="34">
        <v>0.7</v>
      </c>
      <c r="T1960" s="15">
        <v>1799.9939999999999</v>
      </c>
      <c r="U1960" s="18">
        <v>-2639.9911999999999</v>
      </c>
      <c r="V1960" s="56">
        <f>Table11[[#This Row],[Profit]]/Table11[[#This Row],[Sales]]</f>
        <v>-1.4666666666666668</v>
      </c>
    </row>
    <row r="1961" spans="1:22" x14ac:dyDescent="0.2">
      <c r="A1961" s="4">
        <v>1960</v>
      </c>
      <c r="B1961" s="3" t="s">
        <v>5678</v>
      </c>
      <c r="C1961" s="7">
        <v>42353</v>
      </c>
      <c r="D1961" s="28">
        <f>MONTH(Table11[[#This Row],[Order Date]])</f>
        <v>12</v>
      </c>
      <c r="E1961" s="3" t="s">
        <v>5665</v>
      </c>
      <c r="F1961" s="3" t="s">
        <v>5666</v>
      </c>
      <c r="G1961" s="25" t="s">
        <v>64</v>
      </c>
      <c r="H1961" s="25" t="s">
        <v>65</v>
      </c>
      <c r="I1961" s="3" t="s">
        <v>1314</v>
      </c>
      <c r="J1961" s="25" t="s">
        <v>22</v>
      </c>
      <c r="K1961" s="28">
        <v>2</v>
      </c>
      <c r="L1961" s="7">
        <v>42356</v>
      </c>
      <c r="M1961" s="28">
        <f>Table11[[#This Row],[Ship Date]]-Table11[[#This Row],[Order Date]]</f>
        <v>3</v>
      </c>
      <c r="N1961" s="25" t="s">
        <v>169</v>
      </c>
      <c r="O1961" s="25" t="s">
        <v>23</v>
      </c>
      <c r="P1961" s="25" t="s">
        <v>441</v>
      </c>
      <c r="Q1961" s="25" t="s">
        <v>133</v>
      </c>
      <c r="R1961" s="25" t="s">
        <v>536</v>
      </c>
      <c r="S1961" s="35">
        <v>0.4</v>
      </c>
      <c r="T1961" s="16">
        <v>101.988</v>
      </c>
      <c r="U1961" s="19">
        <v>-16.998000000000001</v>
      </c>
      <c r="V1961" s="56">
        <f>Table11[[#This Row],[Profit]]/Table11[[#This Row],[Sales]]</f>
        <v>-0.16666666666666669</v>
      </c>
    </row>
    <row r="1962" spans="1:22" x14ac:dyDescent="0.2">
      <c r="A1962" s="2">
        <v>1961</v>
      </c>
      <c r="B1962" s="5" t="s">
        <v>5678</v>
      </c>
      <c r="C1962" s="6">
        <v>42353</v>
      </c>
      <c r="D1962" s="27">
        <f>MONTH(Table11[[#This Row],[Order Date]])</f>
        <v>12</v>
      </c>
      <c r="E1962" s="5" t="s">
        <v>955</v>
      </c>
      <c r="F1962" s="5" t="s">
        <v>956</v>
      </c>
      <c r="G1962" s="24" t="s">
        <v>28</v>
      </c>
      <c r="H1962" s="24" t="s">
        <v>58</v>
      </c>
      <c r="I1962" s="5" t="s">
        <v>1314</v>
      </c>
      <c r="J1962" s="24" t="s">
        <v>22</v>
      </c>
      <c r="K1962" s="27">
        <v>7</v>
      </c>
      <c r="L1962" s="6">
        <v>42356</v>
      </c>
      <c r="M1962" s="27">
        <f>Table11[[#This Row],[Ship Date]]-Table11[[#This Row],[Order Date]]</f>
        <v>3</v>
      </c>
      <c r="N1962" s="24" t="s">
        <v>169</v>
      </c>
      <c r="O1962" s="24" t="s">
        <v>23</v>
      </c>
      <c r="P1962" s="24" t="s">
        <v>441</v>
      </c>
      <c r="Q1962" s="24" t="s">
        <v>133</v>
      </c>
      <c r="R1962" s="24" t="s">
        <v>536</v>
      </c>
      <c r="S1962" s="34">
        <v>0.2</v>
      </c>
      <c r="T1962" s="15">
        <v>262.86399999999998</v>
      </c>
      <c r="U1962" s="18">
        <v>69.001800000000003</v>
      </c>
      <c r="V1962" s="56">
        <f>Table11[[#This Row],[Profit]]/Table11[[#This Row],[Sales]]</f>
        <v>0.26250000000000001</v>
      </c>
    </row>
    <row r="1963" spans="1:22" x14ac:dyDescent="0.2">
      <c r="A1963" s="4">
        <v>1962</v>
      </c>
      <c r="B1963" s="3" t="s">
        <v>9637</v>
      </c>
      <c r="C1963" s="7">
        <v>42353</v>
      </c>
      <c r="D1963" s="28">
        <f>MONTH(Table11[[#This Row],[Order Date]])</f>
        <v>12</v>
      </c>
      <c r="E1963" s="3" t="s">
        <v>869</v>
      </c>
      <c r="F1963" s="3" t="s">
        <v>870</v>
      </c>
      <c r="G1963" s="25" t="s">
        <v>64</v>
      </c>
      <c r="H1963" s="25" t="s">
        <v>65</v>
      </c>
      <c r="I1963" s="3" t="s">
        <v>5159</v>
      </c>
      <c r="J1963" s="25" t="s">
        <v>36</v>
      </c>
      <c r="K1963" s="28">
        <v>3</v>
      </c>
      <c r="L1963" s="7">
        <v>42358</v>
      </c>
      <c r="M1963" s="28">
        <f>Table11[[#This Row],[Ship Date]]-Table11[[#This Row],[Order Date]]</f>
        <v>5</v>
      </c>
      <c r="N1963" s="25" t="s">
        <v>45</v>
      </c>
      <c r="O1963" s="25" t="s">
        <v>23</v>
      </c>
      <c r="P1963" s="25" t="s">
        <v>80</v>
      </c>
      <c r="Q1963" s="25" t="s">
        <v>26</v>
      </c>
      <c r="R1963" s="25" t="s">
        <v>2002</v>
      </c>
      <c r="S1963" s="35">
        <v>0.2</v>
      </c>
      <c r="T1963" s="16">
        <v>246.16800000000001</v>
      </c>
      <c r="U1963" s="19">
        <v>21.5397</v>
      </c>
      <c r="V1963" s="56">
        <f>Table11[[#This Row],[Profit]]/Table11[[#This Row],[Sales]]</f>
        <v>8.7499999999999994E-2</v>
      </c>
    </row>
    <row r="1964" spans="1:22" x14ac:dyDescent="0.2">
      <c r="A1964" s="4">
        <v>1963</v>
      </c>
      <c r="B1964" s="5" t="s">
        <v>8369</v>
      </c>
      <c r="C1964" s="6">
        <v>42354</v>
      </c>
      <c r="D1964" s="27">
        <f>MONTH(Table11[[#This Row],[Order Date]])</f>
        <v>12</v>
      </c>
      <c r="E1964" s="5" t="s">
        <v>6792</v>
      </c>
      <c r="F1964" s="5" t="s">
        <v>6793</v>
      </c>
      <c r="G1964" s="24" t="s">
        <v>41</v>
      </c>
      <c r="H1964" s="24" t="s">
        <v>82</v>
      </c>
      <c r="I1964" s="5" t="s">
        <v>526</v>
      </c>
      <c r="J1964" s="24" t="s">
        <v>22</v>
      </c>
      <c r="K1964" s="27">
        <v>1</v>
      </c>
      <c r="L1964" s="6">
        <v>42357</v>
      </c>
      <c r="M1964" s="27">
        <f>Table11[[#This Row],[Ship Date]]-Table11[[#This Row],[Order Date]]</f>
        <v>3</v>
      </c>
      <c r="N1964" s="24" t="s">
        <v>169</v>
      </c>
      <c r="O1964" s="24" t="s">
        <v>23</v>
      </c>
      <c r="P1964" s="24" t="s">
        <v>87</v>
      </c>
      <c r="Q1964" s="24" t="s">
        <v>39</v>
      </c>
      <c r="R1964" s="24" t="s">
        <v>86</v>
      </c>
      <c r="S1964" s="34">
        <v>0</v>
      </c>
      <c r="T1964" s="15">
        <v>4.9800000000000004</v>
      </c>
      <c r="U1964" s="18">
        <v>2.3405999999999998</v>
      </c>
      <c r="V1964" s="56">
        <f>Table11[[#This Row],[Profit]]/Table11[[#This Row],[Sales]]</f>
        <v>0.46999999999999992</v>
      </c>
    </row>
    <row r="1965" spans="1:22" x14ac:dyDescent="0.2">
      <c r="A1965" s="2">
        <v>1964</v>
      </c>
      <c r="B1965" s="3" t="s">
        <v>6958</v>
      </c>
      <c r="C1965" s="7">
        <v>42355</v>
      </c>
      <c r="D1965" s="28">
        <f>MONTH(Table11[[#This Row],[Order Date]])</f>
        <v>12</v>
      </c>
      <c r="E1965" s="3" t="s">
        <v>2683</v>
      </c>
      <c r="F1965" s="3" t="s">
        <v>2684</v>
      </c>
      <c r="G1965" s="25" t="s">
        <v>41</v>
      </c>
      <c r="H1965" s="25" t="s">
        <v>68</v>
      </c>
      <c r="I1965" s="3" t="s">
        <v>1864</v>
      </c>
      <c r="J1965" s="25" t="s">
        <v>22</v>
      </c>
      <c r="K1965" s="28">
        <v>4</v>
      </c>
      <c r="L1965" s="7">
        <v>42355</v>
      </c>
      <c r="M1965" s="28">
        <f>Table11[[#This Row],[Ship Date]]-Table11[[#This Row],[Order Date]]</f>
        <v>0</v>
      </c>
      <c r="N1965" s="25" t="s">
        <v>1141</v>
      </c>
      <c r="O1965" s="25" t="s">
        <v>23</v>
      </c>
      <c r="P1965" s="25" t="s">
        <v>212</v>
      </c>
      <c r="Q1965" s="25" t="s">
        <v>95</v>
      </c>
      <c r="R1965" s="25" t="s">
        <v>775</v>
      </c>
      <c r="S1965" s="35">
        <v>0</v>
      </c>
      <c r="T1965" s="16">
        <v>29.52</v>
      </c>
      <c r="U1965" s="19">
        <v>14.4648</v>
      </c>
      <c r="V1965" s="56">
        <f>Table11[[#This Row],[Profit]]/Table11[[#This Row],[Sales]]</f>
        <v>0.49</v>
      </c>
    </row>
    <row r="1966" spans="1:22" x14ac:dyDescent="0.2">
      <c r="A1966" s="4">
        <v>1965</v>
      </c>
      <c r="B1966" s="5" t="s">
        <v>6958</v>
      </c>
      <c r="C1966" s="6">
        <v>42355</v>
      </c>
      <c r="D1966" s="27">
        <f>MONTH(Table11[[#This Row],[Order Date]])</f>
        <v>12</v>
      </c>
      <c r="E1966" s="5" t="s">
        <v>3199</v>
      </c>
      <c r="F1966" s="5" t="s">
        <v>3200</v>
      </c>
      <c r="G1966" s="24" t="s">
        <v>28</v>
      </c>
      <c r="H1966" s="24" t="s">
        <v>32</v>
      </c>
      <c r="I1966" s="5" t="s">
        <v>1864</v>
      </c>
      <c r="J1966" s="24" t="s">
        <v>22</v>
      </c>
      <c r="K1966" s="27">
        <v>3</v>
      </c>
      <c r="L1966" s="6">
        <v>42355</v>
      </c>
      <c r="M1966" s="27">
        <f>Table11[[#This Row],[Ship Date]]-Table11[[#This Row],[Order Date]]</f>
        <v>0</v>
      </c>
      <c r="N1966" s="24" t="s">
        <v>1141</v>
      </c>
      <c r="O1966" s="24" t="s">
        <v>23</v>
      </c>
      <c r="P1966" s="24" t="s">
        <v>212</v>
      </c>
      <c r="Q1966" s="24" t="s">
        <v>95</v>
      </c>
      <c r="R1966" s="24" t="s">
        <v>775</v>
      </c>
      <c r="S1966" s="34">
        <v>0</v>
      </c>
      <c r="T1966" s="15">
        <v>302.94</v>
      </c>
      <c r="U1966" s="18">
        <v>48.470399999999998</v>
      </c>
      <c r="V1966" s="56">
        <f>Table11[[#This Row],[Profit]]/Table11[[#This Row],[Sales]]</f>
        <v>0.16</v>
      </c>
    </row>
    <row r="1967" spans="1:22" x14ac:dyDescent="0.2">
      <c r="A1967" s="4">
        <v>1966</v>
      </c>
      <c r="B1967" s="3" t="s">
        <v>6958</v>
      </c>
      <c r="C1967" s="7">
        <v>42355</v>
      </c>
      <c r="D1967" s="28">
        <f>MONTH(Table11[[#This Row],[Order Date]])</f>
        <v>12</v>
      </c>
      <c r="E1967" s="3" t="s">
        <v>5476</v>
      </c>
      <c r="F1967" s="3" t="s">
        <v>5477</v>
      </c>
      <c r="G1967" s="25" t="s">
        <v>28</v>
      </c>
      <c r="H1967" s="25" t="s">
        <v>32</v>
      </c>
      <c r="I1967" s="3" t="s">
        <v>1864</v>
      </c>
      <c r="J1967" s="25" t="s">
        <v>22</v>
      </c>
      <c r="K1967" s="28">
        <v>2</v>
      </c>
      <c r="L1967" s="7">
        <v>42355</v>
      </c>
      <c r="M1967" s="28">
        <f>Table11[[#This Row],[Ship Date]]-Table11[[#This Row],[Order Date]]</f>
        <v>0</v>
      </c>
      <c r="N1967" s="25" t="s">
        <v>1141</v>
      </c>
      <c r="O1967" s="25" t="s">
        <v>23</v>
      </c>
      <c r="P1967" s="25" t="s">
        <v>212</v>
      </c>
      <c r="Q1967" s="25" t="s">
        <v>95</v>
      </c>
      <c r="R1967" s="25" t="s">
        <v>775</v>
      </c>
      <c r="S1967" s="35">
        <v>0</v>
      </c>
      <c r="T1967" s="16">
        <v>142.36000000000001</v>
      </c>
      <c r="U1967" s="19">
        <v>38.437199999999997</v>
      </c>
      <c r="V1967" s="56">
        <f>Table11[[#This Row],[Profit]]/Table11[[#This Row],[Sales]]</f>
        <v>0.26999999999999996</v>
      </c>
    </row>
    <row r="1968" spans="1:22" x14ac:dyDescent="0.2">
      <c r="A1968" s="2">
        <v>1967</v>
      </c>
      <c r="B1968" s="5" t="s">
        <v>6958</v>
      </c>
      <c r="C1968" s="6">
        <v>42355</v>
      </c>
      <c r="D1968" s="27">
        <f>MONTH(Table11[[#This Row],[Order Date]])</f>
        <v>12</v>
      </c>
      <c r="E1968" s="5" t="s">
        <v>620</v>
      </c>
      <c r="F1968" s="5" t="s">
        <v>621</v>
      </c>
      <c r="G1968" s="24" t="s">
        <v>28</v>
      </c>
      <c r="H1968" s="24" t="s">
        <v>32</v>
      </c>
      <c r="I1968" s="5" t="s">
        <v>1864</v>
      </c>
      <c r="J1968" s="24" t="s">
        <v>22</v>
      </c>
      <c r="K1968" s="27">
        <v>9</v>
      </c>
      <c r="L1968" s="6">
        <v>42355</v>
      </c>
      <c r="M1968" s="27">
        <f>Table11[[#This Row],[Ship Date]]-Table11[[#This Row],[Order Date]]</f>
        <v>0</v>
      </c>
      <c r="N1968" s="24" t="s">
        <v>1141</v>
      </c>
      <c r="O1968" s="24" t="s">
        <v>23</v>
      </c>
      <c r="P1968" s="24" t="s">
        <v>212</v>
      </c>
      <c r="Q1968" s="24" t="s">
        <v>95</v>
      </c>
      <c r="R1968" s="24" t="s">
        <v>775</v>
      </c>
      <c r="S1968" s="34">
        <v>0</v>
      </c>
      <c r="T1968" s="15">
        <v>546.66</v>
      </c>
      <c r="U1968" s="18">
        <v>136.66499999999999</v>
      </c>
      <c r="V1968" s="56">
        <f>Table11[[#This Row],[Profit]]/Table11[[#This Row],[Sales]]</f>
        <v>0.25</v>
      </c>
    </row>
    <row r="1969" spans="1:22" x14ac:dyDescent="0.2">
      <c r="A1969" s="4">
        <v>1968</v>
      </c>
      <c r="B1969" s="3" t="s">
        <v>6958</v>
      </c>
      <c r="C1969" s="7">
        <v>42355</v>
      </c>
      <c r="D1969" s="28">
        <f>MONTH(Table11[[#This Row],[Order Date]])</f>
        <v>12</v>
      </c>
      <c r="E1969" s="3" t="s">
        <v>5452</v>
      </c>
      <c r="F1969" s="3" t="s">
        <v>5453</v>
      </c>
      <c r="G1969" s="25" t="s">
        <v>28</v>
      </c>
      <c r="H1969" s="25" t="s">
        <v>58</v>
      </c>
      <c r="I1969" s="3" t="s">
        <v>1864</v>
      </c>
      <c r="J1969" s="25" t="s">
        <v>22</v>
      </c>
      <c r="K1969" s="28">
        <v>3</v>
      </c>
      <c r="L1969" s="7">
        <v>42355</v>
      </c>
      <c r="M1969" s="28">
        <f>Table11[[#This Row],[Ship Date]]-Table11[[#This Row],[Order Date]]</f>
        <v>0</v>
      </c>
      <c r="N1969" s="25" t="s">
        <v>1141</v>
      </c>
      <c r="O1969" s="25" t="s">
        <v>23</v>
      </c>
      <c r="P1969" s="25" t="s">
        <v>212</v>
      </c>
      <c r="Q1969" s="25" t="s">
        <v>95</v>
      </c>
      <c r="R1969" s="25" t="s">
        <v>775</v>
      </c>
      <c r="S1969" s="35">
        <v>0</v>
      </c>
      <c r="T1969" s="16">
        <v>212.13</v>
      </c>
      <c r="U1969" s="19">
        <v>14.8491</v>
      </c>
      <c r="V1969" s="56">
        <f>Table11[[#This Row],[Profit]]/Table11[[#This Row],[Sales]]</f>
        <v>7.0000000000000007E-2</v>
      </c>
    </row>
    <row r="1970" spans="1:22" x14ac:dyDescent="0.2">
      <c r="A1970" s="4">
        <v>1969</v>
      </c>
      <c r="B1970" s="5" t="s">
        <v>8257</v>
      </c>
      <c r="C1970" s="6">
        <v>42355</v>
      </c>
      <c r="D1970" s="27">
        <f>MONTH(Table11[[#This Row],[Order Date]])</f>
        <v>12</v>
      </c>
      <c r="E1970" s="5" t="s">
        <v>3101</v>
      </c>
      <c r="F1970" s="5" t="s">
        <v>3102</v>
      </c>
      <c r="G1970" s="24" t="s">
        <v>41</v>
      </c>
      <c r="H1970" s="24" t="s">
        <v>53</v>
      </c>
      <c r="I1970" s="5" t="s">
        <v>3678</v>
      </c>
      <c r="J1970" s="24" t="s">
        <v>22</v>
      </c>
      <c r="K1970" s="27">
        <v>1</v>
      </c>
      <c r="L1970" s="6">
        <v>42360</v>
      </c>
      <c r="M1970" s="27">
        <f>Table11[[#This Row],[Ship Date]]-Table11[[#This Row],[Order Date]]</f>
        <v>5</v>
      </c>
      <c r="N1970" s="24" t="s">
        <v>45</v>
      </c>
      <c r="O1970" s="24" t="s">
        <v>23</v>
      </c>
      <c r="P1970" s="24" t="s">
        <v>189</v>
      </c>
      <c r="Q1970" s="24" t="s">
        <v>95</v>
      </c>
      <c r="R1970" s="24" t="s">
        <v>476</v>
      </c>
      <c r="S1970" s="34">
        <v>0.2</v>
      </c>
      <c r="T1970" s="15">
        <v>180.01599999999999</v>
      </c>
      <c r="U1970" s="18">
        <v>-15.7514</v>
      </c>
      <c r="V1970" s="56">
        <f>Table11[[#This Row],[Profit]]/Table11[[#This Row],[Sales]]</f>
        <v>-8.7500000000000008E-2</v>
      </c>
    </row>
    <row r="1971" spans="1:22" x14ac:dyDescent="0.2">
      <c r="A1971" s="2">
        <v>1970</v>
      </c>
      <c r="B1971" s="3" t="s">
        <v>8257</v>
      </c>
      <c r="C1971" s="7">
        <v>42355</v>
      </c>
      <c r="D1971" s="28">
        <f>MONTH(Table11[[#This Row],[Order Date]])</f>
        <v>12</v>
      </c>
      <c r="E1971" s="3" t="s">
        <v>2358</v>
      </c>
      <c r="F1971" s="3" t="s">
        <v>2359</v>
      </c>
      <c r="G1971" s="25" t="s">
        <v>28</v>
      </c>
      <c r="H1971" s="25" t="s">
        <v>58</v>
      </c>
      <c r="I1971" s="3" t="s">
        <v>3678</v>
      </c>
      <c r="J1971" s="25" t="s">
        <v>22</v>
      </c>
      <c r="K1971" s="28">
        <v>2</v>
      </c>
      <c r="L1971" s="7">
        <v>42360</v>
      </c>
      <c r="M1971" s="28">
        <f>Table11[[#This Row],[Ship Date]]-Table11[[#This Row],[Order Date]]</f>
        <v>5</v>
      </c>
      <c r="N1971" s="25" t="s">
        <v>45</v>
      </c>
      <c r="O1971" s="25" t="s">
        <v>23</v>
      </c>
      <c r="P1971" s="25" t="s">
        <v>189</v>
      </c>
      <c r="Q1971" s="25" t="s">
        <v>95</v>
      </c>
      <c r="R1971" s="25" t="s">
        <v>476</v>
      </c>
      <c r="S1971" s="35">
        <v>0.6</v>
      </c>
      <c r="T1971" s="16">
        <v>41.552</v>
      </c>
      <c r="U1971" s="19">
        <v>-19.737200000000001</v>
      </c>
      <c r="V1971" s="56">
        <f>Table11[[#This Row],[Profit]]/Table11[[#This Row],[Sales]]</f>
        <v>-0.47500000000000003</v>
      </c>
    </row>
    <row r="1972" spans="1:22" x14ac:dyDescent="0.2">
      <c r="A1972" s="4">
        <v>1971</v>
      </c>
      <c r="B1972" s="5" t="s">
        <v>8257</v>
      </c>
      <c r="C1972" s="6">
        <v>42355</v>
      </c>
      <c r="D1972" s="27">
        <f>MONTH(Table11[[#This Row],[Order Date]])</f>
        <v>12</v>
      </c>
      <c r="E1972" s="5" t="s">
        <v>3279</v>
      </c>
      <c r="F1972" s="5" t="s">
        <v>3280</v>
      </c>
      <c r="G1972" s="24" t="s">
        <v>41</v>
      </c>
      <c r="H1972" s="24" t="s">
        <v>61</v>
      </c>
      <c r="I1972" s="5" t="s">
        <v>3678</v>
      </c>
      <c r="J1972" s="24" t="s">
        <v>22</v>
      </c>
      <c r="K1972" s="27">
        <v>5</v>
      </c>
      <c r="L1972" s="6">
        <v>42360</v>
      </c>
      <c r="M1972" s="27">
        <f>Table11[[#This Row],[Ship Date]]-Table11[[#This Row],[Order Date]]</f>
        <v>5</v>
      </c>
      <c r="N1972" s="24" t="s">
        <v>45</v>
      </c>
      <c r="O1972" s="24" t="s">
        <v>23</v>
      </c>
      <c r="P1972" s="24" t="s">
        <v>189</v>
      </c>
      <c r="Q1972" s="24" t="s">
        <v>95</v>
      </c>
      <c r="R1972" s="24" t="s">
        <v>476</v>
      </c>
      <c r="S1972" s="34">
        <v>0.2</v>
      </c>
      <c r="T1972" s="15">
        <v>13.12</v>
      </c>
      <c r="U1972" s="18">
        <v>1.476</v>
      </c>
      <c r="V1972" s="56">
        <f>Table11[[#This Row],[Profit]]/Table11[[#This Row],[Sales]]</f>
        <v>0.1125</v>
      </c>
    </row>
    <row r="1973" spans="1:22" x14ac:dyDescent="0.2">
      <c r="A1973" s="4">
        <v>1972</v>
      </c>
      <c r="B1973" s="3" t="s">
        <v>9541</v>
      </c>
      <c r="C1973" s="7">
        <v>42355</v>
      </c>
      <c r="D1973" s="28">
        <f>MONTH(Table11[[#This Row],[Order Date]])</f>
        <v>12</v>
      </c>
      <c r="E1973" s="3" t="s">
        <v>3065</v>
      </c>
      <c r="F1973" s="3" t="s">
        <v>3066</v>
      </c>
      <c r="G1973" s="25" t="s">
        <v>41</v>
      </c>
      <c r="H1973" s="25" t="s">
        <v>61</v>
      </c>
      <c r="I1973" s="3" t="s">
        <v>346</v>
      </c>
      <c r="J1973" s="25" t="s">
        <v>22</v>
      </c>
      <c r="K1973" s="28">
        <v>5</v>
      </c>
      <c r="L1973" s="7">
        <v>42357</v>
      </c>
      <c r="M1973" s="28">
        <f>Table11[[#This Row],[Ship Date]]-Table11[[#This Row],[Order Date]]</f>
        <v>2</v>
      </c>
      <c r="N1973" s="25" t="s">
        <v>20</v>
      </c>
      <c r="O1973" s="25" t="s">
        <v>23</v>
      </c>
      <c r="P1973" s="25" t="s">
        <v>38</v>
      </c>
      <c r="Q1973" s="25" t="s">
        <v>39</v>
      </c>
      <c r="R1973" s="25" t="s">
        <v>37</v>
      </c>
      <c r="S1973" s="35">
        <v>0</v>
      </c>
      <c r="T1973" s="16">
        <v>204.85</v>
      </c>
      <c r="U1973" s="19">
        <v>53.261000000000003</v>
      </c>
      <c r="V1973" s="56">
        <f>Table11[[#This Row],[Profit]]/Table11[[#This Row],[Sales]]</f>
        <v>0.26</v>
      </c>
    </row>
    <row r="1974" spans="1:22" x14ac:dyDescent="0.2">
      <c r="A1974" s="2">
        <v>1973</v>
      </c>
      <c r="B1974" s="5" t="s">
        <v>9541</v>
      </c>
      <c r="C1974" s="6">
        <v>42355</v>
      </c>
      <c r="D1974" s="27">
        <f>MONTH(Table11[[#This Row],[Order Date]])</f>
        <v>12</v>
      </c>
      <c r="E1974" s="5" t="s">
        <v>5665</v>
      </c>
      <c r="F1974" s="5" t="s">
        <v>5666</v>
      </c>
      <c r="G1974" s="24" t="s">
        <v>64</v>
      </c>
      <c r="H1974" s="24" t="s">
        <v>65</v>
      </c>
      <c r="I1974" s="5" t="s">
        <v>346</v>
      </c>
      <c r="J1974" s="24" t="s">
        <v>22</v>
      </c>
      <c r="K1974" s="27">
        <v>2</v>
      </c>
      <c r="L1974" s="6">
        <v>42357</v>
      </c>
      <c r="M1974" s="27">
        <f>Table11[[#This Row],[Ship Date]]-Table11[[#This Row],[Order Date]]</f>
        <v>2</v>
      </c>
      <c r="N1974" s="24" t="s">
        <v>20</v>
      </c>
      <c r="O1974" s="24" t="s">
        <v>23</v>
      </c>
      <c r="P1974" s="24" t="s">
        <v>38</v>
      </c>
      <c r="Q1974" s="24" t="s">
        <v>39</v>
      </c>
      <c r="R1974" s="24" t="s">
        <v>37</v>
      </c>
      <c r="S1974" s="34">
        <v>0.2</v>
      </c>
      <c r="T1974" s="15">
        <v>135.98400000000001</v>
      </c>
      <c r="U1974" s="18">
        <v>16.998000000000001</v>
      </c>
      <c r="V1974" s="56">
        <f>Table11[[#This Row],[Profit]]/Table11[[#This Row],[Sales]]</f>
        <v>0.125</v>
      </c>
    </row>
    <row r="1975" spans="1:22" x14ac:dyDescent="0.2">
      <c r="A1975" s="4">
        <v>1974</v>
      </c>
      <c r="B1975" s="3" t="s">
        <v>9541</v>
      </c>
      <c r="C1975" s="7">
        <v>42355</v>
      </c>
      <c r="D1975" s="28">
        <f>MONTH(Table11[[#This Row],[Order Date]])</f>
        <v>12</v>
      </c>
      <c r="E1975" s="3" t="s">
        <v>639</v>
      </c>
      <c r="F1975" s="3" t="s">
        <v>640</v>
      </c>
      <c r="G1975" s="25" t="s">
        <v>41</v>
      </c>
      <c r="H1975" s="25" t="s">
        <v>61</v>
      </c>
      <c r="I1975" s="3" t="s">
        <v>346</v>
      </c>
      <c r="J1975" s="25" t="s">
        <v>22</v>
      </c>
      <c r="K1975" s="28">
        <v>5</v>
      </c>
      <c r="L1975" s="7">
        <v>42357</v>
      </c>
      <c r="M1975" s="28">
        <f>Table11[[#This Row],[Ship Date]]-Table11[[#This Row],[Order Date]]</f>
        <v>2</v>
      </c>
      <c r="N1975" s="25" t="s">
        <v>20</v>
      </c>
      <c r="O1975" s="25" t="s">
        <v>23</v>
      </c>
      <c r="P1975" s="25" t="s">
        <v>38</v>
      </c>
      <c r="Q1975" s="25" t="s">
        <v>39</v>
      </c>
      <c r="R1975" s="25" t="s">
        <v>37</v>
      </c>
      <c r="S1975" s="35">
        <v>0</v>
      </c>
      <c r="T1975" s="16">
        <v>16.399999999999999</v>
      </c>
      <c r="U1975" s="19">
        <v>7.0519999999999996</v>
      </c>
      <c r="V1975" s="56">
        <f>Table11[[#This Row],[Profit]]/Table11[[#This Row],[Sales]]</f>
        <v>0.43</v>
      </c>
    </row>
    <row r="1976" spans="1:22" x14ac:dyDescent="0.2">
      <c r="A1976" s="4">
        <v>1975</v>
      </c>
      <c r="B1976" s="5" t="s">
        <v>9541</v>
      </c>
      <c r="C1976" s="6">
        <v>42355</v>
      </c>
      <c r="D1976" s="27">
        <f>MONTH(Table11[[#This Row],[Order Date]])</f>
        <v>12</v>
      </c>
      <c r="E1976" s="5" t="s">
        <v>3152</v>
      </c>
      <c r="F1976" s="5" t="s">
        <v>3153</v>
      </c>
      <c r="G1976" s="24" t="s">
        <v>41</v>
      </c>
      <c r="H1976" s="24" t="s">
        <v>68</v>
      </c>
      <c r="I1976" s="5" t="s">
        <v>346</v>
      </c>
      <c r="J1976" s="24" t="s">
        <v>22</v>
      </c>
      <c r="K1976" s="27">
        <v>2</v>
      </c>
      <c r="L1976" s="6">
        <v>42357</v>
      </c>
      <c r="M1976" s="27">
        <f>Table11[[#This Row],[Ship Date]]-Table11[[#This Row],[Order Date]]</f>
        <v>2</v>
      </c>
      <c r="N1976" s="24" t="s">
        <v>20</v>
      </c>
      <c r="O1976" s="24" t="s">
        <v>23</v>
      </c>
      <c r="P1976" s="24" t="s">
        <v>38</v>
      </c>
      <c r="Q1976" s="24" t="s">
        <v>39</v>
      </c>
      <c r="R1976" s="24" t="s">
        <v>37</v>
      </c>
      <c r="S1976" s="34">
        <v>0.2</v>
      </c>
      <c r="T1976" s="15">
        <v>92.96</v>
      </c>
      <c r="U1976" s="18">
        <v>31.373999999999999</v>
      </c>
      <c r="V1976" s="56">
        <f>Table11[[#This Row],[Profit]]/Table11[[#This Row],[Sales]]</f>
        <v>0.33750000000000002</v>
      </c>
    </row>
    <row r="1977" spans="1:22" x14ac:dyDescent="0.2">
      <c r="A1977" s="2">
        <v>1976</v>
      </c>
      <c r="B1977" s="3" t="s">
        <v>1637</v>
      </c>
      <c r="C1977" s="7">
        <v>42356</v>
      </c>
      <c r="D1977" s="28">
        <f>MONTH(Table11[[#This Row],[Order Date]])</f>
        <v>12</v>
      </c>
      <c r="E1977" s="3" t="s">
        <v>1495</v>
      </c>
      <c r="F1977" s="3" t="s">
        <v>1496</v>
      </c>
      <c r="G1977" s="25" t="s">
        <v>41</v>
      </c>
      <c r="H1977" s="25" t="s">
        <v>53</v>
      </c>
      <c r="I1977" s="3" t="s">
        <v>1638</v>
      </c>
      <c r="J1977" s="25" t="s">
        <v>22</v>
      </c>
      <c r="K1977" s="28">
        <v>9</v>
      </c>
      <c r="L1977" s="7">
        <v>42361</v>
      </c>
      <c r="M1977" s="28">
        <f>Table11[[#This Row],[Ship Date]]-Table11[[#This Row],[Order Date]]</f>
        <v>5</v>
      </c>
      <c r="N1977" s="25" t="s">
        <v>45</v>
      </c>
      <c r="O1977" s="25" t="s">
        <v>23</v>
      </c>
      <c r="P1977" s="25" t="s">
        <v>441</v>
      </c>
      <c r="Q1977" s="25" t="s">
        <v>133</v>
      </c>
      <c r="R1977" s="25" t="s">
        <v>284</v>
      </c>
      <c r="S1977" s="35">
        <v>0.2</v>
      </c>
      <c r="T1977" s="16">
        <v>646.77599999999995</v>
      </c>
      <c r="U1977" s="19">
        <v>-145.52459999999999</v>
      </c>
      <c r="V1977" s="56">
        <f>Table11[[#This Row],[Profit]]/Table11[[#This Row],[Sales]]</f>
        <v>-0.22500000000000001</v>
      </c>
    </row>
    <row r="1978" spans="1:22" x14ac:dyDescent="0.2">
      <c r="A1978" s="4">
        <v>1977</v>
      </c>
      <c r="B1978" s="5" t="s">
        <v>4653</v>
      </c>
      <c r="C1978" s="6">
        <v>42356</v>
      </c>
      <c r="D1978" s="27">
        <f>MONTH(Table11[[#This Row],[Order Date]])</f>
        <v>12</v>
      </c>
      <c r="E1978" s="5" t="s">
        <v>1977</v>
      </c>
      <c r="F1978" s="5" t="s">
        <v>1978</v>
      </c>
      <c r="G1978" s="24" t="s">
        <v>64</v>
      </c>
      <c r="H1978" s="24" t="s">
        <v>144</v>
      </c>
      <c r="I1978" s="5" t="s">
        <v>4654</v>
      </c>
      <c r="J1978" s="24" t="s">
        <v>22</v>
      </c>
      <c r="K1978" s="27">
        <v>1</v>
      </c>
      <c r="L1978" s="6">
        <v>42356</v>
      </c>
      <c r="M1978" s="27">
        <f>Table11[[#This Row],[Ship Date]]-Table11[[#This Row],[Order Date]]</f>
        <v>0</v>
      </c>
      <c r="N1978" s="24" t="s">
        <v>1141</v>
      </c>
      <c r="O1978" s="24" t="s">
        <v>23</v>
      </c>
      <c r="P1978" s="24" t="s">
        <v>238</v>
      </c>
      <c r="Q1978" s="24" t="s">
        <v>133</v>
      </c>
      <c r="R1978" s="24" t="s">
        <v>237</v>
      </c>
      <c r="S1978" s="34">
        <v>0</v>
      </c>
      <c r="T1978" s="15">
        <v>166.24</v>
      </c>
      <c r="U1978" s="18">
        <v>24.936</v>
      </c>
      <c r="V1978" s="56">
        <f>Table11[[#This Row],[Profit]]/Table11[[#This Row],[Sales]]</f>
        <v>0.15</v>
      </c>
    </row>
    <row r="1979" spans="1:22" x14ac:dyDescent="0.2">
      <c r="A1979" s="4">
        <v>1978</v>
      </c>
      <c r="B1979" s="3" t="s">
        <v>6421</v>
      </c>
      <c r="C1979" s="7">
        <v>42356</v>
      </c>
      <c r="D1979" s="28">
        <f>MONTH(Table11[[#This Row],[Order Date]])</f>
        <v>12</v>
      </c>
      <c r="E1979" s="3" t="s">
        <v>3485</v>
      </c>
      <c r="F1979" s="3" t="s">
        <v>3486</v>
      </c>
      <c r="G1979" s="25" t="s">
        <v>41</v>
      </c>
      <c r="H1979" s="25" t="s">
        <v>61</v>
      </c>
      <c r="I1979" s="3" t="s">
        <v>1142</v>
      </c>
      <c r="J1979" s="25" t="s">
        <v>36</v>
      </c>
      <c r="K1979" s="28">
        <v>2</v>
      </c>
      <c r="L1979" s="7">
        <v>42360</v>
      </c>
      <c r="M1979" s="28">
        <f>Table11[[#This Row],[Ship Date]]-Table11[[#This Row],[Order Date]]</f>
        <v>4</v>
      </c>
      <c r="N1979" s="25" t="s">
        <v>45</v>
      </c>
      <c r="O1979" s="25" t="s">
        <v>23</v>
      </c>
      <c r="P1979" s="25" t="s">
        <v>405</v>
      </c>
      <c r="Q1979" s="25" t="s">
        <v>39</v>
      </c>
      <c r="R1979" s="25" t="s">
        <v>1303</v>
      </c>
      <c r="S1979" s="35">
        <v>0.2</v>
      </c>
      <c r="T1979" s="16">
        <v>6.8479999999999999</v>
      </c>
      <c r="U1979" s="19">
        <v>0.59919999999999995</v>
      </c>
      <c r="V1979" s="56">
        <f>Table11[[#This Row],[Profit]]/Table11[[#This Row],[Sales]]</f>
        <v>8.7499999999999994E-2</v>
      </c>
    </row>
    <row r="1980" spans="1:22" x14ac:dyDescent="0.2">
      <c r="A1980" s="2">
        <v>1979</v>
      </c>
      <c r="B1980" s="5" t="s">
        <v>7165</v>
      </c>
      <c r="C1980" s="6">
        <v>42356</v>
      </c>
      <c r="D1980" s="27">
        <f>MONTH(Table11[[#This Row],[Order Date]])</f>
        <v>12</v>
      </c>
      <c r="E1980" s="5" t="s">
        <v>2602</v>
      </c>
      <c r="F1980" s="5" t="s">
        <v>2603</v>
      </c>
      <c r="G1980" s="24" t="s">
        <v>41</v>
      </c>
      <c r="H1980" s="24" t="s">
        <v>155</v>
      </c>
      <c r="I1980" s="5" t="s">
        <v>3833</v>
      </c>
      <c r="J1980" s="24" t="s">
        <v>36</v>
      </c>
      <c r="K1980" s="27">
        <v>8</v>
      </c>
      <c r="L1980" s="6">
        <v>42363</v>
      </c>
      <c r="M1980" s="27">
        <f>Table11[[#This Row],[Ship Date]]-Table11[[#This Row],[Order Date]]</f>
        <v>7</v>
      </c>
      <c r="N1980" s="24" t="s">
        <v>45</v>
      </c>
      <c r="O1980" s="24" t="s">
        <v>23</v>
      </c>
      <c r="P1980" s="24" t="s">
        <v>299</v>
      </c>
      <c r="Q1980" s="24" t="s">
        <v>26</v>
      </c>
      <c r="R1980" s="24" t="s">
        <v>298</v>
      </c>
      <c r="S1980" s="34">
        <v>0.2</v>
      </c>
      <c r="T1980" s="15">
        <v>55.936</v>
      </c>
      <c r="U1980" s="18">
        <v>18.878399999999999</v>
      </c>
      <c r="V1980" s="56">
        <f>Table11[[#This Row],[Profit]]/Table11[[#This Row],[Sales]]</f>
        <v>0.33749999999999997</v>
      </c>
    </row>
    <row r="1981" spans="1:22" x14ac:dyDescent="0.2">
      <c r="A1981" s="4">
        <v>1980</v>
      </c>
      <c r="B1981" s="3" t="s">
        <v>7165</v>
      </c>
      <c r="C1981" s="7">
        <v>42356</v>
      </c>
      <c r="D1981" s="28">
        <f>MONTH(Table11[[#This Row],[Order Date]])</f>
        <v>12</v>
      </c>
      <c r="E1981" s="3" t="s">
        <v>4418</v>
      </c>
      <c r="F1981" s="3" t="s">
        <v>4419</v>
      </c>
      <c r="G1981" s="25" t="s">
        <v>41</v>
      </c>
      <c r="H1981" s="25" t="s">
        <v>42</v>
      </c>
      <c r="I1981" s="3" t="s">
        <v>3833</v>
      </c>
      <c r="J1981" s="25" t="s">
        <v>36</v>
      </c>
      <c r="K1981" s="28">
        <v>8</v>
      </c>
      <c r="L1981" s="7">
        <v>42363</v>
      </c>
      <c r="M1981" s="28">
        <f>Table11[[#This Row],[Ship Date]]-Table11[[#This Row],[Order Date]]</f>
        <v>7</v>
      </c>
      <c r="N1981" s="25" t="s">
        <v>45</v>
      </c>
      <c r="O1981" s="25" t="s">
        <v>23</v>
      </c>
      <c r="P1981" s="25" t="s">
        <v>299</v>
      </c>
      <c r="Q1981" s="25" t="s">
        <v>26</v>
      </c>
      <c r="R1981" s="25" t="s">
        <v>298</v>
      </c>
      <c r="S1981" s="35">
        <v>0.2</v>
      </c>
      <c r="T1981" s="16">
        <v>18.431999999999999</v>
      </c>
      <c r="U1981" s="19">
        <v>5.9904000000000002</v>
      </c>
      <c r="V1981" s="56">
        <f>Table11[[#This Row],[Profit]]/Table11[[#This Row],[Sales]]</f>
        <v>0.32500000000000001</v>
      </c>
    </row>
    <row r="1982" spans="1:22" x14ac:dyDescent="0.2">
      <c r="A1982" s="4">
        <v>1981</v>
      </c>
      <c r="B1982" s="5" t="s">
        <v>7165</v>
      </c>
      <c r="C1982" s="6">
        <v>42356</v>
      </c>
      <c r="D1982" s="27">
        <f>MONTH(Table11[[#This Row],[Order Date]])</f>
        <v>12</v>
      </c>
      <c r="E1982" s="5" t="s">
        <v>1824</v>
      </c>
      <c r="F1982" s="5" t="s">
        <v>1825</v>
      </c>
      <c r="G1982" s="24" t="s">
        <v>28</v>
      </c>
      <c r="H1982" s="24" t="s">
        <v>58</v>
      </c>
      <c r="I1982" s="5" t="s">
        <v>3833</v>
      </c>
      <c r="J1982" s="24" t="s">
        <v>36</v>
      </c>
      <c r="K1982" s="27">
        <v>5</v>
      </c>
      <c r="L1982" s="6">
        <v>42363</v>
      </c>
      <c r="M1982" s="27">
        <f>Table11[[#This Row],[Ship Date]]-Table11[[#This Row],[Order Date]]</f>
        <v>7</v>
      </c>
      <c r="N1982" s="24" t="s">
        <v>45</v>
      </c>
      <c r="O1982" s="24" t="s">
        <v>23</v>
      </c>
      <c r="P1982" s="24" t="s">
        <v>299</v>
      </c>
      <c r="Q1982" s="24" t="s">
        <v>26</v>
      </c>
      <c r="R1982" s="24" t="s">
        <v>298</v>
      </c>
      <c r="S1982" s="34">
        <v>0.2</v>
      </c>
      <c r="T1982" s="15">
        <v>20.32</v>
      </c>
      <c r="U1982" s="18">
        <v>3.556</v>
      </c>
      <c r="V1982" s="56">
        <f>Table11[[#This Row],[Profit]]/Table11[[#This Row],[Sales]]</f>
        <v>0.17499999999999999</v>
      </c>
    </row>
    <row r="1983" spans="1:22" x14ac:dyDescent="0.2">
      <c r="A1983" s="2">
        <v>1982</v>
      </c>
      <c r="B1983" s="3" t="s">
        <v>7228</v>
      </c>
      <c r="C1983" s="7">
        <v>42356</v>
      </c>
      <c r="D1983" s="28">
        <f>MONTH(Table11[[#This Row],[Order Date]])</f>
        <v>12</v>
      </c>
      <c r="E1983" s="3" t="s">
        <v>1679</v>
      </c>
      <c r="F1983" s="3" t="s">
        <v>1680</v>
      </c>
      <c r="G1983" s="25" t="s">
        <v>41</v>
      </c>
      <c r="H1983" s="25" t="s">
        <v>82</v>
      </c>
      <c r="I1983" s="3" t="s">
        <v>638</v>
      </c>
      <c r="J1983" s="25" t="s">
        <v>92</v>
      </c>
      <c r="K1983" s="28">
        <v>4</v>
      </c>
      <c r="L1983" s="7">
        <v>42356</v>
      </c>
      <c r="M1983" s="28">
        <f>Table11[[#This Row],[Ship Date]]-Table11[[#This Row],[Order Date]]</f>
        <v>0</v>
      </c>
      <c r="N1983" s="25" t="s">
        <v>1141</v>
      </c>
      <c r="O1983" s="25" t="s">
        <v>23</v>
      </c>
      <c r="P1983" s="25" t="s">
        <v>441</v>
      </c>
      <c r="Q1983" s="25" t="s">
        <v>133</v>
      </c>
      <c r="R1983" s="25" t="s">
        <v>1920</v>
      </c>
      <c r="S1983" s="35">
        <v>0.2</v>
      </c>
      <c r="T1983" s="16">
        <v>20.736000000000001</v>
      </c>
      <c r="U1983" s="19">
        <v>7.2576000000000001</v>
      </c>
      <c r="V1983" s="56">
        <f>Table11[[#This Row],[Profit]]/Table11[[#This Row],[Sales]]</f>
        <v>0.35</v>
      </c>
    </row>
    <row r="1984" spans="1:22" x14ac:dyDescent="0.2">
      <c r="A1984" s="4">
        <v>1983</v>
      </c>
      <c r="B1984" s="5" t="s">
        <v>3760</v>
      </c>
      <c r="C1984" s="6">
        <v>42357</v>
      </c>
      <c r="D1984" s="27">
        <f>MONTH(Table11[[#This Row],[Order Date]])</f>
        <v>12</v>
      </c>
      <c r="E1984" s="5" t="s">
        <v>3391</v>
      </c>
      <c r="F1984" s="5" t="s">
        <v>3392</v>
      </c>
      <c r="G1984" s="24" t="s">
        <v>64</v>
      </c>
      <c r="H1984" s="24" t="s">
        <v>65</v>
      </c>
      <c r="I1984" s="5" t="s">
        <v>3761</v>
      </c>
      <c r="J1984" s="24" t="s">
        <v>22</v>
      </c>
      <c r="K1984" s="27">
        <v>5</v>
      </c>
      <c r="L1984" s="6">
        <v>42362</v>
      </c>
      <c r="M1984" s="27">
        <f>Table11[[#This Row],[Ship Date]]-Table11[[#This Row],[Order Date]]</f>
        <v>5</v>
      </c>
      <c r="N1984" s="24" t="s">
        <v>45</v>
      </c>
      <c r="O1984" s="24" t="s">
        <v>23</v>
      </c>
      <c r="P1984" s="24" t="s">
        <v>38</v>
      </c>
      <c r="Q1984" s="24" t="s">
        <v>39</v>
      </c>
      <c r="R1984" s="24" t="s">
        <v>37</v>
      </c>
      <c r="S1984" s="34">
        <v>0.2</v>
      </c>
      <c r="T1984" s="15">
        <v>675.96</v>
      </c>
      <c r="U1984" s="18">
        <v>84.495000000000005</v>
      </c>
      <c r="V1984" s="56">
        <f>Table11[[#This Row],[Profit]]/Table11[[#This Row],[Sales]]</f>
        <v>0.125</v>
      </c>
    </row>
    <row r="1985" spans="1:22" x14ac:dyDescent="0.2">
      <c r="A1985" s="4">
        <v>1984</v>
      </c>
      <c r="B1985" s="3" t="s">
        <v>3760</v>
      </c>
      <c r="C1985" s="7">
        <v>42357</v>
      </c>
      <c r="D1985" s="28">
        <f>MONTH(Table11[[#This Row],[Order Date]])</f>
        <v>12</v>
      </c>
      <c r="E1985" s="3" t="s">
        <v>2382</v>
      </c>
      <c r="F1985" s="3" t="s">
        <v>3762</v>
      </c>
      <c r="G1985" s="25" t="s">
        <v>64</v>
      </c>
      <c r="H1985" s="25" t="s">
        <v>144</v>
      </c>
      <c r="I1985" s="3" t="s">
        <v>3761</v>
      </c>
      <c r="J1985" s="25" t="s">
        <v>22</v>
      </c>
      <c r="K1985" s="28">
        <v>3</v>
      </c>
      <c r="L1985" s="7">
        <v>42362</v>
      </c>
      <c r="M1985" s="28">
        <f>Table11[[#This Row],[Ship Date]]-Table11[[#This Row],[Order Date]]</f>
        <v>5</v>
      </c>
      <c r="N1985" s="25" t="s">
        <v>45</v>
      </c>
      <c r="O1985" s="25" t="s">
        <v>23</v>
      </c>
      <c r="P1985" s="25" t="s">
        <v>38</v>
      </c>
      <c r="Q1985" s="25" t="s">
        <v>39</v>
      </c>
      <c r="R1985" s="25" t="s">
        <v>37</v>
      </c>
      <c r="S1985" s="35">
        <v>0</v>
      </c>
      <c r="T1985" s="16">
        <v>1265.8499999999999</v>
      </c>
      <c r="U1985" s="19">
        <v>556.97400000000005</v>
      </c>
      <c r="V1985" s="56">
        <f>Table11[[#This Row],[Profit]]/Table11[[#This Row],[Sales]]</f>
        <v>0.44000000000000006</v>
      </c>
    </row>
    <row r="1986" spans="1:22" x14ac:dyDescent="0.2">
      <c r="A1986" s="2">
        <v>1985</v>
      </c>
      <c r="B1986" s="5" t="s">
        <v>3901</v>
      </c>
      <c r="C1986" s="6">
        <v>42357</v>
      </c>
      <c r="D1986" s="27">
        <f>MONTH(Table11[[#This Row],[Order Date]])</f>
        <v>12</v>
      </c>
      <c r="E1986" s="5" t="s">
        <v>3902</v>
      </c>
      <c r="F1986" s="5" t="s">
        <v>3903</v>
      </c>
      <c r="G1986" s="24" t="s">
        <v>41</v>
      </c>
      <c r="H1986" s="24" t="s">
        <v>71</v>
      </c>
      <c r="I1986" s="5" t="s">
        <v>1997</v>
      </c>
      <c r="J1986" s="24" t="s">
        <v>22</v>
      </c>
      <c r="K1986" s="27">
        <v>3</v>
      </c>
      <c r="L1986" s="6">
        <v>42358</v>
      </c>
      <c r="M1986" s="27">
        <f>Table11[[#This Row],[Ship Date]]-Table11[[#This Row],[Order Date]]</f>
        <v>1</v>
      </c>
      <c r="N1986" s="24" t="s">
        <v>169</v>
      </c>
      <c r="O1986" s="24" t="s">
        <v>23</v>
      </c>
      <c r="P1986" s="24" t="s">
        <v>132</v>
      </c>
      <c r="Q1986" s="24" t="s">
        <v>133</v>
      </c>
      <c r="R1986" s="24" t="s">
        <v>131</v>
      </c>
      <c r="S1986" s="34">
        <v>0.2</v>
      </c>
      <c r="T1986" s="15">
        <v>434.35199999999998</v>
      </c>
      <c r="U1986" s="18">
        <v>43.435200000000002</v>
      </c>
      <c r="V1986" s="56">
        <f>Table11[[#This Row],[Profit]]/Table11[[#This Row],[Sales]]</f>
        <v>0.1</v>
      </c>
    </row>
    <row r="1987" spans="1:22" x14ac:dyDescent="0.2">
      <c r="A1987" s="4">
        <v>1986</v>
      </c>
      <c r="B1987" s="3" t="s">
        <v>3901</v>
      </c>
      <c r="C1987" s="7">
        <v>42357</v>
      </c>
      <c r="D1987" s="28">
        <f>MONTH(Table11[[#This Row],[Order Date]])</f>
        <v>12</v>
      </c>
      <c r="E1987" s="3" t="s">
        <v>3904</v>
      </c>
      <c r="F1987" s="3" t="s">
        <v>3905</v>
      </c>
      <c r="G1987" s="25" t="s">
        <v>41</v>
      </c>
      <c r="H1987" s="25" t="s">
        <v>71</v>
      </c>
      <c r="I1987" s="3" t="s">
        <v>1997</v>
      </c>
      <c r="J1987" s="25" t="s">
        <v>22</v>
      </c>
      <c r="K1987" s="28">
        <v>2</v>
      </c>
      <c r="L1987" s="7">
        <v>42358</v>
      </c>
      <c r="M1987" s="28">
        <f>Table11[[#This Row],[Ship Date]]-Table11[[#This Row],[Order Date]]</f>
        <v>1</v>
      </c>
      <c r="N1987" s="25" t="s">
        <v>169</v>
      </c>
      <c r="O1987" s="25" t="s">
        <v>23</v>
      </c>
      <c r="P1987" s="25" t="s">
        <v>132</v>
      </c>
      <c r="Q1987" s="25" t="s">
        <v>133</v>
      </c>
      <c r="R1987" s="25" t="s">
        <v>131</v>
      </c>
      <c r="S1987" s="35">
        <v>0.2</v>
      </c>
      <c r="T1987" s="16">
        <v>3.552</v>
      </c>
      <c r="U1987" s="19">
        <v>0.44400000000000001</v>
      </c>
      <c r="V1987" s="56">
        <f>Table11[[#This Row],[Profit]]/Table11[[#This Row],[Sales]]</f>
        <v>0.125</v>
      </c>
    </row>
    <row r="1988" spans="1:22" x14ac:dyDescent="0.2">
      <c r="A1988" s="4">
        <v>1987</v>
      </c>
      <c r="B1988" s="5" t="s">
        <v>3901</v>
      </c>
      <c r="C1988" s="6">
        <v>42357</v>
      </c>
      <c r="D1988" s="27">
        <f>MONTH(Table11[[#This Row],[Order Date]])</f>
        <v>12</v>
      </c>
      <c r="E1988" s="5" t="s">
        <v>3906</v>
      </c>
      <c r="F1988" s="5" t="s">
        <v>3907</v>
      </c>
      <c r="G1988" s="24" t="s">
        <v>41</v>
      </c>
      <c r="H1988" s="24" t="s">
        <v>71</v>
      </c>
      <c r="I1988" s="5" t="s">
        <v>1997</v>
      </c>
      <c r="J1988" s="24" t="s">
        <v>22</v>
      </c>
      <c r="K1988" s="27">
        <v>4</v>
      </c>
      <c r="L1988" s="6">
        <v>42358</v>
      </c>
      <c r="M1988" s="27">
        <f>Table11[[#This Row],[Ship Date]]-Table11[[#This Row],[Order Date]]</f>
        <v>1</v>
      </c>
      <c r="N1988" s="24" t="s">
        <v>169</v>
      </c>
      <c r="O1988" s="24" t="s">
        <v>23</v>
      </c>
      <c r="P1988" s="24" t="s">
        <v>132</v>
      </c>
      <c r="Q1988" s="24" t="s">
        <v>133</v>
      </c>
      <c r="R1988" s="24" t="s">
        <v>131</v>
      </c>
      <c r="S1988" s="34">
        <v>0.2</v>
      </c>
      <c r="T1988" s="15">
        <v>88.831999999999994</v>
      </c>
      <c r="U1988" s="18">
        <v>7.7728000000000002</v>
      </c>
      <c r="V1988" s="56">
        <f>Table11[[#This Row],[Profit]]/Table11[[#This Row],[Sales]]</f>
        <v>8.7500000000000008E-2</v>
      </c>
    </row>
    <row r="1989" spans="1:22" x14ac:dyDescent="0.2">
      <c r="A1989" s="2">
        <v>1988</v>
      </c>
      <c r="B1989" s="3" t="s">
        <v>6468</v>
      </c>
      <c r="C1989" s="7">
        <v>42357</v>
      </c>
      <c r="D1989" s="28">
        <f>MONTH(Table11[[#This Row],[Order Date]])</f>
        <v>12</v>
      </c>
      <c r="E1989" s="3" t="s">
        <v>2247</v>
      </c>
      <c r="F1989" s="3" t="s">
        <v>2248</v>
      </c>
      <c r="G1989" s="25" t="s">
        <v>41</v>
      </c>
      <c r="H1989" s="25" t="s">
        <v>68</v>
      </c>
      <c r="I1989" s="3" t="s">
        <v>3108</v>
      </c>
      <c r="J1989" s="25" t="s">
        <v>36</v>
      </c>
      <c r="K1989" s="28">
        <v>2</v>
      </c>
      <c r="L1989" s="7">
        <v>42359</v>
      </c>
      <c r="M1989" s="28">
        <f>Table11[[#This Row],[Ship Date]]-Table11[[#This Row],[Order Date]]</f>
        <v>2</v>
      </c>
      <c r="N1989" s="25" t="s">
        <v>20</v>
      </c>
      <c r="O1989" s="25" t="s">
        <v>23</v>
      </c>
      <c r="P1989" s="25" t="s">
        <v>124</v>
      </c>
      <c r="Q1989" s="25" t="s">
        <v>95</v>
      </c>
      <c r="R1989" s="25" t="s">
        <v>2226</v>
      </c>
      <c r="S1989" s="35">
        <v>0</v>
      </c>
      <c r="T1989" s="16">
        <v>7.04</v>
      </c>
      <c r="U1989" s="19">
        <v>3.3088000000000002</v>
      </c>
      <c r="V1989" s="56">
        <f>Table11[[#This Row],[Profit]]/Table11[[#This Row],[Sales]]</f>
        <v>0.47000000000000003</v>
      </c>
    </row>
    <row r="1990" spans="1:22" x14ac:dyDescent="0.2">
      <c r="A1990" s="4">
        <v>1989</v>
      </c>
      <c r="B1990" s="5" t="s">
        <v>6468</v>
      </c>
      <c r="C1990" s="6">
        <v>42357</v>
      </c>
      <c r="D1990" s="27">
        <f>MONTH(Table11[[#This Row],[Order Date]])</f>
        <v>12</v>
      </c>
      <c r="E1990" s="5" t="s">
        <v>883</v>
      </c>
      <c r="F1990" s="5" t="s">
        <v>884</v>
      </c>
      <c r="G1990" s="24" t="s">
        <v>41</v>
      </c>
      <c r="H1990" s="24" t="s">
        <v>240</v>
      </c>
      <c r="I1990" s="5" t="s">
        <v>3108</v>
      </c>
      <c r="J1990" s="24" t="s">
        <v>36</v>
      </c>
      <c r="K1990" s="27">
        <v>4</v>
      </c>
      <c r="L1990" s="6">
        <v>42359</v>
      </c>
      <c r="M1990" s="27">
        <f>Table11[[#This Row],[Ship Date]]-Table11[[#This Row],[Order Date]]</f>
        <v>2</v>
      </c>
      <c r="N1990" s="24" t="s">
        <v>20</v>
      </c>
      <c r="O1990" s="24" t="s">
        <v>23</v>
      </c>
      <c r="P1990" s="24" t="s">
        <v>124</v>
      </c>
      <c r="Q1990" s="24" t="s">
        <v>95</v>
      </c>
      <c r="R1990" s="24" t="s">
        <v>2226</v>
      </c>
      <c r="S1990" s="34">
        <v>0</v>
      </c>
      <c r="T1990" s="15">
        <v>5.04</v>
      </c>
      <c r="U1990" s="18">
        <v>0.2016</v>
      </c>
      <c r="V1990" s="56">
        <f>Table11[[#This Row],[Profit]]/Table11[[#This Row],[Sales]]</f>
        <v>0.04</v>
      </c>
    </row>
    <row r="1991" spans="1:22" x14ac:dyDescent="0.2">
      <c r="A1991" s="4">
        <v>1990</v>
      </c>
      <c r="B1991" s="3" t="s">
        <v>6468</v>
      </c>
      <c r="C1991" s="7">
        <v>42357</v>
      </c>
      <c r="D1991" s="28">
        <f>MONTH(Table11[[#This Row],[Order Date]])</f>
        <v>12</v>
      </c>
      <c r="E1991" s="3" t="s">
        <v>3346</v>
      </c>
      <c r="F1991" s="3" t="s">
        <v>3347</v>
      </c>
      <c r="G1991" s="25" t="s">
        <v>41</v>
      </c>
      <c r="H1991" s="25" t="s">
        <v>82</v>
      </c>
      <c r="I1991" s="3" t="s">
        <v>3108</v>
      </c>
      <c r="J1991" s="25" t="s">
        <v>36</v>
      </c>
      <c r="K1991" s="28">
        <v>3</v>
      </c>
      <c r="L1991" s="7">
        <v>42359</v>
      </c>
      <c r="M1991" s="28">
        <f>Table11[[#This Row],[Ship Date]]-Table11[[#This Row],[Order Date]]</f>
        <v>2</v>
      </c>
      <c r="N1991" s="25" t="s">
        <v>20</v>
      </c>
      <c r="O1991" s="25" t="s">
        <v>23</v>
      </c>
      <c r="P1991" s="25" t="s">
        <v>124</v>
      </c>
      <c r="Q1991" s="25" t="s">
        <v>95</v>
      </c>
      <c r="R1991" s="25" t="s">
        <v>2226</v>
      </c>
      <c r="S1991" s="35">
        <v>0</v>
      </c>
      <c r="T1991" s="16">
        <v>116.28</v>
      </c>
      <c r="U1991" s="19">
        <v>56.977200000000003</v>
      </c>
      <c r="V1991" s="56">
        <f>Table11[[#This Row],[Profit]]/Table11[[#This Row],[Sales]]</f>
        <v>0.49000000000000005</v>
      </c>
    </row>
    <row r="1992" spans="1:22" x14ac:dyDescent="0.2">
      <c r="A1992" s="2">
        <v>1991</v>
      </c>
      <c r="B1992" s="5" t="s">
        <v>8133</v>
      </c>
      <c r="C1992" s="6">
        <v>42357</v>
      </c>
      <c r="D1992" s="27">
        <f>MONTH(Table11[[#This Row],[Order Date]])</f>
        <v>12</v>
      </c>
      <c r="E1992" s="5" t="s">
        <v>3399</v>
      </c>
      <c r="F1992" s="5" t="s">
        <v>3400</v>
      </c>
      <c r="G1992" s="24" t="s">
        <v>64</v>
      </c>
      <c r="H1992" s="24" t="s">
        <v>65</v>
      </c>
      <c r="I1992" s="5" t="s">
        <v>5848</v>
      </c>
      <c r="J1992" s="24" t="s">
        <v>22</v>
      </c>
      <c r="K1992" s="27">
        <v>3</v>
      </c>
      <c r="L1992" s="6">
        <v>42361</v>
      </c>
      <c r="M1992" s="27">
        <f>Table11[[#This Row],[Ship Date]]-Table11[[#This Row],[Order Date]]</f>
        <v>4</v>
      </c>
      <c r="N1992" s="24" t="s">
        <v>20</v>
      </c>
      <c r="O1992" s="24" t="s">
        <v>23</v>
      </c>
      <c r="P1992" s="24" t="s">
        <v>189</v>
      </c>
      <c r="Q1992" s="24" t="s">
        <v>95</v>
      </c>
      <c r="R1992" s="24" t="s">
        <v>8134</v>
      </c>
      <c r="S1992" s="34">
        <v>0.2</v>
      </c>
      <c r="T1992" s="15">
        <v>158.376</v>
      </c>
      <c r="U1992" s="18">
        <v>13.857900000000001</v>
      </c>
      <c r="V1992" s="56">
        <f>Table11[[#This Row],[Profit]]/Table11[[#This Row],[Sales]]</f>
        <v>8.7500000000000008E-2</v>
      </c>
    </row>
    <row r="1993" spans="1:22" x14ac:dyDescent="0.2">
      <c r="A1993" s="4">
        <v>1992</v>
      </c>
      <c r="B1993" s="3" t="s">
        <v>8727</v>
      </c>
      <c r="C1993" s="7">
        <v>42357</v>
      </c>
      <c r="D1993" s="28">
        <f>MONTH(Table11[[#This Row],[Order Date]])</f>
        <v>12</v>
      </c>
      <c r="E1993" s="3" t="s">
        <v>4830</v>
      </c>
      <c r="F1993" s="3" t="s">
        <v>4831</v>
      </c>
      <c r="G1993" s="25" t="s">
        <v>41</v>
      </c>
      <c r="H1993" s="25" t="s">
        <v>82</v>
      </c>
      <c r="I1993" s="3" t="s">
        <v>2394</v>
      </c>
      <c r="J1993" s="25" t="s">
        <v>92</v>
      </c>
      <c r="K1993" s="28">
        <v>5</v>
      </c>
      <c r="L1993" s="7">
        <v>42362</v>
      </c>
      <c r="M1993" s="28">
        <f>Table11[[#This Row],[Ship Date]]-Table11[[#This Row],[Order Date]]</f>
        <v>5</v>
      </c>
      <c r="N1993" s="25" t="s">
        <v>20</v>
      </c>
      <c r="O1993" s="25" t="s">
        <v>23</v>
      </c>
      <c r="P1993" s="25" t="s">
        <v>2373</v>
      </c>
      <c r="Q1993" s="25" t="s">
        <v>133</v>
      </c>
      <c r="R1993" s="25" t="s">
        <v>217</v>
      </c>
      <c r="S1993" s="35">
        <v>0</v>
      </c>
      <c r="T1993" s="16">
        <v>29.9</v>
      </c>
      <c r="U1993" s="19">
        <v>14.651</v>
      </c>
      <c r="V1993" s="56">
        <f>Table11[[#This Row],[Profit]]/Table11[[#This Row],[Sales]]</f>
        <v>0.49</v>
      </c>
    </row>
    <row r="1994" spans="1:22" x14ac:dyDescent="0.2">
      <c r="A1994" s="4">
        <v>1993</v>
      </c>
      <c r="B1994" s="5" t="s">
        <v>8727</v>
      </c>
      <c r="C1994" s="6">
        <v>42357</v>
      </c>
      <c r="D1994" s="27">
        <f>MONTH(Table11[[#This Row],[Order Date]])</f>
        <v>12</v>
      </c>
      <c r="E1994" s="5" t="s">
        <v>4658</v>
      </c>
      <c r="F1994" s="5" t="s">
        <v>4659</v>
      </c>
      <c r="G1994" s="24" t="s">
        <v>64</v>
      </c>
      <c r="H1994" s="24" t="s">
        <v>144</v>
      </c>
      <c r="I1994" s="5" t="s">
        <v>2394</v>
      </c>
      <c r="J1994" s="24" t="s">
        <v>92</v>
      </c>
      <c r="K1994" s="27">
        <v>9</v>
      </c>
      <c r="L1994" s="6">
        <v>42362</v>
      </c>
      <c r="M1994" s="27">
        <f>Table11[[#This Row],[Ship Date]]-Table11[[#This Row],[Order Date]]</f>
        <v>5</v>
      </c>
      <c r="N1994" s="24" t="s">
        <v>20</v>
      </c>
      <c r="O1994" s="24" t="s">
        <v>23</v>
      </c>
      <c r="P1994" s="24" t="s">
        <v>2373</v>
      </c>
      <c r="Q1994" s="24" t="s">
        <v>133</v>
      </c>
      <c r="R1994" s="24" t="s">
        <v>217</v>
      </c>
      <c r="S1994" s="34">
        <v>0</v>
      </c>
      <c r="T1994" s="15">
        <v>2249.91</v>
      </c>
      <c r="U1994" s="18">
        <v>517.47929999999997</v>
      </c>
      <c r="V1994" s="56">
        <f>Table11[[#This Row],[Profit]]/Table11[[#This Row],[Sales]]</f>
        <v>0.23</v>
      </c>
    </row>
    <row r="1995" spans="1:22" x14ac:dyDescent="0.2">
      <c r="A1995" s="2">
        <v>1994</v>
      </c>
      <c r="B1995" s="3" t="s">
        <v>8727</v>
      </c>
      <c r="C1995" s="7">
        <v>42357</v>
      </c>
      <c r="D1995" s="28">
        <f>MONTH(Table11[[#This Row],[Order Date]])</f>
        <v>12</v>
      </c>
      <c r="E1995" s="3" t="s">
        <v>796</v>
      </c>
      <c r="F1995" s="3" t="s">
        <v>797</v>
      </c>
      <c r="G1995" s="25" t="s">
        <v>28</v>
      </c>
      <c r="H1995" s="25" t="s">
        <v>50</v>
      </c>
      <c r="I1995" s="3" t="s">
        <v>2394</v>
      </c>
      <c r="J1995" s="25" t="s">
        <v>92</v>
      </c>
      <c r="K1995" s="28">
        <v>4</v>
      </c>
      <c r="L1995" s="7">
        <v>42362</v>
      </c>
      <c r="M1995" s="28">
        <f>Table11[[#This Row],[Ship Date]]-Table11[[#This Row],[Order Date]]</f>
        <v>5</v>
      </c>
      <c r="N1995" s="25" t="s">
        <v>20</v>
      </c>
      <c r="O1995" s="25" t="s">
        <v>23</v>
      </c>
      <c r="P1995" s="25" t="s">
        <v>2373</v>
      </c>
      <c r="Q1995" s="25" t="s">
        <v>133</v>
      </c>
      <c r="R1995" s="25" t="s">
        <v>217</v>
      </c>
      <c r="S1995" s="35">
        <v>0.3</v>
      </c>
      <c r="T1995" s="16">
        <v>1053.164</v>
      </c>
      <c r="U1995" s="19">
        <v>-105.3164</v>
      </c>
      <c r="V1995" s="56">
        <f>Table11[[#This Row],[Profit]]/Table11[[#This Row],[Sales]]</f>
        <v>-0.1</v>
      </c>
    </row>
    <row r="1996" spans="1:22" x14ac:dyDescent="0.2">
      <c r="A1996" s="4">
        <v>1995</v>
      </c>
      <c r="B1996" s="5" t="s">
        <v>8862</v>
      </c>
      <c r="C1996" s="6">
        <v>42357</v>
      </c>
      <c r="D1996" s="27">
        <f>MONTH(Table11[[#This Row],[Order Date]])</f>
        <v>12</v>
      </c>
      <c r="E1996" s="5" t="s">
        <v>2720</v>
      </c>
      <c r="F1996" s="5" t="s">
        <v>2721</v>
      </c>
      <c r="G1996" s="24" t="s">
        <v>64</v>
      </c>
      <c r="H1996" s="24" t="s">
        <v>144</v>
      </c>
      <c r="I1996" s="5" t="s">
        <v>6543</v>
      </c>
      <c r="J1996" s="24" t="s">
        <v>92</v>
      </c>
      <c r="K1996" s="27">
        <v>2</v>
      </c>
      <c r="L1996" s="6">
        <v>42361</v>
      </c>
      <c r="M1996" s="27">
        <f>Table11[[#This Row],[Ship Date]]-Table11[[#This Row],[Order Date]]</f>
        <v>4</v>
      </c>
      <c r="N1996" s="24" t="s">
        <v>45</v>
      </c>
      <c r="O1996" s="24" t="s">
        <v>23</v>
      </c>
      <c r="P1996" s="24" t="s">
        <v>189</v>
      </c>
      <c r="Q1996" s="24" t="s">
        <v>95</v>
      </c>
      <c r="R1996" s="24" t="s">
        <v>271</v>
      </c>
      <c r="S1996" s="34">
        <v>0.2</v>
      </c>
      <c r="T1996" s="15">
        <v>25.488</v>
      </c>
      <c r="U1996" s="18">
        <v>4.7789999999999999</v>
      </c>
      <c r="V1996" s="56">
        <f>Table11[[#This Row],[Profit]]/Table11[[#This Row],[Sales]]</f>
        <v>0.1875</v>
      </c>
    </row>
    <row r="1997" spans="1:22" x14ac:dyDescent="0.2">
      <c r="A1997" s="4">
        <v>1996</v>
      </c>
      <c r="B1997" s="3" t="s">
        <v>9478</v>
      </c>
      <c r="C1997" s="7">
        <v>42357</v>
      </c>
      <c r="D1997" s="28">
        <f>MONTH(Table11[[#This Row],[Order Date]])</f>
        <v>12</v>
      </c>
      <c r="E1997" s="3" t="s">
        <v>4210</v>
      </c>
      <c r="F1997" s="3" t="s">
        <v>4211</v>
      </c>
      <c r="G1997" s="25" t="s">
        <v>41</v>
      </c>
      <c r="H1997" s="25" t="s">
        <v>42</v>
      </c>
      <c r="I1997" s="3" t="s">
        <v>1158</v>
      </c>
      <c r="J1997" s="25" t="s">
        <v>22</v>
      </c>
      <c r="K1997" s="28">
        <v>3</v>
      </c>
      <c r="L1997" s="7">
        <v>42360</v>
      </c>
      <c r="M1997" s="28">
        <f>Table11[[#This Row],[Ship Date]]-Table11[[#This Row],[Order Date]]</f>
        <v>3</v>
      </c>
      <c r="N1997" s="25" t="s">
        <v>169</v>
      </c>
      <c r="O1997" s="25" t="s">
        <v>23</v>
      </c>
      <c r="P1997" s="25" t="s">
        <v>132</v>
      </c>
      <c r="Q1997" s="25" t="s">
        <v>133</v>
      </c>
      <c r="R1997" s="25" t="s">
        <v>131</v>
      </c>
      <c r="S1997" s="35">
        <v>0.2</v>
      </c>
      <c r="T1997" s="16">
        <v>6.9119999999999999</v>
      </c>
      <c r="U1997" s="19">
        <v>2.5055999999999998</v>
      </c>
      <c r="V1997" s="56">
        <f>Table11[[#This Row],[Profit]]/Table11[[#This Row],[Sales]]</f>
        <v>0.36249999999999999</v>
      </c>
    </row>
    <row r="1998" spans="1:22" x14ac:dyDescent="0.2">
      <c r="A1998" s="2">
        <v>1997</v>
      </c>
      <c r="B1998" s="5" t="s">
        <v>1094</v>
      </c>
      <c r="C1998" s="6">
        <v>42358</v>
      </c>
      <c r="D1998" s="27">
        <f>MONTH(Table11[[#This Row],[Order Date]])</f>
        <v>12</v>
      </c>
      <c r="E1998" s="5" t="s">
        <v>110</v>
      </c>
      <c r="F1998" s="5" t="s">
        <v>111</v>
      </c>
      <c r="G1998" s="24" t="s">
        <v>41</v>
      </c>
      <c r="H1998" s="24" t="s">
        <v>53</v>
      </c>
      <c r="I1998" s="5" t="s">
        <v>615</v>
      </c>
      <c r="J1998" s="24" t="s">
        <v>22</v>
      </c>
      <c r="K1998" s="27">
        <v>4</v>
      </c>
      <c r="L1998" s="6">
        <v>42362</v>
      </c>
      <c r="M1998" s="27">
        <f>Table11[[#This Row],[Ship Date]]-Table11[[#This Row],[Order Date]]</f>
        <v>4</v>
      </c>
      <c r="N1998" s="24" t="s">
        <v>45</v>
      </c>
      <c r="O1998" s="24" t="s">
        <v>23</v>
      </c>
      <c r="P1998" s="24" t="s">
        <v>94</v>
      </c>
      <c r="Q1998" s="24" t="s">
        <v>95</v>
      </c>
      <c r="R1998" s="24" t="s">
        <v>1095</v>
      </c>
      <c r="S1998" s="34">
        <v>0.2</v>
      </c>
      <c r="T1998" s="15">
        <v>88.8</v>
      </c>
      <c r="U1998" s="18">
        <v>-2.2200000000000002</v>
      </c>
      <c r="V1998" s="56">
        <f>Table11[[#This Row],[Profit]]/Table11[[#This Row],[Sales]]</f>
        <v>-2.5000000000000001E-2</v>
      </c>
    </row>
    <row r="1999" spans="1:22" x14ac:dyDescent="0.2">
      <c r="A1999" s="4">
        <v>1998</v>
      </c>
      <c r="B1999" s="3" t="s">
        <v>1436</v>
      </c>
      <c r="C1999" s="7">
        <v>42358</v>
      </c>
      <c r="D1999" s="28">
        <f>MONTH(Table11[[#This Row],[Order Date]])</f>
        <v>12</v>
      </c>
      <c r="E1999" s="3" t="s">
        <v>1439</v>
      </c>
      <c r="F1999" s="3" t="s">
        <v>1440</v>
      </c>
      <c r="G1999" s="25" t="s">
        <v>41</v>
      </c>
      <c r="H1999" s="25" t="s">
        <v>82</v>
      </c>
      <c r="I1999" s="3" t="s">
        <v>1437</v>
      </c>
      <c r="J1999" s="25" t="s">
        <v>36</v>
      </c>
      <c r="K1999" s="28">
        <v>1</v>
      </c>
      <c r="L1999" s="7">
        <v>42362</v>
      </c>
      <c r="M1999" s="28">
        <f>Table11[[#This Row],[Ship Date]]-Table11[[#This Row],[Order Date]]</f>
        <v>4</v>
      </c>
      <c r="N1999" s="25" t="s">
        <v>45</v>
      </c>
      <c r="O1999" s="25" t="s">
        <v>23</v>
      </c>
      <c r="P1999" s="25" t="s">
        <v>238</v>
      </c>
      <c r="Q1999" s="25" t="s">
        <v>133</v>
      </c>
      <c r="R1999" s="25" t="s">
        <v>1438</v>
      </c>
      <c r="S1999" s="35">
        <v>0</v>
      </c>
      <c r="T1999" s="16">
        <v>55.48</v>
      </c>
      <c r="U1999" s="19">
        <v>26.630400000000002</v>
      </c>
      <c r="V1999" s="56">
        <f>Table11[[#This Row],[Profit]]/Table11[[#This Row],[Sales]]</f>
        <v>0.48000000000000004</v>
      </c>
    </row>
    <row r="2000" spans="1:22" x14ac:dyDescent="0.2">
      <c r="A2000" s="4">
        <v>1999</v>
      </c>
      <c r="B2000" s="5" t="s">
        <v>3896</v>
      </c>
      <c r="C2000" s="6">
        <v>42358</v>
      </c>
      <c r="D2000" s="27">
        <f>MONTH(Table11[[#This Row],[Order Date]])</f>
        <v>12</v>
      </c>
      <c r="E2000" s="5" t="s">
        <v>2876</v>
      </c>
      <c r="F2000" s="5" t="s">
        <v>2877</v>
      </c>
      <c r="G2000" s="24" t="s">
        <v>64</v>
      </c>
      <c r="H2000" s="24" t="s">
        <v>65</v>
      </c>
      <c r="I2000" s="5" t="s">
        <v>382</v>
      </c>
      <c r="J2000" s="24" t="s">
        <v>22</v>
      </c>
      <c r="K2000" s="27">
        <v>2</v>
      </c>
      <c r="L2000" s="6">
        <v>42363</v>
      </c>
      <c r="M2000" s="27">
        <f>Table11[[#This Row],[Ship Date]]-Table11[[#This Row],[Order Date]]</f>
        <v>5</v>
      </c>
      <c r="N2000" s="24" t="s">
        <v>45</v>
      </c>
      <c r="O2000" s="24" t="s">
        <v>23</v>
      </c>
      <c r="P2000" s="24" t="s">
        <v>189</v>
      </c>
      <c r="Q2000" s="24" t="s">
        <v>95</v>
      </c>
      <c r="R2000" s="24" t="s">
        <v>271</v>
      </c>
      <c r="S2000" s="34">
        <v>0.2</v>
      </c>
      <c r="T2000" s="15">
        <v>159.98400000000001</v>
      </c>
      <c r="U2000" s="18">
        <v>11.998799999999999</v>
      </c>
      <c r="V2000" s="56">
        <f>Table11[[#This Row],[Profit]]/Table11[[#This Row],[Sales]]</f>
        <v>7.4999999999999997E-2</v>
      </c>
    </row>
    <row r="2001" spans="1:22" x14ac:dyDescent="0.2">
      <c r="A2001" s="2">
        <v>2000</v>
      </c>
      <c r="B2001" s="3" t="s">
        <v>3896</v>
      </c>
      <c r="C2001" s="7">
        <v>42358</v>
      </c>
      <c r="D2001" s="28">
        <f>MONTH(Table11[[#This Row],[Order Date]])</f>
        <v>12</v>
      </c>
      <c r="E2001" s="3" t="s">
        <v>3897</v>
      </c>
      <c r="F2001" s="3" t="s">
        <v>3898</v>
      </c>
      <c r="G2001" s="25" t="s">
        <v>64</v>
      </c>
      <c r="H2001" s="25" t="s">
        <v>144</v>
      </c>
      <c r="I2001" s="3" t="s">
        <v>382</v>
      </c>
      <c r="J2001" s="25" t="s">
        <v>22</v>
      </c>
      <c r="K2001" s="28">
        <v>4</v>
      </c>
      <c r="L2001" s="7">
        <v>42363</v>
      </c>
      <c r="M2001" s="28">
        <f>Table11[[#This Row],[Ship Date]]-Table11[[#This Row],[Order Date]]</f>
        <v>5</v>
      </c>
      <c r="N2001" s="25" t="s">
        <v>45</v>
      </c>
      <c r="O2001" s="25" t="s">
        <v>23</v>
      </c>
      <c r="P2001" s="25" t="s">
        <v>189</v>
      </c>
      <c r="Q2001" s="25" t="s">
        <v>95</v>
      </c>
      <c r="R2001" s="25" t="s">
        <v>271</v>
      </c>
      <c r="S2001" s="35">
        <v>0.2</v>
      </c>
      <c r="T2001" s="16">
        <v>255.96799999999999</v>
      </c>
      <c r="U2001" s="19">
        <v>51.193600000000004</v>
      </c>
      <c r="V2001" s="56">
        <f>Table11[[#This Row],[Profit]]/Table11[[#This Row],[Sales]]</f>
        <v>0.2</v>
      </c>
    </row>
    <row r="2002" spans="1:22" x14ac:dyDescent="0.2">
      <c r="A2002" s="4">
        <v>2001</v>
      </c>
      <c r="B2002" s="5" t="s">
        <v>3896</v>
      </c>
      <c r="C2002" s="6">
        <v>42358</v>
      </c>
      <c r="D2002" s="27">
        <f>MONTH(Table11[[#This Row],[Order Date]])</f>
        <v>12</v>
      </c>
      <c r="E2002" s="5" t="s">
        <v>3899</v>
      </c>
      <c r="F2002" s="5" t="s">
        <v>3900</v>
      </c>
      <c r="G2002" s="24" t="s">
        <v>28</v>
      </c>
      <c r="H2002" s="24" t="s">
        <v>29</v>
      </c>
      <c r="I2002" s="5" t="s">
        <v>382</v>
      </c>
      <c r="J2002" s="24" t="s">
        <v>22</v>
      </c>
      <c r="K2002" s="27">
        <v>3</v>
      </c>
      <c r="L2002" s="6">
        <v>42363</v>
      </c>
      <c r="M2002" s="27">
        <f>Table11[[#This Row],[Ship Date]]-Table11[[#This Row],[Order Date]]</f>
        <v>5</v>
      </c>
      <c r="N2002" s="24" t="s">
        <v>45</v>
      </c>
      <c r="O2002" s="24" t="s">
        <v>23</v>
      </c>
      <c r="P2002" s="24" t="s">
        <v>189</v>
      </c>
      <c r="Q2002" s="24" t="s">
        <v>95</v>
      </c>
      <c r="R2002" s="24" t="s">
        <v>271</v>
      </c>
      <c r="S2002" s="34">
        <v>0.3</v>
      </c>
      <c r="T2002" s="15">
        <v>359.05799999999999</v>
      </c>
      <c r="U2002" s="18">
        <v>-71.811599999999999</v>
      </c>
      <c r="V2002" s="56">
        <f>Table11[[#This Row],[Profit]]/Table11[[#This Row],[Sales]]</f>
        <v>-0.2</v>
      </c>
    </row>
    <row r="2003" spans="1:22" x14ac:dyDescent="0.2">
      <c r="A2003" s="4">
        <v>2002</v>
      </c>
      <c r="B2003" s="3" t="s">
        <v>6685</v>
      </c>
      <c r="C2003" s="7">
        <v>42358</v>
      </c>
      <c r="D2003" s="28">
        <f>MONTH(Table11[[#This Row],[Order Date]])</f>
        <v>12</v>
      </c>
      <c r="E2003" s="3" t="s">
        <v>6687</v>
      </c>
      <c r="F2003" s="3" t="s">
        <v>6688</v>
      </c>
      <c r="G2003" s="25" t="s">
        <v>41</v>
      </c>
      <c r="H2003" s="25" t="s">
        <v>155</v>
      </c>
      <c r="I2003" s="3" t="s">
        <v>399</v>
      </c>
      <c r="J2003" s="25" t="s">
        <v>22</v>
      </c>
      <c r="K2003" s="28">
        <v>1</v>
      </c>
      <c r="L2003" s="7">
        <v>42362</v>
      </c>
      <c r="M2003" s="28">
        <f>Table11[[#This Row],[Ship Date]]-Table11[[#This Row],[Order Date]]</f>
        <v>4</v>
      </c>
      <c r="N2003" s="25" t="s">
        <v>45</v>
      </c>
      <c r="O2003" s="25" t="s">
        <v>23</v>
      </c>
      <c r="P2003" s="25" t="s">
        <v>277</v>
      </c>
      <c r="Q2003" s="25" t="s">
        <v>39</v>
      </c>
      <c r="R2003" s="25" t="s">
        <v>6686</v>
      </c>
      <c r="S2003" s="35">
        <v>0.2</v>
      </c>
      <c r="T2003" s="16">
        <v>7.92</v>
      </c>
      <c r="U2003" s="19">
        <v>2.7719999999999998</v>
      </c>
      <c r="V2003" s="56">
        <f>Table11[[#This Row],[Profit]]/Table11[[#This Row],[Sales]]</f>
        <v>0.35</v>
      </c>
    </row>
    <row r="2004" spans="1:22" x14ac:dyDescent="0.2">
      <c r="A2004" s="2">
        <v>2003</v>
      </c>
      <c r="B2004" s="5" t="s">
        <v>6685</v>
      </c>
      <c r="C2004" s="6">
        <v>42358</v>
      </c>
      <c r="D2004" s="27">
        <f>MONTH(Table11[[#This Row],[Order Date]])</f>
        <v>12</v>
      </c>
      <c r="E2004" s="5" t="s">
        <v>3894</v>
      </c>
      <c r="F2004" s="5" t="s">
        <v>3895</v>
      </c>
      <c r="G2004" s="24" t="s">
        <v>28</v>
      </c>
      <c r="H2004" s="24" t="s">
        <v>58</v>
      </c>
      <c r="I2004" s="5" t="s">
        <v>399</v>
      </c>
      <c r="J2004" s="24" t="s">
        <v>22</v>
      </c>
      <c r="K2004" s="27">
        <v>2</v>
      </c>
      <c r="L2004" s="6">
        <v>42362</v>
      </c>
      <c r="M2004" s="27">
        <f>Table11[[#This Row],[Ship Date]]-Table11[[#This Row],[Order Date]]</f>
        <v>4</v>
      </c>
      <c r="N2004" s="24" t="s">
        <v>45</v>
      </c>
      <c r="O2004" s="24" t="s">
        <v>23</v>
      </c>
      <c r="P2004" s="24" t="s">
        <v>277</v>
      </c>
      <c r="Q2004" s="24" t="s">
        <v>39</v>
      </c>
      <c r="R2004" s="24" t="s">
        <v>6686</v>
      </c>
      <c r="S2004" s="34">
        <v>0.2</v>
      </c>
      <c r="T2004" s="15">
        <v>14.368</v>
      </c>
      <c r="U2004" s="18">
        <v>3.9512</v>
      </c>
      <c r="V2004" s="56">
        <f>Table11[[#This Row],[Profit]]/Table11[[#This Row],[Sales]]</f>
        <v>0.27500000000000002</v>
      </c>
    </row>
    <row r="2005" spans="1:22" x14ac:dyDescent="0.2">
      <c r="A2005" s="4">
        <v>2004</v>
      </c>
      <c r="B2005" s="3" t="s">
        <v>8290</v>
      </c>
      <c r="C2005" s="7">
        <v>42358</v>
      </c>
      <c r="D2005" s="28">
        <f>MONTH(Table11[[#This Row],[Order Date]])</f>
        <v>12</v>
      </c>
      <c r="E2005" s="3" t="s">
        <v>2309</v>
      </c>
      <c r="F2005" s="3" t="s">
        <v>2310</v>
      </c>
      <c r="G2005" s="25" t="s">
        <v>41</v>
      </c>
      <c r="H2005" s="25" t="s">
        <v>42</v>
      </c>
      <c r="I2005" s="3" t="s">
        <v>7927</v>
      </c>
      <c r="J2005" s="25" t="s">
        <v>92</v>
      </c>
      <c r="K2005" s="28">
        <v>2</v>
      </c>
      <c r="L2005" s="7">
        <v>42363</v>
      </c>
      <c r="M2005" s="28">
        <f>Table11[[#This Row],[Ship Date]]-Table11[[#This Row],[Order Date]]</f>
        <v>5</v>
      </c>
      <c r="N2005" s="25" t="s">
        <v>45</v>
      </c>
      <c r="O2005" s="25" t="s">
        <v>23</v>
      </c>
      <c r="P2005" s="25" t="s">
        <v>48</v>
      </c>
      <c r="Q2005" s="25" t="s">
        <v>26</v>
      </c>
      <c r="R2005" s="25" t="s">
        <v>1253</v>
      </c>
      <c r="S2005" s="35">
        <v>0.2</v>
      </c>
      <c r="T2005" s="16">
        <v>11.696</v>
      </c>
      <c r="U2005" s="19">
        <v>3.9474</v>
      </c>
      <c r="V2005" s="56">
        <f>Table11[[#This Row],[Profit]]/Table11[[#This Row],[Sales]]</f>
        <v>0.33750000000000002</v>
      </c>
    </row>
    <row r="2006" spans="1:22" x14ac:dyDescent="0.2">
      <c r="A2006" s="4">
        <v>2005</v>
      </c>
      <c r="B2006" s="5" t="s">
        <v>9389</v>
      </c>
      <c r="C2006" s="6">
        <v>42358</v>
      </c>
      <c r="D2006" s="27">
        <f>MONTH(Table11[[#This Row],[Order Date]])</f>
        <v>12</v>
      </c>
      <c r="E2006" s="5" t="s">
        <v>3930</v>
      </c>
      <c r="F2006" s="5" t="s">
        <v>167</v>
      </c>
      <c r="G2006" s="24" t="s">
        <v>41</v>
      </c>
      <c r="H2006" s="24" t="s">
        <v>82</v>
      </c>
      <c r="I2006" s="5" t="s">
        <v>3566</v>
      </c>
      <c r="J2006" s="24" t="s">
        <v>22</v>
      </c>
      <c r="K2006" s="27">
        <v>4</v>
      </c>
      <c r="L2006" s="6">
        <v>42363</v>
      </c>
      <c r="M2006" s="27">
        <f>Table11[[#This Row],[Ship Date]]-Table11[[#This Row],[Order Date]]</f>
        <v>5</v>
      </c>
      <c r="N2006" s="24" t="s">
        <v>20</v>
      </c>
      <c r="O2006" s="24" t="s">
        <v>23</v>
      </c>
      <c r="P2006" s="24" t="s">
        <v>38</v>
      </c>
      <c r="Q2006" s="24" t="s">
        <v>39</v>
      </c>
      <c r="R2006" s="24" t="s">
        <v>37</v>
      </c>
      <c r="S2006" s="34">
        <v>0</v>
      </c>
      <c r="T2006" s="15">
        <v>17.12</v>
      </c>
      <c r="U2006" s="18">
        <v>7.7039999999999997</v>
      </c>
      <c r="V2006" s="56">
        <f>Table11[[#This Row],[Profit]]/Table11[[#This Row],[Sales]]</f>
        <v>0.44999999999999996</v>
      </c>
    </row>
    <row r="2007" spans="1:22" x14ac:dyDescent="0.2">
      <c r="A2007" s="2">
        <v>2006</v>
      </c>
      <c r="B2007" s="3" t="s">
        <v>9497</v>
      </c>
      <c r="C2007" s="7">
        <v>42358</v>
      </c>
      <c r="D2007" s="28">
        <f>MONTH(Table11[[#This Row],[Order Date]])</f>
        <v>12</v>
      </c>
      <c r="E2007" s="3" t="s">
        <v>4270</v>
      </c>
      <c r="F2007" s="3" t="s">
        <v>4271</v>
      </c>
      <c r="G2007" s="25" t="s">
        <v>41</v>
      </c>
      <c r="H2007" s="25" t="s">
        <v>71</v>
      </c>
      <c r="I2007" s="3" t="s">
        <v>4953</v>
      </c>
      <c r="J2007" s="25" t="s">
        <v>22</v>
      </c>
      <c r="K2007" s="28">
        <v>3</v>
      </c>
      <c r="L2007" s="7">
        <v>42364</v>
      </c>
      <c r="M2007" s="28">
        <f>Table11[[#This Row],[Ship Date]]-Table11[[#This Row],[Order Date]]</f>
        <v>6</v>
      </c>
      <c r="N2007" s="25" t="s">
        <v>45</v>
      </c>
      <c r="O2007" s="25" t="s">
        <v>23</v>
      </c>
      <c r="P2007" s="25" t="s">
        <v>285</v>
      </c>
      <c r="Q2007" s="25" t="s">
        <v>26</v>
      </c>
      <c r="R2007" s="25" t="s">
        <v>997</v>
      </c>
      <c r="S2007" s="35">
        <v>0</v>
      </c>
      <c r="T2007" s="16">
        <v>36.270000000000003</v>
      </c>
      <c r="U2007" s="19">
        <v>10.881</v>
      </c>
      <c r="V2007" s="56">
        <f>Table11[[#This Row],[Profit]]/Table11[[#This Row],[Sales]]</f>
        <v>0.3</v>
      </c>
    </row>
    <row r="2008" spans="1:22" x14ac:dyDescent="0.2">
      <c r="A2008" s="4">
        <v>2007</v>
      </c>
      <c r="B2008" s="5" t="s">
        <v>9586</v>
      </c>
      <c r="C2008" s="6">
        <v>42358</v>
      </c>
      <c r="D2008" s="27">
        <f>MONTH(Table11[[#This Row],[Order Date]])</f>
        <v>12</v>
      </c>
      <c r="E2008" s="5" t="s">
        <v>2491</v>
      </c>
      <c r="F2008" s="5" t="s">
        <v>2492</v>
      </c>
      <c r="G2008" s="24" t="s">
        <v>64</v>
      </c>
      <c r="H2008" s="24" t="s">
        <v>144</v>
      </c>
      <c r="I2008" s="5" t="s">
        <v>3924</v>
      </c>
      <c r="J2008" s="24" t="s">
        <v>92</v>
      </c>
      <c r="K2008" s="27">
        <v>2</v>
      </c>
      <c r="L2008" s="6">
        <v>42359</v>
      </c>
      <c r="M2008" s="27">
        <f>Table11[[#This Row],[Ship Date]]-Table11[[#This Row],[Order Date]]</f>
        <v>1</v>
      </c>
      <c r="N2008" s="24" t="s">
        <v>169</v>
      </c>
      <c r="O2008" s="24" t="s">
        <v>23</v>
      </c>
      <c r="P2008" s="24" t="s">
        <v>94</v>
      </c>
      <c r="Q2008" s="24" t="s">
        <v>95</v>
      </c>
      <c r="R2008" s="24" t="s">
        <v>165</v>
      </c>
      <c r="S2008" s="34">
        <v>0.2</v>
      </c>
      <c r="T2008" s="15">
        <v>100.8</v>
      </c>
      <c r="U2008" s="18">
        <v>21.42</v>
      </c>
      <c r="V2008" s="56">
        <f>Table11[[#This Row],[Profit]]/Table11[[#This Row],[Sales]]</f>
        <v>0.21250000000000002</v>
      </c>
    </row>
    <row r="2009" spans="1:22" x14ac:dyDescent="0.2">
      <c r="A2009" s="4">
        <v>2008</v>
      </c>
      <c r="B2009" s="3" t="s">
        <v>2657</v>
      </c>
      <c r="C2009" s="7">
        <v>42359</v>
      </c>
      <c r="D2009" s="28">
        <f>MONTH(Table11[[#This Row],[Order Date]])</f>
        <v>12</v>
      </c>
      <c r="E2009" s="3" t="s">
        <v>778</v>
      </c>
      <c r="F2009" s="3" t="s">
        <v>779</v>
      </c>
      <c r="G2009" s="25" t="s">
        <v>28</v>
      </c>
      <c r="H2009" s="25" t="s">
        <v>50</v>
      </c>
      <c r="I2009" s="3" t="s">
        <v>2658</v>
      </c>
      <c r="J2009" s="25" t="s">
        <v>22</v>
      </c>
      <c r="K2009" s="28">
        <v>13</v>
      </c>
      <c r="L2009" s="7">
        <v>42362</v>
      </c>
      <c r="M2009" s="28">
        <f>Table11[[#This Row],[Ship Date]]-Table11[[#This Row],[Order Date]]</f>
        <v>3</v>
      </c>
      <c r="N2009" s="25" t="s">
        <v>20</v>
      </c>
      <c r="O2009" s="25" t="s">
        <v>23</v>
      </c>
      <c r="P2009" s="25" t="s">
        <v>87</v>
      </c>
      <c r="Q2009" s="25" t="s">
        <v>39</v>
      </c>
      <c r="R2009" s="25" t="s">
        <v>86</v>
      </c>
      <c r="S2009" s="35">
        <v>0</v>
      </c>
      <c r="T2009" s="16">
        <v>1618.37</v>
      </c>
      <c r="U2009" s="19">
        <v>356.04140000000001</v>
      </c>
      <c r="V2009" s="56">
        <f>Table11[[#This Row],[Profit]]/Table11[[#This Row],[Sales]]</f>
        <v>0.22000000000000003</v>
      </c>
    </row>
    <row r="2010" spans="1:22" x14ac:dyDescent="0.2">
      <c r="A2010" s="2">
        <v>2009</v>
      </c>
      <c r="B2010" s="5" t="s">
        <v>2657</v>
      </c>
      <c r="C2010" s="6">
        <v>42359</v>
      </c>
      <c r="D2010" s="27">
        <f>MONTH(Table11[[#This Row],[Order Date]])</f>
        <v>12</v>
      </c>
      <c r="E2010" s="5" t="s">
        <v>2659</v>
      </c>
      <c r="F2010" s="5" t="s">
        <v>2660</v>
      </c>
      <c r="G2010" s="24" t="s">
        <v>64</v>
      </c>
      <c r="H2010" s="24" t="s">
        <v>144</v>
      </c>
      <c r="I2010" s="5" t="s">
        <v>2658</v>
      </c>
      <c r="J2010" s="24" t="s">
        <v>22</v>
      </c>
      <c r="K2010" s="27">
        <v>1</v>
      </c>
      <c r="L2010" s="6">
        <v>42362</v>
      </c>
      <c r="M2010" s="27">
        <f>Table11[[#This Row],[Ship Date]]-Table11[[#This Row],[Order Date]]</f>
        <v>3</v>
      </c>
      <c r="N2010" s="24" t="s">
        <v>20</v>
      </c>
      <c r="O2010" s="24" t="s">
        <v>23</v>
      </c>
      <c r="P2010" s="24" t="s">
        <v>87</v>
      </c>
      <c r="Q2010" s="24" t="s">
        <v>39</v>
      </c>
      <c r="R2010" s="24" t="s">
        <v>86</v>
      </c>
      <c r="S2010" s="34">
        <v>0</v>
      </c>
      <c r="T2010" s="15">
        <v>99.6</v>
      </c>
      <c r="U2010" s="18">
        <v>36.851999999999997</v>
      </c>
      <c r="V2010" s="56">
        <f>Table11[[#This Row],[Profit]]/Table11[[#This Row],[Sales]]</f>
        <v>0.37</v>
      </c>
    </row>
    <row r="2011" spans="1:22" x14ac:dyDescent="0.2">
      <c r="A2011" s="4">
        <v>2010</v>
      </c>
      <c r="B2011" s="3" t="s">
        <v>5299</v>
      </c>
      <c r="C2011" s="7">
        <v>42359</v>
      </c>
      <c r="D2011" s="28">
        <f>MONTH(Table11[[#This Row],[Order Date]])</f>
        <v>12</v>
      </c>
      <c r="E2011" s="3" t="s">
        <v>3197</v>
      </c>
      <c r="F2011" s="3" t="s">
        <v>3198</v>
      </c>
      <c r="G2011" s="25" t="s">
        <v>41</v>
      </c>
      <c r="H2011" s="25" t="s">
        <v>71</v>
      </c>
      <c r="I2011" s="3" t="s">
        <v>386</v>
      </c>
      <c r="J2011" s="25" t="s">
        <v>36</v>
      </c>
      <c r="K2011" s="28">
        <v>7</v>
      </c>
      <c r="L2011" s="7">
        <v>42363</v>
      </c>
      <c r="M2011" s="28">
        <f>Table11[[#This Row],[Ship Date]]-Table11[[#This Row],[Order Date]]</f>
        <v>4</v>
      </c>
      <c r="N2011" s="25" t="s">
        <v>45</v>
      </c>
      <c r="O2011" s="25" t="s">
        <v>23</v>
      </c>
      <c r="P2011" s="25" t="s">
        <v>405</v>
      </c>
      <c r="Q2011" s="25" t="s">
        <v>39</v>
      </c>
      <c r="R2011" s="25" t="s">
        <v>954</v>
      </c>
      <c r="S2011" s="35">
        <v>0.2</v>
      </c>
      <c r="T2011" s="16">
        <v>60.984000000000002</v>
      </c>
      <c r="U2011" s="19">
        <v>4.5738000000000003</v>
      </c>
      <c r="V2011" s="56">
        <f>Table11[[#This Row],[Profit]]/Table11[[#This Row],[Sales]]</f>
        <v>7.4999999999999997E-2</v>
      </c>
    </row>
    <row r="2012" spans="1:22" x14ac:dyDescent="0.2">
      <c r="A2012" s="4">
        <v>2011</v>
      </c>
      <c r="B2012" s="5" t="s">
        <v>6469</v>
      </c>
      <c r="C2012" s="6">
        <v>42359</v>
      </c>
      <c r="D2012" s="27">
        <f>MONTH(Table11[[#This Row],[Order Date]])</f>
        <v>12</v>
      </c>
      <c r="E2012" s="5" t="s">
        <v>493</v>
      </c>
      <c r="F2012" s="5" t="s">
        <v>494</v>
      </c>
      <c r="G2012" s="24" t="s">
        <v>64</v>
      </c>
      <c r="H2012" s="24" t="s">
        <v>65</v>
      </c>
      <c r="I2012" s="5" t="s">
        <v>1546</v>
      </c>
      <c r="J2012" s="24" t="s">
        <v>22</v>
      </c>
      <c r="K2012" s="27">
        <v>3</v>
      </c>
      <c r="L2012" s="6">
        <v>42362</v>
      </c>
      <c r="M2012" s="27">
        <f>Table11[[#This Row],[Ship Date]]-Table11[[#This Row],[Order Date]]</f>
        <v>3</v>
      </c>
      <c r="N2012" s="24" t="s">
        <v>169</v>
      </c>
      <c r="O2012" s="24" t="s">
        <v>23</v>
      </c>
      <c r="P2012" s="24" t="s">
        <v>80</v>
      </c>
      <c r="Q2012" s="24" t="s">
        <v>26</v>
      </c>
      <c r="R2012" s="24" t="s">
        <v>1345</v>
      </c>
      <c r="S2012" s="34">
        <v>0.2</v>
      </c>
      <c r="T2012" s="15">
        <v>47.975999999999999</v>
      </c>
      <c r="U2012" s="18">
        <v>4.7976000000000001</v>
      </c>
      <c r="V2012" s="56">
        <f>Table11[[#This Row],[Profit]]/Table11[[#This Row],[Sales]]</f>
        <v>0.1</v>
      </c>
    </row>
    <row r="2013" spans="1:22" x14ac:dyDescent="0.2">
      <c r="A2013" s="2">
        <v>2012</v>
      </c>
      <c r="B2013" s="3" t="s">
        <v>6680</v>
      </c>
      <c r="C2013" s="7">
        <v>42359</v>
      </c>
      <c r="D2013" s="28">
        <f>MONTH(Table11[[#This Row],[Order Date]])</f>
        <v>12</v>
      </c>
      <c r="E2013" s="3" t="s">
        <v>6683</v>
      </c>
      <c r="F2013" s="3" t="s">
        <v>6684</v>
      </c>
      <c r="G2013" s="25" t="s">
        <v>64</v>
      </c>
      <c r="H2013" s="25" t="s">
        <v>144</v>
      </c>
      <c r="I2013" s="3" t="s">
        <v>6681</v>
      </c>
      <c r="J2013" s="25" t="s">
        <v>22</v>
      </c>
      <c r="K2013" s="28">
        <v>6</v>
      </c>
      <c r="L2013" s="7">
        <v>42365</v>
      </c>
      <c r="M2013" s="28">
        <f>Table11[[#This Row],[Ship Date]]-Table11[[#This Row],[Order Date]]</f>
        <v>6</v>
      </c>
      <c r="N2013" s="25" t="s">
        <v>45</v>
      </c>
      <c r="O2013" s="25" t="s">
        <v>23</v>
      </c>
      <c r="P2013" s="25" t="s">
        <v>48</v>
      </c>
      <c r="Q2013" s="25" t="s">
        <v>26</v>
      </c>
      <c r="R2013" s="25" t="s">
        <v>6682</v>
      </c>
      <c r="S2013" s="35">
        <v>0.2</v>
      </c>
      <c r="T2013" s="16">
        <v>50.88</v>
      </c>
      <c r="U2013" s="19">
        <v>14.628</v>
      </c>
      <c r="V2013" s="56">
        <f>Table11[[#This Row],[Profit]]/Table11[[#This Row],[Sales]]</f>
        <v>0.28749999999999998</v>
      </c>
    </row>
    <row r="2014" spans="1:22" x14ac:dyDescent="0.2">
      <c r="A2014" s="4">
        <v>2013</v>
      </c>
      <c r="B2014" s="5" t="s">
        <v>6680</v>
      </c>
      <c r="C2014" s="6">
        <v>42359</v>
      </c>
      <c r="D2014" s="27">
        <f>MONTH(Table11[[#This Row],[Order Date]])</f>
        <v>12</v>
      </c>
      <c r="E2014" s="5" t="s">
        <v>2857</v>
      </c>
      <c r="F2014" s="5" t="s">
        <v>2858</v>
      </c>
      <c r="G2014" s="24" t="s">
        <v>41</v>
      </c>
      <c r="H2014" s="24" t="s">
        <v>155</v>
      </c>
      <c r="I2014" s="5" t="s">
        <v>6681</v>
      </c>
      <c r="J2014" s="24" t="s">
        <v>22</v>
      </c>
      <c r="K2014" s="27">
        <v>2</v>
      </c>
      <c r="L2014" s="6">
        <v>42365</v>
      </c>
      <c r="M2014" s="27">
        <f>Table11[[#This Row],[Ship Date]]-Table11[[#This Row],[Order Date]]</f>
        <v>6</v>
      </c>
      <c r="N2014" s="24" t="s">
        <v>45</v>
      </c>
      <c r="O2014" s="24" t="s">
        <v>23</v>
      </c>
      <c r="P2014" s="24" t="s">
        <v>48</v>
      </c>
      <c r="Q2014" s="24" t="s">
        <v>26</v>
      </c>
      <c r="R2014" s="24" t="s">
        <v>6682</v>
      </c>
      <c r="S2014" s="34">
        <v>0.2</v>
      </c>
      <c r="T2014" s="15">
        <v>27.312000000000001</v>
      </c>
      <c r="U2014" s="18">
        <v>9.2178000000000004</v>
      </c>
      <c r="V2014" s="56">
        <f>Table11[[#This Row],[Profit]]/Table11[[#This Row],[Sales]]</f>
        <v>0.33750000000000002</v>
      </c>
    </row>
    <row r="2015" spans="1:22" x14ac:dyDescent="0.2">
      <c r="A2015" s="4">
        <v>2014</v>
      </c>
      <c r="B2015" s="3" t="s">
        <v>8866</v>
      </c>
      <c r="C2015" s="7">
        <v>42359</v>
      </c>
      <c r="D2015" s="28">
        <f>MONTH(Table11[[#This Row],[Order Date]])</f>
        <v>12</v>
      </c>
      <c r="E2015" s="3" t="s">
        <v>2986</v>
      </c>
      <c r="F2015" s="3" t="s">
        <v>2987</v>
      </c>
      <c r="G2015" s="25" t="s">
        <v>41</v>
      </c>
      <c r="H2015" s="25" t="s">
        <v>61</v>
      </c>
      <c r="I2015" s="3" t="s">
        <v>2486</v>
      </c>
      <c r="J2015" s="25" t="s">
        <v>36</v>
      </c>
      <c r="K2015" s="28">
        <v>2</v>
      </c>
      <c r="L2015" s="7">
        <v>42361</v>
      </c>
      <c r="M2015" s="28">
        <f>Table11[[#This Row],[Ship Date]]-Table11[[#This Row],[Order Date]]</f>
        <v>2</v>
      </c>
      <c r="N2015" s="25" t="s">
        <v>20</v>
      </c>
      <c r="O2015" s="25" t="s">
        <v>23</v>
      </c>
      <c r="P2015" s="25" t="s">
        <v>441</v>
      </c>
      <c r="Q2015" s="25" t="s">
        <v>133</v>
      </c>
      <c r="R2015" s="25" t="s">
        <v>440</v>
      </c>
      <c r="S2015" s="35">
        <v>0.2</v>
      </c>
      <c r="T2015" s="16">
        <v>3.008</v>
      </c>
      <c r="U2015" s="19">
        <v>0.33839999999999998</v>
      </c>
      <c r="V2015" s="56">
        <f>Table11[[#This Row],[Profit]]/Table11[[#This Row],[Sales]]</f>
        <v>0.11249999999999999</v>
      </c>
    </row>
    <row r="2016" spans="1:22" x14ac:dyDescent="0.2">
      <c r="A2016" s="2">
        <v>2015</v>
      </c>
      <c r="B2016" s="5" t="s">
        <v>9152</v>
      </c>
      <c r="C2016" s="6">
        <v>42359</v>
      </c>
      <c r="D2016" s="27">
        <f>MONTH(Table11[[#This Row],[Order Date]])</f>
        <v>12</v>
      </c>
      <c r="E2016" s="5" t="s">
        <v>2908</v>
      </c>
      <c r="F2016" s="5" t="s">
        <v>2909</v>
      </c>
      <c r="G2016" s="24" t="s">
        <v>64</v>
      </c>
      <c r="H2016" s="24" t="s">
        <v>602</v>
      </c>
      <c r="I2016" s="5" t="s">
        <v>3315</v>
      </c>
      <c r="J2016" s="24" t="s">
        <v>92</v>
      </c>
      <c r="K2016" s="27">
        <v>2</v>
      </c>
      <c r="L2016" s="6">
        <v>42364</v>
      </c>
      <c r="M2016" s="27">
        <f>Table11[[#This Row],[Ship Date]]-Table11[[#This Row],[Order Date]]</f>
        <v>5</v>
      </c>
      <c r="N2016" s="24" t="s">
        <v>20</v>
      </c>
      <c r="O2016" s="24" t="s">
        <v>23</v>
      </c>
      <c r="P2016" s="24" t="s">
        <v>189</v>
      </c>
      <c r="Q2016" s="24" t="s">
        <v>95</v>
      </c>
      <c r="R2016" s="24" t="s">
        <v>8529</v>
      </c>
      <c r="S2016" s="34">
        <v>0.3</v>
      </c>
      <c r="T2016" s="15">
        <v>600.53</v>
      </c>
      <c r="U2016" s="18">
        <v>137.26400000000001</v>
      </c>
      <c r="V2016" s="56">
        <f>Table11[[#This Row],[Profit]]/Table11[[#This Row],[Sales]]</f>
        <v>0.22857142857142859</v>
      </c>
    </row>
    <row r="2017" spans="1:22" x14ac:dyDescent="0.2">
      <c r="A2017" s="4">
        <v>2016</v>
      </c>
      <c r="B2017" s="3" t="s">
        <v>9152</v>
      </c>
      <c r="C2017" s="7">
        <v>42359</v>
      </c>
      <c r="D2017" s="28">
        <f>MONTH(Table11[[#This Row],[Order Date]])</f>
        <v>12</v>
      </c>
      <c r="E2017" s="3" t="s">
        <v>2497</v>
      </c>
      <c r="F2017" s="3" t="s">
        <v>2498</v>
      </c>
      <c r="G2017" s="25" t="s">
        <v>41</v>
      </c>
      <c r="H2017" s="25" t="s">
        <v>61</v>
      </c>
      <c r="I2017" s="3" t="s">
        <v>3315</v>
      </c>
      <c r="J2017" s="25" t="s">
        <v>92</v>
      </c>
      <c r="K2017" s="28">
        <v>2</v>
      </c>
      <c r="L2017" s="7">
        <v>42364</v>
      </c>
      <c r="M2017" s="28">
        <f>Table11[[#This Row],[Ship Date]]-Table11[[#This Row],[Order Date]]</f>
        <v>5</v>
      </c>
      <c r="N2017" s="25" t="s">
        <v>20</v>
      </c>
      <c r="O2017" s="25" t="s">
        <v>23</v>
      </c>
      <c r="P2017" s="25" t="s">
        <v>189</v>
      </c>
      <c r="Q2017" s="25" t="s">
        <v>95</v>
      </c>
      <c r="R2017" s="25" t="s">
        <v>8529</v>
      </c>
      <c r="S2017" s="35">
        <v>0.2</v>
      </c>
      <c r="T2017" s="16">
        <v>59.904000000000003</v>
      </c>
      <c r="U2017" s="19">
        <v>14.2272</v>
      </c>
      <c r="V2017" s="56">
        <f>Table11[[#This Row],[Profit]]/Table11[[#This Row],[Sales]]</f>
        <v>0.23749999999999999</v>
      </c>
    </row>
    <row r="2018" spans="1:22" x14ac:dyDescent="0.2">
      <c r="A2018" s="4">
        <v>2017</v>
      </c>
      <c r="B2018" s="5" t="s">
        <v>9152</v>
      </c>
      <c r="C2018" s="6">
        <v>42359</v>
      </c>
      <c r="D2018" s="27">
        <f>MONTH(Table11[[#This Row],[Order Date]])</f>
        <v>12</v>
      </c>
      <c r="E2018" s="5" t="s">
        <v>2659</v>
      </c>
      <c r="F2018" s="5" t="s">
        <v>2660</v>
      </c>
      <c r="G2018" s="24" t="s">
        <v>64</v>
      </c>
      <c r="H2018" s="24" t="s">
        <v>144</v>
      </c>
      <c r="I2018" s="5" t="s">
        <v>3315</v>
      </c>
      <c r="J2018" s="24" t="s">
        <v>92</v>
      </c>
      <c r="K2018" s="27">
        <v>8</v>
      </c>
      <c r="L2018" s="6">
        <v>42364</v>
      </c>
      <c r="M2018" s="27">
        <f>Table11[[#This Row],[Ship Date]]-Table11[[#This Row],[Order Date]]</f>
        <v>5</v>
      </c>
      <c r="N2018" s="24" t="s">
        <v>20</v>
      </c>
      <c r="O2018" s="24" t="s">
        <v>23</v>
      </c>
      <c r="P2018" s="24" t="s">
        <v>189</v>
      </c>
      <c r="Q2018" s="24" t="s">
        <v>95</v>
      </c>
      <c r="R2018" s="24" t="s">
        <v>8529</v>
      </c>
      <c r="S2018" s="34">
        <v>0.2</v>
      </c>
      <c r="T2018" s="15">
        <v>637.44000000000005</v>
      </c>
      <c r="U2018" s="18">
        <v>135.45599999999999</v>
      </c>
      <c r="V2018" s="56">
        <f>Table11[[#This Row],[Profit]]/Table11[[#This Row],[Sales]]</f>
        <v>0.21249999999999997</v>
      </c>
    </row>
    <row r="2019" spans="1:22" x14ac:dyDescent="0.2">
      <c r="A2019" s="2">
        <v>2018</v>
      </c>
      <c r="B2019" s="3" t="s">
        <v>9152</v>
      </c>
      <c r="C2019" s="7">
        <v>42359</v>
      </c>
      <c r="D2019" s="28">
        <f>MONTH(Table11[[#This Row],[Order Date]])</f>
        <v>12</v>
      </c>
      <c r="E2019" s="3" t="s">
        <v>1659</v>
      </c>
      <c r="F2019" s="3" t="s">
        <v>1660</v>
      </c>
      <c r="G2019" s="25" t="s">
        <v>28</v>
      </c>
      <c r="H2019" s="25" t="s">
        <v>58</v>
      </c>
      <c r="I2019" s="3" t="s">
        <v>3315</v>
      </c>
      <c r="J2019" s="25" t="s">
        <v>92</v>
      </c>
      <c r="K2019" s="28">
        <v>3</v>
      </c>
      <c r="L2019" s="7">
        <v>42364</v>
      </c>
      <c r="M2019" s="28">
        <f>Table11[[#This Row],[Ship Date]]-Table11[[#This Row],[Order Date]]</f>
        <v>5</v>
      </c>
      <c r="N2019" s="25" t="s">
        <v>20</v>
      </c>
      <c r="O2019" s="25" t="s">
        <v>23</v>
      </c>
      <c r="P2019" s="25" t="s">
        <v>189</v>
      </c>
      <c r="Q2019" s="25" t="s">
        <v>95</v>
      </c>
      <c r="R2019" s="25" t="s">
        <v>8529</v>
      </c>
      <c r="S2019" s="35">
        <v>0.6</v>
      </c>
      <c r="T2019" s="16">
        <v>51.756</v>
      </c>
      <c r="U2019" s="19">
        <v>-33.641399999999997</v>
      </c>
      <c r="V2019" s="56">
        <f>Table11[[#This Row],[Profit]]/Table11[[#This Row],[Sales]]</f>
        <v>-0.64999999999999991</v>
      </c>
    </row>
    <row r="2020" spans="1:22" x14ac:dyDescent="0.2">
      <c r="A2020" s="4">
        <v>2019</v>
      </c>
      <c r="B2020" s="5" t="s">
        <v>6426</v>
      </c>
      <c r="C2020" s="6">
        <v>42360</v>
      </c>
      <c r="D2020" s="27">
        <f>MONTH(Table11[[#This Row],[Order Date]])</f>
        <v>12</v>
      </c>
      <c r="E2020" s="5" t="s">
        <v>2712</v>
      </c>
      <c r="F2020" s="5" t="s">
        <v>2713</v>
      </c>
      <c r="G2020" s="24" t="s">
        <v>41</v>
      </c>
      <c r="H2020" s="24" t="s">
        <v>61</v>
      </c>
      <c r="I2020" s="5" t="s">
        <v>3386</v>
      </c>
      <c r="J2020" s="24" t="s">
        <v>92</v>
      </c>
      <c r="K2020" s="27">
        <v>4</v>
      </c>
      <c r="L2020" s="6">
        <v>42365</v>
      </c>
      <c r="M2020" s="27">
        <f>Table11[[#This Row],[Ship Date]]-Table11[[#This Row],[Order Date]]</f>
        <v>5</v>
      </c>
      <c r="N2020" s="24" t="s">
        <v>45</v>
      </c>
      <c r="O2020" s="24" t="s">
        <v>23</v>
      </c>
      <c r="P2020" s="24" t="s">
        <v>103</v>
      </c>
      <c r="Q2020" s="24" t="s">
        <v>95</v>
      </c>
      <c r="R2020" s="24" t="s">
        <v>6427</v>
      </c>
      <c r="S2020" s="34">
        <v>0</v>
      </c>
      <c r="T2020" s="15">
        <v>17.12</v>
      </c>
      <c r="U2020" s="18">
        <v>4.9648000000000003</v>
      </c>
      <c r="V2020" s="56">
        <f>Table11[[#This Row],[Profit]]/Table11[[#This Row],[Sales]]</f>
        <v>0.28999999999999998</v>
      </c>
    </row>
    <row r="2021" spans="1:22" x14ac:dyDescent="0.2">
      <c r="A2021" s="4">
        <v>2020</v>
      </c>
      <c r="B2021" s="3" t="s">
        <v>9312</v>
      </c>
      <c r="C2021" s="7">
        <v>42360</v>
      </c>
      <c r="D2021" s="28">
        <f>MONTH(Table11[[#This Row],[Order Date]])</f>
        <v>12</v>
      </c>
      <c r="E2021" s="3" t="s">
        <v>4349</v>
      </c>
      <c r="F2021" s="3" t="s">
        <v>4350</v>
      </c>
      <c r="G2021" s="25" t="s">
        <v>41</v>
      </c>
      <c r="H2021" s="25" t="s">
        <v>53</v>
      </c>
      <c r="I2021" s="3" t="s">
        <v>2992</v>
      </c>
      <c r="J2021" s="25" t="s">
        <v>36</v>
      </c>
      <c r="K2021" s="28">
        <v>2</v>
      </c>
      <c r="L2021" s="7">
        <v>42361</v>
      </c>
      <c r="M2021" s="28">
        <f>Table11[[#This Row],[Ship Date]]-Table11[[#This Row],[Order Date]]</f>
        <v>1</v>
      </c>
      <c r="N2021" s="25" t="s">
        <v>169</v>
      </c>
      <c r="O2021" s="25" t="s">
        <v>23</v>
      </c>
      <c r="P2021" s="25" t="s">
        <v>132</v>
      </c>
      <c r="Q2021" s="25" t="s">
        <v>133</v>
      </c>
      <c r="R2021" s="25" t="s">
        <v>131</v>
      </c>
      <c r="S2021" s="35">
        <v>0.2</v>
      </c>
      <c r="T2021" s="16">
        <v>33.567999999999998</v>
      </c>
      <c r="U2021" s="19">
        <v>1.6783999999999999</v>
      </c>
      <c r="V2021" s="56">
        <f>Table11[[#This Row],[Profit]]/Table11[[#This Row],[Sales]]</f>
        <v>0.05</v>
      </c>
    </row>
    <row r="2022" spans="1:22" x14ac:dyDescent="0.2">
      <c r="A2022" s="2">
        <v>2021</v>
      </c>
      <c r="B2022" s="5" t="s">
        <v>9312</v>
      </c>
      <c r="C2022" s="6">
        <v>42360</v>
      </c>
      <c r="D2022" s="27">
        <f>MONTH(Table11[[#This Row],[Order Date]])</f>
        <v>12</v>
      </c>
      <c r="E2022" s="5" t="s">
        <v>2979</v>
      </c>
      <c r="F2022" s="5" t="s">
        <v>2980</v>
      </c>
      <c r="G2022" s="24" t="s">
        <v>28</v>
      </c>
      <c r="H2022" s="24" t="s">
        <v>32</v>
      </c>
      <c r="I2022" s="5" t="s">
        <v>2992</v>
      </c>
      <c r="J2022" s="24" t="s">
        <v>36</v>
      </c>
      <c r="K2022" s="27">
        <v>7</v>
      </c>
      <c r="L2022" s="6">
        <v>42361</v>
      </c>
      <c r="M2022" s="27">
        <f>Table11[[#This Row],[Ship Date]]-Table11[[#This Row],[Order Date]]</f>
        <v>1</v>
      </c>
      <c r="N2022" s="24" t="s">
        <v>169</v>
      </c>
      <c r="O2022" s="24" t="s">
        <v>23</v>
      </c>
      <c r="P2022" s="24" t="s">
        <v>132</v>
      </c>
      <c r="Q2022" s="24" t="s">
        <v>133</v>
      </c>
      <c r="R2022" s="24" t="s">
        <v>131</v>
      </c>
      <c r="S2022" s="34">
        <v>0.3</v>
      </c>
      <c r="T2022" s="15">
        <v>422.625</v>
      </c>
      <c r="U2022" s="18">
        <v>0</v>
      </c>
      <c r="V2022" s="56">
        <f>Table11[[#This Row],[Profit]]/Table11[[#This Row],[Sales]]</f>
        <v>0</v>
      </c>
    </row>
    <row r="2023" spans="1:22" x14ac:dyDescent="0.2">
      <c r="A2023" s="4">
        <v>2022</v>
      </c>
      <c r="B2023" s="3" t="s">
        <v>4728</v>
      </c>
      <c r="C2023" s="7">
        <v>42361</v>
      </c>
      <c r="D2023" s="28">
        <f>MONTH(Table11[[#This Row],[Order Date]])</f>
        <v>12</v>
      </c>
      <c r="E2023" s="3" t="s">
        <v>1828</v>
      </c>
      <c r="F2023" s="3" t="s">
        <v>1829</v>
      </c>
      <c r="G2023" s="25" t="s">
        <v>41</v>
      </c>
      <c r="H2023" s="25" t="s">
        <v>71</v>
      </c>
      <c r="I2023" s="3" t="s">
        <v>1630</v>
      </c>
      <c r="J2023" s="25" t="s">
        <v>22</v>
      </c>
      <c r="K2023" s="28">
        <v>4</v>
      </c>
      <c r="L2023" s="7">
        <v>42364</v>
      </c>
      <c r="M2023" s="28">
        <f>Table11[[#This Row],[Ship Date]]-Table11[[#This Row],[Order Date]]</f>
        <v>3</v>
      </c>
      <c r="N2023" s="25" t="s">
        <v>169</v>
      </c>
      <c r="O2023" s="25" t="s">
        <v>23</v>
      </c>
      <c r="P2023" s="25" t="s">
        <v>285</v>
      </c>
      <c r="Q2023" s="25" t="s">
        <v>26</v>
      </c>
      <c r="R2023" s="25" t="s">
        <v>1294</v>
      </c>
      <c r="S2023" s="35">
        <v>0</v>
      </c>
      <c r="T2023" s="16">
        <v>194.32</v>
      </c>
      <c r="U2023" s="19">
        <v>56.352800000000002</v>
      </c>
      <c r="V2023" s="56">
        <f>Table11[[#This Row],[Profit]]/Table11[[#This Row],[Sales]]</f>
        <v>0.29000000000000004</v>
      </c>
    </row>
    <row r="2024" spans="1:22" x14ac:dyDescent="0.2">
      <c r="A2024" s="4">
        <v>2023</v>
      </c>
      <c r="B2024" s="5" t="s">
        <v>760</v>
      </c>
      <c r="C2024" s="6">
        <v>42362</v>
      </c>
      <c r="D2024" s="27">
        <f>MONTH(Table11[[#This Row],[Order Date]])</f>
        <v>12</v>
      </c>
      <c r="E2024" s="5" t="s">
        <v>763</v>
      </c>
      <c r="F2024" s="5" t="s">
        <v>764</v>
      </c>
      <c r="G2024" s="24" t="s">
        <v>41</v>
      </c>
      <c r="H2024" s="24" t="s">
        <v>240</v>
      </c>
      <c r="I2024" s="5" t="s">
        <v>761</v>
      </c>
      <c r="J2024" s="24" t="s">
        <v>22</v>
      </c>
      <c r="K2024" s="27">
        <v>2</v>
      </c>
      <c r="L2024" s="6">
        <v>42365</v>
      </c>
      <c r="M2024" s="27">
        <f>Table11[[#This Row],[Ship Date]]-Table11[[#This Row],[Order Date]]</f>
        <v>3</v>
      </c>
      <c r="N2024" s="24" t="s">
        <v>169</v>
      </c>
      <c r="O2024" s="24" t="s">
        <v>23</v>
      </c>
      <c r="P2024" s="24" t="s">
        <v>441</v>
      </c>
      <c r="Q2024" s="24" t="s">
        <v>133</v>
      </c>
      <c r="R2024" s="24" t="s">
        <v>762</v>
      </c>
      <c r="S2024" s="34">
        <v>0.2</v>
      </c>
      <c r="T2024" s="15">
        <v>5.5839999999999996</v>
      </c>
      <c r="U2024" s="18">
        <v>1.8148</v>
      </c>
      <c r="V2024" s="56">
        <f>Table11[[#This Row],[Profit]]/Table11[[#This Row],[Sales]]</f>
        <v>0.32500000000000001</v>
      </c>
    </row>
    <row r="2025" spans="1:22" x14ac:dyDescent="0.2">
      <c r="A2025" s="2">
        <v>2024</v>
      </c>
      <c r="B2025" s="3" t="s">
        <v>760</v>
      </c>
      <c r="C2025" s="7">
        <v>42362</v>
      </c>
      <c r="D2025" s="28">
        <f>MONTH(Table11[[#This Row],[Order Date]])</f>
        <v>12</v>
      </c>
      <c r="E2025" s="3" t="s">
        <v>765</v>
      </c>
      <c r="F2025" s="3" t="s">
        <v>766</v>
      </c>
      <c r="G2025" s="25" t="s">
        <v>41</v>
      </c>
      <c r="H2025" s="25" t="s">
        <v>82</v>
      </c>
      <c r="I2025" s="3" t="s">
        <v>761</v>
      </c>
      <c r="J2025" s="25" t="s">
        <v>22</v>
      </c>
      <c r="K2025" s="28">
        <v>6</v>
      </c>
      <c r="L2025" s="7">
        <v>42365</v>
      </c>
      <c r="M2025" s="28">
        <f>Table11[[#This Row],[Ship Date]]-Table11[[#This Row],[Order Date]]</f>
        <v>3</v>
      </c>
      <c r="N2025" s="25" t="s">
        <v>169</v>
      </c>
      <c r="O2025" s="25" t="s">
        <v>23</v>
      </c>
      <c r="P2025" s="25" t="s">
        <v>441</v>
      </c>
      <c r="Q2025" s="25" t="s">
        <v>133</v>
      </c>
      <c r="R2025" s="25" t="s">
        <v>762</v>
      </c>
      <c r="S2025" s="35">
        <v>0.2</v>
      </c>
      <c r="T2025" s="16">
        <v>22.704000000000001</v>
      </c>
      <c r="U2025" s="19">
        <v>8.2302</v>
      </c>
      <c r="V2025" s="56">
        <f>Table11[[#This Row],[Profit]]/Table11[[#This Row],[Sales]]</f>
        <v>0.36249999999999999</v>
      </c>
    </row>
    <row r="2026" spans="1:22" x14ac:dyDescent="0.2">
      <c r="A2026" s="4">
        <v>2025</v>
      </c>
      <c r="B2026" s="5" t="s">
        <v>760</v>
      </c>
      <c r="C2026" s="6">
        <v>42362</v>
      </c>
      <c r="D2026" s="27">
        <f>MONTH(Table11[[#This Row],[Order Date]])</f>
        <v>12</v>
      </c>
      <c r="E2026" s="5" t="s">
        <v>369</v>
      </c>
      <c r="F2026" s="5" t="s">
        <v>370</v>
      </c>
      <c r="G2026" s="24" t="s">
        <v>41</v>
      </c>
      <c r="H2026" s="24" t="s">
        <v>68</v>
      </c>
      <c r="I2026" s="5" t="s">
        <v>761</v>
      </c>
      <c r="J2026" s="24" t="s">
        <v>22</v>
      </c>
      <c r="K2026" s="27">
        <v>4</v>
      </c>
      <c r="L2026" s="6">
        <v>42365</v>
      </c>
      <c r="M2026" s="27">
        <f>Table11[[#This Row],[Ship Date]]-Table11[[#This Row],[Order Date]]</f>
        <v>3</v>
      </c>
      <c r="N2026" s="24" t="s">
        <v>169</v>
      </c>
      <c r="O2026" s="24" t="s">
        <v>23</v>
      </c>
      <c r="P2026" s="24" t="s">
        <v>441</v>
      </c>
      <c r="Q2026" s="24" t="s">
        <v>133</v>
      </c>
      <c r="R2026" s="24" t="s">
        <v>762</v>
      </c>
      <c r="S2026" s="34">
        <v>0.7</v>
      </c>
      <c r="T2026" s="15">
        <v>19.776</v>
      </c>
      <c r="U2026" s="18">
        <v>-13.8432</v>
      </c>
      <c r="V2026" s="56">
        <f>Table11[[#This Row],[Profit]]/Table11[[#This Row],[Sales]]</f>
        <v>-0.7</v>
      </c>
    </row>
    <row r="2027" spans="1:22" x14ac:dyDescent="0.2">
      <c r="A2027" s="4">
        <v>2026</v>
      </c>
      <c r="B2027" s="3" t="s">
        <v>760</v>
      </c>
      <c r="C2027" s="7">
        <v>42362</v>
      </c>
      <c r="D2027" s="28">
        <f>MONTH(Table11[[#This Row],[Order Date]])</f>
        <v>12</v>
      </c>
      <c r="E2027" s="3" t="s">
        <v>767</v>
      </c>
      <c r="F2027" s="3" t="s">
        <v>768</v>
      </c>
      <c r="G2027" s="25" t="s">
        <v>28</v>
      </c>
      <c r="H2027" s="25" t="s">
        <v>58</v>
      </c>
      <c r="I2027" s="3" t="s">
        <v>761</v>
      </c>
      <c r="J2027" s="25" t="s">
        <v>22</v>
      </c>
      <c r="K2027" s="28">
        <v>4</v>
      </c>
      <c r="L2027" s="7">
        <v>42365</v>
      </c>
      <c r="M2027" s="28">
        <f>Table11[[#This Row],[Ship Date]]-Table11[[#This Row],[Order Date]]</f>
        <v>3</v>
      </c>
      <c r="N2027" s="25" t="s">
        <v>169</v>
      </c>
      <c r="O2027" s="25" t="s">
        <v>23</v>
      </c>
      <c r="P2027" s="25" t="s">
        <v>441</v>
      </c>
      <c r="Q2027" s="25" t="s">
        <v>133</v>
      </c>
      <c r="R2027" s="25" t="s">
        <v>762</v>
      </c>
      <c r="S2027" s="35">
        <v>0.2</v>
      </c>
      <c r="T2027" s="16">
        <v>72.703999999999994</v>
      </c>
      <c r="U2027" s="19">
        <v>19.084800000000001</v>
      </c>
      <c r="V2027" s="56">
        <f>Table11[[#This Row],[Profit]]/Table11[[#This Row],[Sales]]</f>
        <v>0.26250000000000007</v>
      </c>
    </row>
    <row r="2028" spans="1:22" x14ac:dyDescent="0.2">
      <c r="A2028" s="2">
        <v>2027</v>
      </c>
      <c r="B2028" s="5" t="s">
        <v>760</v>
      </c>
      <c r="C2028" s="6">
        <v>42362</v>
      </c>
      <c r="D2028" s="27">
        <f>MONTH(Table11[[#This Row],[Order Date]])</f>
        <v>12</v>
      </c>
      <c r="E2028" s="5" t="s">
        <v>769</v>
      </c>
      <c r="F2028" s="5" t="s">
        <v>770</v>
      </c>
      <c r="G2028" s="24" t="s">
        <v>64</v>
      </c>
      <c r="H2028" s="24" t="s">
        <v>602</v>
      </c>
      <c r="I2028" s="5" t="s">
        <v>761</v>
      </c>
      <c r="J2028" s="24" t="s">
        <v>22</v>
      </c>
      <c r="K2028" s="27">
        <v>4</v>
      </c>
      <c r="L2028" s="6">
        <v>42365</v>
      </c>
      <c r="M2028" s="27">
        <f>Table11[[#This Row],[Ship Date]]-Table11[[#This Row],[Order Date]]</f>
        <v>3</v>
      </c>
      <c r="N2028" s="24" t="s">
        <v>169</v>
      </c>
      <c r="O2028" s="24" t="s">
        <v>23</v>
      </c>
      <c r="P2028" s="24" t="s">
        <v>441</v>
      </c>
      <c r="Q2028" s="24" t="s">
        <v>133</v>
      </c>
      <c r="R2028" s="24" t="s">
        <v>762</v>
      </c>
      <c r="S2028" s="34">
        <v>0.7</v>
      </c>
      <c r="T2028" s="15">
        <v>479.988</v>
      </c>
      <c r="U2028" s="18">
        <v>-383.99040000000002</v>
      </c>
      <c r="V2028" s="56">
        <f>Table11[[#This Row],[Profit]]/Table11[[#This Row],[Sales]]</f>
        <v>-0.8</v>
      </c>
    </row>
    <row r="2029" spans="1:22" x14ac:dyDescent="0.2">
      <c r="A2029" s="4">
        <v>2028</v>
      </c>
      <c r="B2029" s="3" t="s">
        <v>760</v>
      </c>
      <c r="C2029" s="7">
        <v>42362</v>
      </c>
      <c r="D2029" s="28">
        <f>MONTH(Table11[[#This Row],[Order Date]])</f>
        <v>12</v>
      </c>
      <c r="E2029" s="3" t="s">
        <v>771</v>
      </c>
      <c r="F2029" s="3" t="s">
        <v>772</v>
      </c>
      <c r="G2029" s="25" t="s">
        <v>41</v>
      </c>
      <c r="H2029" s="25" t="s">
        <v>61</v>
      </c>
      <c r="I2029" s="3" t="s">
        <v>761</v>
      </c>
      <c r="J2029" s="25" t="s">
        <v>22</v>
      </c>
      <c r="K2029" s="28">
        <v>2</v>
      </c>
      <c r="L2029" s="7">
        <v>42365</v>
      </c>
      <c r="M2029" s="28">
        <f>Table11[[#This Row],[Ship Date]]-Table11[[#This Row],[Order Date]]</f>
        <v>3</v>
      </c>
      <c r="N2029" s="25" t="s">
        <v>169</v>
      </c>
      <c r="O2029" s="25" t="s">
        <v>23</v>
      </c>
      <c r="P2029" s="25" t="s">
        <v>441</v>
      </c>
      <c r="Q2029" s="25" t="s">
        <v>133</v>
      </c>
      <c r="R2029" s="25" t="s">
        <v>762</v>
      </c>
      <c r="S2029" s="35">
        <v>0.2</v>
      </c>
      <c r="T2029" s="16">
        <v>27.167999999999999</v>
      </c>
      <c r="U2029" s="19">
        <v>2.7168000000000001</v>
      </c>
      <c r="V2029" s="56">
        <f>Table11[[#This Row],[Profit]]/Table11[[#This Row],[Sales]]</f>
        <v>0.1</v>
      </c>
    </row>
    <row r="2030" spans="1:22" x14ac:dyDescent="0.2">
      <c r="A2030" s="4">
        <v>2029</v>
      </c>
      <c r="B2030" s="5" t="s">
        <v>2197</v>
      </c>
      <c r="C2030" s="6">
        <v>42362</v>
      </c>
      <c r="D2030" s="27">
        <f>MONTH(Table11[[#This Row],[Order Date]])</f>
        <v>12</v>
      </c>
      <c r="E2030" s="5" t="s">
        <v>2198</v>
      </c>
      <c r="F2030" s="5" t="s">
        <v>2199</v>
      </c>
      <c r="G2030" s="24" t="s">
        <v>41</v>
      </c>
      <c r="H2030" s="24" t="s">
        <v>82</v>
      </c>
      <c r="I2030" s="5" t="s">
        <v>803</v>
      </c>
      <c r="J2030" s="24" t="s">
        <v>36</v>
      </c>
      <c r="K2030" s="27">
        <v>7</v>
      </c>
      <c r="L2030" s="6">
        <v>42364</v>
      </c>
      <c r="M2030" s="27">
        <f>Table11[[#This Row],[Ship Date]]-Table11[[#This Row],[Order Date]]</f>
        <v>2</v>
      </c>
      <c r="N2030" s="24" t="s">
        <v>169</v>
      </c>
      <c r="O2030" s="24" t="s">
        <v>23</v>
      </c>
      <c r="P2030" s="24" t="s">
        <v>238</v>
      </c>
      <c r="Q2030" s="24" t="s">
        <v>133</v>
      </c>
      <c r="R2030" s="24" t="s">
        <v>347</v>
      </c>
      <c r="S2030" s="34">
        <v>0</v>
      </c>
      <c r="T2030" s="15">
        <v>132.79</v>
      </c>
      <c r="U2030" s="18">
        <v>63.739199999999997</v>
      </c>
      <c r="V2030" s="56">
        <f>Table11[[#This Row],[Profit]]/Table11[[#This Row],[Sales]]</f>
        <v>0.48</v>
      </c>
    </row>
    <row r="2031" spans="1:22" x14ac:dyDescent="0.2">
      <c r="A2031" s="2">
        <v>2030</v>
      </c>
      <c r="B2031" s="3" t="s">
        <v>2197</v>
      </c>
      <c r="C2031" s="7">
        <v>42362</v>
      </c>
      <c r="D2031" s="28">
        <f>MONTH(Table11[[#This Row],[Order Date]])</f>
        <v>12</v>
      </c>
      <c r="E2031" s="3" t="s">
        <v>81</v>
      </c>
      <c r="F2031" s="3" t="s">
        <v>83</v>
      </c>
      <c r="G2031" s="25" t="s">
        <v>41</v>
      </c>
      <c r="H2031" s="25" t="s">
        <v>82</v>
      </c>
      <c r="I2031" s="3" t="s">
        <v>803</v>
      </c>
      <c r="J2031" s="25" t="s">
        <v>36</v>
      </c>
      <c r="K2031" s="28">
        <v>2</v>
      </c>
      <c r="L2031" s="7">
        <v>42364</v>
      </c>
      <c r="M2031" s="28">
        <f>Table11[[#This Row],[Ship Date]]-Table11[[#This Row],[Order Date]]</f>
        <v>2</v>
      </c>
      <c r="N2031" s="25" t="s">
        <v>169</v>
      </c>
      <c r="O2031" s="25" t="s">
        <v>23</v>
      </c>
      <c r="P2031" s="25" t="s">
        <v>238</v>
      </c>
      <c r="Q2031" s="25" t="s">
        <v>133</v>
      </c>
      <c r="R2031" s="25" t="s">
        <v>347</v>
      </c>
      <c r="S2031" s="35">
        <v>0</v>
      </c>
      <c r="T2031" s="16">
        <v>12.96</v>
      </c>
      <c r="U2031" s="19">
        <v>6.2207999999999997</v>
      </c>
      <c r="V2031" s="56">
        <f>Table11[[#This Row],[Profit]]/Table11[[#This Row],[Sales]]</f>
        <v>0.47999999999999993</v>
      </c>
    </row>
    <row r="2032" spans="1:22" x14ac:dyDescent="0.2">
      <c r="A2032" s="4">
        <v>2031</v>
      </c>
      <c r="B2032" s="5" t="s">
        <v>2197</v>
      </c>
      <c r="C2032" s="6">
        <v>42362</v>
      </c>
      <c r="D2032" s="27">
        <f>MONTH(Table11[[#This Row],[Order Date]])</f>
        <v>12</v>
      </c>
      <c r="E2032" s="5" t="s">
        <v>2200</v>
      </c>
      <c r="F2032" s="5" t="s">
        <v>2201</v>
      </c>
      <c r="G2032" s="24" t="s">
        <v>41</v>
      </c>
      <c r="H2032" s="24" t="s">
        <v>42</v>
      </c>
      <c r="I2032" s="5" t="s">
        <v>803</v>
      </c>
      <c r="J2032" s="24" t="s">
        <v>36</v>
      </c>
      <c r="K2032" s="27">
        <v>7</v>
      </c>
      <c r="L2032" s="6">
        <v>42364</v>
      </c>
      <c r="M2032" s="27">
        <f>Table11[[#This Row],[Ship Date]]-Table11[[#This Row],[Order Date]]</f>
        <v>2</v>
      </c>
      <c r="N2032" s="24" t="s">
        <v>169</v>
      </c>
      <c r="O2032" s="24" t="s">
        <v>23</v>
      </c>
      <c r="P2032" s="24" t="s">
        <v>238</v>
      </c>
      <c r="Q2032" s="24" t="s">
        <v>133</v>
      </c>
      <c r="R2032" s="24" t="s">
        <v>347</v>
      </c>
      <c r="S2032" s="34">
        <v>0</v>
      </c>
      <c r="T2032" s="15">
        <v>21.56</v>
      </c>
      <c r="U2032" s="18">
        <v>10.348800000000001</v>
      </c>
      <c r="V2032" s="56">
        <f>Table11[[#This Row],[Profit]]/Table11[[#This Row],[Sales]]</f>
        <v>0.48000000000000004</v>
      </c>
    </row>
    <row r="2033" spans="1:22" x14ac:dyDescent="0.2">
      <c r="A2033" s="4">
        <v>2032</v>
      </c>
      <c r="B2033" s="3" t="s">
        <v>3317</v>
      </c>
      <c r="C2033" s="7">
        <v>42362</v>
      </c>
      <c r="D2033" s="28">
        <f>MONTH(Table11[[#This Row],[Order Date]])</f>
        <v>12</v>
      </c>
      <c r="E2033" s="3" t="s">
        <v>674</v>
      </c>
      <c r="F2033" s="3" t="s">
        <v>675</v>
      </c>
      <c r="G2033" s="25" t="s">
        <v>28</v>
      </c>
      <c r="H2033" s="25" t="s">
        <v>29</v>
      </c>
      <c r="I2033" s="3" t="s">
        <v>3252</v>
      </c>
      <c r="J2033" s="25" t="s">
        <v>22</v>
      </c>
      <c r="K2033" s="28">
        <v>7</v>
      </c>
      <c r="L2033" s="7">
        <v>42366</v>
      </c>
      <c r="M2033" s="28">
        <f>Table11[[#This Row],[Ship Date]]-Table11[[#This Row],[Order Date]]</f>
        <v>4</v>
      </c>
      <c r="N2033" s="25" t="s">
        <v>45</v>
      </c>
      <c r="O2033" s="25" t="s">
        <v>23</v>
      </c>
      <c r="P2033" s="25" t="s">
        <v>405</v>
      </c>
      <c r="Q2033" s="25" t="s">
        <v>39</v>
      </c>
      <c r="R2033" s="25" t="s">
        <v>954</v>
      </c>
      <c r="S2033" s="35">
        <v>0.7</v>
      </c>
      <c r="T2033" s="16">
        <v>590.05799999999999</v>
      </c>
      <c r="U2033" s="19">
        <v>-786.74400000000003</v>
      </c>
      <c r="V2033" s="56">
        <f>Table11[[#This Row],[Profit]]/Table11[[#This Row],[Sales]]</f>
        <v>-1.3333333333333335</v>
      </c>
    </row>
    <row r="2034" spans="1:22" x14ac:dyDescent="0.2">
      <c r="A2034" s="2">
        <v>2033</v>
      </c>
      <c r="B2034" s="5" t="s">
        <v>3317</v>
      </c>
      <c r="C2034" s="6">
        <v>42362</v>
      </c>
      <c r="D2034" s="27">
        <f>MONTH(Table11[[#This Row],[Order Date]])</f>
        <v>12</v>
      </c>
      <c r="E2034" s="5" t="s">
        <v>2157</v>
      </c>
      <c r="F2034" s="5" t="s">
        <v>2158</v>
      </c>
      <c r="G2034" s="24" t="s">
        <v>41</v>
      </c>
      <c r="H2034" s="24" t="s">
        <v>61</v>
      </c>
      <c r="I2034" s="5" t="s">
        <v>3252</v>
      </c>
      <c r="J2034" s="24" t="s">
        <v>22</v>
      </c>
      <c r="K2034" s="27">
        <v>3</v>
      </c>
      <c r="L2034" s="6">
        <v>42366</v>
      </c>
      <c r="M2034" s="27">
        <f>Table11[[#This Row],[Ship Date]]-Table11[[#This Row],[Order Date]]</f>
        <v>4</v>
      </c>
      <c r="N2034" s="24" t="s">
        <v>45</v>
      </c>
      <c r="O2034" s="24" t="s">
        <v>23</v>
      </c>
      <c r="P2034" s="24" t="s">
        <v>405</v>
      </c>
      <c r="Q2034" s="24" t="s">
        <v>39</v>
      </c>
      <c r="R2034" s="24" t="s">
        <v>954</v>
      </c>
      <c r="S2034" s="34">
        <v>0.2</v>
      </c>
      <c r="T2034" s="15">
        <v>14.04</v>
      </c>
      <c r="U2034" s="18">
        <v>1.5794999999999999</v>
      </c>
      <c r="V2034" s="56">
        <f>Table11[[#This Row],[Profit]]/Table11[[#This Row],[Sales]]</f>
        <v>0.1125</v>
      </c>
    </row>
    <row r="2035" spans="1:22" x14ac:dyDescent="0.2">
      <c r="A2035" s="4">
        <v>2034</v>
      </c>
      <c r="B2035" s="3" t="s">
        <v>4406</v>
      </c>
      <c r="C2035" s="7">
        <v>42362</v>
      </c>
      <c r="D2035" s="28">
        <f>MONTH(Table11[[#This Row],[Order Date]])</f>
        <v>12</v>
      </c>
      <c r="E2035" s="3" t="s">
        <v>4407</v>
      </c>
      <c r="F2035" s="3" t="s">
        <v>4408</v>
      </c>
      <c r="G2035" s="25" t="s">
        <v>41</v>
      </c>
      <c r="H2035" s="25" t="s">
        <v>82</v>
      </c>
      <c r="I2035" s="3" t="s">
        <v>2428</v>
      </c>
      <c r="J2035" s="25" t="s">
        <v>22</v>
      </c>
      <c r="K2035" s="28">
        <v>7</v>
      </c>
      <c r="L2035" s="7">
        <v>42367</v>
      </c>
      <c r="M2035" s="28">
        <f>Table11[[#This Row],[Ship Date]]-Table11[[#This Row],[Order Date]]</f>
        <v>5</v>
      </c>
      <c r="N2035" s="25" t="s">
        <v>45</v>
      </c>
      <c r="O2035" s="25" t="s">
        <v>23</v>
      </c>
      <c r="P2035" s="25" t="s">
        <v>277</v>
      </c>
      <c r="Q2035" s="25" t="s">
        <v>39</v>
      </c>
      <c r="R2035" s="25" t="s">
        <v>481</v>
      </c>
      <c r="S2035" s="35">
        <v>0.2</v>
      </c>
      <c r="T2035" s="16">
        <v>106.232</v>
      </c>
      <c r="U2035" s="19">
        <v>37.181199999999997</v>
      </c>
      <c r="V2035" s="56">
        <f>Table11[[#This Row],[Profit]]/Table11[[#This Row],[Sales]]</f>
        <v>0.35</v>
      </c>
    </row>
    <row r="2036" spans="1:22" x14ac:dyDescent="0.2">
      <c r="A2036" s="4">
        <v>2035</v>
      </c>
      <c r="B2036" s="5" t="s">
        <v>4406</v>
      </c>
      <c r="C2036" s="6">
        <v>42362</v>
      </c>
      <c r="D2036" s="27">
        <f>MONTH(Table11[[#This Row],[Order Date]])</f>
        <v>12</v>
      </c>
      <c r="E2036" s="5" t="s">
        <v>2057</v>
      </c>
      <c r="F2036" s="5" t="s">
        <v>2058</v>
      </c>
      <c r="G2036" s="24" t="s">
        <v>64</v>
      </c>
      <c r="H2036" s="24" t="s">
        <v>65</v>
      </c>
      <c r="I2036" s="5" t="s">
        <v>2428</v>
      </c>
      <c r="J2036" s="24" t="s">
        <v>22</v>
      </c>
      <c r="K2036" s="27">
        <v>2</v>
      </c>
      <c r="L2036" s="6">
        <v>42367</v>
      </c>
      <c r="M2036" s="27">
        <f>Table11[[#This Row],[Ship Date]]-Table11[[#This Row],[Order Date]]</f>
        <v>5</v>
      </c>
      <c r="N2036" s="24" t="s">
        <v>45</v>
      </c>
      <c r="O2036" s="24" t="s">
        <v>23</v>
      </c>
      <c r="P2036" s="24" t="s">
        <v>277</v>
      </c>
      <c r="Q2036" s="24" t="s">
        <v>39</v>
      </c>
      <c r="R2036" s="24" t="s">
        <v>481</v>
      </c>
      <c r="S2036" s="34">
        <v>0.2</v>
      </c>
      <c r="T2036" s="15">
        <v>111.98399999999999</v>
      </c>
      <c r="U2036" s="18">
        <v>11.198399999999999</v>
      </c>
      <c r="V2036" s="56">
        <f>Table11[[#This Row],[Profit]]/Table11[[#This Row],[Sales]]</f>
        <v>0.1</v>
      </c>
    </row>
    <row r="2037" spans="1:22" x14ac:dyDescent="0.2">
      <c r="A2037" s="2">
        <v>2036</v>
      </c>
      <c r="B2037" s="3" t="s">
        <v>4406</v>
      </c>
      <c r="C2037" s="7">
        <v>42362</v>
      </c>
      <c r="D2037" s="28">
        <f>MONTH(Table11[[#This Row],[Order Date]])</f>
        <v>12</v>
      </c>
      <c r="E2037" s="3" t="s">
        <v>2631</v>
      </c>
      <c r="F2037" s="3" t="s">
        <v>2632</v>
      </c>
      <c r="G2037" s="25" t="s">
        <v>28</v>
      </c>
      <c r="H2037" s="25" t="s">
        <v>58</v>
      </c>
      <c r="I2037" s="3" t="s">
        <v>2428</v>
      </c>
      <c r="J2037" s="25" t="s">
        <v>22</v>
      </c>
      <c r="K2037" s="28">
        <v>2</v>
      </c>
      <c r="L2037" s="7">
        <v>42367</v>
      </c>
      <c r="M2037" s="28">
        <f>Table11[[#This Row],[Ship Date]]-Table11[[#This Row],[Order Date]]</f>
        <v>5</v>
      </c>
      <c r="N2037" s="25" t="s">
        <v>45</v>
      </c>
      <c r="O2037" s="25" t="s">
        <v>23</v>
      </c>
      <c r="P2037" s="25" t="s">
        <v>277</v>
      </c>
      <c r="Q2037" s="25" t="s">
        <v>39</v>
      </c>
      <c r="R2037" s="25" t="s">
        <v>481</v>
      </c>
      <c r="S2037" s="35">
        <v>0.2</v>
      </c>
      <c r="T2037" s="16">
        <v>7.7119999999999997</v>
      </c>
      <c r="U2037" s="19">
        <v>1.7352000000000001</v>
      </c>
      <c r="V2037" s="56">
        <f>Table11[[#This Row],[Profit]]/Table11[[#This Row],[Sales]]</f>
        <v>0.22500000000000001</v>
      </c>
    </row>
    <row r="2038" spans="1:22" x14ac:dyDescent="0.2">
      <c r="A2038" s="4">
        <v>2037</v>
      </c>
      <c r="B2038" s="5" t="s">
        <v>5147</v>
      </c>
      <c r="C2038" s="6">
        <v>42362</v>
      </c>
      <c r="D2038" s="27">
        <f>MONTH(Table11[[#This Row],[Order Date]])</f>
        <v>12</v>
      </c>
      <c r="E2038" s="5" t="s">
        <v>606</v>
      </c>
      <c r="F2038" s="5" t="s">
        <v>607</v>
      </c>
      <c r="G2038" s="24" t="s">
        <v>28</v>
      </c>
      <c r="H2038" s="24" t="s">
        <v>32</v>
      </c>
      <c r="I2038" s="5" t="s">
        <v>2992</v>
      </c>
      <c r="J2038" s="24" t="s">
        <v>36</v>
      </c>
      <c r="K2038" s="27">
        <v>4</v>
      </c>
      <c r="L2038" s="6">
        <v>42366</v>
      </c>
      <c r="M2038" s="27">
        <f>Table11[[#This Row],[Ship Date]]-Table11[[#This Row],[Order Date]]</f>
        <v>4</v>
      </c>
      <c r="N2038" s="24" t="s">
        <v>45</v>
      </c>
      <c r="O2038" s="24" t="s">
        <v>23</v>
      </c>
      <c r="P2038" s="24" t="s">
        <v>277</v>
      </c>
      <c r="Q2038" s="24" t="s">
        <v>39</v>
      </c>
      <c r="R2038" s="24" t="s">
        <v>276</v>
      </c>
      <c r="S2038" s="34">
        <v>0.2</v>
      </c>
      <c r="T2038" s="15">
        <v>883.84</v>
      </c>
      <c r="U2038" s="18">
        <v>99.432000000000002</v>
      </c>
      <c r="V2038" s="56">
        <f>Table11[[#This Row],[Profit]]/Table11[[#This Row],[Sales]]</f>
        <v>0.1125</v>
      </c>
    </row>
    <row r="2039" spans="1:22" x14ac:dyDescent="0.2">
      <c r="A2039" s="4">
        <v>2038</v>
      </c>
      <c r="B2039" s="3" t="s">
        <v>5486</v>
      </c>
      <c r="C2039" s="7">
        <v>42362</v>
      </c>
      <c r="D2039" s="28">
        <f>MONTH(Table11[[#This Row],[Order Date]])</f>
        <v>12</v>
      </c>
      <c r="E2039" s="3" t="s">
        <v>2753</v>
      </c>
      <c r="F2039" s="3" t="s">
        <v>2754</v>
      </c>
      <c r="G2039" s="25" t="s">
        <v>41</v>
      </c>
      <c r="H2039" s="25" t="s">
        <v>68</v>
      </c>
      <c r="I2039" s="3" t="s">
        <v>3299</v>
      </c>
      <c r="J2039" s="25" t="s">
        <v>22</v>
      </c>
      <c r="K2039" s="28">
        <v>4</v>
      </c>
      <c r="L2039" s="7">
        <v>42367</v>
      </c>
      <c r="M2039" s="28">
        <f>Table11[[#This Row],[Ship Date]]-Table11[[#This Row],[Order Date]]</f>
        <v>5</v>
      </c>
      <c r="N2039" s="25" t="s">
        <v>45</v>
      </c>
      <c r="O2039" s="25" t="s">
        <v>23</v>
      </c>
      <c r="P2039" s="25" t="s">
        <v>38</v>
      </c>
      <c r="Q2039" s="25" t="s">
        <v>39</v>
      </c>
      <c r="R2039" s="25" t="s">
        <v>37</v>
      </c>
      <c r="S2039" s="35">
        <v>0.2</v>
      </c>
      <c r="T2039" s="16">
        <v>19.936</v>
      </c>
      <c r="U2039" s="19">
        <v>7.2267999999999999</v>
      </c>
      <c r="V2039" s="56">
        <f>Table11[[#This Row],[Profit]]/Table11[[#This Row],[Sales]]</f>
        <v>0.36249999999999999</v>
      </c>
    </row>
    <row r="2040" spans="1:22" x14ac:dyDescent="0.2">
      <c r="A2040" s="2">
        <v>2039</v>
      </c>
      <c r="B2040" s="5" t="s">
        <v>5486</v>
      </c>
      <c r="C2040" s="6">
        <v>42362</v>
      </c>
      <c r="D2040" s="27">
        <f>MONTH(Table11[[#This Row],[Order Date]])</f>
        <v>12</v>
      </c>
      <c r="E2040" s="5" t="s">
        <v>963</v>
      </c>
      <c r="F2040" s="5" t="s">
        <v>964</v>
      </c>
      <c r="G2040" s="24" t="s">
        <v>41</v>
      </c>
      <c r="H2040" s="24" t="s">
        <v>240</v>
      </c>
      <c r="I2040" s="5" t="s">
        <v>3299</v>
      </c>
      <c r="J2040" s="24" t="s">
        <v>22</v>
      </c>
      <c r="K2040" s="27">
        <v>4</v>
      </c>
      <c r="L2040" s="6">
        <v>42367</v>
      </c>
      <c r="M2040" s="27">
        <f>Table11[[#This Row],[Ship Date]]-Table11[[#This Row],[Order Date]]</f>
        <v>5</v>
      </c>
      <c r="N2040" s="24" t="s">
        <v>45</v>
      </c>
      <c r="O2040" s="24" t="s">
        <v>23</v>
      </c>
      <c r="P2040" s="24" t="s">
        <v>38</v>
      </c>
      <c r="Q2040" s="24" t="s">
        <v>39</v>
      </c>
      <c r="R2040" s="24" t="s">
        <v>37</v>
      </c>
      <c r="S2040" s="34">
        <v>0</v>
      </c>
      <c r="T2040" s="15">
        <v>45.92</v>
      </c>
      <c r="U2040" s="18">
        <v>21.5824</v>
      </c>
      <c r="V2040" s="56">
        <f>Table11[[#This Row],[Profit]]/Table11[[#This Row],[Sales]]</f>
        <v>0.47</v>
      </c>
    </row>
    <row r="2041" spans="1:22" x14ac:dyDescent="0.2">
      <c r="A2041" s="4">
        <v>2040</v>
      </c>
      <c r="B2041" s="3" t="s">
        <v>9573</v>
      </c>
      <c r="C2041" s="7">
        <v>42362</v>
      </c>
      <c r="D2041" s="28">
        <f>MONTH(Table11[[#This Row],[Order Date]])</f>
        <v>12</v>
      </c>
      <c r="E2041" s="3" t="s">
        <v>6144</v>
      </c>
      <c r="F2041" s="3" t="s">
        <v>6145</v>
      </c>
      <c r="G2041" s="25" t="s">
        <v>28</v>
      </c>
      <c r="H2041" s="25" t="s">
        <v>58</v>
      </c>
      <c r="I2041" s="3" t="s">
        <v>3303</v>
      </c>
      <c r="J2041" s="25" t="s">
        <v>36</v>
      </c>
      <c r="K2041" s="28">
        <v>2</v>
      </c>
      <c r="L2041" s="7">
        <v>42368</v>
      </c>
      <c r="M2041" s="28">
        <f>Table11[[#This Row],[Ship Date]]-Table11[[#This Row],[Order Date]]</f>
        <v>6</v>
      </c>
      <c r="N2041" s="25" t="s">
        <v>45</v>
      </c>
      <c r="O2041" s="25" t="s">
        <v>23</v>
      </c>
      <c r="P2041" s="25" t="s">
        <v>528</v>
      </c>
      <c r="Q2041" s="25" t="s">
        <v>95</v>
      </c>
      <c r="R2041" s="25" t="s">
        <v>284</v>
      </c>
      <c r="S2041" s="35">
        <v>0</v>
      </c>
      <c r="T2041" s="16">
        <v>9.68</v>
      </c>
      <c r="U2041" s="19">
        <v>3.7751999999999999</v>
      </c>
      <c r="V2041" s="56">
        <f>Table11[[#This Row],[Profit]]/Table11[[#This Row],[Sales]]</f>
        <v>0.39</v>
      </c>
    </row>
    <row r="2042" spans="1:22" x14ac:dyDescent="0.2">
      <c r="A2042" s="4">
        <v>2041</v>
      </c>
      <c r="B2042" s="5" t="s">
        <v>9573</v>
      </c>
      <c r="C2042" s="6">
        <v>42362</v>
      </c>
      <c r="D2042" s="27">
        <f>MONTH(Table11[[#This Row],[Order Date]])</f>
        <v>12</v>
      </c>
      <c r="E2042" s="5" t="s">
        <v>4678</v>
      </c>
      <c r="F2042" s="5" t="s">
        <v>4679</v>
      </c>
      <c r="G2042" s="24" t="s">
        <v>64</v>
      </c>
      <c r="H2042" s="24" t="s">
        <v>1075</v>
      </c>
      <c r="I2042" s="5" t="s">
        <v>3303</v>
      </c>
      <c r="J2042" s="24" t="s">
        <v>36</v>
      </c>
      <c r="K2042" s="27">
        <v>7</v>
      </c>
      <c r="L2042" s="6">
        <v>42368</v>
      </c>
      <c r="M2042" s="27">
        <f>Table11[[#This Row],[Ship Date]]-Table11[[#This Row],[Order Date]]</f>
        <v>6</v>
      </c>
      <c r="N2042" s="24" t="s">
        <v>45</v>
      </c>
      <c r="O2042" s="24" t="s">
        <v>23</v>
      </c>
      <c r="P2042" s="24" t="s">
        <v>528</v>
      </c>
      <c r="Q2042" s="24" t="s">
        <v>95</v>
      </c>
      <c r="R2042" s="24" t="s">
        <v>284</v>
      </c>
      <c r="S2042" s="34">
        <v>0</v>
      </c>
      <c r="T2042" s="15">
        <v>4899.93</v>
      </c>
      <c r="U2042" s="18">
        <v>2302.9670999999998</v>
      </c>
      <c r="V2042" s="56">
        <f>Table11[[#This Row],[Profit]]/Table11[[#This Row],[Sales]]</f>
        <v>0.46999999999999992</v>
      </c>
    </row>
    <row r="2043" spans="1:22" x14ac:dyDescent="0.2">
      <c r="A2043" s="2">
        <v>2042</v>
      </c>
      <c r="B2043" s="3" t="s">
        <v>4740</v>
      </c>
      <c r="C2043" s="7">
        <v>42363</v>
      </c>
      <c r="D2043" s="28">
        <f>MONTH(Table11[[#This Row],[Order Date]])</f>
        <v>12</v>
      </c>
      <c r="E2043" s="3" t="s">
        <v>4741</v>
      </c>
      <c r="F2043" s="3" t="s">
        <v>4742</v>
      </c>
      <c r="G2043" s="25" t="s">
        <v>28</v>
      </c>
      <c r="H2043" s="25" t="s">
        <v>58</v>
      </c>
      <c r="I2043" s="3" t="s">
        <v>1860</v>
      </c>
      <c r="J2043" s="25" t="s">
        <v>36</v>
      </c>
      <c r="K2043" s="28">
        <v>4</v>
      </c>
      <c r="L2043" s="7">
        <v>42367</v>
      </c>
      <c r="M2043" s="28">
        <f>Table11[[#This Row],[Ship Date]]-Table11[[#This Row],[Order Date]]</f>
        <v>4</v>
      </c>
      <c r="N2043" s="25" t="s">
        <v>45</v>
      </c>
      <c r="O2043" s="25" t="s">
        <v>23</v>
      </c>
      <c r="P2043" s="25" t="s">
        <v>132</v>
      </c>
      <c r="Q2043" s="25" t="s">
        <v>133</v>
      </c>
      <c r="R2043" s="25" t="s">
        <v>131</v>
      </c>
      <c r="S2043" s="35">
        <v>0.2</v>
      </c>
      <c r="T2043" s="16">
        <v>547.13599999999997</v>
      </c>
      <c r="U2043" s="19">
        <v>-68.391999999999996</v>
      </c>
      <c r="V2043" s="56">
        <f>Table11[[#This Row],[Profit]]/Table11[[#This Row],[Sales]]</f>
        <v>-0.125</v>
      </c>
    </row>
    <row r="2044" spans="1:22" x14ac:dyDescent="0.2">
      <c r="A2044" s="4">
        <v>2043</v>
      </c>
      <c r="B2044" s="5" t="s">
        <v>5034</v>
      </c>
      <c r="C2044" s="6">
        <v>42363</v>
      </c>
      <c r="D2044" s="27">
        <f>MONTH(Table11[[#This Row],[Order Date]])</f>
        <v>12</v>
      </c>
      <c r="E2044" s="5" t="s">
        <v>4210</v>
      </c>
      <c r="F2044" s="5" t="s">
        <v>4211</v>
      </c>
      <c r="G2044" s="24" t="s">
        <v>41</v>
      </c>
      <c r="H2044" s="24" t="s">
        <v>42</v>
      </c>
      <c r="I2044" s="5" t="s">
        <v>705</v>
      </c>
      <c r="J2044" s="24" t="s">
        <v>22</v>
      </c>
      <c r="K2044" s="27">
        <v>4</v>
      </c>
      <c r="L2044" s="6">
        <v>42369</v>
      </c>
      <c r="M2044" s="27">
        <f>Table11[[#This Row],[Ship Date]]-Table11[[#This Row],[Order Date]]</f>
        <v>6</v>
      </c>
      <c r="N2044" s="24" t="s">
        <v>45</v>
      </c>
      <c r="O2044" s="24" t="s">
        <v>23</v>
      </c>
      <c r="P2044" s="24" t="s">
        <v>299</v>
      </c>
      <c r="Q2044" s="24" t="s">
        <v>26</v>
      </c>
      <c r="R2044" s="24" t="s">
        <v>5035</v>
      </c>
      <c r="S2044" s="34">
        <v>0.2</v>
      </c>
      <c r="T2044" s="15">
        <v>9.2159999999999993</v>
      </c>
      <c r="U2044" s="18">
        <v>3.3408000000000002</v>
      </c>
      <c r="V2044" s="56">
        <f>Table11[[#This Row],[Profit]]/Table11[[#This Row],[Sales]]</f>
        <v>0.36250000000000004</v>
      </c>
    </row>
    <row r="2045" spans="1:22" x14ac:dyDescent="0.2">
      <c r="A2045" s="4">
        <v>2044</v>
      </c>
      <c r="B2045" s="3" t="s">
        <v>5034</v>
      </c>
      <c r="C2045" s="7">
        <v>42363</v>
      </c>
      <c r="D2045" s="28">
        <f>MONTH(Table11[[#This Row],[Order Date]])</f>
        <v>12</v>
      </c>
      <c r="E2045" s="3" t="s">
        <v>4669</v>
      </c>
      <c r="F2045" s="3" t="s">
        <v>4670</v>
      </c>
      <c r="G2045" s="25" t="s">
        <v>41</v>
      </c>
      <c r="H2045" s="25" t="s">
        <v>82</v>
      </c>
      <c r="I2045" s="3" t="s">
        <v>705</v>
      </c>
      <c r="J2045" s="25" t="s">
        <v>22</v>
      </c>
      <c r="K2045" s="28">
        <v>2</v>
      </c>
      <c r="L2045" s="7">
        <v>42369</v>
      </c>
      <c r="M2045" s="28">
        <f>Table11[[#This Row],[Ship Date]]-Table11[[#This Row],[Order Date]]</f>
        <v>6</v>
      </c>
      <c r="N2045" s="25" t="s">
        <v>45</v>
      </c>
      <c r="O2045" s="25" t="s">
        <v>23</v>
      </c>
      <c r="P2045" s="25" t="s">
        <v>299</v>
      </c>
      <c r="Q2045" s="25" t="s">
        <v>26</v>
      </c>
      <c r="R2045" s="25" t="s">
        <v>5035</v>
      </c>
      <c r="S2045" s="35">
        <v>0.2</v>
      </c>
      <c r="T2045" s="16">
        <v>10.368</v>
      </c>
      <c r="U2045" s="19">
        <v>3.6288</v>
      </c>
      <c r="V2045" s="56">
        <f>Table11[[#This Row],[Profit]]/Table11[[#This Row],[Sales]]</f>
        <v>0.35</v>
      </c>
    </row>
    <row r="2046" spans="1:22" x14ac:dyDescent="0.2">
      <c r="A2046" s="2">
        <v>2045</v>
      </c>
      <c r="B2046" s="5" t="s">
        <v>6491</v>
      </c>
      <c r="C2046" s="6">
        <v>42363</v>
      </c>
      <c r="D2046" s="27">
        <f>MONTH(Table11[[#This Row],[Order Date]])</f>
        <v>12</v>
      </c>
      <c r="E2046" s="5" t="s">
        <v>2352</v>
      </c>
      <c r="F2046" s="5" t="s">
        <v>2353</v>
      </c>
      <c r="G2046" s="24" t="s">
        <v>64</v>
      </c>
      <c r="H2046" s="24" t="s">
        <v>65</v>
      </c>
      <c r="I2046" s="5" t="s">
        <v>2868</v>
      </c>
      <c r="J2046" s="24" t="s">
        <v>36</v>
      </c>
      <c r="K2046" s="27">
        <v>2</v>
      </c>
      <c r="L2046" s="6">
        <v>42370</v>
      </c>
      <c r="M2046" s="27">
        <f>Table11[[#This Row],[Ship Date]]-Table11[[#This Row],[Order Date]]</f>
        <v>7</v>
      </c>
      <c r="N2046" s="24" t="s">
        <v>45</v>
      </c>
      <c r="O2046" s="24" t="s">
        <v>23</v>
      </c>
      <c r="P2046" s="24" t="s">
        <v>212</v>
      </c>
      <c r="Q2046" s="24" t="s">
        <v>95</v>
      </c>
      <c r="R2046" s="24" t="s">
        <v>775</v>
      </c>
      <c r="S2046" s="34">
        <v>0</v>
      </c>
      <c r="T2046" s="15">
        <v>73.98</v>
      </c>
      <c r="U2046" s="18">
        <v>19.974599999999999</v>
      </c>
      <c r="V2046" s="56">
        <f>Table11[[#This Row],[Profit]]/Table11[[#This Row],[Sales]]</f>
        <v>0.26999999999999996</v>
      </c>
    </row>
    <row r="2047" spans="1:22" x14ac:dyDescent="0.2">
      <c r="A2047" s="4">
        <v>2046</v>
      </c>
      <c r="B2047" s="3" t="s">
        <v>6491</v>
      </c>
      <c r="C2047" s="7">
        <v>42363</v>
      </c>
      <c r="D2047" s="28">
        <f>MONTH(Table11[[#This Row],[Order Date]])</f>
        <v>12</v>
      </c>
      <c r="E2047" s="3" t="s">
        <v>6492</v>
      </c>
      <c r="F2047" s="3" t="s">
        <v>6493</v>
      </c>
      <c r="G2047" s="25" t="s">
        <v>28</v>
      </c>
      <c r="H2047" s="25" t="s">
        <v>29</v>
      </c>
      <c r="I2047" s="3" t="s">
        <v>2868</v>
      </c>
      <c r="J2047" s="25" t="s">
        <v>36</v>
      </c>
      <c r="K2047" s="28">
        <v>1</v>
      </c>
      <c r="L2047" s="7">
        <v>42370</v>
      </c>
      <c r="M2047" s="28">
        <f>Table11[[#This Row],[Ship Date]]-Table11[[#This Row],[Order Date]]</f>
        <v>7</v>
      </c>
      <c r="N2047" s="25" t="s">
        <v>45</v>
      </c>
      <c r="O2047" s="25" t="s">
        <v>23</v>
      </c>
      <c r="P2047" s="25" t="s">
        <v>212</v>
      </c>
      <c r="Q2047" s="25" t="s">
        <v>95</v>
      </c>
      <c r="R2047" s="25" t="s">
        <v>775</v>
      </c>
      <c r="S2047" s="35">
        <v>0</v>
      </c>
      <c r="T2047" s="16">
        <v>160.97999999999999</v>
      </c>
      <c r="U2047" s="19">
        <v>20.927399999999999</v>
      </c>
      <c r="V2047" s="56">
        <f>Table11[[#This Row],[Profit]]/Table11[[#This Row],[Sales]]</f>
        <v>0.13</v>
      </c>
    </row>
    <row r="2048" spans="1:22" x14ac:dyDescent="0.2">
      <c r="A2048" s="4">
        <v>2047</v>
      </c>
      <c r="B2048" s="5" t="s">
        <v>6491</v>
      </c>
      <c r="C2048" s="6">
        <v>42363</v>
      </c>
      <c r="D2048" s="27">
        <f>MONTH(Table11[[#This Row],[Order Date]])</f>
        <v>12</v>
      </c>
      <c r="E2048" s="5" t="s">
        <v>4307</v>
      </c>
      <c r="F2048" s="5" t="s">
        <v>4308</v>
      </c>
      <c r="G2048" s="24" t="s">
        <v>41</v>
      </c>
      <c r="H2048" s="24" t="s">
        <v>82</v>
      </c>
      <c r="I2048" s="5" t="s">
        <v>2868</v>
      </c>
      <c r="J2048" s="24" t="s">
        <v>36</v>
      </c>
      <c r="K2048" s="27">
        <v>3</v>
      </c>
      <c r="L2048" s="6">
        <v>42370</v>
      </c>
      <c r="M2048" s="27">
        <f>Table11[[#This Row],[Ship Date]]-Table11[[#This Row],[Order Date]]</f>
        <v>7</v>
      </c>
      <c r="N2048" s="24" t="s">
        <v>45</v>
      </c>
      <c r="O2048" s="24" t="s">
        <v>23</v>
      </c>
      <c r="P2048" s="24" t="s">
        <v>212</v>
      </c>
      <c r="Q2048" s="24" t="s">
        <v>95</v>
      </c>
      <c r="R2048" s="24" t="s">
        <v>775</v>
      </c>
      <c r="S2048" s="34">
        <v>0</v>
      </c>
      <c r="T2048" s="15">
        <v>17.34</v>
      </c>
      <c r="U2048" s="18">
        <v>8.4966000000000008</v>
      </c>
      <c r="V2048" s="56">
        <f>Table11[[#This Row],[Profit]]/Table11[[#This Row],[Sales]]</f>
        <v>0.49000000000000005</v>
      </c>
    </row>
    <row r="2049" spans="1:22" x14ac:dyDescent="0.2">
      <c r="A2049" s="2">
        <v>2048</v>
      </c>
      <c r="B2049" s="3" t="s">
        <v>6491</v>
      </c>
      <c r="C2049" s="7">
        <v>42363</v>
      </c>
      <c r="D2049" s="28">
        <f>MONTH(Table11[[#This Row],[Order Date]])</f>
        <v>12</v>
      </c>
      <c r="E2049" s="3" t="s">
        <v>2878</v>
      </c>
      <c r="F2049" s="3" t="s">
        <v>2879</v>
      </c>
      <c r="G2049" s="25" t="s">
        <v>41</v>
      </c>
      <c r="H2049" s="25" t="s">
        <v>61</v>
      </c>
      <c r="I2049" s="3" t="s">
        <v>2868</v>
      </c>
      <c r="J2049" s="25" t="s">
        <v>36</v>
      </c>
      <c r="K2049" s="28">
        <v>1</v>
      </c>
      <c r="L2049" s="7">
        <v>42370</v>
      </c>
      <c r="M2049" s="28">
        <f>Table11[[#This Row],[Ship Date]]-Table11[[#This Row],[Order Date]]</f>
        <v>7</v>
      </c>
      <c r="N2049" s="25" t="s">
        <v>45</v>
      </c>
      <c r="O2049" s="25" t="s">
        <v>23</v>
      </c>
      <c r="P2049" s="25" t="s">
        <v>212</v>
      </c>
      <c r="Q2049" s="25" t="s">
        <v>95</v>
      </c>
      <c r="R2049" s="25" t="s">
        <v>775</v>
      </c>
      <c r="S2049" s="35">
        <v>0</v>
      </c>
      <c r="T2049" s="16">
        <v>3.28</v>
      </c>
      <c r="U2049" s="19">
        <v>0.95120000000000005</v>
      </c>
      <c r="V2049" s="56">
        <f>Table11[[#This Row],[Profit]]/Table11[[#This Row],[Sales]]</f>
        <v>0.29000000000000004</v>
      </c>
    </row>
    <row r="2050" spans="1:22" x14ac:dyDescent="0.2">
      <c r="A2050" s="4">
        <v>2049</v>
      </c>
      <c r="B2050" s="5" t="s">
        <v>7835</v>
      </c>
      <c r="C2050" s="6">
        <v>42363</v>
      </c>
      <c r="D2050" s="27">
        <f>MONTH(Table11[[#This Row],[Order Date]])</f>
        <v>12</v>
      </c>
      <c r="E2050" s="5" t="s">
        <v>5532</v>
      </c>
      <c r="F2050" s="5" t="s">
        <v>5533</v>
      </c>
      <c r="G2050" s="24" t="s">
        <v>41</v>
      </c>
      <c r="H2050" s="24" t="s">
        <v>71</v>
      </c>
      <c r="I2050" s="5" t="s">
        <v>638</v>
      </c>
      <c r="J2050" s="24" t="s">
        <v>92</v>
      </c>
      <c r="K2050" s="27">
        <v>2</v>
      </c>
      <c r="L2050" s="6">
        <v>42367</v>
      </c>
      <c r="M2050" s="27">
        <f>Table11[[#This Row],[Ship Date]]-Table11[[#This Row],[Order Date]]</f>
        <v>4</v>
      </c>
      <c r="N2050" s="24" t="s">
        <v>45</v>
      </c>
      <c r="O2050" s="24" t="s">
        <v>23</v>
      </c>
      <c r="P2050" s="24" t="s">
        <v>238</v>
      </c>
      <c r="Q2050" s="24" t="s">
        <v>133</v>
      </c>
      <c r="R2050" s="24" t="s">
        <v>237</v>
      </c>
      <c r="S2050" s="34">
        <v>0</v>
      </c>
      <c r="T2050" s="15">
        <v>414.96</v>
      </c>
      <c r="U2050" s="18">
        <v>124.488</v>
      </c>
      <c r="V2050" s="56">
        <f>Table11[[#This Row],[Profit]]/Table11[[#This Row],[Sales]]</f>
        <v>0.3</v>
      </c>
    </row>
    <row r="2051" spans="1:22" x14ac:dyDescent="0.2">
      <c r="A2051" s="4">
        <v>2050</v>
      </c>
      <c r="B2051" s="3" t="s">
        <v>7888</v>
      </c>
      <c r="C2051" s="7">
        <v>42363</v>
      </c>
      <c r="D2051" s="28">
        <f>MONTH(Table11[[#This Row],[Order Date]])</f>
        <v>12</v>
      </c>
      <c r="E2051" s="3" t="s">
        <v>2920</v>
      </c>
      <c r="F2051" s="3" t="s">
        <v>2921</v>
      </c>
      <c r="G2051" s="25" t="s">
        <v>64</v>
      </c>
      <c r="H2051" s="25" t="s">
        <v>1075</v>
      </c>
      <c r="I2051" s="3" t="s">
        <v>1965</v>
      </c>
      <c r="J2051" s="25" t="s">
        <v>22</v>
      </c>
      <c r="K2051" s="28">
        <v>5</v>
      </c>
      <c r="L2051" s="7">
        <v>42368</v>
      </c>
      <c r="M2051" s="28">
        <f>Table11[[#This Row],[Ship Date]]-Table11[[#This Row],[Order Date]]</f>
        <v>5</v>
      </c>
      <c r="N2051" s="25" t="s">
        <v>20</v>
      </c>
      <c r="O2051" s="25" t="s">
        <v>23</v>
      </c>
      <c r="P2051" s="25" t="s">
        <v>38</v>
      </c>
      <c r="Q2051" s="25" t="s">
        <v>39</v>
      </c>
      <c r="R2051" s="25" t="s">
        <v>836</v>
      </c>
      <c r="S2051" s="35">
        <v>0.2</v>
      </c>
      <c r="T2051" s="16">
        <v>1199.96</v>
      </c>
      <c r="U2051" s="19">
        <v>224.99250000000001</v>
      </c>
      <c r="V2051" s="56">
        <f>Table11[[#This Row],[Profit]]/Table11[[#This Row],[Sales]]</f>
        <v>0.1875</v>
      </c>
    </row>
    <row r="2052" spans="1:22" x14ac:dyDescent="0.2">
      <c r="A2052" s="2">
        <v>2051</v>
      </c>
      <c r="B2052" s="5" t="s">
        <v>7888</v>
      </c>
      <c r="C2052" s="6">
        <v>42363</v>
      </c>
      <c r="D2052" s="27">
        <f>MONTH(Table11[[#This Row],[Order Date]])</f>
        <v>12</v>
      </c>
      <c r="E2052" s="5" t="s">
        <v>2740</v>
      </c>
      <c r="F2052" s="5" t="s">
        <v>2741</v>
      </c>
      <c r="G2052" s="24" t="s">
        <v>41</v>
      </c>
      <c r="H2052" s="24" t="s">
        <v>82</v>
      </c>
      <c r="I2052" s="5" t="s">
        <v>1965</v>
      </c>
      <c r="J2052" s="24" t="s">
        <v>22</v>
      </c>
      <c r="K2052" s="27">
        <v>3</v>
      </c>
      <c r="L2052" s="6">
        <v>42368</v>
      </c>
      <c r="M2052" s="27">
        <f>Table11[[#This Row],[Ship Date]]-Table11[[#This Row],[Order Date]]</f>
        <v>5</v>
      </c>
      <c r="N2052" s="24" t="s">
        <v>20</v>
      </c>
      <c r="O2052" s="24" t="s">
        <v>23</v>
      </c>
      <c r="P2052" s="24" t="s">
        <v>38</v>
      </c>
      <c r="Q2052" s="24" t="s">
        <v>39</v>
      </c>
      <c r="R2052" s="24" t="s">
        <v>836</v>
      </c>
      <c r="S2052" s="34">
        <v>0</v>
      </c>
      <c r="T2052" s="15">
        <v>12.6</v>
      </c>
      <c r="U2052" s="18">
        <v>6.1740000000000004</v>
      </c>
      <c r="V2052" s="56">
        <f>Table11[[#This Row],[Profit]]/Table11[[#This Row],[Sales]]</f>
        <v>0.49000000000000005</v>
      </c>
    </row>
    <row r="2053" spans="1:22" x14ac:dyDescent="0.2">
      <c r="A2053" s="4">
        <v>2052</v>
      </c>
      <c r="B2053" s="3" t="s">
        <v>7888</v>
      </c>
      <c r="C2053" s="7">
        <v>42363</v>
      </c>
      <c r="D2053" s="28">
        <f>MONTH(Table11[[#This Row],[Order Date]])</f>
        <v>12</v>
      </c>
      <c r="E2053" s="3" t="s">
        <v>1566</v>
      </c>
      <c r="F2053" s="3" t="s">
        <v>1567</v>
      </c>
      <c r="G2053" s="25" t="s">
        <v>41</v>
      </c>
      <c r="H2053" s="25" t="s">
        <v>82</v>
      </c>
      <c r="I2053" s="3" t="s">
        <v>1965</v>
      </c>
      <c r="J2053" s="25" t="s">
        <v>22</v>
      </c>
      <c r="K2053" s="28">
        <v>3</v>
      </c>
      <c r="L2053" s="7">
        <v>42368</v>
      </c>
      <c r="M2053" s="28">
        <f>Table11[[#This Row],[Ship Date]]-Table11[[#This Row],[Order Date]]</f>
        <v>5</v>
      </c>
      <c r="N2053" s="25" t="s">
        <v>20</v>
      </c>
      <c r="O2053" s="25" t="s">
        <v>23</v>
      </c>
      <c r="P2053" s="25" t="s">
        <v>38</v>
      </c>
      <c r="Q2053" s="25" t="s">
        <v>39</v>
      </c>
      <c r="R2053" s="25" t="s">
        <v>836</v>
      </c>
      <c r="S2053" s="35">
        <v>0</v>
      </c>
      <c r="T2053" s="16">
        <v>17.940000000000001</v>
      </c>
      <c r="U2053" s="19">
        <v>8.0730000000000004</v>
      </c>
      <c r="V2053" s="56">
        <f>Table11[[#This Row],[Profit]]/Table11[[#This Row],[Sales]]</f>
        <v>0.45</v>
      </c>
    </row>
    <row r="2054" spans="1:22" x14ac:dyDescent="0.2">
      <c r="A2054" s="4">
        <v>2053</v>
      </c>
      <c r="B2054" s="5" t="s">
        <v>8538</v>
      </c>
      <c r="C2054" s="6">
        <v>42363</v>
      </c>
      <c r="D2054" s="27">
        <f>MONTH(Table11[[#This Row],[Order Date]])</f>
        <v>12</v>
      </c>
      <c r="E2054" s="5" t="s">
        <v>7738</v>
      </c>
      <c r="F2054" s="5" t="s">
        <v>7739</v>
      </c>
      <c r="G2054" s="24" t="s">
        <v>28</v>
      </c>
      <c r="H2054" s="24" t="s">
        <v>58</v>
      </c>
      <c r="I2054" s="5" t="s">
        <v>216</v>
      </c>
      <c r="J2054" s="24" t="s">
        <v>22</v>
      </c>
      <c r="K2054" s="27">
        <v>6</v>
      </c>
      <c r="L2054" s="6">
        <v>42365</v>
      </c>
      <c r="M2054" s="27">
        <f>Table11[[#This Row],[Ship Date]]-Table11[[#This Row],[Order Date]]</f>
        <v>2</v>
      </c>
      <c r="N2054" s="24" t="s">
        <v>20</v>
      </c>
      <c r="O2054" s="24" t="s">
        <v>23</v>
      </c>
      <c r="P2054" s="24" t="s">
        <v>1125</v>
      </c>
      <c r="Q2054" s="24" t="s">
        <v>26</v>
      </c>
      <c r="R2054" s="24" t="s">
        <v>440</v>
      </c>
      <c r="S2054" s="34">
        <v>0</v>
      </c>
      <c r="T2054" s="15">
        <v>275.88</v>
      </c>
      <c r="U2054" s="18">
        <v>46.8996</v>
      </c>
      <c r="V2054" s="56">
        <f>Table11[[#This Row],[Profit]]/Table11[[#This Row],[Sales]]</f>
        <v>0.17</v>
      </c>
    </row>
    <row r="2055" spans="1:22" x14ac:dyDescent="0.2">
      <c r="A2055" s="2">
        <v>2054</v>
      </c>
      <c r="B2055" s="3" t="s">
        <v>8538</v>
      </c>
      <c r="C2055" s="7">
        <v>42363</v>
      </c>
      <c r="D2055" s="28">
        <f>MONTH(Table11[[#This Row],[Order Date]])</f>
        <v>12</v>
      </c>
      <c r="E2055" s="3" t="s">
        <v>1230</v>
      </c>
      <c r="F2055" s="3" t="s">
        <v>1231</v>
      </c>
      <c r="G2055" s="25" t="s">
        <v>41</v>
      </c>
      <c r="H2055" s="25" t="s">
        <v>68</v>
      </c>
      <c r="I2055" s="3" t="s">
        <v>216</v>
      </c>
      <c r="J2055" s="25" t="s">
        <v>22</v>
      </c>
      <c r="K2055" s="28">
        <v>5</v>
      </c>
      <c r="L2055" s="7">
        <v>42365</v>
      </c>
      <c r="M2055" s="28">
        <f>Table11[[#This Row],[Ship Date]]-Table11[[#This Row],[Order Date]]</f>
        <v>2</v>
      </c>
      <c r="N2055" s="25" t="s">
        <v>20</v>
      </c>
      <c r="O2055" s="25" t="s">
        <v>23</v>
      </c>
      <c r="P2055" s="25" t="s">
        <v>1125</v>
      </c>
      <c r="Q2055" s="25" t="s">
        <v>26</v>
      </c>
      <c r="R2055" s="25" t="s">
        <v>440</v>
      </c>
      <c r="S2055" s="35">
        <v>0</v>
      </c>
      <c r="T2055" s="16">
        <v>157.9</v>
      </c>
      <c r="U2055" s="19">
        <v>74.212999999999994</v>
      </c>
      <c r="V2055" s="56">
        <f>Table11[[#This Row],[Profit]]/Table11[[#This Row],[Sales]]</f>
        <v>0.46999999999999992</v>
      </c>
    </row>
    <row r="2056" spans="1:22" x14ac:dyDescent="0.2">
      <c r="A2056" s="4">
        <v>2055</v>
      </c>
      <c r="B2056" s="5" t="s">
        <v>8650</v>
      </c>
      <c r="C2056" s="6">
        <v>42363</v>
      </c>
      <c r="D2056" s="27">
        <f>MONTH(Table11[[#This Row],[Order Date]])</f>
        <v>12</v>
      </c>
      <c r="E2056" s="5" t="s">
        <v>2382</v>
      </c>
      <c r="F2056" s="5" t="s">
        <v>3762</v>
      </c>
      <c r="G2056" s="24" t="s">
        <v>64</v>
      </c>
      <c r="H2056" s="24" t="s">
        <v>144</v>
      </c>
      <c r="I2056" s="5" t="s">
        <v>4686</v>
      </c>
      <c r="J2056" s="24" t="s">
        <v>22</v>
      </c>
      <c r="K2056" s="27">
        <v>2</v>
      </c>
      <c r="L2056" s="6">
        <v>42368</v>
      </c>
      <c r="M2056" s="27">
        <f>Table11[[#This Row],[Ship Date]]-Table11[[#This Row],[Order Date]]</f>
        <v>5</v>
      </c>
      <c r="N2056" s="24" t="s">
        <v>45</v>
      </c>
      <c r="O2056" s="24" t="s">
        <v>23</v>
      </c>
      <c r="P2056" s="24" t="s">
        <v>238</v>
      </c>
      <c r="Q2056" s="24" t="s">
        <v>133</v>
      </c>
      <c r="R2056" s="24" t="s">
        <v>237</v>
      </c>
      <c r="S2056" s="34">
        <v>0</v>
      </c>
      <c r="T2056" s="15">
        <v>843.9</v>
      </c>
      <c r="U2056" s="18">
        <v>371.31599999999997</v>
      </c>
      <c r="V2056" s="56">
        <f>Table11[[#This Row],[Profit]]/Table11[[#This Row],[Sales]]</f>
        <v>0.44</v>
      </c>
    </row>
    <row r="2057" spans="1:22" x14ac:dyDescent="0.2">
      <c r="A2057" s="4">
        <v>2056</v>
      </c>
      <c r="B2057" s="3" t="s">
        <v>8650</v>
      </c>
      <c r="C2057" s="7">
        <v>42363</v>
      </c>
      <c r="D2057" s="28">
        <f>MONTH(Table11[[#This Row],[Order Date]])</f>
        <v>12</v>
      </c>
      <c r="E2057" s="3" t="s">
        <v>674</v>
      </c>
      <c r="F2057" s="3" t="s">
        <v>675</v>
      </c>
      <c r="G2057" s="25" t="s">
        <v>28</v>
      </c>
      <c r="H2057" s="25" t="s">
        <v>29</v>
      </c>
      <c r="I2057" s="3" t="s">
        <v>4686</v>
      </c>
      <c r="J2057" s="25" t="s">
        <v>22</v>
      </c>
      <c r="K2057" s="28">
        <v>2</v>
      </c>
      <c r="L2057" s="7">
        <v>42368</v>
      </c>
      <c r="M2057" s="28">
        <f>Table11[[#This Row],[Ship Date]]-Table11[[#This Row],[Order Date]]</f>
        <v>5</v>
      </c>
      <c r="N2057" s="25" t="s">
        <v>45</v>
      </c>
      <c r="O2057" s="25" t="s">
        <v>23</v>
      </c>
      <c r="P2057" s="25" t="s">
        <v>238</v>
      </c>
      <c r="Q2057" s="25" t="s">
        <v>133</v>
      </c>
      <c r="R2057" s="25" t="s">
        <v>237</v>
      </c>
      <c r="S2057" s="35">
        <v>0.2</v>
      </c>
      <c r="T2057" s="16">
        <v>449.56799999999998</v>
      </c>
      <c r="U2057" s="19">
        <v>56.195999999999998</v>
      </c>
      <c r="V2057" s="56">
        <f>Table11[[#This Row],[Profit]]/Table11[[#This Row],[Sales]]</f>
        <v>0.125</v>
      </c>
    </row>
    <row r="2058" spans="1:22" x14ac:dyDescent="0.2">
      <c r="A2058" s="2">
        <v>2057</v>
      </c>
      <c r="B2058" s="5" t="s">
        <v>8924</v>
      </c>
      <c r="C2058" s="6">
        <v>42363</v>
      </c>
      <c r="D2058" s="27">
        <f>MONTH(Table11[[#This Row],[Order Date]])</f>
        <v>12</v>
      </c>
      <c r="E2058" s="5" t="s">
        <v>3685</v>
      </c>
      <c r="F2058" s="5" t="s">
        <v>3686</v>
      </c>
      <c r="G2058" s="24" t="s">
        <v>41</v>
      </c>
      <c r="H2058" s="24" t="s">
        <v>82</v>
      </c>
      <c r="I2058" s="5" t="s">
        <v>4661</v>
      </c>
      <c r="J2058" s="24" t="s">
        <v>92</v>
      </c>
      <c r="K2058" s="27">
        <v>2</v>
      </c>
      <c r="L2058" s="6">
        <v>42367</v>
      </c>
      <c r="M2058" s="27">
        <f>Table11[[#This Row],[Ship Date]]-Table11[[#This Row],[Order Date]]</f>
        <v>4</v>
      </c>
      <c r="N2058" s="24" t="s">
        <v>45</v>
      </c>
      <c r="O2058" s="24" t="s">
        <v>23</v>
      </c>
      <c r="P2058" s="24" t="s">
        <v>38</v>
      </c>
      <c r="Q2058" s="24" t="s">
        <v>39</v>
      </c>
      <c r="R2058" s="24" t="s">
        <v>37</v>
      </c>
      <c r="S2058" s="34">
        <v>0</v>
      </c>
      <c r="T2058" s="15">
        <v>9.9600000000000009</v>
      </c>
      <c r="U2058" s="18">
        <v>4.8803999999999998</v>
      </c>
      <c r="V2058" s="56">
        <f>Table11[[#This Row],[Profit]]/Table11[[#This Row],[Sales]]</f>
        <v>0.48999999999999994</v>
      </c>
    </row>
    <row r="2059" spans="1:22" x14ac:dyDescent="0.2">
      <c r="A2059" s="4">
        <v>2058</v>
      </c>
      <c r="B2059" s="3" t="s">
        <v>1582</v>
      </c>
      <c r="C2059" s="7">
        <v>42364</v>
      </c>
      <c r="D2059" s="28">
        <f>MONTH(Table11[[#This Row],[Order Date]])</f>
        <v>12</v>
      </c>
      <c r="E2059" s="3" t="s">
        <v>1584</v>
      </c>
      <c r="F2059" s="3" t="s">
        <v>498</v>
      </c>
      <c r="G2059" s="25" t="s">
        <v>41</v>
      </c>
      <c r="H2059" s="25" t="s">
        <v>240</v>
      </c>
      <c r="I2059" s="3" t="s">
        <v>1583</v>
      </c>
      <c r="J2059" s="25" t="s">
        <v>22</v>
      </c>
      <c r="K2059" s="28">
        <v>5</v>
      </c>
      <c r="L2059" s="7">
        <v>42371</v>
      </c>
      <c r="M2059" s="28">
        <f>Table11[[#This Row],[Ship Date]]-Table11[[#This Row],[Order Date]]</f>
        <v>7</v>
      </c>
      <c r="N2059" s="25" t="s">
        <v>45</v>
      </c>
      <c r="O2059" s="25" t="s">
        <v>23</v>
      </c>
      <c r="P2059" s="25" t="s">
        <v>1101</v>
      </c>
      <c r="Q2059" s="25" t="s">
        <v>133</v>
      </c>
      <c r="R2059" s="25" t="s">
        <v>1308</v>
      </c>
      <c r="S2059" s="35">
        <v>0</v>
      </c>
      <c r="T2059" s="16">
        <v>22.2</v>
      </c>
      <c r="U2059" s="19">
        <v>10.433999999999999</v>
      </c>
      <c r="V2059" s="56">
        <f>Table11[[#This Row],[Profit]]/Table11[[#This Row],[Sales]]</f>
        <v>0.47</v>
      </c>
    </row>
    <row r="2060" spans="1:22" x14ac:dyDescent="0.2">
      <c r="A2060" s="4">
        <v>2059</v>
      </c>
      <c r="B2060" s="5" t="s">
        <v>7369</v>
      </c>
      <c r="C2060" s="6">
        <v>42364</v>
      </c>
      <c r="D2060" s="27">
        <f>MONTH(Table11[[#This Row],[Order Date]])</f>
        <v>12</v>
      </c>
      <c r="E2060" s="5" t="s">
        <v>2883</v>
      </c>
      <c r="F2060" s="5" t="s">
        <v>2884</v>
      </c>
      <c r="G2060" s="24" t="s">
        <v>28</v>
      </c>
      <c r="H2060" s="24" t="s">
        <v>50</v>
      </c>
      <c r="I2060" s="5" t="s">
        <v>3678</v>
      </c>
      <c r="J2060" s="24" t="s">
        <v>22</v>
      </c>
      <c r="K2060" s="27">
        <v>1</v>
      </c>
      <c r="L2060" s="6">
        <v>42368</v>
      </c>
      <c r="M2060" s="27">
        <f>Table11[[#This Row],[Ship Date]]-Table11[[#This Row],[Order Date]]</f>
        <v>4</v>
      </c>
      <c r="N2060" s="24" t="s">
        <v>45</v>
      </c>
      <c r="O2060" s="24" t="s">
        <v>23</v>
      </c>
      <c r="P2060" s="24" t="s">
        <v>441</v>
      </c>
      <c r="Q2060" s="24" t="s">
        <v>133</v>
      </c>
      <c r="R2060" s="24" t="s">
        <v>747</v>
      </c>
      <c r="S2060" s="34">
        <v>0.4</v>
      </c>
      <c r="T2060" s="15">
        <v>51.588000000000001</v>
      </c>
      <c r="U2060" s="18">
        <v>-15.4764</v>
      </c>
      <c r="V2060" s="56">
        <f>Table11[[#This Row],[Profit]]/Table11[[#This Row],[Sales]]</f>
        <v>-0.3</v>
      </c>
    </row>
    <row r="2061" spans="1:22" x14ac:dyDescent="0.2">
      <c r="A2061" s="2">
        <v>2060</v>
      </c>
      <c r="B2061" s="3" t="s">
        <v>7662</v>
      </c>
      <c r="C2061" s="7">
        <v>42364</v>
      </c>
      <c r="D2061" s="28">
        <f>MONTH(Table11[[#This Row],[Order Date]])</f>
        <v>12</v>
      </c>
      <c r="E2061" s="3" t="s">
        <v>7518</v>
      </c>
      <c r="F2061" s="3" t="s">
        <v>7519</v>
      </c>
      <c r="G2061" s="25" t="s">
        <v>28</v>
      </c>
      <c r="H2061" s="25" t="s">
        <v>32</v>
      </c>
      <c r="I2061" s="3" t="s">
        <v>372</v>
      </c>
      <c r="J2061" s="25" t="s">
        <v>92</v>
      </c>
      <c r="K2061" s="28">
        <v>3</v>
      </c>
      <c r="L2061" s="7">
        <v>42369</v>
      </c>
      <c r="M2061" s="28">
        <f>Table11[[#This Row],[Ship Date]]-Table11[[#This Row],[Order Date]]</f>
        <v>5</v>
      </c>
      <c r="N2061" s="25" t="s">
        <v>45</v>
      </c>
      <c r="O2061" s="25" t="s">
        <v>23</v>
      </c>
      <c r="P2061" s="25" t="s">
        <v>94</v>
      </c>
      <c r="Q2061" s="25" t="s">
        <v>95</v>
      </c>
      <c r="R2061" s="25" t="s">
        <v>165</v>
      </c>
      <c r="S2061" s="35">
        <v>0.3</v>
      </c>
      <c r="T2061" s="16">
        <v>275.05799999999999</v>
      </c>
      <c r="U2061" s="19">
        <v>-90.376199999999997</v>
      </c>
      <c r="V2061" s="56">
        <f>Table11[[#This Row],[Profit]]/Table11[[#This Row],[Sales]]</f>
        <v>-0.32857142857142857</v>
      </c>
    </row>
    <row r="2062" spans="1:22" x14ac:dyDescent="0.2">
      <c r="A2062" s="4">
        <v>2061</v>
      </c>
      <c r="B2062" s="5" t="s">
        <v>8509</v>
      </c>
      <c r="C2062" s="6">
        <v>42364</v>
      </c>
      <c r="D2062" s="27">
        <f>MONTH(Table11[[#This Row],[Order Date]])</f>
        <v>12</v>
      </c>
      <c r="E2062" s="5" t="s">
        <v>7423</v>
      </c>
      <c r="F2062" s="5" t="s">
        <v>7424</v>
      </c>
      <c r="G2062" s="24" t="s">
        <v>41</v>
      </c>
      <c r="H2062" s="24" t="s">
        <v>82</v>
      </c>
      <c r="I2062" s="5" t="s">
        <v>5234</v>
      </c>
      <c r="J2062" s="24" t="s">
        <v>22</v>
      </c>
      <c r="K2062" s="27">
        <v>6</v>
      </c>
      <c r="L2062" s="6">
        <v>42368</v>
      </c>
      <c r="M2062" s="27">
        <f>Table11[[#This Row],[Ship Date]]-Table11[[#This Row],[Order Date]]</f>
        <v>4</v>
      </c>
      <c r="N2062" s="24" t="s">
        <v>20</v>
      </c>
      <c r="O2062" s="24" t="s">
        <v>23</v>
      </c>
      <c r="P2062" s="24" t="s">
        <v>238</v>
      </c>
      <c r="Q2062" s="24" t="s">
        <v>133</v>
      </c>
      <c r="R2062" s="24" t="s">
        <v>237</v>
      </c>
      <c r="S2062" s="34">
        <v>0</v>
      </c>
      <c r="T2062" s="15">
        <v>212.64</v>
      </c>
      <c r="U2062" s="18">
        <v>99.940799999999996</v>
      </c>
      <c r="V2062" s="56">
        <f>Table11[[#This Row],[Profit]]/Table11[[#This Row],[Sales]]</f>
        <v>0.47000000000000003</v>
      </c>
    </row>
    <row r="2063" spans="1:22" x14ac:dyDescent="0.2">
      <c r="A2063" s="4">
        <v>2062</v>
      </c>
      <c r="B2063" s="3" t="s">
        <v>176</v>
      </c>
      <c r="C2063" s="7">
        <v>42365</v>
      </c>
      <c r="D2063" s="28">
        <f>MONTH(Table11[[#This Row],[Order Date]])</f>
        <v>12</v>
      </c>
      <c r="E2063" s="3" t="s">
        <v>178</v>
      </c>
      <c r="F2063" s="3" t="s">
        <v>179</v>
      </c>
      <c r="G2063" s="25" t="s">
        <v>41</v>
      </c>
      <c r="H2063" s="25" t="s">
        <v>155</v>
      </c>
      <c r="I2063" s="3" t="s">
        <v>177</v>
      </c>
      <c r="J2063" s="25" t="s">
        <v>92</v>
      </c>
      <c r="K2063" s="28">
        <v>9</v>
      </c>
      <c r="L2063" s="7">
        <v>42369</v>
      </c>
      <c r="M2063" s="28">
        <f>Table11[[#This Row],[Ship Date]]-Table11[[#This Row],[Order Date]]</f>
        <v>4</v>
      </c>
      <c r="N2063" s="25" t="s">
        <v>45</v>
      </c>
      <c r="O2063" s="25" t="s">
        <v>23</v>
      </c>
      <c r="P2063" s="25" t="s">
        <v>94</v>
      </c>
      <c r="Q2063" s="25" t="s">
        <v>95</v>
      </c>
      <c r="R2063" s="25" t="s">
        <v>165</v>
      </c>
      <c r="S2063" s="35">
        <v>0.2</v>
      </c>
      <c r="T2063" s="16">
        <v>113.328</v>
      </c>
      <c r="U2063" s="19">
        <v>35.414999999999999</v>
      </c>
      <c r="V2063" s="56">
        <f>Table11[[#This Row],[Profit]]/Table11[[#This Row],[Sales]]</f>
        <v>0.3125</v>
      </c>
    </row>
    <row r="2064" spans="1:22" x14ac:dyDescent="0.2">
      <c r="A2064" s="2">
        <v>2063</v>
      </c>
      <c r="B2064" s="5" t="s">
        <v>176</v>
      </c>
      <c r="C2064" s="6">
        <v>42365</v>
      </c>
      <c r="D2064" s="27">
        <f>MONTH(Table11[[#This Row],[Order Date]])</f>
        <v>12</v>
      </c>
      <c r="E2064" s="5" t="s">
        <v>180</v>
      </c>
      <c r="F2064" s="5" t="s">
        <v>181</v>
      </c>
      <c r="G2064" s="24" t="s">
        <v>28</v>
      </c>
      <c r="H2064" s="24" t="s">
        <v>29</v>
      </c>
      <c r="I2064" s="5" t="s">
        <v>177</v>
      </c>
      <c r="J2064" s="24" t="s">
        <v>92</v>
      </c>
      <c r="K2064" s="27">
        <v>3</v>
      </c>
      <c r="L2064" s="6">
        <v>42369</v>
      </c>
      <c r="M2064" s="27">
        <f>Table11[[#This Row],[Ship Date]]-Table11[[#This Row],[Order Date]]</f>
        <v>4</v>
      </c>
      <c r="N2064" s="24" t="s">
        <v>45</v>
      </c>
      <c r="O2064" s="24" t="s">
        <v>23</v>
      </c>
      <c r="P2064" s="24" t="s">
        <v>94</v>
      </c>
      <c r="Q2064" s="24" t="s">
        <v>95</v>
      </c>
      <c r="R2064" s="24" t="s">
        <v>165</v>
      </c>
      <c r="S2064" s="34">
        <v>0.32</v>
      </c>
      <c r="T2064" s="15">
        <v>532.39919999999995</v>
      </c>
      <c r="U2064" s="18">
        <v>-46.976399999999998</v>
      </c>
      <c r="V2064" s="56">
        <f>Table11[[#This Row],[Profit]]/Table11[[#This Row],[Sales]]</f>
        <v>-8.8235294117647065E-2</v>
      </c>
    </row>
    <row r="2065" spans="1:22" x14ac:dyDescent="0.2">
      <c r="A2065" s="4">
        <v>2064</v>
      </c>
      <c r="B2065" s="3" t="s">
        <v>176</v>
      </c>
      <c r="C2065" s="7">
        <v>42365</v>
      </c>
      <c r="D2065" s="28">
        <f>MONTH(Table11[[#This Row],[Order Date]])</f>
        <v>12</v>
      </c>
      <c r="E2065" s="3" t="s">
        <v>182</v>
      </c>
      <c r="F2065" s="3" t="s">
        <v>183</v>
      </c>
      <c r="G2065" s="25" t="s">
        <v>28</v>
      </c>
      <c r="H2065" s="25" t="s">
        <v>32</v>
      </c>
      <c r="I2065" s="3" t="s">
        <v>177</v>
      </c>
      <c r="J2065" s="25" t="s">
        <v>92</v>
      </c>
      <c r="K2065" s="28">
        <v>3</v>
      </c>
      <c r="L2065" s="7">
        <v>42369</v>
      </c>
      <c r="M2065" s="28">
        <f>Table11[[#This Row],[Ship Date]]-Table11[[#This Row],[Order Date]]</f>
        <v>4</v>
      </c>
      <c r="N2065" s="25" t="s">
        <v>45</v>
      </c>
      <c r="O2065" s="25" t="s">
        <v>23</v>
      </c>
      <c r="P2065" s="25" t="s">
        <v>94</v>
      </c>
      <c r="Q2065" s="25" t="s">
        <v>95</v>
      </c>
      <c r="R2065" s="25" t="s">
        <v>165</v>
      </c>
      <c r="S2065" s="35">
        <v>0.3</v>
      </c>
      <c r="T2065" s="16">
        <v>212.05799999999999</v>
      </c>
      <c r="U2065" s="19">
        <v>-15.147</v>
      </c>
      <c r="V2065" s="56">
        <f>Table11[[#This Row],[Profit]]/Table11[[#This Row],[Sales]]</f>
        <v>-7.1428571428571438E-2</v>
      </c>
    </row>
    <row r="2066" spans="1:22" x14ac:dyDescent="0.2">
      <c r="A2066" s="4">
        <v>2065</v>
      </c>
      <c r="B2066" s="5" t="s">
        <v>176</v>
      </c>
      <c r="C2066" s="6">
        <v>42365</v>
      </c>
      <c r="D2066" s="27">
        <f>MONTH(Table11[[#This Row],[Order Date]])</f>
        <v>12</v>
      </c>
      <c r="E2066" s="5" t="s">
        <v>184</v>
      </c>
      <c r="F2066" s="5" t="s">
        <v>185</v>
      </c>
      <c r="G2066" s="24" t="s">
        <v>64</v>
      </c>
      <c r="H2066" s="24" t="s">
        <v>65</v>
      </c>
      <c r="I2066" s="5" t="s">
        <v>177</v>
      </c>
      <c r="J2066" s="24" t="s">
        <v>92</v>
      </c>
      <c r="K2066" s="27">
        <v>4</v>
      </c>
      <c r="L2066" s="6">
        <v>42369</v>
      </c>
      <c r="M2066" s="27">
        <f>Table11[[#This Row],[Ship Date]]-Table11[[#This Row],[Order Date]]</f>
        <v>4</v>
      </c>
      <c r="N2066" s="24" t="s">
        <v>45</v>
      </c>
      <c r="O2066" s="24" t="s">
        <v>23</v>
      </c>
      <c r="P2066" s="24" t="s">
        <v>94</v>
      </c>
      <c r="Q2066" s="24" t="s">
        <v>95</v>
      </c>
      <c r="R2066" s="24" t="s">
        <v>165</v>
      </c>
      <c r="S2066" s="34">
        <v>0.2</v>
      </c>
      <c r="T2066" s="15">
        <v>371.16800000000001</v>
      </c>
      <c r="U2066" s="18">
        <v>41.756399999999999</v>
      </c>
      <c r="V2066" s="56">
        <f>Table11[[#This Row],[Profit]]/Table11[[#This Row],[Sales]]</f>
        <v>0.1125</v>
      </c>
    </row>
    <row r="2067" spans="1:22" x14ac:dyDescent="0.2">
      <c r="A2067" s="2">
        <v>2066</v>
      </c>
      <c r="B2067" s="3" t="s">
        <v>1507</v>
      </c>
      <c r="C2067" s="7">
        <v>42365</v>
      </c>
      <c r="D2067" s="28">
        <f>MONTH(Table11[[#This Row],[Order Date]])</f>
        <v>12</v>
      </c>
      <c r="E2067" s="3" t="s">
        <v>1511</v>
      </c>
      <c r="F2067" s="3" t="s">
        <v>1512</v>
      </c>
      <c r="G2067" s="25" t="s">
        <v>41</v>
      </c>
      <c r="H2067" s="25" t="s">
        <v>155</v>
      </c>
      <c r="I2067" s="3" t="s">
        <v>1508</v>
      </c>
      <c r="J2067" s="25" t="s">
        <v>22</v>
      </c>
      <c r="K2067" s="28">
        <v>2</v>
      </c>
      <c r="L2067" s="7">
        <v>42369</v>
      </c>
      <c r="M2067" s="28">
        <f>Table11[[#This Row],[Ship Date]]-Table11[[#This Row],[Order Date]]</f>
        <v>4</v>
      </c>
      <c r="N2067" s="25" t="s">
        <v>45</v>
      </c>
      <c r="O2067" s="25" t="s">
        <v>23</v>
      </c>
      <c r="P2067" s="25" t="s">
        <v>1510</v>
      </c>
      <c r="Q2067" s="25" t="s">
        <v>26</v>
      </c>
      <c r="R2067" s="25" t="s">
        <v>1509</v>
      </c>
      <c r="S2067" s="35">
        <v>0</v>
      </c>
      <c r="T2067" s="16">
        <v>105.42</v>
      </c>
      <c r="U2067" s="19">
        <v>51.655799999999999</v>
      </c>
      <c r="V2067" s="56">
        <f>Table11[[#This Row],[Profit]]/Table11[[#This Row],[Sales]]</f>
        <v>0.49</v>
      </c>
    </row>
    <row r="2068" spans="1:22" x14ac:dyDescent="0.2">
      <c r="A2068" s="4">
        <v>2067</v>
      </c>
      <c r="B2068" s="5" t="s">
        <v>2826</v>
      </c>
      <c r="C2068" s="6">
        <v>42365</v>
      </c>
      <c r="D2068" s="27">
        <f>MONTH(Table11[[#This Row],[Order Date]])</f>
        <v>12</v>
      </c>
      <c r="E2068" s="5" t="s">
        <v>2829</v>
      </c>
      <c r="F2068" s="5" t="s">
        <v>2830</v>
      </c>
      <c r="G2068" s="24" t="s">
        <v>41</v>
      </c>
      <c r="H2068" s="24" t="s">
        <v>82</v>
      </c>
      <c r="I2068" s="5" t="s">
        <v>2827</v>
      </c>
      <c r="J2068" s="24" t="s">
        <v>92</v>
      </c>
      <c r="K2068" s="27">
        <v>5</v>
      </c>
      <c r="L2068" s="6">
        <v>42369</v>
      </c>
      <c r="M2068" s="27">
        <f>Table11[[#This Row],[Ship Date]]-Table11[[#This Row],[Order Date]]</f>
        <v>4</v>
      </c>
      <c r="N2068" s="24" t="s">
        <v>45</v>
      </c>
      <c r="O2068" s="24" t="s">
        <v>23</v>
      </c>
      <c r="P2068" s="24" t="s">
        <v>2408</v>
      </c>
      <c r="Q2068" s="24" t="s">
        <v>133</v>
      </c>
      <c r="R2068" s="24" t="s">
        <v>2828</v>
      </c>
      <c r="S2068" s="34">
        <v>0</v>
      </c>
      <c r="T2068" s="15">
        <v>28.9</v>
      </c>
      <c r="U2068" s="18">
        <v>14.161</v>
      </c>
      <c r="V2068" s="56">
        <f>Table11[[#This Row],[Profit]]/Table11[[#This Row],[Sales]]</f>
        <v>0.49</v>
      </c>
    </row>
    <row r="2069" spans="1:22" x14ac:dyDescent="0.2">
      <c r="A2069" s="4">
        <v>2068</v>
      </c>
      <c r="B2069" s="3" t="s">
        <v>2826</v>
      </c>
      <c r="C2069" s="7">
        <v>42365</v>
      </c>
      <c r="D2069" s="28">
        <f>MONTH(Table11[[#This Row],[Order Date]])</f>
        <v>12</v>
      </c>
      <c r="E2069" s="3" t="s">
        <v>610</v>
      </c>
      <c r="F2069" s="3" t="s">
        <v>611</v>
      </c>
      <c r="G2069" s="25" t="s">
        <v>41</v>
      </c>
      <c r="H2069" s="25" t="s">
        <v>71</v>
      </c>
      <c r="I2069" s="3" t="s">
        <v>2827</v>
      </c>
      <c r="J2069" s="25" t="s">
        <v>92</v>
      </c>
      <c r="K2069" s="28">
        <v>2</v>
      </c>
      <c r="L2069" s="7">
        <v>42369</v>
      </c>
      <c r="M2069" s="28">
        <f>Table11[[#This Row],[Ship Date]]-Table11[[#This Row],[Order Date]]</f>
        <v>4</v>
      </c>
      <c r="N2069" s="25" t="s">
        <v>45</v>
      </c>
      <c r="O2069" s="25" t="s">
        <v>23</v>
      </c>
      <c r="P2069" s="25" t="s">
        <v>2408</v>
      </c>
      <c r="Q2069" s="25" t="s">
        <v>133</v>
      </c>
      <c r="R2069" s="25" t="s">
        <v>2828</v>
      </c>
      <c r="S2069" s="35">
        <v>0</v>
      </c>
      <c r="T2069" s="16">
        <v>355.96</v>
      </c>
      <c r="U2069" s="19">
        <v>103.22839999999999</v>
      </c>
      <c r="V2069" s="56">
        <f>Table11[[#This Row],[Profit]]/Table11[[#This Row],[Sales]]</f>
        <v>0.28999999999999998</v>
      </c>
    </row>
    <row r="2070" spans="1:22" x14ac:dyDescent="0.2">
      <c r="A2070" s="2">
        <v>2069</v>
      </c>
      <c r="B2070" s="5" t="s">
        <v>3869</v>
      </c>
      <c r="C2070" s="6">
        <v>42365</v>
      </c>
      <c r="D2070" s="27">
        <f>MONTH(Table11[[#This Row],[Order Date]])</f>
        <v>12</v>
      </c>
      <c r="E2070" s="5" t="s">
        <v>2233</v>
      </c>
      <c r="F2070" s="5" t="s">
        <v>2234</v>
      </c>
      <c r="G2070" s="24" t="s">
        <v>41</v>
      </c>
      <c r="H2070" s="24" t="s">
        <v>71</v>
      </c>
      <c r="I2070" s="5" t="s">
        <v>1158</v>
      </c>
      <c r="J2070" s="24" t="s">
        <v>22</v>
      </c>
      <c r="K2070" s="27">
        <v>2</v>
      </c>
      <c r="L2070" s="6">
        <v>42369</v>
      </c>
      <c r="M2070" s="27">
        <f>Table11[[#This Row],[Ship Date]]-Table11[[#This Row],[Order Date]]</f>
        <v>4</v>
      </c>
      <c r="N2070" s="24" t="s">
        <v>45</v>
      </c>
      <c r="O2070" s="24" t="s">
        <v>23</v>
      </c>
      <c r="P2070" s="24" t="s">
        <v>38</v>
      </c>
      <c r="Q2070" s="24" t="s">
        <v>39</v>
      </c>
      <c r="R2070" s="24" t="s">
        <v>37</v>
      </c>
      <c r="S2070" s="34">
        <v>0</v>
      </c>
      <c r="T2070" s="15">
        <v>106.96</v>
      </c>
      <c r="U2070" s="18">
        <v>31.0184</v>
      </c>
      <c r="V2070" s="56">
        <f>Table11[[#This Row],[Profit]]/Table11[[#This Row],[Sales]]</f>
        <v>0.29000000000000004</v>
      </c>
    </row>
    <row r="2071" spans="1:22" x14ac:dyDescent="0.2">
      <c r="A2071" s="4">
        <v>2070</v>
      </c>
      <c r="B2071" s="3" t="s">
        <v>3869</v>
      </c>
      <c r="C2071" s="7">
        <v>42365</v>
      </c>
      <c r="D2071" s="28">
        <f>MONTH(Table11[[#This Row],[Order Date]])</f>
        <v>12</v>
      </c>
      <c r="E2071" s="3" t="s">
        <v>3870</v>
      </c>
      <c r="F2071" s="3" t="s">
        <v>3871</v>
      </c>
      <c r="G2071" s="25" t="s">
        <v>41</v>
      </c>
      <c r="H2071" s="25" t="s">
        <v>42</v>
      </c>
      <c r="I2071" s="3" t="s">
        <v>1158</v>
      </c>
      <c r="J2071" s="25" t="s">
        <v>22</v>
      </c>
      <c r="K2071" s="28">
        <v>7</v>
      </c>
      <c r="L2071" s="7">
        <v>42369</v>
      </c>
      <c r="M2071" s="28">
        <f>Table11[[#This Row],[Ship Date]]-Table11[[#This Row],[Order Date]]</f>
        <v>4</v>
      </c>
      <c r="N2071" s="25" t="s">
        <v>45</v>
      </c>
      <c r="O2071" s="25" t="s">
        <v>23</v>
      </c>
      <c r="P2071" s="25" t="s">
        <v>38</v>
      </c>
      <c r="Q2071" s="25" t="s">
        <v>39</v>
      </c>
      <c r="R2071" s="25" t="s">
        <v>37</v>
      </c>
      <c r="S2071" s="35">
        <v>0</v>
      </c>
      <c r="T2071" s="16">
        <v>21.56</v>
      </c>
      <c r="U2071" s="19">
        <v>10.348800000000001</v>
      </c>
      <c r="V2071" s="56">
        <f>Table11[[#This Row],[Profit]]/Table11[[#This Row],[Sales]]</f>
        <v>0.48000000000000004</v>
      </c>
    </row>
    <row r="2072" spans="1:22" x14ac:dyDescent="0.2">
      <c r="A2072" s="4">
        <v>2071</v>
      </c>
      <c r="B2072" s="5" t="s">
        <v>5716</v>
      </c>
      <c r="C2072" s="6">
        <v>42365</v>
      </c>
      <c r="D2072" s="27">
        <f>MONTH(Table11[[#This Row],[Order Date]])</f>
        <v>12</v>
      </c>
      <c r="E2072" s="5" t="s">
        <v>5717</v>
      </c>
      <c r="F2072" s="5" t="s">
        <v>5718</v>
      </c>
      <c r="G2072" s="24" t="s">
        <v>41</v>
      </c>
      <c r="H2072" s="24" t="s">
        <v>53</v>
      </c>
      <c r="I2072" s="5" t="s">
        <v>5338</v>
      </c>
      <c r="J2072" s="24" t="s">
        <v>92</v>
      </c>
      <c r="K2072" s="27">
        <v>3</v>
      </c>
      <c r="L2072" s="6">
        <v>42370</v>
      </c>
      <c r="M2072" s="27">
        <f>Table11[[#This Row],[Ship Date]]-Table11[[#This Row],[Order Date]]</f>
        <v>5</v>
      </c>
      <c r="N2072" s="24" t="s">
        <v>45</v>
      </c>
      <c r="O2072" s="24" t="s">
        <v>23</v>
      </c>
      <c r="P2072" s="24" t="s">
        <v>189</v>
      </c>
      <c r="Q2072" s="24" t="s">
        <v>95</v>
      </c>
      <c r="R2072" s="24" t="s">
        <v>271</v>
      </c>
      <c r="S2072" s="34">
        <v>0.2</v>
      </c>
      <c r="T2072" s="15">
        <v>12.672000000000001</v>
      </c>
      <c r="U2072" s="18">
        <v>-3.1680000000000001</v>
      </c>
      <c r="V2072" s="56">
        <f>Table11[[#This Row],[Profit]]/Table11[[#This Row],[Sales]]</f>
        <v>-0.25</v>
      </c>
    </row>
    <row r="2073" spans="1:22" x14ac:dyDescent="0.2">
      <c r="A2073" s="2">
        <v>2072</v>
      </c>
      <c r="B2073" s="3" t="s">
        <v>5800</v>
      </c>
      <c r="C2073" s="7">
        <v>42365</v>
      </c>
      <c r="D2073" s="28">
        <f>MONTH(Table11[[#This Row],[Order Date]])</f>
        <v>12</v>
      </c>
      <c r="E2073" s="3" t="s">
        <v>5279</v>
      </c>
      <c r="F2073" s="3" t="s">
        <v>5280</v>
      </c>
      <c r="G2073" s="25" t="s">
        <v>64</v>
      </c>
      <c r="H2073" s="25" t="s">
        <v>144</v>
      </c>
      <c r="I2073" s="3" t="s">
        <v>5086</v>
      </c>
      <c r="J2073" s="25" t="s">
        <v>36</v>
      </c>
      <c r="K2073" s="28">
        <v>8</v>
      </c>
      <c r="L2073" s="7">
        <v>42367</v>
      </c>
      <c r="M2073" s="28">
        <f>Table11[[#This Row],[Ship Date]]-Table11[[#This Row],[Order Date]]</f>
        <v>2</v>
      </c>
      <c r="N2073" s="25" t="s">
        <v>20</v>
      </c>
      <c r="O2073" s="25" t="s">
        <v>23</v>
      </c>
      <c r="P2073" s="25" t="s">
        <v>38</v>
      </c>
      <c r="Q2073" s="25" t="s">
        <v>39</v>
      </c>
      <c r="R2073" s="25" t="s">
        <v>5801</v>
      </c>
      <c r="S2073" s="35">
        <v>0</v>
      </c>
      <c r="T2073" s="16">
        <v>7.92</v>
      </c>
      <c r="U2073" s="19">
        <v>3.4847999999999999</v>
      </c>
      <c r="V2073" s="56">
        <f>Table11[[#This Row],[Profit]]/Table11[[#This Row],[Sales]]</f>
        <v>0.44</v>
      </c>
    </row>
    <row r="2074" spans="1:22" x14ac:dyDescent="0.2">
      <c r="A2074" s="4">
        <v>2073</v>
      </c>
      <c r="B2074" s="5" t="s">
        <v>7043</v>
      </c>
      <c r="C2074" s="6">
        <v>42365</v>
      </c>
      <c r="D2074" s="27">
        <f>MONTH(Table11[[#This Row],[Order Date]])</f>
        <v>12</v>
      </c>
      <c r="E2074" s="5" t="s">
        <v>6931</v>
      </c>
      <c r="F2074" s="5" t="s">
        <v>6932</v>
      </c>
      <c r="G2074" s="24" t="s">
        <v>41</v>
      </c>
      <c r="H2074" s="24" t="s">
        <v>82</v>
      </c>
      <c r="I2074" s="5" t="s">
        <v>5596</v>
      </c>
      <c r="J2074" s="24" t="s">
        <v>22</v>
      </c>
      <c r="K2074" s="27">
        <v>4</v>
      </c>
      <c r="L2074" s="6">
        <v>42368</v>
      </c>
      <c r="M2074" s="27">
        <f>Table11[[#This Row],[Ship Date]]-Table11[[#This Row],[Order Date]]</f>
        <v>3</v>
      </c>
      <c r="N2074" s="24" t="s">
        <v>169</v>
      </c>
      <c r="O2074" s="24" t="s">
        <v>23</v>
      </c>
      <c r="P2074" s="24" t="s">
        <v>103</v>
      </c>
      <c r="Q2074" s="24" t="s">
        <v>95</v>
      </c>
      <c r="R2074" s="24" t="s">
        <v>5535</v>
      </c>
      <c r="S2074" s="34">
        <v>0</v>
      </c>
      <c r="T2074" s="15">
        <v>195.64</v>
      </c>
      <c r="U2074" s="18">
        <v>91.950800000000001</v>
      </c>
      <c r="V2074" s="56">
        <f>Table11[[#This Row],[Profit]]/Table11[[#This Row],[Sales]]</f>
        <v>0.47000000000000003</v>
      </c>
    </row>
    <row r="2075" spans="1:22" x14ac:dyDescent="0.2">
      <c r="A2075" s="4">
        <v>2074</v>
      </c>
      <c r="B2075" s="3" t="s">
        <v>7043</v>
      </c>
      <c r="C2075" s="7">
        <v>42365</v>
      </c>
      <c r="D2075" s="28">
        <f>MONTH(Table11[[#This Row],[Order Date]])</f>
        <v>12</v>
      </c>
      <c r="E2075" s="3" t="s">
        <v>4227</v>
      </c>
      <c r="F2075" s="3" t="s">
        <v>4228</v>
      </c>
      <c r="G2075" s="25" t="s">
        <v>64</v>
      </c>
      <c r="H2075" s="25" t="s">
        <v>65</v>
      </c>
      <c r="I2075" s="3" t="s">
        <v>5596</v>
      </c>
      <c r="J2075" s="25" t="s">
        <v>22</v>
      </c>
      <c r="K2075" s="28">
        <v>2</v>
      </c>
      <c r="L2075" s="7">
        <v>42368</v>
      </c>
      <c r="M2075" s="28">
        <f>Table11[[#This Row],[Ship Date]]-Table11[[#This Row],[Order Date]]</f>
        <v>3</v>
      </c>
      <c r="N2075" s="25" t="s">
        <v>169</v>
      </c>
      <c r="O2075" s="25" t="s">
        <v>23</v>
      </c>
      <c r="P2075" s="25" t="s">
        <v>103</v>
      </c>
      <c r="Q2075" s="25" t="s">
        <v>95</v>
      </c>
      <c r="R2075" s="25" t="s">
        <v>5535</v>
      </c>
      <c r="S2075" s="35">
        <v>0</v>
      </c>
      <c r="T2075" s="16">
        <v>239.9</v>
      </c>
      <c r="U2075" s="19">
        <v>71.97</v>
      </c>
      <c r="V2075" s="56">
        <f>Table11[[#This Row],[Profit]]/Table11[[#This Row],[Sales]]</f>
        <v>0.3</v>
      </c>
    </row>
    <row r="2076" spans="1:22" x14ac:dyDescent="0.2">
      <c r="A2076" s="2">
        <v>2075</v>
      </c>
      <c r="B2076" s="5" t="s">
        <v>8802</v>
      </c>
      <c r="C2076" s="6">
        <v>42365</v>
      </c>
      <c r="D2076" s="27">
        <f>MONTH(Table11[[#This Row],[Order Date]])</f>
        <v>12</v>
      </c>
      <c r="E2076" s="5" t="s">
        <v>2537</v>
      </c>
      <c r="F2076" s="5" t="s">
        <v>2538</v>
      </c>
      <c r="G2076" s="24" t="s">
        <v>28</v>
      </c>
      <c r="H2076" s="24" t="s">
        <v>50</v>
      </c>
      <c r="I2076" s="5" t="s">
        <v>803</v>
      </c>
      <c r="J2076" s="24" t="s">
        <v>36</v>
      </c>
      <c r="K2076" s="27">
        <v>9</v>
      </c>
      <c r="L2076" s="6">
        <v>42369</v>
      </c>
      <c r="M2076" s="27">
        <f>Table11[[#This Row],[Ship Date]]-Table11[[#This Row],[Order Date]]</f>
        <v>4</v>
      </c>
      <c r="N2076" s="24" t="s">
        <v>45</v>
      </c>
      <c r="O2076" s="24" t="s">
        <v>23</v>
      </c>
      <c r="P2076" s="24" t="s">
        <v>441</v>
      </c>
      <c r="Q2076" s="24" t="s">
        <v>133</v>
      </c>
      <c r="R2076" s="24" t="s">
        <v>4594</v>
      </c>
      <c r="S2076" s="34">
        <v>0.4</v>
      </c>
      <c r="T2076" s="15">
        <v>1548.99</v>
      </c>
      <c r="U2076" s="18">
        <v>-464.697</v>
      </c>
      <c r="V2076" s="56">
        <f>Table11[[#This Row],[Profit]]/Table11[[#This Row],[Sales]]</f>
        <v>-0.3</v>
      </c>
    </row>
    <row r="2077" spans="1:22" x14ac:dyDescent="0.2">
      <c r="A2077" s="4">
        <v>2076</v>
      </c>
      <c r="B2077" s="3" t="s">
        <v>8802</v>
      </c>
      <c r="C2077" s="7">
        <v>42365</v>
      </c>
      <c r="D2077" s="28">
        <f>MONTH(Table11[[#This Row],[Order Date]])</f>
        <v>12</v>
      </c>
      <c r="E2077" s="3" t="s">
        <v>5439</v>
      </c>
      <c r="F2077" s="3" t="s">
        <v>591</v>
      </c>
      <c r="G2077" s="25" t="s">
        <v>41</v>
      </c>
      <c r="H2077" s="25" t="s">
        <v>155</v>
      </c>
      <c r="I2077" s="3" t="s">
        <v>803</v>
      </c>
      <c r="J2077" s="25" t="s">
        <v>36</v>
      </c>
      <c r="K2077" s="28">
        <v>3</v>
      </c>
      <c r="L2077" s="7">
        <v>42369</v>
      </c>
      <c r="M2077" s="28">
        <f>Table11[[#This Row],[Ship Date]]-Table11[[#This Row],[Order Date]]</f>
        <v>4</v>
      </c>
      <c r="N2077" s="25" t="s">
        <v>45</v>
      </c>
      <c r="O2077" s="25" t="s">
        <v>23</v>
      </c>
      <c r="P2077" s="25" t="s">
        <v>441</v>
      </c>
      <c r="Q2077" s="25" t="s">
        <v>133</v>
      </c>
      <c r="R2077" s="25" t="s">
        <v>4594</v>
      </c>
      <c r="S2077" s="35">
        <v>0.2</v>
      </c>
      <c r="T2077" s="16">
        <v>19.872</v>
      </c>
      <c r="U2077" s="19">
        <v>6.7068000000000003</v>
      </c>
      <c r="V2077" s="56">
        <f>Table11[[#This Row],[Profit]]/Table11[[#This Row],[Sales]]</f>
        <v>0.33750000000000002</v>
      </c>
    </row>
    <row r="2078" spans="1:22" x14ac:dyDescent="0.2">
      <c r="A2078" s="4">
        <v>2077</v>
      </c>
      <c r="B2078" s="5" t="s">
        <v>9422</v>
      </c>
      <c r="C2078" s="6">
        <v>42365</v>
      </c>
      <c r="D2078" s="27">
        <f>MONTH(Table11[[#This Row],[Order Date]])</f>
        <v>12</v>
      </c>
      <c r="E2078" s="5" t="s">
        <v>9178</v>
      </c>
      <c r="F2078" s="5" t="s">
        <v>9179</v>
      </c>
      <c r="G2078" s="24" t="s">
        <v>64</v>
      </c>
      <c r="H2078" s="24" t="s">
        <v>144</v>
      </c>
      <c r="I2078" s="5" t="s">
        <v>1024</v>
      </c>
      <c r="J2078" s="24" t="s">
        <v>36</v>
      </c>
      <c r="K2078" s="27">
        <v>3</v>
      </c>
      <c r="L2078" s="6">
        <v>42369</v>
      </c>
      <c r="M2078" s="27">
        <f>Table11[[#This Row],[Ship Date]]-Table11[[#This Row],[Order Date]]</f>
        <v>4</v>
      </c>
      <c r="N2078" s="24" t="s">
        <v>45</v>
      </c>
      <c r="O2078" s="24" t="s">
        <v>23</v>
      </c>
      <c r="P2078" s="24" t="s">
        <v>299</v>
      </c>
      <c r="Q2078" s="24" t="s">
        <v>26</v>
      </c>
      <c r="R2078" s="24" t="s">
        <v>1047</v>
      </c>
      <c r="S2078" s="34">
        <v>0.2</v>
      </c>
      <c r="T2078" s="15">
        <v>4.7279999999999998</v>
      </c>
      <c r="U2078" s="18">
        <v>0.70920000000000005</v>
      </c>
      <c r="V2078" s="56">
        <f>Table11[[#This Row],[Profit]]/Table11[[#This Row],[Sales]]</f>
        <v>0.15000000000000002</v>
      </c>
    </row>
    <row r="2079" spans="1:22" x14ac:dyDescent="0.2">
      <c r="A2079" s="2">
        <v>2078</v>
      </c>
      <c r="B2079" s="3" t="s">
        <v>9422</v>
      </c>
      <c r="C2079" s="7">
        <v>42365</v>
      </c>
      <c r="D2079" s="28">
        <f>MONTH(Table11[[#This Row],[Order Date]])</f>
        <v>12</v>
      </c>
      <c r="E2079" s="3" t="s">
        <v>9115</v>
      </c>
      <c r="F2079" s="3" t="s">
        <v>9116</v>
      </c>
      <c r="G2079" s="25" t="s">
        <v>28</v>
      </c>
      <c r="H2079" s="25" t="s">
        <v>58</v>
      </c>
      <c r="I2079" s="3" t="s">
        <v>1024</v>
      </c>
      <c r="J2079" s="25" t="s">
        <v>36</v>
      </c>
      <c r="K2079" s="28">
        <v>3</v>
      </c>
      <c r="L2079" s="7">
        <v>42369</v>
      </c>
      <c r="M2079" s="28">
        <f>Table11[[#This Row],[Ship Date]]-Table11[[#This Row],[Order Date]]</f>
        <v>4</v>
      </c>
      <c r="N2079" s="25" t="s">
        <v>45</v>
      </c>
      <c r="O2079" s="25" t="s">
        <v>23</v>
      </c>
      <c r="P2079" s="25" t="s">
        <v>299</v>
      </c>
      <c r="Q2079" s="25" t="s">
        <v>26</v>
      </c>
      <c r="R2079" s="25" t="s">
        <v>1047</v>
      </c>
      <c r="S2079" s="35">
        <v>0.2</v>
      </c>
      <c r="T2079" s="16">
        <v>53.351999999999997</v>
      </c>
      <c r="U2079" s="19">
        <v>16.005600000000001</v>
      </c>
      <c r="V2079" s="56">
        <f>Table11[[#This Row],[Profit]]/Table11[[#This Row],[Sales]]</f>
        <v>0.30000000000000004</v>
      </c>
    </row>
    <row r="2080" spans="1:22" x14ac:dyDescent="0.2">
      <c r="A2080" s="4">
        <v>2079</v>
      </c>
      <c r="B2080" s="5" t="s">
        <v>9422</v>
      </c>
      <c r="C2080" s="6">
        <v>42365</v>
      </c>
      <c r="D2080" s="27">
        <f>MONTH(Table11[[#This Row],[Order Date]])</f>
        <v>12</v>
      </c>
      <c r="E2080" s="5" t="s">
        <v>6551</v>
      </c>
      <c r="F2080" s="5" t="s">
        <v>6552</v>
      </c>
      <c r="G2080" s="24" t="s">
        <v>28</v>
      </c>
      <c r="H2080" s="24" t="s">
        <v>29</v>
      </c>
      <c r="I2080" s="5" t="s">
        <v>1024</v>
      </c>
      <c r="J2080" s="24" t="s">
        <v>36</v>
      </c>
      <c r="K2080" s="27">
        <v>2</v>
      </c>
      <c r="L2080" s="6">
        <v>42369</v>
      </c>
      <c r="M2080" s="27">
        <f>Table11[[#This Row],[Ship Date]]-Table11[[#This Row],[Order Date]]</f>
        <v>4</v>
      </c>
      <c r="N2080" s="24" t="s">
        <v>45</v>
      </c>
      <c r="O2080" s="24" t="s">
        <v>23</v>
      </c>
      <c r="P2080" s="24" t="s">
        <v>299</v>
      </c>
      <c r="Q2080" s="24" t="s">
        <v>26</v>
      </c>
      <c r="R2080" s="24" t="s">
        <v>1047</v>
      </c>
      <c r="S2080" s="34">
        <v>0.2</v>
      </c>
      <c r="T2080" s="15">
        <v>131.10400000000001</v>
      </c>
      <c r="U2080" s="18">
        <v>8.1940000000000008</v>
      </c>
      <c r="V2080" s="56">
        <f>Table11[[#This Row],[Profit]]/Table11[[#This Row],[Sales]]</f>
        <v>6.25E-2</v>
      </c>
    </row>
    <row r="2081" spans="1:22" x14ac:dyDescent="0.2">
      <c r="A2081" s="4">
        <v>2080</v>
      </c>
      <c r="B2081" s="3" t="s">
        <v>9422</v>
      </c>
      <c r="C2081" s="7">
        <v>42365</v>
      </c>
      <c r="D2081" s="28">
        <f>MONTH(Table11[[#This Row],[Order Date]])</f>
        <v>12</v>
      </c>
      <c r="E2081" s="3" t="s">
        <v>4224</v>
      </c>
      <c r="F2081" s="3" t="s">
        <v>2339</v>
      </c>
      <c r="G2081" s="25" t="s">
        <v>41</v>
      </c>
      <c r="H2081" s="25" t="s">
        <v>53</v>
      </c>
      <c r="I2081" s="3" t="s">
        <v>1024</v>
      </c>
      <c r="J2081" s="25" t="s">
        <v>36</v>
      </c>
      <c r="K2081" s="28">
        <v>3</v>
      </c>
      <c r="L2081" s="7">
        <v>42369</v>
      </c>
      <c r="M2081" s="28">
        <f>Table11[[#This Row],[Ship Date]]-Table11[[#This Row],[Order Date]]</f>
        <v>4</v>
      </c>
      <c r="N2081" s="25" t="s">
        <v>45</v>
      </c>
      <c r="O2081" s="25" t="s">
        <v>23</v>
      </c>
      <c r="P2081" s="25" t="s">
        <v>299</v>
      </c>
      <c r="Q2081" s="25" t="s">
        <v>26</v>
      </c>
      <c r="R2081" s="25" t="s">
        <v>1047</v>
      </c>
      <c r="S2081" s="35">
        <v>0.2</v>
      </c>
      <c r="T2081" s="16">
        <v>22.512</v>
      </c>
      <c r="U2081" s="19">
        <v>2.2511999999999999</v>
      </c>
      <c r="V2081" s="56">
        <f>Table11[[#This Row],[Profit]]/Table11[[#This Row],[Sales]]</f>
        <v>9.9999999999999992E-2</v>
      </c>
    </row>
    <row r="2082" spans="1:22" x14ac:dyDescent="0.2">
      <c r="A2082" s="2">
        <v>2081</v>
      </c>
      <c r="B2082" s="5" t="s">
        <v>9422</v>
      </c>
      <c r="C2082" s="6">
        <v>42365</v>
      </c>
      <c r="D2082" s="27">
        <f>MONTH(Table11[[#This Row],[Order Date]])</f>
        <v>12</v>
      </c>
      <c r="E2082" s="5" t="s">
        <v>5249</v>
      </c>
      <c r="F2082" s="5" t="s">
        <v>5250</v>
      </c>
      <c r="G2082" s="24" t="s">
        <v>64</v>
      </c>
      <c r="H2082" s="24" t="s">
        <v>144</v>
      </c>
      <c r="I2082" s="5" t="s">
        <v>1024</v>
      </c>
      <c r="J2082" s="24" t="s">
        <v>36</v>
      </c>
      <c r="K2082" s="27">
        <v>7</v>
      </c>
      <c r="L2082" s="6">
        <v>42369</v>
      </c>
      <c r="M2082" s="27">
        <f>Table11[[#This Row],[Ship Date]]-Table11[[#This Row],[Order Date]]</f>
        <v>4</v>
      </c>
      <c r="N2082" s="24" t="s">
        <v>45</v>
      </c>
      <c r="O2082" s="24" t="s">
        <v>23</v>
      </c>
      <c r="P2082" s="24" t="s">
        <v>299</v>
      </c>
      <c r="Q2082" s="24" t="s">
        <v>26</v>
      </c>
      <c r="R2082" s="24" t="s">
        <v>1047</v>
      </c>
      <c r="S2082" s="34">
        <v>0.2</v>
      </c>
      <c r="T2082" s="15">
        <v>72.744</v>
      </c>
      <c r="U2082" s="18">
        <v>-12.7302</v>
      </c>
      <c r="V2082" s="56">
        <f>Table11[[#This Row],[Profit]]/Table11[[#This Row],[Sales]]</f>
        <v>-0.17499999999999999</v>
      </c>
    </row>
    <row r="2083" spans="1:22" x14ac:dyDescent="0.2">
      <c r="A2083" s="4">
        <v>2082</v>
      </c>
      <c r="B2083" s="3" t="s">
        <v>9987</v>
      </c>
      <c r="C2083" s="7">
        <v>42365</v>
      </c>
      <c r="D2083" s="28">
        <f>MONTH(Table11[[#This Row],[Order Date]])</f>
        <v>12</v>
      </c>
      <c r="E2083" s="3" t="s">
        <v>2640</v>
      </c>
      <c r="F2083" s="3" t="s">
        <v>2641</v>
      </c>
      <c r="G2083" s="25" t="s">
        <v>41</v>
      </c>
      <c r="H2083" s="25" t="s">
        <v>53</v>
      </c>
      <c r="I2083" s="3" t="s">
        <v>5733</v>
      </c>
      <c r="J2083" s="25" t="s">
        <v>36</v>
      </c>
      <c r="K2083" s="28">
        <v>2</v>
      </c>
      <c r="L2083" s="7">
        <v>42369</v>
      </c>
      <c r="M2083" s="28">
        <f>Table11[[#This Row],[Ship Date]]-Table11[[#This Row],[Order Date]]</f>
        <v>4</v>
      </c>
      <c r="N2083" s="25" t="s">
        <v>45</v>
      </c>
      <c r="O2083" s="25" t="s">
        <v>23</v>
      </c>
      <c r="P2083" s="25" t="s">
        <v>38</v>
      </c>
      <c r="Q2083" s="25" t="s">
        <v>39</v>
      </c>
      <c r="R2083" s="25" t="s">
        <v>114</v>
      </c>
      <c r="S2083" s="35">
        <v>0</v>
      </c>
      <c r="T2083" s="16">
        <v>323.10000000000002</v>
      </c>
      <c r="U2083" s="19">
        <v>61.389000000000003</v>
      </c>
      <c r="V2083" s="56">
        <f>Table11[[#This Row],[Profit]]/Table11[[#This Row],[Sales]]</f>
        <v>0.19</v>
      </c>
    </row>
    <row r="2084" spans="1:22" x14ac:dyDescent="0.2">
      <c r="A2084" s="4">
        <v>2083</v>
      </c>
      <c r="B2084" s="5" t="s">
        <v>9987</v>
      </c>
      <c r="C2084" s="6">
        <v>42365</v>
      </c>
      <c r="D2084" s="27">
        <f>MONTH(Table11[[#This Row],[Order Date]])</f>
        <v>12</v>
      </c>
      <c r="E2084" s="5" t="s">
        <v>3147</v>
      </c>
      <c r="F2084" s="5" t="s">
        <v>3148</v>
      </c>
      <c r="G2084" s="24" t="s">
        <v>64</v>
      </c>
      <c r="H2084" s="24" t="s">
        <v>65</v>
      </c>
      <c r="I2084" s="5" t="s">
        <v>5733</v>
      </c>
      <c r="J2084" s="24" t="s">
        <v>36</v>
      </c>
      <c r="K2084" s="27">
        <v>9</v>
      </c>
      <c r="L2084" s="6">
        <v>42369</v>
      </c>
      <c r="M2084" s="27">
        <f>Table11[[#This Row],[Ship Date]]-Table11[[#This Row],[Order Date]]</f>
        <v>4</v>
      </c>
      <c r="N2084" s="24" t="s">
        <v>45</v>
      </c>
      <c r="O2084" s="24" t="s">
        <v>23</v>
      </c>
      <c r="P2084" s="24" t="s">
        <v>38</v>
      </c>
      <c r="Q2084" s="24" t="s">
        <v>39</v>
      </c>
      <c r="R2084" s="24" t="s">
        <v>114</v>
      </c>
      <c r="S2084" s="34">
        <v>0.2</v>
      </c>
      <c r="T2084" s="15">
        <v>668.16</v>
      </c>
      <c r="U2084" s="18">
        <v>75.168000000000006</v>
      </c>
      <c r="V2084" s="56">
        <f>Table11[[#This Row],[Profit]]/Table11[[#This Row],[Sales]]</f>
        <v>0.11250000000000002</v>
      </c>
    </row>
    <row r="2085" spans="1:22" x14ac:dyDescent="0.2">
      <c r="A2085" s="2">
        <v>2084</v>
      </c>
      <c r="B2085" s="3" t="s">
        <v>582</v>
      </c>
      <c r="C2085" s="7">
        <v>42366</v>
      </c>
      <c r="D2085" s="28">
        <f>MONTH(Table11[[#This Row],[Order Date]])</f>
        <v>12</v>
      </c>
      <c r="E2085" s="3" t="s">
        <v>584</v>
      </c>
      <c r="F2085" s="3" t="s">
        <v>585</v>
      </c>
      <c r="G2085" s="25" t="s">
        <v>64</v>
      </c>
      <c r="H2085" s="25" t="s">
        <v>144</v>
      </c>
      <c r="I2085" s="3" t="s">
        <v>583</v>
      </c>
      <c r="J2085" s="25" t="s">
        <v>22</v>
      </c>
      <c r="K2085" s="28">
        <v>2</v>
      </c>
      <c r="L2085" s="7">
        <v>42369</v>
      </c>
      <c r="M2085" s="28">
        <f>Table11[[#This Row],[Ship Date]]-Table11[[#This Row],[Order Date]]</f>
        <v>3</v>
      </c>
      <c r="N2085" s="25" t="s">
        <v>20</v>
      </c>
      <c r="O2085" s="25" t="s">
        <v>23</v>
      </c>
      <c r="P2085" s="25" t="s">
        <v>132</v>
      </c>
      <c r="Q2085" s="25" t="s">
        <v>133</v>
      </c>
      <c r="R2085" s="25" t="s">
        <v>131</v>
      </c>
      <c r="S2085" s="35">
        <v>0.2</v>
      </c>
      <c r="T2085" s="16">
        <v>54.384</v>
      </c>
      <c r="U2085" s="19">
        <v>1.3595999999999999</v>
      </c>
      <c r="V2085" s="56">
        <f>Table11[[#This Row],[Profit]]/Table11[[#This Row],[Sales]]</f>
        <v>2.4999999999999998E-2</v>
      </c>
    </row>
    <row r="2086" spans="1:22" x14ac:dyDescent="0.2">
      <c r="A2086" s="4">
        <v>2085</v>
      </c>
      <c r="B2086" s="5" t="s">
        <v>6442</v>
      </c>
      <c r="C2086" s="6">
        <v>42366</v>
      </c>
      <c r="D2086" s="27">
        <f>MONTH(Table11[[#This Row],[Order Date]])</f>
        <v>12</v>
      </c>
      <c r="E2086" s="5" t="s">
        <v>3540</v>
      </c>
      <c r="F2086" s="5" t="s">
        <v>5887</v>
      </c>
      <c r="G2086" s="24" t="s">
        <v>41</v>
      </c>
      <c r="H2086" s="24" t="s">
        <v>53</v>
      </c>
      <c r="I2086" s="5" t="s">
        <v>5238</v>
      </c>
      <c r="J2086" s="24" t="s">
        <v>22</v>
      </c>
      <c r="K2086" s="27">
        <v>2</v>
      </c>
      <c r="L2086" s="6">
        <v>42370</v>
      </c>
      <c r="M2086" s="27">
        <f>Table11[[#This Row],[Ship Date]]-Table11[[#This Row],[Order Date]]</f>
        <v>4</v>
      </c>
      <c r="N2086" s="24" t="s">
        <v>45</v>
      </c>
      <c r="O2086" s="24" t="s">
        <v>23</v>
      </c>
      <c r="P2086" s="24" t="s">
        <v>189</v>
      </c>
      <c r="Q2086" s="24" t="s">
        <v>95</v>
      </c>
      <c r="R2086" s="24" t="s">
        <v>271</v>
      </c>
      <c r="S2086" s="34">
        <v>0.2</v>
      </c>
      <c r="T2086" s="15">
        <v>24.815999999999999</v>
      </c>
      <c r="U2086" s="18">
        <v>1.5509999999999999</v>
      </c>
      <c r="V2086" s="56">
        <f>Table11[[#This Row],[Profit]]/Table11[[#This Row],[Sales]]</f>
        <v>6.25E-2</v>
      </c>
    </row>
    <row r="2087" spans="1:22" x14ac:dyDescent="0.2">
      <c r="A2087" s="4">
        <v>2086</v>
      </c>
      <c r="B2087" s="3" t="s">
        <v>10084</v>
      </c>
      <c r="C2087" s="7">
        <v>42367</v>
      </c>
      <c r="D2087" s="28">
        <f>MONTH(Table11[[#This Row],[Order Date]])</f>
        <v>12</v>
      </c>
      <c r="E2087" s="3" t="s">
        <v>9543</v>
      </c>
      <c r="F2087" s="3" t="s">
        <v>9544</v>
      </c>
      <c r="G2087" s="25" t="s">
        <v>41</v>
      </c>
      <c r="H2087" s="25" t="s">
        <v>513</v>
      </c>
      <c r="I2087" s="3" t="s">
        <v>1260</v>
      </c>
      <c r="J2087" s="25" t="s">
        <v>22</v>
      </c>
      <c r="K2087" s="28">
        <v>2</v>
      </c>
      <c r="L2087" s="7">
        <v>42374</v>
      </c>
      <c r="M2087" s="28">
        <f>Table11[[#This Row],[Ship Date]]-Table11[[#This Row],[Order Date]]</f>
        <v>7</v>
      </c>
      <c r="N2087" s="25" t="s">
        <v>45</v>
      </c>
      <c r="O2087" s="25" t="s">
        <v>23</v>
      </c>
      <c r="P2087" s="25" t="s">
        <v>238</v>
      </c>
      <c r="Q2087" s="25" t="s">
        <v>133</v>
      </c>
      <c r="R2087" s="25" t="s">
        <v>237</v>
      </c>
      <c r="S2087" s="35">
        <v>0</v>
      </c>
      <c r="T2087" s="16">
        <v>6.36</v>
      </c>
      <c r="U2087" s="19">
        <v>6.3600000000000004E-2</v>
      </c>
      <c r="V2087" s="56">
        <f>Table11[[#This Row],[Profit]]/Table11[[#This Row],[Sales]]</f>
        <v>0.01</v>
      </c>
    </row>
    <row r="2088" spans="1:22" x14ac:dyDescent="0.2">
      <c r="A2088" s="2">
        <v>2087</v>
      </c>
      <c r="B2088" s="5" t="s">
        <v>7853</v>
      </c>
      <c r="C2088" s="6">
        <v>42368</v>
      </c>
      <c r="D2088" s="27">
        <f>MONTH(Table11[[#This Row],[Order Date]])</f>
        <v>12</v>
      </c>
      <c r="E2088" s="5" t="s">
        <v>4023</v>
      </c>
      <c r="F2088" s="5" t="s">
        <v>4024</v>
      </c>
      <c r="G2088" s="24" t="s">
        <v>41</v>
      </c>
      <c r="H2088" s="24" t="s">
        <v>82</v>
      </c>
      <c r="I2088" s="5" t="s">
        <v>431</v>
      </c>
      <c r="J2088" s="24" t="s">
        <v>22</v>
      </c>
      <c r="K2088" s="27">
        <v>3</v>
      </c>
      <c r="L2088" s="6">
        <v>42372</v>
      </c>
      <c r="M2088" s="27">
        <f>Table11[[#This Row],[Ship Date]]-Table11[[#This Row],[Order Date]]</f>
        <v>4</v>
      </c>
      <c r="N2088" s="24" t="s">
        <v>45</v>
      </c>
      <c r="O2088" s="24" t="s">
        <v>23</v>
      </c>
      <c r="P2088" s="24" t="s">
        <v>38</v>
      </c>
      <c r="Q2088" s="24" t="s">
        <v>39</v>
      </c>
      <c r="R2088" s="24" t="s">
        <v>37</v>
      </c>
      <c r="S2088" s="34">
        <v>0</v>
      </c>
      <c r="T2088" s="15">
        <v>68.52</v>
      </c>
      <c r="U2088" s="18">
        <v>31.519200000000001</v>
      </c>
      <c r="V2088" s="56">
        <f>Table11[[#This Row],[Profit]]/Table11[[#This Row],[Sales]]</f>
        <v>0.46</v>
      </c>
    </row>
    <row r="2089" spans="1:22" x14ac:dyDescent="0.2">
      <c r="A2089" s="4">
        <v>2088</v>
      </c>
      <c r="B2089" s="3" t="s">
        <v>7853</v>
      </c>
      <c r="C2089" s="7">
        <v>42368</v>
      </c>
      <c r="D2089" s="28">
        <f>MONTH(Table11[[#This Row],[Order Date]])</f>
        <v>12</v>
      </c>
      <c r="E2089" s="3" t="s">
        <v>1236</v>
      </c>
      <c r="F2089" s="3" t="s">
        <v>1237</v>
      </c>
      <c r="G2089" s="25" t="s">
        <v>41</v>
      </c>
      <c r="H2089" s="25" t="s">
        <v>53</v>
      </c>
      <c r="I2089" s="3" t="s">
        <v>431</v>
      </c>
      <c r="J2089" s="25" t="s">
        <v>22</v>
      </c>
      <c r="K2089" s="28">
        <v>3</v>
      </c>
      <c r="L2089" s="7">
        <v>42372</v>
      </c>
      <c r="M2089" s="28">
        <f>Table11[[#This Row],[Ship Date]]-Table11[[#This Row],[Order Date]]</f>
        <v>4</v>
      </c>
      <c r="N2089" s="25" t="s">
        <v>45</v>
      </c>
      <c r="O2089" s="25" t="s">
        <v>23</v>
      </c>
      <c r="P2089" s="25" t="s">
        <v>38</v>
      </c>
      <c r="Q2089" s="25" t="s">
        <v>39</v>
      </c>
      <c r="R2089" s="25" t="s">
        <v>37</v>
      </c>
      <c r="S2089" s="35">
        <v>0</v>
      </c>
      <c r="T2089" s="16">
        <v>74.94</v>
      </c>
      <c r="U2089" s="19">
        <v>14.2386</v>
      </c>
      <c r="V2089" s="56">
        <f>Table11[[#This Row],[Profit]]/Table11[[#This Row],[Sales]]</f>
        <v>0.19</v>
      </c>
    </row>
    <row r="2090" spans="1:22" x14ac:dyDescent="0.2">
      <c r="A2090" s="4">
        <v>2089</v>
      </c>
      <c r="B2090" s="5" t="s">
        <v>7853</v>
      </c>
      <c r="C2090" s="6">
        <v>42368</v>
      </c>
      <c r="D2090" s="27">
        <f>MONTH(Table11[[#This Row],[Order Date]])</f>
        <v>12</v>
      </c>
      <c r="E2090" s="5" t="s">
        <v>2285</v>
      </c>
      <c r="F2090" s="5" t="s">
        <v>2286</v>
      </c>
      <c r="G2090" s="24" t="s">
        <v>64</v>
      </c>
      <c r="H2090" s="24" t="s">
        <v>602</v>
      </c>
      <c r="I2090" s="5" t="s">
        <v>431</v>
      </c>
      <c r="J2090" s="24" t="s">
        <v>22</v>
      </c>
      <c r="K2090" s="27">
        <v>6</v>
      </c>
      <c r="L2090" s="6">
        <v>42372</v>
      </c>
      <c r="M2090" s="27">
        <f>Table11[[#This Row],[Ship Date]]-Table11[[#This Row],[Order Date]]</f>
        <v>4</v>
      </c>
      <c r="N2090" s="24" t="s">
        <v>45</v>
      </c>
      <c r="O2090" s="24" t="s">
        <v>23</v>
      </c>
      <c r="P2090" s="24" t="s">
        <v>38</v>
      </c>
      <c r="Q2090" s="24" t="s">
        <v>39</v>
      </c>
      <c r="R2090" s="24" t="s">
        <v>37</v>
      </c>
      <c r="S2090" s="34">
        <v>0.2</v>
      </c>
      <c r="T2090" s="15">
        <v>2548.56</v>
      </c>
      <c r="U2090" s="18">
        <v>286.71300000000002</v>
      </c>
      <c r="V2090" s="56">
        <f>Table11[[#This Row],[Profit]]/Table11[[#This Row],[Sales]]</f>
        <v>0.11250000000000002</v>
      </c>
    </row>
    <row r="2091" spans="1:22" x14ac:dyDescent="0.2">
      <c r="A2091" s="2">
        <v>2090</v>
      </c>
      <c r="B2091" s="3" t="s">
        <v>7853</v>
      </c>
      <c r="C2091" s="7">
        <v>42368</v>
      </c>
      <c r="D2091" s="28">
        <f>MONTH(Table11[[#This Row],[Order Date]])</f>
        <v>12</v>
      </c>
      <c r="E2091" s="3" t="s">
        <v>843</v>
      </c>
      <c r="F2091" s="3" t="s">
        <v>844</v>
      </c>
      <c r="G2091" s="25" t="s">
        <v>41</v>
      </c>
      <c r="H2091" s="25" t="s">
        <v>155</v>
      </c>
      <c r="I2091" s="3" t="s">
        <v>431</v>
      </c>
      <c r="J2091" s="25" t="s">
        <v>22</v>
      </c>
      <c r="K2091" s="28">
        <v>3</v>
      </c>
      <c r="L2091" s="7">
        <v>42372</v>
      </c>
      <c r="M2091" s="28">
        <f>Table11[[#This Row],[Ship Date]]-Table11[[#This Row],[Order Date]]</f>
        <v>4</v>
      </c>
      <c r="N2091" s="25" t="s">
        <v>45</v>
      </c>
      <c r="O2091" s="25" t="s">
        <v>23</v>
      </c>
      <c r="P2091" s="25" t="s">
        <v>38</v>
      </c>
      <c r="Q2091" s="25" t="s">
        <v>39</v>
      </c>
      <c r="R2091" s="25" t="s">
        <v>37</v>
      </c>
      <c r="S2091" s="35">
        <v>0</v>
      </c>
      <c r="T2091" s="16">
        <v>271.44</v>
      </c>
      <c r="U2091" s="19">
        <v>122.148</v>
      </c>
      <c r="V2091" s="56">
        <f>Table11[[#This Row],[Profit]]/Table11[[#This Row],[Sales]]</f>
        <v>0.45</v>
      </c>
    </row>
    <row r="2092" spans="1:22" x14ac:dyDescent="0.2">
      <c r="A2092" s="4">
        <v>2091</v>
      </c>
      <c r="B2092" s="5" t="s">
        <v>7853</v>
      </c>
      <c r="C2092" s="6">
        <v>42368</v>
      </c>
      <c r="D2092" s="27">
        <f>MONTH(Table11[[#This Row],[Order Date]])</f>
        <v>12</v>
      </c>
      <c r="E2092" s="5" t="s">
        <v>4227</v>
      </c>
      <c r="F2092" s="5" t="s">
        <v>4228</v>
      </c>
      <c r="G2092" s="24" t="s">
        <v>64</v>
      </c>
      <c r="H2092" s="24" t="s">
        <v>65</v>
      </c>
      <c r="I2092" s="5" t="s">
        <v>431</v>
      </c>
      <c r="J2092" s="24" t="s">
        <v>22</v>
      </c>
      <c r="K2092" s="27">
        <v>3</v>
      </c>
      <c r="L2092" s="6">
        <v>42372</v>
      </c>
      <c r="M2092" s="27">
        <f>Table11[[#This Row],[Ship Date]]-Table11[[#This Row],[Order Date]]</f>
        <v>4</v>
      </c>
      <c r="N2092" s="24" t="s">
        <v>45</v>
      </c>
      <c r="O2092" s="24" t="s">
        <v>23</v>
      </c>
      <c r="P2092" s="24" t="s">
        <v>38</v>
      </c>
      <c r="Q2092" s="24" t="s">
        <v>39</v>
      </c>
      <c r="R2092" s="24" t="s">
        <v>37</v>
      </c>
      <c r="S2092" s="34">
        <v>0.2</v>
      </c>
      <c r="T2092" s="15">
        <v>287.88</v>
      </c>
      <c r="U2092" s="18">
        <v>35.984999999999999</v>
      </c>
      <c r="V2092" s="56">
        <f>Table11[[#This Row],[Profit]]/Table11[[#This Row],[Sales]]</f>
        <v>0.125</v>
      </c>
    </row>
    <row r="2093" spans="1:22" x14ac:dyDescent="0.2">
      <c r="A2093" s="4">
        <v>2092</v>
      </c>
      <c r="B2093" s="3" t="s">
        <v>4170</v>
      </c>
      <c r="C2093" s="7">
        <v>42369</v>
      </c>
      <c r="D2093" s="28">
        <f>MONTH(Table11[[#This Row],[Order Date]])</f>
        <v>12</v>
      </c>
      <c r="E2093" s="3" t="s">
        <v>1947</v>
      </c>
      <c r="F2093" s="3" t="s">
        <v>1948</v>
      </c>
      <c r="G2093" s="25" t="s">
        <v>41</v>
      </c>
      <c r="H2093" s="25" t="s">
        <v>68</v>
      </c>
      <c r="I2093" s="3" t="s">
        <v>926</v>
      </c>
      <c r="J2093" s="25" t="s">
        <v>22</v>
      </c>
      <c r="K2093" s="28">
        <v>2</v>
      </c>
      <c r="L2093" s="7">
        <v>42373</v>
      </c>
      <c r="M2093" s="28">
        <f>Table11[[#This Row],[Ship Date]]-Table11[[#This Row],[Order Date]]</f>
        <v>4</v>
      </c>
      <c r="N2093" s="25" t="s">
        <v>45</v>
      </c>
      <c r="O2093" s="25" t="s">
        <v>23</v>
      </c>
      <c r="P2093" s="25" t="s">
        <v>1561</v>
      </c>
      <c r="Q2093" s="25" t="s">
        <v>39</v>
      </c>
      <c r="R2093" s="25" t="s">
        <v>4171</v>
      </c>
      <c r="S2093" s="35">
        <v>0.2</v>
      </c>
      <c r="T2093" s="16">
        <v>487.98399999999998</v>
      </c>
      <c r="U2093" s="19">
        <v>152.495</v>
      </c>
      <c r="V2093" s="56">
        <f>Table11[[#This Row],[Profit]]/Table11[[#This Row],[Sales]]</f>
        <v>0.3125</v>
      </c>
    </row>
    <row r="2094" spans="1:22" x14ac:dyDescent="0.2">
      <c r="A2094" s="2">
        <v>2093</v>
      </c>
      <c r="B2094" s="5" t="s">
        <v>4487</v>
      </c>
      <c r="C2094" s="6">
        <v>42369</v>
      </c>
      <c r="D2094" s="27">
        <f>MONTH(Table11[[#This Row],[Order Date]])</f>
        <v>12</v>
      </c>
      <c r="E2094" s="5" t="s">
        <v>4489</v>
      </c>
      <c r="F2094" s="5" t="s">
        <v>4490</v>
      </c>
      <c r="G2094" s="24" t="s">
        <v>28</v>
      </c>
      <c r="H2094" s="24" t="s">
        <v>58</v>
      </c>
      <c r="I2094" s="5" t="s">
        <v>4488</v>
      </c>
      <c r="J2094" s="24" t="s">
        <v>22</v>
      </c>
      <c r="K2094" s="27">
        <v>5</v>
      </c>
      <c r="L2094" s="6">
        <v>42374</v>
      </c>
      <c r="M2094" s="27">
        <f>Table11[[#This Row],[Ship Date]]-Table11[[#This Row],[Order Date]]</f>
        <v>5</v>
      </c>
      <c r="N2094" s="24" t="s">
        <v>45</v>
      </c>
      <c r="O2094" s="24" t="s">
        <v>23</v>
      </c>
      <c r="P2094" s="24" t="s">
        <v>94</v>
      </c>
      <c r="Q2094" s="24" t="s">
        <v>95</v>
      </c>
      <c r="R2094" s="24" t="s">
        <v>669</v>
      </c>
      <c r="S2094" s="34">
        <v>0.6</v>
      </c>
      <c r="T2094" s="15">
        <v>14.76</v>
      </c>
      <c r="U2094" s="18">
        <v>-11.439</v>
      </c>
      <c r="V2094" s="56">
        <f>Table11[[#This Row],[Profit]]/Table11[[#This Row],[Sales]]</f>
        <v>-0.77500000000000002</v>
      </c>
    </row>
    <row r="2095" spans="1:22" x14ac:dyDescent="0.2">
      <c r="A2095" s="4">
        <v>2094</v>
      </c>
      <c r="B2095" s="3" t="s">
        <v>4487</v>
      </c>
      <c r="C2095" s="7">
        <v>42369</v>
      </c>
      <c r="D2095" s="28">
        <f>MONTH(Table11[[#This Row],[Order Date]])</f>
        <v>12</v>
      </c>
      <c r="E2095" s="3" t="s">
        <v>4268</v>
      </c>
      <c r="F2095" s="3" t="s">
        <v>4269</v>
      </c>
      <c r="G2095" s="25" t="s">
        <v>41</v>
      </c>
      <c r="H2095" s="25" t="s">
        <v>68</v>
      </c>
      <c r="I2095" s="3" t="s">
        <v>4488</v>
      </c>
      <c r="J2095" s="25" t="s">
        <v>22</v>
      </c>
      <c r="K2095" s="28">
        <v>4</v>
      </c>
      <c r="L2095" s="7">
        <v>42374</v>
      </c>
      <c r="M2095" s="28">
        <f>Table11[[#This Row],[Ship Date]]-Table11[[#This Row],[Order Date]]</f>
        <v>5</v>
      </c>
      <c r="N2095" s="25" t="s">
        <v>45</v>
      </c>
      <c r="O2095" s="25" t="s">
        <v>23</v>
      </c>
      <c r="P2095" s="25" t="s">
        <v>94</v>
      </c>
      <c r="Q2095" s="25" t="s">
        <v>95</v>
      </c>
      <c r="R2095" s="25" t="s">
        <v>669</v>
      </c>
      <c r="S2095" s="35">
        <v>0.8</v>
      </c>
      <c r="T2095" s="16">
        <v>3.6560000000000001</v>
      </c>
      <c r="U2095" s="19">
        <v>-5.8495999999999997</v>
      </c>
      <c r="V2095" s="56">
        <f>Table11[[#This Row],[Profit]]/Table11[[#This Row],[Sales]]</f>
        <v>-1.5999999999999999</v>
      </c>
    </row>
    <row r="2096" spans="1:22" x14ac:dyDescent="0.2">
      <c r="A2096" s="4">
        <v>2095</v>
      </c>
      <c r="B2096" s="5" t="s">
        <v>4732</v>
      </c>
      <c r="C2096" s="6">
        <v>42369</v>
      </c>
      <c r="D2096" s="27">
        <f>MONTH(Table11[[#This Row],[Order Date]])</f>
        <v>12</v>
      </c>
      <c r="E2096" s="5" t="s">
        <v>1230</v>
      </c>
      <c r="F2096" s="5" t="s">
        <v>1231</v>
      </c>
      <c r="G2096" s="24" t="s">
        <v>41</v>
      </c>
      <c r="H2096" s="24" t="s">
        <v>68</v>
      </c>
      <c r="I2096" s="5" t="s">
        <v>2519</v>
      </c>
      <c r="J2096" s="24" t="s">
        <v>36</v>
      </c>
      <c r="K2096" s="27">
        <v>3</v>
      </c>
      <c r="L2096" s="6">
        <v>42372</v>
      </c>
      <c r="M2096" s="27">
        <f>Table11[[#This Row],[Ship Date]]-Table11[[#This Row],[Order Date]]</f>
        <v>3</v>
      </c>
      <c r="N2096" s="24" t="s">
        <v>20</v>
      </c>
      <c r="O2096" s="24" t="s">
        <v>23</v>
      </c>
      <c r="P2096" s="24" t="s">
        <v>25</v>
      </c>
      <c r="Q2096" s="24" t="s">
        <v>26</v>
      </c>
      <c r="R2096" s="24" t="s">
        <v>24</v>
      </c>
      <c r="S2096" s="34">
        <v>0</v>
      </c>
      <c r="T2096" s="15">
        <v>94.74</v>
      </c>
      <c r="U2096" s="18">
        <v>44.527799999999999</v>
      </c>
      <c r="V2096" s="56">
        <f>Table11[[#This Row],[Profit]]/Table11[[#This Row],[Sales]]</f>
        <v>0.47000000000000003</v>
      </c>
    </row>
    <row r="2097" spans="1:22" x14ac:dyDescent="0.2">
      <c r="A2097" s="2">
        <v>2096</v>
      </c>
      <c r="B2097" s="3" t="s">
        <v>4732</v>
      </c>
      <c r="C2097" s="7">
        <v>42369</v>
      </c>
      <c r="D2097" s="28">
        <f>MONTH(Table11[[#This Row],[Order Date]])</f>
        <v>12</v>
      </c>
      <c r="E2097" s="3" t="s">
        <v>991</v>
      </c>
      <c r="F2097" s="3" t="s">
        <v>992</v>
      </c>
      <c r="G2097" s="25" t="s">
        <v>41</v>
      </c>
      <c r="H2097" s="25" t="s">
        <v>68</v>
      </c>
      <c r="I2097" s="3" t="s">
        <v>2519</v>
      </c>
      <c r="J2097" s="25" t="s">
        <v>36</v>
      </c>
      <c r="K2097" s="28">
        <v>4</v>
      </c>
      <c r="L2097" s="7">
        <v>42372</v>
      </c>
      <c r="M2097" s="28">
        <f>Table11[[#This Row],[Ship Date]]-Table11[[#This Row],[Order Date]]</f>
        <v>3</v>
      </c>
      <c r="N2097" s="25" t="s">
        <v>20</v>
      </c>
      <c r="O2097" s="25" t="s">
        <v>23</v>
      </c>
      <c r="P2097" s="25" t="s">
        <v>25</v>
      </c>
      <c r="Q2097" s="25" t="s">
        <v>26</v>
      </c>
      <c r="R2097" s="25" t="s">
        <v>24</v>
      </c>
      <c r="S2097" s="35">
        <v>0</v>
      </c>
      <c r="T2097" s="16">
        <v>60.64</v>
      </c>
      <c r="U2097" s="19">
        <v>27.894400000000001</v>
      </c>
      <c r="V2097" s="56">
        <f>Table11[[#This Row],[Profit]]/Table11[[#This Row],[Sales]]</f>
        <v>0.46</v>
      </c>
    </row>
    <row r="2098" spans="1:22" x14ac:dyDescent="0.2">
      <c r="A2098" s="4">
        <v>2097</v>
      </c>
      <c r="B2098" s="5" t="s">
        <v>4732</v>
      </c>
      <c r="C2098" s="6">
        <v>42369</v>
      </c>
      <c r="D2098" s="27">
        <f>MONTH(Table11[[#This Row],[Order Date]])</f>
        <v>12</v>
      </c>
      <c r="E2098" s="5" t="s">
        <v>2708</v>
      </c>
      <c r="F2098" s="5" t="s">
        <v>2709</v>
      </c>
      <c r="G2098" s="24" t="s">
        <v>41</v>
      </c>
      <c r="H2098" s="24" t="s">
        <v>68</v>
      </c>
      <c r="I2098" s="5" t="s">
        <v>2519</v>
      </c>
      <c r="J2098" s="24" t="s">
        <v>36</v>
      </c>
      <c r="K2098" s="27">
        <v>5</v>
      </c>
      <c r="L2098" s="6">
        <v>42372</v>
      </c>
      <c r="M2098" s="27">
        <f>Table11[[#This Row],[Ship Date]]-Table11[[#This Row],[Order Date]]</f>
        <v>3</v>
      </c>
      <c r="N2098" s="24" t="s">
        <v>20</v>
      </c>
      <c r="O2098" s="24" t="s">
        <v>23</v>
      </c>
      <c r="P2098" s="24" t="s">
        <v>25</v>
      </c>
      <c r="Q2098" s="24" t="s">
        <v>26</v>
      </c>
      <c r="R2098" s="24" t="s">
        <v>24</v>
      </c>
      <c r="S2098" s="34">
        <v>0</v>
      </c>
      <c r="T2098" s="15">
        <v>76.3</v>
      </c>
      <c r="U2098" s="18">
        <v>38.15</v>
      </c>
      <c r="V2098" s="56">
        <f>Table11[[#This Row],[Profit]]/Table11[[#This Row],[Sales]]</f>
        <v>0.5</v>
      </c>
    </row>
    <row r="2099" spans="1:22" x14ac:dyDescent="0.2">
      <c r="A2099" s="4">
        <v>2098</v>
      </c>
      <c r="B2099" s="3" t="s">
        <v>4732</v>
      </c>
      <c r="C2099" s="7">
        <v>42369</v>
      </c>
      <c r="D2099" s="28">
        <f>MONTH(Table11[[#This Row],[Order Date]])</f>
        <v>12</v>
      </c>
      <c r="E2099" s="3" t="s">
        <v>3455</v>
      </c>
      <c r="F2099" s="3" t="s">
        <v>3456</v>
      </c>
      <c r="G2099" s="25" t="s">
        <v>41</v>
      </c>
      <c r="H2099" s="25" t="s">
        <v>68</v>
      </c>
      <c r="I2099" s="3" t="s">
        <v>2519</v>
      </c>
      <c r="J2099" s="25" t="s">
        <v>36</v>
      </c>
      <c r="K2099" s="28">
        <v>12</v>
      </c>
      <c r="L2099" s="7">
        <v>42372</v>
      </c>
      <c r="M2099" s="28">
        <f>Table11[[#This Row],[Ship Date]]-Table11[[#This Row],[Order Date]]</f>
        <v>3</v>
      </c>
      <c r="N2099" s="25" t="s">
        <v>20</v>
      </c>
      <c r="O2099" s="25" t="s">
        <v>23</v>
      </c>
      <c r="P2099" s="25" t="s">
        <v>25</v>
      </c>
      <c r="Q2099" s="25" t="s">
        <v>26</v>
      </c>
      <c r="R2099" s="25" t="s">
        <v>24</v>
      </c>
      <c r="S2099" s="35">
        <v>0</v>
      </c>
      <c r="T2099" s="16">
        <v>364.8</v>
      </c>
      <c r="U2099" s="19">
        <v>167.80799999999999</v>
      </c>
      <c r="V2099" s="56">
        <f>Table11[[#This Row],[Profit]]/Table11[[#This Row],[Sales]]</f>
        <v>0.45999999999999996</v>
      </c>
    </row>
    <row r="2100" spans="1:22" x14ac:dyDescent="0.2">
      <c r="A2100" s="2">
        <v>2099</v>
      </c>
      <c r="B2100" s="5" t="s">
        <v>7896</v>
      </c>
      <c r="C2100" s="6">
        <v>42369</v>
      </c>
      <c r="D2100" s="27">
        <f>MONTH(Table11[[#This Row],[Order Date]])</f>
        <v>12</v>
      </c>
      <c r="E2100" s="5" t="s">
        <v>2136</v>
      </c>
      <c r="F2100" s="5" t="s">
        <v>2137</v>
      </c>
      <c r="G2100" s="24" t="s">
        <v>41</v>
      </c>
      <c r="H2100" s="24" t="s">
        <v>53</v>
      </c>
      <c r="I2100" s="5" t="s">
        <v>7606</v>
      </c>
      <c r="J2100" s="24" t="s">
        <v>22</v>
      </c>
      <c r="K2100" s="27">
        <v>2</v>
      </c>
      <c r="L2100" s="6">
        <v>42373</v>
      </c>
      <c r="M2100" s="27">
        <f>Table11[[#This Row],[Ship Date]]-Table11[[#This Row],[Order Date]]</f>
        <v>4</v>
      </c>
      <c r="N2100" s="24" t="s">
        <v>45</v>
      </c>
      <c r="O2100" s="24" t="s">
        <v>23</v>
      </c>
      <c r="P2100" s="24" t="s">
        <v>94</v>
      </c>
      <c r="Q2100" s="24" t="s">
        <v>95</v>
      </c>
      <c r="R2100" s="24" t="s">
        <v>1095</v>
      </c>
      <c r="S2100" s="34">
        <v>0.2</v>
      </c>
      <c r="T2100" s="15">
        <v>152.68799999999999</v>
      </c>
      <c r="U2100" s="18">
        <v>-26.720400000000001</v>
      </c>
      <c r="V2100" s="56">
        <f>Table11[[#This Row],[Profit]]/Table11[[#This Row],[Sales]]</f>
        <v>-0.17500000000000002</v>
      </c>
    </row>
    <row r="2101" spans="1:22" x14ac:dyDescent="0.2">
      <c r="A2101" s="4">
        <v>2100</v>
      </c>
      <c r="B2101" s="3" t="s">
        <v>7896</v>
      </c>
      <c r="C2101" s="7">
        <v>42369</v>
      </c>
      <c r="D2101" s="28">
        <f>MONTH(Table11[[#This Row],[Order Date]])</f>
        <v>12</v>
      </c>
      <c r="E2101" s="3" t="s">
        <v>2906</v>
      </c>
      <c r="F2101" s="3" t="s">
        <v>2907</v>
      </c>
      <c r="G2101" s="25" t="s">
        <v>41</v>
      </c>
      <c r="H2101" s="25" t="s">
        <v>240</v>
      </c>
      <c r="I2101" s="3" t="s">
        <v>7606</v>
      </c>
      <c r="J2101" s="25" t="s">
        <v>22</v>
      </c>
      <c r="K2101" s="28">
        <v>2</v>
      </c>
      <c r="L2101" s="7">
        <v>42373</v>
      </c>
      <c r="M2101" s="28">
        <f>Table11[[#This Row],[Ship Date]]-Table11[[#This Row],[Order Date]]</f>
        <v>4</v>
      </c>
      <c r="N2101" s="25" t="s">
        <v>45</v>
      </c>
      <c r="O2101" s="25" t="s">
        <v>23</v>
      </c>
      <c r="P2101" s="25" t="s">
        <v>94</v>
      </c>
      <c r="Q2101" s="25" t="s">
        <v>95</v>
      </c>
      <c r="R2101" s="25" t="s">
        <v>1095</v>
      </c>
      <c r="S2101" s="35">
        <v>0.2</v>
      </c>
      <c r="T2101" s="16">
        <v>3.488</v>
      </c>
      <c r="U2101" s="19">
        <v>0.56679999999999997</v>
      </c>
      <c r="V2101" s="56">
        <f>Table11[[#This Row],[Profit]]/Table11[[#This Row],[Sales]]</f>
        <v>0.16250000000000001</v>
      </c>
    </row>
    <row r="2102" spans="1:22" x14ac:dyDescent="0.2">
      <c r="A2102" s="4">
        <v>2101</v>
      </c>
      <c r="B2102" s="5" t="s">
        <v>7896</v>
      </c>
      <c r="C2102" s="6">
        <v>42369</v>
      </c>
      <c r="D2102" s="27">
        <f>MONTH(Table11[[#This Row],[Order Date]])</f>
        <v>12</v>
      </c>
      <c r="E2102" s="5" t="s">
        <v>1146</v>
      </c>
      <c r="F2102" s="5" t="s">
        <v>1147</v>
      </c>
      <c r="G2102" s="24" t="s">
        <v>41</v>
      </c>
      <c r="H2102" s="24" t="s">
        <v>513</v>
      </c>
      <c r="I2102" s="5" t="s">
        <v>7606</v>
      </c>
      <c r="J2102" s="24" t="s">
        <v>22</v>
      </c>
      <c r="K2102" s="27">
        <v>2</v>
      </c>
      <c r="L2102" s="6">
        <v>42373</v>
      </c>
      <c r="M2102" s="27">
        <f>Table11[[#This Row],[Ship Date]]-Table11[[#This Row],[Order Date]]</f>
        <v>4</v>
      </c>
      <c r="N2102" s="24" t="s">
        <v>45</v>
      </c>
      <c r="O2102" s="24" t="s">
        <v>23</v>
      </c>
      <c r="P2102" s="24" t="s">
        <v>94</v>
      </c>
      <c r="Q2102" s="24" t="s">
        <v>95</v>
      </c>
      <c r="R2102" s="24" t="s">
        <v>1095</v>
      </c>
      <c r="S2102" s="34">
        <v>0.2</v>
      </c>
      <c r="T2102" s="15">
        <v>5.8879999999999999</v>
      </c>
      <c r="U2102" s="18">
        <v>-1.3248</v>
      </c>
      <c r="V2102" s="56">
        <f>Table11[[#This Row],[Profit]]/Table11[[#This Row],[Sales]]</f>
        <v>-0.22500000000000001</v>
      </c>
    </row>
    <row r="2103" spans="1:22" x14ac:dyDescent="0.2">
      <c r="A2103" s="2">
        <v>2102</v>
      </c>
      <c r="B2103" s="8" t="s">
        <v>8664</v>
      </c>
      <c r="C2103" s="9">
        <v>42369</v>
      </c>
      <c r="D2103" s="29">
        <f>MONTH(Table11[[#This Row],[Order Date]])</f>
        <v>12</v>
      </c>
      <c r="E2103" s="8" t="s">
        <v>3233</v>
      </c>
      <c r="F2103" s="8" t="s">
        <v>3234</v>
      </c>
      <c r="G2103" s="26" t="s">
        <v>41</v>
      </c>
      <c r="H2103" s="26" t="s">
        <v>68</v>
      </c>
      <c r="I2103" s="8" t="s">
        <v>5937</v>
      </c>
      <c r="J2103" s="26" t="s">
        <v>36</v>
      </c>
      <c r="K2103" s="29">
        <v>8</v>
      </c>
      <c r="L2103" s="9">
        <v>42371</v>
      </c>
      <c r="M2103" s="29">
        <f>Table11[[#This Row],[Ship Date]]-Table11[[#This Row],[Order Date]]</f>
        <v>2</v>
      </c>
      <c r="N2103" s="26" t="s">
        <v>20</v>
      </c>
      <c r="O2103" s="26" t="s">
        <v>23</v>
      </c>
      <c r="P2103" s="26" t="s">
        <v>212</v>
      </c>
      <c r="Q2103" s="26" t="s">
        <v>95</v>
      </c>
      <c r="R2103" s="26" t="s">
        <v>775</v>
      </c>
      <c r="S2103" s="36">
        <v>0</v>
      </c>
      <c r="T2103" s="17">
        <v>116.4</v>
      </c>
      <c r="U2103" s="20">
        <v>52.38</v>
      </c>
      <c r="V2103" s="56">
        <f>Table11[[#This Row],[Profit]]/Table11[[#This Row],[Sales]]</f>
        <v>0.45</v>
      </c>
    </row>
  </sheetData>
  <conditionalFormatting sqref="V1:XFD1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1F94-67C9-1446-ADAB-B6E8C7AFC941}">
  <dimension ref="A1:V2588"/>
  <sheetViews>
    <sheetView topLeftCell="F1" workbookViewId="0">
      <selection activeCell="F22" sqref="F22"/>
    </sheetView>
  </sheetViews>
  <sheetFormatPr baseColWidth="10" defaultRowHeight="16" x14ac:dyDescent="0.2"/>
  <cols>
    <col min="1" max="1" width="9.33203125" bestFit="1" customWidth="1"/>
    <col min="2" max="2" width="14.83203125" bestFit="1" customWidth="1"/>
    <col min="3" max="3" width="12.6640625" bestFit="1" customWidth="1"/>
    <col min="4" max="4" width="12.6640625" style="22" customWidth="1"/>
    <col min="5" max="5" width="16.6640625" bestFit="1" customWidth="1"/>
    <col min="6" max="6" width="89.33203125" bestFit="1" customWidth="1"/>
    <col min="7" max="7" width="13.1640625" style="23" bestFit="1" customWidth="1"/>
    <col min="8" max="8" width="14.83203125" style="23" bestFit="1" customWidth="1"/>
    <col min="9" max="9" width="14.1640625" bestFit="1" customWidth="1"/>
    <col min="10" max="10" width="11.1640625" bestFit="1" customWidth="1"/>
    <col min="11" max="11" width="10.6640625" style="22" bestFit="1" customWidth="1"/>
    <col min="12" max="12" width="11.5" style="1" bestFit="1" customWidth="1"/>
    <col min="13" max="13" width="11.5" style="22" customWidth="1"/>
    <col min="14" max="14" width="13.33203125" bestFit="1" customWidth="1"/>
    <col min="15" max="15" width="12" bestFit="1" customWidth="1"/>
    <col min="16" max="16" width="17.5" bestFit="1" customWidth="1"/>
    <col min="17" max="17" width="9.33203125" bestFit="1" customWidth="1"/>
    <col min="18" max="18" width="15.6640625" bestFit="1" customWidth="1"/>
    <col min="19" max="19" width="11.1640625" style="33" bestFit="1" customWidth="1"/>
    <col min="20" max="20" width="11.5" style="13" bestFit="1" customWidth="1"/>
    <col min="21" max="21" width="11.1640625" style="13" bestFit="1" customWidth="1"/>
    <col min="22" max="22" width="10.83203125" style="21"/>
    <col min="26" max="26" width="12.1640625" customWidth="1"/>
    <col min="27" max="27" width="11" customWidth="1"/>
    <col min="28" max="28" width="14.6640625" customWidth="1"/>
    <col min="31" max="31" width="11.33203125" customWidth="1"/>
    <col min="32" max="32" width="14" customWidth="1"/>
    <col min="33" max="33" width="15.33203125" customWidth="1"/>
    <col min="38" max="38" width="11" customWidth="1"/>
  </cols>
  <sheetData>
    <row r="1" spans="1:22" x14ac:dyDescent="0.2">
      <c r="A1" t="s">
        <v>0</v>
      </c>
      <c r="B1" t="s">
        <v>1</v>
      </c>
      <c r="C1" s="1" t="s">
        <v>2</v>
      </c>
      <c r="D1" s="22" t="s">
        <v>10169</v>
      </c>
      <c r="E1" t="s">
        <v>11</v>
      </c>
      <c r="F1" t="s">
        <v>14</v>
      </c>
      <c r="G1" s="23" t="s">
        <v>12</v>
      </c>
      <c r="H1" s="23" t="s">
        <v>13</v>
      </c>
      <c r="I1" t="s">
        <v>5</v>
      </c>
      <c r="J1" t="s">
        <v>6</v>
      </c>
      <c r="K1" s="22" t="s">
        <v>16</v>
      </c>
      <c r="L1" s="1" t="s">
        <v>3</v>
      </c>
      <c r="M1" s="22" t="s">
        <v>10153</v>
      </c>
      <c r="N1" t="s">
        <v>4</v>
      </c>
      <c r="O1" t="s">
        <v>7</v>
      </c>
      <c r="P1" t="s">
        <v>9</v>
      </c>
      <c r="Q1" t="s">
        <v>10</v>
      </c>
      <c r="R1" t="s">
        <v>8</v>
      </c>
      <c r="S1" s="33" t="s">
        <v>17</v>
      </c>
      <c r="T1" s="13" t="s">
        <v>15</v>
      </c>
      <c r="U1" s="13" t="s">
        <v>18</v>
      </c>
      <c r="V1" s="21" t="s">
        <v>10154</v>
      </c>
    </row>
    <row r="2" spans="1:22" x14ac:dyDescent="0.2">
      <c r="A2">
        <v>1</v>
      </c>
      <c r="B2" t="s">
        <v>7114</v>
      </c>
      <c r="C2" s="1">
        <v>42371</v>
      </c>
      <c r="D2" s="22">
        <f>MONTH(Table10[[#This Row],[Order Date]])</f>
        <v>1</v>
      </c>
      <c r="E2" t="s">
        <v>950</v>
      </c>
      <c r="F2" t="s">
        <v>951</v>
      </c>
      <c r="G2" s="23" t="s">
        <v>28</v>
      </c>
      <c r="H2" s="23" t="s">
        <v>29</v>
      </c>
      <c r="I2" t="s">
        <v>4734</v>
      </c>
      <c r="J2" t="s">
        <v>36</v>
      </c>
      <c r="K2" s="22">
        <v>3</v>
      </c>
      <c r="L2" s="1">
        <v>42376</v>
      </c>
      <c r="M2" s="22">
        <f>Table10[[#This Row],[Ship Date]]-Table10[[#This Row],[Order Date]]</f>
        <v>5</v>
      </c>
      <c r="N2" t="s">
        <v>45</v>
      </c>
      <c r="O2" t="s">
        <v>23</v>
      </c>
      <c r="P2" t="s">
        <v>2408</v>
      </c>
      <c r="Q2" t="s">
        <v>133</v>
      </c>
      <c r="R2" t="s">
        <v>7115</v>
      </c>
      <c r="S2" s="33">
        <v>0</v>
      </c>
      <c r="T2" s="13">
        <v>173.94</v>
      </c>
      <c r="U2" s="13">
        <v>38.266800000000003</v>
      </c>
      <c r="V2" s="21">
        <f>Table10[[#This Row],[Profit]]/Table10[[#This Row],[Sales]]</f>
        <v>0.22000000000000003</v>
      </c>
    </row>
    <row r="3" spans="1:22" x14ac:dyDescent="0.2">
      <c r="A3">
        <v>2</v>
      </c>
      <c r="B3" t="s">
        <v>7114</v>
      </c>
      <c r="C3" s="1">
        <v>42371</v>
      </c>
      <c r="D3" s="22">
        <f>MONTH(Table10[[#This Row],[Order Date]])</f>
        <v>1</v>
      </c>
      <c r="E3" t="s">
        <v>4003</v>
      </c>
      <c r="F3" t="s">
        <v>4004</v>
      </c>
      <c r="G3" s="23" t="s">
        <v>64</v>
      </c>
      <c r="H3" s="23" t="s">
        <v>65</v>
      </c>
      <c r="I3" t="s">
        <v>4734</v>
      </c>
      <c r="J3" t="s">
        <v>36</v>
      </c>
      <c r="K3" s="22">
        <v>2</v>
      </c>
      <c r="L3" s="1">
        <v>42376</v>
      </c>
      <c r="M3" s="22">
        <f>Table10[[#This Row],[Ship Date]]-Table10[[#This Row],[Order Date]]</f>
        <v>5</v>
      </c>
      <c r="N3" t="s">
        <v>45</v>
      </c>
      <c r="O3" t="s">
        <v>23</v>
      </c>
      <c r="P3" t="s">
        <v>2408</v>
      </c>
      <c r="Q3" t="s">
        <v>133</v>
      </c>
      <c r="R3" t="s">
        <v>7115</v>
      </c>
      <c r="S3" s="33">
        <v>0</v>
      </c>
      <c r="T3" s="13">
        <v>231.98</v>
      </c>
      <c r="U3" s="13">
        <v>67.274199999999993</v>
      </c>
      <c r="V3" s="21">
        <f>Table10[[#This Row],[Profit]]/Table10[[#This Row],[Sales]]</f>
        <v>0.28999999999999998</v>
      </c>
    </row>
    <row r="4" spans="1:22" x14ac:dyDescent="0.2">
      <c r="A4">
        <v>3</v>
      </c>
      <c r="B4" t="s">
        <v>5612</v>
      </c>
      <c r="C4" s="1">
        <v>42372</v>
      </c>
      <c r="D4" s="22">
        <f>MONTH(Table10[[#This Row],[Order Date]])</f>
        <v>1</v>
      </c>
      <c r="E4" t="s">
        <v>4611</v>
      </c>
      <c r="F4" t="s">
        <v>4612</v>
      </c>
      <c r="G4" s="23" t="s">
        <v>41</v>
      </c>
      <c r="H4" s="23" t="s">
        <v>53</v>
      </c>
      <c r="I4" t="s">
        <v>1757</v>
      </c>
      <c r="J4" t="s">
        <v>22</v>
      </c>
      <c r="K4" s="22">
        <v>2</v>
      </c>
      <c r="L4" s="1">
        <v>42374</v>
      </c>
      <c r="M4" s="22">
        <f>Table10[[#This Row],[Ship Date]]-Table10[[#This Row],[Order Date]]</f>
        <v>2</v>
      </c>
      <c r="N4" t="s">
        <v>169</v>
      </c>
      <c r="O4" t="s">
        <v>23</v>
      </c>
      <c r="P4" t="s">
        <v>38</v>
      </c>
      <c r="Q4" t="s">
        <v>39</v>
      </c>
      <c r="R4" t="s">
        <v>37</v>
      </c>
      <c r="S4" s="33">
        <v>0</v>
      </c>
      <c r="T4" s="13">
        <v>114.46</v>
      </c>
      <c r="U4" s="13">
        <v>28.614999999999998</v>
      </c>
      <c r="V4" s="21">
        <f>Table10[[#This Row],[Profit]]/Table10[[#This Row],[Sales]]</f>
        <v>0.25</v>
      </c>
    </row>
    <row r="5" spans="1:22" x14ac:dyDescent="0.2">
      <c r="A5">
        <v>4</v>
      </c>
      <c r="B5" t="s">
        <v>9352</v>
      </c>
      <c r="C5" s="1">
        <v>42372</v>
      </c>
      <c r="D5" s="22">
        <f>MONTH(Table10[[#This Row],[Order Date]])</f>
        <v>1</v>
      </c>
      <c r="E5" t="s">
        <v>4266</v>
      </c>
      <c r="F5" t="s">
        <v>4267</v>
      </c>
      <c r="G5" s="23" t="s">
        <v>64</v>
      </c>
      <c r="H5" s="23" t="s">
        <v>144</v>
      </c>
      <c r="I5" t="s">
        <v>886</v>
      </c>
      <c r="J5" t="s">
        <v>36</v>
      </c>
      <c r="K5" s="22">
        <v>2</v>
      </c>
      <c r="L5" s="1">
        <v>42377</v>
      </c>
      <c r="M5" s="22">
        <f>Table10[[#This Row],[Ship Date]]-Table10[[#This Row],[Order Date]]</f>
        <v>5</v>
      </c>
      <c r="N5" t="s">
        <v>45</v>
      </c>
      <c r="O5" t="s">
        <v>23</v>
      </c>
      <c r="P5" t="s">
        <v>94</v>
      </c>
      <c r="Q5" t="s">
        <v>95</v>
      </c>
      <c r="R5" t="s">
        <v>598</v>
      </c>
      <c r="S5" s="33">
        <v>0.2</v>
      </c>
      <c r="T5" s="13">
        <v>30.08</v>
      </c>
      <c r="U5" s="13">
        <v>-5.2640000000000002</v>
      </c>
      <c r="V5" s="21">
        <f>Table10[[#This Row],[Profit]]/Table10[[#This Row],[Sales]]</f>
        <v>-0.17500000000000002</v>
      </c>
    </row>
    <row r="6" spans="1:22" x14ac:dyDescent="0.2">
      <c r="A6">
        <v>5</v>
      </c>
      <c r="B6" t="s">
        <v>9352</v>
      </c>
      <c r="C6" s="1">
        <v>42372</v>
      </c>
      <c r="D6" s="22">
        <f>MONTH(Table10[[#This Row],[Order Date]])</f>
        <v>1</v>
      </c>
      <c r="E6" t="s">
        <v>6412</v>
      </c>
      <c r="F6" t="s">
        <v>6413</v>
      </c>
      <c r="G6" s="23" t="s">
        <v>64</v>
      </c>
      <c r="H6" s="23" t="s">
        <v>144</v>
      </c>
      <c r="I6" t="s">
        <v>886</v>
      </c>
      <c r="J6" t="s">
        <v>36</v>
      </c>
      <c r="K6" s="22">
        <v>3</v>
      </c>
      <c r="L6" s="1">
        <v>42377</v>
      </c>
      <c r="M6" s="22">
        <f>Table10[[#This Row],[Ship Date]]-Table10[[#This Row],[Order Date]]</f>
        <v>5</v>
      </c>
      <c r="N6" t="s">
        <v>45</v>
      </c>
      <c r="O6" t="s">
        <v>23</v>
      </c>
      <c r="P6" t="s">
        <v>94</v>
      </c>
      <c r="Q6" t="s">
        <v>95</v>
      </c>
      <c r="R6" t="s">
        <v>598</v>
      </c>
      <c r="S6" s="33">
        <v>0.2</v>
      </c>
      <c r="T6" s="13">
        <v>165.6</v>
      </c>
      <c r="U6" s="13">
        <v>-6.21</v>
      </c>
      <c r="V6" s="21">
        <f>Table10[[#This Row],[Profit]]/Table10[[#This Row],[Sales]]</f>
        <v>-3.7499999999999999E-2</v>
      </c>
    </row>
    <row r="7" spans="1:22" x14ac:dyDescent="0.2">
      <c r="A7">
        <v>6</v>
      </c>
      <c r="B7" t="s">
        <v>9352</v>
      </c>
      <c r="C7" s="1">
        <v>42372</v>
      </c>
      <c r="D7" s="22">
        <f>MONTH(Table10[[#This Row],[Order Date]])</f>
        <v>1</v>
      </c>
      <c r="E7" t="s">
        <v>5190</v>
      </c>
      <c r="F7" t="s">
        <v>5191</v>
      </c>
      <c r="G7" s="23" t="s">
        <v>64</v>
      </c>
      <c r="H7" s="23" t="s">
        <v>65</v>
      </c>
      <c r="I7" t="s">
        <v>886</v>
      </c>
      <c r="J7" t="s">
        <v>36</v>
      </c>
      <c r="K7" s="22">
        <v>5</v>
      </c>
      <c r="L7" s="1">
        <v>42377</v>
      </c>
      <c r="M7" s="22">
        <f>Table10[[#This Row],[Ship Date]]-Table10[[#This Row],[Order Date]]</f>
        <v>5</v>
      </c>
      <c r="N7" t="s">
        <v>45</v>
      </c>
      <c r="O7" t="s">
        <v>23</v>
      </c>
      <c r="P7" t="s">
        <v>94</v>
      </c>
      <c r="Q7" t="s">
        <v>95</v>
      </c>
      <c r="R7" t="s">
        <v>598</v>
      </c>
      <c r="S7" s="33">
        <v>0.2</v>
      </c>
      <c r="T7" s="13">
        <v>180.96</v>
      </c>
      <c r="U7" s="13">
        <v>13.571999999999999</v>
      </c>
      <c r="V7" s="21">
        <f>Table10[[#This Row],[Profit]]/Table10[[#This Row],[Sales]]</f>
        <v>7.4999999999999997E-2</v>
      </c>
    </row>
    <row r="8" spans="1:22" x14ac:dyDescent="0.2">
      <c r="A8">
        <v>7</v>
      </c>
      <c r="B8" t="s">
        <v>9874</v>
      </c>
      <c r="C8" s="1">
        <v>42372</v>
      </c>
      <c r="D8" s="22">
        <f>MONTH(Table10[[#This Row],[Order Date]])</f>
        <v>1</v>
      </c>
      <c r="E8" t="s">
        <v>1196</v>
      </c>
      <c r="F8" t="s">
        <v>1197</v>
      </c>
      <c r="G8" s="23" t="s">
        <v>28</v>
      </c>
      <c r="H8" s="23" t="s">
        <v>50</v>
      </c>
      <c r="I8" t="s">
        <v>5094</v>
      </c>
      <c r="J8" t="s">
        <v>36</v>
      </c>
      <c r="K8" s="22">
        <v>7</v>
      </c>
      <c r="L8" s="1">
        <v>42377</v>
      </c>
      <c r="M8" s="22">
        <f>Table10[[#This Row],[Ship Date]]-Table10[[#This Row],[Order Date]]</f>
        <v>5</v>
      </c>
      <c r="N8" t="s">
        <v>45</v>
      </c>
      <c r="O8" t="s">
        <v>23</v>
      </c>
      <c r="P8" t="s">
        <v>573</v>
      </c>
      <c r="Q8" t="s">
        <v>95</v>
      </c>
      <c r="R8" t="s">
        <v>6465</v>
      </c>
      <c r="S8" s="33">
        <v>0</v>
      </c>
      <c r="T8" s="13">
        <v>1592.85</v>
      </c>
      <c r="U8" s="13">
        <v>350.42700000000002</v>
      </c>
      <c r="V8" s="21">
        <f>Table10[[#This Row],[Profit]]/Table10[[#This Row],[Sales]]</f>
        <v>0.22000000000000003</v>
      </c>
    </row>
    <row r="9" spans="1:22" x14ac:dyDescent="0.2">
      <c r="A9">
        <v>8</v>
      </c>
      <c r="B9" t="s">
        <v>9874</v>
      </c>
      <c r="C9" s="1">
        <v>42372</v>
      </c>
      <c r="D9" s="22">
        <f>MONTH(Table10[[#This Row],[Order Date]])</f>
        <v>1</v>
      </c>
      <c r="E9" t="s">
        <v>3421</v>
      </c>
      <c r="F9" t="s">
        <v>1073</v>
      </c>
      <c r="G9" s="23" t="s">
        <v>41</v>
      </c>
      <c r="H9" s="23" t="s">
        <v>68</v>
      </c>
      <c r="I9" t="s">
        <v>5094</v>
      </c>
      <c r="J9" t="s">
        <v>36</v>
      </c>
      <c r="K9" s="22">
        <v>2</v>
      </c>
      <c r="L9" s="1">
        <v>42377</v>
      </c>
      <c r="M9" s="22">
        <f>Table10[[#This Row],[Ship Date]]-Table10[[#This Row],[Order Date]]</f>
        <v>5</v>
      </c>
      <c r="N9" t="s">
        <v>45</v>
      </c>
      <c r="O9" t="s">
        <v>23</v>
      </c>
      <c r="P9" t="s">
        <v>573</v>
      </c>
      <c r="Q9" t="s">
        <v>95</v>
      </c>
      <c r="R9" t="s">
        <v>6465</v>
      </c>
      <c r="S9" s="33">
        <v>0</v>
      </c>
      <c r="T9" s="13">
        <v>11.88</v>
      </c>
      <c r="U9" s="13">
        <v>5.3460000000000001</v>
      </c>
      <c r="V9" s="21">
        <f>Table10[[#This Row],[Profit]]/Table10[[#This Row],[Sales]]</f>
        <v>0.44999999999999996</v>
      </c>
    </row>
    <row r="10" spans="1:22" x14ac:dyDescent="0.2">
      <c r="A10">
        <v>9</v>
      </c>
      <c r="B10" t="s">
        <v>5422</v>
      </c>
      <c r="C10" s="1">
        <v>42373</v>
      </c>
      <c r="D10" s="22">
        <f>MONTH(Table10[[#This Row],[Order Date]])</f>
        <v>1</v>
      </c>
      <c r="E10" t="s">
        <v>4820</v>
      </c>
      <c r="F10" t="s">
        <v>4821</v>
      </c>
      <c r="G10" s="23" t="s">
        <v>64</v>
      </c>
      <c r="H10" s="23" t="s">
        <v>1075</v>
      </c>
      <c r="I10" t="s">
        <v>3179</v>
      </c>
      <c r="J10" t="s">
        <v>36</v>
      </c>
      <c r="K10" s="22">
        <v>4</v>
      </c>
      <c r="L10" s="1">
        <v>42378</v>
      </c>
      <c r="M10" s="22">
        <f>Table10[[#This Row],[Ship Date]]-Table10[[#This Row],[Order Date]]</f>
        <v>5</v>
      </c>
      <c r="N10" t="s">
        <v>45</v>
      </c>
      <c r="O10" t="s">
        <v>23</v>
      </c>
      <c r="P10" t="s">
        <v>80</v>
      </c>
      <c r="Q10" t="s">
        <v>26</v>
      </c>
      <c r="R10" t="s">
        <v>414</v>
      </c>
      <c r="S10" s="33">
        <v>0.2</v>
      </c>
      <c r="T10" s="13">
        <v>959.96799999999996</v>
      </c>
      <c r="U10" s="13">
        <v>119.996</v>
      </c>
      <c r="V10" s="21">
        <f>Table10[[#This Row],[Profit]]/Table10[[#This Row],[Sales]]</f>
        <v>0.125</v>
      </c>
    </row>
    <row r="11" spans="1:22" x14ac:dyDescent="0.2">
      <c r="A11">
        <v>10</v>
      </c>
      <c r="B11" t="s">
        <v>7773</v>
      </c>
      <c r="C11" s="1">
        <v>42373</v>
      </c>
      <c r="D11" s="22">
        <f>MONTH(Table10[[#This Row],[Order Date]])</f>
        <v>1</v>
      </c>
      <c r="E11" t="s">
        <v>1754</v>
      </c>
      <c r="F11" t="s">
        <v>1755</v>
      </c>
      <c r="G11" s="23" t="s">
        <v>41</v>
      </c>
      <c r="H11" s="23" t="s">
        <v>61</v>
      </c>
      <c r="I11" t="s">
        <v>1001</v>
      </c>
      <c r="J11" t="s">
        <v>36</v>
      </c>
      <c r="K11" s="22">
        <v>1</v>
      </c>
      <c r="L11" s="1">
        <v>42377</v>
      </c>
      <c r="M11" s="22">
        <f>Table10[[#This Row],[Ship Date]]-Table10[[#This Row],[Order Date]]</f>
        <v>4</v>
      </c>
      <c r="N11" t="s">
        <v>45</v>
      </c>
      <c r="O11" t="s">
        <v>23</v>
      </c>
      <c r="P11" t="s">
        <v>132</v>
      </c>
      <c r="Q11" t="s">
        <v>133</v>
      </c>
      <c r="R11" t="s">
        <v>131</v>
      </c>
      <c r="S11" s="33">
        <v>0.2</v>
      </c>
      <c r="T11" s="13">
        <v>4.6719999999999997</v>
      </c>
      <c r="U11" s="13">
        <v>0.58399999999999996</v>
      </c>
      <c r="V11" s="21">
        <f>Table10[[#This Row],[Profit]]/Table10[[#This Row],[Sales]]</f>
        <v>0.125</v>
      </c>
    </row>
    <row r="12" spans="1:22" x14ac:dyDescent="0.2">
      <c r="A12">
        <v>11</v>
      </c>
      <c r="B12" t="s">
        <v>7773</v>
      </c>
      <c r="C12" s="1">
        <v>42373</v>
      </c>
      <c r="D12" s="22">
        <f>MONTH(Table10[[#This Row],[Order Date]])</f>
        <v>1</v>
      </c>
      <c r="E12" t="s">
        <v>3152</v>
      </c>
      <c r="F12" t="s">
        <v>3153</v>
      </c>
      <c r="G12" s="23" t="s">
        <v>41</v>
      </c>
      <c r="H12" s="23" t="s">
        <v>68</v>
      </c>
      <c r="I12" t="s">
        <v>1001</v>
      </c>
      <c r="J12" t="s">
        <v>36</v>
      </c>
      <c r="K12" s="22">
        <v>6</v>
      </c>
      <c r="L12" s="1">
        <v>42377</v>
      </c>
      <c r="M12" s="22">
        <f>Table10[[#This Row],[Ship Date]]-Table10[[#This Row],[Order Date]]</f>
        <v>4</v>
      </c>
      <c r="N12" t="s">
        <v>45</v>
      </c>
      <c r="O12" t="s">
        <v>23</v>
      </c>
      <c r="P12" t="s">
        <v>132</v>
      </c>
      <c r="Q12" t="s">
        <v>133</v>
      </c>
      <c r="R12" t="s">
        <v>131</v>
      </c>
      <c r="S12" s="33">
        <v>0.7</v>
      </c>
      <c r="T12" s="13">
        <v>104.58</v>
      </c>
      <c r="U12" s="13">
        <v>-80.177999999999997</v>
      </c>
      <c r="V12" s="21">
        <f>Table10[[#This Row],[Profit]]/Table10[[#This Row],[Sales]]</f>
        <v>-0.76666666666666661</v>
      </c>
    </row>
    <row r="13" spans="1:22" x14ac:dyDescent="0.2">
      <c r="A13">
        <v>12</v>
      </c>
      <c r="B13" t="s">
        <v>2347</v>
      </c>
      <c r="C13" s="1">
        <v>42374</v>
      </c>
      <c r="D13" s="22">
        <f>MONTH(Table10[[#This Row],[Order Date]])</f>
        <v>1</v>
      </c>
      <c r="E13" t="s">
        <v>2348</v>
      </c>
      <c r="F13" t="s">
        <v>2349</v>
      </c>
      <c r="G13" s="23" t="s">
        <v>64</v>
      </c>
      <c r="H13" s="23" t="s">
        <v>144</v>
      </c>
      <c r="I13" t="s">
        <v>2139</v>
      </c>
      <c r="J13" t="s">
        <v>36</v>
      </c>
      <c r="K13" s="22">
        <v>6</v>
      </c>
      <c r="L13" s="1">
        <v>42376</v>
      </c>
      <c r="M13" s="22">
        <f>Table10[[#This Row],[Ship Date]]-Table10[[#This Row],[Order Date]]</f>
        <v>2</v>
      </c>
      <c r="N13" t="s">
        <v>20</v>
      </c>
      <c r="O13" t="s">
        <v>23</v>
      </c>
      <c r="P13" t="s">
        <v>48</v>
      </c>
      <c r="Q13" t="s">
        <v>26</v>
      </c>
      <c r="R13" t="s">
        <v>1345</v>
      </c>
      <c r="S13" s="33">
        <v>0.2</v>
      </c>
      <c r="T13" s="13">
        <v>191.47200000000001</v>
      </c>
      <c r="U13" s="13">
        <v>40.687800000000003</v>
      </c>
      <c r="V13" s="21">
        <f>Table10[[#This Row],[Profit]]/Table10[[#This Row],[Sales]]</f>
        <v>0.21249999999999999</v>
      </c>
    </row>
    <row r="14" spans="1:22" x14ac:dyDescent="0.2">
      <c r="A14">
        <v>13</v>
      </c>
      <c r="B14" t="s">
        <v>2347</v>
      </c>
      <c r="C14" s="1">
        <v>42374</v>
      </c>
      <c r="D14" s="22">
        <f>MONTH(Table10[[#This Row],[Order Date]])</f>
        <v>1</v>
      </c>
      <c r="E14" t="s">
        <v>2350</v>
      </c>
      <c r="F14" t="s">
        <v>2351</v>
      </c>
      <c r="G14" s="23" t="s">
        <v>41</v>
      </c>
      <c r="H14" s="23" t="s">
        <v>61</v>
      </c>
      <c r="I14" t="s">
        <v>2139</v>
      </c>
      <c r="J14" t="s">
        <v>36</v>
      </c>
      <c r="K14" s="22">
        <v>2</v>
      </c>
      <c r="L14" s="1">
        <v>42376</v>
      </c>
      <c r="M14" s="22">
        <f>Table10[[#This Row],[Ship Date]]-Table10[[#This Row],[Order Date]]</f>
        <v>2</v>
      </c>
      <c r="N14" t="s">
        <v>20</v>
      </c>
      <c r="O14" t="s">
        <v>23</v>
      </c>
      <c r="P14" t="s">
        <v>48</v>
      </c>
      <c r="Q14" t="s">
        <v>26</v>
      </c>
      <c r="R14" t="s">
        <v>1345</v>
      </c>
      <c r="S14" s="33">
        <v>0.2</v>
      </c>
      <c r="T14" s="13">
        <v>5.2480000000000002</v>
      </c>
      <c r="U14" s="13">
        <v>0.59040000000000004</v>
      </c>
      <c r="V14" s="21">
        <f>Table10[[#This Row],[Profit]]/Table10[[#This Row],[Sales]]</f>
        <v>0.1125</v>
      </c>
    </row>
    <row r="15" spans="1:22" x14ac:dyDescent="0.2">
      <c r="A15">
        <v>14</v>
      </c>
      <c r="B15" t="s">
        <v>2347</v>
      </c>
      <c r="C15" s="1">
        <v>42374</v>
      </c>
      <c r="D15" s="22">
        <f>MONTH(Table10[[#This Row],[Order Date]])</f>
        <v>1</v>
      </c>
      <c r="E15" t="s">
        <v>2352</v>
      </c>
      <c r="F15" t="s">
        <v>2353</v>
      </c>
      <c r="G15" s="23" t="s">
        <v>64</v>
      </c>
      <c r="H15" s="23" t="s">
        <v>65</v>
      </c>
      <c r="I15" t="s">
        <v>2139</v>
      </c>
      <c r="J15" t="s">
        <v>36</v>
      </c>
      <c r="K15" s="22">
        <v>2</v>
      </c>
      <c r="L15" s="1">
        <v>42376</v>
      </c>
      <c r="M15" s="22">
        <f>Table10[[#This Row],[Ship Date]]-Table10[[#This Row],[Order Date]]</f>
        <v>2</v>
      </c>
      <c r="N15" t="s">
        <v>20</v>
      </c>
      <c r="O15" t="s">
        <v>23</v>
      </c>
      <c r="P15" t="s">
        <v>48</v>
      </c>
      <c r="Q15" t="s">
        <v>26</v>
      </c>
      <c r="R15" t="s">
        <v>1345</v>
      </c>
      <c r="S15" s="33">
        <v>0.2</v>
      </c>
      <c r="T15" s="13">
        <v>59.183999999999997</v>
      </c>
      <c r="U15" s="13">
        <v>5.1786000000000003</v>
      </c>
      <c r="V15" s="21">
        <f>Table10[[#This Row],[Profit]]/Table10[[#This Row],[Sales]]</f>
        <v>8.7500000000000008E-2</v>
      </c>
    </row>
    <row r="16" spans="1:22" x14ac:dyDescent="0.2">
      <c r="A16">
        <v>15</v>
      </c>
      <c r="B16" t="s">
        <v>4520</v>
      </c>
      <c r="C16" s="1">
        <v>42376</v>
      </c>
      <c r="D16" s="22">
        <f>MONTH(Table10[[#This Row],[Order Date]])</f>
        <v>1</v>
      </c>
      <c r="E16" t="s">
        <v>4521</v>
      </c>
      <c r="F16" t="s">
        <v>4522</v>
      </c>
      <c r="G16" s="23" t="s">
        <v>41</v>
      </c>
      <c r="H16" s="23" t="s">
        <v>61</v>
      </c>
      <c r="I16" t="s">
        <v>822</v>
      </c>
      <c r="J16" t="s">
        <v>92</v>
      </c>
      <c r="K16" s="22">
        <v>1</v>
      </c>
      <c r="L16" s="1">
        <v>42381</v>
      </c>
      <c r="M16" s="22">
        <f>Table10[[#This Row],[Ship Date]]-Table10[[#This Row],[Order Date]]</f>
        <v>5</v>
      </c>
      <c r="N16" t="s">
        <v>45</v>
      </c>
      <c r="O16" t="s">
        <v>23</v>
      </c>
      <c r="P16" t="s">
        <v>38</v>
      </c>
      <c r="Q16" t="s">
        <v>39</v>
      </c>
      <c r="R16" t="s">
        <v>2815</v>
      </c>
      <c r="S16" s="33">
        <v>0</v>
      </c>
      <c r="T16" s="13">
        <v>34.58</v>
      </c>
      <c r="U16" s="13">
        <v>10.0282</v>
      </c>
      <c r="V16" s="21">
        <f>Table10[[#This Row],[Profit]]/Table10[[#This Row],[Sales]]</f>
        <v>0.29000000000000004</v>
      </c>
    </row>
    <row r="17" spans="1:22" x14ac:dyDescent="0.2">
      <c r="A17">
        <v>16</v>
      </c>
      <c r="B17" t="s">
        <v>9011</v>
      </c>
      <c r="C17" s="1">
        <v>42376</v>
      </c>
      <c r="D17" s="22">
        <f>MONTH(Table10[[#This Row],[Order Date]])</f>
        <v>1</v>
      </c>
      <c r="E17" t="s">
        <v>3490</v>
      </c>
      <c r="F17" t="s">
        <v>5133</v>
      </c>
      <c r="G17" s="23" t="s">
        <v>28</v>
      </c>
      <c r="H17" s="23" t="s">
        <v>58</v>
      </c>
      <c r="I17" t="s">
        <v>2850</v>
      </c>
      <c r="J17" t="s">
        <v>22</v>
      </c>
      <c r="K17" s="22">
        <v>3</v>
      </c>
      <c r="L17" s="1">
        <v>42380</v>
      </c>
      <c r="M17" s="22">
        <f>Table10[[#This Row],[Ship Date]]-Table10[[#This Row],[Order Date]]</f>
        <v>4</v>
      </c>
      <c r="N17" t="s">
        <v>45</v>
      </c>
      <c r="O17" t="s">
        <v>23</v>
      </c>
      <c r="P17" t="s">
        <v>94</v>
      </c>
      <c r="Q17" t="s">
        <v>95</v>
      </c>
      <c r="R17" t="s">
        <v>1430</v>
      </c>
      <c r="S17" s="33">
        <v>0.6</v>
      </c>
      <c r="T17" s="13">
        <v>23.076000000000001</v>
      </c>
      <c r="U17" s="13">
        <v>-10.9611</v>
      </c>
      <c r="V17" s="21">
        <f>Table10[[#This Row],[Profit]]/Table10[[#This Row],[Sales]]</f>
        <v>-0.47499999999999998</v>
      </c>
    </row>
    <row r="18" spans="1:22" x14ac:dyDescent="0.2">
      <c r="A18">
        <v>17</v>
      </c>
      <c r="B18" t="s">
        <v>9011</v>
      </c>
      <c r="C18" s="1">
        <v>42376</v>
      </c>
      <c r="D18" s="22">
        <f>MONTH(Table10[[#This Row],[Order Date]])</f>
        <v>1</v>
      </c>
      <c r="E18" t="s">
        <v>2574</v>
      </c>
      <c r="F18" t="s">
        <v>2575</v>
      </c>
      <c r="G18" s="23" t="s">
        <v>41</v>
      </c>
      <c r="H18" s="23" t="s">
        <v>82</v>
      </c>
      <c r="I18" t="s">
        <v>2850</v>
      </c>
      <c r="J18" t="s">
        <v>22</v>
      </c>
      <c r="K18" s="22">
        <v>5</v>
      </c>
      <c r="L18" s="1">
        <v>42380</v>
      </c>
      <c r="M18" s="22">
        <f>Table10[[#This Row],[Ship Date]]-Table10[[#This Row],[Order Date]]</f>
        <v>4</v>
      </c>
      <c r="N18" t="s">
        <v>45</v>
      </c>
      <c r="O18" t="s">
        <v>23</v>
      </c>
      <c r="P18" t="s">
        <v>94</v>
      </c>
      <c r="Q18" t="s">
        <v>95</v>
      </c>
      <c r="R18" t="s">
        <v>1430</v>
      </c>
      <c r="S18" s="33">
        <v>0.2</v>
      </c>
      <c r="T18" s="13">
        <v>25.92</v>
      </c>
      <c r="U18" s="13">
        <v>9.0719999999999992</v>
      </c>
      <c r="V18" s="21">
        <f>Table10[[#This Row],[Profit]]/Table10[[#This Row],[Sales]]</f>
        <v>0.34999999999999992</v>
      </c>
    </row>
    <row r="19" spans="1:22" x14ac:dyDescent="0.2">
      <c r="A19">
        <v>18</v>
      </c>
      <c r="B19" t="s">
        <v>8363</v>
      </c>
      <c r="C19" s="1">
        <v>42377</v>
      </c>
      <c r="D19" s="22">
        <f>MONTH(Table10[[#This Row],[Order Date]])</f>
        <v>1</v>
      </c>
      <c r="E19" t="s">
        <v>180</v>
      </c>
      <c r="F19" t="s">
        <v>181</v>
      </c>
      <c r="G19" s="23" t="s">
        <v>28</v>
      </c>
      <c r="H19" s="23" t="s">
        <v>29</v>
      </c>
      <c r="I19" t="s">
        <v>5934</v>
      </c>
      <c r="J19" t="s">
        <v>36</v>
      </c>
      <c r="K19" s="22">
        <v>6</v>
      </c>
      <c r="L19" s="1">
        <v>42381</v>
      </c>
      <c r="M19" s="22">
        <f>Table10[[#This Row],[Ship Date]]-Table10[[#This Row],[Order Date]]</f>
        <v>4</v>
      </c>
      <c r="N19" t="s">
        <v>45</v>
      </c>
      <c r="O19" t="s">
        <v>23</v>
      </c>
      <c r="P19" t="s">
        <v>103</v>
      </c>
      <c r="Q19" t="s">
        <v>95</v>
      </c>
      <c r="R19" t="s">
        <v>541</v>
      </c>
      <c r="S19" s="33">
        <v>0</v>
      </c>
      <c r="T19" s="13">
        <v>1565.88</v>
      </c>
      <c r="U19" s="13">
        <v>407.12880000000001</v>
      </c>
      <c r="V19" s="21">
        <f>Table10[[#This Row],[Profit]]/Table10[[#This Row],[Sales]]</f>
        <v>0.26</v>
      </c>
    </row>
    <row r="20" spans="1:22" x14ac:dyDescent="0.2">
      <c r="A20">
        <v>19</v>
      </c>
      <c r="B20" t="s">
        <v>8363</v>
      </c>
      <c r="C20" s="1">
        <v>42377</v>
      </c>
      <c r="D20" s="22">
        <f>MONTH(Table10[[#This Row],[Order Date]])</f>
        <v>1</v>
      </c>
      <c r="E20" t="s">
        <v>255</v>
      </c>
      <c r="F20" t="s">
        <v>256</v>
      </c>
      <c r="G20" s="23" t="s">
        <v>41</v>
      </c>
      <c r="H20" s="23" t="s">
        <v>68</v>
      </c>
      <c r="I20" t="s">
        <v>5934</v>
      </c>
      <c r="J20" t="s">
        <v>36</v>
      </c>
      <c r="K20" s="22">
        <v>7</v>
      </c>
      <c r="L20" s="1">
        <v>42381</v>
      </c>
      <c r="M20" s="22">
        <f>Table10[[#This Row],[Ship Date]]-Table10[[#This Row],[Order Date]]</f>
        <v>4</v>
      </c>
      <c r="N20" t="s">
        <v>45</v>
      </c>
      <c r="O20" t="s">
        <v>23</v>
      </c>
      <c r="P20" t="s">
        <v>103</v>
      </c>
      <c r="Q20" t="s">
        <v>95</v>
      </c>
      <c r="R20" t="s">
        <v>541</v>
      </c>
      <c r="S20" s="33">
        <v>0</v>
      </c>
      <c r="T20" s="13">
        <v>106.05</v>
      </c>
      <c r="U20" s="13">
        <v>49.843499999999999</v>
      </c>
      <c r="V20" s="21">
        <f>Table10[[#This Row],[Profit]]/Table10[[#This Row],[Sales]]</f>
        <v>0.47000000000000003</v>
      </c>
    </row>
    <row r="21" spans="1:22" x14ac:dyDescent="0.2">
      <c r="A21">
        <v>20</v>
      </c>
      <c r="B21" t="s">
        <v>8900</v>
      </c>
      <c r="C21" s="1">
        <v>42377</v>
      </c>
      <c r="D21" s="22">
        <f>MONTH(Table10[[#This Row],[Order Date]])</f>
        <v>1</v>
      </c>
      <c r="E21" t="s">
        <v>3110</v>
      </c>
      <c r="F21" t="s">
        <v>3111</v>
      </c>
      <c r="G21" s="23" t="s">
        <v>41</v>
      </c>
      <c r="H21" s="23" t="s">
        <v>68</v>
      </c>
      <c r="I21" t="s">
        <v>6810</v>
      </c>
      <c r="J21" t="s">
        <v>22</v>
      </c>
      <c r="K21" s="22">
        <v>7</v>
      </c>
      <c r="L21" s="1">
        <v>42382</v>
      </c>
      <c r="M21" s="22">
        <f>Table10[[#This Row],[Ship Date]]-Table10[[#This Row],[Order Date]]</f>
        <v>5</v>
      </c>
      <c r="N21" t="s">
        <v>45</v>
      </c>
      <c r="O21" t="s">
        <v>23</v>
      </c>
      <c r="P21" t="s">
        <v>80</v>
      </c>
      <c r="Q21" t="s">
        <v>26</v>
      </c>
      <c r="R21" t="s">
        <v>4054</v>
      </c>
      <c r="S21" s="33">
        <v>0.7</v>
      </c>
      <c r="T21" s="13">
        <v>30.827999999999999</v>
      </c>
      <c r="U21" s="13">
        <v>-24.662400000000002</v>
      </c>
      <c r="V21" s="21">
        <f>Table10[[#This Row],[Profit]]/Table10[[#This Row],[Sales]]</f>
        <v>-0.8</v>
      </c>
    </row>
    <row r="22" spans="1:22" x14ac:dyDescent="0.2">
      <c r="A22">
        <v>21</v>
      </c>
      <c r="B22" t="s">
        <v>8900</v>
      </c>
      <c r="C22" s="1">
        <v>42377</v>
      </c>
      <c r="D22" s="22">
        <f>MONTH(Table10[[#This Row],[Order Date]])</f>
        <v>1</v>
      </c>
      <c r="E22" t="s">
        <v>3644</v>
      </c>
      <c r="F22" t="s">
        <v>3645</v>
      </c>
      <c r="G22" s="23" t="s">
        <v>41</v>
      </c>
      <c r="H22" s="23" t="s">
        <v>61</v>
      </c>
      <c r="I22" t="s">
        <v>6810</v>
      </c>
      <c r="J22" t="s">
        <v>22</v>
      </c>
      <c r="K22" s="22">
        <v>3</v>
      </c>
      <c r="L22" s="1">
        <v>42382</v>
      </c>
      <c r="M22" s="22">
        <f>Table10[[#This Row],[Ship Date]]-Table10[[#This Row],[Order Date]]</f>
        <v>5</v>
      </c>
      <c r="N22" t="s">
        <v>45</v>
      </c>
      <c r="O22" t="s">
        <v>23</v>
      </c>
      <c r="P22" t="s">
        <v>80</v>
      </c>
      <c r="Q22" t="s">
        <v>26</v>
      </c>
      <c r="R22" t="s">
        <v>4054</v>
      </c>
      <c r="S22" s="33">
        <v>0.2</v>
      </c>
      <c r="T22" s="13">
        <v>47.616</v>
      </c>
      <c r="U22" s="13">
        <v>5.952</v>
      </c>
      <c r="V22" s="21">
        <f>Table10[[#This Row],[Profit]]/Table10[[#This Row],[Sales]]</f>
        <v>0.125</v>
      </c>
    </row>
    <row r="23" spans="1:22" x14ac:dyDescent="0.2">
      <c r="A23">
        <v>22</v>
      </c>
      <c r="B23" t="s">
        <v>8900</v>
      </c>
      <c r="C23" s="1">
        <v>42377</v>
      </c>
      <c r="D23" s="22">
        <f>MONTH(Table10[[#This Row],[Order Date]])</f>
        <v>1</v>
      </c>
      <c r="E23" t="s">
        <v>8122</v>
      </c>
      <c r="F23" t="s">
        <v>8123</v>
      </c>
      <c r="G23" s="23" t="s">
        <v>64</v>
      </c>
      <c r="H23" s="23" t="s">
        <v>65</v>
      </c>
      <c r="I23" t="s">
        <v>6810</v>
      </c>
      <c r="J23" t="s">
        <v>22</v>
      </c>
      <c r="K23" s="22">
        <v>2</v>
      </c>
      <c r="L23" s="1">
        <v>42382</v>
      </c>
      <c r="M23" s="22">
        <f>Table10[[#This Row],[Ship Date]]-Table10[[#This Row],[Order Date]]</f>
        <v>5</v>
      </c>
      <c r="N23" t="s">
        <v>45</v>
      </c>
      <c r="O23" t="s">
        <v>23</v>
      </c>
      <c r="P23" t="s">
        <v>80</v>
      </c>
      <c r="Q23" t="s">
        <v>26</v>
      </c>
      <c r="R23" t="s">
        <v>4054</v>
      </c>
      <c r="S23" s="33">
        <v>0.2</v>
      </c>
      <c r="T23" s="13">
        <v>108.78400000000001</v>
      </c>
      <c r="U23" s="13">
        <v>10.878399999999999</v>
      </c>
      <c r="V23" s="21">
        <f>Table10[[#This Row],[Profit]]/Table10[[#This Row],[Sales]]</f>
        <v>9.9999999999999992E-2</v>
      </c>
    </row>
    <row r="24" spans="1:22" x14ac:dyDescent="0.2">
      <c r="A24">
        <v>23</v>
      </c>
      <c r="B24" t="s">
        <v>5738</v>
      </c>
      <c r="C24" s="1">
        <v>42378</v>
      </c>
      <c r="D24" s="22">
        <f>MONTH(Table10[[#This Row],[Order Date]])</f>
        <v>1</v>
      </c>
      <c r="E24" t="s">
        <v>5739</v>
      </c>
      <c r="F24" t="s">
        <v>5740</v>
      </c>
      <c r="G24" s="23" t="s">
        <v>64</v>
      </c>
      <c r="H24" s="23" t="s">
        <v>144</v>
      </c>
      <c r="I24" t="s">
        <v>1190</v>
      </c>
      <c r="J24" t="s">
        <v>36</v>
      </c>
      <c r="K24" s="22">
        <v>5</v>
      </c>
      <c r="L24" s="1">
        <v>42384</v>
      </c>
      <c r="M24" s="22">
        <f>Table10[[#This Row],[Ship Date]]-Table10[[#This Row],[Order Date]]</f>
        <v>6</v>
      </c>
      <c r="N24" t="s">
        <v>45</v>
      </c>
      <c r="O24" t="s">
        <v>23</v>
      </c>
      <c r="P24" t="s">
        <v>38</v>
      </c>
      <c r="Q24" t="s">
        <v>39</v>
      </c>
      <c r="R24" t="s">
        <v>3080</v>
      </c>
      <c r="S24" s="33">
        <v>0</v>
      </c>
      <c r="T24" s="13">
        <v>349.95</v>
      </c>
      <c r="U24" s="13">
        <v>118.983</v>
      </c>
      <c r="V24" s="21">
        <f>Table10[[#This Row],[Profit]]/Table10[[#This Row],[Sales]]</f>
        <v>0.34</v>
      </c>
    </row>
    <row r="25" spans="1:22" x14ac:dyDescent="0.2">
      <c r="A25">
        <v>24</v>
      </c>
      <c r="B25" t="s">
        <v>5738</v>
      </c>
      <c r="C25" s="1">
        <v>42378</v>
      </c>
      <c r="D25" s="22">
        <f>MONTH(Table10[[#This Row],[Order Date]])</f>
        <v>1</v>
      </c>
      <c r="E25" t="s">
        <v>280</v>
      </c>
      <c r="F25" t="s">
        <v>281</v>
      </c>
      <c r="G25" s="23" t="s">
        <v>64</v>
      </c>
      <c r="H25" s="23" t="s">
        <v>65</v>
      </c>
      <c r="I25" t="s">
        <v>1190</v>
      </c>
      <c r="J25" t="s">
        <v>36</v>
      </c>
      <c r="K25" s="22">
        <v>9</v>
      </c>
      <c r="L25" s="1">
        <v>42384</v>
      </c>
      <c r="M25" s="22">
        <f>Table10[[#This Row],[Ship Date]]-Table10[[#This Row],[Order Date]]</f>
        <v>6</v>
      </c>
      <c r="N25" t="s">
        <v>45</v>
      </c>
      <c r="O25" t="s">
        <v>23</v>
      </c>
      <c r="P25" t="s">
        <v>38</v>
      </c>
      <c r="Q25" t="s">
        <v>39</v>
      </c>
      <c r="R25" t="s">
        <v>3080</v>
      </c>
      <c r="S25" s="33">
        <v>0.2</v>
      </c>
      <c r="T25" s="13">
        <v>377.928</v>
      </c>
      <c r="U25" s="13">
        <v>141.72300000000001</v>
      </c>
      <c r="V25" s="21">
        <f>Table10[[#This Row],[Profit]]/Table10[[#This Row],[Sales]]</f>
        <v>0.37500000000000006</v>
      </c>
    </row>
    <row r="26" spans="1:22" x14ac:dyDescent="0.2">
      <c r="A26">
        <v>25</v>
      </c>
      <c r="B26" t="s">
        <v>6153</v>
      </c>
      <c r="C26" s="1">
        <v>42378</v>
      </c>
      <c r="D26" s="22">
        <f>MONTH(Table10[[#This Row],[Order Date]])</f>
        <v>1</v>
      </c>
      <c r="E26" t="s">
        <v>5490</v>
      </c>
      <c r="F26" t="s">
        <v>5491</v>
      </c>
      <c r="G26" s="23" t="s">
        <v>28</v>
      </c>
      <c r="H26" s="23" t="s">
        <v>58</v>
      </c>
      <c r="I26" t="s">
        <v>6154</v>
      </c>
      <c r="J26" t="s">
        <v>36</v>
      </c>
      <c r="K26" s="22">
        <v>2</v>
      </c>
      <c r="L26" s="1">
        <v>42382</v>
      </c>
      <c r="M26" s="22">
        <f>Table10[[#This Row],[Ship Date]]-Table10[[#This Row],[Order Date]]</f>
        <v>4</v>
      </c>
      <c r="N26" t="s">
        <v>20</v>
      </c>
      <c r="O26" t="s">
        <v>23</v>
      </c>
      <c r="P26" t="s">
        <v>441</v>
      </c>
      <c r="Q26" t="s">
        <v>133</v>
      </c>
      <c r="R26" t="s">
        <v>2496</v>
      </c>
      <c r="S26" s="33">
        <v>0.2</v>
      </c>
      <c r="T26" s="13">
        <v>15.167999999999999</v>
      </c>
      <c r="U26" s="13">
        <v>3.7919999999999998</v>
      </c>
      <c r="V26" s="21">
        <f>Table10[[#This Row],[Profit]]/Table10[[#This Row],[Sales]]</f>
        <v>0.25</v>
      </c>
    </row>
    <row r="27" spans="1:22" x14ac:dyDescent="0.2">
      <c r="A27">
        <v>26</v>
      </c>
      <c r="B27" t="s">
        <v>6942</v>
      </c>
      <c r="C27" s="1">
        <v>42379</v>
      </c>
      <c r="D27" s="22">
        <f>MONTH(Table10[[#This Row],[Order Date]])</f>
        <v>1</v>
      </c>
      <c r="E27" t="s">
        <v>3057</v>
      </c>
      <c r="F27" t="s">
        <v>3058</v>
      </c>
      <c r="G27" s="23" t="s">
        <v>28</v>
      </c>
      <c r="H27" s="23" t="s">
        <v>58</v>
      </c>
      <c r="I27" t="s">
        <v>122</v>
      </c>
      <c r="J27" t="s">
        <v>36</v>
      </c>
      <c r="K27" s="22">
        <v>4</v>
      </c>
      <c r="L27" s="1">
        <v>42386</v>
      </c>
      <c r="M27" s="22">
        <f>Table10[[#This Row],[Ship Date]]-Table10[[#This Row],[Order Date]]</f>
        <v>7</v>
      </c>
      <c r="N27" t="s">
        <v>45</v>
      </c>
      <c r="O27" t="s">
        <v>23</v>
      </c>
      <c r="P27" t="s">
        <v>87</v>
      </c>
      <c r="Q27" t="s">
        <v>39</v>
      </c>
      <c r="R27" t="s">
        <v>86</v>
      </c>
      <c r="S27" s="33">
        <v>0</v>
      </c>
      <c r="T27" s="13">
        <v>79.92</v>
      </c>
      <c r="U27" s="13">
        <v>34.365600000000001</v>
      </c>
      <c r="V27" s="21">
        <f>Table10[[#This Row],[Profit]]/Table10[[#This Row],[Sales]]</f>
        <v>0.43</v>
      </c>
    </row>
    <row r="28" spans="1:22" x14ac:dyDescent="0.2">
      <c r="A28">
        <v>27</v>
      </c>
      <c r="B28" t="s">
        <v>6942</v>
      </c>
      <c r="C28" s="1">
        <v>42379</v>
      </c>
      <c r="D28" s="22">
        <f>MONTH(Table10[[#This Row],[Order Date]])</f>
        <v>1</v>
      </c>
      <c r="E28" t="s">
        <v>1198</v>
      </c>
      <c r="F28" t="s">
        <v>1199</v>
      </c>
      <c r="G28" s="23" t="s">
        <v>64</v>
      </c>
      <c r="H28" s="23" t="s">
        <v>144</v>
      </c>
      <c r="I28" t="s">
        <v>122</v>
      </c>
      <c r="J28" t="s">
        <v>36</v>
      </c>
      <c r="K28" s="22">
        <v>2</v>
      </c>
      <c r="L28" s="1">
        <v>42386</v>
      </c>
      <c r="M28" s="22">
        <f>Table10[[#This Row],[Ship Date]]-Table10[[#This Row],[Order Date]]</f>
        <v>7</v>
      </c>
      <c r="N28" t="s">
        <v>45</v>
      </c>
      <c r="O28" t="s">
        <v>23</v>
      </c>
      <c r="P28" t="s">
        <v>87</v>
      </c>
      <c r="Q28" t="s">
        <v>39</v>
      </c>
      <c r="R28" t="s">
        <v>86</v>
      </c>
      <c r="S28" s="33">
        <v>0</v>
      </c>
      <c r="T28" s="13">
        <v>69.98</v>
      </c>
      <c r="U28" s="13">
        <v>13.296200000000001</v>
      </c>
      <c r="V28" s="21">
        <f>Table10[[#This Row],[Profit]]/Table10[[#This Row],[Sales]]</f>
        <v>0.19</v>
      </c>
    </row>
    <row r="29" spans="1:22" x14ac:dyDescent="0.2">
      <c r="A29">
        <v>28</v>
      </c>
      <c r="B29" t="s">
        <v>8437</v>
      </c>
      <c r="C29" s="1">
        <v>42379</v>
      </c>
      <c r="D29" s="22">
        <f>MONTH(Table10[[#This Row],[Order Date]])</f>
        <v>1</v>
      </c>
      <c r="E29" t="s">
        <v>1803</v>
      </c>
      <c r="F29" t="s">
        <v>1804</v>
      </c>
      <c r="G29" s="23" t="s">
        <v>28</v>
      </c>
      <c r="H29" s="23" t="s">
        <v>58</v>
      </c>
      <c r="I29" t="s">
        <v>5549</v>
      </c>
      <c r="J29" t="s">
        <v>22</v>
      </c>
      <c r="K29" s="22">
        <v>5</v>
      </c>
      <c r="L29" s="1">
        <v>42382</v>
      </c>
      <c r="M29" s="22">
        <f>Table10[[#This Row],[Ship Date]]-Table10[[#This Row],[Order Date]]</f>
        <v>3</v>
      </c>
      <c r="N29" t="s">
        <v>20</v>
      </c>
      <c r="O29" t="s">
        <v>23</v>
      </c>
      <c r="P29" t="s">
        <v>87</v>
      </c>
      <c r="Q29" t="s">
        <v>39</v>
      </c>
      <c r="R29" t="s">
        <v>7981</v>
      </c>
      <c r="S29" s="33">
        <v>0</v>
      </c>
      <c r="T29" s="13">
        <v>24.85</v>
      </c>
      <c r="U29" s="13">
        <v>7.7035</v>
      </c>
      <c r="V29" s="21">
        <f>Table10[[#This Row],[Profit]]/Table10[[#This Row],[Sales]]</f>
        <v>0.31</v>
      </c>
    </row>
    <row r="30" spans="1:22" x14ac:dyDescent="0.2">
      <c r="A30">
        <v>29</v>
      </c>
      <c r="B30" t="s">
        <v>2685</v>
      </c>
      <c r="C30" s="1">
        <v>42380</v>
      </c>
      <c r="D30" s="22">
        <f>MONTH(Table10[[#This Row],[Order Date]])</f>
        <v>1</v>
      </c>
      <c r="E30" t="s">
        <v>2687</v>
      </c>
      <c r="F30" t="s">
        <v>2688</v>
      </c>
      <c r="G30" s="23" t="s">
        <v>41</v>
      </c>
      <c r="H30" s="23" t="s">
        <v>82</v>
      </c>
      <c r="I30" t="s">
        <v>2686</v>
      </c>
      <c r="J30" t="s">
        <v>92</v>
      </c>
      <c r="K30" s="22">
        <v>3</v>
      </c>
      <c r="L30" s="1">
        <v>42382</v>
      </c>
      <c r="M30" s="22">
        <f>Table10[[#This Row],[Ship Date]]-Table10[[#This Row],[Order Date]]</f>
        <v>2</v>
      </c>
      <c r="N30" t="s">
        <v>20</v>
      </c>
      <c r="O30" t="s">
        <v>23</v>
      </c>
      <c r="P30" t="s">
        <v>441</v>
      </c>
      <c r="Q30" t="s">
        <v>133</v>
      </c>
      <c r="R30" t="s">
        <v>284</v>
      </c>
      <c r="S30" s="33">
        <v>0.2</v>
      </c>
      <c r="T30" s="13">
        <v>15.552</v>
      </c>
      <c r="U30" s="13">
        <v>5.4432</v>
      </c>
      <c r="V30" s="21">
        <f>Table10[[#This Row],[Profit]]/Table10[[#This Row],[Sales]]</f>
        <v>0.35000000000000003</v>
      </c>
    </row>
    <row r="31" spans="1:22" x14ac:dyDescent="0.2">
      <c r="A31">
        <v>30</v>
      </c>
      <c r="B31" t="s">
        <v>2685</v>
      </c>
      <c r="C31" s="1">
        <v>42380</v>
      </c>
      <c r="D31" s="22">
        <f>MONTH(Table10[[#This Row],[Order Date]])</f>
        <v>1</v>
      </c>
      <c r="E31" t="s">
        <v>2689</v>
      </c>
      <c r="F31" t="s">
        <v>2690</v>
      </c>
      <c r="G31" s="23" t="s">
        <v>41</v>
      </c>
      <c r="H31" s="23" t="s">
        <v>82</v>
      </c>
      <c r="I31" t="s">
        <v>2686</v>
      </c>
      <c r="J31" t="s">
        <v>92</v>
      </c>
      <c r="K31" s="22">
        <v>3</v>
      </c>
      <c r="L31" s="1">
        <v>42382</v>
      </c>
      <c r="M31" s="22">
        <f>Table10[[#This Row],[Ship Date]]-Table10[[#This Row],[Order Date]]</f>
        <v>2</v>
      </c>
      <c r="N31" t="s">
        <v>20</v>
      </c>
      <c r="O31" t="s">
        <v>23</v>
      </c>
      <c r="P31" t="s">
        <v>441</v>
      </c>
      <c r="Q31" t="s">
        <v>133</v>
      </c>
      <c r="R31" t="s">
        <v>284</v>
      </c>
      <c r="S31" s="33">
        <v>0.2</v>
      </c>
      <c r="T31" s="13">
        <v>63.311999999999998</v>
      </c>
      <c r="U31" s="13">
        <v>20.5764</v>
      </c>
      <c r="V31" s="21">
        <f>Table10[[#This Row],[Profit]]/Table10[[#This Row],[Sales]]</f>
        <v>0.32500000000000001</v>
      </c>
    </row>
    <row r="32" spans="1:22" x14ac:dyDescent="0.2">
      <c r="A32">
        <v>31</v>
      </c>
      <c r="B32" t="s">
        <v>2685</v>
      </c>
      <c r="C32" s="1">
        <v>42380</v>
      </c>
      <c r="D32" s="22">
        <f>MONTH(Table10[[#This Row],[Order Date]])</f>
        <v>1</v>
      </c>
      <c r="E32" t="s">
        <v>2691</v>
      </c>
      <c r="F32" t="s">
        <v>2692</v>
      </c>
      <c r="G32" s="23" t="s">
        <v>64</v>
      </c>
      <c r="H32" s="23" t="s">
        <v>65</v>
      </c>
      <c r="I32" t="s">
        <v>2686</v>
      </c>
      <c r="J32" t="s">
        <v>92</v>
      </c>
      <c r="K32" s="22">
        <v>2</v>
      </c>
      <c r="L32" s="1">
        <v>42382</v>
      </c>
      <c r="M32" s="22">
        <f>Table10[[#This Row],[Ship Date]]-Table10[[#This Row],[Order Date]]</f>
        <v>2</v>
      </c>
      <c r="N32" t="s">
        <v>20</v>
      </c>
      <c r="O32" t="s">
        <v>23</v>
      </c>
      <c r="P32" t="s">
        <v>441</v>
      </c>
      <c r="Q32" t="s">
        <v>133</v>
      </c>
      <c r="R32" t="s">
        <v>284</v>
      </c>
      <c r="S32" s="33">
        <v>0.4</v>
      </c>
      <c r="T32" s="13">
        <v>15.587999999999999</v>
      </c>
      <c r="U32" s="13">
        <v>-9.8724000000000007</v>
      </c>
      <c r="V32" s="21">
        <f>Table10[[#This Row],[Profit]]/Table10[[#This Row],[Sales]]</f>
        <v>-0.63333333333333341</v>
      </c>
    </row>
    <row r="33" spans="1:22" x14ac:dyDescent="0.2">
      <c r="A33">
        <v>32</v>
      </c>
      <c r="B33" t="s">
        <v>9301</v>
      </c>
      <c r="C33" s="1">
        <v>42380</v>
      </c>
      <c r="D33" s="22">
        <f>MONTH(Table10[[#This Row],[Order Date]])</f>
        <v>1</v>
      </c>
      <c r="E33" t="s">
        <v>3007</v>
      </c>
      <c r="F33" t="s">
        <v>3008</v>
      </c>
      <c r="G33" s="23" t="s">
        <v>28</v>
      </c>
      <c r="H33" s="23" t="s">
        <v>58</v>
      </c>
      <c r="I33" t="s">
        <v>673</v>
      </c>
      <c r="J33" t="s">
        <v>92</v>
      </c>
      <c r="K33" s="22">
        <v>14</v>
      </c>
      <c r="L33" s="1">
        <v>42384</v>
      </c>
      <c r="M33" s="22">
        <f>Table10[[#This Row],[Ship Date]]-Table10[[#This Row],[Order Date]]</f>
        <v>4</v>
      </c>
      <c r="N33" t="s">
        <v>45</v>
      </c>
      <c r="O33" t="s">
        <v>23</v>
      </c>
      <c r="P33" t="s">
        <v>441</v>
      </c>
      <c r="Q33" t="s">
        <v>133</v>
      </c>
      <c r="R33" t="s">
        <v>440</v>
      </c>
      <c r="S33" s="33">
        <v>0.2</v>
      </c>
      <c r="T33" s="13">
        <v>54.991999999999997</v>
      </c>
      <c r="U33" s="13">
        <v>8.9361999999999995</v>
      </c>
      <c r="V33" s="21">
        <f>Table10[[#This Row],[Profit]]/Table10[[#This Row],[Sales]]</f>
        <v>0.16250000000000001</v>
      </c>
    </row>
    <row r="34" spans="1:22" x14ac:dyDescent="0.2">
      <c r="A34">
        <v>33</v>
      </c>
      <c r="B34" t="s">
        <v>8606</v>
      </c>
      <c r="C34" s="1">
        <v>42383</v>
      </c>
      <c r="D34" s="22">
        <f>MONTH(Table10[[#This Row],[Order Date]])</f>
        <v>1</v>
      </c>
      <c r="E34" t="s">
        <v>6090</v>
      </c>
      <c r="F34" t="s">
        <v>6091</v>
      </c>
      <c r="G34" s="23" t="s">
        <v>41</v>
      </c>
      <c r="H34" s="23" t="s">
        <v>82</v>
      </c>
      <c r="I34" t="s">
        <v>1244</v>
      </c>
      <c r="J34" t="s">
        <v>22</v>
      </c>
      <c r="K34" s="22">
        <v>2</v>
      </c>
      <c r="L34" s="1">
        <v>42389</v>
      </c>
      <c r="M34" s="22">
        <f>Table10[[#This Row],[Ship Date]]-Table10[[#This Row],[Order Date]]</f>
        <v>6</v>
      </c>
      <c r="N34" t="s">
        <v>45</v>
      </c>
      <c r="O34" t="s">
        <v>23</v>
      </c>
      <c r="P34" t="s">
        <v>80</v>
      </c>
      <c r="Q34" t="s">
        <v>26</v>
      </c>
      <c r="R34" t="s">
        <v>79</v>
      </c>
      <c r="S34" s="33">
        <v>0.2</v>
      </c>
      <c r="T34" s="13">
        <v>89.567999999999998</v>
      </c>
      <c r="U34" s="13">
        <v>32.468400000000003</v>
      </c>
      <c r="V34" s="21">
        <f>Table10[[#This Row],[Profit]]/Table10[[#This Row],[Sales]]</f>
        <v>0.36250000000000004</v>
      </c>
    </row>
    <row r="35" spans="1:22" x14ac:dyDescent="0.2">
      <c r="A35">
        <v>34</v>
      </c>
      <c r="B35" t="s">
        <v>8606</v>
      </c>
      <c r="C35" s="1">
        <v>42383</v>
      </c>
      <c r="D35" s="22">
        <f>MONTH(Table10[[#This Row],[Order Date]])</f>
        <v>1</v>
      </c>
      <c r="E35" t="s">
        <v>8607</v>
      </c>
      <c r="F35" t="s">
        <v>8608</v>
      </c>
      <c r="G35" s="23" t="s">
        <v>28</v>
      </c>
      <c r="H35" s="23" t="s">
        <v>58</v>
      </c>
      <c r="I35" t="s">
        <v>1244</v>
      </c>
      <c r="J35" t="s">
        <v>22</v>
      </c>
      <c r="K35" s="22">
        <v>8</v>
      </c>
      <c r="L35" s="1">
        <v>42389</v>
      </c>
      <c r="M35" s="22">
        <f>Table10[[#This Row],[Ship Date]]-Table10[[#This Row],[Order Date]]</f>
        <v>6</v>
      </c>
      <c r="N35" t="s">
        <v>45</v>
      </c>
      <c r="O35" t="s">
        <v>23</v>
      </c>
      <c r="P35" t="s">
        <v>80</v>
      </c>
      <c r="Q35" t="s">
        <v>26</v>
      </c>
      <c r="R35" t="s">
        <v>79</v>
      </c>
      <c r="S35" s="33">
        <v>0.2</v>
      </c>
      <c r="T35" s="13">
        <v>315.77600000000001</v>
      </c>
      <c r="U35" s="13">
        <v>31.5776</v>
      </c>
      <c r="V35" s="21">
        <f>Table10[[#This Row],[Profit]]/Table10[[#This Row],[Sales]]</f>
        <v>9.9999999999999992E-2</v>
      </c>
    </row>
    <row r="36" spans="1:22" x14ac:dyDescent="0.2">
      <c r="A36">
        <v>35</v>
      </c>
      <c r="B36" t="s">
        <v>5402</v>
      </c>
      <c r="C36" s="1">
        <v>42384</v>
      </c>
      <c r="D36" s="22">
        <f>MONTH(Table10[[#This Row],[Order Date]])</f>
        <v>1</v>
      </c>
      <c r="E36" t="s">
        <v>4465</v>
      </c>
      <c r="F36" t="s">
        <v>4466</v>
      </c>
      <c r="G36" s="23" t="s">
        <v>41</v>
      </c>
      <c r="H36" s="23" t="s">
        <v>155</v>
      </c>
      <c r="I36" t="s">
        <v>5277</v>
      </c>
      <c r="J36" t="s">
        <v>92</v>
      </c>
      <c r="K36" s="22">
        <v>2</v>
      </c>
      <c r="L36" s="1">
        <v>42388</v>
      </c>
      <c r="M36" s="22">
        <f>Table10[[#This Row],[Ship Date]]-Table10[[#This Row],[Order Date]]</f>
        <v>4</v>
      </c>
      <c r="N36" t="s">
        <v>45</v>
      </c>
      <c r="O36" t="s">
        <v>23</v>
      </c>
      <c r="P36" t="s">
        <v>695</v>
      </c>
      <c r="Q36" t="s">
        <v>133</v>
      </c>
      <c r="R36" t="s">
        <v>694</v>
      </c>
      <c r="S36" s="33">
        <v>0</v>
      </c>
      <c r="T36" s="13">
        <v>52.34</v>
      </c>
      <c r="U36" s="13">
        <v>24.599799999999998</v>
      </c>
      <c r="V36" s="21">
        <f>Table10[[#This Row],[Profit]]/Table10[[#This Row],[Sales]]</f>
        <v>0.46999999999999992</v>
      </c>
    </row>
    <row r="37" spans="1:22" x14ac:dyDescent="0.2">
      <c r="A37">
        <v>36</v>
      </c>
      <c r="B37" t="s">
        <v>5402</v>
      </c>
      <c r="C37" s="1">
        <v>42384</v>
      </c>
      <c r="D37" s="22">
        <f>MONTH(Table10[[#This Row],[Order Date]])</f>
        <v>1</v>
      </c>
      <c r="E37" t="s">
        <v>1298</v>
      </c>
      <c r="F37" t="s">
        <v>1299</v>
      </c>
      <c r="G37" s="23" t="s">
        <v>41</v>
      </c>
      <c r="H37" s="23" t="s">
        <v>61</v>
      </c>
      <c r="I37" t="s">
        <v>5277</v>
      </c>
      <c r="J37" t="s">
        <v>92</v>
      </c>
      <c r="K37" s="22">
        <v>2</v>
      </c>
      <c r="L37" s="1">
        <v>42388</v>
      </c>
      <c r="M37" s="22">
        <f>Table10[[#This Row],[Ship Date]]-Table10[[#This Row],[Order Date]]</f>
        <v>4</v>
      </c>
      <c r="N37" t="s">
        <v>45</v>
      </c>
      <c r="O37" t="s">
        <v>23</v>
      </c>
      <c r="P37" t="s">
        <v>695</v>
      </c>
      <c r="Q37" t="s">
        <v>133</v>
      </c>
      <c r="R37" t="s">
        <v>694</v>
      </c>
      <c r="S37" s="33">
        <v>0</v>
      </c>
      <c r="T37" s="13">
        <v>4.66</v>
      </c>
      <c r="U37" s="13">
        <v>1.3513999999999999</v>
      </c>
      <c r="V37" s="21">
        <f>Table10[[#This Row],[Profit]]/Table10[[#This Row],[Sales]]</f>
        <v>0.28999999999999998</v>
      </c>
    </row>
    <row r="38" spans="1:22" x14ac:dyDescent="0.2">
      <c r="A38">
        <v>37</v>
      </c>
      <c r="B38" t="s">
        <v>5402</v>
      </c>
      <c r="C38" s="1">
        <v>42384</v>
      </c>
      <c r="D38" s="22">
        <f>MONTH(Table10[[#This Row],[Order Date]])</f>
        <v>1</v>
      </c>
      <c r="E38" t="s">
        <v>424</v>
      </c>
      <c r="F38" t="s">
        <v>425</v>
      </c>
      <c r="G38" s="23" t="s">
        <v>64</v>
      </c>
      <c r="H38" s="23" t="s">
        <v>144</v>
      </c>
      <c r="I38" t="s">
        <v>5277</v>
      </c>
      <c r="J38" t="s">
        <v>92</v>
      </c>
      <c r="K38" s="22">
        <v>3</v>
      </c>
      <c r="L38" s="1">
        <v>42388</v>
      </c>
      <c r="M38" s="22">
        <f>Table10[[#This Row],[Ship Date]]-Table10[[#This Row],[Order Date]]</f>
        <v>4</v>
      </c>
      <c r="N38" t="s">
        <v>45</v>
      </c>
      <c r="O38" t="s">
        <v>23</v>
      </c>
      <c r="P38" t="s">
        <v>695</v>
      </c>
      <c r="Q38" t="s">
        <v>133</v>
      </c>
      <c r="R38" t="s">
        <v>694</v>
      </c>
      <c r="S38" s="33">
        <v>0</v>
      </c>
      <c r="T38" s="13">
        <v>254.97</v>
      </c>
      <c r="U38" s="13">
        <v>91.789199999999994</v>
      </c>
      <c r="V38" s="21">
        <f>Table10[[#This Row],[Profit]]/Table10[[#This Row],[Sales]]</f>
        <v>0.36</v>
      </c>
    </row>
    <row r="39" spans="1:22" x14ac:dyDescent="0.2">
      <c r="A39">
        <v>38</v>
      </c>
      <c r="B39" t="s">
        <v>5761</v>
      </c>
      <c r="C39" s="1">
        <v>42384</v>
      </c>
      <c r="D39" s="22">
        <f>MONTH(Table10[[#This Row],[Order Date]])</f>
        <v>1</v>
      </c>
      <c r="E39" t="s">
        <v>927</v>
      </c>
      <c r="F39" t="s">
        <v>928</v>
      </c>
      <c r="G39" s="23" t="s">
        <v>28</v>
      </c>
      <c r="H39" s="23" t="s">
        <v>50</v>
      </c>
      <c r="I39" t="s">
        <v>868</v>
      </c>
      <c r="J39" t="s">
        <v>22</v>
      </c>
      <c r="K39" s="22">
        <v>1</v>
      </c>
      <c r="L39" s="1">
        <v>42384</v>
      </c>
      <c r="M39" s="22">
        <f>Table10[[#This Row],[Ship Date]]-Table10[[#This Row],[Order Date]]</f>
        <v>0</v>
      </c>
      <c r="N39" t="s">
        <v>1141</v>
      </c>
      <c r="O39" t="s">
        <v>23</v>
      </c>
      <c r="P39" t="s">
        <v>660</v>
      </c>
      <c r="Q39" t="s">
        <v>133</v>
      </c>
      <c r="R39" t="s">
        <v>659</v>
      </c>
      <c r="S39" s="33">
        <v>0.3</v>
      </c>
      <c r="T39" s="13">
        <v>181.797</v>
      </c>
      <c r="U39" s="13">
        <v>-15.582599999999999</v>
      </c>
      <c r="V39" s="21">
        <f>Table10[[#This Row],[Profit]]/Table10[[#This Row],[Sales]]</f>
        <v>-8.5714285714285715E-2</v>
      </c>
    </row>
    <row r="40" spans="1:22" x14ac:dyDescent="0.2">
      <c r="A40">
        <v>39</v>
      </c>
      <c r="B40" t="s">
        <v>6182</v>
      </c>
      <c r="C40" s="1">
        <v>42384</v>
      </c>
      <c r="D40" s="22">
        <f>MONTH(Table10[[#This Row],[Order Date]])</f>
        <v>1</v>
      </c>
      <c r="E40" t="s">
        <v>1116</v>
      </c>
      <c r="F40" t="s">
        <v>1117</v>
      </c>
      <c r="G40" s="23" t="s">
        <v>41</v>
      </c>
      <c r="H40" s="23" t="s">
        <v>155</v>
      </c>
      <c r="I40" t="s">
        <v>4484</v>
      </c>
      <c r="J40" t="s">
        <v>22</v>
      </c>
      <c r="K40" s="22">
        <v>4</v>
      </c>
      <c r="L40" s="1">
        <v>42390</v>
      </c>
      <c r="M40" s="22">
        <f>Table10[[#This Row],[Ship Date]]-Table10[[#This Row],[Order Date]]</f>
        <v>6</v>
      </c>
      <c r="N40" t="s">
        <v>45</v>
      </c>
      <c r="O40" t="s">
        <v>23</v>
      </c>
      <c r="P40" t="s">
        <v>238</v>
      </c>
      <c r="Q40" t="s">
        <v>133</v>
      </c>
      <c r="R40" t="s">
        <v>237</v>
      </c>
      <c r="S40" s="33">
        <v>0</v>
      </c>
      <c r="T40" s="13">
        <v>16.52</v>
      </c>
      <c r="U40" s="13">
        <v>7.5991999999999997</v>
      </c>
      <c r="V40" s="21">
        <f>Table10[[#This Row],[Profit]]/Table10[[#This Row],[Sales]]</f>
        <v>0.46</v>
      </c>
    </row>
    <row r="41" spans="1:22" x14ac:dyDescent="0.2">
      <c r="A41">
        <v>40</v>
      </c>
      <c r="B41" t="s">
        <v>6182</v>
      </c>
      <c r="C41" s="1">
        <v>42384</v>
      </c>
      <c r="D41" s="22">
        <f>MONTH(Table10[[#This Row],[Order Date]])</f>
        <v>1</v>
      </c>
      <c r="E41" t="s">
        <v>4636</v>
      </c>
      <c r="F41" t="s">
        <v>4637</v>
      </c>
      <c r="G41" s="23" t="s">
        <v>41</v>
      </c>
      <c r="H41" s="23" t="s">
        <v>82</v>
      </c>
      <c r="I41" t="s">
        <v>4484</v>
      </c>
      <c r="J41" t="s">
        <v>22</v>
      </c>
      <c r="K41" s="22">
        <v>9</v>
      </c>
      <c r="L41" s="1">
        <v>42390</v>
      </c>
      <c r="M41" s="22">
        <f>Table10[[#This Row],[Ship Date]]-Table10[[#This Row],[Order Date]]</f>
        <v>6</v>
      </c>
      <c r="N41" t="s">
        <v>45</v>
      </c>
      <c r="O41" t="s">
        <v>23</v>
      </c>
      <c r="P41" t="s">
        <v>238</v>
      </c>
      <c r="Q41" t="s">
        <v>133</v>
      </c>
      <c r="R41" t="s">
        <v>237</v>
      </c>
      <c r="S41" s="33">
        <v>0</v>
      </c>
      <c r="T41" s="13">
        <v>60.12</v>
      </c>
      <c r="U41" s="13">
        <v>28.857600000000001</v>
      </c>
      <c r="V41" s="21">
        <f>Table10[[#This Row],[Profit]]/Table10[[#This Row],[Sales]]</f>
        <v>0.48000000000000004</v>
      </c>
    </row>
    <row r="42" spans="1:22" x14ac:dyDescent="0.2">
      <c r="A42">
        <v>41</v>
      </c>
      <c r="B42" t="s">
        <v>6182</v>
      </c>
      <c r="C42" s="1">
        <v>42384</v>
      </c>
      <c r="D42" s="22">
        <f>MONTH(Table10[[#This Row],[Order Date]])</f>
        <v>1</v>
      </c>
      <c r="E42" t="s">
        <v>1187</v>
      </c>
      <c r="F42" t="s">
        <v>1188</v>
      </c>
      <c r="G42" s="23" t="s">
        <v>41</v>
      </c>
      <c r="H42" s="23" t="s">
        <v>68</v>
      </c>
      <c r="I42" t="s">
        <v>4484</v>
      </c>
      <c r="J42" t="s">
        <v>22</v>
      </c>
      <c r="K42" s="22">
        <v>3</v>
      </c>
      <c r="L42" s="1">
        <v>42390</v>
      </c>
      <c r="M42" s="22">
        <f>Table10[[#This Row],[Ship Date]]-Table10[[#This Row],[Order Date]]</f>
        <v>6</v>
      </c>
      <c r="N42" t="s">
        <v>45</v>
      </c>
      <c r="O42" t="s">
        <v>23</v>
      </c>
      <c r="P42" t="s">
        <v>238</v>
      </c>
      <c r="Q42" t="s">
        <v>133</v>
      </c>
      <c r="R42" t="s">
        <v>237</v>
      </c>
      <c r="S42" s="33">
        <v>0.2</v>
      </c>
      <c r="T42" s="13">
        <v>49.536000000000001</v>
      </c>
      <c r="U42" s="13">
        <v>17.337599999999998</v>
      </c>
      <c r="V42" s="21">
        <f>Table10[[#This Row],[Profit]]/Table10[[#This Row],[Sales]]</f>
        <v>0.35</v>
      </c>
    </row>
    <row r="43" spans="1:22" x14ac:dyDescent="0.2">
      <c r="A43">
        <v>42</v>
      </c>
      <c r="B43" t="s">
        <v>7832</v>
      </c>
      <c r="C43" s="1">
        <v>42384</v>
      </c>
      <c r="D43" s="22">
        <f>MONTH(Table10[[#This Row],[Order Date]])</f>
        <v>1</v>
      </c>
      <c r="E43" t="s">
        <v>5840</v>
      </c>
      <c r="F43" t="s">
        <v>5841</v>
      </c>
      <c r="G43" s="23" t="s">
        <v>41</v>
      </c>
      <c r="H43" s="23" t="s">
        <v>82</v>
      </c>
      <c r="I43" t="s">
        <v>2457</v>
      </c>
      <c r="J43" t="s">
        <v>92</v>
      </c>
      <c r="K43" s="22">
        <v>2</v>
      </c>
      <c r="L43" s="1">
        <v>42386</v>
      </c>
      <c r="M43" s="22">
        <f>Table10[[#This Row],[Ship Date]]-Table10[[#This Row],[Order Date]]</f>
        <v>2</v>
      </c>
      <c r="N43" t="s">
        <v>169</v>
      </c>
      <c r="O43" t="s">
        <v>23</v>
      </c>
      <c r="P43" t="s">
        <v>238</v>
      </c>
      <c r="Q43" t="s">
        <v>133</v>
      </c>
      <c r="R43" t="s">
        <v>237</v>
      </c>
      <c r="S43" s="33">
        <v>0</v>
      </c>
      <c r="T43" s="13">
        <v>81.98</v>
      </c>
      <c r="U43" s="13">
        <v>40.170200000000001</v>
      </c>
      <c r="V43" s="21">
        <f>Table10[[#This Row],[Profit]]/Table10[[#This Row],[Sales]]</f>
        <v>0.49</v>
      </c>
    </row>
    <row r="44" spans="1:22" x14ac:dyDescent="0.2">
      <c r="A44">
        <v>43</v>
      </c>
      <c r="B44" t="s">
        <v>139</v>
      </c>
      <c r="C44" s="1">
        <v>42385</v>
      </c>
      <c r="D44" s="22">
        <f>MONTH(Table10[[#This Row],[Order Date]])</f>
        <v>1</v>
      </c>
      <c r="E44" t="s">
        <v>141</v>
      </c>
      <c r="F44" t="s">
        <v>142</v>
      </c>
      <c r="G44" s="23" t="s">
        <v>41</v>
      </c>
      <c r="H44" s="23" t="s">
        <v>68</v>
      </c>
      <c r="I44" t="s">
        <v>140</v>
      </c>
      <c r="J44" t="s">
        <v>22</v>
      </c>
      <c r="K44" s="22">
        <v>2</v>
      </c>
      <c r="L44" s="1">
        <v>42389</v>
      </c>
      <c r="M44" s="22">
        <f>Table10[[#This Row],[Ship Date]]-Table10[[#This Row],[Order Date]]</f>
        <v>4</v>
      </c>
      <c r="N44" t="s">
        <v>20</v>
      </c>
      <c r="O44" t="s">
        <v>23</v>
      </c>
      <c r="P44" t="s">
        <v>38</v>
      </c>
      <c r="Q44" t="s">
        <v>39</v>
      </c>
      <c r="R44" t="s">
        <v>37</v>
      </c>
      <c r="S44" s="33">
        <v>0.2</v>
      </c>
      <c r="T44" s="13">
        <v>11.648</v>
      </c>
      <c r="U44" s="13">
        <v>4.2224000000000004</v>
      </c>
      <c r="V44" s="21">
        <f>Table10[[#This Row],[Profit]]/Table10[[#This Row],[Sales]]</f>
        <v>0.36250000000000004</v>
      </c>
    </row>
    <row r="45" spans="1:22" x14ac:dyDescent="0.2">
      <c r="A45">
        <v>44</v>
      </c>
      <c r="B45" t="s">
        <v>139</v>
      </c>
      <c r="C45" s="1">
        <v>42385</v>
      </c>
      <c r="D45" s="22">
        <f>MONTH(Table10[[#This Row],[Order Date]])</f>
        <v>1</v>
      </c>
      <c r="E45" t="s">
        <v>143</v>
      </c>
      <c r="F45" t="s">
        <v>145</v>
      </c>
      <c r="G45" s="23" t="s">
        <v>64</v>
      </c>
      <c r="H45" s="23" t="s">
        <v>144</v>
      </c>
      <c r="I45" t="s">
        <v>140</v>
      </c>
      <c r="J45" t="s">
        <v>22</v>
      </c>
      <c r="K45" s="22">
        <v>3</v>
      </c>
      <c r="L45" s="1">
        <v>42389</v>
      </c>
      <c r="M45" s="22">
        <f>Table10[[#This Row],[Ship Date]]-Table10[[#This Row],[Order Date]]</f>
        <v>4</v>
      </c>
      <c r="N45" t="s">
        <v>20</v>
      </c>
      <c r="O45" t="s">
        <v>23</v>
      </c>
      <c r="P45" t="s">
        <v>38</v>
      </c>
      <c r="Q45" t="s">
        <v>39</v>
      </c>
      <c r="R45" t="s">
        <v>37</v>
      </c>
      <c r="S45" s="33">
        <v>0</v>
      </c>
      <c r="T45" s="13">
        <v>90.57</v>
      </c>
      <c r="U45" s="13">
        <v>11.774100000000001</v>
      </c>
      <c r="V45" s="21">
        <f>Table10[[#This Row],[Profit]]/Table10[[#This Row],[Sales]]</f>
        <v>0.13</v>
      </c>
    </row>
    <row r="46" spans="1:22" x14ac:dyDescent="0.2">
      <c r="A46">
        <v>45</v>
      </c>
      <c r="B46" t="s">
        <v>2381</v>
      </c>
      <c r="C46" s="1">
        <v>42386</v>
      </c>
      <c r="D46" s="22">
        <f>MONTH(Table10[[#This Row],[Order Date]])</f>
        <v>1</v>
      </c>
      <c r="E46" t="s">
        <v>798</v>
      </c>
      <c r="F46" t="s">
        <v>799</v>
      </c>
      <c r="G46" s="23" t="s">
        <v>28</v>
      </c>
      <c r="H46" s="23" t="s">
        <v>58</v>
      </c>
      <c r="I46" t="s">
        <v>1878</v>
      </c>
      <c r="J46" t="s">
        <v>92</v>
      </c>
      <c r="K46" s="22">
        <v>3</v>
      </c>
      <c r="L46" s="1">
        <v>42390</v>
      </c>
      <c r="M46" s="22">
        <f>Table10[[#This Row],[Ship Date]]-Table10[[#This Row],[Order Date]]</f>
        <v>4</v>
      </c>
      <c r="N46" t="s">
        <v>45</v>
      </c>
      <c r="O46" t="s">
        <v>23</v>
      </c>
      <c r="P46" t="s">
        <v>2373</v>
      </c>
      <c r="Q46" t="s">
        <v>133</v>
      </c>
      <c r="R46" t="s">
        <v>79</v>
      </c>
      <c r="S46" s="33">
        <v>0</v>
      </c>
      <c r="T46" s="13">
        <v>322.58999999999997</v>
      </c>
      <c r="U46" s="13">
        <v>64.518000000000001</v>
      </c>
      <c r="V46" s="21">
        <f>Table10[[#This Row],[Profit]]/Table10[[#This Row],[Sales]]</f>
        <v>0.2</v>
      </c>
    </row>
    <row r="47" spans="1:22" x14ac:dyDescent="0.2">
      <c r="A47">
        <v>46</v>
      </c>
      <c r="B47" t="s">
        <v>2381</v>
      </c>
      <c r="C47" s="1">
        <v>42386</v>
      </c>
      <c r="D47" s="22">
        <f>MONTH(Table10[[#This Row],[Order Date]])</f>
        <v>1</v>
      </c>
      <c r="E47" t="s">
        <v>897</v>
      </c>
      <c r="F47" t="s">
        <v>898</v>
      </c>
      <c r="G47" s="23" t="s">
        <v>64</v>
      </c>
      <c r="H47" s="23" t="s">
        <v>144</v>
      </c>
      <c r="I47" t="s">
        <v>1878</v>
      </c>
      <c r="J47" t="s">
        <v>92</v>
      </c>
      <c r="K47" s="22">
        <v>1</v>
      </c>
      <c r="L47" s="1">
        <v>42390</v>
      </c>
      <c r="M47" s="22">
        <f>Table10[[#This Row],[Ship Date]]-Table10[[#This Row],[Order Date]]</f>
        <v>4</v>
      </c>
      <c r="N47" t="s">
        <v>45</v>
      </c>
      <c r="O47" t="s">
        <v>23</v>
      </c>
      <c r="P47" t="s">
        <v>2373</v>
      </c>
      <c r="Q47" t="s">
        <v>133</v>
      </c>
      <c r="R47" t="s">
        <v>79</v>
      </c>
      <c r="S47" s="33">
        <v>0</v>
      </c>
      <c r="T47" s="13">
        <v>29.99</v>
      </c>
      <c r="U47" s="13">
        <v>13.195600000000001</v>
      </c>
      <c r="V47" s="21">
        <f>Table10[[#This Row],[Profit]]/Table10[[#This Row],[Sales]]</f>
        <v>0.44000000000000006</v>
      </c>
    </row>
    <row r="48" spans="1:22" x14ac:dyDescent="0.2">
      <c r="A48">
        <v>47</v>
      </c>
      <c r="B48" t="s">
        <v>2381</v>
      </c>
      <c r="C48" s="1">
        <v>42386</v>
      </c>
      <c r="D48" s="22">
        <f>MONTH(Table10[[#This Row],[Order Date]])</f>
        <v>1</v>
      </c>
      <c r="E48" t="s">
        <v>2382</v>
      </c>
      <c r="F48" t="s">
        <v>2383</v>
      </c>
      <c r="G48" s="23" t="s">
        <v>64</v>
      </c>
      <c r="H48" s="23" t="s">
        <v>144</v>
      </c>
      <c r="I48" t="s">
        <v>1878</v>
      </c>
      <c r="J48" t="s">
        <v>92</v>
      </c>
      <c r="K48" s="22">
        <v>3</v>
      </c>
      <c r="L48" s="1">
        <v>42390</v>
      </c>
      <c r="M48" s="22">
        <f>Table10[[#This Row],[Ship Date]]-Table10[[#This Row],[Order Date]]</f>
        <v>4</v>
      </c>
      <c r="N48" t="s">
        <v>45</v>
      </c>
      <c r="O48" t="s">
        <v>23</v>
      </c>
      <c r="P48" t="s">
        <v>2373</v>
      </c>
      <c r="Q48" t="s">
        <v>133</v>
      </c>
      <c r="R48" t="s">
        <v>79</v>
      </c>
      <c r="S48" s="33">
        <v>0</v>
      </c>
      <c r="T48" s="13">
        <v>371.97</v>
      </c>
      <c r="U48" s="13">
        <v>66.954599999999999</v>
      </c>
      <c r="V48" s="21">
        <f>Table10[[#This Row],[Profit]]/Table10[[#This Row],[Sales]]</f>
        <v>0.18</v>
      </c>
    </row>
    <row r="49" spans="1:22" x14ac:dyDescent="0.2">
      <c r="A49">
        <v>48</v>
      </c>
      <c r="B49" t="s">
        <v>4714</v>
      </c>
      <c r="C49" s="1">
        <v>42386</v>
      </c>
      <c r="D49" s="22">
        <f>MONTH(Table10[[#This Row],[Order Date]])</f>
        <v>1</v>
      </c>
      <c r="E49" t="s">
        <v>1889</v>
      </c>
      <c r="F49" t="s">
        <v>1890</v>
      </c>
      <c r="G49" s="23" t="s">
        <v>64</v>
      </c>
      <c r="H49" s="23" t="s">
        <v>144</v>
      </c>
      <c r="I49" t="s">
        <v>2868</v>
      </c>
      <c r="J49" t="s">
        <v>36</v>
      </c>
      <c r="K49" s="22">
        <v>4</v>
      </c>
      <c r="L49" s="1">
        <v>42390</v>
      </c>
      <c r="M49" s="22">
        <f>Table10[[#This Row],[Ship Date]]-Table10[[#This Row],[Order Date]]</f>
        <v>4</v>
      </c>
      <c r="N49" t="s">
        <v>45</v>
      </c>
      <c r="O49" t="s">
        <v>23</v>
      </c>
      <c r="P49" t="s">
        <v>1125</v>
      </c>
      <c r="Q49" t="s">
        <v>26</v>
      </c>
      <c r="R49" t="s">
        <v>440</v>
      </c>
      <c r="S49" s="33">
        <v>0</v>
      </c>
      <c r="T49" s="13">
        <v>316</v>
      </c>
      <c r="U49" s="13">
        <v>31.6</v>
      </c>
      <c r="V49" s="21">
        <f>Table10[[#This Row],[Profit]]/Table10[[#This Row],[Sales]]</f>
        <v>0.1</v>
      </c>
    </row>
    <row r="50" spans="1:22" x14ac:dyDescent="0.2">
      <c r="A50">
        <v>49</v>
      </c>
      <c r="B50" t="s">
        <v>5401</v>
      </c>
      <c r="C50" s="1">
        <v>42390</v>
      </c>
      <c r="D50" s="22">
        <f>MONTH(Table10[[#This Row],[Order Date]])</f>
        <v>1</v>
      </c>
      <c r="E50" t="s">
        <v>3432</v>
      </c>
      <c r="F50" t="s">
        <v>3433</v>
      </c>
      <c r="G50" s="23" t="s">
        <v>28</v>
      </c>
      <c r="H50" s="23" t="s">
        <v>32</v>
      </c>
      <c r="I50" t="s">
        <v>1099</v>
      </c>
      <c r="J50" t="s">
        <v>22</v>
      </c>
      <c r="K50" s="22">
        <v>2</v>
      </c>
      <c r="L50" s="1">
        <v>42392</v>
      </c>
      <c r="M50" s="22">
        <f>Table10[[#This Row],[Ship Date]]-Table10[[#This Row],[Order Date]]</f>
        <v>2</v>
      </c>
      <c r="N50" t="s">
        <v>20</v>
      </c>
      <c r="O50" t="s">
        <v>23</v>
      </c>
      <c r="P50" t="s">
        <v>38</v>
      </c>
      <c r="Q50" t="s">
        <v>39</v>
      </c>
      <c r="R50" t="s">
        <v>836</v>
      </c>
      <c r="S50" s="33">
        <v>0.2</v>
      </c>
      <c r="T50" s="13">
        <v>153.56800000000001</v>
      </c>
      <c r="U50" s="13">
        <v>-5.7587999999999999</v>
      </c>
      <c r="V50" s="21">
        <f>Table10[[#This Row],[Profit]]/Table10[[#This Row],[Sales]]</f>
        <v>-3.7499999999999999E-2</v>
      </c>
    </row>
    <row r="51" spans="1:22" x14ac:dyDescent="0.2">
      <c r="A51">
        <v>50</v>
      </c>
      <c r="B51" t="s">
        <v>5401</v>
      </c>
      <c r="C51" s="1">
        <v>42390</v>
      </c>
      <c r="D51" s="22">
        <f>MONTH(Table10[[#This Row],[Order Date]])</f>
        <v>1</v>
      </c>
      <c r="E51" t="s">
        <v>1132</v>
      </c>
      <c r="F51" t="s">
        <v>1133</v>
      </c>
      <c r="G51" s="23" t="s">
        <v>28</v>
      </c>
      <c r="H51" s="23" t="s">
        <v>32</v>
      </c>
      <c r="I51" t="s">
        <v>1099</v>
      </c>
      <c r="J51" t="s">
        <v>22</v>
      </c>
      <c r="K51" s="22">
        <v>7</v>
      </c>
      <c r="L51" s="1">
        <v>42392</v>
      </c>
      <c r="M51" s="22">
        <f>Table10[[#This Row],[Ship Date]]-Table10[[#This Row],[Order Date]]</f>
        <v>2</v>
      </c>
      <c r="N51" t="s">
        <v>20</v>
      </c>
      <c r="O51" t="s">
        <v>23</v>
      </c>
      <c r="P51" t="s">
        <v>38</v>
      </c>
      <c r="Q51" t="s">
        <v>39</v>
      </c>
      <c r="R51" t="s">
        <v>836</v>
      </c>
      <c r="S51" s="33">
        <v>0.2</v>
      </c>
      <c r="T51" s="13">
        <v>1013.4880000000001</v>
      </c>
      <c r="U51" s="13">
        <v>76.011600000000001</v>
      </c>
      <c r="V51" s="21">
        <f>Table10[[#This Row],[Profit]]/Table10[[#This Row],[Sales]]</f>
        <v>7.4999999999999997E-2</v>
      </c>
    </row>
    <row r="52" spans="1:22" x14ac:dyDescent="0.2">
      <c r="A52">
        <v>51</v>
      </c>
      <c r="B52" t="s">
        <v>881</v>
      </c>
      <c r="C52" s="1">
        <v>42391</v>
      </c>
      <c r="D52" s="22">
        <f>MONTH(Table10[[#This Row],[Order Date]])</f>
        <v>1</v>
      </c>
      <c r="E52" t="s">
        <v>883</v>
      </c>
      <c r="F52" t="s">
        <v>884</v>
      </c>
      <c r="G52" s="23" t="s">
        <v>41</v>
      </c>
      <c r="H52" s="23" t="s">
        <v>240</v>
      </c>
      <c r="I52" t="s">
        <v>346</v>
      </c>
      <c r="J52" t="s">
        <v>22</v>
      </c>
      <c r="K52" s="22">
        <v>6</v>
      </c>
      <c r="L52" s="1">
        <v>42397</v>
      </c>
      <c r="M52" s="22">
        <f>Table10[[#This Row],[Ship Date]]-Table10[[#This Row],[Order Date]]</f>
        <v>6</v>
      </c>
      <c r="N52" t="s">
        <v>45</v>
      </c>
      <c r="O52" t="s">
        <v>23</v>
      </c>
      <c r="P52" t="s">
        <v>695</v>
      </c>
      <c r="Q52" t="s">
        <v>133</v>
      </c>
      <c r="R52" t="s">
        <v>882</v>
      </c>
      <c r="S52" s="33">
        <v>0</v>
      </c>
      <c r="T52" s="13">
        <v>7.56</v>
      </c>
      <c r="U52" s="13">
        <v>0.3024</v>
      </c>
      <c r="V52" s="21">
        <f>Table10[[#This Row],[Profit]]/Table10[[#This Row],[Sales]]</f>
        <v>0.04</v>
      </c>
    </row>
    <row r="53" spans="1:22" x14ac:dyDescent="0.2">
      <c r="A53">
        <v>52</v>
      </c>
      <c r="B53" t="s">
        <v>4918</v>
      </c>
      <c r="C53" s="1">
        <v>42391</v>
      </c>
      <c r="D53" s="22">
        <f>MONTH(Table10[[#This Row],[Order Date]])</f>
        <v>1</v>
      </c>
      <c r="E53" t="s">
        <v>4920</v>
      </c>
      <c r="F53" t="s">
        <v>4921</v>
      </c>
      <c r="G53" s="23" t="s">
        <v>28</v>
      </c>
      <c r="H53" s="23" t="s">
        <v>58</v>
      </c>
      <c r="I53" t="s">
        <v>4919</v>
      </c>
      <c r="J53" t="s">
        <v>22</v>
      </c>
      <c r="K53" s="22">
        <v>8</v>
      </c>
      <c r="L53" s="1">
        <v>42397</v>
      </c>
      <c r="M53" s="22">
        <f>Table10[[#This Row],[Ship Date]]-Table10[[#This Row],[Order Date]]</f>
        <v>6</v>
      </c>
      <c r="N53" t="s">
        <v>45</v>
      </c>
      <c r="O53" t="s">
        <v>23</v>
      </c>
      <c r="P53" t="s">
        <v>80</v>
      </c>
      <c r="Q53" t="s">
        <v>26</v>
      </c>
      <c r="R53" t="s">
        <v>1509</v>
      </c>
      <c r="S53" s="33">
        <v>0.2</v>
      </c>
      <c r="T53" s="13">
        <v>14.272</v>
      </c>
      <c r="U53" s="13">
        <v>4.2816000000000001</v>
      </c>
      <c r="V53" s="21">
        <f>Table10[[#This Row],[Profit]]/Table10[[#This Row],[Sales]]</f>
        <v>0.3</v>
      </c>
    </row>
    <row r="54" spans="1:22" x14ac:dyDescent="0.2">
      <c r="A54">
        <v>53</v>
      </c>
      <c r="B54" t="s">
        <v>4918</v>
      </c>
      <c r="C54" s="1">
        <v>42391</v>
      </c>
      <c r="D54" s="22">
        <f>MONTH(Table10[[#This Row],[Order Date]])</f>
        <v>1</v>
      </c>
      <c r="E54" t="s">
        <v>4452</v>
      </c>
      <c r="F54" t="s">
        <v>4922</v>
      </c>
      <c r="G54" s="23" t="s">
        <v>28</v>
      </c>
      <c r="H54" s="23" t="s">
        <v>29</v>
      </c>
      <c r="I54" t="s">
        <v>4919</v>
      </c>
      <c r="J54" t="s">
        <v>22</v>
      </c>
      <c r="K54" s="22">
        <v>4</v>
      </c>
      <c r="L54" s="1">
        <v>42397</v>
      </c>
      <c r="M54" s="22">
        <f>Table10[[#This Row],[Ship Date]]-Table10[[#This Row],[Order Date]]</f>
        <v>6</v>
      </c>
      <c r="N54" t="s">
        <v>45</v>
      </c>
      <c r="O54" t="s">
        <v>23</v>
      </c>
      <c r="P54" t="s">
        <v>80</v>
      </c>
      <c r="Q54" t="s">
        <v>26</v>
      </c>
      <c r="R54" t="s">
        <v>1509</v>
      </c>
      <c r="S54" s="33">
        <v>0.2</v>
      </c>
      <c r="T54" s="13">
        <v>451.13600000000002</v>
      </c>
      <c r="U54" s="13">
        <v>-67.670400000000001</v>
      </c>
      <c r="V54" s="21">
        <f>Table10[[#This Row],[Profit]]/Table10[[#This Row],[Sales]]</f>
        <v>-0.15</v>
      </c>
    </row>
    <row r="55" spans="1:22" x14ac:dyDescent="0.2">
      <c r="A55">
        <v>54</v>
      </c>
      <c r="B55" t="s">
        <v>4918</v>
      </c>
      <c r="C55" s="1">
        <v>42391</v>
      </c>
      <c r="D55" s="22">
        <f>MONTH(Table10[[#This Row],[Order Date]])</f>
        <v>1</v>
      </c>
      <c r="E55" t="s">
        <v>4552</v>
      </c>
      <c r="F55" t="s">
        <v>4553</v>
      </c>
      <c r="G55" s="23" t="s">
        <v>41</v>
      </c>
      <c r="H55" s="23" t="s">
        <v>71</v>
      </c>
      <c r="I55" t="s">
        <v>4919</v>
      </c>
      <c r="J55" t="s">
        <v>22</v>
      </c>
      <c r="K55" s="22">
        <v>4</v>
      </c>
      <c r="L55" s="1">
        <v>42397</v>
      </c>
      <c r="M55" s="22">
        <f>Table10[[#This Row],[Ship Date]]-Table10[[#This Row],[Order Date]]</f>
        <v>6</v>
      </c>
      <c r="N55" t="s">
        <v>45</v>
      </c>
      <c r="O55" t="s">
        <v>23</v>
      </c>
      <c r="P55" t="s">
        <v>80</v>
      </c>
      <c r="Q55" t="s">
        <v>26</v>
      </c>
      <c r="R55" t="s">
        <v>1509</v>
      </c>
      <c r="S55" s="33">
        <v>0.2</v>
      </c>
      <c r="T55" s="13">
        <v>64.864000000000004</v>
      </c>
      <c r="U55" s="13">
        <v>6.4863999999999997</v>
      </c>
      <c r="V55" s="21">
        <f>Table10[[#This Row],[Profit]]/Table10[[#This Row],[Sales]]</f>
        <v>9.9999999999999992E-2</v>
      </c>
    </row>
    <row r="56" spans="1:22" x14ac:dyDescent="0.2">
      <c r="A56">
        <v>55</v>
      </c>
      <c r="B56" t="s">
        <v>5192</v>
      </c>
      <c r="C56" s="1">
        <v>42391</v>
      </c>
      <c r="D56" s="22">
        <f>MONTH(Table10[[#This Row],[Order Date]])</f>
        <v>1</v>
      </c>
      <c r="E56" t="s">
        <v>1726</v>
      </c>
      <c r="F56" t="s">
        <v>1727</v>
      </c>
      <c r="G56" s="23" t="s">
        <v>28</v>
      </c>
      <c r="H56" s="23" t="s">
        <v>58</v>
      </c>
      <c r="I56" t="s">
        <v>2139</v>
      </c>
      <c r="J56" t="s">
        <v>36</v>
      </c>
      <c r="K56" s="22">
        <v>5</v>
      </c>
      <c r="L56" s="1">
        <v>42397</v>
      </c>
      <c r="M56" s="22">
        <f>Table10[[#This Row],[Ship Date]]-Table10[[#This Row],[Order Date]]</f>
        <v>6</v>
      </c>
      <c r="N56" t="s">
        <v>45</v>
      </c>
      <c r="O56" t="s">
        <v>23</v>
      </c>
      <c r="P56" t="s">
        <v>87</v>
      </c>
      <c r="Q56" t="s">
        <v>39</v>
      </c>
      <c r="R56" t="s">
        <v>86</v>
      </c>
      <c r="S56" s="33">
        <v>0</v>
      </c>
      <c r="T56" s="13">
        <v>109.9</v>
      </c>
      <c r="U56" s="13">
        <v>37.366</v>
      </c>
      <c r="V56" s="21">
        <f>Table10[[#This Row],[Profit]]/Table10[[#This Row],[Sales]]</f>
        <v>0.33999999999999997</v>
      </c>
    </row>
    <row r="57" spans="1:22" x14ac:dyDescent="0.2">
      <c r="A57">
        <v>56</v>
      </c>
      <c r="B57" t="s">
        <v>7653</v>
      </c>
      <c r="C57" s="1">
        <v>42391</v>
      </c>
      <c r="D57" s="22">
        <f>MONTH(Table10[[#This Row],[Order Date]])</f>
        <v>1</v>
      </c>
      <c r="E57" t="s">
        <v>2214</v>
      </c>
      <c r="F57" t="s">
        <v>2215</v>
      </c>
      <c r="G57" s="23" t="s">
        <v>41</v>
      </c>
      <c r="H57" s="23" t="s">
        <v>82</v>
      </c>
      <c r="I57" t="s">
        <v>3765</v>
      </c>
      <c r="J57" t="s">
        <v>22</v>
      </c>
      <c r="K57" s="22">
        <v>2</v>
      </c>
      <c r="L57" s="1">
        <v>42396</v>
      </c>
      <c r="M57" s="22">
        <f>Table10[[#This Row],[Ship Date]]-Table10[[#This Row],[Order Date]]</f>
        <v>5</v>
      </c>
      <c r="N57" t="s">
        <v>45</v>
      </c>
      <c r="O57" t="s">
        <v>23</v>
      </c>
      <c r="P57" t="s">
        <v>87</v>
      </c>
      <c r="Q57" t="s">
        <v>39</v>
      </c>
      <c r="R57" t="s">
        <v>86</v>
      </c>
      <c r="S57" s="33">
        <v>0</v>
      </c>
      <c r="T57" s="13">
        <v>12.96</v>
      </c>
      <c r="U57" s="13">
        <v>6.2207999999999997</v>
      </c>
      <c r="V57" s="21">
        <f>Table10[[#This Row],[Profit]]/Table10[[#This Row],[Sales]]</f>
        <v>0.47999999999999993</v>
      </c>
    </row>
    <row r="58" spans="1:22" x14ac:dyDescent="0.2">
      <c r="A58">
        <v>57</v>
      </c>
      <c r="B58" t="s">
        <v>7694</v>
      </c>
      <c r="C58" s="1">
        <v>42391</v>
      </c>
      <c r="D58" s="22">
        <f>MONTH(Table10[[#This Row],[Order Date]])</f>
        <v>1</v>
      </c>
      <c r="E58" t="s">
        <v>7695</v>
      </c>
      <c r="F58" t="s">
        <v>7696</v>
      </c>
      <c r="G58" s="23" t="s">
        <v>41</v>
      </c>
      <c r="H58" s="23" t="s">
        <v>42</v>
      </c>
      <c r="I58" t="s">
        <v>1696</v>
      </c>
      <c r="J58" t="s">
        <v>22</v>
      </c>
      <c r="K58" s="22">
        <v>3</v>
      </c>
      <c r="L58" s="1">
        <v>42397</v>
      </c>
      <c r="M58" s="22">
        <f>Table10[[#This Row],[Ship Date]]-Table10[[#This Row],[Order Date]]</f>
        <v>6</v>
      </c>
      <c r="N58" t="s">
        <v>45</v>
      </c>
      <c r="O58" t="s">
        <v>23</v>
      </c>
      <c r="P58" t="s">
        <v>38</v>
      </c>
      <c r="Q58" t="s">
        <v>39</v>
      </c>
      <c r="R58" t="s">
        <v>836</v>
      </c>
      <c r="S58" s="33">
        <v>0</v>
      </c>
      <c r="T58" s="13">
        <v>44.4</v>
      </c>
      <c r="U58" s="13">
        <v>22.2</v>
      </c>
      <c r="V58" s="21">
        <f>Table10[[#This Row],[Profit]]/Table10[[#This Row],[Sales]]</f>
        <v>0.5</v>
      </c>
    </row>
    <row r="59" spans="1:22" x14ac:dyDescent="0.2">
      <c r="A59">
        <v>58</v>
      </c>
      <c r="B59" t="s">
        <v>7694</v>
      </c>
      <c r="C59" s="1">
        <v>42391</v>
      </c>
      <c r="D59" s="22">
        <f>MONTH(Table10[[#This Row],[Order Date]])</f>
        <v>1</v>
      </c>
      <c r="E59" t="s">
        <v>2123</v>
      </c>
      <c r="F59" t="s">
        <v>2124</v>
      </c>
      <c r="G59" s="23" t="s">
        <v>41</v>
      </c>
      <c r="H59" s="23" t="s">
        <v>42</v>
      </c>
      <c r="I59" t="s">
        <v>1696</v>
      </c>
      <c r="J59" t="s">
        <v>22</v>
      </c>
      <c r="K59" s="22">
        <v>5</v>
      </c>
      <c r="L59" s="1">
        <v>42397</v>
      </c>
      <c r="M59" s="22">
        <f>Table10[[#This Row],[Ship Date]]-Table10[[#This Row],[Order Date]]</f>
        <v>6</v>
      </c>
      <c r="N59" t="s">
        <v>45</v>
      </c>
      <c r="O59" t="s">
        <v>23</v>
      </c>
      <c r="P59" t="s">
        <v>38</v>
      </c>
      <c r="Q59" t="s">
        <v>39</v>
      </c>
      <c r="R59" t="s">
        <v>836</v>
      </c>
      <c r="S59" s="33">
        <v>0</v>
      </c>
      <c r="T59" s="13">
        <v>20.65</v>
      </c>
      <c r="U59" s="13">
        <v>9.4990000000000006</v>
      </c>
      <c r="V59" s="21">
        <f>Table10[[#This Row],[Profit]]/Table10[[#This Row],[Sales]]</f>
        <v>0.46000000000000008</v>
      </c>
    </row>
    <row r="60" spans="1:22" x14ac:dyDescent="0.2">
      <c r="A60">
        <v>59</v>
      </c>
      <c r="B60" t="s">
        <v>7991</v>
      </c>
      <c r="C60" s="1">
        <v>42391</v>
      </c>
      <c r="D60" s="22">
        <f>MONTH(Table10[[#This Row],[Order Date]])</f>
        <v>1</v>
      </c>
      <c r="E60" t="s">
        <v>190</v>
      </c>
      <c r="F60" t="s">
        <v>191</v>
      </c>
      <c r="G60" s="23" t="s">
        <v>64</v>
      </c>
      <c r="H60" s="23" t="s">
        <v>65</v>
      </c>
      <c r="I60" t="s">
        <v>2998</v>
      </c>
      <c r="J60" t="s">
        <v>92</v>
      </c>
      <c r="K60" s="22">
        <v>4</v>
      </c>
      <c r="L60" s="1">
        <v>42396</v>
      </c>
      <c r="M60" s="22">
        <f>Table10[[#This Row],[Ship Date]]-Table10[[#This Row],[Order Date]]</f>
        <v>5</v>
      </c>
      <c r="N60" t="s">
        <v>45</v>
      </c>
      <c r="O60" t="s">
        <v>23</v>
      </c>
      <c r="P60" t="s">
        <v>441</v>
      </c>
      <c r="Q60" t="s">
        <v>133</v>
      </c>
      <c r="R60" t="s">
        <v>1920</v>
      </c>
      <c r="S60" s="33">
        <v>0.4</v>
      </c>
      <c r="T60" s="13">
        <v>110.376</v>
      </c>
      <c r="U60" s="13">
        <v>-20.235600000000002</v>
      </c>
      <c r="V60" s="21">
        <f>Table10[[#This Row],[Profit]]/Table10[[#This Row],[Sales]]</f>
        <v>-0.18333333333333335</v>
      </c>
    </row>
    <row r="61" spans="1:22" x14ac:dyDescent="0.2">
      <c r="A61">
        <v>60</v>
      </c>
      <c r="B61" t="s">
        <v>7991</v>
      </c>
      <c r="C61" s="1">
        <v>42391</v>
      </c>
      <c r="D61" s="22">
        <f>MONTH(Table10[[#This Row],[Order Date]])</f>
        <v>1</v>
      </c>
      <c r="E61" t="s">
        <v>205</v>
      </c>
      <c r="F61" t="s">
        <v>206</v>
      </c>
      <c r="G61" s="23" t="s">
        <v>64</v>
      </c>
      <c r="H61" s="23" t="s">
        <v>144</v>
      </c>
      <c r="I61" t="s">
        <v>2998</v>
      </c>
      <c r="J61" t="s">
        <v>92</v>
      </c>
      <c r="K61" s="22">
        <v>3</v>
      </c>
      <c r="L61" s="1">
        <v>42396</v>
      </c>
      <c r="M61" s="22">
        <f>Table10[[#This Row],[Ship Date]]-Table10[[#This Row],[Order Date]]</f>
        <v>5</v>
      </c>
      <c r="N61" t="s">
        <v>45</v>
      </c>
      <c r="O61" t="s">
        <v>23</v>
      </c>
      <c r="P61" t="s">
        <v>441</v>
      </c>
      <c r="Q61" t="s">
        <v>133</v>
      </c>
      <c r="R61" t="s">
        <v>1920</v>
      </c>
      <c r="S61" s="33">
        <v>0.2</v>
      </c>
      <c r="T61" s="13">
        <v>55.176000000000002</v>
      </c>
      <c r="U61" s="13">
        <v>15.863099999999999</v>
      </c>
      <c r="V61" s="21">
        <f>Table10[[#This Row],[Profit]]/Table10[[#This Row],[Sales]]</f>
        <v>0.28749999999999998</v>
      </c>
    </row>
    <row r="62" spans="1:22" x14ac:dyDescent="0.2">
      <c r="A62">
        <v>61</v>
      </c>
      <c r="B62" t="s">
        <v>7998</v>
      </c>
      <c r="C62" s="1">
        <v>42391</v>
      </c>
      <c r="D62" s="22">
        <f>MONTH(Table10[[#This Row],[Order Date]])</f>
        <v>1</v>
      </c>
      <c r="E62" t="s">
        <v>4535</v>
      </c>
      <c r="F62" t="s">
        <v>4536</v>
      </c>
      <c r="G62" s="23" t="s">
        <v>41</v>
      </c>
      <c r="H62" s="23" t="s">
        <v>68</v>
      </c>
      <c r="I62" t="s">
        <v>3779</v>
      </c>
      <c r="J62" t="s">
        <v>22</v>
      </c>
      <c r="K62" s="22">
        <v>4</v>
      </c>
      <c r="L62" s="1">
        <v>42398</v>
      </c>
      <c r="M62" s="22">
        <f>Table10[[#This Row],[Ship Date]]-Table10[[#This Row],[Order Date]]</f>
        <v>7</v>
      </c>
      <c r="N62" t="s">
        <v>45</v>
      </c>
      <c r="O62" t="s">
        <v>23</v>
      </c>
      <c r="P62" t="s">
        <v>238</v>
      </c>
      <c r="Q62" t="s">
        <v>133</v>
      </c>
      <c r="R62" t="s">
        <v>237</v>
      </c>
      <c r="S62" s="33">
        <v>0.2</v>
      </c>
      <c r="T62" s="13">
        <v>26.335999999999999</v>
      </c>
      <c r="U62" s="13">
        <v>9.2175999999999991</v>
      </c>
      <c r="V62" s="21">
        <f>Table10[[#This Row],[Profit]]/Table10[[#This Row],[Sales]]</f>
        <v>0.35</v>
      </c>
    </row>
    <row r="63" spans="1:22" x14ac:dyDescent="0.2">
      <c r="A63">
        <v>62</v>
      </c>
      <c r="B63" t="s">
        <v>8625</v>
      </c>
      <c r="C63" s="1">
        <v>42392</v>
      </c>
      <c r="D63" s="22">
        <f>MONTH(Table10[[#This Row],[Order Date]])</f>
        <v>1</v>
      </c>
      <c r="E63" t="s">
        <v>6911</v>
      </c>
      <c r="F63" t="s">
        <v>6912</v>
      </c>
      <c r="G63" s="23" t="s">
        <v>28</v>
      </c>
      <c r="H63" s="23" t="s">
        <v>58</v>
      </c>
      <c r="I63" t="s">
        <v>4300</v>
      </c>
      <c r="J63" t="s">
        <v>22</v>
      </c>
      <c r="K63" s="22">
        <v>7</v>
      </c>
      <c r="L63" s="1">
        <v>42398</v>
      </c>
      <c r="M63" s="22">
        <f>Table10[[#This Row],[Ship Date]]-Table10[[#This Row],[Order Date]]</f>
        <v>6</v>
      </c>
      <c r="N63" t="s">
        <v>45</v>
      </c>
      <c r="O63" t="s">
        <v>23</v>
      </c>
      <c r="P63" t="s">
        <v>38</v>
      </c>
      <c r="Q63" t="s">
        <v>39</v>
      </c>
      <c r="R63" t="s">
        <v>37</v>
      </c>
      <c r="S63" s="33">
        <v>0</v>
      </c>
      <c r="T63" s="13">
        <v>59.99</v>
      </c>
      <c r="U63" s="13">
        <v>21.596399999999999</v>
      </c>
      <c r="V63" s="21">
        <f>Table10[[#This Row],[Profit]]/Table10[[#This Row],[Sales]]</f>
        <v>0.36</v>
      </c>
    </row>
    <row r="64" spans="1:22" x14ac:dyDescent="0.2">
      <c r="A64">
        <v>63</v>
      </c>
      <c r="B64" t="s">
        <v>9670</v>
      </c>
      <c r="C64" s="1">
        <v>42392</v>
      </c>
      <c r="D64" s="22">
        <f>MONTH(Table10[[#This Row],[Order Date]])</f>
        <v>1</v>
      </c>
      <c r="E64" t="s">
        <v>4012</v>
      </c>
      <c r="F64" t="s">
        <v>4013</v>
      </c>
      <c r="G64" s="23" t="s">
        <v>64</v>
      </c>
      <c r="H64" s="23" t="s">
        <v>144</v>
      </c>
      <c r="I64" t="s">
        <v>877</v>
      </c>
      <c r="J64" t="s">
        <v>36</v>
      </c>
      <c r="K64" s="22">
        <v>2</v>
      </c>
      <c r="L64" s="1">
        <v>42396</v>
      </c>
      <c r="M64" s="22">
        <f>Table10[[#This Row],[Ship Date]]-Table10[[#This Row],[Order Date]]</f>
        <v>4</v>
      </c>
      <c r="N64" t="s">
        <v>45</v>
      </c>
      <c r="O64" t="s">
        <v>23</v>
      </c>
      <c r="P64" t="s">
        <v>4617</v>
      </c>
      <c r="Q64" t="s">
        <v>133</v>
      </c>
      <c r="R64" t="s">
        <v>1957</v>
      </c>
      <c r="S64" s="33">
        <v>0</v>
      </c>
      <c r="T64" s="13">
        <v>99.98</v>
      </c>
      <c r="U64" s="13">
        <v>42.991399999999999</v>
      </c>
      <c r="V64" s="21">
        <f>Table10[[#This Row],[Profit]]/Table10[[#This Row],[Sales]]</f>
        <v>0.43</v>
      </c>
    </row>
    <row r="65" spans="1:22" x14ac:dyDescent="0.2">
      <c r="A65">
        <v>64</v>
      </c>
      <c r="B65" t="s">
        <v>9670</v>
      </c>
      <c r="C65" s="1">
        <v>42392</v>
      </c>
      <c r="D65" s="22">
        <f>MONTH(Table10[[#This Row],[Order Date]])</f>
        <v>1</v>
      </c>
      <c r="E65" t="s">
        <v>9671</v>
      </c>
      <c r="F65" t="s">
        <v>9672</v>
      </c>
      <c r="G65" s="23" t="s">
        <v>41</v>
      </c>
      <c r="H65" s="23" t="s">
        <v>61</v>
      </c>
      <c r="I65" t="s">
        <v>877</v>
      </c>
      <c r="J65" t="s">
        <v>36</v>
      </c>
      <c r="K65" s="22">
        <v>6</v>
      </c>
      <c r="L65" s="1">
        <v>42396</v>
      </c>
      <c r="M65" s="22">
        <f>Table10[[#This Row],[Ship Date]]-Table10[[#This Row],[Order Date]]</f>
        <v>4</v>
      </c>
      <c r="N65" t="s">
        <v>45</v>
      </c>
      <c r="O65" t="s">
        <v>23</v>
      </c>
      <c r="P65" t="s">
        <v>4617</v>
      </c>
      <c r="Q65" t="s">
        <v>133</v>
      </c>
      <c r="R65" t="s">
        <v>1957</v>
      </c>
      <c r="S65" s="33">
        <v>0</v>
      </c>
      <c r="T65" s="13">
        <v>8.0399999999999991</v>
      </c>
      <c r="U65" s="13">
        <v>2.7336</v>
      </c>
      <c r="V65" s="21">
        <f>Table10[[#This Row],[Profit]]/Table10[[#This Row],[Sales]]</f>
        <v>0.34</v>
      </c>
    </row>
    <row r="66" spans="1:22" x14ac:dyDescent="0.2">
      <c r="A66">
        <v>65</v>
      </c>
      <c r="B66" t="s">
        <v>9670</v>
      </c>
      <c r="C66" s="1">
        <v>42392</v>
      </c>
      <c r="D66" s="22">
        <f>MONTH(Table10[[#This Row],[Order Date]])</f>
        <v>1</v>
      </c>
      <c r="E66" t="s">
        <v>2668</v>
      </c>
      <c r="F66" t="s">
        <v>2669</v>
      </c>
      <c r="G66" s="23" t="s">
        <v>41</v>
      </c>
      <c r="H66" s="23" t="s">
        <v>53</v>
      </c>
      <c r="I66" t="s">
        <v>877</v>
      </c>
      <c r="J66" t="s">
        <v>36</v>
      </c>
      <c r="K66" s="22">
        <v>13</v>
      </c>
      <c r="L66" s="1">
        <v>42396</v>
      </c>
      <c r="M66" s="22">
        <f>Table10[[#This Row],[Ship Date]]-Table10[[#This Row],[Order Date]]</f>
        <v>4</v>
      </c>
      <c r="N66" t="s">
        <v>45</v>
      </c>
      <c r="O66" t="s">
        <v>23</v>
      </c>
      <c r="P66" t="s">
        <v>4617</v>
      </c>
      <c r="Q66" t="s">
        <v>133</v>
      </c>
      <c r="R66" t="s">
        <v>1957</v>
      </c>
      <c r="S66" s="33">
        <v>0</v>
      </c>
      <c r="T66" s="13">
        <v>1564.29</v>
      </c>
      <c r="U66" s="13">
        <v>406.71539999999999</v>
      </c>
      <c r="V66" s="21">
        <f>Table10[[#This Row],[Profit]]/Table10[[#This Row],[Sales]]</f>
        <v>0.26</v>
      </c>
    </row>
    <row r="67" spans="1:22" x14ac:dyDescent="0.2">
      <c r="A67">
        <v>66</v>
      </c>
      <c r="B67" t="s">
        <v>6901</v>
      </c>
      <c r="C67" s="1">
        <v>42393</v>
      </c>
      <c r="D67" s="22">
        <f>MONTH(Table10[[#This Row],[Order Date]])</f>
        <v>1</v>
      </c>
      <c r="E67" t="s">
        <v>1574</v>
      </c>
      <c r="F67" t="s">
        <v>1575</v>
      </c>
      <c r="G67" s="23" t="s">
        <v>41</v>
      </c>
      <c r="H67" s="23" t="s">
        <v>68</v>
      </c>
      <c r="I67" t="s">
        <v>3208</v>
      </c>
      <c r="J67" t="s">
        <v>36</v>
      </c>
      <c r="K67" s="22">
        <v>4</v>
      </c>
      <c r="L67" s="1">
        <v>42395</v>
      </c>
      <c r="M67" s="22">
        <f>Table10[[#This Row],[Ship Date]]-Table10[[#This Row],[Order Date]]</f>
        <v>2</v>
      </c>
      <c r="N67" t="s">
        <v>20</v>
      </c>
      <c r="O67" t="s">
        <v>23</v>
      </c>
      <c r="P67" t="s">
        <v>1315</v>
      </c>
      <c r="Q67" t="s">
        <v>26</v>
      </c>
      <c r="R67" t="s">
        <v>3075</v>
      </c>
      <c r="S67" s="33">
        <v>0</v>
      </c>
      <c r="T67" s="13">
        <v>31.36</v>
      </c>
      <c r="U67" s="13">
        <v>15.68</v>
      </c>
      <c r="V67" s="21">
        <f>Table10[[#This Row],[Profit]]/Table10[[#This Row],[Sales]]</f>
        <v>0.5</v>
      </c>
    </row>
    <row r="68" spans="1:22" x14ac:dyDescent="0.2">
      <c r="A68">
        <v>67</v>
      </c>
      <c r="B68" t="s">
        <v>6674</v>
      </c>
      <c r="C68" s="1">
        <v>42394</v>
      </c>
      <c r="D68" s="22">
        <f>MONTH(Table10[[#This Row],[Order Date]])</f>
        <v>1</v>
      </c>
      <c r="E68" t="s">
        <v>4797</v>
      </c>
      <c r="F68" t="s">
        <v>4798</v>
      </c>
      <c r="G68" s="23" t="s">
        <v>41</v>
      </c>
      <c r="H68" s="23" t="s">
        <v>61</v>
      </c>
      <c r="I68" t="s">
        <v>3166</v>
      </c>
      <c r="J68" t="s">
        <v>36</v>
      </c>
      <c r="K68" s="22">
        <v>3</v>
      </c>
      <c r="L68" s="1">
        <v>42396</v>
      </c>
      <c r="M68" s="22">
        <f>Table10[[#This Row],[Ship Date]]-Table10[[#This Row],[Order Date]]</f>
        <v>2</v>
      </c>
      <c r="N68" t="s">
        <v>169</v>
      </c>
      <c r="O68" t="s">
        <v>23</v>
      </c>
      <c r="P68" t="s">
        <v>695</v>
      </c>
      <c r="Q68" t="s">
        <v>133</v>
      </c>
      <c r="R68" t="s">
        <v>1874</v>
      </c>
      <c r="S68" s="33">
        <v>0</v>
      </c>
      <c r="T68" s="13">
        <v>9.2100000000000009</v>
      </c>
      <c r="U68" s="13">
        <v>2.3025000000000002</v>
      </c>
      <c r="V68" s="21">
        <f>Table10[[#This Row],[Profit]]/Table10[[#This Row],[Sales]]</f>
        <v>0.25</v>
      </c>
    </row>
    <row r="69" spans="1:22" x14ac:dyDescent="0.2">
      <c r="A69">
        <v>68</v>
      </c>
      <c r="B69" t="s">
        <v>6674</v>
      </c>
      <c r="C69" s="1">
        <v>42394</v>
      </c>
      <c r="D69" s="22">
        <f>MONTH(Table10[[#This Row],[Order Date]])</f>
        <v>1</v>
      </c>
      <c r="E69" t="s">
        <v>6034</v>
      </c>
      <c r="F69" t="s">
        <v>6035</v>
      </c>
      <c r="G69" s="23" t="s">
        <v>41</v>
      </c>
      <c r="H69" s="23" t="s">
        <v>82</v>
      </c>
      <c r="I69" t="s">
        <v>3166</v>
      </c>
      <c r="J69" t="s">
        <v>36</v>
      </c>
      <c r="K69" s="22">
        <v>5</v>
      </c>
      <c r="L69" s="1">
        <v>42396</v>
      </c>
      <c r="M69" s="22">
        <f>Table10[[#This Row],[Ship Date]]-Table10[[#This Row],[Order Date]]</f>
        <v>2</v>
      </c>
      <c r="N69" t="s">
        <v>169</v>
      </c>
      <c r="O69" t="s">
        <v>23</v>
      </c>
      <c r="P69" t="s">
        <v>695</v>
      </c>
      <c r="Q69" t="s">
        <v>133</v>
      </c>
      <c r="R69" t="s">
        <v>1874</v>
      </c>
      <c r="S69" s="33">
        <v>0</v>
      </c>
      <c r="T69" s="13">
        <v>18</v>
      </c>
      <c r="U69" s="13">
        <v>8.2799999999999994</v>
      </c>
      <c r="V69" s="21">
        <f>Table10[[#This Row],[Profit]]/Table10[[#This Row],[Sales]]</f>
        <v>0.45999999999999996</v>
      </c>
    </row>
    <row r="70" spans="1:22" x14ac:dyDescent="0.2">
      <c r="A70">
        <v>69</v>
      </c>
      <c r="B70" t="s">
        <v>9783</v>
      </c>
      <c r="C70" s="1">
        <v>42394</v>
      </c>
      <c r="D70" s="22">
        <f>MONTH(Table10[[#This Row],[Order Date]])</f>
        <v>1</v>
      </c>
      <c r="E70" t="s">
        <v>2854</v>
      </c>
      <c r="F70" t="s">
        <v>2855</v>
      </c>
      <c r="G70" s="23" t="s">
        <v>41</v>
      </c>
      <c r="H70" s="23" t="s">
        <v>68</v>
      </c>
      <c r="I70" t="s">
        <v>516</v>
      </c>
      <c r="J70" t="s">
        <v>36</v>
      </c>
      <c r="K70" s="22">
        <v>5</v>
      </c>
      <c r="L70" s="1">
        <v>42397</v>
      </c>
      <c r="M70" s="22">
        <f>Table10[[#This Row],[Ship Date]]-Table10[[#This Row],[Order Date]]</f>
        <v>3</v>
      </c>
      <c r="N70" t="s">
        <v>20</v>
      </c>
      <c r="O70" t="s">
        <v>23</v>
      </c>
      <c r="P70" t="s">
        <v>238</v>
      </c>
      <c r="Q70" t="s">
        <v>133</v>
      </c>
      <c r="R70" t="s">
        <v>237</v>
      </c>
      <c r="S70" s="33">
        <v>0.2</v>
      </c>
      <c r="T70" s="13">
        <v>43.12</v>
      </c>
      <c r="U70" s="13">
        <v>15.092000000000001</v>
      </c>
      <c r="V70" s="21">
        <f>Table10[[#This Row],[Profit]]/Table10[[#This Row],[Sales]]</f>
        <v>0.35000000000000003</v>
      </c>
    </row>
    <row r="71" spans="1:22" x14ac:dyDescent="0.2">
      <c r="A71">
        <v>70</v>
      </c>
      <c r="B71" t="s">
        <v>9783</v>
      </c>
      <c r="C71" s="1">
        <v>42394</v>
      </c>
      <c r="D71" s="22">
        <f>MONTH(Table10[[#This Row],[Order Date]])</f>
        <v>1</v>
      </c>
      <c r="E71" t="s">
        <v>2112</v>
      </c>
      <c r="F71" t="s">
        <v>2113</v>
      </c>
      <c r="G71" s="23" t="s">
        <v>28</v>
      </c>
      <c r="H71" s="23" t="s">
        <v>50</v>
      </c>
      <c r="I71" t="s">
        <v>516</v>
      </c>
      <c r="J71" t="s">
        <v>36</v>
      </c>
      <c r="K71" s="22">
        <v>3</v>
      </c>
      <c r="L71" s="1">
        <v>42397</v>
      </c>
      <c r="M71" s="22">
        <f>Table10[[#This Row],[Ship Date]]-Table10[[#This Row],[Order Date]]</f>
        <v>3</v>
      </c>
      <c r="N71" t="s">
        <v>20</v>
      </c>
      <c r="O71" t="s">
        <v>23</v>
      </c>
      <c r="P71" t="s">
        <v>238</v>
      </c>
      <c r="Q71" t="s">
        <v>133</v>
      </c>
      <c r="R71" t="s">
        <v>237</v>
      </c>
      <c r="S71" s="33">
        <v>0.4</v>
      </c>
      <c r="T71" s="13">
        <v>313.72199999999998</v>
      </c>
      <c r="U71" s="13">
        <v>-99.345299999999995</v>
      </c>
      <c r="V71" s="21">
        <f>Table10[[#This Row],[Profit]]/Table10[[#This Row],[Sales]]</f>
        <v>-0.31666666666666665</v>
      </c>
    </row>
    <row r="72" spans="1:22" x14ac:dyDescent="0.2">
      <c r="A72">
        <v>71</v>
      </c>
      <c r="B72" t="s">
        <v>9783</v>
      </c>
      <c r="C72" s="1">
        <v>42394</v>
      </c>
      <c r="D72" s="22">
        <f>MONTH(Table10[[#This Row],[Order Date]])</f>
        <v>1</v>
      </c>
      <c r="E72" t="s">
        <v>7738</v>
      </c>
      <c r="F72" t="s">
        <v>7739</v>
      </c>
      <c r="G72" s="23" t="s">
        <v>28</v>
      </c>
      <c r="H72" s="23" t="s">
        <v>58</v>
      </c>
      <c r="I72" t="s">
        <v>516</v>
      </c>
      <c r="J72" t="s">
        <v>36</v>
      </c>
      <c r="K72" s="22">
        <v>1</v>
      </c>
      <c r="L72" s="1">
        <v>42397</v>
      </c>
      <c r="M72" s="22">
        <f>Table10[[#This Row],[Ship Date]]-Table10[[#This Row],[Order Date]]</f>
        <v>3</v>
      </c>
      <c r="N72" t="s">
        <v>20</v>
      </c>
      <c r="O72" t="s">
        <v>23</v>
      </c>
      <c r="P72" t="s">
        <v>238</v>
      </c>
      <c r="Q72" t="s">
        <v>133</v>
      </c>
      <c r="R72" t="s">
        <v>237</v>
      </c>
      <c r="S72" s="33">
        <v>0</v>
      </c>
      <c r="T72" s="13">
        <v>45.98</v>
      </c>
      <c r="U72" s="13">
        <v>7.8166000000000002</v>
      </c>
      <c r="V72" s="21">
        <f>Table10[[#This Row],[Profit]]/Table10[[#This Row],[Sales]]</f>
        <v>0.17</v>
      </c>
    </row>
    <row r="73" spans="1:22" x14ac:dyDescent="0.2">
      <c r="A73">
        <v>72</v>
      </c>
      <c r="B73" t="s">
        <v>9783</v>
      </c>
      <c r="C73" s="1">
        <v>42394</v>
      </c>
      <c r="D73" s="22">
        <f>MONTH(Table10[[#This Row],[Order Date]])</f>
        <v>1</v>
      </c>
      <c r="E73" t="s">
        <v>2932</v>
      </c>
      <c r="F73" t="s">
        <v>2933</v>
      </c>
      <c r="G73" s="23" t="s">
        <v>41</v>
      </c>
      <c r="H73" s="23" t="s">
        <v>53</v>
      </c>
      <c r="I73" t="s">
        <v>516</v>
      </c>
      <c r="J73" t="s">
        <v>36</v>
      </c>
      <c r="K73" s="22">
        <v>7</v>
      </c>
      <c r="L73" s="1">
        <v>42397</v>
      </c>
      <c r="M73" s="22">
        <f>Table10[[#This Row],[Ship Date]]-Table10[[#This Row],[Order Date]]</f>
        <v>3</v>
      </c>
      <c r="N73" t="s">
        <v>20</v>
      </c>
      <c r="O73" t="s">
        <v>23</v>
      </c>
      <c r="P73" t="s">
        <v>238</v>
      </c>
      <c r="Q73" t="s">
        <v>133</v>
      </c>
      <c r="R73" t="s">
        <v>237</v>
      </c>
      <c r="S73" s="33">
        <v>0</v>
      </c>
      <c r="T73" s="13">
        <v>428.68</v>
      </c>
      <c r="U73" s="13">
        <v>0</v>
      </c>
      <c r="V73" s="21">
        <f>Table10[[#This Row],[Profit]]/Table10[[#This Row],[Sales]]</f>
        <v>0</v>
      </c>
    </row>
    <row r="74" spans="1:22" x14ac:dyDescent="0.2">
      <c r="A74">
        <v>73</v>
      </c>
      <c r="B74" t="s">
        <v>9356</v>
      </c>
      <c r="C74" s="1">
        <v>42397</v>
      </c>
      <c r="D74" s="22">
        <f>MONTH(Table10[[#This Row],[Order Date]])</f>
        <v>1</v>
      </c>
      <c r="E74" t="s">
        <v>1381</v>
      </c>
      <c r="F74" t="s">
        <v>1382</v>
      </c>
      <c r="G74" s="23" t="s">
        <v>41</v>
      </c>
      <c r="H74" s="23" t="s">
        <v>61</v>
      </c>
      <c r="I74" t="s">
        <v>3208</v>
      </c>
      <c r="J74" t="s">
        <v>36</v>
      </c>
      <c r="K74" s="22">
        <v>2</v>
      </c>
      <c r="L74" s="1">
        <v>42401</v>
      </c>
      <c r="M74" s="22">
        <f>Table10[[#This Row],[Ship Date]]-Table10[[#This Row],[Order Date]]</f>
        <v>4</v>
      </c>
      <c r="N74" t="s">
        <v>20</v>
      </c>
      <c r="O74" t="s">
        <v>23</v>
      </c>
      <c r="P74" t="s">
        <v>38</v>
      </c>
      <c r="Q74" t="s">
        <v>39</v>
      </c>
      <c r="R74" t="s">
        <v>37</v>
      </c>
      <c r="S74" s="33">
        <v>0</v>
      </c>
      <c r="T74" s="13">
        <v>39.68</v>
      </c>
      <c r="U74" s="13">
        <v>10.316800000000001</v>
      </c>
      <c r="V74" s="21">
        <f>Table10[[#This Row],[Profit]]/Table10[[#This Row],[Sales]]</f>
        <v>0.26</v>
      </c>
    </row>
    <row r="75" spans="1:22" x14ac:dyDescent="0.2">
      <c r="A75">
        <v>74</v>
      </c>
      <c r="B75" t="s">
        <v>5407</v>
      </c>
      <c r="C75" s="1">
        <v>42399</v>
      </c>
      <c r="D75" s="22">
        <f>MONTH(Table10[[#This Row],[Order Date]])</f>
        <v>1</v>
      </c>
      <c r="E75" t="s">
        <v>2175</v>
      </c>
      <c r="F75" t="s">
        <v>2176</v>
      </c>
      <c r="G75" s="23" t="s">
        <v>41</v>
      </c>
      <c r="H75" s="23" t="s">
        <v>68</v>
      </c>
      <c r="I75" t="s">
        <v>1692</v>
      </c>
      <c r="J75" t="s">
        <v>22</v>
      </c>
      <c r="K75" s="22">
        <v>2</v>
      </c>
      <c r="L75" s="1">
        <v>42403</v>
      </c>
      <c r="M75" s="22">
        <f>Table10[[#This Row],[Ship Date]]-Table10[[#This Row],[Order Date]]</f>
        <v>4</v>
      </c>
      <c r="N75" t="s">
        <v>45</v>
      </c>
      <c r="O75" t="s">
        <v>23</v>
      </c>
      <c r="P75" t="s">
        <v>38</v>
      </c>
      <c r="Q75" t="s">
        <v>39</v>
      </c>
      <c r="R75" t="s">
        <v>114</v>
      </c>
      <c r="S75" s="33">
        <v>0.2</v>
      </c>
      <c r="T75" s="13">
        <v>17.456</v>
      </c>
      <c r="U75" s="13">
        <v>5.8914</v>
      </c>
      <c r="V75" s="21">
        <f>Table10[[#This Row],[Profit]]/Table10[[#This Row],[Sales]]</f>
        <v>0.33750000000000002</v>
      </c>
    </row>
    <row r="76" spans="1:22" x14ac:dyDescent="0.2">
      <c r="A76">
        <v>75</v>
      </c>
      <c r="B76" t="s">
        <v>8622</v>
      </c>
      <c r="C76" s="1">
        <v>42399</v>
      </c>
      <c r="D76" s="22">
        <f>MONTH(Table10[[#This Row],[Order Date]])</f>
        <v>1</v>
      </c>
      <c r="E76" t="s">
        <v>1054</v>
      </c>
      <c r="F76" t="s">
        <v>1055</v>
      </c>
      <c r="G76" s="23" t="s">
        <v>41</v>
      </c>
      <c r="H76" s="23" t="s">
        <v>53</v>
      </c>
      <c r="I76" t="s">
        <v>460</v>
      </c>
      <c r="J76" t="s">
        <v>22</v>
      </c>
      <c r="K76" s="22">
        <v>9</v>
      </c>
      <c r="L76" s="1">
        <v>42400</v>
      </c>
      <c r="M76" s="22">
        <f>Table10[[#This Row],[Ship Date]]-Table10[[#This Row],[Order Date]]</f>
        <v>1</v>
      </c>
      <c r="N76" t="s">
        <v>169</v>
      </c>
      <c r="O76" t="s">
        <v>23</v>
      </c>
      <c r="P76" t="s">
        <v>38</v>
      </c>
      <c r="Q76" t="s">
        <v>39</v>
      </c>
      <c r="R76" t="s">
        <v>114</v>
      </c>
      <c r="S76" s="33">
        <v>0</v>
      </c>
      <c r="T76" s="13">
        <v>305.01</v>
      </c>
      <c r="U76" s="13">
        <v>76.252499999999998</v>
      </c>
      <c r="V76" s="21">
        <f>Table10[[#This Row],[Profit]]/Table10[[#This Row],[Sales]]</f>
        <v>0.25</v>
      </c>
    </row>
    <row r="77" spans="1:22" x14ac:dyDescent="0.2">
      <c r="A77">
        <v>76</v>
      </c>
      <c r="B77" t="s">
        <v>8622</v>
      </c>
      <c r="C77" s="1">
        <v>42399</v>
      </c>
      <c r="D77" s="22">
        <f>MONTH(Table10[[#This Row],[Order Date]])</f>
        <v>1</v>
      </c>
      <c r="E77" t="s">
        <v>510</v>
      </c>
      <c r="F77" t="s">
        <v>511</v>
      </c>
      <c r="G77" s="23" t="s">
        <v>41</v>
      </c>
      <c r="H77" s="23" t="s">
        <v>68</v>
      </c>
      <c r="I77" t="s">
        <v>460</v>
      </c>
      <c r="J77" t="s">
        <v>22</v>
      </c>
      <c r="K77" s="22">
        <v>2</v>
      </c>
      <c r="L77" s="1">
        <v>42400</v>
      </c>
      <c r="M77" s="22">
        <f>Table10[[#This Row],[Ship Date]]-Table10[[#This Row],[Order Date]]</f>
        <v>1</v>
      </c>
      <c r="N77" t="s">
        <v>169</v>
      </c>
      <c r="O77" t="s">
        <v>23</v>
      </c>
      <c r="P77" t="s">
        <v>38</v>
      </c>
      <c r="Q77" t="s">
        <v>39</v>
      </c>
      <c r="R77" t="s">
        <v>114</v>
      </c>
      <c r="S77" s="33">
        <v>0.2</v>
      </c>
      <c r="T77" s="13">
        <v>50.783999999999999</v>
      </c>
      <c r="U77" s="13">
        <v>17.7744</v>
      </c>
      <c r="V77" s="21">
        <f>Table10[[#This Row],[Profit]]/Table10[[#This Row],[Sales]]</f>
        <v>0.35000000000000003</v>
      </c>
    </row>
    <row r="78" spans="1:22" x14ac:dyDescent="0.2">
      <c r="A78">
        <v>77</v>
      </c>
      <c r="B78" t="s">
        <v>8622</v>
      </c>
      <c r="C78" s="1">
        <v>42399</v>
      </c>
      <c r="D78" s="22">
        <f>MONTH(Table10[[#This Row],[Order Date]])</f>
        <v>1</v>
      </c>
      <c r="E78" t="s">
        <v>946</v>
      </c>
      <c r="F78" t="s">
        <v>947</v>
      </c>
      <c r="G78" s="23" t="s">
        <v>41</v>
      </c>
      <c r="H78" s="23" t="s">
        <v>42</v>
      </c>
      <c r="I78" t="s">
        <v>460</v>
      </c>
      <c r="J78" t="s">
        <v>22</v>
      </c>
      <c r="K78" s="22">
        <v>9</v>
      </c>
      <c r="L78" s="1">
        <v>42400</v>
      </c>
      <c r="M78" s="22">
        <f>Table10[[#This Row],[Ship Date]]-Table10[[#This Row],[Order Date]]</f>
        <v>1</v>
      </c>
      <c r="N78" t="s">
        <v>169</v>
      </c>
      <c r="O78" t="s">
        <v>23</v>
      </c>
      <c r="P78" t="s">
        <v>38</v>
      </c>
      <c r="Q78" t="s">
        <v>39</v>
      </c>
      <c r="R78" t="s">
        <v>114</v>
      </c>
      <c r="S78" s="33">
        <v>0</v>
      </c>
      <c r="T78" s="13">
        <v>26.01</v>
      </c>
      <c r="U78" s="13">
        <v>12.2247</v>
      </c>
      <c r="V78" s="21">
        <f>Table10[[#This Row],[Profit]]/Table10[[#This Row],[Sales]]</f>
        <v>0.47</v>
      </c>
    </row>
    <row r="79" spans="1:22" x14ac:dyDescent="0.2">
      <c r="A79">
        <v>78</v>
      </c>
      <c r="B79" t="s">
        <v>8760</v>
      </c>
      <c r="C79" s="1">
        <v>42399</v>
      </c>
      <c r="D79" s="22">
        <f>MONTH(Table10[[#This Row],[Order Date]])</f>
        <v>1</v>
      </c>
      <c r="E79" t="s">
        <v>4924</v>
      </c>
      <c r="F79" t="s">
        <v>4925</v>
      </c>
      <c r="G79" s="23" t="s">
        <v>28</v>
      </c>
      <c r="H79" s="23" t="s">
        <v>32</v>
      </c>
      <c r="I79" t="s">
        <v>4946</v>
      </c>
      <c r="J79" t="s">
        <v>22</v>
      </c>
      <c r="K79" s="22">
        <v>4</v>
      </c>
      <c r="L79" s="1">
        <v>42401</v>
      </c>
      <c r="M79" s="22">
        <f>Table10[[#This Row],[Ship Date]]-Table10[[#This Row],[Order Date]]</f>
        <v>2</v>
      </c>
      <c r="N79" t="s">
        <v>20</v>
      </c>
      <c r="O79" t="s">
        <v>23</v>
      </c>
      <c r="P79" t="s">
        <v>87</v>
      </c>
      <c r="Q79" t="s">
        <v>39</v>
      </c>
      <c r="R79" t="s">
        <v>86</v>
      </c>
      <c r="S79" s="33">
        <v>0.2</v>
      </c>
      <c r="T79" s="13">
        <v>435.16800000000001</v>
      </c>
      <c r="U79" s="13">
        <v>-59.835599999999999</v>
      </c>
      <c r="V79" s="21">
        <f>Table10[[#This Row],[Profit]]/Table10[[#This Row],[Sales]]</f>
        <v>-0.13749999999999998</v>
      </c>
    </row>
    <row r="80" spans="1:22" x14ac:dyDescent="0.2">
      <c r="A80">
        <v>79</v>
      </c>
      <c r="B80" t="s">
        <v>8760</v>
      </c>
      <c r="C80" s="1">
        <v>42399</v>
      </c>
      <c r="D80" s="22">
        <f>MONTH(Table10[[#This Row],[Order Date]])</f>
        <v>1</v>
      </c>
      <c r="E80" t="s">
        <v>4242</v>
      </c>
      <c r="F80" t="s">
        <v>4243</v>
      </c>
      <c r="G80" s="23" t="s">
        <v>28</v>
      </c>
      <c r="H80" s="23" t="s">
        <v>29</v>
      </c>
      <c r="I80" t="s">
        <v>4946</v>
      </c>
      <c r="J80" t="s">
        <v>22</v>
      </c>
      <c r="K80" s="22">
        <v>1</v>
      </c>
      <c r="L80" s="1">
        <v>42401</v>
      </c>
      <c r="M80" s="22">
        <f>Table10[[#This Row],[Ship Date]]-Table10[[#This Row],[Order Date]]</f>
        <v>2</v>
      </c>
      <c r="N80" t="s">
        <v>20</v>
      </c>
      <c r="O80" t="s">
        <v>23</v>
      </c>
      <c r="P80" t="s">
        <v>87</v>
      </c>
      <c r="Q80" t="s">
        <v>39</v>
      </c>
      <c r="R80" t="s">
        <v>86</v>
      </c>
      <c r="S80" s="33">
        <v>0</v>
      </c>
      <c r="T80" s="13">
        <v>48.58</v>
      </c>
      <c r="U80" s="13">
        <v>7.7728000000000002</v>
      </c>
      <c r="V80" s="21">
        <f>Table10[[#This Row],[Profit]]/Table10[[#This Row],[Sales]]</f>
        <v>0.16</v>
      </c>
    </row>
    <row r="81" spans="1:22" x14ac:dyDescent="0.2">
      <c r="A81">
        <v>80</v>
      </c>
      <c r="B81" t="s">
        <v>9093</v>
      </c>
      <c r="C81" s="1">
        <v>42399</v>
      </c>
      <c r="D81" s="22">
        <f>MONTH(Table10[[#This Row],[Order Date]])</f>
        <v>1</v>
      </c>
      <c r="E81" t="s">
        <v>265</v>
      </c>
      <c r="F81" t="s">
        <v>266</v>
      </c>
      <c r="G81" s="23" t="s">
        <v>41</v>
      </c>
      <c r="H81" s="23" t="s">
        <v>82</v>
      </c>
      <c r="I81" t="s">
        <v>9094</v>
      </c>
      <c r="J81" t="s">
        <v>36</v>
      </c>
      <c r="K81" s="22">
        <v>4</v>
      </c>
      <c r="L81" s="1">
        <v>42404</v>
      </c>
      <c r="M81" s="22">
        <f>Table10[[#This Row],[Ship Date]]-Table10[[#This Row],[Order Date]]</f>
        <v>5</v>
      </c>
      <c r="N81" t="s">
        <v>45</v>
      </c>
      <c r="O81" t="s">
        <v>23</v>
      </c>
      <c r="P81" t="s">
        <v>189</v>
      </c>
      <c r="Q81" t="s">
        <v>95</v>
      </c>
      <c r="R81" t="s">
        <v>271</v>
      </c>
      <c r="S81" s="33">
        <v>0.2</v>
      </c>
      <c r="T81" s="13">
        <v>156.512</v>
      </c>
      <c r="U81" s="13">
        <v>52.822800000000001</v>
      </c>
      <c r="V81" s="21">
        <f>Table10[[#This Row],[Profit]]/Table10[[#This Row],[Sales]]</f>
        <v>0.33750000000000002</v>
      </c>
    </row>
    <row r="82" spans="1:22" x14ac:dyDescent="0.2">
      <c r="A82">
        <v>81</v>
      </c>
      <c r="B82" t="s">
        <v>9533</v>
      </c>
      <c r="C82" s="1">
        <v>42399</v>
      </c>
      <c r="D82" s="22">
        <f>MONTH(Table10[[#This Row],[Order Date]])</f>
        <v>1</v>
      </c>
      <c r="E82" t="s">
        <v>9534</v>
      </c>
      <c r="F82" t="s">
        <v>9535</v>
      </c>
      <c r="G82" s="23" t="s">
        <v>64</v>
      </c>
      <c r="H82" s="23" t="s">
        <v>65</v>
      </c>
      <c r="I82" t="s">
        <v>5234</v>
      </c>
      <c r="J82" t="s">
        <v>22</v>
      </c>
      <c r="K82" s="22">
        <v>4</v>
      </c>
      <c r="L82" s="1">
        <v>42403</v>
      </c>
      <c r="M82" s="22">
        <f>Table10[[#This Row],[Ship Date]]-Table10[[#This Row],[Order Date]]</f>
        <v>4</v>
      </c>
      <c r="N82" t="s">
        <v>45</v>
      </c>
      <c r="O82" t="s">
        <v>23</v>
      </c>
      <c r="P82" t="s">
        <v>189</v>
      </c>
      <c r="Q82" t="s">
        <v>95</v>
      </c>
      <c r="R82" t="s">
        <v>2731</v>
      </c>
      <c r="S82" s="33">
        <v>0.2</v>
      </c>
      <c r="T82" s="13">
        <v>1439.9680000000001</v>
      </c>
      <c r="U82" s="13">
        <v>143.99680000000001</v>
      </c>
      <c r="V82" s="21">
        <f>Table10[[#This Row],[Profit]]/Table10[[#This Row],[Sales]]</f>
        <v>0.1</v>
      </c>
    </row>
    <row r="83" spans="1:22" x14ac:dyDescent="0.2">
      <c r="A83">
        <v>82</v>
      </c>
      <c r="B83" t="s">
        <v>9533</v>
      </c>
      <c r="C83" s="1">
        <v>42399</v>
      </c>
      <c r="D83" s="22">
        <f>MONTH(Table10[[#This Row],[Order Date]])</f>
        <v>1</v>
      </c>
      <c r="E83" t="s">
        <v>2104</v>
      </c>
      <c r="F83" t="s">
        <v>2105</v>
      </c>
      <c r="G83" s="23" t="s">
        <v>41</v>
      </c>
      <c r="H83" s="23" t="s">
        <v>68</v>
      </c>
      <c r="I83" t="s">
        <v>5234</v>
      </c>
      <c r="J83" t="s">
        <v>22</v>
      </c>
      <c r="K83" s="22">
        <v>3</v>
      </c>
      <c r="L83" s="1">
        <v>42403</v>
      </c>
      <c r="M83" s="22">
        <f>Table10[[#This Row],[Ship Date]]-Table10[[#This Row],[Order Date]]</f>
        <v>4</v>
      </c>
      <c r="N83" t="s">
        <v>45</v>
      </c>
      <c r="O83" t="s">
        <v>23</v>
      </c>
      <c r="P83" t="s">
        <v>189</v>
      </c>
      <c r="Q83" t="s">
        <v>95</v>
      </c>
      <c r="R83" t="s">
        <v>2731</v>
      </c>
      <c r="S83" s="33">
        <v>0.8</v>
      </c>
      <c r="T83" s="13">
        <v>1.728</v>
      </c>
      <c r="U83" s="13">
        <v>-2.6783999999999999</v>
      </c>
      <c r="V83" s="21">
        <f>Table10[[#This Row],[Profit]]/Table10[[#This Row],[Sales]]</f>
        <v>-1.55</v>
      </c>
    </row>
    <row r="84" spans="1:22" x14ac:dyDescent="0.2">
      <c r="A84">
        <v>83</v>
      </c>
      <c r="B84" t="s">
        <v>9533</v>
      </c>
      <c r="C84" s="1">
        <v>42399</v>
      </c>
      <c r="D84" s="22">
        <f>MONTH(Table10[[#This Row],[Order Date]])</f>
        <v>1</v>
      </c>
      <c r="E84" t="s">
        <v>1677</v>
      </c>
      <c r="F84" t="s">
        <v>1678</v>
      </c>
      <c r="G84" s="23" t="s">
        <v>28</v>
      </c>
      <c r="H84" s="23" t="s">
        <v>50</v>
      </c>
      <c r="I84" t="s">
        <v>5234</v>
      </c>
      <c r="J84" t="s">
        <v>22</v>
      </c>
      <c r="K84" s="22">
        <v>3</v>
      </c>
      <c r="L84" s="1">
        <v>42403</v>
      </c>
      <c r="M84" s="22">
        <f>Table10[[#This Row],[Ship Date]]-Table10[[#This Row],[Order Date]]</f>
        <v>4</v>
      </c>
      <c r="N84" t="s">
        <v>45</v>
      </c>
      <c r="O84" t="s">
        <v>23</v>
      </c>
      <c r="P84" t="s">
        <v>189</v>
      </c>
      <c r="Q84" t="s">
        <v>95</v>
      </c>
      <c r="R84" t="s">
        <v>2731</v>
      </c>
      <c r="S84" s="33">
        <v>0.5</v>
      </c>
      <c r="T84" s="13">
        <v>626.1</v>
      </c>
      <c r="U84" s="13">
        <v>-538.44600000000003</v>
      </c>
      <c r="V84" s="21">
        <f>Table10[[#This Row],[Profit]]/Table10[[#This Row],[Sales]]</f>
        <v>-0.86</v>
      </c>
    </row>
    <row r="85" spans="1:22" x14ac:dyDescent="0.2">
      <c r="A85">
        <v>84</v>
      </c>
      <c r="B85" t="s">
        <v>7170</v>
      </c>
      <c r="C85" s="1">
        <v>42400</v>
      </c>
      <c r="D85" s="22">
        <f>MONTH(Table10[[#This Row],[Order Date]])</f>
        <v>1</v>
      </c>
      <c r="E85" t="s">
        <v>6004</v>
      </c>
      <c r="F85" t="s">
        <v>6005</v>
      </c>
      <c r="G85" s="23" t="s">
        <v>64</v>
      </c>
      <c r="H85" s="23" t="s">
        <v>65</v>
      </c>
      <c r="I85" t="s">
        <v>2465</v>
      </c>
      <c r="J85" t="s">
        <v>92</v>
      </c>
      <c r="K85" s="22">
        <v>1</v>
      </c>
      <c r="L85" s="1">
        <v>42404</v>
      </c>
      <c r="M85" s="22">
        <f>Table10[[#This Row],[Ship Date]]-Table10[[#This Row],[Order Date]]</f>
        <v>4</v>
      </c>
      <c r="N85" t="s">
        <v>45</v>
      </c>
      <c r="O85" t="s">
        <v>23</v>
      </c>
      <c r="P85" t="s">
        <v>38</v>
      </c>
      <c r="Q85" t="s">
        <v>39</v>
      </c>
      <c r="R85" t="s">
        <v>37</v>
      </c>
      <c r="S85" s="33">
        <v>0.2</v>
      </c>
      <c r="T85" s="13">
        <v>109.592</v>
      </c>
      <c r="U85" s="13">
        <v>8.2194000000000003</v>
      </c>
      <c r="V85" s="21">
        <f>Table10[[#This Row],[Profit]]/Table10[[#This Row],[Sales]]</f>
        <v>7.4999999999999997E-2</v>
      </c>
    </row>
    <row r="86" spans="1:22" x14ac:dyDescent="0.2">
      <c r="A86">
        <v>85</v>
      </c>
      <c r="B86" t="s">
        <v>7170</v>
      </c>
      <c r="C86" s="1">
        <v>42400</v>
      </c>
      <c r="D86" s="22">
        <f>MONTH(Table10[[#This Row],[Order Date]])</f>
        <v>1</v>
      </c>
      <c r="E86" t="s">
        <v>7171</v>
      </c>
      <c r="F86" t="s">
        <v>167</v>
      </c>
      <c r="G86" s="23" t="s">
        <v>41</v>
      </c>
      <c r="H86" s="23" t="s">
        <v>82</v>
      </c>
      <c r="I86" t="s">
        <v>2465</v>
      </c>
      <c r="J86" t="s">
        <v>92</v>
      </c>
      <c r="K86" s="22">
        <v>5</v>
      </c>
      <c r="L86" s="1">
        <v>42404</v>
      </c>
      <c r="M86" s="22">
        <f>Table10[[#This Row],[Ship Date]]-Table10[[#This Row],[Order Date]]</f>
        <v>4</v>
      </c>
      <c r="N86" t="s">
        <v>45</v>
      </c>
      <c r="O86" t="s">
        <v>23</v>
      </c>
      <c r="P86" t="s">
        <v>38</v>
      </c>
      <c r="Q86" t="s">
        <v>39</v>
      </c>
      <c r="R86" t="s">
        <v>37</v>
      </c>
      <c r="S86" s="33">
        <v>0</v>
      </c>
      <c r="T86" s="13">
        <v>56.7</v>
      </c>
      <c r="U86" s="13">
        <v>27.783000000000001</v>
      </c>
      <c r="V86" s="21">
        <f>Table10[[#This Row],[Profit]]/Table10[[#This Row],[Sales]]</f>
        <v>0.49</v>
      </c>
    </row>
    <row r="87" spans="1:22" x14ac:dyDescent="0.2">
      <c r="A87">
        <v>86</v>
      </c>
      <c r="B87" t="s">
        <v>7251</v>
      </c>
      <c r="C87" s="1">
        <v>42400</v>
      </c>
      <c r="D87" s="22">
        <f>MONTH(Table10[[#This Row],[Order Date]])</f>
        <v>1</v>
      </c>
      <c r="E87" t="s">
        <v>4754</v>
      </c>
      <c r="F87" t="s">
        <v>4755</v>
      </c>
      <c r="G87" s="23" t="s">
        <v>41</v>
      </c>
      <c r="H87" s="23" t="s">
        <v>82</v>
      </c>
      <c r="I87" t="s">
        <v>3640</v>
      </c>
      <c r="J87" t="s">
        <v>22</v>
      </c>
      <c r="K87" s="22">
        <v>3</v>
      </c>
      <c r="L87" s="1">
        <v>42402</v>
      </c>
      <c r="M87" s="22">
        <f>Table10[[#This Row],[Ship Date]]-Table10[[#This Row],[Order Date]]</f>
        <v>2</v>
      </c>
      <c r="N87" t="s">
        <v>20</v>
      </c>
      <c r="O87" t="s">
        <v>23</v>
      </c>
      <c r="P87" t="s">
        <v>94</v>
      </c>
      <c r="Q87" t="s">
        <v>95</v>
      </c>
      <c r="R87" t="s">
        <v>718</v>
      </c>
      <c r="S87" s="33">
        <v>0.2</v>
      </c>
      <c r="T87" s="13">
        <v>15.552</v>
      </c>
      <c r="U87" s="13">
        <v>5.4432</v>
      </c>
      <c r="V87" s="21">
        <f>Table10[[#This Row],[Profit]]/Table10[[#This Row],[Sales]]</f>
        <v>0.35000000000000003</v>
      </c>
    </row>
    <row r="88" spans="1:22" x14ac:dyDescent="0.2">
      <c r="A88">
        <v>87</v>
      </c>
      <c r="B88" t="s">
        <v>8734</v>
      </c>
      <c r="C88" s="1">
        <v>42400</v>
      </c>
      <c r="D88" s="22">
        <f>MONTH(Table10[[#This Row],[Order Date]])</f>
        <v>1</v>
      </c>
      <c r="E88" t="s">
        <v>3643</v>
      </c>
      <c r="F88" t="s">
        <v>591</v>
      </c>
      <c r="G88" s="23" t="s">
        <v>41</v>
      </c>
      <c r="H88" s="23" t="s">
        <v>155</v>
      </c>
      <c r="I88" t="s">
        <v>7403</v>
      </c>
      <c r="J88" t="s">
        <v>36</v>
      </c>
      <c r="K88" s="22">
        <v>2</v>
      </c>
      <c r="L88" s="1">
        <v>42404</v>
      </c>
      <c r="M88" s="22">
        <f>Table10[[#This Row],[Ship Date]]-Table10[[#This Row],[Order Date]]</f>
        <v>4</v>
      </c>
      <c r="N88" t="s">
        <v>20</v>
      </c>
      <c r="O88" t="s">
        <v>23</v>
      </c>
      <c r="P88" t="s">
        <v>695</v>
      </c>
      <c r="Q88" t="s">
        <v>133</v>
      </c>
      <c r="R88" t="s">
        <v>8735</v>
      </c>
      <c r="S88" s="33">
        <v>0</v>
      </c>
      <c r="T88" s="13">
        <v>23.36</v>
      </c>
      <c r="U88" s="13">
        <v>11.68</v>
      </c>
      <c r="V88" s="21">
        <f>Table10[[#This Row],[Profit]]/Table10[[#This Row],[Sales]]</f>
        <v>0.5</v>
      </c>
    </row>
    <row r="89" spans="1:22" x14ac:dyDescent="0.2">
      <c r="A89">
        <v>88</v>
      </c>
      <c r="B89" t="s">
        <v>9440</v>
      </c>
      <c r="C89" s="1">
        <v>42400</v>
      </c>
      <c r="D89" s="22">
        <f>MONTH(Table10[[#This Row],[Order Date]])</f>
        <v>1</v>
      </c>
      <c r="E89" t="s">
        <v>1543</v>
      </c>
      <c r="F89" t="s">
        <v>1544</v>
      </c>
      <c r="G89" s="23" t="s">
        <v>41</v>
      </c>
      <c r="H89" s="23" t="s">
        <v>68</v>
      </c>
      <c r="I89" t="s">
        <v>3034</v>
      </c>
      <c r="J89" t="s">
        <v>92</v>
      </c>
      <c r="K89" s="22">
        <v>1</v>
      </c>
      <c r="L89" s="1">
        <v>42406</v>
      </c>
      <c r="M89" s="22">
        <f>Table10[[#This Row],[Ship Date]]-Table10[[#This Row],[Order Date]]</f>
        <v>6</v>
      </c>
      <c r="N89" t="s">
        <v>45</v>
      </c>
      <c r="O89" t="s">
        <v>23</v>
      </c>
      <c r="P89" t="s">
        <v>1125</v>
      </c>
      <c r="Q89" t="s">
        <v>26</v>
      </c>
      <c r="R89" t="s">
        <v>1537</v>
      </c>
      <c r="S89" s="33">
        <v>0</v>
      </c>
      <c r="T89" s="13">
        <v>1270.99</v>
      </c>
      <c r="U89" s="13">
        <v>635.495</v>
      </c>
      <c r="V89" s="21">
        <f>Table10[[#This Row],[Profit]]/Table10[[#This Row],[Sales]]</f>
        <v>0.5</v>
      </c>
    </row>
    <row r="90" spans="1:22" x14ac:dyDescent="0.2">
      <c r="A90">
        <v>89</v>
      </c>
      <c r="B90" t="s">
        <v>9440</v>
      </c>
      <c r="C90" s="1">
        <v>42400</v>
      </c>
      <c r="D90" s="22">
        <f>MONTH(Table10[[#This Row],[Order Date]])</f>
        <v>1</v>
      </c>
      <c r="E90" t="s">
        <v>4962</v>
      </c>
      <c r="F90" t="s">
        <v>4963</v>
      </c>
      <c r="G90" s="23" t="s">
        <v>41</v>
      </c>
      <c r="H90" s="23" t="s">
        <v>155</v>
      </c>
      <c r="I90" t="s">
        <v>3034</v>
      </c>
      <c r="J90" t="s">
        <v>92</v>
      </c>
      <c r="K90" s="22">
        <v>8</v>
      </c>
      <c r="L90" s="1">
        <v>42406</v>
      </c>
      <c r="M90" s="22">
        <f>Table10[[#This Row],[Ship Date]]-Table10[[#This Row],[Order Date]]</f>
        <v>6</v>
      </c>
      <c r="N90" t="s">
        <v>45</v>
      </c>
      <c r="O90" t="s">
        <v>23</v>
      </c>
      <c r="P90" t="s">
        <v>1125</v>
      </c>
      <c r="Q90" t="s">
        <v>26</v>
      </c>
      <c r="R90" t="s">
        <v>1537</v>
      </c>
      <c r="S90" s="33">
        <v>0</v>
      </c>
      <c r="T90" s="13">
        <v>125.36</v>
      </c>
      <c r="U90" s="13">
        <v>58.919199999999996</v>
      </c>
      <c r="V90" s="21">
        <f>Table10[[#This Row],[Profit]]/Table10[[#This Row],[Sales]]</f>
        <v>0.47</v>
      </c>
    </row>
    <row r="91" spans="1:22" x14ac:dyDescent="0.2">
      <c r="A91">
        <v>90</v>
      </c>
      <c r="B91" t="s">
        <v>5768</v>
      </c>
      <c r="C91" s="1">
        <v>42401</v>
      </c>
      <c r="D91" s="22">
        <f>MONTH(Table10[[#This Row],[Order Date]])</f>
        <v>2</v>
      </c>
      <c r="E91" t="s">
        <v>3510</v>
      </c>
      <c r="F91" t="s">
        <v>3511</v>
      </c>
      <c r="G91" s="23" t="s">
        <v>41</v>
      </c>
      <c r="H91" s="23" t="s">
        <v>53</v>
      </c>
      <c r="I91" t="s">
        <v>2319</v>
      </c>
      <c r="J91" t="s">
        <v>36</v>
      </c>
      <c r="K91" s="22">
        <v>5</v>
      </c>
      <c r="L91" s="1">
        <v>42403</v>
      </c>
      <c r="M91" s="22">
        <f>Table10[[#This Row],[Ship Date]]-Table10[[#This Row],[Order Date]]</f>
        <v>2</v>
      </c>
      <c r="N91" t="s">
        <v>169</v>
      </c>
      <c r="O91" t="s">
        <v>23</v>
      </c>
      <c r="P91" t="s">
        <v>285</v>
      </c>
      <c r="Q91" t="s">
        <v>26</v>
      </c>
      <c r="R91" t="s">
        <v>997</v>
      </c>
      <c r="S91" s="33">
        <v>0</v>
      </c>
      <c r="T91" s="13">
        <v>56.45</v>
      </c>
      <c r="U91" s="13">
        <v>14.677</v>
      </c>
      <c r="V91" s="21">
        <f>Table10[[#This Row],[Profit]]/Table10[[#This Row],[Sales]]</f>
        <v>0.25999999999999995</v>
      </c>
    </row>
    <row r="92" spans="1:22" x14ac:dyDescent="0.2">
      <c r="A92">
        <v>91</v>
      </c>
      <c r="B92" t="s">
        <v>9229</v>
      </c>
      <c r="C92" s="1">
        <v>42401</v>
      </c>
      <c r="D92" s="22">
        <f>MONTH(Table10[[#This Row],[Order Date]])</f>
        <v>2</v>
      </c>
      <c r="E92" t="s">
        <v>560</v>
      </c>
      <c r="F92" t="s">
        <v>561</v>
      </c>
      <c r="G92" s="23" t="s">
        <v>41</v>
      </c>
      <c r="H92" s="23" t="s">
        <v>82</v>
      </c>
      <c r="I92" t="s">
        <v>3108</v>
      </c>
      <c r="J92" t="s">
        <v>36</v>
      </c>
      <c r="K92" s="22">
        <v>4</v>
      </c>
      <c r="L92" s="1">
        <v>42407</v>
      </c>
      <c r="M92" s="22">
        <f>Table10[[#This Row],[Ship Date]]-Table10[[#This Row],[Order Date]]</f>
        <v>6</v>
      </c>
      <c r="N92" t="s">
        <v>45</v>
      </c>
      <c r="O92" t="s">
        <v>23</v>
      </c>
      <c r="P92" t="s">
        <v>38</v>
      </c>
      <c r="Q92" t="s">
        <v>39</v>
      </c>
      <c r="R92" t="s">
        <v>37</v>
      </c>
      <c r="S92" s="33">
        <v>0</v>
      </c>
      <c r="T92" s="13">
        <v>105.52</v>
      </c>
      <c r="U92" s="13">
        <v>48.539200000000001</v>
      </c>
      <c r="V92" s="21">
        <f>Table10[[#This Row],[Profit]]/Table10[[#This Row],[Sales]]</f>
        <v>0.46</v>
      </c>
    </row>
    <row r="93" spans="1:22" x14ac:dyDescent="0.2">
      <c r="A93">
        <v>92</v>
      </c>
      <c r="B93" t="s">
        <v>7609</v>
      </c>
      <c r="C93" s="1">
        <v>42402</v>
      </c>
      <c r="D93" s="22">
        <f>MONTH(Table10[[#This Row],[Order Date]])</f>
        <v>2</v>
      </c>
      <c r="E93" t="s">
        <v>7610</v>
      </c>
      <c r="F93" t="s">
        <v>7611</v>
      </c>
      <c r="G93" s="23" t="s">
        <v>41</v>
      </c>
      <c r="H93" s="23" t="s">
        <v>53</v>
      </c>
      <c r="I93" t="s">
        <v>3378</v>
      </c>
      <c r="J93" t="s">
        <v>22</v>
      </c>
      <c r="K93" s="22">
        <v>2</v>
      </c>
      <c r="L93" s="1">
        <v>42407</v>
      </c>
      <c r="M93" s="22">
        <f>Table10[[#This Row],[Ship Date]]-Table10[[#This Row],[Order Date]]</f>
        <v>5</v>
      </c>
      <c r="N93" t="s">
        <v>45</v>
      </c>
      <c r="O93" t="s">
        <v>23</v>
      </c>
      <c r="P93" t="s">
        <v>238</v>
      </c>
      <c r="Q93" t="s">
        <v>133</v>
      </c>
      <c r="R93" t="s">
        <v>237</v>
      </c>
      <c r="S93" s="33">
        <v>0</v>
      </c>
      <c r="T93" s="13">
        <v>117.96</v>
      </c>
      <c r="U93" s="13">
        <v>5.8979999999999997</v>
      </c>
      <c r="V93" s="21">
        <f>Table10[[#This Row],[Profit]]/Table10[[#This Row],[Sales]]</f>
        <v>0.05</v>
      </c>
    </row>
    <row r="94" spans="1:22" x14ac:dyDescent="0.2">
      <c r="A94">
        <v>93</v>
      </c>
      <c r="B94" t="s">
        <v>9284</v>
      </c>
      <c r="C94" s="1">
        <v>42402</v>
      </c>
      <c r="D94" s="22">
        <f>MONTH(Table10[[#This Row],[Order Date]])</f>
        <v>2</v>
      </c>
      <c r="E94" t="s">
        <v>6505</v>
      </c>
      <c r="F94" t="s">
        <v>6506</v>
      </c>
      <c r="G94" s="23" t="s">
        <v>64</v>
      </c>
      <c r="H94" s="23" t="s">
        <v>602</v>
      </c>
      <c r="I94" t="s">
        <v>2478</v>
      </c>
      <c r="J94" t="s">
        <v>22</v>
      </c>
      <c r="K94" s="22">
        <v>5</v>
      </c>
      <c r="L94" s="1">
        <v>42404</v>
      </c>
      <c r="M94" s="22">
        <f>Table10[[#This Row],[Ship Date]]-Table10[[#This Row],[Order Date]]</f>
        <v>2</v>
      </c>
      <c r="N94" t="s">
        <v>20</v>
      </c>
      <c r="O94" t="s">
        <v>23</v>
      </c>
      <c r="P94" t="s">
        <v>285</v>
      </c>
      <c r="Q94" t="s">
        <v>26</v>
      </c>
      <c r="R94" t="s">
        <v>997</v>
      </c>
      <c r="S94" s="33">
        <v>0</v>
      </c>
      <c r="T94" s="13">
        <v>8749.9500000000007</v>
      </c>
      <c r="U94" s="13">
        <v>2799.9839999999999</v>
      </c>
      <c r="V94" s="21">
        <f>Table10[[#This Row],[Profit]]/Table10[[#This Row],[Sales]]</f>
        <v>0.31999999999999995</v>
      </c>
    </row>
    <row r="95" spans="1:22" x14ac:dyDescent="0.2">
      <c r="A95">
        <v>94</v>
      </c>
      <c r="B95" t="s">
        <v>9284</v>
      </c>
      <c r="C95" s="1">
        <v>42402</v>
      </c>
      <c r="D95" s="22">
        <f>MONTH(Table10[[#This Row],[Order Date]])</f>
        <v>2</v>
      </c>
      <c r="E95" t="s">
        <v>901</v>
      </c>
      <c r="F95" t="s">
        <v>902</v>
      </c>
      <c r="G95" s="23" t="s">
        <v>41</v>
      </c>
      <c r="H95" s="23" t="s">
        <v>68</v>
      </c>
      <c r="I95" t="s">
        <v>2478</v>
      </c>
      <c r="J95" t="s">
        <v>22</v>
      </c>
      <c r="K95" s="22">
        <v>8</v>
      </c>
      <c r="L95" s="1">
        <v>42404</v>
      </c>
      <c r="M95" s="22">
        <f>Table10[[#This Row],[Ship Date]]-Table10[[#This Row],[Order Date]]</f>
        <v>2</v>
      </c>
      <c r="N95" t="s">
        <v>20</v>
      </c>
      <c r="O95" t="s">
        <v>23</v>
      </c>
      <c r="P95" t="s">
        <v>285</v>
      </c>
      <c r="Q95" t="s">
        <v>26</v>
      </c>
      <c r="R95" t="s">
        <v>997</v>
      </c>
      <c r="S95" s="33">
        <v>0</v>
      </c>
      <c r="T95" s="13">
        <v>36.4</v>
      </c>
      <c r="U95" s="13">
        <v>18.2</v>
      </c>
      <c r="V95" s="21">
        <f>Table10[[#This Row],[Profit]]/Table10[[#This Row],[Sales]]</f>
        <v>0.5</v>
      </c>
    </row>
    <row r="96" spans="1:22" x14ac:dyDescent="0.2">
      <c r="A96">
        <v>95</v>
      </c>
      <c r="B96" t="s">
        <v>9284</v>
      </c>
      <c r="C96" s="1">
        <v>42402</v>
      </c>
      <c r="D96" s="22">
        <f>MONTH(Table10[[#This Row],[Order Date]])</f>
        <v>2</v>
      </c>
      <c r="E96" t="s">
        <v>6115</v>
      </c>
      <c r="F96" t="s">
        <v>6116</v>
      </c>
      <c r="G96" s="23" t="s">
        <v>28</v>
      </c>
      <c r="H96" s="23" t="s">
        <v>58</v>
      </c>
      <c r="I96" t="s">
        <v>2478</v>
      </c>
      <c r="J96" t="s">
        <v>22</v>
      </c>
      <c r="K96" s="22">
        <v>7</v>
      </c>
      <c r="L96" s="1">
        <v>42404</v>
      </c>
      <c r="M96" s="22">
        <f>Table10[[#This Row],[Ship Date]]-Table10[[#This Row],[Order Date]]</f>
        <v>2</v>
      </c>
      <c r="N96" t="s">
        <v>20</v>
      </c>
      <c r="O96" t="s">
        <v>23</v>
      </c>
      <c r="P96" t="s">
        <v>285</v>
      </c>
      <c r="Q96" t="s">
        <v>26</v>
      </c>
      <c r="R96" t="s">
        <v>997</v>
      </c>
      <c r="S96" s="33">
        <v>0</v>
      </c>
      <c r="T96" s="13">
        <v>18.690000000000001</v>
      </c>
      <c r="U96" s="13">
        <v>7.1021999999999998</v>
      </c>
      <c r="V96" s="21">
        <f>Table10[[#This Row],[Profit]]/Table10[[#This Row],[Sales]]</f>
        <v>0.37999999999999995</v>
      </c>
    </row>
    <row r="97" spans="1:22" x14ac:dyDescent="0.2">
      <c r="A97">
        <v>96</v>
      </c>
      <c r="B97" t="s">
        <v>9295</v>
      </c>
      <c r="C97" s="1">
        <v>42402</v>
      </c>
      <c r="D97" s="22">
        <f>MONTH(Table10[[#This Row],[Order Date]])</f>
        <v>2</v>
      </c>
      <c r="E97" t="s">
        <v>2535</v>
      </c>
      <c r="F97" t="s">
        <v>2536</v>
      </c>
      <c r="G97" s="23" t="s">
        <v>28</v>
      </c>
      <c r="H97" s="23" t="s">
        <v>58</v>
      </c>
      <c r="I97" t="s">
        <v>2725</v>
      </c>
      <c r="J97" t="s">
        <v>36</v>
      </c>
      <c r="K97" s="22">
        <v>2</v>
      </c>
      <c r="L97" s="1">
        <v>42408</v>
      </c>
      <c r="M97" s="22">
        <f>Table10[[#This Row],[Ship Date]]-Table10[[#This Row],[Order Date]]</f>
        <v>6</v>
      </c>
      <c r="N97" t="s">
        <v>45</v>
      </c>
      <c r="O97" t="s">
        <v>23</v>
      </c>
      <c r="P97" t="s">
        <v>94</v>
      </c>
      <c r="Q97" t="s">
        <v>95</v>
      </c>
      <c r="R97" t="s">
        <v>165</v>
      </c>
      <c r="S97" s="33">
        <v>0.6</v>
      </c>
      <c r="T97" s="13">
        <v>73.784000000000006</v>
      </c>
      <c r="U97" s="13">
        <v>-77.473200000000006</v>
      </c>
      <c r="V97" s="21">
        <f>Table10[[#This Row],[Profit]]/Table10[[#This Row],[Sales]]</f>
        <v>-1.05</v>
      </c>
    </row>
    <row r="98" spans="1:22" x14ac:dyDescent="0.2">
      <c r="A98">
        <v>97</v>
      </c>
      <c r="B98" t="s">
        <v>7697</v>
      </c>
      <c r="C98" s="1">
        <v>42403</v>
      </c>
      <c r="D98" s="22">
        <f>MONTH(Table10[[#This Row],[Order Date]])</f>
        <v>2</v>
      </c>
      <c r="E98" t="s">
        <v>1316</v>
      </c>
      <c r="F98" t="s">
        <v>1317</v>
      </c>
      <c r="G98" s="23" t="s">
        <v>28</v>
      </c>
      <c r="H98" s="23" t="s">
        <v>32</v>
      </c>
      <c r="I98" t="s">
        <v>5876</v>
      </c>
      <c r="J98" t="s">
        <v>22</v>
      </c>
      <c r="K98" s="22">
        <v>4</v>
      </c>
      <c r="L98" s="1">
        <v>42410</v>
      </c>
      <c r="M98" s="22">
        <f>Table10[[#This Row],[Ship Date]]-Table10[[#This Row],[Order Date]]</f>
        <v>7</v>
      </c>
      <c r="N98" t="s">
        <v>45</v>
      </c>
      <c r="O98" t="s">
        <v>23</v>
      </c>
      <c r="P98" t="s">
        <v>25</v>
      </c>
      <c r="Q98" t="s">
        <v>26</v>
      </c>
      <c r="R98" t="s">
        <v>1294</v>
      </c>
      <c r="S98" s="33">
        <v>0</v>
      </c>
      <c r="T98" s="13">
        <v>866.4</v>
      </c>
      <c r="U98" s="13">
        <v>225.26400000000001</v>
      </c>
      <c r="V98" s="21">
        <f>Table10[[#This Row],[Profit]]/Table10[[#This Row],[Sales]]</f>
        <v>0.26</v>
      </c>
    </row>
    <row r="99" spans="1:22" x14ac:dyDescent="0.2">
      <c r="A99">
        <v>98</v>
      </c>
      <c r="B99" t="s">
        <v>7875</v>
      </c>
      <c r="C99" s="1">
        <v>42404</v>
      </c>
      <c r="D99" s="22">
        <f>MONTH(Table10[[#This Row],[Order Date]])</f>
        <v>2</v>
      </c>
      <c r="E99" t="s">
        <v>3894</v>
      </c>
      <c r="F99" t="s">
        <v>3895</v>
      </c>
      <c r="G99" s="23" t="s">
        <v>28</v>
      </c>
      <c r="H99" s="23" t="s">
        <v>58</v>
      </c>
      <c r="I99" t="s">
        <v>147</v>
      </c>
      <c r="J99" t="s">
        <v>22</v>
      </c>
      <c r="K99" s="22">
        <v>2</v>
      </c>
      <c r="L99" s="1">
        <v>42408</v>
      </c>
      <c r="M99" s="22">
        <f>Table10[[#This Row],[Ship Date]]-Table10[[#This Row],[Order Date]]</f>
        <v>4</v>
      </c>
      <c r="N99" t="s">
        <v>45</v>
      </c>
      <c r="O99" t="s">
        <v>23</v>
      </c>
      <c r="P99" t="s">
        <v>277</v>
      </c>
      <c r="Q99" t="s">
        <v>39</v>
      </c>
      <c r="R99" t="s">
        <v>1882</v>
      </c>
      <c r="S99" s="33">
        <v>0.2</v>
      </c>
      <c r="T99" s="13">
        <v>14.368</v>
      </c>
      <c r="U99" s="13">
        <v>3.9512</v>
      </c>
      <c r="V99" s="21">
        <f>Table10[[#This Row],[Profit]]/Table10[[#This Row],[Sales]]</f>
        <v>0.27500000000000002</v>
      </c>
    </row>
    <row r="100" spans="1:22" x14ac:dyDescent="0.2">
      <c r="A100">
        <v>99</v>
      </c>
      <c r="B100" t="s">
        <v>9623</v>
      </c>
      <c r="C100" s="1">
        <v>42404</v>
      </c>
      <c r="D100" s="22">
        <f>MONTH(Table10[[#This Row],[Order Date]])</f>
        <v>2</v>
      </c>
      <c r="E100" t="s">
        <v>5190</v>
      </c>
      <c r="F100" t="s">
        <v>5191</v>
      </c>
      <c r="G100" s="23" t="s">
        <v>64</v>
      </c>
      <c r="H100" s="23" t="s">
        <v>65</v>
      </c>
      <c r="I100" t="s">
        <v>2428</v>
      </c>
      <c r="J100" t="s">
        <v>22</v>
      </c>
      <c r="K100" s="22">
        <v>2</v>
      </c>
      <c r="L100" s="1">
        <v>42410</v>
      </c>
      <c r="M100" s="22">
        <f>Table10[[#This Row],[Ship Date]]-Table10[[#This Row],[Order Date]]</f>
        <v>6</v>
      </c>
      <c r="N100" t="s">
        <v>45</v>
      </c>
      <c r="O100" t="s">
        <v>23</v>
      </c>
      <c r="P100" t="s">
        <v>2408</v>
      </c>
      <c r="Q100" t="s">
        <v>133</v>
      </c>
      <c r="R100" t="s">
        <v>2978</v>
      </c>
      <c r="S100" s="33">
        <v>0</v>
      </c>
      <c r="T100" s="13">
        <v>90.48</v>
      </c>
      <c r="U100" s="13">
        <v>23.524799999999999</v>
      </c>
      <c r="V100" s="21">
        <f>Table10[[#This Row],[Profit]]/Table10[[#This Row],[Sales]]</f>
        <v>0.25999999999999995</v>
      </c>
    </row>
    <row r="101" spans="1:22" x14ac:dyDescent="0.2">
      <c r="A101">
        <v>100</v>
      </c>
      <c r="B101" t="s">
        <v>9890</v>
      </c>
      <c r="C101" s="1">
        <v>42404</v>
      </c>
      <c r="D101" s="22">
        <f>MONTH(Table10[[#This Row],[Order Date]])</f>
        <v>2</v>
      </c>
      <c r="E101" t="s">
        <v>888</v>
      </c>
      <c r="F101" t="s">
        <v>889</v>
      </c>
      <c r="G101" s="23" t="s">
        <v>41</v>
      </c>
      <c r="H101" s="23" t="s">
        <v>53</v>
      </c>
      <c r="I101" t="s">
        <v>623</v>
      </c>
      <c r="J101" t="s">
        <v>36</v>
      </c>
      <c r="K101" s="22">
        <v>2</v>
      </c>
      <c r="L101" s="1">
        <v>42409</v>
      </c>
      <c r="M101" s="22">
        <f>Table10[[#This Row],[Ship Date]]-Table10[[#This Row],[Order Date]]</f>
        <v>5</v>
      </c>
      <c r="N101" t="s">
        <v>45</v>
      </c>
      <c r="O101" t="s">
        <v>23</v>
      </c>
      <c r="P101" t="s">
        <v>38</v>
      </c>
      <c r="Q101" t="s">
        <v>39</v>
      </c>
      <c r="R101" t="s">
        <v>37</v>
      </c>
      <c r="S101" s="33">
        <v>0</v>
      </c>
      <c r="T101" s="13">
        <v>93.02</v>
      </c>
      <c r="U101" s="13">
        <v>3.7208000000000001</v>
      </c>
      <c r="V101" s="21">
        <f>Table10[[#This Row],[Profit]]/Table10[[#This Row],[Sales]]</f>
        <v>0.04</v>
      </c>
    </row>
    <row r="102" spans="1:22" x14ac:dyDescent="0.2">
      <c r="A102">
        <v>101</v>
      </c>
      <c r="B102" t="s">
        <v>3343</v>
      </c>
      <c r="C102" s="1">
        <v>42405</v>
      </c>
      <c r="D102" s="22">
        <f>MONTH(Table10[[#This Row],[Order Date]])</f>
        <v>2</v>
      </c>
      <c r="E102" t="s">
        <v>2995</v>
      </c>
      <c r="F102" t="s">
        <v>2996</v>
      </c>
      <c r="G102" s="23" t="s">
        <v>41</v>
      </c>
      <c r="H102" s="23" t="s">
        <v>53</v>
      </c>
      <c r="I102" t="s">
        <v>3344</v>
      </c>
      <c r="J102" t="s">
        <v>92</v>
      </c>
      <c r="K102" s="22">
        <v>1</v>
      </c>
      <c r="L102" s="1">
        <v>42405</v>
      </c>
      <c r="M102" s="22">
        <f>Table10[[#This Row],[Ship Date]]-Table10[[#This Row],[Order Date]]</f>
        <v>0</v>
      </c>
      <c r="N102" t="s">
        <v>1141</v>
      </c>
      <c r="O102" t="s">
        <v>23</v>
      </c>
      <c r="P102" t="s">
        <v>1125</v>
      </c>
      <c r="Q102" t="s">
        <v>26</v>
      </c>
      <c r="R102" t="s">
        <v>3345</v>
      </c>
      <c r="S102" s="33">
        <v>0</v>
      </c>
      <c r="T102" s="13">
        <v>80.98</v>
      </c>
      <c r="U102" s="13">
        <v>1.6195999999999999</v>
      </c>
      <c r="V102" s="21">
        <f>Table10[[#This Row],[Profit]]/Table10[[#This Row],[Sales]]</f>
        <v>1.9999999999999997E-2</v>
      </c>
    </row>
    <row r="103" spans="1:22" x14ac:dyDescent="0.2">
      <c r="A103">
        <v>102</v>
      </c>
      <c r="B103" t="s">
        <v>3343</v>
      </c>
      <c r="C103" s="1">
        <v>42405</v>
      </c>
      <c r="D103" s="22">
        <f>MONTH(Table10[[#This Row],[Order Date]])</f>
        <v>2</v>
      </c>
      <c r="E103" t="s">
        <v>3346</v>
      </c>
      <c r="F103" t="s">
        <v>3347</v>
      </c>
      <c r="G103" s="23" t="s">
        <v>41</v>
      </c>
      <c r="H103" s="23" t="s">
        <v>82</v>
      </c>
      <c r="I103" t="s">
        <v>3344</v>
      </c>
      <c r="J103" t="s">
        <v>92</v>
      </c>
      <c r="K103" s="22">
        <v>9</v>
      </c>
      <c r="L103" s="1">
        <v>42405</v>
      </c>
      <c r="M103" s="22">
        <f>Table10[[#This Row],[Ship Date]]-Table10[[#This Row],[Order Date]]</f>
        <v>0</v>
      </c>
      <c r="N103" t="s">
        <v>1141</v>
      </c>
      <c r="O103" t="s">
        <v>23</v>
      </c>
      <c r="P103" t="s">
        <v>1125</v>
      </c>
      <c r="Q103" t="s">
        <v>26</v>
      </c>
      <c r="R103" t="s">
        <v>3345</v>
      </c>
      <c r="S103" s="33">
        <v>0</v>
      </c>
      <c r="T103" s="13">
        <v>348.84</v>
      </c>
      <c r="U103" s="13">
        <v>170.9316</v>
      </c>
      <c r="V103" s="21">
        <f>Table10[[#This Row],[Profit]]/Table10[[#This Row],[Sales]]</f>
        <v>0.49000000000000005</v>
      </c>
    </row>
    <row r="104" spans="1:22" x14ac:dyDescent="0.2">
      <c r="A104">
        <v>103</v>
      </c>
      <c r="B104" t="s">
        <v>3343</v>
      </c>
      <c r="C104" s="1">
        <v>42405</v>
      </c>
      <c r="D104" s="22">
        <f>MONTH(Table10[[#This Row],[Order Date]])</f>
        <v>2</v>
      </c>
      <c r="E104" t="s">
        <v>3348</v>
      </c>
      <c r="F104" t="s">
        <v>3349</v>
      </c>
      <c r="G104" s="23" t="s">
        <v>41</v>
      </c>
      <c r="H104" s="23" t="s">
        <v>240</v>
      </c>
      <c r="I104" t="s">
        <v>3344</v>
      </c>
      <c r="J104" t="s">
        <v>92</v>
      </c>
      <c r="K104" s="22">
        <v>5</v>
      </c>
      <c r="L104" s="1">
        <v>42405</v>
      </c>
      <c r="M104" s="22">
        <f>Table10[[#This Row],[Ship Date]]-Table10[[#This Row],[Order Date]]</f>
        <v>0</v>
      </c>
      <c r="N104" t="s">
        <v>1141</v>
      </c>
      <c r="O104" t="s">
        <v>23</v>
      </c>
      <c r="P104" t="s">
        <v>1125</v>
      </c>
      <c r="Q104" t="s">
        <v>26</v>
      </c>
      <c r="R104" t="s">
        <v>3345</v>
      </c>
      <c r="S104" s="33">
        <v>0</v>
      </c>
      <c r="T104" s="13">
        <v>9.4499999999999993</v>
      </c>
      <c r="U104" s="13">
        <v>0.189</v>
      </c>
      <c r="V104" s="21">
        <f>Table10[[#This Row],[Profit]]/Table10[[#This Row],[Sales]]</f>
        <v>0.02</v>
      </c>
    </row>
    <row r="105" spans="1:22" x14ac:dyDescent="0.2">
      <c r="A105">
        <v>104</v>
      </c>
      <c r="B105" t="s">
        <v>3343</v>
      </c>
      <c r="C105" s="1">
        <v>42405</v>
      </c>
      <c r="D105" s="22">
        <f>MONTH(Table10[[#This Row],[Order Date]])</f>
        <v>2</v>
      </c>
      <c r="E105" t="s">
        <v>955</v>
      </c>
      <c r="F105" t="s">
        <v>3350</v>
      </c>
      <c r="G105" s="23" t="s">
        <v>28</v>
      </c>
      <c r="H105" s="23" t="s">
        <v>58</v>
      </c>
      <c r="I105" t="s">
        <v>3344</v>
      </c>
      <c r="J105" t="s">
        <v>92</v>
      </c>
      <c r="K105" s="22">
        <v>3</v>
      </c>
      <c r="L105" s="1">
        <v>42405</v>
      </c>
      <c r="M105" s="22">
        <f>Table10[[#This Row],[Ship Date]]-Table10[[#This Row],[Order Date]]</f>
        <v>0</v>
      </c>
      <c r="N105" t="s">
        <v>1141</v>
      </c>
      <c r="O105" t="s">
        <v>23</v>
      </c>
      <c r="P105" t="s">
        <v>1125</v>
      </c>
      <c r="Q105" t="s">
        <v>26</v>
      </c>
      <c r="R105" t="s">
        <v>3345</v>
      </c>
      <c r="S105" s="33">
        <v>0</v>
      </c>
      <c r="T105" s="13">
        <v>18.84</v>
      </c>
      <c r="U105" s="13">
        <v>7.1592000000000002</v>
      </c>
      <c r="V105" s="21">
        <f>Table10[[#This Row],[Profit]]/Table10[[#This Row],[Sales]]</f>
        <v>0.38</v>
      </c>
    </row>
    <row r="106" spans="1:22" x14ac:dyDescent="0.2">
      <c r="A106">
        <v>105</v>
      </c>
      <c r="B106" t="s">
        <v>3343</v>
      </c>
      <c r="C106" s="1">
        <v>42405</v>
      </c>
      <c r="D106" s="22">
        <f>MONTH(Table10[[#This Row],[Order Date]])</f>
        <v>2</v>
      </c>
      <c r="E106" t="s">
        <v>1966</v>
      </c>
      <c r="F106" t="s">
        <v>1967</v>
      </c>
      <c r="G106" s="23" t="s">
        <v>28</v>
      </c>
      <c r="H106" s="23" t="s">
        <v>29</v>
      </c>
      <c r="I106" t="s">
        <v>3344</v>
      </c>
      <c r="J106" t="s">
        <v>92</v>
      </c>
      <c r="K106" s="22">
        <v>2</v>
      </c>
      <c r="L106" s="1">
        <v>42405</v>
      </c>
      <c r="M106" s="22">
        <f>Table10[[#This Row],[Ship Date]]-Table10[[#This Row],[Order Date]]</f>
        <v>0</v>
      </c>
      <c r="N106" t="s">
        <v>1141</v>
      </c>
      <c r="O106" t="s">
        <v>23</v>
      </c>
      <c r="P106" t="s">
        <v>1125</v>
      </c>
      <c r="Q106" t="s">
        <v>26</v>
      </c>
      <c r="R106" t="s">
        <v>3345</v>
      </c>
      <c r="S106" s="33">
        <v>0</v>
      </c>
      <c r="T106" s="13">
        <v>239.98</v>
      </c>
      <c r="U106" s="13">
        <v>52.7956</v>
      </c>
      <c r="V106" s="21">
        <f>Table10[[#This Row],[Profit]]/Table10[[#This Row],[Sales]]</f>
        <v>0.22</v>
      </c>
    </row>
    <row r="107" spans="1:22" x14ac:dyDescent="0.2">
      <c r="A107">
        <v>106</v>
      </c>
      <c r="B107" t="s">
        <v>3343</v>
      </c>
      <c r="C107" s="1">
        <v>42405</v>
      </c>
      <c r="D107" s="22">
        <f>MONTH(Table10[[#This Row],[Order Date]])</f>
        <v>2</v>
      </c>
      <c r="E107" t="s">
        <v>3351</v>
      </c>
      <c r="F107" t="s">
        <v>3352</v>
      </c>
      <c r="G107" s="23" t="s">
        <v>41</v>
      </c>
      <c r="H107" s="23" t="s">
        <v>155</v>
      </c>
      <c r="I107" t="s">
        <v>3344</v>
      </c>
      <c r="J107" t="s">
        <v>92</v>
      </c>
      <c r="K107" s="22">
        <v>2</v>
      </c>
      <c r="L107" s="1">
        <v>42405</v>
      </c>
      <c r="M107" s="22">
        <f>Table10[[#This Row],[Ship Date]]-Table10[[#This Row],[Order Date]]</f>
        <v>0</v>
      </c>
      <c r="N107" t="s">
        <v>1141</v>
      </c>
      <c r="O107" t="s">
        <v>23</v>
      </c>
      <c r="P107" t="s">
        <v>1125</v>
      </c>
      <c r="Q107" t="s">
        <v>26</v>
      </c>
      <c r="R107" t="s">
        <v>3345</v>
      </c>
      <c r="S107" s="33">
        <v>0</v>
      </c>
      <c r="T107" s="13">
        <v>167.96</v>
      </c>
      <c r="U107" s="13">
        <v>78.941199999999995</v>
      </c>
      <c r="V107" s="21">
        <f>Table10[[#This Row],[Profit]]/Table10[[#This Row],[Sales]]</f>
        <v>0.47</v>
      </c>
    </row>
    <row r="108" spans="1:22" x14ac:dyDescent="0.2">
      <c r="A108">
        <v>107</v>
      </c>
      <c r="B108" t="s">
        <v>3343</v>
      </c>
      <c r="C108" s="1">
        <v>42405</v>
      </c>
      <c r="D108" s="22">
        <f>MONTH(Table10[[#This Row],[Order Date]])</f>
        <v>2</v>
      </c>
      <c r="E108" t="s">
        <v>542</v>
      </c>
      <c r="F108" t="s">
        <v>543</v>
      </c>
      <c r="G108" s="23" t="s">
        <v>64</v>
      </c>
      <c r="H108" s="23" t="s">
        <v>65</v>
      </c>
      <c r="I108" t="s">
        <v>3344</v>
      </c>
      <c r="J108" t="s">
        <v>92</v>
      </c>
      <c r="K108" s="22">
        <v>3</v>
      </c>
      <c r="L108" s="1">
        <v>42405</v>
      </c>
      <c r="M108" s="22">
        <f>Table10[[#This Row],[Ship Date]]-Table10[[#This Row],[Order Date]]</f>
        <v>0</v>
      </c>
      <c r="N108" t="s">
        <v>1141</v>
      </c>
      <c r="O108" t="s">
        <v>23</v>
      </c>
      <c r="P108" t="s">
        <v>1125</v>
      </c>
      <c r="Q108" t="s">
        <v>26</v>
      </c>
      <c r="R108" t="s">
        <v>3345</v>
      </c>
      <c r="S108" s="33">
        <v>0</v>
      </c>
      <c r="T108" s="13">
        <v>104.85</v>
      </c>
      <c r="U108" s="13">
        <v>28.3095</v>
      </c>
      <c r="V108" s="21">
        <f>Table10[[#This Row],[Profit]]/Table10[[#This Row],[Sales]]</f>
        <v>0.27</v>
      </c>
    </row>
    <row r="109" spans="1:22" x14ac:dyDescent="0.2">
      <c r="A109">
        <v>108</v>
      </c>
      <c r="B109" t="s">
        <v>3343</v>
      </c>
      <c r="C109" s="1">
        <v>42405</v>
      </c>
      <c r="D109" s="22">
        <f>MONTH(Table10[[#This Row],[Order Date]])</f>
        <v>2</v>
      </c>
      <c r="E109" t="s">
        <v>1052</v>
      </c>
      <c r="F109" t="s">
        <v>1053</v>
      </c>
      <c r="G109" s="23" t="s">
        <v>64</v>
      </c>
      <c r="H109" s="23" t="s">
        <v>65</v>
      </c>
      <c r="I109" t="s">
        <v>3344</v>
      </c>
      <c r="J109" t="s">
        <v>92</v>
      </c>
      <c r="K109" s="22">
        <v>3</v>
      </c>
      <c r="L109" s="1">
        <v>42405</v>
      </c>
      <c r="M109" s="22">
        <f>Table10[[#This Row],[Ship Date]]-Table10[[#This Row],[Order Date]]</f>
        <v>0</v>
      </c>
      <c r="N109" t="s">
        <v>1141</v>
      </c>
      <c r="O109" t="s">
        <v>23</v>
      </c>
      <c r="P109" t="s">
        <v>1125</v>
      </c>
      <c r="Q109" t="s">
        <v>26</v>
      </c>
      <c r="R109" t="s">
        <v>3345</v>
      </c>
      <c r="S109" s="33">
        <v>0</v>
      </c>
      <c r="T109" s="13">
        <v>484.83</v>
      </c>
      <c r="U109" s="13">
        <v>126.0558</v>
      </c>
      <c r="V109" s="21">
        <f>Table10[[#This Row],[Profit]]/Table10[[#This Row],[Sales]]</f>
        <v>0.26</v>
      </c>
    </row>
    <row r="110" spans="1:22" x14ac:dyDescent="0.2">
      <c r="A110">
        <v>109</v>
      </c>
      <c r="B110" t="s">
        <v>3343</v>
      </c>
      <c r="C110" s="1">
        <v>42405</v>
      </c>
      <c r="D110" s="22">
        <f>MONTH(Table10[[#This Row],[Order Date]])</f>
        <v>2</v>
      </c>
      <c r="E110" t="s">
        <v>1532</v>
      </c>
      <c r="F110" t="s">
        <v>1533</v>
      </c>
      <c r="G110" s="23" t="s">
        <v>41</v>
      </c>
      <c r="H110" s="23" t="s">
        <v>82</v>
      </c>
      <c r="I110" t="s">
        <v>3344</v>
      </c>
      <c r="J110" t="s">
        <v>92</v>
      </c>
      <c r="K110" s="22">
        <v>3</v>
      </c>
      <c r="L110" s="1">
        <v>42405</v>
      </c>
      <c r="M110" s="22">
        <f>Table10[[#This Row],[Ship Date]]-Table10[[#This Row],[Order Date]]</f>
        <v>0</v>
      </c>
      <c r="N110" t="s">
        <v>1141</v>
      </c>
      <c r="O110" t="s">
        <v>23</v>
      </c>
      <c r="P110" t="s">
        <v>1125</v>
      </c>
      <c r="Q110" t="s">
        <v>26</v>
      </c>
      <c r="R110" t="s">
        <v>3345</v>
      </c>
      <c r="S110" s="33">
        <v>0</v>
      </c>
      <c r="T110" s="13">
        <v>122.97</v>
      </c>
      <c r="U110" s="13">
        <v>60.255299999999998</v>
      </c>
      <c r="V110" s="21">
        <f>Table10[[#This Row],[Profit]]/Table10[[#This Row],[Sales]]</f>
        <v>0.49</v>
      </c>
    </row>
    <row r="111" spans="1:22" x14ac:dyDescent="0.2">
      <c r="A111">
        <v>110</v>
      </c>
      <c r="B111" t="s">
        <v>3343</v>
      </c>
      <c r="C111" s="1">
        <v>42405</v>
      </c>
      <c r="D111" s="22">
        <f>MONTH(Table10[[#This Row],[Order Date]])</f>
        <v>2</v>
      </c>
      <c r="E111" t="s">
        <v>847</v>
      </c>
      <c r="F111" t="s">
        <v>848</v>
      </c>
      <c r="G111" s="23" t="s">
        <v>41</v>
      </c>
      <c r="H111" s="23" t="s">
        <v>53</v>
      </c>
      <c r="I111" t="s">
        <v>3344</v>
      </c>
      <c r="J111" t="s">
        <v>92</v>
      </c>
      <c r="K111" s="22">
        <v>3</v>
      </c>
      <c r="L111" s="1">
        <v>42405</v>
      </c>
      <c r="M111" s="22">
        <f>Table10[[#This Row],[Ship Date]]-Table10[[#This Row],[Order Date]]</f>
        <v>0</v>
      </c>
      <c r="N111" t="s">
        <v>1141</v>
      </c>
      <c r="O111" t="s">
        <v>23</v>
      </c>
      <c r="P111" t="s">
        <v>1125</v>
      </c>
      <c r="Q111" t="s">
        <v>26</v>
      </c>
      <c r="R111" t="s">
        <v>3345</v>
      </c>
      <c r="S111" s="33">
        <v>0</v>
      </c>
      <c r="T111" s="13">
        <v>154.44</v>
      </c>
      <c r="U111" s="13">
        <v>1.5444</v>
      </c>
      <c r="V111" s="21">
        <f>Table10[[#This Row],[Profit]]/Table10[[#This Row],[Sales]]</f>
        <v>0.01</v>
      </c>
    </row>
    <row r="112" spans="1:22" x14ac:dyDescent="0.2">
      <c r="A112">
        <v>111</v>
      </c>
      <c r="B112" t="s">
        <v>3343</v>
      </c>
      <c r="C112" s="1">
        <v>42405</v>
      </c>
      <c r="D112" s="22">
        <f>MONTH(Table10[[#This Row],[Order Date]])</f>
        <v>2</v>
      </c>
      <c r="E112" t="s">
        <v>265</v>
      </c>
      <c r="F112" t="s">
        <v>266</v>
      </c>
      <c r="G112" s="23" t="s">
        <v>41</v>
      </c>
      <c r="H112" s="23" t="s">
        <v>82</v>
      </c>
      <c r="I112" t="s">
        <v>3344</v>
      </c>
      <c r="J112" t="s">
        <v>92</v>
      </c>
      <c r="K112" s="22">
        <v>7</v>
      </c>
      <c r="L112" s="1">
        <v>42405</v>
      </c>
      <c r="M112" s="22">
        <f>Table10[[#This Row],[Ship Date]]-Table10[[#This Row],[Order Date]]</f>
        <v>0</v>
      </c>
      <c r="N112" t="s">
        <v>1141</v>
      </c>
      <c r="O112" t="s">
        <v>23</v>
      </c>
      <c r="P112" t="s">
        <v>1125</v>
      </c>
      <c r="Q112" t="s">
        <v>26</v>
      </c>
      <c r="R112" t="s">
        <v>3345</v>
      </c>
      <c r="S112" s="33">
        <v>0</v>
      </c>
      <c r="T112" s="13">
        <v>342.37</v>
      </c>
      <c r="U112" s="13">
        <v>160.91390000000001</v>
      </c>
      <c r="V112" s="21">
        <f>Table10[[#This Row],[Profit]]/Table10[[#This Row],[Sales]]</f>
        <v>0.47000000000000003</v>
      </c>
    </row>
    <row r="113" spans="1:22" x14ac:dyDescent="0.2">
      <c r="A113">
        <v>112</v>
      </c>
      <c r="B113" t="s">
        <v>9074</v>
      </c>
      <c r="C113" s="1">
        <v>42405</v>
      </c>
      <c r="D113" s="22">
        <f>MONTH(Table10[[#This Row],[Order Date]])</f>
        <v>2</v>
      </c>
      <c r="E113" t="s">
        <v>2081</v>
      </c>
      <c r="F113" t="s">
        <v>2082</v>
      </c>
      <c r="G113" s="23" t="s">
        <v>41</v>
      </c>
      <c r="H113" s="23" t="s">
        <v>42</v>
      </c>
      <c r="I113" t="s">
        <v>4881</v>
      </c>
      <c r="J113" t="s">
        <v>22</v>
      </c>
      <c r="K113" s="22">
        <v>3</v>
      </c>
      <c r="L113" s="1">
        <v>42410</v>
      </c>
      <c r="M113" s="22">
        <f>Table10[[#This Row],[Ship Date]]-Table10[[#This Row],[Order Date]]</f>
        <v>5</v>
      </c>
      <c r="N113" t="s">
        <v>45</v>
      </c>
      <c r="O113" t="s">
        <v>23</v>
      </c>
      <c r="P113" t="s">
        <v>38</v>
      </c>
      <c r="Q113" t="s">
        <v>39</v>
      </c>
      <c r="R113" t="s">
        <v>836</v>
      </c>
      <c r="S113" s="33">
        <v>0</v>
      </c>
      <c r="T113" s="13">
        <v>14.73</v>
      </c>
      <c r="U113" s="13">
        <v>7.2176999999999998</v>
      </c>
      <c r="V113" s="21">
        <f>Table10[[#This Row],[Profit]]/Table10[[#This Row],[Sales]]</f>
        <v>0.49</v>
      </c>
    </row>
    <row r="114" spans="1:22" x14ac:dyDescent="0.2">
      <c r="A114">
        <v>113</v>
      </c>
      <c r="B114" t="s">
        <v>9074</v>
      </c>
      <c r="C114" s="1">
        <v>42405</v>
      </c>
      <c r="D114" s="22">
        <f>MONTH(Table10[[#This Row],[Order Date]])</f>
        <v>2</v>
      </c>
      <c r="E114" t="s">
        <v>2833</v>
      </c>
      <c r="F114" t="s">
        <v>2834</v>
      </c>
      <c r="G114" s="23" t="s">
        <v>41</v>
      </c>
      <c r="H114" s="23" t="s">
        <v>53</v>
      </c>
      <c r="I114" t="s">
        <v>4881</v>
      </c>
      <c r="J114" t="s">
        <v>22</v>
      </c>
      <c r="K114" s="22">
        <v>3</v>
      </c>
      <c r="L114" s="1">
        <v>42410</v>
      </c>
      <c r="M114" s="22">
        <f>Table10[[#This Row],[Ship Date]]-Table10[[#This Row],[Order Date]]</f>
        <v>5</v>
      </c>
      <c r="N114" t="s">
        <v>45</v>
      </c>
      <c r="O114" t="s">
        <v>23</v>
      </c>
      <c r="P114" t="s">
        <v>38</v>
      </c>
      <c r="Q114" t="s">
        <v>39</v>
      </c>
      <c r="R114" t="s">
        <v>836</v>
      </c>
      <c r="S114" s="33">
        <v>0</v>
      </c>
      <c r="T114" s="13">
        <v>186.54</v>
      </c>
      <c r="U114" s="13">
        <v>50.3658</v>
      </c>
      <c r="V114" s="21">
        <f>Table10[[#This Row],[Profit]]/Table10[[#This Row],[Sales]]</f>
        <v>0.27</v>
      </c>
    </row>
    <row r="115" spans="1:22" x14ac:dyDescent="0.2">
      <c r="A115">
        <v>114</v>
      </c>
      <c r="B115" t="s">
        <v>9074</v>
      </c>
      <c r="C115" s="1">
        <v>42405</v>
      </c>
      <c r="D115" s="22">
        <f>MONTH(Table10[[#This Row],[Order Date]])</f>
        <v>2</v>
      </c>
      <c r="E115" t="s">
        <v>2112</v>
      </c>
      <c r="F115" t="s">
        <v>2113</v>
      </c>
      <c r="G115" s="23" t="s">
        <v>28</v>
      </c>
      <c r="H115" s="23" t="s">
        <v>50</v>
      </c>
      <c r="I115" t="s">
        <v>4881</v>
      </c>
      <c r="J115" t="s">
        <v>22</v>
      </c>
      <c r="K115" s="22">
        <v>4</v>
      </c>
      <c r="L115" s="1">
        <v>42410</v>
      </c>
      <c r="M115" s="22">
        <f>Table10[[#This Row],[Ship Date]]-Table10[[#This Row],[Order Date]]</f>
        <v>5</v>
      </c>
      <c r="N115" t="s">
        <v>45</v>
      </c>
      <c r="O115" t="s">
        <v>23</v>
      </c>
      <c r="P115" t="s">
        <v>38</v>
      </c>
      <c r="Q115" t="s">
        <v>39</v>
      </c>
      <c r="R115" t="s">
        <v>836</v>
      </c>
      <c r="S115" s="33">
        <v>0.2</v>
      </c>
      <c r="T115" s="13">
        <v>557.72799999999995</v>
      </c>
      <c r="U115" s="13">
        <v>6.9715999999999996</v>
      </c>
      <c r="V115" s="21">
        <f>Table10[[#This Row],[Profit]]/Table10[[#This Row],[Sales]]</f>
        <v>1.2500000000000001E-2</v>
      </c>
    </row>
    <row r="116" spans="1:22" x14ac:dyDescent="0.2">
      <c r="A116">
        <v>115</v>
      </c>
      <c r="B116" t="s">
        <v>9074</v>
      </c>
      <c r="C116" s="1">
        <v>42405</v>
      </c>
      <c r="D116" s="22">
        <f>MONTH(Table10[[#This Row],[Order Date]])</f>
        <v>2</v>
      </c>
      <c r="E116" t="s">
        <v>544</v>
      </c>
      <c r="F116" t="s">
        <v>545</v>
      </c>
      <c r="G116" s="23" t="s">
        <v>64</v>
      </c>
      <c r="H116" s="23" t="s">
        <v>65</v>
      </c>
      <c r="I116" t="s">
        <v>4881</v>
      </c>
      <c r="J116" t="s">
        <v>22</v>
      </c>
      <c r="K116" s="22">
        <v>4</v>
      </c>
      <c r="L116" s="1">
        <v>42410</v>
      </c>
      <c r="M116" s="22">
        <f>Table10[[#This Row],[Ship Date]]-Table10[[#This Row],[Order Date]]</f>
        <v>5</v>
      </c>
      <c r="N116" t="s">
        <v>45</v>
      </c>
      <c r="O116" t="s">
        <v>23</v>
      </c>
      <c r="P116" t="s">
        <v>38</v>
      </c>
      <c r="Q116" t="s">
        <v>39</v>
      </c>
      <c r="R116" t="s">
        <v>836</v>
      </c>
      <c r="S116" s="33">
        <v>0.2</v>
      </c>
      <c r="T116" s="13">
        <v>159.96799999999999</v>
      </c>
      <c r="U116" s="13">
        <v>-31.993600000000001</v>
      </c>
      <c r="V116" s="21">
        <f>Table10[[#This Row],[Profit]]/Table10[[#This Row],[Sales]]</f>
        <v>-0.2</v>
      </c>
    </row>
    <row r="117" spans="1:22" x14ac:dyDescent="0.2">
      <c r="A117">
        <v>116</v>
      </c>
      <c r="B117" t="s">
        <v>7736</v>
      </c>
      <c r="C117" s="1">
        <v>42406</v>
      </c>
      <c r="D117" s="22">
        <f>MONTH(Table10[[#This Row],[Order Date]])</f>
        <v>2</v>
      </c>
      <c r="E117" t="s">
        <v>1644</v>
      </c>
      <c r="F117" t="s">
        <v>1645</v>
      </c>
      <c r="G117" s="23" t="s">
        <v>28</v>
      </c>
      <c r="H117" s="23" t="s">
        <v>58</v>
      </c>
      <c r="I117" t="s">
        <v>1599</v>
      </c>
      <c r="J117" t="s">
        <v>36</v>
      </c>
      <c r="K117" s="22">
        <v>4</v>
      </c>
      <c r="L117" s="1">
        <v>42411</v>
      </c>
      <c r="M117" s="22">
        <f>Table10[[#This Row],[Ship Date]]-Table10[[#This Row],[Order Date]]</f>
        <v>5</v>
      </c>
      <c r="N117" t="s">
        <v>45</v>
      </c>
      <c r="O117" t="s">
        <v>23</v>
      </c>
      <c r="P117" t="s">
        <v>299</v>
      </c>
      <c r="Q117" t="s">
        <v>26</v>
      </c>
      <c r="R117" t="s">
        <v>5570</v>
      </c>
      <c r="S117" s="33">
        <v>0.2</v>
      </c>
      <c r="T117" s="13">
        <v>132.22399999999999</v>
      </c>
      <c r="U117" s="13">
        <v>-18.180800000000001</v>
      </c>
      <c r="V117" s="21">
        <f>Table10[[#This Row],[Profit]]/Table10[[#This Row],[Sales]]</f>
        <v>-0.13750000000000001</v>
      </c>
    </row>
    <row r="118" spans="1:22" x14ac:dyDescent="0.2">
      <c r="A118">
        <v>117</v>
      </c>
      <c r="B118" t="s">
        <v>3912</v>
      </c>
      <c r="C118" s="1">
        <v>42407</v>
      </c>
      <c r="D118" s="22">
        <f>MONTH(Table10[[#This Row],[Order Date]])</f>
        <v>2</v>
      </c>
      <c r="E118" t="s">
        <v>3758</v>
      </c>
      <c r="F118" t="s">
        <v>3759</v>
      </c>
      <c r="G118" s="23" t="s">
        <v>64</v>
      </c>
      <c r="H118" s="23" t="s">
        <v>144</v>
      </c>
      <c r="I118" t="s">
        <v>1810</v>
      </c>
      <c r="J118" t="s">
        <v>22</v>
      </c>
      <c r="K118" s="22">
        <v>4</v>
      </c>
      <c r="L118" s="1">
        <v>42407</v>
      </c>
      <c r="M118" s="22">
        <f>Table10[[#This Row],[Ship Date]]-Table10[[#This Row],[Order Date]]</f>
        <v>0</v>
      </c>
      <c r="N118" t="s">
        <v>1141</v>
      </c>
      <c r="O118" t="s">
        <v>23</v>
      </c>
      <c r="P118" t="s">
        <v>285</v>
      </c>
      <c r="Q118" t="s">
        <v>26</v>
      </c>
      <c r="R118" t="s">
        <v>284</v>
      </c>
      <c r="S118" s="33">
        <v>0</v>
      </c>
      <c r="T118" s="13">
        <v>100</v>
      </c>
      <c r="U118" s="13">
        <v>21</v>
      </c>
      <c r="V118" s="21">
        <f>Table10[[#This Row],[Profit]]/Table10[[#This Row],[Sales]]</f>
        <v>0.21</v>
      </c>
    </row>
    <row r="119" spans="1:22" x14ac:dyDescent="0.2">
      <c r="A119">
        <v>118</v>
      </c>
      <c r="B119" t="s">
        <v>3912</v>
      </c>
      <c r="C119" s="1">
        <v>42407</v>
      </c>
      <c r="D119" s="22">
        <f>MONTH(Table10[[#This Row],[Order Date]])</f>
        <v>2</v>
      </c>
      <c r="E119" t="s">
        <v>2439</v>
      </c>
      <c r="F119" t="s">
        <v>2440</v>
      </c>
      <c r="G119" s="23" t="s">
        <v>41</v>
      </c>
      <c r="H119" s="23" t="s">
        <v>42</v>
      </c>
      <c r="I119" t="s">
        <v>1810</v>
      </c>
      <c r="J119" t="s">
        <v>22</v>
      </c>
      <c r="K119" s="22">
        <v>3</v>
      </c>
      <c r="L119" s="1">
        <v>42407</v>
      </c>
      <c r="M119" s="22">
        <f>Table10[[#This Row],[Ship Date]]-Table10[[#This Row],[Order Date]]</f>
        <v>0</v>
      </c>
      <c r="N119" t="s">
        <v>1141</v>
      </c>
      <c r="O119" t="s">
        <v>23</v>
      </c>
      <c r="P119" t="s">
        <v>285</v>
      </c>
      <c r="Q119" t="s">
        <v>26</v>
      </c>
      <c r="R119" t="s">
        <v>284</v>
      </c>
      <c r="S119" s="33">
        <v>0</v>
      </c>
      <c r="T119" s="13">
        <v>7.83</v>
      </c>
      <c r="U119" s="13">
        <v>3.6017999999999999</v>
      </c>
      <c r="V119" s="21">
        <f>Table10[[#This Row],[Profit]]/Table10[[#This Row],[Sales]]</f>
        <v>0.45999999999999996</v>
      </c>
    </row>
    <row r="120" spans="1:22" x14ac:dyDescent="0.2">
      <c r="A120">
        <v>119</v>
      </c>
      <c r="B120" t="s">
        <v>5194</v>
      </c>
      <c r="C120" s="1">
        <v>42407</v>
      </c>
      <c r="D120" s="22">
        <f>MONTH(Table10[[#This Row],[Order Date]])</f>
        <v>2</v>
      </c>
      <c r="E120" t="s">
        <v>1453</v>
      </c>
      <c r="F120" t="s">
        <v>1454</v>
      </c>
      <c r="G120" s="23" t="s">
        <v>41</v>
      </c>
      <c r="H120" s="23" t="s">
        <v>82</v>
      </c>
      <c r="I120" t="s">
        <v>5195</v>
      </c>
      <c r="J120" t="s">
        <v>22</v>
      </c>
      <c r="K120" s="22">
        <v>2</v>
      </c>
      <c r="L120" s="1">
        <v>42409</v>
      </c>
      <c r="M120" s="22">
        <f>Table10[[#This Row],[Ship Date]]-Table10[[#This Row],[Order Date]]</f>
        <v>2</v>
      </c>
      <c r="N120" t="s">
        <v>169</v>
      </c>
      <c r="O120" t="s">
        <v>23</v>
      </c>
      <c r="P120" t="s">
        <v>441</v>
      </c>
      <c r="Q120" t="s">
        <v>133</v>
      </c>
      <c r="R120" t="s">
        <v>2174</v>
      </c>
      <c r="S120" s="33">
        <v>0.2</v>
      </c>
      <c r="T120" s="13">
        <v>30.352</v>
      </c>
      <c r="U120" s="13">
        <v>10.623200000000001</v>
      </c>
      <c r="V120" s="21">
        <f>Table10[[#This Row],[Profit]]/Table10[[#This Row],[Sales]]</f>
        <v>0.35000000000000003</v>
      </c>
    </row>
    <row r="121" spans="1:22" x14ac:dyDescent="0.2">
      <c r="A121">
        <v>120</v>
      </c>
      <c r="B121" t="s">
        <v>9647</v>
      </c>
      <c r="C121" s="1">
        <v>42407</v>
      </c>
      <c r="D121" s="22">
        <f>MONTH(Table10[[#This Row],[Order Date]])</f>
        <v>2</v>
      </c>
      <c r="E121" t="s">
        <v>8419</v>
      </c>
      <c r="F121" t="s">
        <v>8420</v>
      </c>
      <c r="G121" s="23" t="s">
        <v>64</v>
      </c>
      <c r="H121" s="23" t="s">
        <v>65</v>
      </c>
      <c r="I121" t="s">
        <v>3179</v>
      </c>
      <c r="J121" t="s">
        <v>36</v>
      </c>
      <c r="K121" s="22">
        <v>5</v>
      </c>
      <c r="L121" s="1">
        <v>42410</v>
      </c>
      <c r="M121" s="22">
        <f>Table10[[#This Row],[Ship Date]]-Table10[[#This Row],[Order Date]]</f>
        <v>3</v>
      </c>
      <c r="N121" t="s">
        <v>20</v>
      </c>
      <c r="O121" t="s">
        <v>23</v>
      </c>
      <c r="P121" t="s">
        <v>38</v>
      </c>
      <c r="Q121" t="s">
        <v>39</v>
      </c>
      <c r="R121" t="s">
        <v>37</v>
      </c>
      <c r="S121" s="33">
        <v>0.2</v>
      </c>
      <c r="T121" s="13">
        <v>623.96</v>
      </c>
      <c r="U121" s="13">
        <v>38.997500000000002</v>
      </c>
      <c r="V121" s="21">
        <f>Table10[[#This Row],[Profit]]/Table10[[#This Row],[Sales]]</f>
        <v>6.25E-2</v>
      </c>
    </row>
    <row r="122" spans="1:22" x14ac:dyDescent="0.2">
      <c r="A122">
        <v>121</v>
      </c>
      <c r="B122" t="s">
        <v>4052</v>
      </c>
      <c r="C122" s="1">
        <v>42408</v>
      </c>
      <c r="D122" s="22">
        <f>MONTH(Table10[[#This Row],[Order Date]])</f>
        <v>2</v>
      </c>
      <c r="E122" t="s">
        <v>4055</v>
      </c>
      <c r="F122" t="s">
        <v>4056</v>
      </c>
      <c r="G122" s="23" t="s">
        <v>64</v>
      </c>
      <c r="H122" s="23" t="s">
        <v>65</v>
      </c>
      <c r="I122" t="s">
        <v>4053</v>
      </c>
      <c r="J122" t="s">
        <v>92</v>
      </c>
      <c r="K122" s="22">
        <v>3</v>
      </c>
      <c r="L122" s="1">
        <v>42411</v>
      </c>
      <c r="M122" s="22">
        <f>Table10[[#This Row],[Ship Date]]-Table10[[#This Row],[Order Date]]</f>
        <v>3</v>
      </c>
      <c r="N122" t="s">
        <v>20</v>
      </c>
      <c r="O122" t="s">
        <v>23</v>
      </c>
      <c r="P122" t="s">
        <v>80</v>
      </c>
      <c r="Q122" t="s">
        <v>26</v>
      </c>
      <c r="R122" t="s">
        <v>4054</v>
      </c>
      <c r="S122" s="33">
        <v>0.2</v>
      </c>
      <c r="T122" s="13">
        <v>1127.9760000000001</v>
      </c>
      <c r="U122" s="13">
        <v>126.8973</v>
      </c>
      <c r="V122" s="21">
        <f>Table10[[#This Row],[Profit]]/Table10[[#This Row],[Sales]]</f>
        <v>0.11249999999999999</v>
      </c>
    </row>
    <row r="123" spans="1:22" x14ac:dyDescent="0.2">
      <c r="A123">
        <v>122</v>
      </c>
      <c r="B123" t="s">
        <v>9213</v>
      </c>
      <c r="C123" s="1">
        <v>42408</v>
      </c>
      <c r="D123" s="22">
        <f>MONTH(Table10[[#This Row],[Order Date]])</f>
        <v>2</v>
      </c>
      <c r="E123" t="s">
        <v>2979</v>
      </c>
      <c r="F123" t="s">
        <v>2980</v>
      </c>
      <c r="G123" s="23" t="s">
        <v>28</v>
      </c>
      <c r="H123" s="23" t="s">
        <v>32</v>
      </c>
      <c r="I123" t="s">
        <v>7958</v>
      </c>
      <c r="J123" t="s">
        <v>36</v>
      </c>
      <c r="K123" s="22">
        <v>4</v>
      </c>
      <c r="L123" s="1">
        <v>42415</v>
      </c>
      <c r="M123" s="22">
        <f>Table10[[#This Row],[Ship Date]]-Table10[[#This Row],[Order Date]]</f>
        <v>7</v>
      </c>
      <c r="N123" t="s">
        <v>45</v>
      </c>
      <c r="O123" t="s">
        <v>23</v>
      </c>
      <c r="P123" t="s">
        <v>94</v>
      </c>
      <c r="Q123" t="s">
        <v>95</v>
      </c>
      <c r="R123" t="s">
        <v>165</v>
      </c>
      <c r="S123" s="33">
        <v>0.3</v>
      </c>
      <c r="T123" s="13">
        <v>241.5</v>
      </c>
      <c r="U123" s="13">
        <v>0</v>
      </c>
      <c r="V123" s="21">
        <f>Table10[[#This Row],[Profit]]/Table10[[#This Row],[Sales]]</f>
        <v>0</v>
      </c>
    </row>
    <row r="124" spans="1:22" x14ac:dyDescent="0.2">
      <c r="A124">
        <v>123</v>
      </c>
      <c r="B124" t="s">
        <v>9487</v>
      </c>
      <c r="C124" s="1">
        <v>42409</v>
      </c>
      <c r="D124" s="22">
        <f>MONTH(Table10[[#This Row],[Order Date]])</f>
        <v>2</v>
      </c>
      <c r="E124" t="s">
        <v>897</v>
      </c>
      <c r="F124" t="s">
        <v>898</v>
      </c>
      <c r="G124" s="23" t="s">
        <v>64</v>
      </c>
      <c r="H124" s="23" t="s">
        <v>144</v>
      </c>
      <c r="I124" t="s">
        <v>2434</v>
      </c>
      <c r="J124" t="s">
        <v>36</v>
      </c>
      <c r="K124" s="22">
        <v>3</v>
      </c>
      <c r="L124" s="1">
        <v>42413</v>
      </c>
      <c r="M124" s="22">
        <f>Table10[[#This Row],[Ship Date]]-Table10[[#This Row],[Order Date]]</f>
        <v>4</v>
      </c>
      <c r="N124" t="s">
        <v>45</v>
      </c>
      <c r="O124" t="s">
        <v>23</v>
      </c>
      <c r="P124" t="s">
        <v>38</v>
      </c>
      <c r="Q124" t="s">
        <v>39</v>
      </c>
      <c r="R124" t="s">
        <v>114</v>
      </c>
      <c r="S124" s="33">
        <v>0</v>
      </c>
      <c r="T124" s="13">
        <v>89.97</v>
      </c>
      <c r="U124" s="13">
        <v>39.586799999999997</v>
      </c>
      <c r="V124" s="21">
        <f>Table10[[#This Row],[Profit]]/Table10[[#This Row],[Sales]]</f>
        <v>0.43999999999999995</v>
      </c>
    </row>
    <row r="125" spans="1:22" x14ac:dyDescent="0.2">
      <c r="A125">
        <v>124</v>
      </c>
      <c r="B125" t="s">
        <v>9487</v>
      </c>
      <c r="C125" s="1">
        <v>42409</v>
      </c>
      <c r="D125" s="22">
        <f>MONTH(Table10[[#This Row],[Order Date]])</f>
        <v>2</v>
      </c>
      <c r="E125" t="s">
        <v>2720</v>
      </c>
      <c r="F125" t="s">
        <v>2721</v>
      </c>
      <c r="G125" s="23" t="s">
        <v>64</v>
      </c>
      <c r="H125" s="23" t="s">
        <v>144</v>
      </c>
      <c r="I125" t="s">
        <v>2434</v>
      </c>
      <c r="J125" t="s">
        <v>36</v>
      </c>
      <c r="K125" s="22">
        <v>2</v>
      </c>
      <c r="L125" s="1">
        <v>42413</v>
      </c>
      <c r="M125" s="22">
        <f>Table10[[#This Row],[Ship Date]]-Table10[[#This Row],[Order Date]]</f>
        <v>4</v>
      </c>
      <c r="N125" t="s">
        <v>45</v>
      </c>
      <c r="O125" t="s">
        <v>23</v>
      </c>
      <c r="P125" t="s">
        <v>38</v>
      </c>
      <c r="Q125" t="s">
        <v>39</v>
      </c>
      <c r="R125" t="s">
        <v>114</v>
      </c>
      <c r="S125" s="33">
        <v>0</v>
      </c>
      <c r="T125" s="13">
        <v>31.86</v>
      </c>
      <c r="U125" s="13">
        <v>11.151</v>
      </c>
      <c r="V125" s="21">
        <f>Table10[[#This Row],[Profit]]/Table10[[#This Row],[Sales]]</f>
        <v>0.35</v>
      </c>
    </row>
    <row r="126" spans="1:22" x14ac:dyDescent="0.2">
      <c r="A126">
        <v>125</v>
      </c>
      <c r="B126" t="s">
        <v>4015</v>
      </c>
      <c r="C126" s="1">
        <v>42411</v>
      </c>
      <c r="D126" s="22">
        <f>MONTH(Table10[[#This Row],[Order Date]])</f>
        <v>2</v>
      </c>
      <c r="E126" t="s">
        <v>4018</v>
      </c>
      <c r="F126" t="s">
        <v>4019</v>
      </c>
      <c r="G126" s="23" t="s">
        <v>64</v>
      </c>
      <c r="H126" s="23" t="s">
        <v>65</v>
      </c>
      <c r="I126" t="s">
        <v>4016</v>
      </c>
      <c r="J126" t="s">
        <v>36</v>
      </c>
      <c r="K126" s="22">
        <v>7</v>
      </c>
      <c r="L126" s="1">
        <v>42413</v>
      </c>
      <c r="M126" s="22">
        <f>Table10[[#This Row],[Ship Date]]-Table10[[#This Row],[Order Date]]</f>
        <v>2</v>
      </c>
      <c r="N126" t="s">
        <v>169</v>
      </c>
      <c r="O126" t="s">
        <v>23</v>
      </c>
      <c r="P126" t="s">
        <v>573</v>
      </c>
      <c r="Q126" t="s">
        <v>95</v>
      </c>
      <c r="R126" t="s">
        <v>4017</v>
      </c>
      <c r="S126" s="33">
        <v>0</v>
      </c>
      <c r="T126" s="13">
        <v>69.930000000000007</v>
      </c>
      <c r="U126" s="13">
        <v>0.69930000000000003</v>
      </c>
      <c r="V126" s="21">
        <f>Table10[[#This Row],[Profit]]/Table10[[#This Row],[Sales]]</f>
        <v>0.01</v>
      </c>
    </row>
    <row r="127" spans="1:22" x14ac:dyDescent="0.2">
      <c r="A127">
        <v>126</v>
      </c>
      <c r="B127" t="s">
        <v>8560</v>
      </c>
      <c r="C127" s="1">
        <v>42412</v>
      </c>
      <c r="D127" s="22">
        <f>MONTH(Table10[[#This Row],[Order Date]])</f>
        <v>2</v>
      </c>
      <c r="E127" t="s">
        <v>3101</v>
      </c>
      <c r="F127" t="s">
        <v>3102</v>
      </c>
      <c r="G127" s="23" t="s">
        <v>41</v>
      </c>
      <c r="H127" s="23" t="s">
        <v>53</v>
      </c>
      <c r="I127" t="s">
        <v>2658</v>
      </c>
      <c r="J127" t="s">
        <v>22</v>
      </c>
      <c r="K127" s="22">
        <v>6</v>
      </c>
      <c r="L127" s="1">
        <v>42414</v>
      </c>
      <c r="M127" s="22">
        <f>Table10[[#This Row],[Ship Date]]-Table10[[#This Row],[Order Date]]</f>
        <v>2</v>
      </c>
      <c r="N127" t="s">
        <v>169</v>
      </c>
      <c r="O127" t="s">
        <v>23</v>
      </c>
      <c r="P127" t="s">
        <v>1125</v>
      </c>
      <c r="Q127" t="s">
        <v>26</v>
      </c>
      <c r="R127" t="s">
        <v>1537</v>
      </c>
      <c r="S127" s="33">
        <v>0</v>
      </c>
      <c r="T127" s="13">
        <v>1350.12</v>
      </c>
      <c r="U127" s="13">
        <v>175.51560000000001</v>
      </c>
      <c r="V127" s="21">
        <f>Table10[[#This Row],[Profit]]/Table10[[#This Row],[Sales]]</f>
        <v>0.13</v>
      </c>
    </row>
    <row r="128" spans="1:22" x14ac:dyDescent="0.2">
      <c r="A128">
        <v>127</v>
      </c>
      <c r="B128" t="s">
        <v>8560</v>
      </c>
      <c r="C128" s="1">
        <v>42412</v>
      </c>
      <c r="D128" s="22">
        <f>MONTH(Table10[[#This Row],[Order Date]])</f>
        <v>2</v>
      </c>
      <c r="E128" t="s">
        <v>482</v>
      </c>
      <c r="F128" t="s">
        <v>483</v>
      </c>
      <c r="G128" s="23" t="s">
        <v>41</v>
      </c>
      <c r="H128" s="23" t="s">
        <v>68</v>
      </c>
      <c r="I128" t="s">
        <v>2658</v>
      </c>
      <c r="J128" t="s">
        <v>22</v>
      </c>
      <c r="K128" s="22">
        <v>4</v>
      </c>
      <c r="L128" s="1">
        <v>42414</v>
      </c>
      <c r="M128" s="22">
        <f>Table10[[#This Row],[Ship Date]]-Table10[[#This Row],[Order Date]]</f>
        <v>2</v>
      </c>
      <c r="N128" t="s">
        <v>169</v>
      </c>
      <c r="O128" t="s">
        <v>23</v>
      </c>
      <c r="P128" t="s">
        <v>1125</v>
      </c>
      <c r="Q128" t="s">
        <v>26</v>
      </c>
      <c r="R128" t="s">
        <v>1537</v>
      </c>
      <c r="S128" s="33">
        <v>0</v>
      </c>
      <c r="T128" s="13">
        <v>15.92</v>
      </c>
      <c r="U128" s="13">
        <v>7.4824000000000002</v>
      </c>
      <c r="V128" s="21">
        <f>Table10[[#This Row],[Profit]]/Table10[[#This Row],[Sales]]</f>
        <v>0.47000000000000003</v>
      </c>
    </row>
    <row r="129" spans="1:22" x14ac:dyDescent="0.2">
      <c r="A129">
        <v>128</v>
      </c>
      <c r="B129" t="s">
        <v>2035</v>
      </c>
      <c r="C129" s="1">
        <v>42413</v>
      </c>
      <c r="D129" s="22">
        <f>MONTH(Table10[[#This Row],[Order Date]])</f>
        <v>2</v>
      </c>
      <c r="E129" t="s">
        <v>2037</v>
      </c>
      <c r="F129" t="s">
        <v>2038</v>
      </c>
      <c r="G129" s="23" t="s">
        <v>41</v>
      </c>
      <c r="H129" s="23" t="s">
        <v>82</v>
      </c>
      <c r="I129" t="s">
        <v>2036</v>
      </c>
      <c r="J129" t="s">
        <v>92</v>
      </c>
      <c r="K129" s="22">
        <v>3</v>
      </c>
      <c r="L129" s="1">
        <v>42418</v>
      </c>
      <c r="M129" s="22">
        <f>Table10[[#This Row],[Ship Date]]-Table10[[#This Row],[Order Date]]</f>
        <v>5</v>
      </c>
      <c r="N129" t="s">
        <v>45</v>
      </c>
      <c r="O129" t="s">
        <v>23</v>
      </c>
      <c r="P129" t="s">
        <v>38</v>
      </c>
      <c r="Q129" t="s">
        <v>39</v>
      </c>
      <c r="R129" t="s">
        <v>37</v>
      </c>
      <c r="S129" s="33">
        <v>0</v>
      </c>
      <c r="T129" s="13">
        <v>146.82</v>
      </c>
      <c r="U129" s="13">
        <v>73.41</v>
      </c>
      <c r="V129" s="21">
        <f>Table10[[#This Row],[Profit]]/Table10[[#This Row],[Sales]]</f>
        <v>0.5</v>
      </c>
    </row>
    <row r="130" spans="1:22" x14ac:dyDescent="0.2">
      <c r="A130">
        <v>129</v>
      </c>
      <c r="B130" t="s">
        <v>8901</v>
      </c>
      <c r="C130" s="1">
        <v>42414</v>
      </c>
      <c r="D130" s="22">
        <f>MONTH(Table10[[#This Row],[Order Date]])</f>
        <v>2</v>
      </c>
      <c r="E130" t="s">
        <v>5411</v>
      </c>
      <c r="F130" t="s">
        <v>5412</v>
      </c>
      <c r="G130" s="23" t="s">
        <v>41</v>
      </c>
      <c r="H130" s="23" t="s">
        <v>82</v>
      </c>
      <c r="I130" t="s">
        <v>451</v>
      </c>
      <c r="J130" t="s">
        <v>22</v>
      </c>
      <c r="K130" s="22">
        <v>1</v>
      </c>
      <c r="L130" s="1">
        <v>42415</v>
      </c>
      <c r="M130" s="22">
        <f>Table10[[#This Row],[Ship Date]]-Table10[[#This Row],[Order Date]]</f>
        <v>1</v>
      </c>
      <c r="N130" t="s">
        <v>169</v>
      </c>
      <c r="O130" t="s">
        <v>23</v>
      </c>
      <c r="P130" t="s">
        <v>2408</v>
      </c>
      <c r="Q130" t="s">
        <v>133</v>
      </c>
      <c r="R130" t="s">
        <v>2828</v>
      </c>
      <c r="S130" s="33">
        <v>0</v>
      </c>
      <c r="T130" s="13">
        <v>4.7699999999999996</v>
      </c>
      <c r="U130" s="13">
        <v>2.1465000000000001</v>
      </c>
      <c r="V130" s="21">
        <f>Table10[[#This Row],[Profit]]/Table10[[#This Row],[Sales]]</f>
        <v>0.45000000000000007</v>
      </c>
    </row>
    <row r="131" spans="1:22" x14ac:dyDescent="0.2">
      <c r="A131">
        <v>130</v>
      </c>
      <c r="B131" t="s">
        <v>8901</v>
      </c>
      <c r="C131" s="1">
        <v>42414</v>
      </c>
      <c r="D131" s="22">
        <f>MONTH(Table10[[#This Row],[Order Date]])</f>
        <v>2</v>
      </c>
      <c r="E131" t="s">
        <v>6292</v>
      </c>
      <c r="F131" t="s">
        <v>6293</v>
      </c>
      <c r="G131" s="23" t="s">
        <v>41</v>
      </c>
      <c r="H131" s="23" t="s">
        <v>61</v>
      </c>
      <c r="I131" t="s">
        <v>451</v>
      </c>
      <c r="J131" t="s">
        <v>22</v>
      </c>
      <c r="K131" s="22">
        <v>3</v>
      </c>
      <c r="L131" s="1">
        <v>42415</v>
      </c>
      <c r="M131" s="22">
        <f>Table10[[#This Row],[Ship Date]]-Table10[[#This Row],[Order Date]]</f>
        <v>1</v>
      </c>
      <c r="N131" t="s">
        <v>169</v>
      </c>
      <c r="O131" t="s">
        <v>23</v>
      </c>
      <c r="P131" t="s">
        <v>2408</v>
      </c>
      <c r="Q131" t="s">
        <v>133</v>
      </c>
      <c r="R131" t="s">
        <v>2828</v>
      </c>
      <c r="S131" s="33">
        <v>0</v>
      </c>
      <c r="T131" s="13">
        <v>7.98</v>
      </c>
      <c r="U131" s="13">
        <v>2.0748000000000002</v>
      </c>
      <c r="V131" s="21">
        <f>Table10[[#This Row],[Profit]]/Table10[[#This Row],[Sales]]</f>
        <v>0.26</v>
      </c>
    </row>
    <row r="132" spans="1:22" x14ac:dyDescent="0.2">
      <c r="A132">
        <v>131</v>
      </c>
      <c r="B132" t="s">
        <v>8901</v>
      </c>
      <c r="C132" s="1">
        <v>42414</v>
      </c>
      <c r="D132" s="22">
        <f>MONTH(Table10[[#This Row],[Order Date]])</f>
        <v>2</v>
      </c>
      <c r="E132" t="s">
        <v>2532</v>
      </c>
      <c r="F132" t="s">
        <v>2533</v>
      </c>
      <c r="G132" s="23" t="s">
        <v>28</v>
      </c>
      <c r="H132" s="23" t="s">
        <v>50</v>
      </c>
      <c r="I132" t="s">
        <v>451</v>
      </c>
      <c r="J132" t="s">
        <v>22</v>
      </c>
      <c r="K132" s="22">
        <v>3</v>
      </c>
      <c r="L132" s="1">
        <v>42415</v>
      </c>
      <c r="M132" s="22">
        <f>Table10[[#This Row],[Ship Date]]-Table10[[#This Row],[Order Date]]</f>
        <v>1</v>
      </c>
      <c r="N132" t="s">
        <v>169</v>
      </c>
      <c r="O132" t="s">
        <v>23</v>
      </c>
      <c r="P132" t="s">
        <v>2408</v>
      </c>
      <c r="Q132" t="s">
        <v>133</v>
      </c>
      <c r="R132" t="s">
        <v>2828</v>
      </c>
      <c r="S132" s="33">
        <v>0.3</v>
      </c>
      <c r="T132" s="13">
        <v>550.43100000000004</v>
      </c>
      <c r="U132" s="13">
        <v>-47.1798</v>
      </c>
      <c r="V132" s="21">
        <f>Table10[[#This Row],[Profit]]/Table10[[#This Row],[Sales]]</f>
        <v>-8.5714285714285715E-2</v>
      </c>
    </row>
    <row r="133" spans="1:22" x14ac:dyDescent="0.2">
      <c r="A133">
        <v>132</v>
      </c>
      <c r="B133" t="s">
        <v>8901</v>
      </c>
      <c r="C133" s="1">
        <v>42414</v>
      </c>
      <c r="D133" s="22">
        <f>MONTH(Table10[[#This Row],[Order Date]])</f>
        <v>2</v>
      </c>
      <c r="E133" t="s">
        <v>899</v>
      </c>
      <c r="F133" t="s">
        <v>900</v>
      </c>
      <c r="G133" s="23" t="s">
        <v>28</v>
      </c>
      <c r="H133" s="23" t="s">
        <v>58</v>
      </c>
      <c r="I133" t="s">
        <v>451</v>
      </c>
      <c r="J133" t="s">
        <v>22</v>
      </c>
      <c r="K133" s="22">
        <v>6</v>
      </c>
      <c r="L133" s="1">
        <v>42415</v>
      </c>
      <c r="M133" s="22">
        <f>Table10[[#This Row],[Ship Date]]-Table10[[#This Row],[Order Date]]</f>
        <v>1</v>
      </c>
      <c r="N133" t="s">
        <v>169</v>
      </c>
      <c r="O133" t="s">
        <v>23</v>
      </c>
      <c r="P133" t="s">
        <v>2408</v>
      </c>
      <c r="Q133" t="s">
        <v>133</v>
      </c>
      <c r="R133" t="s">
        <v>2828</v>
      </c>
      <c r="S133" s="33">
        <v>0</v>
      </c>
      <c r="T133" s="13">
        <v>10.56</v>
      </c>
      <c r="U133" s="13">
        <v>4.6463999999999999</v>
      </c>
      <c r="V133" s="21">
        <f>Table10[[#This Row],[Profit]]/Table10[[#This Row],[Sales]]</f>
        <v>0.43999999999999995</v>
      </c>
    </row>
    <row r="134" spans="1:22" x14ac:dyDescent="0.2">
      <c r="A134">
        <v>133</v>
      </c>
      <c r="B134" t="s">
        <v>9091</v>
      </c>
      <c r="C134" s="1">
        <v>42414</v>
      </c>
      <c r="D134" s="22">
        <f>MONTH(Table10[[#This Row],[Order Date]])</f>
        <v>2</v>
      </c>
      <c r="E134" t="s">
        <v>3375</v>
      </c>
      <c r="F134" t="s">
        <v>3376</v>
      </c>
      <c r="G134" s="23" t="s">
        <v>41</v>
      </c>
      <c r="H134" s="23" t="s">
        <v>61</v>
      </c>
      <c r="I134" t="s">
        <v>1834</v>
      </c>
      <c r="J134" t="s">
        <v>22</v>
      </c>
      <c r="K134" s="22">
        <v>7</v>
      </c>
      <c r="L134" s="1">
        <v>42419</v>
      </c>
      <c r="M134" s="22">
        <f>Table10[[#This Row],[Ship Date]]-Table10[[#This Row],[Order Date]]</f>
        <v>5</v>
      </c>
      <c r="N134" t="s">
        <v>45</v>
      </c>
      <c r="O134" t="s">
        <v>23</v>
      </c>
      <c r="P134" t="s">
        <v>1315</v>
      </c>
      <c r="Q134" t="s">
        <v>26</v>
      </c>
      <c r="R134" t="s">
        <v>293</v>
      </c>
      <c r="S134" s="33">
        <v>0</v>
      </c>
      <c r="T134" s="13">
        <v>264.18</v>
      </c>
      <c r="U134" s="13">
        <v>68.686800000000005</v>
      </c>
      <c r="V134" s="21">
        <f>Table10[[#This Row],[Profit]]/Table10[[#This Row],[Sales]]</f>
        <v>0.26</v>
      </c>
    </row>
    <row r="135" spans="1:22" x14ac:dyDescent="0.2">
      <c r="A135">
        <v>134</v>
      </c>
      <c r="B135" t="s">
        <v>3070</v>
      </c>
      <c r="C135" s="1">
        <v>42415</v>
      </c>
      <c r="D135" s="22">
        <f>MONTH(Table10[[#This Row],[Order Date]])</f>
        <v>2</v>
      </c>
      <c r="E135" t="s">
        <v>3071</v>
      </c>
      <c r="F135" t="s">
        <v>3072</v>
      </c>
      <c r="G135" s="23" t="s">
        <v>41</v>
      </c>
      <c r="H135" s="23" t="s">
        <v>68</v>
      </c>
      <c r="I135" t="s">
        <v>2260</v>
      </c>
      <c r="J135" t="s">
        <v>22</v>
      </c>
      <c r="K135" s="22">
        <v>3</v>
      </c>
      <c r="L135" s="1">
        <v>42422</v>
      </c>
      <c r="M135" s="22">
        <f>Table10[[#This Row],[Ship Date]]-Table10[[#This Row],[Order Date]]</f>
        <v>7</v>
      </c>
      <c r="N135" t="s">
        <v>45</v>
      </c>
      <c r="O135" t="s">
        <v>23</v>
      </c>
      <c r="P135" t="s">
        <v>238</v>
      </c>
      <c r="Q135" t="s">
        <v>133</v>
      </c>
      <c r="R135" t="s">
        <v>237</v>
      </c>
      <c r="S135" s="33">
        <v>0.2</v>
      </c>
      <c r="T135" s="13">
        <v>398.35199999999998</v>
      </c>
      <c r="U135" s="13">
        <v>124.485</v>
      </c>
      <c r="V135" s="21">
        <f>Table10[[#This Row],[Profit]]/Table10[[#This Row],[Sales]]</f>
        <v>0.3125</v>
      </c>
    </row>
    <row r="136" spans="1:22" x14ac:dyDescent="0.2">
      <c r="A136">
        <v>135</v>
      </c>
      <c r="B136" t="s">
        <v>3070</v>
      </c>
      <c r="C136" s="1">
        <v>42415</v>
      </c>
      <c r="D136" s="22">
        <f>MONTH(Table10[[#This Row],[Order Date]])</f>
        <v>2</v>
      </c>
      <c r="E136" t="s">
        <v>239</v>
      </c>
      <c r="F136" t="s">
        <v>241</v>
      </c>
      <c r="G136" s="23" t="s">
        <v>41</v>
      </c>
      <c r="H136" s="23" t="s">
        <v>240</v>
      </c>
      <c r="I136" t="s">
        <v>2260</v>
      </c>
      <c r="J136" t="s">
        <v>22</v>
      </c>
      <c r="K136" s="22">
        <v>4</v>
      </c>
      <c r="L136" s="1">
        <v>42422</v>
      </c>
      <c r="M136" s="22">
        <f>Table10[[#This Row],[Ship Date]]-Table10[[#This Row],[Order Date]]</f>
        <v>7</v>
      </c>
      <c r="N136" t="s">
        <v>45</v>
      </c>
      <c r="O136" t="s">
        <v>23</v>
      </c>
      <c r="P136" t="s">
        <v>238</v>
      </c>
      <c r="Q136" t="s">
        <v>133</v>
      </c>
      <c r="R136" t="s">
        <v>237</v>
      </c>
      <c r="S136" s="33">
        <v>0</v>
      </c>
      <c r="T136" s="13">
        <v>8.7200000000000006</v>
      </c>
      <c r="U136" s="13">
        <v>3.5752000000000002</v>
      </c>
      <c r="V136" s="21">
        <f>Table10[[#This Row],[Profit]]/Table10[[#This Row],[Sales]]</f>
        <v>0.41</v>
      </c>
    </row>
    <row r="137" spans="1:22" x14ac:dyDescent="0.2">
      <c r="A137">
        <v>136</v>
      </c>
      <c r="B137" t="s">
        <v>4041</v>
      </c>
      <c r="C137" s="1">
        <v>42416</v>
      </c>
      <c r="D137" s="22">
        <f>MONTH(Table10[[#This Row],[Order Date]])</f>
        <v>2</v>
      </c>
      <c r="E137" t="s">
        <v>4042</v>
      </c>
      <c r="F137" t="s">
        <v>4043</v>
      </c>
      <c r="G137" s="23" t="s">
        <v>41</v>
      </c>
      <c r="H137" s="23" t="s">
        <v>71</v>
      </c>
      <c r="I137" t="s">
        <v>789</v>
      </c>
      <c r="J137" t="s">
        <v>36</v>
      </c>
      <c r="K137" s="22">
        <v>6</v>
      </c>
      <c r="L137" s="1">
        <v>42420</v>
      </c>
      <c r="M137" s="22">
        <f>Table10[[#This Row],[Ship Date]]-Table10[[#This Row],[Order Date]]</f>
        <v>4</v>
      </c>
      <c r="N137" t="s">
        <v>45</v>
      </c>
      <c r="O137" t="s">
        <v>23</v>
      </c>
      <c r="P137" t="s">
        <v>189</v>
      </c>
      <c r="Q137" t="s">
        <v>95</v>
      </c>
      <c r="R137" t="s">
        <v>271</v>
      </c>
      <c r="S137" s="33">
        <v>0.8</v>
      </c>
      <c r="T137" s="13">
        <v>92.063999999999993</v>
      </c>
      <c r="U137" s="13">
        <v>-225.55680000000001</v>
      </c>
      <c r="V137" s="21">
        <f>Table10[[#This Row],[Profit]]/Table10[[#This Row],[Sales]]</f>
        <v>-2.4500000000000002</v>
      </c>
    </row>
    <row r="138" spans="1:22" x14ac:dyDescent="0.2">
      <c r="A138">
        <v>137</v>
      </c>
      <c r="B138" t="s">
        <v>4041</v>
      </c>
      <c r="C138" s="1">
        <v>42416</v>
      </c>
      <c r="D138" s="22">
        <f>MONTH(Table10[[#This Row],[Order Date]])</f>
        <v>2</v>
      </c>
      <c r="E138" t="s">
        <v>239</v>
      </c>
      <c r="F138" t="s">
        <v>241</v>
      </c>
      <c r="G138" s="23" t="s">
        <v>41</v>
      </c>
      <c r="H138" s="23" t="s">
        <v>240</v>
      </c>
      <c r="I138" t="s">
        <v>789</v>
      </c>
      <c r="J138" t="s">
        <v>36</v>
      </c>
      <c r="K138" s="22">
        <v>4</v>
      </c>
      <c r="L138" s="1">
        <v>42420</v>
      </c>
      <c r="M138" s="22">
        <f>Table10[[#This Row],[Ship Date]]-Table10[[#This Row],[Order Date]]</f>
        <v>4</v>
      </c>
      <c r="N138" t="s">
        <v>45</v>
      </c>
      <c r="O138" t="s">
        <v>23</v>
      </c>
      <c r="P138" t="s">
        <v>189</v>
      </c>
      <c r="Q138" t="s">
        <v>95</v>
      </c>
      <c r="R138" t="s">
        <v>271</v>
      </c>
      <c r="S138" s="33">
        <v>0.2</v>
      </c>
      <c r="T138" s="13">
        <v>6.976</v>
      </c>
      <c r="U138" s="13">
        <v>1.8311999999999999</v>
      </c>
      <c r="V138" s="21">
        <f>Table10[[#This Row],[Profit]]/Table10[[#This Row],[Sales]]</f>
        <v>0.26250000000000001</v>
      </c>
    </row>
    <row r="139" spans="1:22" x14ac:dyDescent="0.2">
      <c r="A139">
        <v>138</v>
      </c>
      <c r="B139" t="s">
        <v>4041</v>
      </c>
      <c r="C139" s="1">
        <v>42416</v>
      </c>
      <c r="D139" s="22">
        <f>MONTH(Table10[[#This Row],[Order Date]])</f>
        <v>2</v>
      </c>
      <c r="E139" t="s">
        <v>4044</v>
      </c>
      <c r="F139" t="s">
        <v>4045</v>
      </c>
      <c r="G139" s="23" t="s">
        <v>28</v>
      </c>
      <c r="H139" s="23" t="s">
        <v>32</v>
      </c>
      <c r="I139" t="s">
        <v>789</v>
      </c>
      <c r="J139" t="s">
        <v>36</v>
      </c>
      <c r="K139" s="22">
        <v>3</v>
      </c>
      <c r="L139" s="1">
        <v>42420</v>
      </c>
      <c r="M139" s="22">
        <f>Table10[[#This Row],[Ship Date]]-Table10[[#This Row],[Order Date]]</f>
        <v>4</v>
      </c>
      <c r="N139" t="s">
        <v>45</v>
      </c>
      <c r="O139" t="s">
        <v>23</v>
      </c>
      <c r="P139" t="s">
        <v>189</v>
      </c>
      <c r="Q139" t="s">
        <v>95</v>
      </c>
      <c r="R139" t="s">
        <v>271</v>
      </c>
      <c r="S139" s="33">
        <v>0.3</v>
      </c>
      <c r="T139" s="13">
        <v>62.957999999999998</v>
      </c>
      <c r="U139" s="13">
        <v>-2.6981999999999999</v>
      </c>
      <c r="V139" s="21">
        <f>Table10[[#This Row],[Profit]]/Table10[[#This Row],[Sales]]</f>
        <v>-4.2857142857142858E-2</v>
      </c>
    </row>
    <row r="140" spans="1:22" x14ac:dyDescent="0.2">
      <c r="A140">
        <v>139</v>
      </c>
      <c r="B140" t="s">
        <v>4041</v>
      </c>
      <c r="C140" s="1">
        <v>42416</v>
      </c>
      <c r="D140" s="22">
        <f>MONTH(Table10[[#This Row],[Order Date]])</f>
        <v>2</v>
      </c>
      <c r="E140" t="s">
        <v>4046</v>
      </c>
      <c r="F140" t="s">
        <v>4047</v>
      </c>
      <c r="G140" s="23" t="s">
        <v>41</v>
      </c>
      <c r="H140" s="23" t="s">
        <v>82</v>
      </c>
      <c r="I140" t="s">
        <v>789</v>
      </c>
      <c r="J140" t="s">
        <v>36</v>
      </c>
      <c r="K140" s="22">
        <v>1</v>
      </c>
      <c r="L140" s="1">
        <v>42420</v>
      </c>
      <c r="M140" s="22">
        <f>Table10[[#This Row],[Ship Date]]-Table10[[#This Row],[Order Date]]</f>
        <v>4</v>
      </c>
      <c r="N140" t="s">
        <v>45</v>
      </c>
      <c r="O140" t="s">
        <v>23</v>
      </c>
      <c r="P140" t="s">
        <v>189</v>
      </c>
      <c r="Q140" t="s">
        <v>95</v>
      </c>
      <c r="R140" t="s">
        <v>271</v>
      </c>
      <c r="S140" s="33">
        <v>0.2</v>
      </c>
      <c r="T140" s="13">
        <v>5.1840000000000002</v>
      </c>
      <c r="U140" s="13">
        <v>1.8144</v>
      </c>
      <c r="V140" s="21">
        <f>Table10[[#This Row],[Profit]]/Table10[[#This Row],[Sales]]</f>
        <v>0.35</v>
      </c>
    </row>
    <row r="141" spans="1:22" x14ac:dyDescent="0.2">
      <c r="A141">
        <v>140</v>
      </c>
      <c r="B141" t="s">
        <v>9086</v>
      </c>
      <c r="C141" s="1">
        <v>42416</v>
      </c>
      <c r="D141" s="22">
        <f>MONTH(Table10[[#This Row],[Order Date]])</f>
        <v>2</v>
      </c>
      <c r="E141" t="s">
        <v>7619</v>
      </c>
      <c r="F141" t="s">
        <v>7620</v>
      </c>
      <c r="G141" s="23" t="s">
        <v>28</v>
      </c>
      <c r="H141" s="23" t="s">
        <v>32</v>
      </c>
      <c r="I141" t="s">
        <v>3538</v>
      </c>
      <c r="J141" t="s">
        <v>22</v>
      </c>
      <c r="K141" s="22">
        <v>2</v>
      </c>
      <c r="L141" s="1">
        <v>42420</v>
      </c>
      <c r="M141" s="22">
        <f>Table10[[#This Row],[Ship Date]]-Table10[[#This Row],[Order Date]]</f>
        <v>4</v>
      </c>
      <c r="N141" t="s">
        <v>45</v>
      </c>
      <c r="O141" t="s">
        <v>23</v>
      </c>
      <c r="P141" t="s">
        <v>695</v>
      </c>
      <c r="Q141" t="s">
        <v>133</v>
      </c>
      <c r="R141" t="s">
        <v>966</v>
      </c>
      <c r="S141" s="33">
        <v>0</v>
      </c>
      <c r="T141" s="13">
        <v>227.96</v>
      </c>
      <c r="U141" s="13">
        <v>36.473599999999998</v>
      </c>
      <c r="V141" s="21">
        <f>Table10[[#This Row],[Profit]]/Table10[[#This Row],[Sales]]</f>
        <v>0.15999999999999998</v>
      </c>
    </row>
    <row r="142" spans="1:22" x14ac:dyDescent="0.2">
      <c r="A142">
        <v>141</v>
      </c>
      <c r="B142" t="s">
        <v>9631</v>
      </c>
      <c r="C142" s="1">
        <v>42416</v>
      </c>
      <c r="D142" s="22">
        <f>MONTH(Table10[[#This Row],[Order Date]])</f>
        <v>2</v>
      </c>
      <c r="E142" t="s">
        <v>489</v>
      </c>
      <c r="F142" t="s">
        <v>490</v>
      </c>
      <c r="G142" s="23" t="s">
        <v>28</v>
      </c>
      <c r="H142" s="23" t="s">
        <v>58</v>
      </c>
      <c r="I142" t="s">
        <v>4088</v>
      </c>
      <c r="J142" t="s">
        <v>22</v>
      </c>
      <c r="K142" s="22">
        <v>4</v>
      </c>
      <c r="L142" s="1">
        <v>42423</v>
      </c>
      <c r="M142" s="22">
        <f>Table10[[#This Row],[Ship Date]]-Table10[[#This Row],[Order Date]]</f>
        <v>7</v>
      </c>
      <c r="N142" t="s">
        <v>45</v>
      </c>
      <c r="O142" t="s">
        <v>23</v>
      </c>
      <c r="P142" t="s">
        <v>25</v>
      </c>
      <c r="Q142" t="s">
        <v>26</v>
      </c>
      <c r="R142" t="s">
        <v>24</v>
      </c>
      <c r="S142" s="33">
        <v>0</v>
      </c>
      <c r="T142" s="13">
        <v>318.08</v>
      </c>
      <c r="U142" s="13">
        <v>34.988799999999998</v>
      </c>
      <c r="V142" s="21">
        <f>Table10[[#This Row],[Profit]]/Table10[[#This Row],[Sales]]</f>
        <v>0.11</v>
      </c>
    </row>
    <row r="143" spans="1:22" x14ac:dyDescent="0.2">
      <c r="A143">
        <v>142</v>
      </c>
      <c r="B143" t="s">
        <v>9631</v>
      </c>
      <c r="C143" s="1">
        <v>42416</v>
      </c>
      <c r="D143" s="22">
        <f>MONTH(Table10[[#This Row],[Order Date]])</f>
        <v>2</v>
      </c>
      <c r="E143" t="s">
        <v>1144</v>
      </c>
      <c r="F143" t="s">
        <v>1145</v>
      </c>
      <c r="G143" s="23" t="s">
        <v>41</v>
      </c>
      <c r="H143" s="23" t="s">
        <v>68</v>
      </c>
      <c r="I143" t="s">
        <v>4088</v>
      </c>
      <c r="J143" t="s">
        <v>22</v>
      </c>
      <c r="K143" s="22">
        <v>1</v>
      </c>
      <c r="L143" s="1">
        <v>42423</v>
      </c>
      <c r="M143" s="22">
        <f>Table10[[#This Row],[Ship Date]]-Table10[[#This Row],[Order Date]]</f>
        <v>7</v>
      </c>
      <c r="N143" t="s">
        <v>45</v>
      </c>
      <c r="O143" t="s">
        <v>23</v>
      </c>
      <c r="P143" t="s">
        <v>25</v>
      </c>
      <c r="Q143" t="s">
        <v>26</v>
      </c>
      <c r="R143" t="s">
        <v>24</v>
      </c>
      <c r="S143" s="33">
        <v>0</v>
      </c>
      <c r="T143" s="13">
        <v>5.8</v>
      </c>
      <c r="U143" s="13">
        <v>2.61</v>
      </c>
      <c r="V143" s="21">
        <f>Table10[[#This Row],[Profit]]/Table10[[#This Row],[Sales]]</f>
        <v>0.45</v>
      </c>
    </row>
    <row r="144" spans="1:22" x14ac:dyDescent="0.2">
      <c r="A144">
        <v>143</v>
      </c>
      <c r="B144" t="s">
        <v>10012</v>
      </c>
      <c r="C144" s="1">
        <v>42416</v>
      </c>
      <c r="D144" s="22">
        <f>MONTH(Table10[[#This Row],[Order Date]])</f>
        <v>2</v>
      </c>
      <c r="E144" t="s">
        <v>7112</v>
      </c>
      <c r="F144" t="s">
        <v>7113</v>
      </c>
      <c r="G144" s="23" t="s">
        <v>28</v>
      </c>
      <c r="H144" s="23" t="s">
        <v>32</v>
      </c>
      <c r="I144" t="s">
        <v>4007</v>
      </c>
      <c r="J144" t="s">
        <v>22</v>
      </c>
      <c r="K144" s="22">
        <v>3</v>
      </c>
      <c r="L144" s="1">
        <v>42420</v>
      </c>
      <c r="M144" s="22">
        <f>Table10[[#This Row],[Ship Date]]-Table10[[#This Row],[Order Date]]</f>
        <v>4</v>
      </c>
      <c r="N144" t="s">
        <v>45</v>
      </c>
      <c r="O144" t="s">
        <v>23</v>
      </c>
      <c r="P144" t="s">
        <v>238</v>
      </c>
      <c r="Q144" t="s">
        <v>133</v>
      </c>
      <c r="R144" t="s">
        <v>237</v>
      </c>
      <c r="S144" s="33">
        <v>0.1</v>
      </c>
      <c r="T144" s="13">
        <v>326.64600000000002</v>
      </c>
      <c r="U144" s="13">
        <v>39.923400000000001</v>
      </c>
      <c r="V144" s="21">
        <f>Table10[[#This Row],[Profit]]/Table10[[#This Row],[Sales]]</f>
        <v>0.12222222222222222</v>
      </c>
    </row>
    <row r="145" spans="1:22" x14ac:dyDescent="0.2">
      <c r="A145">
        <v>144</v>
      </c>
      <c r="B145" t="s">
        <v>10012</v>
      </c>
      <c r="C145" s="1">
        <v>42416</v>
      </c>
      <c r="D145" s="22">
        <f>MONTH(Table10[[#This Row],[Order Date]])</f>
        <v>2</v>
      </c>
      <c r="E145" t="s">
        <v>897</v>
      </c>
      <c r="F145" t="s">
        <v>898</v>
      </c>
      <c r="G145" s="23" t="s">
        <v>64</v>
      </c>
      <c r="H145" s="23" t="s">
        <v>144</v>
      </c>
      <c r="I145" t="s">
        <v>4007</v>
      </c>
      <c r="J145" t="s">
        <v>22</v>
      </c>
      <c r="K145" s="22">
        <v>3</v>
      </c>
      <c r="L145" s="1">
        <v>42420</v>
      </c>
      <c r="M145" s="22">
        <f>Table10[[#This Row],[Ship Date]]-Table10[[#This Row],[Order Date]]</f>
        <v>4</v>
      </c>
      <c r="N145" t="s">
        <v>45</v>
      </c>
      <c r="O145" t="s">
        <v>23</v>
      </c>
      <c r="P145" t="s">
        <v>238</v>
      </c>
      <c r="Q145" t="s">
        <v>133</v>
      </c>
      <c r="R145" t="s">
        <v>237</v>
      </c>
      <c r="S145" s="33">
        <v>0</v>
      </c>
      <c r="T145" s="13">
        <v>89.97</v>
      </c>
      <c r="U145" s="13">
        <v>39.586799999999997</v>
      </c>
      <c r="V145" s="21">
        <f>Table10[[#This Row],[Profit]]/Table10[[#This Row],[Sales]]</f>
        <v>0.43999999999999995</v>
      </c>
    </row>
    <row r="146" spans="1:22" x14ac:dyDescent="0.2">
      <c r="A146">
        <v>145</v>
      </c>
      <c r="B146" t="s">
        <v>2331</v>
      </c>
      <c r="C146" s="1">
        <v>42419</v>
      </c>
      <c r="D146" s="22">
        <f>MONTH(Table10[[#This Row],[Order Date]])</f>
        <v>2</v>
      </c>
      <c r="E146" t="s">
        <v>2207</v>
      </c>
      <c r="F146" t="s">
        <v>2208</v>
      </c>
      <c r="G146" s="23" t="s">
        <v>28</v>
      </c>
      <c r="H146" s="23" t="s">
        <v>58</v>
      </c>
      <c r="I146" t="s">
        <v>1662</v>
      </c>
      <c r="J146" t="s">
        <v>22</v>
      </c>
      <c r="K146" s="22">
        <v>2</v>
      </c>
      <c r="L146" s="1">
        <v>42424</v>
      </c>
      <c r="M146" s="22">
        <f>Table10[[#This Row],[Ship Date]]-Table10[[#This Row],[Order Date]]</f>
        <v>5</v>
      </c>
      <c r="N146" t="s">
        <v>45</v>
      </c>
      <c r="O146" t="s">
        <v>23</v>
      </c>
      <c r="P146" t="s">
        <v>238</v>
      </c>
      <c r="Q146" t="s">
        <v>133</v>
      </c>
      <c r="R146" t="s">
        <v>237</v>
      </c>
      <c r="S146" s="33">
        <v>0</v>
      </c>
      <c r="T146" s="13">
        <v>44.46</v>
      </c>
      <c r="U146" s="13">
        <v>14.671799999999999</v>
      </c>
      <c r="V146" s="21">
        <f>Table10[[#This Row],[Profit]]/Table10[[#This Row],[Sales]]</f>
        <v>0.32999999999999996</v>
      </c>
    </row>
    <row r="147" spans="1:22" x14ac:dyDescent="0.2">
      <c r="A147">
        <v>146</v>
      </c>
      <c r="B147" t="s">
        <v>2331</v>
      </c>
      <c r="C147" s="1">
        <v>42419</v>
      </c>
      <c r="D147" s="22">
        <f>MONTH(Table10[[#This Row],[Order Date]])</f>
        <v>2</v>
      </c>
      <c r="E147" t="s">
        <v>1572</v>
      </c>
      <c r="F147" t="s">
        <v>1573</v>
      </c>
      <c r="G147" s="23" t="s">
        <v>41</v>
      </c>
      <c r="H147" s="23" t="s">
        <v>53</v>
      </c>
      <c r="I147" t="s">
        <v>1662</v>
      </c>
      <c r="J147" t="s">
        <v>22</v>
      </c>
      <c r="K147" s="22">
        <v>3</v>
      </c>
      <c r="L147" s="1">
        <v>42424</v>
      </c>
      <c r="M147" s="22">
        <f>Table10[[#This Row],[Ship Date]]-Table10[[#This Row],[Order Date]]</f>
        <v>5</v>
      </c>
      <c r="N147" t="s">
        <v>45</v>
      </c>
      <c r="O147" t="s">
        <v>23</v>
      </c>
      <c r="P147" t="s">
        <v>238</v>
      </c>
      <c r="Q147" t="s">
        <v>133</v>
      </c>
      <c r="R147" t="s">
        <v>237</v>
      </c>
      <c r="S147" s="33">
        <v>0</v>
      </c>
      <c r="T147" s="13">
        <v>242.94</v>
      </c>
      <c r="U147" s="13">
        <v>9.7175999999999991</v>
      </c>
      <c r="V147" s="21">
        <f>Table10[[#This Row],[Profit]]/Table10[[#This Row],[Sales]]</f>
        <v>3.9999999999999994E-2</v>
      </c>
    </row>
    <row r="148" spans="1:22" x14ac:dyDescent="0.2">
      <c r="A148">
        <v>147</v>
      </c>
      <c r="B148" t="s">
        <v>7021</v>
      </c>
      <c r="C148" s="1">
        <v>42419</v>
      </c>
      <c r="D148" s="22">
        <f>MONTH(Table10[[#This Row],[Order Date]])</f>
        <v>2</v>
      </c>
      <c r="E148" t="s">
        <v>2975</v>
      </c>
      <c r="F148" t="s">
        <v>2976</v>
      </c>
      <c r="G148" s="23" t="s">
        <v>41</v>
      </c>
      <c r="H148" s="23" t="s">
        <v>42</v>
      </c>
      <c r="I148" t="s">
        <v>2319</v>
      </c>
      <c r="J148" t="s">
        <v>36</v>
      </c>
      <c r="K148" s="22">
        <v>3</v>
      </c>
      <c r="L148" s="1">
        <v>42423</v>
      </c>
      <c r="M148" s="22">
        <f>Table10[[#This Row],[Ship Date]]-Table10[[#This Row],[Order Date]]</f>
        <v>4</v>
      </c>
      <c r="N148" t="s">
        <v>20</v>
      </c>
      <c r="O148" t="s">
        <v>23</v>
      </c>
      <c r="P148" t="s">
        <v>238</v>
      </c>
      <c r="Q148" t="s">
        <v>133</v>
      </c>
      <c r="R148" t="s">
        <v>1037</v>
      </c>
      <c r="S148" s="33">
        <v>0</v>
      </c>
      <c r="T148" s="13">
        <v>8.67</v>
      </c>
      <c r="U148" s="13">
        <v>4.0749000000000004</v>
      </c>
      <c r="V148" s="21">
        <f>Table10[[#This Row],[Profit]]/Table10[[#This Row],[Sales]]</f>
        <v>0.47000000000000003</v>
      </c>
    </row>
    <row r="149" spans="1:22" x14ac:dyDescent="0.2">
      <c r="A149">
        <v>148</v>
      </c>
      <c r="B149" t="s">
        <v>7021</v>
      </c>
      <c r="C149" s="1">
        <v>42419</v>
      </c>
      <c r="D149" s="22">
        <f>MONTH(Table10[[#This Row],[Order Date]])</f>
        <v>2</v>
      </c>
      <c r="E149" t="s">
        <v>4493</v>
      </c>
      <c r="F149" t="s">
        <v>4494</v>
      </c>
      <c r="G149" s="23" t="s">
        <v>41</v>
      </c>
      <c r="H149" s="23" t="s">
        <v>513</v>
      </c>
      <c r="I149" t="s">
        <v>2319</v>
      </c>
      <c r="J149" t="s">
        <v>36</v>
      </c>
      <c r="K149" s="22">
        <v>3</v>
      </c>
      <c r="L149" s="1">
        <v>42423</v>
      </c>
      <c r="M149" s="22">
        <f>Table10[[#This Row],[Ship Date]]-Table10[[#This Row],[Order Date]]</f>
        <v>4</v>
      </c>
      <c r="N149" t="s">
        <v>20</v>
      </c>
      <c r="O149" t="s">
        <v>23</v>
      </c>
      <c r="P149" t="s">
        <v>238</v>
      </c>
      <c r="Q149" t="s">
        <v>133</v>
      </c>
      <c r="R149" t="s">
        <v>1037</v>
      </c>
      <c r="S149" s="33">
        <v>0</v>
      </c>
      <c r="T149" s="13">
        <v>25.71</v>
      </c>
      <c r="U149" s="13">
        <v>6.6845999999999997</v>
      </c>
      <c r="V149" s="21">
        <f>Table10[[#This Row],[Profit]]/Table10[[#This Row],[Sales]]</f>
        <v>0.25999999999999995</v>
      </c>
    </row>
    <row r="150" spans="1:22" x14ac:dyDescent="0.2">
      <c r="A150">
        <v>149</v>
      </c>
      <c r="B150" t="s">
        <v>8748</v>
      </c>
      <c r="C150" s="1">
        <v>42419</v>
      </c>
      <c r="D150" s="22">
        <f>MONTH(Table10[[#This Row],[Order Date]])</f>
        <v>2</v>
      </c>
      <c r="E150" t="s">
        <v>504</v>
      </c>
      <c r="F150" t="s">
        <v>505</v>
      </c>
      <c r="G150" s="23" t="s">
        <v>41</v>
      </c>
      <c r="H150" s="23" t="s">
        <v>82</v>
      </c>
      <c r="I150" t="s">
        <v>1662</v>
      </c>
      <c r="J150" t="s">
        <v>22</v>
      </c>
      <c r="K150" s="22">
        <v>2</v>
      </c>
      <c r="L150" s="1">
        <v>42422</v>
      </c>
      <c r="M150" s="22">
        <f>Table10[[#This Row],[Ship Date]]-Table10[[#This Row],[Order Date]]</f>
        <v>3</v>
      </c>
      <c r="N150" t="s">
        <v>20</v>
      </c>
      <c r="O150" t="s">
        <v>23</v>
      </c>
      <c r="P150" t="s">
        <v>38</v>
      </c>
      <c r="Q150" t="s">
        <v>39</v>
      </c>
      <c r="R150" t="s">
        <v>114</v>
      </c>
      <c r="S150" s="33">
        <v>0</v>
      </c>
      <c r="T150" s="13">
        <v>70.88</v>
      </c>
      <c r="U150" s="13">
        <v>33.313600000000001</v>
      </c>
      <c r="V150" s="21">
        <f>Table10[[#This Row],[Profit]]/Table10[[#This Row],[Sales]]</f>
        <v>0.47000000000000003</v>
      </c>
    </row>
    <row r="151" spans="1:22" x14ac:dyDescent="0.2">
      <c r="A151">
        <v>150</v>
      </c>
      <c r="B151" t="s">
        <v>5948</v>
      </c>
      <c r="C151" s="1">
        <v>42420</v>
      </c>
      <c r="D151" s="22">
        <f>MONTH(Table10[[#This Row],[Order Date]])</f>
        <v>2</v>
      </c>
      <c r="E151" t="s">
        <v>5949</v>
      </c>
      <c r="F151" t="s">
        <v>5950</v>
      </c>
      <c r="G151" s="23" t="s">
        <v>41</v>
      </c>
      <c r="H151" s="23" t="s">
        <v>82</v>
      </c>
      <c r="I151" t="s">
        <v>872</v>
      </c>
      <c r="J151" t="s">
        <v>22</v>
      </c>
      <c r="K151" s="22">
        <v>2</v>
      </c>
      <c r="L151" s="1">
        <v>42427</v>
      </c>
      <c r="M151" s="22">
        <f>Table10[[#This Row],[Ship Date]]-Table10[[#This Row],[Order Date]]</f>
        <v>7</v>
      </c>
      <c r="N151" t="s">
        <v>45</v>
      </c>
      <c r="O151" t="s">
        <v>23</v>
      </c>
      <c r="P151" t="s">
        <v>299</v>
      </c>
      <c r="Q151" t="s">
        <v>26</v>
      </c>
      <c r="R151" t="s">
        <v>5035</v>
      </c>
      <c r="S151" s="33">
        <v>0.2</v>
      </c>
      <c r="T151" s="13">
        <v>16.495999999999999</v>
      </c>
      <c r="U151" s="13">
        <v>5.5674000000000001</v>
      </c>
      <c r="V151" s="21">
        <f>Table10[[#This Row],[Profit]]/Table10[[#This Row],[Sales]]</f>
        <v>0.33750000000000002</v>
      </c>
    </row>
    <row r="152" spans="1:22" x14ac:dyDescent="0.2">
      <c r="A152">
        <v>151</v>
      </c>
      <c r="B152" t="s">
        <v>5514</v>
      </c>
      <c r="C152" s="1">
        <v>42421</v>
      </c>
      <c r="D152" s="22">
        <f>MONTH(Table10[[#This Row],[Order Date]])</f>
        <v>2</v>
      </c>
      <c r="E152" t="s">
        <v>5249</v>
      </c>
      <c r="F152" t="s">
        <v>5250</v>
      </c>
      <c r="G152" s="23" t="s">
        <v>64</v>
      </c>
      <c r="H152" s="23" t="s">
        <v>144</v>
      </c>
      <c r="I152" t="s">
        <v>5102</v>
      </c>
      <c r="J152" t="s">
        <v>36</v>
      </c>
      <c r="K152" s="22">
        <v>1</v>
      </c>
      <c r="L152" s="1">
        <v>42426</v>
      </c>
      <c r="M152" s="22">
        <f>Table10[[#This Row],[Ship Date]]-Table10[[#This Row],[Order Date]]</f>
        <v>5</v>
      </c>
      <c r="N152" t="s">
        <v>20</v>
      </c>
      <c r="O152" t="s">
        <v>23</v>
      </c>
      <c r="P152" t="s">
        <v>38</v>
      </c>
      <c r="Q152" t="s">
        <v>39</v>
      </c>
      <c r="R152" t="s">
        <v>37</v>
      </c>
      <c r="S152" s="33">
        <v>0</v>
      </c>
      <c r="T152" s="13">
        <v>12.99</v>
      </c>
      <c r="U152" s="13">
        <v>0.77939999999999998</v>
      </c>
      <c r="V152" s="21">
        <f>Table10[[#This Row],[Profit]]/Table10[[#This Row],[Sales]]</f>
        <v>0.06</v>
      </c>
    </row>
    <row r="153" spans="1:22" x14ac:dyDescent="0.2">
      <c r="A153">
        <v>152</v>
      </c>
      <c r="B153" t="s">
        <v>5514</v>
      </c>
      <c r="C153" s="1">
        <v>42421</v>
      </c>
      <c r="D153" s="22">
        <f>MONTH(Table10[[#This Row],[Order Date]])</f>
        <v>2</v>
      </c>
      <c r="E153" t="s">
        <v>5472</v>
      </c>
      <c r="F153" t="s">
        <v>5473</v>
      </c>
      <c r="G153" s="23" t="s">
        <v>41</v>
      </c>
      <c r="H153" s="23" t="s">
        <v>68</v>
      </c>
      <c r="I153" t="s">
        <v>5102</v>
      </c>
      <c r="J153" t="s">
        <v>36</v>
      </c>
      <c r="K153" s="22">
        <v>4</v>
      </c>
      <c r="L153" s="1">
        <v>42426</v>
      </c>
      <c r="M153" s="22">
        <f>Table10[[#This Row],[Ship Date]]-Table10[[#This Row],[Order Date]]</f>
        <v>5</v>
      </c>
      <c r="N153" t="s">
        <v>20</v>
      </c>
      <c r="O153" t="s">
        <v>23</v>
      </c>
      <c r="P153" t="s">
        <v>38</v>
      </c>
      <c r="Q153" t="s">
        <v>39</v>
      </c>
      <c r="R153" t="s">
        <v>37</v>
      </c>
      <c r="S153" s="33">
        <v>0.2</v>
      </c>
      <c r="T153" s="13">
        <v>18.559999999999999</v>
      </c>
      <c r="U153" s="13">
        <v>6.4960000000000004</v>
      </c>
      <c r="V153" s="21">
        <f>Table10[[#This Row],[Profit]]/Table10[[#This Row],[Sales]]</f>
        <v>0.35000000000000003</v>
      </c>
    </row>
    <row r="154" spans="1:22" x14ac:dyDescent="0.2">
      <c r="A154">
        <v>153</v>
      </c>
      <c r="B154" t="s">
        <v>5514</v>
      </c>
      <c r="C154" s="1">
        <v>42421</v>
      </c>
      <c r="D154" s="22">
        <f>MONTH(Table10[[#This Row],[Order Date]])</f>
        <v>2</v>
      </c>
      <c r="E154" t="s">
        <v>1495</v>
      </c>
      <c r="F154" t="s">
        <v>1496</v>
      </c>
      <c r="G154" s="23" t="s">
        <v>41</v>
      </c>
      <c r="H154" s="23" t="s">
        <v>53</v>
      </c>
      <c r="I154" t="s">
        <v>5102</v>
      </c>
      <c r="J154" t="s">
        <v>36</v>
      </c>
      <c r="K154" s="22">
        <v>5</v>
      </c>
      <c r="L154" s="1">
        <v>42426</v>
      </c>
      <c r="M154" s="22">
        <f>Table10[[#This Row],[Ship Date]]-Table10[[#This Row],[Order Date]]</f>
        <v>5</v>
      </c>
      <c r="N154" t="s">
        <v>20</v>
      </c>
      <c r="O154" t="s">
        <v>23</v>
      </c>
      <c r="P154" t="s">
        <v>38</v>
      </c>
      <c r="Q154" t="s">
        <v>39</v>
      </c>
      <c r="R154" t="s">
        <v>37</v>
      </c>
      <c r="S154" s="33">
        <v>0</v>
      </c>
      <c r="T154" s="13">
        <v>449.15</v>
      </c>
      <c r="U154" s="13">
        <v>8.9830000000000005</v>
      </c>
      <c r="V154" s="21">
        <f>Table10[[#This Row],[Profit]]/Table10[[#This Row],[Sales]]</f>
        <v>2.0000000000000004E-2</v>
      </c>
    </row>
    <row r="155" spans="1:22" x14ac:dyDescent="0.2">
      <c r="A155">
        <v>154</v>
      </c>
      <c r="B155" t="s">
        <v>5514</v>
      </c>
      <c r="C155" s="1">
        <v>42421</v>
      </c>
      <c r="D155" s="22">
        <f>MONTH(Table10[[#This Row],[Order Date]])</f>
        <v>2</v>
      </c>
      <c r="E155" t="s">
        <v>323</v>
      </c>
      <c r="F155" t="s">
        <v>324</v>
      </c>
      <c r="G155" s="23" t="s">
        <v>41</v>
      </c>
      <c r="H155" s="23" t="s">
        <v>68</v>
      </c>
      <c r="I155" t="s">
        <v>5102</v>
      </c>
      <c r="J155" t="s">
        <v>36</v>
      </c>
      <c r="K155" s="22">
        <v>7</v>
      </c>
      <c r="L155" s="1">
        <v>42426</v>
      </c>
      <c r="M155" s="22">
        <f>Table10[[#This Row],[Ship Date]]-Table10[[#This Row],[Order Date]]</f>
        <v>5</v>
      </c>
      <c r="N155" t="s">
        <v>20</v>
      </c>
      <c r="O155" t="s">
        <v>23</v>
      </c>
      <c r="P155" t="s">
        <v>38</v>
      </c>
      <c r="Q155" t="s">
        <v>39</v>
      </c>
      <c r="R155" t="s">
        <v>37</v>
      </c>
      <c r="S155" s="33">
        <v>0.2</v>
      </c>
      <c r="T155" s="13">
        <v>31.248000000000001</v>
      </c>
      <c r="U155" s="13">
        <v>10.9368</v>
      </c>
      <c r="V155" s="21">
        <f>Table10[[#This Row],[Profit]]/Table10[[#This Row],[Sales]]</f>
        <v>0.35</v>
      </c>
    </row>
    <row r="156" spans="1:22" x14ac:dyDescent="0.2">
      <c r="A156">
        <v>155</v>
      </c>
      <c r="B156" t="s">
        <v>7379</v>
      </c>
      <c r="C156" s="1">
        <v>42421</v>
      </c>
      <c r="D156" s="22">
        <f>MONTH(Table10[[#This Row],[Order Date]])</f>
        <v>2</v>
      </c>
      <c r="E156" t="s">
        <v>379</v>
      </c>
      <c r="F156" t="s">
        <v>380</v>
      </c>
      <c r="G156" s="23" t="s">
        <v>28</v>
      </c>
      <c r="H156" s="23" t="s">
        <v>58</v>
      </c>
      <c r="I156" t="s">
        <v>2146</v>
      </c>
      <c r="J156" t="s">
        <v>36</v>
      </c>
      <c r="K156" s="22">
        <v>5</v>
      </c>
      <c r="L156" s="1">
        <v>42426</v>
      </c>
      <c r="M156" s="22">
        <f>Table10[[#This Row],[Ship Date]]-Table10[[#This Row],[Order Date]]</f>
        <v>5</v>
      </c>
      <c r="N156" t="s">
        <v>45</v>
      </c>
      <c r="O156" t="s">
        <v>23</v>
      </c>
      <c r="P156" t="s">
        <v>238</v>
      </c>
      <c r="Q156" t="s">
        <v>133</v>
      </c>
      <c r="R156" t="s">
        <v>2061</v>
      </c>
      <c r="S156" s="33">
        <v>0</v>
      </c>
      <c r="T156" s="13">
        <v>68.95</v>
      </c>
      <c r="U156" s="13">
        <v>28.959</v>
      </c>
      <c r="V156" s="21">
        <f>Table10[[#This Row],[Profit]]/Table10[[#This Row],[Sales]]</f>
        <v>0.42</v>
      </c>
    </row>
    <row r="157" spans="1:22" x14ac:dyDescent="0.2">
      <c r="A157">
        <v>156</v>
      </c>
      <c r="B157" t="s">
        <v>7379</v>
      </c>
      <c r="C157" s="1">
        <v>42421</v>
      </c>
      <c r="D157" s="22">
        <f>MONTH(Table10[[#This Row],[Order Date]])</f>
        <v>2</v>
      </c>
      <c r="E157" t="s">
        <v>2042</v>
      </c>
      <c r="F157" t="s">
        <v>2043</v>
      </c>
      <c r="G157" s="23" t="s">
        <v>41</v>
      </c>
      <c r="H157" s="23" t="s">
        <v>53</v>
      </c>
      <c r="I157" t="s">
        <v>2146</v>
      </c>
      <c r="J157" t="s">
        <v>36</v>
      </c>
      <c r="K157" s="22">
        <v>3</v>
      </c>
      <c r="L157" s="1">
        <v>42426</v>
      </c>
      <c r="M157" s="22">
        <f>Table10[[#This Row],[Ship Date]]-Table10[[#This Row],[Order Date]]</f>
        <v>5</v>
      </c>
      <c r="N157" t="s">
        <v>45</v>
      </c>
      <c r="O157" t="s">
        <v>23</v>
      </c>
      <c r="P157" t="s">
        <v>238</v>
      </c>
      <c r="Q157" t="s">
        <v>133</v>
      </c>
      <c r="R157" t="s">
        <v>2061</v>
      </c>
      <c r="S157" s="33">
        <v>0</v>
      </c>
      <c r="T157" s="13">
        <v>296.37</v>
      </c>
      <c r="U157" s="13">
        <v>80.019900000000007</v>
      </c>
      <c r="V157" s="21">
        <f>Table10[[#This Row],[Profit]]/Table10[[#This Row],[Sales]]</f>
        <v>0.27</v>
      </c>
    </row>
    <row r="158" spans="1:22" x14ac:dyDescent="0.2">
      <c r="A158">
        <v>157</v>
      </c>
      <c r="B158" t="s">
        <v>7379</v>
      </c>
      <c r="C158" s="1">
        <v>42421</v>
      </c>
      <c r="D158" s="22">
        <f>MONTH(Table10[[#This Row],[Order Date]])</f>
        <v>2</v>
      </c>
      <c r="E158" t="s">
        <v>7380</v>
      </c>
      <c r="F158" t="s">
        <v>7381</v>
      </c>
      <c r="G158" s="23" t="s">
        <v>64</v>
      </c>
      <c r="H158" s="23" t="s">
        <v>65</v>
      </c>
      <c r="I158" t="s">
        <v>2146</v>
      </c>
      <c r="J158" t="s">
        <v>36</v>
      </c>
      <c r="K158" s="22">
        <v>2</v>
      </c>
      <c r="L158" s="1">
        <v>42426</v>
      </c>
      <c r="M158" s="22">
        <f>Table10[[#This Row],[Ship Date]]-Table10[[#This Row],[Order Date]]</f>
        <v>5</v>
      </c>
      <c r="N158" t="s">
        <v>45</v>
      </c>
      <c r="O158" t="s">
        <v>23</v>
      </c>
      <c r="P158" t="s">
        <v>238</v>
      </c>
      <c r="Q158" t="s">
        <v>133</v>
      </c>
      <c r="R158" t="s">
        <v>2061</v>
      </c>
      <c r="S158" s="33">
        <v>0</v>
      </c>
      <c r="T158" s="13">
        <v>39.979999999999997</v>
      </c>
      <c r="U158" s="13">
        <v>1.9990000000000001</v>
      </c>
      <c r="V158" s="21">
        <f>Table10[[#This Row],[Profit]]/Table10[[#This Row],[Sales]]</f>
        <v>5.000000000000001E-2</v>
      </c>
    </row>
    <row r="159" spans="1:22" x14ac:dyDescent="0.2">
      <c r="A159">
        <v>158</v>
      </c>
      <c r="B159" t="s">
        <v>9149</v>
      </c>
      <c r="C159" s="1">
        <v>42421</v>
      </c>
      <c r="D159" s="22">
        <f>MONTH(Table10[[#This Row],[Order Date]])</f>
        <v>2</v>
      </c>
      <c r="E159" t="s">
        <v>2788</v>
      </c>
      <c r="F159" t="s">
        <v>2789</v>
      </c>
      <c r="G159" s="23" t="s">
        <v>41</v>
      </c>
      <c r="H159" s="23" t="s">
        <v>68</v>
      </c>
      <c r="I159" t="s">
        <v>9038</v>
      </c>
      <c r="J159" t="s">
        <v>92</v>
      </c>
      <c r="K159" s="22">
        <v>3</v>
      </c>
      <c r="L159" s="1">
        <v>42425</v>
      </c>
      <c r="M159" s="22">
        <f>Table10[[#This Row],[Ship Date]]-Table10[[#This Row],[Order Date]]</f>
        <v>4</v>
      </c>
      <c r="N159" t="s">
        <v>45</v>
      </c>
      <c r="O159" t="s">
        <v>23</v>
      </c>
      <c r="P159" t="s">
        <v>48</v>
      </c>
      <c r="Q159" t="s">
        <v>26</v>
      </c>
      <c r="R159" t="s">
        <v>793</v>
      </c>
      <c r="S159" s="33">
        <v>0.7</v>
      </c>
      <c r="T159" s="13">
        <v>3.762</v>
      </c>
      <c r="U159" s="13">
        <v>-2.7587999999999999</v>
      </c>
      <c r="V159" s="21">
        <f>Table10[[#This Row],[Profit]]/Table10[[#This Row],[Sales]]</f>
        <v>-0.73333333333333328</v>
      </c>
    </row>
    <row r="160" spans="1:22" x14ac:dyDescent="0.2">
      <c r="A160">
        <v>159</v>
      </c>
      <c r="B160" t="s">
        <v>9149</v>
      </c>
      <c r="C160" s="1">
        <v>42421</v>
      </c>
      <c r="D160" s="22">
        <f>MONTH(Table10[[#This Row],[Order Date]])</f>
        <v>2</v>
      </c>
      <c r="E160" t="s">
        <v>3152</v>
      </c>
      <c r="F160" t="s">
        <v>3153</v>
      </c>
      <c r="G160" s="23" t="s">
        <v>41</v>
      </c>
      <c r="H160" s="23" t="s">
        <v>68</v>
      </c>
      <c r="I160" t="s">
        <v>9038</v>
      </c>
      <c r="J160" t="s">
        <v>92</v>
      </c>
      <c r="K160" s="22">
        <v>2</v>
      </c>
      <c r="L160" s="1">
        <v>42425</v>
      </c>
      <c r="M160" s="22">
        <f>Table10[[#This Row],[Ship Date]]-Table10[[#This Row],[Order Date]]</f>
        <v>4</v>
      </c>
      <c r="N160" t="s">
        <v>45</v>
      </c>
      <c r="O160" t="s">
        <v>23</v>
      </c>
      <c r="P160" t="s">
        <v>48</v>
      </c>
      <c r="Q160" t="s">
        <v>26</v>
      </c>
      <c r="R160" t="s">
        <v>793</v>
      </c>
      <c r="S160" s="33">
        <v>0.7</v>
      </c>
      <c r="T160" s="13">
        <v>34.86</v>
      </c>
      <c r="U160" s="13">
        <v>-26.725999999999999</v>
      </c>
      <c r="V160" s="21">
        <f>Table10[[#This Row],[Profit]]/Table10[[#This Row],[Sales]]</f>
        <v>-0.76666666666666661</v>
      </c>
    </row>
    <row r="161" spans="1:22" x14ac:dyDescent="0.2">
      <c r="A161">
        <v>160</v>
      </c>
      <c r="B161" t="s">
        <v>9149</v>
      </c>
      <c r="C161" s="1">
        <v>42421</v>
      </c>
      <c r="D161" s="22">
        <f>MONTH(Table10[[#This Row],[Order Date]])</f>
        <v>2</v>
      </c>
      <c r="E161" t="s">
        <v>2527</v>
      </c>
      <c r="F161" t="s">
        <v>2528</v>
      </c>
      <c r="G161" s="23" t="s">
        <v>41</v>
      </c>
      <c r="H161" s="23" t="s">
        <v>53</v>
      </c>
      <c r="I161" t="s">
        <v>9038</v>
      </c>
      <c r="J161" t="s">
        <v>92</v>
      </c>
      <c r="K161" s="22">
        <v>3</v>
      </c>
      <c r="L161" s="1">
        <v>42425</v>
      </c>
      <c r="M161" s="22">
        <f>Table10[[#This Row],[Ship Date]]-Table10[[#This Row],[Order Date]]</f>
        <v>4</v>
      </c>
      <c r="N161" t="s">
        <v>45</v>
      </c>
      <c r="O161" t="s">
        <v>23</v>
      </c>
      <c r="P161" t="s">
        <v>48</v>
      </c>
      <c r="Q161" t="s">
        <v>26</v>
      </c>
      <c r="R161" t="s">
        <v>793</v>
      </c>
      <c r="S161" s="33">
        <v>0.2</v>
      </c>
      <c r="T161" s="13">
        <v>432.45600000000002</v>
      </c>
      <c r="U161" s="13">
        <v>32.434199999999997</v>
      </c>
      <c r="V161" s="21">
        <f>Table10[[#This Row],[Profit]]/Table10[[#This Row],[Sales]]</f>
        <v>7.4999999999999983E-2</v>
      </c>
    </row>
    <row r="162" spans="1:22" x14ac:dyDescent="0.2">
      <c r="A162">
        <v>161</v>
      </c>
      <c r="B162" t="s">
        <v>9587</v>
      </c>
      <c r="C162" s="1">
        <v>42421</v>
      </c>
      <c r="D162" s="22">
        <f>MONTH(Table10[[#This Row],[Order Date]])</f>
        <v>2</v>
      </c>
      <c r="E162" t="s">
        <v>973</v>
      </c>
      <c r="F162" t="s">
        <v>974</v>
      </c>
      <c r="G162" s="23" t="s">
        <v>28</v>
      </c>
      <c r="H162" s="23" t="s">
        <v>58</v>
      </c>
      <c r="I162" t="s">
        <v>789</v>
      </c>
      <c r="J162" t="s">
        <v>36</v>
      </c>
      <c r="K162" s="22">
        <v>7</v>
      </c>
      <c r="L162" s="1">
        <v>42422</v>
      </c>
      <c r="M162" s="22">
        <f>Table10[[#This Row],[Ship Date]]-Table10[[#This Row],[Order Date]]</f>
        <v>1</v>
      </c>
      <c r="N162" t="s">
        <v>169</v>
      </c>
      <c r="O162" t="s">
        <v>23</v>
      </c>
      <c r="P162" t="s">
        <v>238</v>
      </c>
      <c r="Q162" t="s">
        <v>133</v>
      </c>
      <c r="R162" t="s">
        <v>237</v>
      </c>
      <c r="S162" s="33">
        <v>0</v>
      </c>
      <c r="T162" s="13">
        <v>135.80000000000001</v>
      </c>
      <c r="U162" s="13">
        <v>66.542000000000002</v>
      </c>
      <c r="V162" s="21">
        <f>Table10[[#This Row],[Profit]]/Table10[[#This Row],[Sales]]</f>
        <v>0.49</v>
      </c>
    </row>
    <row r="163" spans="1:22" x14ac:dyDescent="0.2">
      <c r="A163">
        <v>162</v>
      </c>
      <c r="B163" t="s">
        <v>4762</v>
      </c>
      <c r="C163" s="1">
        <v>42422</v>
      </c>
      <c r="D163" s="22">
        <f>MONTH(Table10[[#This Row],[Order Date]])</f>
        <v>2</v>
      </c>
      <c r="E163" t="s">
        <v>4763</v>
      </c>
      <c r="F163" t="s">
        <v>4764</v>
      </c>
      <c r="G163" s="23" t="s">
        <v>41</v>
      </c>
      <c r="H163" s="23" t="s">
        <v>71</v>
      </c>
      <c r="I163" t="s">
        <v>2841</v>
      </c>
      <c r="J163" t="s">
        <v>92</v>
      </c>
      <c r="K163" s="22">
        <v>9</v>
      </c>
      <c r="L163" s="1">
        <v>42428</v>
      </c>
      <c r="M163" s="22">
        <f>Table10[[#This Row],[Ship Date]]-Table10[[#This Row],[Order Date]]</f>
        <v>6</v>
      </c>
      <c r="N163" t="s">
        <v>45</v>
      </c>
      <c r="O163" t="s">
        <v>23</v>
      </c>
      <c r="P163" t="s">
        <v>103</v>
      </c>
      <c r="Q163" t="s">
        <v>95</v>
      </c>
      <c r="R163" t="s">
        <v>2242</v>
      </c>
      <c r="S163" s="33">
        <v>0</v>
      </c>
      <c r="T163" s="13">
        <v>490.32</v>
      </c>
      <c r="U163" s="13">
        <v>137.28960000000001</v>
      </c>
      <c r="V163" s="21">
        <f>Table10[[#This Row],[Profit]]/Table10[[#This Row],[Sales]]</f>
        <v>0.28000000000000003</v>
      </c>
    </row>
    <row r="164" spans="1:22" x14ac:dyDescent="0.2">
      <c r="A164">
        <v>163</v>
      </c>
      <c r="B164" t="s">
        <v>7448</v>
      </c>
      <c r="C164" s="1">
        <v>42422</v>
      </c>
      <c r="D164" s="22">
        <f>MONTH(Table10[[#This Row],[Order Date]])</f>
        <v>2</v>
      </c>
      <c r="E164" t="s">
        <v>1019</v>
      </c>
      <c r="F164" t="s">
        <v>1020</v>
      </c>
      <c r="G164" s="23" t="s">
        <v>64</v>
      </c>
      <c r="H164" s="23" t="s">
        <v>65</v>
      </c>
      <c r="I164" t="s">
        <v>2595</v>
      </c>
      <c r="J164" t="s">
        <v>22</v>
      </c>
      <c r="K164" s="22">
        <v>5</v>
      </c>
      <c r="L164" s="1">
        <v>42426</v>
      </c>
      <c r="M164" s="22">
        <f>Table10[[#This Row],[Ship Date]]-Table10[[#This Row],[Order Date]]</f>
        <v>4</v>
      </c>
      <c r="N164" t="s">
        <v>45</v>
      </c>
      <c r="O164" t="s">
        <v>23</v>
      </c>
      <c r="P164" t="s">
        <v>38</v>
      </c>
      <c r="Q164" t="s">
        <v>39</v>
      </c>
      <c r="R164" t="s">
        <v>37</v>
      </c>
      <c r="S164" s="33">
        <v>0.2</v>
      </c>
      <c r="T164" s="13">
        <v>445.96</v>
      </c>
      <c r="U164" s="13">
        <v>55.744999999999997</v>
      </c>
      <c r="V164" s="21">
        <f>Table10[[#This Row],[Profit]]/Table10[[#This Row],[Sales]]</f>
        <v>0.125</v>
      </c>
    </row>
    <row r="165" spans="1:22" x14ac:dyDescent="0.2">
      <c r="A165">
        <v>164</v>
      </c>
      <c r="B165" t="s">
        <v>7448</v>
      </c>
      <c r="C165" s="1">
        <v>42422</v>
      </c>
      <c r="D165" s="22">
        <f>MONTH(Table10[[#This Row],[Order Date]])</f>
        <v>2</v>
      </c>
      <c r="E165" t="s">
        <v>5815</v>
      </c>
      <c r="F165" t="s">
        <v>5816</v>
      </c>
      <c r="G165" s="23" t="s">
        <v>64</v>
      </c>
      <c r="H165" s="23" t="s">
        <v>144</v>
      </c>
      <c r="I165" t="s">
        <v>2595</v>
      </c>
      <c r="J165" t="s">
        <v>22</v>
      </c>
      <c r="K165" s="22">
        <v>1</v>
      </c>
      <c r="L165" s="1">
        <v>42426</v>
      </c>
      <c r="M165" s="22">
        <f>Table10[[#This Row],[Ship Date]]-Table10[[#This Row],[Order Date]]</f>
        <v>4</v>
      </c>
      <c r="N165" t="s">
        <v>45</v>
      </c>
      <c r="O165" t="s">
        <v>23</v>
      </c>
      <c r="P165" t="s">
        <v>38</v>
      </c>
      <c r="Q165" t="s">
        <v>39</v>
      </c>
      <c r="R165" t="s">
        <v>37</v>
      </c>
      <c r="S165" s="33">
        <v>0</v>
      </c>
      <c r="T165" s="13">
        <v>36.24</v>
      </c>
      <c r="U165" s="13">
        <v>15.220800000000001</v>
      </c>
      <c r="V165" s="21">
        <f>Table10[[#This Row],[Profit]]/Table10[[#This Row],[Sales]]</f>
        <v>0.42</v>
      </c>
    </row>
    <row r="166" spans="1:22" x14ac:dyDescent="0.2">
      <c r="A166">
        <v>165</v>
      </c>
      <c r="B166" t="s">
        <v>7448</v>
      </c>
      <c r="C166" s="1">
        <v>42422</v>
      </c>
      <c r="D166" s="22">
        <f>MONTH(Table10[[#This Row],[Order Date]])</f>
        <v>2</v>
      </c>
      <c r="E166" t="s">
        <v>3693</v>
      </c>
      <c r="F166" t="s">
        <v>3694</v>
      </c>
      <c r="G166" s="23" t="s">
        <v>41</v>
      </c>
      <c r="H166" s="23" t="s">
        <v>240</v>
      </c>
      <c r="I166" t="s">
        <v>2595</v>
      </c>
      <c r="J166" t="s">
        <v>22</v>
      </c>
      <c r="K166" s="22">
        <v>3</v>
      </c>
      <c r="L166" s="1">
        <v>42426</v>
      </c>
      <c r="M166" s="22">
        <f>Table10[[#This Row],[Ship Date]]-Table10[[#This Row],[Order Date]]</f>
        <v>4</v>
      </c>
      <c r="N166" t="s">
        <v>45</v>
      </c>
      <c r="O166" t="s">
        <v>23</v>
      </c>
      <c r="P166" t="s">
        <v>38</v>
      </c>
      <c r="Q166" t="s">
        <v>39</v>
      </c>
      <c r="R166" t="s">
        <v>37</v>
      </c>
      <c r="S166" s="33">
        <v>0</v>
      </c>
      <c r="T166" s="13">
        <v>10.65</v>
      </c>
      <c r="U166" s="13">
        <v>5.0054999999999996</v>
      </c>
      <c r="V166" s="21">
        <f>Table10[[#This Row],[Profit]]/Table10[[#This Row],[Sales]]</f>
        <v>0.47</v>
      </c>
    </row>
    <row r="167" spans="1:22" x14ac:dyDescent="0.2">
      <c r="A167">
        <v>166</v>
      </c>
      <c r="B167" t="s">
        <v>7997</v>
      </c>
      <c r="C167" s="1">
        <v>42423</v>
      </c>
      <c r="D167" s="22">
        <f>MONTH(Table10[[#This Row],[Order Date]])</f>
        <v>2</v>
      </c>
      <c r="E167" t="s">
        <v>890</v>
      </c>
      <c r="F167" t="s">
        <v>891</v>
      </c>
      <c r="G167" s="23" t="s">
        <v>41</v>
      </c>
      <c r="H167" s="23" t="s">
        <v>155</v>
      </c>
      <c r="I167" t="s">
        <v>1080</v>
      </c>
      <c r="J167" t="s">
        <v>36</v>
      </c>
      <c r="K167" s="22">
        <v>3</v>
      </c>
      <c r="L167" s="1">
        <v>42427</v>
      </c>
      <c r="M167" s="22">
        <f>Table10[[#This Row],[Ship Date]]-Table10[[#This Row],[Order Date]]</f>
        <v>4</v>
      </c>
      <c r="N167" t="s">
        <v>45</v>
      </c>
      <c r="O167" t="s">
        <v>23</v>
      </c>
      <c r="P167" t="s">
        <v>132</v>
      </c>
      <c r="Q167" t="s">
        <v>133</v>
      </c>
      <c r="R167" t="s">
        <v>131</v>
      </c>
      <c r="S167" s="33">
        <v>0.2</v>
      </c>
      <c r="T167" s="13">
        <v>57.576000000000001</v>
      </c>
      <c r="U167" s="13">
        <v>21.591000000000001</v>
      </c>
      <c r="V167" s="21">
        <f>Table10[[#This Row],[Profit]]/Table10[[#This Row],[Sales]]</f>
        <v>0.375</v>
      </c>
    </row>
    <row r="168" spans="1:22" x14ac:dyDescent="0.2">
      <c r="A168">
        <v>167</v>
      </c>
      <c r="B168" t="s">
        <v>5251</v>
      </c>
      <c r="C168" s="1">
        <v>42425</v>
      </c>
      <c r="D168" s="22">
        <f>MONTH(Table10[[#This Row],[Order Date]])</f>
        <v>2</v>
      </c>
      <c r="E168" t="s">
        <v>3643</v>
      </c>
      <c r="F168" t="s">
        <v>591</v>
      </c>
      <c r="G168" s="23" t="s">
        <v>41</v>
      </c>
      <c r="H168" s="23" t="s">
        <v>155</v>
      </c>
      <c r="I168" t="s">
        <v>1739</v>
      </c>
      <c r="J168" t="s">
        <v>22</v>
      </c>
      <c r="K168" s="22">
        <v>5</v>
      </c>
      <c r="L168" s="1">
        <v>42427</v>
      </c>
      <c r="M168" s="22">
        <f>Table10[[#This Row],[Ship Date]]-Table10[[#This Row],[Order Date]]</f>
        <v>2</v>
      </c>
      <c r="N168" t="s">
        <v>20</v>
      </c>
      <c r="O168" t="s">
        <v>23</v>
      </c>
      <c r="P168" t="s">
        <v>441</v>
      </c>
      <c r="Q168" t="s">
        <v>133</v>
      </c>
      <c r="R168" t="s">
        <v>536</v>
      </c>
      <c r="S168" s="33">
        <v>0.2</v>
      </c>
      <c r="T168" s="13">
        <v>46.72</v>
      </c>
      <c r="U168" s="13">
        <v>17.52</v>
      </c>
      <c r="V168" s="21">
        <f>Table10[[#This Row],[Profit]]/Table10[[#This Row],[Sales]]</f>
        <v>0.375</v>
      </c>
    </row>
    <row r="169" spans="1:22" x14ac:dyDescent="0.2">
      <c r="A169">
        <v>168</v>
      </c>
      <c r="B169" t="s">
        <v>3687</v>
      </c>
      <c r="C169" s="1">
        <v>42427</v>
      </c>
      <c r="D169" s="22">
        <f>MONTH(Table10[[#This Row],[Order Date]])</f>
        <v>2</v>
      </c>
      <c r="E169" t="s">
        <v>3688</v>
      </c>
      <c r="F169" t="s">
        <v>3689</v>
      </c>
      <c r="G169" s="23" t="s">
        <v>41</v>
      </c>
      <c r="H169" s="23" t="s">
        <v>71</v>
      </c>
      <c r="I169" t="s">
        <v>2156</v>
      </c>
      <c r="J169" t="s">
        <v>22</v>
      </c>
      <c r="K169" s="22">
        <v>3</v>
      </c>
      <c r="L169" s="1">
        <v>42430</v>
      </c>
      <c r="M169" s="22">
        <f>Table10[[#This Row],[Ship Date]]-Table10[[#This Row],[Order Date]]</f>
        <v>3</v>
      </c>
      <c r="N169" t="s">
        <v>169</v>
      </c>
      <c r="O169" t="s">
        <v>23</v>
      </c>
      <c r="P169" t="s">
        <v>238</v>
      </c>
      <c r="Q169" t="s">
        <v>133</v>
      </c>
      <c r="R169" t="s">
        <v>237</v>
      </c>
      <c r="S169" s="33">
        <v>0</v>
      </c>
      <c r="T169" s="13">
        <v>170.88</v>
      </c>
      <c r="U169" s="13">
        <v>49.555199999999999</v>
      </c>
      <c r="V169" s="21">
        <f>Table10[[#This Row],[Profit]]/Table10[[#This Row],[Sales]]</f>
        <v>0.28999999999999998</v>
      </c>
    </row>
    <row r="170" spans="1:22" x14ac:dyDescent="0.2">
      <c r="A170">
        <v>169</v>
      </c>
      <c r="B170" t="s">
        <v>6849</v>
      </c>
      <c r="C170" s="1">
        <v>42427</v>
      </c>
      <c r="D170" s="22">
        <f>MONTH(Table10[[#This Row],[Order Date]])</f>
        <v>2</v>
      </c>
      <c r="E170" t="s">
        <v>375</v>
      </c>
      <c r="F170" t="s">
        <v>376</v>
      </c>
      <c r="G170" s="23" t="s">
        <v>41</v>
      </c>
      <c r="H170" s="23" t="s">
        <v>68</v>
      </c>
      <c r="I170" t="s">
        <v>3841</v>
      </c>
      <c r="J170" t="s">
        <v>22</v>
      </c>
      <c r="K170" s="22">
        <v>3</v>
      </c>
      <c r="L170" s="1">
        <v>42430</v>
      </c>
      <c r="M170" s="22">
        <f>Table10[[#This Row],[Ship Date]]-Table10[[#This Row],[Order Date]]</f>
        <v>3</v>
      </c>
      <c r="N170" t="s">
        <v>20</v>
      </c>
      <c r="O170" t="s">
        <v>23</v>
      </c>
      <c r="P170" t="s">
        <v>103</v>
      </c>
      <c r="Q170" t="s">
        <v>95</v>
      </c>
      <c r="R170" t="s">
        <v>6850</v>
      </c>
      <c r="S170" s="33">
        <v>0</v>
      </c>
      <c r="T170" s="13">
        <v>56.82</v>
      </c>
      <c r="U170" s="13">
        <v>28.41</v>
      </c>
      <c r="V170" s="21">
        <f>Table10[[#This Row],[Profit]]/Table10[[#This Row],[Sales]]</f>
        <v>0.5</v>
      </c>
    </row>
    <row r="171" spans="1:22" x14ac:dyDescent="0.2">
      <c r="A171">
        <v>170</v>
      </c>
      <c r="B171" t="s">
        <v>8921</v>
      </c>
      <c r="C171" s="1">
        <v>42427</v>
      </c>
      <c r="D171" s="22">
        <f>MONTH(Table10[[#This Row],[Order Date]])</f>
        <v>2</v>
      </c>
      <c r="E171" t="s">
        <v>6696</v>
      </c>
      <c r="F171" t="s">
        <v>6697</v>
      </c>
      <c r="G171" s="23" t="s">
        <v>28</v>
      </c>
      <c r="H171" s="23" t="s">
        <v>58</v>
      </c>
      <c r="I171" t="s">
        <v>2797</v>
      </c>
      <c r="J171" t="s">
        <v>22</v>
      </c>
      <c r="K171" s="22">
        <v>2</v>
      </c>
      <c r="L171" s="1">
        <v>42431</v>
      </c>
      <c r="M171" s="22">
        <f>Table10[[#This Row],[Ship Date]]-Table10[[#This Row],[Order Date]]</f>
        <v>4</v>
      </c>
      <c r="N171" t="s">
        <v>45</v>
      </c>
      <c r="O171" t="s">
        <v>23</v>
      </c>
      <c r="P171" t="s">
        <v>94</v>
      </c>
      <c r="Q171" t="s">
        <v>95</v>
      </c>
      <c r="R171" t="s">
        <v>165</v>
      </c>
      <c r="S171" s="33">
        <v>0.6</v>
      </c>
      <c r="T171" s="13">
        <v>16.192</v>
      </c>
      <c r="U171" s="13">
        <v>-6.8815999999999997</v>
      </c>
      <c r="V171" s="21">
        <f>Table10[[#This Row],[Profit]]/Table10[[#This Row],[Sales]]</f>
        <v>-0.42499999999999999</v>
      </c>
    </row>
    <row r="172" spans="1:22" x14ac:dyDescent="0.2">
      <c r="A172">
        <v>171</v>
      </c>
      <c r="B172" t="s">
        <v>9620</v>
      </c>
      <c r="C172" s="1">
        <v>42428</v>
      </c>
      <c r="D172" s="22">
        <f>MONTH(Table10[[#This Row],[Order Date]])</f>
        <v>2</v>
      </c>
      <c r="E172" t="s">
        <v>2856</v>
      </c>
      <c r="F172" t="s">
        <v>498</v>
      </c>
      <c r="G172" s="23" t="s">
        <v>41</v>
      </c>
      <c r="H172" s="23" t="s">
        <v>240</v>
      </c>
      <c r="I172" t="s">
        <v>5159</v>
      </c>
      <c r="J172" t="s">
        <v>36</v>
      </c>
      <c r="K172" s="22">
        <v>6</v>
      </c>
      <c r="L172" s="1">
        <v>42435</v>
      </c>
      <c r="M172" s="22">
        <f>Table10[[#This Row],[Ship Date]]-Table10[[#This Row],[Order Date]]</f>
        <v>7</v>
      </c>
      <c r="N172" t="s">
        <v>45</v>
      </c>
      <c r="O172" t="s">
        <v>23</v>
      </c>
      <c r="P172" t="s">
        <v>238</v>
      </c>
      <c r="Q172" t="s">
        <v>133</v>
      </c>
      <c r="R172" t="s">
        <v>237</v>
      </c>
      <c r="S172" s="33">
        <v>0</v>
      </c>
      <c r="T172" s="13">
        <v>36.479999999999997</v>
      </c>
      <c r="U172" s="13">
        <v>18.239999999999998</v>
      </c>
      <c r="V172" s="21">
        <f>Table10[[#This Row],[Profit]]/Table10[[#This Row],[Sales]]</f>
        <v>0.5</v>
      </c>
    </row>
    <row r="173" spans="1:22" x14ac:dyDescent="0.2">
      <c r="A173">
        <v>172</v>
      </c>
      <c r="B173" t="s">
        <v>6191</v>
      </c>
      <c r="C173" s="1">
        <v>42429</v>
      </c>
      <c r="D173" s="22">
        <f>MONTH(Table10[[#This Row],[Order Date]])</f>
        <v>2</v>
      </c>
      <c r="E173" t="s">
        <v>5694</v>
      </c>
      <c r="F173" t="s">
        <v>5695</v>
      </c>
      <c r="G173" s="23" t="s">
        <v>41</v>
      </c>
      <c r="H173" s="23" t="s">
        <v>61</v>
      </c>
      <c r="I173" t="s">
        <v>403</v>
      </c>
      <c r="J173" t="s">
        <v>22</v>
      </c>
      <c r="K173" s="22">
        <v>7</v>
      </c>
      <c r="L173" s="1">
        <v>42433</v>
      </c>
      <c r="M173" s="22">
        <f>Table10[[#This Row],[Ship Date]]-Table10[[#This Row],[Order Date]]</f>
        <v>4</v>
      </c>
      <c r="N173" t="s">
        <v>45</v>
      </c>
      <c r="O173" t="s">
        <v>23</v>
      </c>
      <c r="P173" t="s">
        <v>441</v>
      </c>
      <c r="Q173" t="s">
        <v>133</v>
      </c>
      <c r="R173" t="s">
        <v>536</v>
      </c>
      <c r="S173" s="33">
        <v>0.2</v>
      </c>
      <c r="T173" s="13">
        <v>111.104</v>
      </c>
      <c r="U173" s="13">
        <v>8.3328000000000007</v>
      </c>
      <c r="V173" s="21">
        <f>Table10[[#This Row],[Profit]]/Table10[[#This Row],[Sales]]</f>
        <v>7.5000000000000011E-2</v>
      </c>
    </row>
    <row r="174" spans="1:22" x14ac:dyDescent="0.2">
      <c r="A174">
        <v>173</v>
      </c>
      <c r="B174" t="s">
        <v>2805</v>
      </c>
      <c r="C174" s="1">
        <v>42430</v>
      </c>
      <c r="D174" s="22">
        <f>MONTH(Table10[[#This Row],[Order Date]])</f>
        <v>3</v>
      </c>
      <c r="E174" t="s">
        <v>2112</v>
      </c>
      <c r="F174" t="s">
        <v>2113</v>
      </c>
      <c r="G174" s="23" t="s">
        <v>28</v>
      </c>
      <c r="H174" s="23" t="s">
        <v>50</v>
      </c>
      <c r="I174" t="s">
        <v>283</v>
      </c>
      <c r="J174" t="s">
        <v>22</v>
      </c>
      <c r="K174" s="22">
        <v>8</v>
      </c>
      <c r="L174" s="1">
        <v>42434</v>
      </c>
      <c r="M174" s="22">
        <f>Table10[[#This Row],[Ship Date]]-Table10[[#This Row],[Order Date]]</f>
        <v>4</v>
      </c>
      <c r="N174" t="s">
        <v>45</v>
      </c>
      <c r="O174" t="s">
        <v>23</v>
      </c>
      <c r="P174" t="s">
        <v>238</v>
      </c>
      <c r="Q174" t="s">
        <v>133</v>
      </c>
      <c r="R174" t="s">
        <v>2806</v>
      </c>
      <c r="S174" s="33">
        <v>0.4</v>
      </c>
      <c r="T174" s="13">
        <v>836.59199999999998</v>
      </c>
      <c r="U174" s="13">
        <v>-264.92079999999999</v>
      </c>
      <c r="V174" s="21">
        <f>Table10[[#This Row],[Profit]]/Table10[[#This Row],[Sales]]</f>
        <v>-0.31666666666666665</v>
      </c>
    </row>
    <row r="175" spans="1:22" x14ac:dyDescent="0.2">
      <c r="A175">
        <v>174</v>
      </c>
      <c r="B175" t="s">
        <v>2805</v>
      </c>
      <c r="C175" s="1">
        <v>42430</v>
      </c>
      <c r="D175" s="22">
        <f>MONTH(Table10[[#This Row],[Order Date]])</f>
        <v>3</v>
      </c>
      <c r="E175" t="s">
        <v>2807</v>
      </c>
      <c r="F175" t="s">
        <v>167</v>
      </c>
      <c r="G175" s="23" t="s">
        <v>41</v>
      </c>
      <c r="H175" s="23" t="s">
        <v>82</v>
      </c>
      <c r="I175" t="s">
        <v>283</v>
      </c>
      <c r="J175" t="s">
        <v>22</v>
      </c>
      <c r="K175" s="22">
        <v>1</v>
      </c>
      <c r="L175" s="1">
        <v>42434</v>
      </c>
      <c r="M175" s="22">
        <f>Table10[[#This Row],[Ship Date]]-Table10[[#This Row],[Order Date]]</f>
        <v>4</v>
      </c>
      <c r="N175" t="s">
        <v>45</v>
      </c>
      <c r="O175" t="s">
        <v>23</v>
      </c>
      <c r="P175" t="s">
        <v>238</v>
      </c>
      <c r="Q175" t="s">
        <v>133</v>
      </c>
      <c r="R175" t="s">
        <v>2806</v>
      </c>
      <c r="S175" s="33">
        <v>0</v>
      </c>
      <c r="T175" s="13">
        <v>26.38</v>
      </c>
      <c r="U175" s="13">
        <v>12.1348</v>
      </c>
      <c r="V175" s="21">
        <f>Table10[[#This Row],[Profit]]/Table10[[#This Row],[Sales]]</f>
        <v>0.46</v>
      </c>
    </row>
    <row r="176" spans="1:22" x14ac:dyDescent="0.2">
      <c r="A176">
        <v>175</v>
      </c>
      <c r="B176" t="s">
        <v>2805</v>
      </c>
      <c r="C176" s="1">
        <v>42430</v>
      </c>
      <c r="D176" s="22">
        <f>MONTH(Table10[[#This Row],[Order Date]])</f>
        <v>3</v>
      </c>
      <c r="E176" t="s">
        <v>894</v>
      </c>
      <c r="F176" t="s">
        <v>895</v>
      </c>
      <c r="G176" s="23" t="s">
        <v>41</v>
      </c>
      <c r="H176" s="23" t="s">
        <v>53</v>
      </c>
      <c r="I176" t="s">
        <v>283</v>
      </c>
      <c r="J176" t="s">
        <v>22</v>
      </c>
      <c r="K176" s="22">
        <v>2</v>
      </c>
      <c r="L176" s="1">
        <v>42434</v>
      </c>
      <c r="M176" s="22">
        <f>Table10[[#This Row],[Ship Date]]-Table10[[#This Row],[Order Date]]</f>
        <v>4</v>
      </c>
      <c r="N176" t="s">
        <v>45</v>
      </c>
      <c r="O176" t="s">
        <v>23</v>
      </c>
      <c r="P176" t="s">
        <v>238</v>
      </c>
      <c r="Q176" t="s">
        <v>133</v>
      </c>
      <c r="R176" t="s">
        <v>2806</v>
      </c>
      <c r="S176" s="33">
        <v>0</v>
      </c>
      <c r="T176" s="13">
        <v>362.92</v>
      </c>
      <c r="U176" s="13">
        <v>105.24679999999999</v>
      </c>
      <c r="V176" s="21">
        <f>Table10[[#This Row],[Profit]]/Table10[[#This Row],[Sales]]</f>
        <v>0.28999999999999998</v>
      </c>
    </row>
    <row r="177" spans="1:22" x14ac:dyDescent="0.2">
      <c r="A177">
        <v>176</v>
      </c>
      <c r="B177" t="s">
        <v>2805</v>
      </c>
      <c r="C177" s="1">
        <v>42430</v>
      </c>
      <c r="D177" s="22">
        <f>MONTH(Table10[[#This Row],[Order Date]])</f>
        <v>3</v>
      </c>
      <c r="E177" t="s">
        <v>2808</v>
      </c>
      <c r="F177" t="s">
        <v>2809</v>
      </c>
      <c r="G177" s="23" t="s">
        <v>64</v>
      </c>
      <c r="H177" s="23" t="s">
        <v>602</v>
      </c>
      <c r="I177" t="s">
        <v>283</v>
      </c>
      <c r="J177" t="s">
        <v>22</v>
      </c>
      <c r="K177" s="22">
        <v>7</v>
      </c>
      <c r="L177" s="1">
        <v>42434</v>
      </c>
      <c r="M177" s="22">
        <f>Table10[[#This Row],[Ship Date]]-Table10[[#This Row],[Order Date]]</f>
        <v>4</v>
      </c>
      <c r="N177" t="s">
        <v>45</v>
      </c>
      <c r="O177" t="s">
        <v>23</v>
      </c>
      <c r="P177" t="s">
        <v>238</v>
      </c>
      <c r="Q177" t="s">
        <v>133</v>
      </c>
      <c r="R177" t="s">
        <v>2806</v>
      </c>
      <c r="S177" s="33">
        <v>0</v>
      </c>
      <c r="T177" s="13">
        <v>4899.93</v>
      </c>
      <c r="U177" s="13">
        <v>2400.9657000000002</v>
      </c>
      <c r="V177" s="21">
        <f>Table10[[#This Row],[Profit]]/Table10[[#This Row],[Sales]]</f>
        <v>0.49</v>
      </c>
    </row>
    <row r="178" spans="1:22" x14ac:dyDescent="0.2">
      <c r="A178">
        <v>177</v>
      </c>
      <c r="B178" t="s">
        <v>6363</v>
      </c>
      <c r="C178" s="1">
        <v>42430</v>
      </c>
      <c r="D178" s="22">
        <f>MONTH(Table10[[#This Row],[Order Date]])</f>
        <v>3</v>
      </c>
      <c r="E178" t="s">
        <v>6364</v>
      </c>
      <c r="F178" t="s">
        <v>6365</v>
      </c>
      <c r="G178" s="23" t="s">
        <v>64</v>
      </c>
      <c r="H178" s="23" t="s">
        <v>65</v>
      </c>
      <c r="I178" t="s">
        <v>202</v>
      </c>
      <c r="J178" t="s">
        <v>36</v>
      </c>
      <c r="K178" s="22">
        <v>2</v>
      </c>
      <c r="L178" s="1">
        <v>42437</v>
      </c>
      <c r="M178" s="22">
        <f>Table10[[#This Row],[Ship Date]]-Table10[[#This Row],[Order Date]]</f>
        <v>7</v>
      </c>
      <c r="N178" t="s">
        <v>45</v>
      </c>
      <c r="O178" t="s">
        <v>23</v>
      </c>
      <c r="P178" t="s">
        <v>405</v>
      </c>
      <c r="Q178" t="s">
        <v>39</v>
      </c>
      <c r="R178" t="s">
        <v>711</v>
      </c>
      <c r="S178" s="33">
        <v>0.2</v>
      </c>
      <c r="T178" s="13">
        <v>159.98400000000001</v>
      </c>
      <c r="U178" s="13">
        <v>13.9986</v>
      </c>
      <c r="V178" s="21">
        <f>Table10[[#This Row],[Profit]]/Table10[[#This Row],[Sales]]</f>
        <v>8.7499999999999994E-2</v>
      </c>
    </row>
    <row r="179" spans="1:22" x14ac:dyDescent="0.2">
      <c r="A179">
        <v>178</v>
      </c>
      <c r="B179" t="s">
        <v>5624</v>
      </c>
      <c r="C179" s="1">
        <v>42432</v>
      </c>
      <c r="D179" s="22">
        <f>MONTH(Table10[[#This Row],[Order Date]])</f>
        <v>3</v>
      </c>
      <c r="E179" t="s">
        <v>2288</v>
      </c>
      <c r="F179" t="s">
        <v>2289</v>
      </c>
      <c r="G179" s="23" t="s">
        <v>41</v>
      </c>
      <c r="H179" s="23" t="s">
        <v>68</v>
      </c>
      <c r="I179" t="s">
        <v>56</v>
      </c>
      <c r="J179" t="s">
        <v>22</v>
      </c>
      <c r="K179" s="22">
        <v>7</v>
      </c>
      <c r="L179" s="1">
        <v>42437</v>
      </c>
      <c r="M179" s="22">
        <f>Table10[[#This Row],[Ship Date]]-Table10[[#This Row],[Order Date]]</f>
        <v>5</v>
      </c>
      <c r="N179" t="s">
        <v>45</v>
      </c>
      <c r="O179" t="s">
        <v>23</v>
      </c>
      <c r="P179" t="s">
        <v>218</v>
      </c>
      <c r="Q179" t="s">
        <v>133</v>
      </c>
      <c r="R179" t="s">
        <v>536</v>
      </c>
      <c r="S179" s="33">
        <v>0</v>
      </c>
      <c r="T179" s="13">
        <v>447.86</v>
      </c>
      <c r="U179" s="13">
        <v>219.45140000000001</v>
      </c>
      <c r="V179" s="21">
        <f>Table10[[#This Row],[Profit]]/Table10[[#This Row],[Sales]]</f>
        <v>0.49</v>
      </c>
    </row>
    <row r="180" spans="1:22" x14ac:dyDescent="0.2">
      <c r="A180">
        <v>179</v>
      </c>
      <c r="B180" t="s">
        <v>5624</v>
      </c>
      <c r="C180" s="1">
        <v>42432</v>
      </c>
      <c r="D180" s="22">
        <f>MONTH(Table10[[#This Row],[Order Date]])</f>
        <v>3</v>
      </c>
      <c r="E180" t="s">
        <v>2276</v>
      </c>
      <c r="F180" t="s">
        <v>2277</v>
      </c>
      <c r="G180" s="23" t="s">
        <v>64</v>
      </c>
      <c r="H180" s="23" t="s">
        <v>65</v>
      </c>
      <c r="I180" t="s">
        <v>56</v>
      </c>
      <c r="J180" t="s">
        <v>22</v>
      </c>
      <c r="K180" s="22">
        <v>5</v>
      </c>
      <c r="L180" s="1">
        <v>42437</v>
      </c>
      <c r="M180" s="22">
        <f>Table10[[#This Row],[Ship Date]]-Table10[[#This Row],[Order Date]]</f>
        <v>5</v>
      </c>
      <c r="N180" t="s">
        <v>45</v>
      </c>
      <c r="O180" t="s">
        <v>23</v>
      </c>
      <c r="P180" t="s">
        <v>218</v>
      </c>
      <c r="Q180" t="s">
        <v>133</v>
      </c>
      <c r="R180" t="s">
        <v>536</v>
      </c>
      <c r="S180" s="33">
        <v>0</v>
      </c>
      <c r="T180" s="13">
        <v>479.95</v>
      </c>
      <c r="U180" s="13">
        <v>129.5865</v>
      </c>
      <c r="V180" s="21">
        <f>Table10[[#This Row],[Profit]]/Table10[[#This Row],[Sales]]</f>
        <v>0.27</v>
      </c>
    </row>
    <row r="181" spans="1:22" x14ac:dyDescent="0.2">
      <c r="A181">
        <v>180</v>
      </c>
      <c r="B181" t="s">
        <v>5624</v>
      </c>
      <c r="C181" s="1">
        <v>42432</v>
      </c>
      <c r="D181" s="22">
        <f>MONTH(Table10[[#This Row],[Order Date]])</f>
        <v>3</v>
      </c>
      <c r="E181" t="s">
        <v>5625</v>
      </c>
      <c r="F181" t="s">
        <v>5626</v>
      </c>
      <c r="G181" s="23" t="s">
        <v>41</v>
      </c>
      <c r="H181" s="23" t="s">
        <v>82</v>
      </c>
      <c r="I181" t="s">
        <v>56</v>
      </c>
      <c r="J181" t="s">
        <v>22</v>
      </c>
      <c r="K181" s="22">
        <v>3</v>
      </c>
      <c r="L181" s="1">
        <v>42437</v>
      </c>
      <c r="M181" s="22">
        <f>Table10[[#This Row],[Ship Date]]-Table10[[#This Row],[Order Date]]</f>
        <v>5</v>
      </c>
      <c r="N181" t="s">
        <v>45</v>
      </c>
      <c r="O181" t="s">
        <v>23</v>
      </c>
      <c r="P181" t="s">
        <v>218</v>
      </c>
      <c r="Q181" t="s">
        <v>133</v>
      </c>
      <c r="R181" t="s">
        <v>536</v>
      </c>
      <c r="S181" s="33">
        <v>0</v>
      </c>
      <c r="T181" s="13">
        <v>166.44</v>
      </c>
      <c r="U181" s="13">
        <v>79.891199999999998</v>
      </c>
      <c r="V181" s="21">
        <f>Table10[[#This Row],[Profit]]/Table10[[#This Row],[Sales]]</f>
        <v>0.48</v>
      </c>
    </row>
    <row r="182" spans="1:22" x14ac:dyDescent="0.2">
      <c r="A182">
        <v>181</v>
      </c>
      <c r="B182" t="s">
        <v>6187</v>
      </c>
      <c r="C182" s="1">
        <v>42432</v>
      </c>
      <c r="D182" s="22">
        <f>MONTH(Table10[[#This Row],[Order Date]])</f>
        <v>3</v>
      </c>
      <c r="E182" t="s">
        <v>2851</v>
      </c>
      <c r="F182" t="s">
        <v>2852</v>
      </c>
      <c r="G182" s="23" t="s">
        <v>41</v>
      </c>
      <c r="H182" s="23" t="s">
        <v>82</v>
      </c>
      <c r="I182" t="s">
        <v>5632</v>
      </c>
      <c r="J182" t="s">
        <v>36</v>
      </c>
      <c r="K182" s="22">
        <v>7</v>
      </c>
      <c r="L182" s="1">
        <v>42435</v>
      </c>
      <c r="M182" s="22">
        <f>Table10[[#This Row],[Ship Date]]-Table10[[#This Row],[Order Date]]</f>
        <v>3</v>
      </c>
      <c r="N182" t="s">
        <v>169</v>
      </c>
      <c r="O182" t="s">
        <v>23</v>
      </c>
      <c r="P182" t="s">
        <v>94</v>
      </c>
      <c r="Q182" t="s">
        <v>95</v>
      </c>
      <c r="R182" t="s">
        <v>6188</v>
      </c>
      <c r="S182" s="33">
        <v>0.2</v>
      </c>
      <c r="T182" s="13">
        <v>42.783999999999999</v>
      </c>
      <c r="U182" s="13">
        <v>15.5092</v>
      </c>
      <c r="V182" s="21">
        <f>Table10[[#This Row],[Profit]]/Table10[[#This Row],[Sales]]</f>
        <v>0.36249999999999999</v>
      </c>
    </row>
    <row r="183" spans="1:22" x14ac:dyDescent="0.2">
      <c r="A183">
        <v>182</v>
      </c>
      <c r="B183" t="s">
        <v>6187</v>
      </c>
      <c r="C183" s="1">
        <v>42432</v>
      </c>
      <c r="D183" s="22">
        <f>MONTH(Table10[[#This Row],[Order Date]])</f>
        <v>3</v>
      </c>
      <c r="E183" t="s">
        <v>6189</v>
      </c>
      <c r="F183" t="s">
        <v>6190</v>
      </c>
      <c r="G183" s="23" t="s">
        <v>28</v>
      </c>
      <c r="H183" s="23" t="s">
        <v>32</v>
      </c>
      <c r="I183" t="s">
        <v>5632</v>
      </c>
      <c r="J183" t="s">
        <v>36</v>
      </c>
      <c r="K183" s="22">
        <v>5</v>
      </c>
      <c r="L183" s="1">
        <v>42435</v>
      </c>
      <c r="M183" s="22">
        <f>Table10[[#This Row],[Ship Date]]-Table10[[#This Row],[Order Date]]</f>
        <v>3</v>
      </c>
      <c r="N183" t="s">
        <v>169</v>
      </c>
      <c r="O183" t="s">
        <v>23</v>
      </c>
      <c r="P183" t="s">
        <v>94</v>
      </c>
      <c r="Q183" t="s">
        <v>95</v>
      </c>
      <c r="R183" t="s">
        <v>6188</v>
      </c>
      <c r="S183" s="33">
        <v>0.3</v>
      </c>
      <c r="T183" s="13">
        <v>563.42999999999995</v>
      </c>
      <c r="U183" s="13">
        <v>-56.343000000000004</v>
      </c>
      <c r="V183" s="21">
        <f>Table10[[#This Row],[Profit]]/Table10[[#This Row],[Sales]]</f>
        <v>-0.10000000000000002</v>
      </c>
    </row>
    <row r="184" spans="1:22" x14ac:dyDescent="0.2">
      <c r="A184">
        <v>183</v>
      </c>
      <c r="B184" t="s">
        <v>6310</v>
      </c>
      <c r="C184" s="1">
        <v>42432</v>
      </c>
      <c r="D184" s="22">
        <f>MONTH(Table10[[#This Row],[Order Date]])</f>
        <v>3</v>
      </c>
      <c r="E184" t="s">
        <v>5797</v>
      </c>
      <c r="F184" t="s">
        <v>5798</v>
      </c>
      <c r="G184" s="23" t="s">
        <v>64</v>
      </c>
      <c r="H184" s="23" t="s">
        <v>65</v>
      </c>
      <c r="I184" t="s">
        <v>852</v>
      </c>
      <c r="J184" t="s">
        <v>22</v>
      </c>
      <c r="K184" s="22">
        <v>3</v>
      </c>
      <c r="L184" s="1">
        <v>42437</v>
      </c>
      <c r="M184" s="22">
        <f>Table10[[#This Row],[Ship Date]]-Table10[[#This Row],[Order Date]]</f>
        <v>5</v>
      </c>
      <c r="N184" t="s">
        <v>20</v>
      </c>
      <c r="O184" t="s">
        <v>23</v>
      </c>
      <c r="P184" t="s">
        <v>226</v>
      </c>
      <c r="Q184" t="s">
        <v>95</v>
      </c>
      <c r="R184" t="s">
        <v>476</v>
      </c>
      <c r="S184" s="33">
        <v>0</v>
      </c>
      <c r="T184" s="13">
        <v>134.85</v>
      </c>
      <c r="U184" s="13">
        <v>37.758000000000003</v>
      </c>
      <c r="V184" s="21">
        <f>Table10[[#This Row],[Profit]]/Table10[[#This Row],[Sales]]</f>
        <v>0.28000000000000003</v>
      </c>
    </row>
    <row r="185" spans="1:22" x14ac:dyDescent="0.2">
      <c r="A185">
        <v>184</v>
      </c>
      <c r="B185" t="s">
        <v>6414</v>
      </c>
      <c r="C185" s="1">
        <v>42432</v>
      </c>
      <c r="D185" s="22">
        <f>MONTH(Table10[[#This Row],[Order Date]])</f>
        <v>3</v>
      </c>
      <c r="E185" t="s">
        <v>1173</v>
      </c>
      <c r="F185" t="s">
        <v>1174</v>
      </c>
      <c r="G185" s="23" t="s">
        <v>28</v>
      </c>
      <c r="H185" s="23" t="s">
        <v>50</v>
      </c>
      <c r="I185" t="s">
        <v>3114</v>
      </c>
      <c r="J185" t="s">
        <v>22</v>
      </c>
      <c r="K185" s="22">
        <v>3</v>
      </c>
      <c r="L185" s="1">
        <v>42437</v>
      </c>
      <c r="M185" s="22">
        <f>Table10[[#This Row],[Ship Date]]-Table10[[#This Row],[Order Date]]</f>
        <v>5</v>
      </c>
      <c r="N185" t="s">
        <v>45</v>
      </c>
      <c r="O185" t="s">
        <v>23</v>
      </c>
      <c r="P185" t="s">
        <v>94</v>
      </c>
      <c r="Q185" t="s">
        <v>95</v>
      </c>
      <c r="R185" t="s">
        <v>598</v>
      </c>
      <c r="S185" s="33">
        <v>0.3</v>
      </c>
      <c r="T185" s="13">
        <v>637.89599999999996</v>
      </c>
      <c r="U185" s="13">
        <v>-127.5792</v>
      </c>
      <c r="V185" s="21">
        <f>Table10[[#This Row],[Profit]]/Table10[[#This Row],[Sales]]</f>
        <v>-0.2</v>
      </c>
    </row>
    <row r="186" spans="1:22" x14ac:dyDescent="0.2">
      <c r="A186">
        <v>185</v>
      </c>
      <c r="B186" t="s">
        <v>6414</v>
      </c>
      <c r="C186" s="1">
        <v>42432</v>
      </c>
      <c r="D186" s="22">
        <f>MONTH(Table10[[#This Row],[Order Date]])</f>
        <v>3</v>
      </c>
      <c r="E186" t="s">
        <v>6415</v>
      </c>
      <c r="F186" t="s">
        <v>6416</v>
      </c>
      <c r="G186" s="23" t="s">
        <v>64</v>
      </c>
      <c r="H186" s="23" t="s">
        <v>602</v>
      </c>
      <c r="I186" t="s">
        <v>3114</v>
      </c>
      <c r="J186" t="s">
        <v>22</v>
      </c>
      <c r="K186" s="22">
        <v>3</v>
      </c>
      <c r="L186" s="1">
        <v>42437</v>
      </c>
      <c r="M186" s="22">
        <f>Table10[[#This Row],[Ship Date]]-Table10[[#This Row],[Order Date]]</f>
        <v>5</v>
      </c>
      <c r="N186" t="s">
        <v>45</v>
      </c>
      <c r="O186" t="s">
        <v>23</v>
      </c>
      <c r="P186" t="s">
        <v>94</v>
      </c>
      <c r="Q186" t="s">
        <v>95</v>
      </c>
      <c r="R186" t="s">
        <v>598</v>
      </c>
      <c r="S186" s="33">
        <v>0.4</v>
      </c>
      <c r="T186" s="13">
        <v>287.91000000000003</v>
      </c>
      <c r="U186" s="13">
        <v>33.589500000000001</v>
      </c>
      <c r="V186" s="21">
        <f>Table10[[#This Row],[Profit]]/Table10[[#This Row],[Sales]]</f>
        <v>0.11666666666666665</v>
      </c>
    </row>
    <row r="187" spans="1:22" x14ac:dyDescent="0.2">
      <c r="A187">
        <v>186</v>
      </c>
      <c r="B187" t="s">
        <v>6414</v>
      </c>
      <c r="C187" s="1">
        <v>42432</v>
      </c>
      <c r="D187" s="22">
        <f>MONTH(Table10[[#This Row],[Order Date]])</f>
        <v>3</v>
      </c>
      <c r="E187" t="s">
        <v>1300</v>
      </c>
      <c r="F187" t="s">
        <v>1301</v>
      </c>
      <c r="G187" s="23" t="s">
        <v>41</v>
      </c>
      <c r="H187" s="23" t="s">
        <v>155</v>
      </c>
      <c r="I187" t="s">
        <v>3114</v>
      </c>
      <c r="J187" t="s">
        <v>22</v>
      </c>
      <c r="K187" s="22">
        <v>3</v>
      </c>
      <c r="L187" s="1">
        <v>42437</v>
      </c>
      <c r="M187" s="22">
        <f>Table10[[#This Row],[Ship Date]]-Table10[[#This Row],[Order Date]]</f>
        <v>5</v>
      </c>
      <c r="N187" t="s">
        <v>45</v>
      </c>
      <c r="O187" t="s">
        <v>23</v>
      </c>
      <c r="P187" t="s">
        <v>94</v>
      </c>
      <c r="Q187" t="s">
        <v>95</v>
      </c>
      <c r="R187" t="s">
        <v>598</v>
      </c>
      <c r="S187" s="33">
        <v>0.2</v>
      </c>
      <c r="T187" s="13">
        <v>36.6</v>
      </c>
      <c r="U187" s="13">
        <v>11.895</v>
      </c>
      <c r="V187" s="21">
        <f>Table10[[#This Row],[Profit]]/Table10[[#This Row],[Sales]]</f>
        <v>0.32499999999999996</v>
      </c>
    </row>
    <row r="188" spans="1:22" x14ac:dyDescent="0.2">
      <c r="A188">
        <v>187</v>
      </c>
      <c r="B188" t="s">
        <v>6991</v>
      </c>
      <c r="C188" s="1">
        <v>42432</v>
      </c>
      <c r="D188" s="22">
        <f>MONTH(Table10[[#This Row],[Order Date]])</f>
        <v>3</v>
      </c>
      <c r="E188" t="s">
        <v>6118</v>
      </c>
      <c r="F188" t="s">
        <v>6119</v>
      </c>
      <c r="G188" s="23" t="s">
        <v>41</v>
      </c>
      <c r="H188" s="23" t="s">
        <v>513</v>
      </c>
      <c r="I188" t="s">
        <v>2763</v>
      </c>
      <c r="J188" t="s">
        <v>36</v>
      </c>
      <c r="K188" s="22">
        <v>3</v>
      </c>
      <c r="L188" s="1">
        <v>42432</v>
      </c>
      <c r="M188" s="22">
        <f>Table10[[#This Row],[Ship Date]]-Table10[[#This Row],[Order Date]]</f>
        <v>0</v>
      </c>
      <c r="N188" t="s">
        <v>1141</v>
      </c>
      <c r="O188" t="s">
        <v>23</v>
      </c>
      <c r="P188" t="s">
        <v>38</v>
      </c>
      <c r="Q188" t="s">
        <v>39</v>
      </c>
      <c r="R188" t="s">
        <v>114</v>
      </c>
      <c r="S188" s="33">
        <v>0</v>
      </c>
      <c r="T188" s="13">
        <v>25.35</v>
      </c>
      <c r="U188" s="13">
        <v>7.6050000000000004</v>
      </c>
      <c r="V188" s="21">
        <f>Table10[[#This Row],[Profit]]/Table10[[#This Row],[Sales]]</f>
        <v>0.3</v>
      </c>
    </row>
    <row r="189" spans="1:22" x14ac:dyDescent="0.2">
      <c r="A189">
        <v>188</v>
      </c>
      <c r="B189" t="s">
        <v>6991</v>
      </c>
      <c r="C189" s="1">
        <v>42432</v>
      </c>
      <c r="D189" s="22">
        <f>MONTH(Table10[[#This Row],[Order Date]])</f>
        <v>3</v>
      </c>
      <c r="E189" t="s">
        <v>5870</v>
      </c>
      <c r="F189" t="s">
        <v>5871</v>
      </c>
      <c r="G189" s="23" t="s">
        <v>28</v>
      </c>
      <c r="H189" s="23" t="s">
        <v>58</v>
      </c>
      <c r="I189" t="s">
        <v>2763</v>
      </c>
      <c r="J189" t="s">
        <v>36</v>
      </c>
      <c r="K189" s="22">
        <v>3</v>
      </c>
      <c r="L189" s="1">
        <v>42432</v>
      </c>
      <c r="M189" s="22">
        <f>Table10[[#This Row],[Ship Date]]-Table10[[#This Row],[Order Date]]</f>
        <v>0</v>
      </c>
      <c r="N189" t="s">
        <v>1141</v>
      </c>
      <c r="O189" t="s">
        <v>23</v>
      </c>
      <c r="P189" t="s">
        <v>38</v>
      </c>
      <c r="Q189" t="s">
        <v>39</v>
      </c>
      <c r="R189" t="s">
        <v>114</v>
      </c>
      <c r="S189" s="33">
        <v>0</v>
      </c>
      <c r="T189" s="13">
        <v>35.28</v>
      </c>
      <c r="U189" s="13">
        <v>11.995200000000001</v>
      </c>
      <c r="V189" s="21">
        <f>Table10[[#This Row],[Profit]]/Table10[[#This Row],[Sales]]</f>
        <v>0.34</v>
      </c>
    </row>
    <row r="190" spans="1:22" x14ac:dyDescent="0.2">
      <c r="A190">
        <v>189</v>
      </c>
      <c r="B190" t="s">
        <v>7305</v>
      </c>
      <c r="C190" s="1">
        <v>42432</v>
      </c>
      <c r="D190" s="22">
        <f>MONTH(Table10[[#This Row],[Order Date]])</f>
        <v>3</v>
      </c>
      <c r="E190" t="s">
        <v>4969</v>
      </c>
      <c r="F190" t="s">
        <v>4970</v>
      </c>
      <c r="G190" s="23" t="s">
        <v>41</v>
      </c>
      <c r="H190" s="23" t="s">
        <v>513</v>
      </c>
      <c r="I190" t="s">
        <v>2940</v>
      </c>
      <c r="J190" t="s">
        <v>22</v>
      </c>
      <c r="K190" s="22">
        <v>3</v>
      </c>
      <c r="L190" s="1">
        <v>42437</v>
      </c>
      <c r="M190" s="22">
        <f>Table10[[#This Row],[Ship Date]]-Table10[[#This Row],[Order Date]]</f>
        <v>5</v>
      </c>
      <c r="N190" t="s">
        <v>45</v>
      </c>
      <c r="O190" t="s">
        <v>23</v>
      </c>
      <c r="P190" t="s">
        <v>94</v>
      </c>
      <c r="Q190" t="s">
        <v>95</v>
      </c>
      <c r="R190" t="s">
        <v>2546</v>
      </c>
      <c r="S190" s="33">
        <v>0.2</v>
      </c>
      <c r="T190" s="13">
        <v>3930.0720000000001</v>
      </c>
      <c r="U190" s="13">
        <v>-786.01440000000002</v>
      </c>
      <c r="V190" s="21">
        <f>Table10[[#This Row],[Profit]]/Table10[[#This Row],[Sales]]</f>
        <v>-0.2</v>
      </c>
    </row>
    <row r="191" spans="1:22" x14ac:dyDescent="0.2">
      <c r="A191">
        <v>190</v>
      </c>
      <c r="B191" t="s">
        <v>7305</v>
      </c>
      <c r="C191" s="1">
        <v>42432</v>
      </c>
      <c r="D191" s="22">
        <f>MONTH(Table10[[#This Row],[Order Date]])</f>
        <v>3</v>
      </c>
      <c r="E191" t="s">
        <v>6204</v>
      </c>
      <c r="F191" t="s">
        <v>6205</v>
      </c>
      <c r="G191" s="23" t="s">
        <v>41</v>
      </c>
      <c r="H191" s="23" t="s">
        <v>240</v>
      </c>
      <c r="I191" t="s">
        <v>2940</v>
      </c>
      <c r="J191" t="s">
        <v>22</v>
      </c>
      <c r="K191" s="22">
        <v>1</v>
      </c>
      <c r="L191" s="1">
        <v>42437</v>
      </c>
      <c r="M191" s="22">
        <f>Table10[[#This Row],[Ship Date]]-Table10[[#This Row],[Order Date]]</f>
        <v>5</v>
      </c>
      <c r="N191" t="s">
        <v>45</v>
      </c>
      <c r="O191" t="s">
        <v>23</v>
      </c>
      <c r="P191" t="s">
        <v>94</v>
      </c>
      <c r="Q191" t="s">
        <v>95</v>
      </c>
      <c r="R191" t="s">
        <v>2546</v>
      </c>
      <c r="S191" s="33">
        <v>0.2</v>
      </c>
      <c r="T191" s="13">
        <v>2.3039999999999998</v>
      </c>
      <c r="U191" s="13">
        <v>0.77759999999999996</v>
      </c>
      <c r="V191" s="21">
        <f>Table10[[#This Row],[Profit]]/Table10[[#This Row],[Sales]]</f>
        <v>0.33750000000000002</v>
      </c>
    </row>
    <row r="192" spans="1:22" x14ac:dyDescent="0.2">
      <c r="A192">
        <v>191</v>
      </c>
      <c r="B192" t="s">
        <v>7305</v>
      </c>
      <c r="C192" s="1">
        <v>42432</v>
      </c>
      <c r="D192" s="22">
        <f>MONTH(Table10[[#This Row],[Order Date]])</f>
        <v>3</v>
      </c>
      <c r="E192" t="s">
        <v>4064</v>
      </c>
      <c r="F192" t="s">
        <v>4065</v>
      </c>
      <c r="G192" s="23" t="s">
        <v>64</v>
      </c>
      <c r="H192" s="23" t="s">
        <v>65</v>
      </c>
      <c r="I192" t="s">
        <v>2940</v>
      </c>
      <c r="J192" t="s">
        <v>22</v>
      </c>
      <c r="K192" s="22">
        <v>3</v>
      </c>
      <c r="L192" s="1">
        <v>42437</v>
      </c>
      <c r="M192" s="22">
        <f>Table10[[#This Row],[Ship Date]]-Table10[[#This Row],[Order Date]]</f>
        <v>5</v>
      </c>
      <c r="N192" t="s">
        <v>45</v>
      </c>
      <c r="O192" t="s">
        <v>23</v>
      </c>
      <c r="P192" t="s">
        <v>94</v>
      </c>
      <c r="Q192" t="s">
        <v>95</v>
      </c>
      <c r="R192" t="s">
        <v>2546</v>
      </c>
      <c r="S192" s="33">
        <v>0.2</v>
      </c>
      <c r="T192" s="13">
        <v>431.976</v>
      </c>
      <c r="U192" s="13">
        <v>32.398200000000003</v>
      </c>
      <c r="V192" s="21">
        <f>Table10[[#This Row],[Profit]]/Table10[[#This Row],[Sales]]</f>
        <v>7.5000000000000011E-2</v>
      </c>
    </row>
    <row r="193" spans="1:22" x14ac:dyDescent="0.2">
      <c r="A193">
        <v>192</v>
      </c>
      <c r="B193" t="s">
        <v>7305</v>
      </c>
      <c r="C193" s="1">
        <v>42432</v>
      </c>
      <c r="D193" s="22">
        <f>MONTH(Table10[[#This Row],[Order Date]])</f>
        <v>3</v>
      </c>
      <c r="E193" t="s">
        <v>1842</v>
      </c>
      <c r="F193" t="s">
        <v>1843</v>
      </c>
      <c r="G193" s="23" t="s">
        <v>64</v>
      </c>
      <c r="H193" s="23" t="s">
        <v>144</v>
      </c>
      <c r="I193" t="s">
        <v>2940</v>
      </c>
      <c r="J193" t="s">
        <v>22</v>
      </c>
      <c r="K193" s="22">
        <v>7</v>
      </c>
      <c r="L193" s="1">
        <v>42437</v>
      </c>
      <c r="M193" s="22">
        <f>Table10[[#This Row],[Ship Date]]-Table10[[#This Row],[Order Date]]</f>
        <v>5</v>
      </c>
      <c r="N193" t="s">
        <v>45</v>
      </c>
      <c r="O193" t="s">
        <v>23</v>
      </c>
      <c r="P193" t="s">
        <v>94</v>
      </c>
      <c r="Q193" t="s">
        <v>95</v>
      </c>
      <c r="R193" t="s">
        <v>2546</v>
      </c>
      <c r="S193" s="33">
        <v>0.2</v>
      </c>
      <c r="T193" s="13">
        <v>41.72</v>
      </c>
      <c r="U193" s="13">
        <v>5.7365000000000004</v>
      </c>
      <c r="V193" s="21">
        <f>Table10[[#This Row],[Profit]]/Table10[[#This Row],[Sales]]</f>
        <v>0.13750000000000001</v>
      </c>
    </row>
    <row r="194" spans="1:22" x14ac:dyDescent="0.2">
      <c r="A194">
        <v>193</v>
      </c>
      <c r="B194" t="s">
        <v>5087</v>
      </c>
      <c r="C194" s="1">
        <v>42433</v>
      </c>
      <c r="D194" s="22">
        <f>MONTH(Table10[[#This Row],[Order Date]])</f>
        <v>3</v>
      </c>
      <c r="E194" t="s">
        <v>5088</v>
      </c>
      <c r="F194" t="s">
        <v>5089</v>
      </c>
      <c r="G194" s="23" t="s">
        <v>41</v>
      </c>
      <c r="H194" s="23" t="s">
        <v>61</v>
      </c>
      <c r="I194" t="s">
        <v>3319</v>
      </c>
      <c r="J194" t="s">
        <v>92</v>
      </c>
      <c r="K194" s="22">
        <v>1</v>
      </c>
      <c r="L194" s="1">
        <v>42439</v>
      </c>
      <c r="M194" s="22">
        <f>Table10[[#This Row],[Ship Date]]-Table10[[#This Row],[Order Date]]</f>
        <v>6</v>
      </c>
      <c r="N194" t="s">
        <v>45</v>
      </c>
      <c r="O194" t="s">
        <v>23</v>
      </c>
      <c r="P194" t="s">
        <v>38</v>
      </c>
      <c r="Q194" t="s">
        <v>39</v>
      </c>
      <c r="R194" t="s">
        <v>836</v>
      </c>
      <c r="S194" s="33">
        <v>0</v>
      </c>
      <c r="T194" s="13">
        <v>16.989999999999998</v>
      </c>
      <c r="U194" s="13">
        <v>4.9271000000000003</v>
      </c>
      <c r="V194" s="21">
        <f>Table10[[#This Row],[Profit]]/Table10[[#This Row],[Sales]]</f>
        <v>0.29000000000000004</v>
      </c>
    </row>
    <row r="195" spans="1:22" x14ac:dyDescent="0.2">
      <c r="A195">
        <v>194</v>
      </c>
      <c r="B195" t="s">
        <v>5793</v>
      </c>
      <c r="C195" s="1">
        <v>42433</v>
      </c>
      <c r="D195" s="22">
        <f>MONTH(Table10[[#This Row],[Order Date]])</f>
        <v>3</v>
      </c>
      <c r="E195" t="s">
        <v>3650</v>
      </c>
      <c r="F195" t="s">
        <v>3651</v>
      </c>
      <c r="G195" s="23" t="s">
        <v>41</v>
      </c>
      <c r="H195" s="23" t="s">
        <v>42</v>
      </c>
      <c r="I195" t="s">
        <v>4475</v>
      </c>
      <c r="J195" t="s">
        <v>36</v>
      </c>
      <c r="K195" s="22">
        <v>4</v>
      </c>
      <c r="L195" s="1">
        <v>42437</v>
      </c>
      <c r="M195" s="22">
        <f>Table10[[#This Row],[Ship Date]]-Table10[[#This Row],[Order Date]]</f>
        <v>4</v>
      </c>
      <c r="N195" t="s">
        <v>20</v>
      </c>
      <c r="O195" t="s">
        <v>23</v>
      </c>
      <c r="P195" t="s">
        <v>48</v>
      </c>
      <c r="Q195" t="s">
        <v>26</v>
      </c>
      <c r="R195" t="s">
        <v>1253</v>
      </c>
      <c r="S195" s="33">
        <v>0.2</v>
      </c>
      <c r="T195" s="13">
        <v>10.08</v>
      </c>
      <c r="U195" s="13">
        <v>3.528</v>
      </c>
      <c r="V195" s="21">
        <f>Table10[[#This Row],[Profit]]/Table10[[#This Row],[Sales]]</f>
        <v>0.35</v>
      </c>
    </row>
    <row r="196" spans="1:22" x14ac:dyDescent="0.2">
      <c r="A196">
        <v>195</v>
      </c>
      <c r="B196" t="s">
        <v>6579</v>
      </c>
      <c r="C196" s="1">
        <v>42433</v>
      </c>
      <c r="D196" s="22">
        <f>MONTH(Table10[[#This Row],[Order Date]])</f>
        <v>3</v>
      </c>
      <c r="E196" t="s">
        <v>6580</v>
      </c>
      <c r="F196" t="s">
        <v>6581</v>
      </c>
      <c r="G196" s="23" t="s">
        <v>41</v>
      </c>
      <c r="H196" s="23" t="s">
        <v>68</v>
      </c>
      <c r="I196" t="s">
        <v>3703</v>
      </c>
      <c r="J196" t="s">
        <v>22</v>
      </c>
      <c r="K196" s="22">
        <v>3</v>
      </c>
      <c r="L196" s="1">
        <v>42437</v>
      </c>
      <c r="M196" s="22">
        <f>Table10[[#This Row],[Ship Date]]-Table10[[#This Row],[Order Date]]</f>
        <v>4</v>
      </c>
      <c r="N196" t="s">
        <v>45</v>
      </c>
      <c r="O196" t="s">
        <v>23</v>
      </c>
      <c r="P196" t="s">
        <v>226</v>
      </c>
      <c r="Q196" t="s">
        <v>95</v>
      </c>
      <c r="R196" t="s">
        <v>4958</v>
      </c>
      <c r="S196" s="33">
        <v>0</v>
      </c>
      <c r="T196" s="13">
        <v>128.4</v>
      </c>
      <c r="U196" s="13">
        <v>64.2</v>
      </c>
      <c r="V196" s="21">
        <f>Table10[[#This Row],[Profit]]/Table10[[#This Row],[Sales]]</f>
        <v>0.5</v>
      </c>
    </row>
    <row r="197" spans="1:22" x14ac:dyDescent="0.2">
      <c r="A197">
        <v>196</v>
      </c>
      <c r="B197" t="s">
        <v>10029</v>
      </c>
      <c r="C197" s="1">
        <v>42433</v>
      </c>
      <c r="D197" s="22">
        <f>MONTH(Table10[[#This Row],[Order Date]])</f>
        <v>3</v>
      </c>
      <c r="E197" t="s">
        <v>1472</v>
      </c>
      <c r="F197" t="s">
        <v>1473</v>
      </c>
      <c r="G197" s="23" t="s">
        <v>64</v>
      </c>
      <c r="H197" s="23" t="s">
        <v>144</v>
      </c>
      <c r="I197" t="s">
        <v>4851</v>
      </c>
      <c r="J197" t="s">
        <v>36</v>
      </c>
      <c r="K197" s="22">
        <v>2</v>
      </c>
      <c r="L197" s="1">
        <v>42437</v>
      </c>
      <c r="M197" s="22">
        <f>Table10[[#This Row],[Ship Date]]-Table10[[#This Row],[Order Date]]</f>
        <v>4</v>
      </c>
      <c r="N197" t="s">
        <v>45</v>
      </c>
      <c r="O197" t="s">
        <v>23</v>
      </c>
      <c r="P197" t="s">
        <v>2373</v>
      </c>
      <c r="Q197" t="s">
        <v>133</v>
      </c>
      <c r="R197" t="s">
        <v>217</v>
      </c>
      <c r="S197" s="33">
        <v>0</v>
      </c>
      <c r="T197" s="13">
        <v>159.97999999999999</v>
      </c>
      <c r="U197" s="13">
        <v>57.592799999999997</v>
      </c>
      <c r="V197" s="21">
        <f>Table10[[#This Row],[Profit]]/Table10[[#This Row],[Sales]]</f>
        <v>0.36</v>
      </c>
    </row>
    <row r="198" spans="1:22" x14ac:dyDescent="0.2">
      <c r="A198">
        <v>197</v>
      </c>
      <c r="B198" t="s">
        <v>2471</v>
      </c>
      <c r="C198" s="1">
        <v>42434</v>
      </c>
      <c r="D198" s="22">
        <f>MONTH(Table10[[#This Row],[Order Date]])</f>
        <v>3</v>
      </c>
      <c r="E198" t="s">
        <v>2171</v>
      </c>
      <c r="F198" t="s">
        <v>2172</v>
      </c>
      <c r="G198" s="23" t="s">
        <v>41</v>
      </c>
      <c r="H198" s="23" t="s">
        <v>155</v>
      </c>
      <c r="I198" t="s">
        <v>2472</v>
      </c>
      <c r="J198" t="s">
        <v>36</v>
      </c>
      <c r="K198" s="22">
        <v>3</v>
      </c>
      <c r="L198" s="1">
        <v>42440</v>
      </c>
      <c r="M198" s="22">
        <f>Table10[[#This Row],[Ship Date]]-Table10[[#This Row],[Order Date]]</f>
        <v>6</v>
      </c>
      <c r="N198" t="s">
        <v>45</v>
      </c>
      <c r="O198" t="s">
        <v>23</v>
      </c>
      <c r="P198" t="s">
        <v>94</v>
      </c>
      <c r="Q198" t="s">
        <v>95</v>
      </c>
      <c r="R198" t="s">
        <v>718</v>
      </c>
      <c r="S198" s="33">
        <v>0.2</v>
      </c>
      <c r="T198" s="13">
        <v>149.352</v>
      </c>
      <c r="U198" s="13">
        <v>50.406300000000002</v>
      </c>
      <c r="V198" s="21">
        <f>Table10[[#This Row],[Profit]]/Table10[[#This Row],[Sales]]</f>
        <v>0.33750000000000002</v>
      </c>
    </row>
    <row r="199" spans="1:22" x14ac:dyDescent="0.2">
      <c r="A199">
        <v>198</v>
      </c>
      <c r="B199" t="s">
        <v>2471</v>
      </c>
      <c r="C199" s="1">
        <v>42434</v>
      </c>
      <c r="D199" s="22">
        <f>MONTH(Table10[[#This Row],[Order Date]])</f>
        <v>3</v>
      </c>
      <c r="E199" t="s">
        <v>2473</v>
      </c>
      <c r="F199" t="s">
        <v>2474</v>
      </c>
      <c r="G199" s="23" t="s">
        <v>41</v>
      </c>
      <c r="H199" s="23" t="s">
        <v>53</v>
      </c>
      <c r="I199" t="s">
        <v>2472</v>
      </c>
      <c r="J199" t="s">
        <v>36</v>
      </c>
      <c r="K199" s="22">
        <v>1</v>
      </c>
      <c r="L199" s="1">
        <v>42440</v>
      </c>
      <c r="M199" s="22">
        <f>Table10[[#This Row],[Ship Date]]-Table10[[#This Row],[Order Date]]</f>
        <v>6</v>
      </c>
      <c r="N199" t="s">
        <v>45</v>
      </c>
      <c r="O199" t="s">
        <v>23</v>
      </c>
      <c r="P199" t="s">
        <v>94</v>
      </c>
      <c r="Q199" t="s">
        <v>95</v>
      </c>
      <c r="R199" t="s">
        <v>718</v>
      </c>
      <c r="S199" s="33">
        <v>0.2</v>
      </c>
      <c r="T199" s="13">
        <v>12.992000000000001</v>
      </c>
      <c r="U199" s="13">
        <v>-0.81200000000000006</v>
      </c>
      <c r="V199" s="21">
        <f>Table10[[#This Row],[Profit]]/Table10[[#This Row],[Sales]]</f>
        <v>-6.25E-2</v>
      </c>
    </row>
    <row r="200" spans="1:22" x14ac:dyDescent="0.2">
      <c r="A200">
        <v>199</v>
      </c>
      <c r="B200" t="s">
        <v>9253</v>
      </c>
      <c r="C200" s="1">
        <v>42435</v>
      </c>
      <c r="D200" s="22">
        <f>MONTH(Table10[[#This Row],[Order Date]])</f>
        <v>3</v>
      </c>
      <c r="E200" t="s">
        <v>3105</v>
      </c>
      <c r="F200" t="s">
        <v>3106</v>
      </c>
      <c r="G200" s="23" t="s">
        <v>64</v>
      </c>
      <c r="H200" s="23" t="s">
        <v>65</v>
      </c>
      <c r="I200" t="s">
        <v>5511</v>
      </c>
      <c r="J200" t="s">
        <v>92</v>
      </c>
      <c r="K200" s="22">
        <v>2</v>
      </c>
      <c r="L200" s="1">
        <v>42439</v>
      </c>
      <c r="M200" s="22">
        <f>Table10[[#This Row],[Ship Date]]-Table10[[#This Row],[Order Date]]</f>
        <v>4</v>
      </c>
      <c r="N200" t="s">
        <v>45</v>
      </c>
      <c r="O200" t="s">
        <v>23</v>
      </c>
      <c r="P200" t="s">
        <v>132</v>
      </c>
      <c r="Q200" t="s">
        <v>133</v>
      </c>
      <c r="R200" t="s">
        <v>131</v>
      </c>
      <c r="S200" s="33">
        <v>0.4</v>
      </c>
      <c r="T200" s="13">
        <v>431.94</v>
      </c>
      <c r="U200" s="13">
        <v>-71.989999999999995</v>
      </c>
      <c r="V200" s="21">
        <f>Table10[[#This Row],[Profit]]/Table10[[#This Row],[Sales]]</f>
        <v>-0.16666666666666666</v>
      </c>
    </row>
    <row r="201" spans="1:22" x14ac:dyDescent="0.2">
      <c r="A201">
        <v>200</v>
      </c>
      <c r="B201" t="s">
        <v>9253</v>
      </c>
      <c r="C201" s="1">
        <v>42435</v>
      </c>
      <c r="D201" s="22">
        <f>MONTH(Table10[[#This Row],[Order Date]])</f>
        <v>3</v>
      </c>
      <c r="E201" t="s">
        <v>4629</v>
      </c>
      <c r="F201" t="s">
        <v>4630</v>
      </c>
      <c r="G201" s="23" t="s">
        <v>41</v>
      </c>
      <c r="H201" s="23" t="s">
        <v>68</v>
      </c>
      <c r="I201" t="s">
        <v>5511</v>
      </c>
      <c r="J201" t="s">
        <v>92</v>
      </c>
      <c r="K201" s="22">
        <v>1</v>
      </c>
      <c r="L201" s="1">
        <v>42439</v>
      </c>
      <c r="M201" s="22">
        <f>Table10[[#This Row],[Ship Date]]-Table10[[#This Row],[Order Date]]</f>
        <v>4</v>
      </c>
      <c r="N201" t="s">
        <v>45</v>
      </c>
      <c r="O201" t="s">
        <v>23</v>
      </c>
      <c r="P201" t="s">
        <v>132</v>
      </c>
      <c r="Q201" t="s">
        <v>133</v>
      </c>
      <c r="R201" t="s">
        <v>131</v>
      </c>
      <c r="S201" s="33">
        <v>0.7</v>
      </c>
      <c r="T201" s="13">
        <v>2.0430000000000001</v>
      </c>
      <c r="U201" s="13">
        <v>-1.4982</v>
      </c>
      <c r="V201" s="21">
        <f>Table10[[#This Row],[Profit]]/Table10[[#This Row],[Sales]]</f>
        <v>-0.73333333333333328</v>
      </c>
    </row>
    <row r="202" spans="1:22" x14ac:dyDescent="0.2">
      <c r="A202">
        <v>201</v>
      </c>
      <c r="B202" t="s">
        <v>9253</v>
      </c>
      <c r="C202" s="1">
        <v>42435</v>
      </c>
      <c r="D202" s="22">
        <f>MONTH(Table10[[#This Row],[Order Date]])</f>
        <v>3</v>
      </c>
      <c r="E202" t="s">
        <v>1807</v>
      </c>
      <c r="F202" t="s">
        <v>1808</v>
      </c>
      <c r="G202" s="23" t="s">
        <v>64</v>
      </c>
      <c r="H202" s="23" t="s">
        <v>65</v>
      </c>
      <c r="I202" t="s">
        <v>5511</v>
      </c>
      <c r="J202" t="s">
        <v>92</v>
      </c>
      <c r="K202" s="22">
        <v>3</v>
      </c>
      <c r="L202" s="1">
        <v>42439</v>
      </c>
      <c r="M202" s="22">
        <f>Table10[[#This Row],[Ship Date]]-Table10[[#This Row],[Order Date]]</f>
        <v>4</v>
      </c>
      <c r="N202" t="s">
        <v>45</v>
      </c>
      <c r="O202" t="s">
        <v>23</v>
      </c>
      <c r="P202" t="s">
        <v>132</v>
      </c>
      <c r="Q202" t="s">
        <v>133</v>
      </c>
      <c r="R202" t="s">
        <v>131</v>
      </c>
      <c r="S202" s="33">
        <v>0.4</v>
      </c>
      <c r="T202" s="13">
        <v>68.238</v>
      </c>
      <c r="U202" s="13">
        <v>-12.510300000000001</v>
      </c>
      <c r="V202" s="21">
        <f>Table10[[#This Row],[Profit]]/Table10[[#This Row],[Sales]]</f>
        <v>-0.18333333333333335</v>
      </c>
    </row>
    <row r="203" spans="1:22" x14ac:dyDescent="0.2">
      <c r="A203">
        <v>202</v>
      </c>
      <c r="B203" t="s">
        <v>9571</v>
      </c>
      <c r="C203" s="1">
        <v>42435</v>
      </c>
      <c r="D203" s="22">
        <f>MONTH(Table10[[#This Row],[Order Date]])</f>
        <v>3</v>
      </c>
      <c r="E203" t="s">
        <v>3609</v>
      </c>
      <c r="F203" t="s">
        <v>3610</v>
      </c>
      <c r="G203" s="23" t="s">
        <v>41</v>
      </c>
      <c r="H203" s="23" t="s">
        <v>71</v>
      </c>
      <c r="I203" t="s">
        <v>403</v>
      </c>
      <c r="J203" t="s">
        <v>22</v>
      </c>
      <c r="K203" s="22">
        <v>3</v>
      </c>
      <c r="L203" s="1">
        <v>42441</v>
      </c>
      <c r="M203" s="22">
        <f>Table10[[#This Row],[Ship Date]]-Table10[[#This Row],[Order Date]]</f>
        <v>6</v>
      </c>
      <c r="N203" t="s">
        <v>45</v>
      </c>
      <c r="O203" t="s">
        <v>23</v>
      </c>
      <c r="P203" t="s">
        <v>189</v>
      </c>
      <c r="Q203" t="s">
        <v>95</v>
      </c>
      <c r="R203" t="s">
        <v>271</v>
      </c>
      <c r="S203" s="33">
        <v>0.8</v>
      </c>
      <c r="T203" s="13">
        <v>2.3340000000000001</v>
      </c>
      <c r="U203" s="13">
        <v>-6.3018000000000001</v>
      </c>
      <c r="V203" s="21">
        <f>Table10[[#This Row],[Profit]]/Table10[[#This Row],[Sales]]</f>
        <v>-2.6999999999999997</v>
      </c>
    </row>
    <row r="204" spans="1:22" x14ac:dyDescent="0.2">
      <c r="A204">
        <v>203</v>
      </c>
      <c r="B204" t="s">
        <v>9571</v>
      </c>
      <c r="C204" s="1">
        <v>42435</v>
      </c>
      <c r="D204" s="22">
        <f>MONTH(Table10[[#This Row],[Order Date]])</f>
        <v>3</v>
      </c>
      <c r="E204" t="s">
        <v>2993</v>
      </c>
      <c r="F204" t="s">
        <v>2994</v>
      </c>
      <c r="G204" s="23" t="s">
        <v>41</v>
      </c>
      <c r="H204" s="23" t="s">
        <v>68</v>
      </c>
      <c r="I204" t="s">
        <v>403</v>
      </c>
      <c r="J204" t="s">
        <v>22</v>
      </c>
      <c r="K204" s="22">
        <v>4</v>
      </c>
      <c r="L204" s="1">
        <v>42441</v>
      </c>
      <c r="M204" s="22">
        <f>Table10[[#This Row],[Ship Date]]-Table10[[#This Row],[Order Date]]</f>
        <v>6</v>
      </c>
      <c r="N204" t="s">
        <v>45</v>
      </c>
      <c r="O204" t="s">
        <v>23</v>
      </c>
      <c r="P204" t="s">
        <v>189</v>
      </c>
      <c r="Q204" t="s">
        <v>95</v>
      </c>
      <c r="R204" t="s">
        <v>271</v>
      </c>
      <c r="S204" s="33">
        <v>0.8</v>
      </c>
      <c r="T204" s="13">
        <v>1.728</v>
      </c>
      <c r="U204" s="13">
        <v>-2.7648000000000001</v>
      </c>
      <c r="V204" s="21">
        <f>Table10[[#This Row],[Profit]]/Table10[[#This Row],[Sales]]</f>
        <v>-1.6</v>
      </c>
    </row>
    <row r="205" spans="1:22" x14ac:dyDescent="0.2">
      <c r="A205">
        <v>204</v>
      </c>
      <c r="B205" t="s">
        <v>9571</v>
      </c>
      <c r="C205" s="1">
        <v>42435</v>
      </c>
      <c r="D205" s="22">
        <f>MONTH(Table10[[#This Row],[Order Date]])</f>
        <v>3</v>
      </c>
      <c r="E205" t="s">
        <v>489</v>
      </c>
      <c r="F205" t="s">
        <v>490</v>
      </c>
      <c r="G205" s="23" t="s">
        <v>28</v>
      </c>
      <c r="H205" s="23" t="s">
        <v>58</v>
      </c>
      <c r="I205" t="s">
        <v>403</v>
      </c>
      <c r="J205" t="s">
        <v>22</v>
      </c>
      <c r="K205" s="22">
        <v>5</v>
      </c>
      <c r="L205" s="1">
        <v>42441</v>
      </c>
      <c r="M205" s="22">
        <f>Table10[[#This Row],[Ship Date]]-Table10[[#This Row],[Order Date]]</f>
        <v>6</v>
      </c>
      <c r="N205" t="s">
        <v>45</v>
      </c>
      <c r="O205" t="s">
        <v>23</v>
      </c>
      <c r="P205" t="s">
        <v>189</v>
      </c>
      <c r="Q205" t="s">
        <v>95</v>
      </c>
      <c r="R205" t="s">
        <v>271</v>
      </c>
      <c r="S205" s="33">
        <v>0.6</v>
      </c>
      <c r="T205" s="13">
        <v>159.04</v>
      </c>
      <c r="U205" s="13">
        <v>-194.82400000000001</v>
      </c>
      <c r="V205" s="21">
        <f>Table10[[#This Row],[Profit]]/Table10[[#This Row],[Sales]]</f>
        <v>-1.2250000000000001</v>
      </c>
    </row>
    <row r="206" spans="1:22" x14ac:dyDescent="0.2">
      <c r="A206">
        <v>205</v>
      </c>
      <c r="B206" t="s">
        <v>9571</v>
      </c>
      <c r="C206" s="1">
        <v>42435</v>
      </c>
      <c r="D206" s="22">
        <f>MONTH(Table10[[#This Row],[Order Date]])</f>
        <v>3</v>
      </c>
      <c r="E206" t="s">
        <v>4891</v>
      </c>
      <c r="F206" t="s">
        <v>4892</v>
      </c>
      <c r="G206" s="23" t="s">
        <v>28</v>
      </c>
      <c r="H206" s="23" t="s">
        <v>50</v>
      </c>
      <c r="I206" t="s">
        <v>403</v>
      </c>
      <c r="J206" t="s">
        <v>22</v>
      </c>
      <c r="K206" s="22">
        <v>2</v>
      </c>
      <c r="L206" s="1">
        <v>42441</v>
      </c>
      <c r="M206" s="22">
        <f>Table10[[#This Row],[Ship Date]]-Table10[[#This Row],[Order Date]]</f>
        <v>6</v>
      </c>
      <c r="N206" t="s">
        <v>45</v>
      </c>
      <c r="O206" t="s">
        <v>23</v>
      </c>
      <c r="P206" t="s">
        <v>189</v>
      </c>
      <c r="Q206" t="s">
        <v>95</v>
      </c>
      <c r="R206" t="s">
        <v>271</v>
      </c>
      <c r="S206" s="33">
        <v>0.5</v>
      </c>
      <c r="T206" s="13">
        <v>145.97999999999999</v>
      </c>
      <c r="U206" s="13">
        <v>-99.266400000000004</v>
      </c>
      <c r="V206" s="21">
        <f>Table10[[#This Row],[Profit]]/Table10[[#This Row],[Sales]]</f>
        <v>-0.68</v>
      </c>
    </row>
    <row r="207" spans="1:22" x14ac:dyDescent="0.2">
      <c r="A207">
        <v>206</v>
      </c>
      <c r="B207" t="s">
        <v>2294</v>
      </c>
      <c r="C207" s="1">
        <v>42436</v>
      </c>
      <c r="D207" s="22">
        <f>MONTH(Table10[[#This Row],[Order Date]])</f>
        <v>3</v>
      </c>
      <c r="E207" t="s">
        <v>1391</v>
      </c>
      <c r="F207" t="s">
        <v>1392</v>
      </c>
      <c r="G207" s="23" t="s">
        <v>64</v>
      </c>
      <c r="H207" s="23" t="s">
        <v>65</v>
      </c>
      <c r="I207" t="s">
        <v>1394</v>
      </c>
      <c r="J207" t="s">
        <v>36</v>
      </c>
      <c r="K207" s="22">
        <v>3</v>
      </c>
      <c r="L207" s="1">
        <v>42441</v>
      </c>
      <c r="M207" s="22">
        <f>Table10[[#This Row],[Ship Date]]-Table10[[#This Row],[Order Date]]</f>
        <v>5</v>
      </c>
      <c r="N207" t="s">
        <v>45</v>
      </c>
      <c r="O207" t="s">
        <v>23</v>
      </c>
      <c r="P207" t="s">
        <v>94</v>
      </c>
      <c r="Q207" t="s">
        <v>95</v>
      </c>
      <c r="R207" t="s">
        <v>93</v>
      </c>
      <c r="S207" s="33">
        <v>0.2</v>
      </c>
      <c r="T207" s="13">
        <v>21.071999999999999</v>
      </c>
      <c r="U207" s="13">
        <v>1.5804</v>
      </c>
      <c r="V207" s="21">
        <f>Table10[[#This Row],[Profit]]/Table10[[#This Row],[Sales]]</f>
        <v>7.5000000000000011E-2</v>
      </c>
    </row>
    <row r="208" spans="1:22" x14ac:dyDescent="0.2">
      <c r="A208">
        <v>207</v>
      </c>
      <c r="B208" t="s">
        <v>2734</v>
      </c>
      <c r="C208" s="1">
        <v>42437</v>
      </c>
      <c r="D208" s="22">
        <f>MONTH(Table10[[#This Row],[Order Date]])</f>
        <v>3</v>
      </c>
      <c r="E208" t="s">
        <v>2189</v>
      </c>
      <c r="F208" t="s">
        <v>2190</v>
      </c>
      <c r="G208" s="23" t="s">
        <v>64</v>
      </c>
      <c r="H208" s="23" t="s">
        <v>65</v>
      </c>
      <c r="I208" t="s">
        <v>1743</v>
      </c>
      <c r="J208" t="s">
        <v>22</v>
      </c>
      <c r="K208" s="22">
        <v>5</v>
      </c>
      <c r="L208" s="1">
        <v>42442</v>
      </c>
      <c r="M208" s="22">
        <f>Table10[[#This Row],[Ship Date]]-Table10[[#This Row],[Order Date]]</f>
        <v>5</v>
      </c>
      <c r="N208" t="s">
        <v>45</v>
      </c>
      <c r="O208" t="s">
        <v>23</v>
      </c>
      <c r="P208" t="s">
        <v>48</v>
      </c>
      <c r="Q208" t="s">
        <v>26</v>
      </c>
      <c r="R208" t="s">
        <v>1253</v>
      </c>
      <c r="S208" s="33">
        <v>0.2</v>
      </c>
      <c r="T208" s="13">
        <v>1363.96</v>
      </c>
      <c r="U208" s="13">
        <v>85.247500000000002</v>
      </c>
      <c r="V208" s="21">
        <f>Table10[[#This Row],[Profit]]/Table10[[#This Row],[Sales]]</f>
        <v>6.25E-2</v>
      </c>
    </row>
    <row r="209" spans="1:22" x14ac:dyDescent="0.2">
      <c r="A209">
        <v>208</v>
      </c>
      <c r="B209" t="s">
        <v>2734</v>
      </c>
      <c r="C209" s="1">
        <v>42437</v>
      </c>
      <c r="D209" s="22">
        <f>MONTH(Table10[[#This Row],[Order Date]])</f>
        <v>3</v>
      </c>
      <c r="E209" t="s">
        <v>408</v>
      </c>
      <c r="F209" t="s">
        <v>409</v>
      </c>
      <c r="G209" s="23" t="s">
        <v>28</v>
      </c>
      <c r="H209" s="23" t="s">
        <v>58</v>
      </c>
      <c r="I209" t="s">
        <v>1743</v>
      </c>
      <c r="J209" t="s">
        <v>22</v>
      </c>
      <c r="K209" s="22">
        <v>3</v>
      </c>
      <c r="L209" s="1">
        <v>42442</v>
      </c>
      <c r="M209" s="22">
        <f>Table10[[#This Row],[Ship Date]]-Table10[[#This Row],[Order Date]]</f>
        <v>5</v>
      </c>
      <c r="N209" t="s">
        <v>45</v>
      </c>
      <c r="O209" t="s">
        <v>23</v>
      </c>
      <c r="P209" t="s">
        <v>48</v>
      </c>
      <c r="Q209" t="s">
        <v>26</v>
      </c>
      <c r="R209" t="s">
        <v>1253</v>
      </c>
      <c r="S209" s="33">
        <v>0.2</v>
      </c>
      <c r="T209" s="13">
        <v>102.36</v>
      </c>
      <c r="U209" s="13">
        <v>-3.8384999999999998</v>
      </c>
      <c r="V209" s="21">
        <f>Table10[[#This Row],[Profit]]/Table10[[#This Row],[Sales]]</f>
        <v>-3.7499999999999999E-2</v>
      </c>
    </row>
    <row r="210" spans="1:22" x14ac:dyDescent="0.2">
      <c r="A210">
        <v>209</v>
      </c>
      <c r="B210" t="s">
        <v>3877</v>
      </c>
      <c r="C210" s="1">
        <v>42437</v>
      </c>
      <c r="D210" s="22">
        <f>MONTH(Table10[[#This Row],[Order Date]])</f>
        <v>3</v>
      </c>
      <c r="E210" t="s">
        <v>2854</v>
      </c>
      <c r="F210" t="s">
        <v>2855</v>
      </c>
      <c r="G210" s="23" t="s">
        <v>41</v>
      </c>
      <c r="H210" s="23" t="s">
        <v>68</v>
      </c>
      <c r="I210" t="s">
        <v>2260</v>
      </c>
      <c r="J210" t="s">
        <v>22</v>
      </c>
      <c r="K210" s="22">
        <v>3</v>
      </c>
      <c r="L210" s="1">
        <v>42437</v>
      </c>
      <c r="M210" s="22">
        <f>Table10[[#This Row],[Ship Date]]-Table10[[#This Row],[Order Date]]</f>
        <v>0</v>
      </c>
      <c r="N210" t="s">
        <v>1141</v>
      </c>
      <c r="O210" t="s">
        <v>23</v>
      </c>
      <c r="P210" t="s">
        <v>277</v>
      </c>
      <c r="Q210" t="s">
        <v>39</v>
      </c>
      <c r="R210" t="s">
        <v>3477</v>
      </c>
      <c r="S210" s="33">
        <v>0.7</v>
      </c>
      <c r="T210" s="13">
        <v>9.702</v>
      </c>
      <c r="U210" s="13">
        <v>-7.1147999999999998</v>
      </c>
      <c r="V210" s="21">
        <f>Table10[[#This Row],[Profit]]/Table10[[#This Row],[Sales]]</f>
        <v>-0.73333333333333328</v>
      </c>
    </row>
    <row r="211" spans="1:22" x14ac:dyDescent="0.2">
      <c r="A211">
        <v>210</v>
      </c>
      <c r="B211" t="s">
        <v>8114</v>
      </c>
      <c r="C211" s="1">
        <v>42437</v>
      </c>
      <c r="D211" s="22">
        <f>MONTH(Table10[[#This Row],[Order Date]])</f>
        <v>3</v>
      </c>
      <c r="E211" t="s">
        <v>5190</v>
      </c>
      <c r="F211" t="s">
        <v>5191</v>
      </c>
      <c r="G211" s="23" t="s">
        <v>64</v>
      </c>
      <c r="H211" s="23" t="s">
        <v>65</v>
      </c>
      <c r="I211" t="s">
        <v>2773</v>
      </c>
      <c r="J211" t="s">
        <v>22</v>
      </c>
      <c r="K211" s="22">
        <v>4</v>
      </c>
      <c r="L211" s="1">
        <v>42441</v>
      </c>
      <c r="M211" s="22">
        <f>Table10[[#This Row],[Ship Date]]-Table10[[#This Row],[Order Date]]</f>
        <v>4</v>
      </c>
      <c r="N211" t="s">
        <v>45</v>
      </c>
      <c r="O211" t="s">
        <v>23</v>
      </c>
      <c r="P211" t="s">
        <v>132</v>
      </c>
      <c r="Q211" t="s">
        <v>133</v>
      </c>
      <c r="R211" t="s">
        <v>131</v>
      </c>
      <c r="S211" s="33">
        <v>0.4</v>
      </c>
      <c r="T211" s="13">
        <v>108.57599999999999</v>
      </c>
      <c r="U211" s="13">
        <v>-25.334399999999999</v>
      </c>
      <c r="V211" s="21">
        <f>Table10[[#This Row],[Profit]]/Table10[[#This Row],[Sales]]</f>
        <v>-0.23333333333333334</v>
      </c>
    </row>
    <row r="212" spans="1:22" x14ac:dyDescent="0.2">
      <c r="A212">
        <v>211</v>
      </c>
      <c r="B212" t="s">
        <v>8114</v>
      </c>
      <c r="C212" s="1">
        <v>42437</v>
      </c>
      <c r="D212" s="22">
        <f>MONTH(Table10[[#This Row],[Order Date]])</f>
        <v>3</v>
      </c>
      <c r="E212" t="s">
        <v>3587</v>
      </c>
      <c r="F212" t="s">
        <v>3588</v>
      </c>
      <c r="G212" s="23" t="s">
        <v>41</v>
      </c>
      <c r="H212" s="23" t="s">
        <v>240</v>
      </c>
      <c r="I212" t="s">
        <v>2773</v>
      </c>
      <c r="J212" t="s">
        <v>22</v>
      </c>
      <c r="K212" s="22">
        <v>2</v>
      </c>
      <c r="L212" s="1">
        <v>42441</v>
      </c>
      <c r="M212" s="22">
        <f>Table10[[#This Row],[Ship Date]]-Table10[[#This Row],[Order Date]]</f>
        <v>4</v>
      </c>
      <c r="N212" t="s">
        <v>45</v>
      </c>
      <c r="O212" t="s">
        <v>23</v>
      </c>
      <c r="P212" t="s">
        <v>132</v>
      </c>
      <c r="Q212" t="s">
        <v>133</v>
      </c>
      <c r="R212" t="s">
        <v>131</v>
      </c>
      <c r="S212" s="33">
        <v>0.2</v>
      </c>
      <c r="T212" s="13">
        <v>5.984</v>
      </c>
      <c r="U212" s="13">
        <v>-1.3464</v>
      </c>
      <c r="V212" s="21">
        <f>Table10[[#This Row],[Profit]]/Table10[[#This Row],[Sales]]</f>
        <v>-0.22500000000000001</v>
      </c>
    </row>
    <row r="213" spans="1:22" x14ac:dyDescent="0.2">
      <c r="A213">
        <v>212</v>
      </c>
      <c r="B213" t="s">
        <v>8584</v>
      </c>
      <c r="C213" s="1">
        <v>42437</v>
      </c>
      <c r="D213" s="22">
        <f>MONTH(Table10[[#This Row],[Order Date]])</f>
        <v>3</v>
      </c>
      <c r="E213" t="s">
        <v>1320</v>
      </c>
      <c r="F213" t="s">
        <v>1321</v>
      </c>
      <c r="G213" s="23" t="s">
        <v>28</v>
      </c>
      <c r="H213" s="23" t="s">
        <v>58</v>
      </c>
      <c r="I213" t="s">
        <v>5505</v>
      </c>
      <c r="J213" t="s">
        <v>22</v>
      </c>
      <c r="K213" s="22">
        <v>8</v>
      </c>
      <c r="L213" s="1">
        <v>42441</v>
      </c>
      <c r="M213" s="22">
        <f>Table10[[#This Row],[Ship Date]]-Table10[[#This Row],[Order Date]]</f>
        <v>4</v>
      </c>
      <c r="N213" t="s">
        <v>45</v>
      </c>
      <c r="O213" t="s">
        <v>23</v>
      </c>
      <c r="P213" t="s">
        <v>238</v>
      </c>
      <c r="Q213" t="s">
        <v>133</v>
      </c>
      <c r="R213" t="s">
        <v>237</v>
      </c>
      <c r="S213" s="33">
        <v>0</v>
      </c>
      <c r="T213" s="13">
        <v>113.6</v>
      </c>
      <c r="U213" s="13">
        <v>44.304000000000002</v>
      </c>
      <c r="V213" s="21">
        <f>Table10[[#This Row],[Profit]]/Table10[[#This Row],[Sales]]</f>
        <v>0.39</v>
      </c>
    </row>
    <row r="214" spans="1:22" x14ac:dyDescent="0.2">
      <c r="A214">
        <v>213</v>
      </c>
      <c r="B214" t="s">
        <v>8584</v>
      </c>
      <c r="C214" s="1">
        <v>42437</v>
      </c>
      <c r="D214" s="22">
        <f>MONTH(Table10[[#This Row],[Order Date]])</f>
        <v>3</v>
      </c>
      <c r="E214" t="s">
        <v>1875</v>
      </c>
      <c r="F214" t="s">
        <v>1876</v>
      </c>
      <c r="G214" s="23" t="s">
        <v>41</v>
      </c>
      <c r="H214" s="23" t="s">
        <v>82</v>
      </c>
      <c r="I214" t="s">
        <v>5505</v>
      </c>
      <c r="J214" t="s">
        <v>22</v>
      </c>
      <c r="K214" s="22">
        <v>2</v>
      </c>
      <c r="L214" s="1">
        <v>42441</v>
      </c>
      <c r="M214" s="22">
        <f>Table10[[#This Row],[Ship Date]]-Table10[[#This Row],[Order Date]]</f>
        <v>4</v>
      </c>
      <c r="N214" t="s">
        <v>45</v>
      </c>
      <c r="O214" t="s">
        <v>23</v>
      </c>
      <c r="P214" t="s">
        <v>238</v>
      </c>
      <c r="Q214" t="s">
        <v>133</v>
      </c>
      <c r="R214" t="s">
        <v>237</v>
      </c>
      <c r="S214" s="33">
        <v>0</v>
      </c>
      <c r="T214" s="13">
        <v>12.96</v>
      </c>
      <c r="U214" s="13">
        <v>6.3503999999999996</v>
      </c>
      <c r="V214" s="21">
        <f>Table10[[#This Row],[Profit]]/Table10[[#This Row],[Sales]]</f>
        <v>0.48999999999999994</v>
      </c>
    </row>
    <row r="215" spans="1:22" x14ac:dyDescent="0.2">
      <c r="A215">
        <v>214</v>
      </c>
      <c r="B215" t="s">
        <v>8584</v>
      </c>
      <c r="C215" s="1">
        <v>42437</v>
      </c>
      <c r="D215" s="22">
        <f>MONTH(Table10[[#This Row],[Order Date]])</f>
        <v>3</v>
      </c>
      <c r="E215" t="s">
        <v>4770</v>
      </c>
      <c r="F215" t="s">
        <v>4771</v>
      </c>
      <c r="G215" s="23" t="s">
        <v>41</v>
      </c>
      <c r="H215" s="23" t="s">
        <v>68</v>
      </c>
      <c r="I215" t="s">
        <v>5505</v>
      </c>
      <c r="J215" t="s">
        <v>22</v>
      </c>
      <c r="K215" s="22">
        <v>2</v>
      </c>
      <c r="L215" s="1">
        <v>42441</v>
      </c>
      <c r="M215" s="22">
        <f>Table10[[#This Row],[Ship Date]]-Table10[[#This Row],[Order Date]]</f>
        <v>4</v>
      </c>
      <c r="N215" t="s">
        <v>45</v>
      </c>
      <c r="O215" t="s">
        <v>23</v>
      </c>
      <c r="P215" t="s">
        <v>238</v>
      </c>
      <c r="Q215" t="s">
        <v>133</v>
      </c>
      <c r="R215" t="s">
        <v>237</v>
      </c>
      <c r="S215" s="33">
        <v>0.2</v>
      </c>
      <c r="T215" s="13">
        <v>69.456000000000003</v>
      </c>
      <c r="U215" s="13">
        <v>22.5732</v>
      </c>
      <c r="V215" s="21">
        <f>Table10[[#This Row],[Profit]]/Table10[[#This Row],[Sales]]</f>
        <v>0.32500000000000001</v>
      </c>
    </row>
    <row r="216" spans="1:22" x14ac:dyDescent="0.2">
      <c r="A216">
        <v>215</v>
      </c>
      <c r="B216" t="s">
        <v>9292</v>
      </c>
      <c r="C216" s="1">
        <v>42437</v>
      </c>
      <c r="D216" s="22">
        <f>MONTH(Table10[[#This Row],[Order Date]])</f>
        <v>3</v>
      </c>
      <c r="E216" t="s">
        <v>4192</v>
      </c>
      <c r="F216" t="s">
        <v>4193</v>
      </c>
      <c r="G216" s="23" t="s">
        <v>41</v>
      </c>
      <c r="H216" s="23" t="s">
        <v>68</v>
      </c>
      <c r="I216" t="s">
        <v>2341</v>
      </c>
      <c r="J216" t="s">
        <v>92</v>
      </c>
      <c r="K216" s="22">
        <v>9</v>
      </c>
      <c r="L216" s="1">
        <v>42441</v>
      </c>
      <c r="M216" s="22">
        <f>Table10[[#This Row],[Ship Date]]-Table10[[#This Row],[Order Date]]</f>
        <v>4</v>
      </c>
      <c r="N216" t="s">
        <v>45</v>
      </c>
      <c r="O216" t="s">
        <v>23</v>
      </c>
      <c r="P216" t="s">
        <v>94</v>
      </c>
      <c r="Q216" t="s">
        <v>95</v>
      </c>
      <c r="R216" t="s">
        <v>718</v>
      </c>
      <c r="S216" s="33">
        <v>0.8</v>
      </c>
      <c r="T216" s="13">
        <v>8.8559999999999999</v>
      </c>
      <c r="U216" s="13">
        <v>-14.169600000000001</v>
      </c>
      <c r="V216" s="21">
        <f>Table10[[#This Row],[Profit]]/Table10[[#This Row],[Sales]]</f>
        <v>-1.6</v>
      </c>
    </row>
    <row r="217" spans="1:22" x14ac:dyDescent="0.2">
      <c r="A217">
        <v>216</v>
      </c>
      <c r="B217" t="s">
        <v>9292</v>
      </c>
      <c r="C217" s="1">
        <v>42437</v>
      </c>
      <c r="D217" s="22">
        <f>MONTH(Table10[[#This Row],[Order Date]])</f>
        <v>3</v>
      </c>
      <c r="E217" t="s">
        <v>261</v>
      </c>
      <c r="F217" t="s">
        <v>262</v>
      </c>
      <c r="G217" s="23" t="s">
        <v>64</v>
      </c>
      <c r="H217" s="23" t="s">
        <v>144</v>
      </c>
      <c r="I217" t="s">
        <v>2341</v>
      </c>
      <c r="J217" t="s">
        <v>92</v>
      </c>
      <c r="K217" s="22">
        <v>5</v>
      </c>
      <c r="L217" s="1">
        <v>42441</v>
      </c>
      <c r="M217" s="22">
        <f>Table10[[#This Row],[Ship Date]]-Table10[[#This Row],[Order Date]]</f>
        <v>4</v>
      </c>
      <c r="N217" t="s">
        <v>45</v>
      </c>
      <c r="O217" t="s">
        <v>23</v>
      </c>
      <c r="P217" t="s">
        <v>94</v>
      </c>
      <c r="Q217" t="s">
        <v>95</v>
      </c>
      <c r="R217" t="s">
        <v>718</v>
      </c>
      <c r="S217" s="33">
        <v>0.2</v>
      </c>
      <c r="T217" s="13">
        <v>27.96</v>
      </c>
      <c r="U217" s="13">
        <v>8.3879999999999999</v>
      </c>
      <c r="V217" s="21">
        <f>Table10[[#This Row],[Profit]]/Table10[[#This Row],[Sales]]</f>
        <v>0.3</v>
      </c>
    </row>
    <row r="218" spans="1:22" x14ac:dyDescent="0.2">
      <c r="A218">
        <v>217</v>
      </c>
      <c r="B218" t="s">
        <v>9292</v>
      </c>
      <c r="C218" s="1">
        <v>42437</v>
      </c>
      <c r="D218" s="22">
        <f>MONTH(Table10[[#This Row],[Order Date]])</f>
        <v>3</v>
      </c>
      <c r="E218" t="s">
        <v>7007</v>
      </c>
      <c r="F218" t="s">
        <v>7008</v>
      </c>
      <c r="G218" s="23" t="s">
        <v>41</v>
      </c>
      <c r="H218" s="23" t="s">
        <v>155</v>
      </c>
      <c r="I218" t="s">
        <v>2341</v>
      </c>
      <c r="J218" t="s">
        <v>92</v>
      </c>
      <c r="K218" s="22">
        <v>3</v>
      </c>
      <c r="L218" s="1">
        <v>42441</v>
      </c>
      <c r="M218" s="22">
        <f>Table10[[#This Row],[Ship Date]]-Table10[[#This Row],[Order Date]]</f>
        <v>4</v>
      </c>
      <c r="N218" t="s">
        <v>45</v>
      </c>
      <c r="O218" t="s">
        <v>23</v>
      </c>
      <c r="P218" t="s">
        <v>94</v>
      </c>
      <c r="Q218" t="s">
        <v>95</v>
      </c>
      <c r="R218" t="s">
        <v>718</v>
      </c>
      <c r="S218" s="33">
        <v>0.2</v>
      </c>
      <c r="T218" s="13">
        <v>146.352</v>
      </c>
      <c r="U218" s="13">
        <v>49.393799999999999</v>
      </c>
      <c r="V218" s="21">
        <f>Table10[[#This Row],[Profit]]/Table10[[#This Row],[Sales]]</f>
        <v>0.33749999999999997</v>
      </c>
    </row>
    <row r="219" spans="1:22" x14ac:dyDescent="0.2">
      <c r="A219">
        <v>218</v>
      </c>
      <c r="B219" t="s">
        <v>9470</v>
      </c>
      <c r="C219" s="1">
        <v>42437</v>
      </c>
      <c r="D219" s="22">
        <f>MONTH(Table10[[#This Row],[Order Date]])</f>
        <v>3</v>
      </c>
      <c r="E219" t="s">
        <v>4042</v>
      </c>
      <c r="F219" t="s">
        <v>4043</v>
      </c>
      <c r="G219" s="23" t="s">
        <v>41</v>
      </c>
      <c r="H219" s="23" t="s">
        <v>71</v>
      </c>
      <c r="I219" t="s">
        <v>556</v>
      </c>
      <c r="J219" t="s">
        <v>36</v>
      </c>
      <c r="K219" s="22">
        <v>3</v>
      </c>
      <c r="L219" s="1">
        <v>42442</v>
      </c>
      <c r="M219" s="22">
        <f>Table10[[#This Row],[Ship Date]]-Table10[[#This Row],[Order Date]]</f>
        <v>5</v>
      </c>
      <c r="N219" t="s">
        <v>45</v>
      </c>
      <c r="O219" t="s">
        <v>23</v>
      </c>
      <c r="P219" t="s">
        <v>212</v>
      </c>
      <c r="Q219" t="s">
        <v>95</v>
      </c>
      <c r="R219" t="s">
        <v>293</v>
      </c>
      <c r="S219" s="33">
        <v>0.1</v>
      </c>
      <c r="T219" s="13">
        <v>207.14400000000001</v>
      </c>
      <c r="U219" s="13">
        <v>48.333599999999997</v>
      </c>
      <c r="V219" s="21">
        <f>Table10[[#This Row],[Profit]]/Table10[[#This Row],[Sales]]</f>
        <v>0.23333333333333331</v>
      </c>
    </row>
    <row r="220" spans="1:22" x14ac:dyDescent="0.2">
      <c r="A220">
        <v>219</v>
      </c>
      <c r="B220" t="s">
        <v>9470</v>
      </c>
      <c r="C220" s="1">
        <v>42437</v>
      </c>
      <c r="D220" s="22">
        <f>MONTH(Table10[[#This Row],[Order Date]])</f>
        <v>3</v>
      </c>
      <c r="E220" t="s">
        <v>6458</v>
      </c>
      <c r="F220" t="s">
        <v>3726</v>
      </c>
      <c r="G220" s="23" t="s">
        <v>41</v>
      </c>
      <c r="H220" s="23" t="s">
        <v>61</v>
      </c>
      <c r="I220" t="s">
        <v>556</v>
      </c>
      <c r="J220" t="s">
        <v>36</v>
      </c>
      <c r="K220" s="22">
        <v>5</v>
      </c>
      <c r="L220" s="1">
        <v>42442</v>
      </c>
      <c r="M220" s="22">
        <f>Table10[[#This Row],[Ship Date]]-Table10[[#This Row],[Order Date]]</f>
        <v>5</v>
      </c>
      <c r="N220" t="s">
        <v>45</v>
      </c>
      <c r="O220" t="s">
        <v>23</v>
      </c>
      <c r="P220" t="s">
        <v>212</v>
      </c>
      <c r="Q220" t="s">
        <v>95</v>
      </c>
      <c r="R220" t="s">
        <v>293</v>
      </c>
      <c r="S220" s="33">
        <v>0</v>
      </c>
      <c r="T220" s="13">
        <v>13.9</v>
      </c>
      <c r="U220" s="13">
        <v>3.7530000000000001</v>
      </c>
      <c r="V220" s="21">
        <f>Table10[[#This Row],[Profit]]/Table10[[#This Row],[Sales]]</f>
        <v>0.27</v>
      </c>
    </row>
    <row r="221" spans="1:22" x14ac:dyDescent="0.2">
      <c r="A221">
        <v>220</v>
      </c>
      <c r="B221" t="s">
        <v>9085</v>
      </c>
      <c r="C221" s="1">
        <v>42438</v>
      </c>
      <c r="D221" s="22">
        <f>MONTH(Table10[[#This Row],[Order Date]])</f>
        <v>3</v>
      </c>
      <c r="E221" t="s">
        <v>874</v>
      </c>
      <c r="F221" t="s">
        <v>875</v>
      </c>
      <c r="G221" s="23" t="s">
        <v>64</v>
      </c>
      <c r="H221" s="23" t="s">
        <v>144</v>
      </c>
      <c r="I221" t="s">
        <v>391</v>
      </c>
      <c r="J221" t="s">
        <v>92</v>
      </c>
      <c r="K221" s="22">
        <v>5</v>
      </c>
      <c r="L221" s="1">
        <v>42442</v>
      </c>
      <c r="M221" s="22">
        <f>Table10[[#This Row],[Ship Date]]-Table10[[#This Row],[Order Date]]</f>
        <v>4</v>
      </c>
      <c r="N221" t="s">
        <v>45</v>
      </c>
      <c r="O221" t="s">
        <v>23</v>
      </c>
      <c r="P221" t="s">
        <v>660</v>
      </c>
      <c r="Q221" t="s">
        <v>133</v>
      </c>
      <c r="R221" t="s">
        <v>7685</v>
      </c>
      <c r="S221" s="33">
        <v>0</v>
      </c>
      <c r="T221" s="13">
        <v>199.75</v>
      </c>
      <c r="U221" s="13">
        <v>87.89</v>
      </c>
      <c r="V221" s="21">
        <f>Table10[[#This Row],[Profit]]/Table10[[#This Row],[Sales]]</f>
        <v>0.44</v>
      </c>
    </row>
    <row r="222" spans="1:22" x14ac:dyDescent="0.2">
      <c r="A222">
        <v>221</v>
      </c>
      <c r="B222" t="s">
        <v>9180</v>
      </c>
      <c r="C222" s="1">
        <v>42438</v>
      </c>
      <c r="D222" s="22">
        <f>MONTH(Table10[[#This Row],[Order Date]])</f>
        <v>3</v>
      </c>
      <c r="E222" t="s">
        <v>2066</v>
      </c>
      <c r="F222" t="s">
        <v>2067</v>
      </c>
      <c r="G222" s="23" t="s">
        <v>41</v>
      </c>
      <c r="H222" s="23" t="s">
        <v>53</v>
      </c>
      <c r="I222" t="s">
        <v>3848</v>
      </c>
      <c r="J222" t="s">
        <v>22</v>
      </c>
      <c r="K222" s="22">
        <v>1</v>
      </c>
      <c r="L222" s="1">
        <v>42441</v>
      </c>
      <c r="M222" s="22">
        <f>Table10[[#This Row],[Ship Date]]-Table10[[#This Row],[Order Date]]</f>
        <v>3</v>
      </c>
      <c r="N222" t="s">
        <v>169</v>
      </c>
      <c r="O222" t="s">
        <v>23</v>
      </c>
      <c r="P222" t="s">
        <v>1101</v>
      </c>
      <c r="Q222" t="s">
        <v>133</v>
      </c>
      <c r="R222" t="s">
        <v>9181</v>
      </c>
      <c r="S222" s="33">
        <v>0</v>
      </c>
      <c r="T222" s="13">
        <v>11.21</v>
      </c>
      <c r="U222" s="13">
        <v>3.363</v>
      </c>
      <c r="V222" s="21">
        <f>Table10[[#This Row],[Profit]]/Table10[[#This Row],[Sales]]</f>
        <v>0.3</v>
      </c>
    </row>
    <row r="223" spans="1:22" x14ac:dyDescent="0.2">
      <c r="A223">
        <v>222</v>
      </c>
      <c r="B223" t="s">
        <v>9180</v>
      </c>
      <c r="C223" s="1">
        <v>42438</v>
      </c>
      <c r="D223" s="22">
        <f>MONTH(Table10[[#This Row],[Order Date]])</f>
        <v>3</v>
      </c>
      <c r="E223" t="s">
        <v>1627</v>
      </c>
      <c r="F223" t="s">
        <v>1628</v>
      </c>
      <c r="G223" s="23" t="s">
        <v>28</v>
      </c>
      <c r="H223" s="23" t="s">
        <v>32</v>
      </c>
      <c r="I223" t="s">
        <v>3848</v>
      </c>
      <c r="J223" t="s">
        <v>22</v>
      </c>
      <c r="K223" s="22">
        <v>5</v>
      </c>
      <c r="L223" s="1">
        <v>42441</v>
      </c>
      <c r="M223" s="22">
        <f>Table10[[#This Row],[Ship Date]]-Table10[[#This Row],[Order Date]]</f>
        <v>3</v>
      </c>
      <c r="N223" t="s">
        <v>169</v>
      </c>
      <c r="O223" t="s">
        <v>23</v>
      </c>
      <c r="P223" t="s">
        <v>1101</v>
      </c>
      <c r="Q223" t="s">
        <v>133</v>
      </c>
      <c r="R223" t="s">
        <v>9181</v>
      </c>
      <c r="S223" s="33">
        <v>0</v>
      </c>
      <c r="T223" s="13">
        <v>354.9</v>
      </c>
      <c r="U223" s="13">
        <v>88.724999999999994</v>
      </c>
      <c r="V223" s="21">
        <f>Table10[[#This Row],[Profit]]/Table10[[#This Row],[Sales]]</f>
        <v>0.25</v>
      </c>
    </row>
    <row r="224" spans="1:22" x14ac:dyDescent="0.2">
      <c r="A224">
        <v>223</v>
      </c>
      <c r="B224" t="s">
        <v>9180</v>
      </c>
      <c r="C224" s="1">
        <v>42438</v>
      </c>
      <c r="D224" s="22">
        <f>MONTH(Table10[[#This Row],[Order Date]])</f>
        <v>3</v>
      </c>
      <c r="E224" t="s">
        <v>7961</v>
      </c>
      <c r="F224" t="s">
        <v>7962</v>
      </c>
      <c r="G224" s="23" t="s">
        <v>41</v>
      </c>
      <c r="H224" s="23" t="s">
        <v>82</v>
      </c>
      <c r="I224" t="s">
        <v>3848</v>
      </c>
      <c r="J224" t="s">
        <v>22</v>
      </c>
      <c r="K224" s="22">
        <v>3</v>
      </c>
      <c r="L224" s="1">
        <v>42441</v>
      </c>
      <c r="M224" s="22">
        <f>Table10[[#This Row],[Ship Date]]-Table10[[#This Row],[Order Date]]</f>
        <v>3</v>
      </c>
      <c r="N224" t="s">
        <v>169</v>
      </c>
      <c r="O224" t="s">
        <v>23</v>
      </c>
      <c r="P224" t="s">
        <v>1101</v>
      </c>
      <c r="Q224" t="s">
        <v>133</v>
      </c>
      <c r="R224" t="s">
        <v>9181</v>
      </c>
      <c r="S224" s="33">
        <v>0</v>
      </c>
      <c r="T224" s="13">
        <v>17.940000000000001</v>
      </c>
      <c r="U224" s="13">
        <v>8.7905999999999995</v>
      </c>
      <c r="V224" s="21">
        <f>Table10[[#This Row],[Profit]]/Table10[[#This Row],[Sales]]</f>
        <v>0.48999999999999994</v>
      </c>
    </row>
    <row r="225" spans="1:22" x14ac:dyDescent="0.2">
      <c r="A225">
        <v>224</v>
      </c>
      <c r="B225" t="s">
        <v>9180</v>
      </c>
      <c r="C225" s="1">
        <v>42438</v>
      </c>
      <c r="D225" s="22">
        <f>MONTH(Table10[[#This Row],[Order Date]])</f>
        <v>3</v>
      </c>
      <c r="E225" t="s">
        <v>1947</v>
      </c>
      <c r="F225" t="s">
        <v>3180</v>
      </c>
      <c r="G225" s="23" t="s">
        <v>41</v>
      </c>
      <c r="H225" s="23" t="s">
        <v>68</v>
      </c>
      <c r="I225" t="s">
        <v>3848</v>
      </c>
      <c r="J225" t="s">
        <v>22</v>
      </c>
      <c r="K225" s="22">
        <v>4</v>
      </c>
      <c r="L225" s="1">
        <v>42441</v>
      </c>
      <c r="M225" s="22">
        <f>Table10[[#This Row],[Ship Date]]-Table10[[#This Row],[Order Date]]</f>
        <v>3</v>
      </c>
      <c r="N225" t="s">
        <v>169</v>
      </c>
      <c r="O225" t="s">
        <v>23</v>
      </c>
      <c r="P225" t="s">
        <v>1101</v>
      </c>
      <c r="Q225" t="s">
        <v>133</v>
      </c>
      <c r="R225" t="s">
        <v>9181</v>
      </c>
      <c r="S225" s="33">
        <v>0</v>
      </c>
      <c r="T225" s="13">
        <v>51.8</v>
      </c>
      <c r="U225" s="13">
        <v>23.31</v>
      </c>
      <c r="V225" s="21">
        <f>Table10[[#This Row],[Profit]]/Table10[[#This Row],[Sales]]</f>
        <v>0.45</v>
      </c>
    </row>
    <row r="226" spans="1:22" x14ac:dyDescent="0.2">
      <c r="A226">
        <v>225</v>
      </c>
      <c r="B226" t="s">
        <v>4139</v>
      </c>
      <c r="C226" s="1">
        <v>42439</v>
      </c>
      <c r="D226" s="22">
        <f>MONTH(Table10[[#This Row],[Order Date]])</f>
        <v>3</v>
      </c>
      <c r="E226" t="s">
        <v>2009</v>
      </c>
      <c r="F226" t="s">
        <v>2010</v>
      </c>
      <c r="G226" s="23" t="s">
        <v>28</v>
      </c>
      <c r="H226" s="23" t="s">
        <v>29</v>
      </c>
      <c r="I226" t="s">
        <v>1285</v>
      </c>
      <c r="J226" t="s">
        <v>22</v>
      </c>
      <c r="K226" s="22">
        <v>1</v>
      </c>
      <c r="L226" s="1">
        <v>42445</v>
      </c>
      <c r="M226" s="22">
        <f>Table10[[#This Row],[Ship Date]]-Table10[[#This Row],[Order Date]]</f>
        <v>6</v>
      </c>
      <c r="N226" t="s">
        <v>45</v>
      </c>
      <c r="O226" t="s">
        <v>23</v>
      </c>
      <c r="P226" t="s">
        <v>238</v>
      </c>
      <c r="Q226" t="s">
        <v>133</v>
      </c>
      <c r="R226" t="s">
        <v>1037</v>
      </c>
      <c r="S226" s="33">
        <v>0.2</v>
      </c>
      <c r="T226" s="13">
        <v>176.78399999999999</v>
      </c>
      <c r="U226" s="13">
        <v>-22.097999999999999</v>
      </c>
      <c r="V226" s="21">
        <f>Table10[[#This Row],[Profit]]/Table10[[#This Row],[Sales]]</f>
        <v>-0.125</v>
      </c>
    </row>
    <row r="227" spans="1:22" x14ac:dyDescent="0.2">
      <c r="A227">
        <v>226</v>
      </c>
      <c r="B227" t="s">
        <v>6456</v>
      </c>
      <c r="C227" s="1">
        <v>42439</v>
      </c>
      <c r="D227" s="22">
        <f>MONTH(Table10[[#This Row],[Order Date]])</f>
        <v>3</v>
      </c>
      <c r="E227" t="s">
        <v>4387</v>
      </c>
      <c r="F227" t="s">
        <v>4388</v>
      </c>
      <c r="G227" s="23" t="s">
        <v>64</v>
      </c>
      <c r="H227" s="23" t="s">
        <v>144</v>
      </c>
      <c r="I227" t="s">
        <v>3136</v>
      </c>
      <c r="J227" t="s">
        <v>22</v>
      </c>
      <c r="K227" s="22">
        <v>1</v>
      </c>
      <c r="L227" s="1">
        <v>42443</v>
      </c>
      <c r="M227" s="22">
        <f>Table10[[#This Row],[Ship Date]]-Table10[[#This Row],[Order Date]]</f>
        <v>4</v>
      </c>
      <c r="N227" t="s">
        <v>45</v>
      </c>
      <c r="O227" t="s">
        <v>23</v>
      </c>
      <c r="P227" t="s">
        <v>132</v>
      </c>
      <c r="Q227" t="s">
        <v>133</v>
      </c>
      <c r="R227" t="s">
        <v>131</v>
      </c>
      <c r="S227" s="33">
        <v>0.2</v>
      </c>
      <c r="T227" s="13">
        <v>39.991999999999997</v>
      </c>
      <c r="U227" s="13">
        <v>7.4984999999999999</v>
      </c>
      <c r="V227" s="21">
        <f>Table10[[#This Row],[Profit]]/Table10[[#This Row],[Sales]]</f>
        <v>0.1875</v>
      </c>
    </row>
    <row r="228" spans="1:22" x14ac:dyDescent="0.2">
      <c r="A228">
        <v>227</v>
      </c>
      <c r="B228" t="s">
        <v>7854</v>
      </c>
      <c r="C228" s="1">
        <v>42439</v>
      </c>
      <c r="D228" s="22">
        <f>MONTH(Table10[[#This Row],[Order Date]])</f>
        <v>3</v>
      </c>
      <c r="E228" t="s">
        <v>3886</v>
      </c>
      <c r="F228" t="s">
        <v>3887</v>
      </c>
      <c r="G228" s="23" t="s">
        <v>41</v>
      </c>
      <c r="H228" s="23" t="s">
        <v>82</v>
      </c>
      <c r="I228" t="s">
        <v>4524</v>
      </c>
      <c r="J228" t="s">
        <v>92</v>
      </c>
      <c r="K228" s="22">
        <v>5</v>
      </c>
      <c r="L228" s="1">
        <v>42440</v>
      </c>
      <c r="M228" s="22">
        <f>Table10[[#This Row],[Ship Date]]-Table10[[#This Row],[Order Date]]</f>
        <v>1</v>
      </c>
      <c r="N228" t="s">
        <v>169</v>
      </c>
      <c r="O228" t="s">
        <v>23</v>
      </c>
      <c r="P228" t="s">
        <v>38</v>
      </c>
      <c r="Q228" t="s">
        <v>39</v>
      </c>
      <c r="R228" t="s">
        <v>37</v>
      </c>
      <c r="S228" s="33">
        <v>0</v>
      </c>
      <c r="T228" s="13">
        <v>14.9</v>
      </c>
      <c r="U228" s="13">
        <v>7.1520000000000001</v>
      </c>
      <c r="V228" s="21">
        <f>Table10[[#This Row],[Profit]]/Table10[[#This Row],[Sales]]</f>
        <v>0.48</v>
      </c>
    </row>
    <row r="229" spans="1:22" x14ac:dyDescent="0.2">
      <c r="A229">
        <v>228</v>
      </c>
      <c r="B229" t="s">
        <v>7854</v>
      </c>
      <c r="C229" s="1">
        <v>42439</v>
      </c>
      <c r="D229" s="22">
        <f>MONTH(Table10[[#This Row],[Order Date]])</f>
        <v>3</v>
      </c>
      <c r="E229" t="s">
        <v>4060</v>
      </c>
      <c r="F229" t="s">
        <v>4061</v>
      </c>
      <c r="G229" s="23" t="s">
        <v>64</v>
      </c>
      <c r="H229" s="23" t="s">
        <v>65</v>
      </c>
      <c r="I229" t="s">
        <v>4524</v>
      </c>
      <c r="J229" t="s">
        <v>92</v>
      </c>
      <c r="K229" s="22">
        <v>8</v>
      </c>
      <c r="L229" s="1">
        <v>42440</v>
      </c>
      <c r="M229" s="22">
        <f>Table10[[#This Row],[Ship Date]]-Table10[[#This Row],[Order Date]]</f>
        <v>1</v>
      </c>
      <c r="N229" t="s">
        <v>169</v>
      </c>
      <c r="O229" t="s">
        <v>23</v>
      </c>
      <c r="P229" t="s">
        <v>38</v>
      </c>
      <c r="Q229" t="s">
        <v>39</v>
      </c>
      <c r="R229" t="s">
        <v>37</v>
      </c>
      <c r="S229" s="33">
        <v>0.2</v>
      </c>
      <c r="T229" s="13">
        <v>4158.9120000000003</v>
      </c>
      <c r="U229" s="13">
        <v>363.90480000000002</v>
      </c>
      <c r="V229" s="21">
        <f>Table10[[#This Row],[Profit]]/Table10[[#This Row],[Sales]]</f>
        <v>8.7499999999999994E-2</v>
      </c>
    </row>
    <row r="230" spans="1:22" x14ac:dyDescent="0.2">
      <c r="A230">
        <v>229</v>
      </c>
      <c r="B230" t="s">
        <v>9048</v>
      </c>
      <c r="C230" s="1">
        <v>42439</v>
      </c>
      <c r="D230" s="22">
        <f>MONTH(Table10[[#This Row],[Order Date]])</f>
        <v>3</v>
      </c>
      <c r="E230" t="s">
        <v>3664</v>
      </c>
      <c r="F230" t="s">
        <v>3665</v>
      </c>
      <c r="G230" s="23" t="s">
        <v>64</v>
      </c>
      <c r="H230" s="23" t="s">
        <v>144</v>
      </c>
      <c r="I230" t="s">
        <v>4343</v>
      </c>
      <c r="J230" t="s">
        <v>92</v>
      </c>
      <c r="K230" s="22">
        <v>3</v>
      </c>
      <c r="L230" s="1">
        <v>42442</v>
      </c>
      <c r="M230" s="22">
        <f>Table10[[#This Row],[Ship Date]]-Table10[[#This Row],[Order Date]]</f>
        <v>3</v>
      </c>
      <c r="N230" t="s">
        <v>169</v>
      </c>
      <c r="O230" t="s">
        <v>23</v>
      </c>
      <c r="P230" t="s">
        <v>38</v>
      </c>
      <c r="Q230" t="s">
        <v>39</v>
      </c>
      <c r="R230" t="s">
        <v>37</v>
      </c>
      <c r="S230" s="33">
        <v>0</v>
      </c>
      <c r="T230" s="13">
        <v>26.85</v>
      </c>
      <c r="U230" s="13">
        <v>5.1014999999999997</v>
      </c>
      <c r="V230" s="21">
        <f>Table10[[#This Row],[Profit]]/Table10[[#This Row],[Sales]]</f>
        <v>0.18999999999999997</v>
      </c>
    </row>
    <row r="231" spans="1:22" x14ac:dyDescent="0.2">
      <c r="A231">
        <v>230</v>
      </c>
      <c r="B231" t="s">
        <v>9048</v>
      </c>
      <c r="C231" s="1">
        <v>42439</v>
      </c>
      <c r="D231" s="22">
        <f>MONTH(Table10[[#This Row],[Order Date]])</f>
        <v>3</v>
      </c>
      <c r="E231" t="s">
        <v>9049</v>
      </c>
      <c r="F231" t="s">
        <v>9050</v>
      </c>
      <c r="G231" s="23" t="s">
        <v>64</v>
      </c>
      <c r="H231" s="23" t="s">
        <v>602</v>
      </c>
      <c r="I231" t="s">
        <v>4343</v>
      </c>
      <c r="J231" t="s">
        <v>92</v>
      </c>
      <c r="K231" s="22">
        <v>3</v>
      </c>
      <c r="L231" s="1">
        <v>42442</v>
      </c>
      <c r="M231" s="22">
        <f>Table10[[#This Row],[Ship Date]]-Table10[[#This Row],[Order Date]]</f>
        <v>3</v>
      </c>
      <c r="N231" t="s">
        <v>169</v>
      </c>
      <c r="O231" t="s">
        <v>23</v>
      </c>
      <c r="P231" t="s">
        <v>38</v>
      </c>
      <c r="Q231" t="s">
        <v>39</v>
      </c>
      <c r="R231" t="s">
        <v>37</v>
      </c>
      <c r="S231" s="33">
        <v>0.2</v>
      </c>
      <c r="T231" s="13">
        <v>3357.6</v>
      </c>
      <c r="U231" s="13">
        <v>377.73</v>
      </c>
      <c r="V231" s="21">
        <f>Table10[[#This Row],[Profit]]/Table10[[#This Row],[Sales]]</f>
        <v>0.1125</v>
      </c>
    </row>
    <row r="232" spans="1:22" x14ac:dyDescent="0.2">
      <c r="A232">
        <v>231</v>
      </c>
      <c r="B232" t="s">
        <v>9817</v>
      </c>
      <c r="C232" s="1">
        <v>42439</v>
      </c>
      <c r="D232" s="22">
        <f>MONTH(Table10[[#This Row],[Order Date]])</f>
        <v>3</v>
      </c>
      <c r="E232" t="s">
        <v>1820</v>
      </c>
      <c r="F232" t="s">
        <v>1821</v>
      </c>
      <c r="G232" s="23" t="s">
        <v>41</v>
      </c>
      <c r="H232" s="23" t="s">
        <v>53</v>
      </c>
      <c r="I232" t="s">
        <v>1437</v>
      </c>
      <c r="J232" t="s">
        <v>36</v>
      </c>
      <c r="K232" s="22">
        <v>1</v>
      </c>
      <c r="L232" s="1">
        <v>42443</v>
      </c>
      <c r="M232" s="22">
        <f>Table10[[#This Row],[Ship Date]]-Table10[[#This Row],[Order Date]]</f>
        <v>4</v>
      </c>
      <c r="N232" t="s">
        <v>20</v>
      </c>
      <c r="O232" t="s">
        <v>23</v>
      </c>
      <c r="P232" t="s">
        <v>277</v>
      </c>
      <c r="Q232" t="s">
        <v>39</v>
      </c>
      <c r="R232" t="s">
        <v>3477</v>
      </c>
      <c r="S232" s="33">
        <v>0.2</v>
      </c>
      <c r="T232" s="13">
        <v>104.696</v>
      </c>
      <c r="U232" s="13">
        <v>6.5434999999999999</v>
      </c>
      <c r="V232" s="21">
        <f>Table10[[#This Row],[Profit]]/Table10[[#This Row],[Sales]]</f>
        <v>6.25E-2</v>
      </c>
    </row>
    <row r="233" spans="1:22" x14ac:dyDescent="0.2">
      <c r="A233">
        <v>232</v>
      </c>
      <c r="B233" t="s">
        <v>201</v>
      </c>
      <c r="C233" s="1">
        <v>42440</v>
      </c>
      <c r="D233" s="22">
        <f>MONTH(Table10[[#This Row],[Order Date]])</f>
        <v>3</v>
      </c>
      <c r="E233" t="s">
        <v>205</v>
      </c>
      <c r="F233" t="s">
        <v>206</v>
      </c>
      <c r="G233" s="23" t="s">
        <v>64</v>
      </c>
      <c r="H233" s="23" t="s">
        <v>144</v>
      </c>
      <c r="I233" t="s">
        <v>202</v>
      </c>
      <c r="J233" t="s">
        <v>36</v>
      </c>
      <c r="K233" s="22">
        <v>2</v>
      </c>
      <c r="L233" s="1">
        <v>42442</v>
      </c>
      <c r="M233" s="22">
        <f>Table10[[#This Row],[Ship Date]]-Table10[[#This Row],[Order Date]]</f>
        <v>2</v>
      </c>
      <c r="N233" t="s">
        <v>169</v>
      </c>
      <c r="O233" t="s">
        <v>23</v>
      </c>
      <c r="P233" t="s">
        <v>204</v>
      </c>
      <c r="Q233" t="s">
        <v>95</v>
      </c>
      <c r="R233" t="s">
        <v>203</v>
      </c>
      <c r="S233" s="33">
        <v>0</v>
      </c>
      <c r="T233" s="13">
        <v>45.98</v>
      </c>
      <c r="U233" s="13">
        <v>19.7714</v>
      </c>
      <c r="V233" s="21">
        <f>Table10[[#This Row],[Profit]]/Table10[[#This Row],[Sales]]</f>
        <v>0.43000000000000005</v>
      </c>
    </row>
    <row r="234" spans="1:22" x14ac:dyDescent="0.2">
      <c r="A234">
        <v>233</v>
      </c>
      <c r="B234" t="s">
        <v>201</v>
      </c>
      <c r="C234" s="1">
        <v>42440</v>
      </c>
      <c r="D234" s="22">
        <f>MONTH(Table10[[#This Row],[Order Date]])</f>
        <v>3</v>
      </c>
      <c r="E234" t="s">
        <v>207</v>
      </c>
      <c r="F234" t="s">
        <v>208</v>
      </c>
      <c r="G234" s="23" t="s">
        <v>41</v>
      </c>
      <c r="H234" s="23" t="s">
        <v>68</v>
      </c>
      <c r="I234" t="s">
        <v>202</v>
      </c>
      <c r="J234" t="s">
        <v>36</v>
      </c>
      <c r="K234" s="22">
        <v>2</v>
      </c>
      <c r="L234" s="1">
        <v>42442</v>
      </c>
      <c r="M234" s="22">
        <f>Table10[[#This Row],[Ship Date]]-Table10[[#This Row],[Order Date]]</f>
        <v>2</v>
      </c>
      <c r="N234" t="s">
        <v>169</v>
      </c>
      <c r="O234" t="s">
        <v>23</v>
      </c>
      <c r="P234" t="s">
        <v>204</v>
      </c>
      <c r="Q234" t="s">
        <v>95</v>
      </c>
      <c r="R234" t="s">
        <v>203</v>
      </c>
      <c r="S234" s="33">
        <v>0</v>
      </c>
      <c r="T234" s="13">
        <v>17.46</v>
      </c>
      <c r="U234" s="13">
        <v>8.2062000000000008</v>
      </c>
      <c r="V234" s="21">
        <f>Table10[[#This Row],[Profit]]/Table10[[#This Row],[Sales]]</f>
        <v>0.47000000000000003</v>
      </c>
    </row>
    <row r="235" spans="1:22" x14ac:dyDescent="0.2">
      <c r="A235">
        <v>234</v>
      </c>
      <c r="B235" t="s">
        <v>3470</v>
      </c>
      <c r="C235" s="1">
        <v>42440</v>
      </c>
      <c r="D235" s="22">
        <f>MONTH(Table10[[#This Row],[Order Date]])</f>
        <v>3</v>
      </c>
      <c r="E235" t="s">
        <v>2112</v>
      </c>
      <c r="F235" t="s">
        <v>2113</v>
      </c>
      <c r="G235" s="23" t="s">
        <v>28</v>
      </c>
      <c r="H235" s="23" t="s">
        <v>50</v>
      </c>
      <c r="I235" t="s">
        <v>3471</v>
      </c>
      <c r="J235" t="s">
        <v>22</v>
      </c>
      <c r="K235" s="22">
        <v>2</v>
      </c>
      <c r="L235" s="1">
        <v>42444</v>
      </c>
      <c r="M235" s="22">
        <f>Table10[[#This Row],[Ship Date]]-Table10[[#This Row],[Order Date]]</f>
        <v>4</v>
      </c>
      <c r="N235" t="s">
        <v>45</v>
      </c>
      <c r="O235" t="s">
        <v>23</v>
      </c>
      <c r="P235" t="s">
        <v>695</v>
      </c>
      <c r="Q235" t="s">
        <v>133</v>
      </c>
      <c r="R235" t="s">
        <v>3472</v>
      </c>
      <c r="S235" s="33">
        <v>0.3</v>
      </c>
      <c r="T235" s="13">
        <v>244.006</v>
      </c>
      <c r="U235" s="13">
        <v>-31.372199999999999</v>
      </c>
      <c r="V235" s="21">
        <f>Table10[[#This Row],[Profit]]/Table10[[#This Row],[Sales]]</f>
        <v>-0.12857142857142856</v>
      </c>
    </row>
    <row r="236" spans="1:22" x14ac:dyDescent="0.2">
      <c r="A236">
        <v>235</v>
      </c>
      <c r="B236" t="s">
        <v>5274</v>
      </c>
      <c r="C236" s="1">
        <v>42440</v>
      </c>
      <c r="D236" s="22">
        <f>MONTH(Table10[[#This Row],[Order Date]])</f>
        <v>3</v>
      </c>
      <c r="E236" t="s">
        <v>3490</v>
      </c>
      <c r="F236" t="s">
        <v>5133</v>
      </c>
      <c r="G236" s="23" t="s">
        <v>28</v>
      </c>
      <c r="H236" s="23" t="s">
        <v>58</v>
      </c>
      <c r="I236" t="s">
        <v>5275</v>
      </c>
      <c r="J236" t="s">
        <v>92</v>
      </c>
      <c r="K236" s="22">
        <v>4</v>
      </c>
      <c r="L236" s="1">
        <v>42444</v>
      </c>
      <c r="M236" s="22">
        <f>Table10[[#This Row],[Ship Date]]-Table10[[#This Row],[Order Date]]</f>
        <v>4</v>
      </c>
      <c r="N236" t="s">
        <v>45</v>
      </c>
      <c r="O236" t="s">
        <v>23</v>
      </c>
      <c r="P236" t="s">
        <v>1125</v>
      </c>
      <c r="Q236" t="s">
        <v>26</v>
      </c>
      <c r="R236" t="s">
        <v>440</v>
      </c>
      <c r="S236" s="33">
        <v>0</v>
      </c>
      <c r="T236" s="13">
        <v>76.92</v>
      </c>
      <c r="U236" s="13">
        <v>31.537199999999999</v>
      </c>
      <c r="V236" s="21">
        <f>Table10[[#This Row],[Profit]]/Table10[[#This Row],[Sales]]</f>
        <v>0.41</v>
      </c>
    </row>
    <row r="237" spans="1:22" x14ac:dyDescent="0.2">
      <c r="A237">
        <v>236</v>
      </c>
      <c r="B237" t="s">
        <v>5274</v>
      </c>
      <c r="C237" s="1">
        <v>42440</v>
      </c>
      <c r="D237" s="22">
        <f>MONTH(Table10[[#This Row],[Order Date]])</f>
        <v>3</v>
      </c>
      <c r="E237" t="s">
        <v>2668</v>
      </c>
      <c r="F237" t="s">
        <v>2669</v>
      </c>
      <c r="G237" s="23" t="s">
        <v>41</v>
      </c>
      <c r="H237" s="23" t="s">
        <v>53</v>
      </c>
      <c r="I237" t="s">
        <v>5275</v>
      </c>
      <c r="J237" t="s">
        <v>92</v>
      </c>
      <c r="K237" s="22">
        <v>4</v>
      </c>
      <c r="L237" s="1">
        <v>42444</v>
      </c>
      <c r="M237" s="22">
        <f>Table10[[#This Row],[Ship Date]]-Table10[[#This Row],[Order Date]]</f>
        <v>4</v>
      </c>
      <c r="N237" t="s">
        <v>45</v>
      </c>
      <c r="O237" t="s">
        <v>23</v>
      </c>
      <c r="P237" t="s">
        <v>1125</v>
      </c>
      <c r="Q237" t="s">
        <v>26</v>
      </c>
      <c r="R237" t="s">
        <v>440</v>
      </c>
      <c r="S237" s="33">
        <v>0</v>
      </c>
      <c r="T237" s="13">
        <v>481.32</v>
      </c>
      <c r="U237" s="13">
        <v>125.14319999999999</v>
      </c>
      <c r="V237" s="21">
        <f>Table10[[#This Row],[Profit]]/Table10[[#This Row],[Sales]]</f>
        <v>0.26</v>
      </c>
    </row>
    <row r="238" spans="1:22" x14ac:dyDescent="0.2">
      <c r="A238">
        <v>237</v>
      </c>
      <c r="B238" t="s">
        <v>9999</v>
      </c>
      <c r="C238" s="1">
        <v>42440</v>
      </c>
      <c r="D238" s="22">
        <f>MONTH(Table10[[#This Row],[Order Date]])</f>
        <v>3</v>
      </c>
      <c r="E238" t="s">
        <v>4199</v>
      </c>
      <c r="F238" t="s">
        <v>4200</v>
      </c>
      <c r="G238" s="23" t="s">
        <v>28</v>
      </c>
      <c r="H238" s="23" t="s">
        <v>58</v>
      </c>
      <c r="I238" t="s">
        <v>2827</v>
      </c>
      <c r="J238" t="s">
        <v>92</v>
      </c>
      <c r="K238" s="22">
        <v>4</v>
      </c>
      <c r="L238" s="1">
        <v>42440</v>
      </c>
      <c r="M238" s="22">
        <f>Table10[[#This Row],[Ship Date]]-Table10[[#This Row],[Order Date]]</f>
        <v>0</v>
      </c>
      <c r="N238" t="s">
        <v>1141</v>
      </c>
      <c r="O238" t="s">
        <v>23</v>
      </c>
      <c r="P238" t="s">
        <v>132</v>
      </c>
      <c r="Q238" t="s">
        <v>133</v>
      </c>
      <c r="R238" t="s">
        <v>131</v>
      </c>
      <c r="S238" s="33">
        <v>0.2</v>
      </c>
      <c r="T238" s="13">
        <v>30.335999999999999</v>
      </c>
      <c r="U238" s="13">
        <v>9.48</v>
      </c>
      <c r="V238" s="21">
        <f>Table10[[#This Row],[Profit]]/Table10[[#This Row],[Sales]]</f>
        <v>0.31250000000000006</v>
      </c>
    </row>
    <row r="239" spans="1:22" x14ac:dyDescent="0.2">
      <c r="A239">
        <v>238</v>
      </c>
      <c r="B239" t="s">
        <v>2212</v>
      </c>
      <c r="C239" s="1">
        <v>42441</v>
      </c>
      <c r="D239" s="22">
        <f>MONTH(Table10[[#This Row],[Order Date]])</f>
        <v>3</v>
      </c>
      <c r="E239" t="s">
        <v>2214</v>
      </c>
      <c r="F239" t="s">
        <v>2215</v>
      </c>
      <c r="G239" s="23" t="s">
        <v>41</v>
      </c>
      <c r="H239" s="23" t="s">
        <v>82</v>
      </c>
      <c r="I239" t="s">
        <v>2213</v>
      </c>
      <c r="J239" t="s">
        <v>36</v>
      </c>
      <c r="K239" s="22">
        <v>2</v>
      </c>
      <c r="L239" s="1">
        <v>42446</v>
      </c>
      <c r="M239" s="22">
        <f>Table10[[#This Row],[Ship Date]]-Table10[[#This Row],[Order Date]]</f>
        <v>5</v>
      </c>
      <c r="N239" t="s">
        <v>45</v>
      </c>
      <c r="O239" t="s">
        <v>23</v>
      </c>
      <c r="P239" t="s">
        <v>650</v>
      </c>
      <c r="Q239" t="s">
        <v>26</v>
      </c>
      <c r="R239" t="s">
        <v>649</v>
      </c>
      <c r="S239" s="33">
        <v>0</v>
      </c>
      <c r="T239" s="13">
        <v>12.96</v>
      </c>
      <c r="U239" s="13">
        <v>6.2207999999999997</v>
      </c>
      <c r="V239" s="21">
        <f>Table10[[#This Row],[Profit]]/Table10[[#This Row],[Sales]]</f>
        <v>0.47999999999999993</v>
      </c>
    </row>
    <row r="240" spans="1:22" x14ac:dyDescent="0.2">
      <c r="A240">
        <v>239</v>
      </c>
      <c r="B240" t="s">
        <v>6071</v>
      </c>
      <c r="C240" s="1">
        <v>42441</v>
      </c>
      <c r="D240" s="22">
        <f>MONTH(Table10[[#This Row],[Order Date]])</f>
        <v>3</v>
      </c>
      <c r="E240" t="s">
        <v>2426</v>
      </c>
      <c r="F240" t="s">
        <v>591</v>
      </c>
      <c r="G240" s="23" t="s">
        <v>41</v>
      </c>
      <c r="H240" s="23" t="s">
        <v>155</v>
      </c>
      <c r="I240" t="s">
        <v>1795</v>
      </c>
      <c r="J240" t="s">
        <v>22</v>
      </c>
      <c r="K240" s="22">
        <v>3</v>
      </c>
      <c r="L240" s="1">
        <v>42445</v>
      </c>
      <c r="M240" s="22">
        <f>Table10[[#This Row],[Ship Date]]-Table10[[#This Row],[Order Date]]</f>
        <v>4</v>
      </c>
      <c r="N240" t="s">
        <v>20</v>
      </c>
      <c r="O240" t="s">
        <v>23</v>
      </c>
      <c r="P240" t="s">
        <v>238</v>
      </c>
      <c r="Q240" t="s">
        <v>133</v>
      </c>
      <c r="R240" t="s">
        <v>237</v>
      </c>
      <c r="S240" s="33">
        <v>0</v>
      </c>
      <c r="T240" s="13">
        <v>29.34</v>
      </c>
      <c r="U240" s="13">
        <v>13.4964</v>
      </c>
      <c r="V240" s="21">
        <f>Table10[[#This Row],[Profit]]/Table10[[#This Row],[Sales]]</f>
        <v>0.45999999999999996</v>
      </c>
    </row>
    <row r="241" spans="1:22" x14ac:dyDescent="0.2">
      <c r="A241">
        <v>240</v>
      </c>
      <c r="B241" t="s">
        <v>7828</v>
      </c>
      <c r="C241" s="1">
        <v>42441</v>
      </c>
      <c r="D241" s="22">
        <f>MONTH(Table10[[#This Row],[Order Date]])</f>
        <v>3</v>
      </c>
      <c r="E241" t="s">
        <v>969</v>
      </c>
      <c r="F241" t="s">
        <v>970</v>
      </c>
      <c r="G241" s="23" t="s">
        <v>41</v>
      </c>
      <c r="H241" s="23" t="s">
        <v>53</v>
      </c>
      <c r="I241" t="s">
        <v>1201</v>
      </c>
      <c r="J241" t="s">
        <v>36</v>
      </c>
      <c r="K241" s="22">
        <v>5</v>
      </c>
      <c r="L241" s="1">
        <v>42444</v>
      </c>
      <c r="M241" s="22">
        <f>Table10[[#This Row],[Ship Date]]-Table10[[#This Row],[Order Date]]</f>
        <v>3</v>
      </c>
      <c r="N241" t="s">
        <v>20</v>
      </c>
      <c r="O241" t="s">
        <v>23</v>
      </c>
      <c r="P241" t="s">
        <v>38</v>
      </c>
      <c r="Q241" t="s">
        <v>39</v>
      </c>
      <c r="R241" t="s">
        <v>114</v>
      </c>
      <c r="S241" s="33">
        <v>0</v>
      </c>
      <c r="T241" s="13">
        <v>676.55</v>
      </c>
      <c r="U241" s="13">
        <v>6.7655000000000003</v>
      </c>
      <c r="V241" s="21">
        <f>Table10[[#This Row],[Profit]]/Table10[[#This Row],[Sales]]</f>
        <v>1.0000000000000002E-2</v>
      </c>
    </row>
    <row r="242" spans="1:22" x14ac:dyDescent="0.2">
      <c r="A242">
        <v>241</v>
      </c>
      <c r="B242" t="s">
        <v>7828</v>
      </c>
      <c r="C242" s="1">
        <v>42441</v>
      </c>
      <c r="D242" s="22">
        <f>MONTH(Table10[[#This Row],[Order Date]])</f>
        <v>3</v>
      </c>
      <c r="E242" t="s">
        <v>4580</v>
      </c>
      <c r="F242" t="s">
        <v>4581</v>
      </c>
      <c r="G242" s="23" t="s">
        <v>41</v>
      </c>
      <c r="H242" s="23" t="s">
        <v>71</v>
      </c>
      <c r="I242" t="s">
        <v>1201</v>
      </c>
      <c r="J242" t="s">
        <v>36</v>
      </c>
      <c r="K242" s="22">
        <v>5</v>
      </c>
      <c r="L242" s="1">
        <v>42444</v>
      </c>
      <c r="M242" s="22">
        <f>Table10[[#This Row],[Ship Date]]-Table10[[#This Row],[Order Date]]</f>
        <v>3</v>
      </c>
      <c r="N242" t="s">
        <v>20</v>
      </c>
      <c r="O242" t="s">
        <v>23</v>
      </c>
      <c r="P242" t="s">
        <v>38</v>
      </c>
      <c r="Q242" t="s">
        <v>39</v>
      </c>
      <c r="R242" t="s">
        <v>114</v>
      </c>
      <c r="S242" s="33">
        <v>0</v>
      </c>
      <c r="T242" s="13">
        <v>154.9</v>
      </c>
      <c r="U242" s="13">
        <v>40.274000000000001</v>
      </c>
      <c r="V242" s="21">
        <f>Table10[[#This Row],[Profit]]/Table10[[#This Row],[Sales]]</f>
        <v>0.26</v>
      </c>
    </row>
    <row r="243" spans="1:22" x14ac:dyDescent="0.2">
      <c r="A243">
        <v>242</v>
      </c>
      <c r="B243" t="s">
        <v>7828</v>
      </c>
      <c r="C243" s="1">
        <v>42441</v>
      </c>
      <c r="D243" s="22">
        <f>MONTH(Table10[[#This Row],[Order Date]])</f>
        <v>3</v>
      </c>
      <c r="E243" t="s">
        <v>2268</v>
      </c>
      <c r="F243" t="s">
        <v>2269</v>
      </c>
      <c r="G243" s="23" t="s">
        <v>41</v>
      </c>
      <c r="H243" s="23" t="s">
        <v>155</v>
      </c>
      <c r="I243" t="s">
        <v>1201</v>
      </c>
      <c r="J243" t="s">
        <v>36</v>
      </c>
      <c r="K243" s="22">
        <v>4</v>
      </c>
      <c r="L243" s="1">
        <v>42444</v>
      </c>
      <c r="M243" s="22">
        <f>Table10[[#This Row],[Ship Date]]-Table10[[#This Row],[Order Date]]</f>
        <v>3</v>
      </c>
      <c r="N243" t="s">
        <v>20</v>
      </c>
      <c r="O243" t="s">
        <v>23</v>
      </c>
      <c r="P243" t="s">
        <v>38</v>
      </c>
      <c r="Q243" t="s">
        <v>39</v>
      </c>
      <c r="R243" t="s">
        <v>114</v>
      </c>
      <c r="S243" s="33">
        <v>0</v>
      </c>
      <c r="T243" s="13">
        <v>30.56</v>
      </c>
      <c r="U243" s="13">
        <v>14.974399999999999</v>
      </c>
      <c r="V243" s="21">
        <f>Table10[[#This Row],[Profit]]/Table10[[#This Row],[Sales]]</f>
        <v>0.49</v>
      </c>
    </row>
    <row r="244" spans="1:22" x14ac:dyDescent="0.2">
      <c r="A244">
        <v>243</v>
      </c>
      <c r="B244" t="s">
        <v>7828</v>
      </c>
      <c r="C244" s="1">
        <v>42441</v>
      </c>
      <c r="D244" s="22">
        <f>MONTH(Table10[[#This Row],[Order Date]])</f>
        <v>3</v>
      </c>
      <c r="E244" t="s">
        <v>2143</v>
      </c>
      <c r="F244" t="s">
        <v>2144</v>
      </c>
      <c r="G244" s="23" t="s">
        <v>28</v>
      </c>
      <c r="H244" s="23" t="s">
        <v>32</v>
      </c>
      <c r="I244" t="s">
        <v>1201</v>
      </c>
      <c r="J244" t="s">
        <v>36</v>
      </c>
      <c r="K244" s="22">
        <v>3</v>
      </c>
      <c r="L244" s="1">
        <v>42444</v>
      </c>
      <c r="M244" s="22">
        <f>Table10[[#This Row],[Ship Date]]-Table10[[#This Row],[Order Date]]</f>
        <v>3</v>
      </c>
      <c r="N244" t="s">
        <v>20</v>
      </c>
      <c r="O244" t="s">
        <v>23</v>
      </c>
      <c r="P244" t="s">
        <v>38</v>
      </c>
      <c r="Q244" t="s">
        <v>39</v>
      </c>
      <c r="R244" t="s">
        <v>114</v>
      </c>
      <c r="S244" s="33">
        <v>0.2</v>
      </c>
      <c r="T244" s="13">
        <v>770.35199999999998</v>
      </c>
      <c r="U244" s="13">
        <v>77.035200000000003</v>
      </c>
      <c r="V244" s="21">
        <f>Table10[[#This Row],[Profit]]/Table10[[#This Row],[Sales]]</f>
        <v>0.1</v>
      </c>
    </row>
    <row r="245" spans="1:22" x14ac:dyDescent="0.2">
      <c r="A245">
        <v>244</v>
      </c>
      <c r="B245" t="s">
        <v>9276</v>
      </c>
      <c r="C245" s="1">
        <v>42441</v>
      </c>
      <c r="D245" s="22">
        <f>MONTH(Table10[[#This Row],[Order Date]])</f>
        <v>3</v>
      </c>
      <c r="E245" t="s">
        <v>6559</v>
      </c>
      <c r="F245" t="s">
        <v>6560</v>
      </c>
      <c r="G245" s="23" t="s">
        <v>41</v>
      </c>
      <c r="H245" s="23" t="s">
        <v>82</v>
      </c>
      <c r="I245" t="s">
        <v>4456</v>
      </c>
      <c r="J245" t="s">
        <v>22</v>
      </c>
      <c r="K245" s="22">
        <v>2</v>
      </c>
      <c r="L245" s="1">
        <v>42445</v>
      </c>
      <c r="M245" s="22">
        <f>Table10[[#This Row],[Ship Date]]-Table10[[#This Row],[Order Date]]</f>
        <v>4</v>
      </c>
      <c r="N245" t="s">
        <v>45</v>
      </c>
      <c r="O245" t="s">
        <v>23</v>
      </c>
      <c r="P245" t="s">
        <v>38</v>
      </c>
      <c r="Q245" t="s">
        <v>39</v>
      </c>
      <c r="R245" t="s">
        <v>37</v>
      </c>
      <c r="S245" s="33">
        <v>0</v>
      </c>
      <c r="T245" s="13">
        <v>19.98</v>
      </c>
      <c r="U245" s="13">
        <v>8.9909999999999997</v>
      </c>
      <c r="V245" s="21">
        <f>Table10[[#This Row],[Profit]]/Table10[[#This Row],[Sales]]</f>
        <v>0.44999999999999996</v>
      </c>
    </row>
    <row r="246" spans="1:22" x14ac:dyDescent="0.2">
      <c r="A246">
        <v>245</v>
      </c>
      <c r="B246" t="s">
        <v>548</v>
      </c>
      <c r="C246" s="1">
        <v>42442</v>
      </c>
      <c r="D246" s="22">
        <f>MONTH(Table10[[#This Row],[Order Date]])</f>
        <v>3</v>
      </c>
      <c r="E246" t="s">
        <v>551</v>
      </c>
      <c r="F246" t="s">
        <v>552</v>
      </c>
      <c r="G246" s="23" t="s">
        <v>41</v>
      </c>
      <c r="H246" s="23" t="s">
        <v>71</v>
      </c>
      <c r="I246" t="s">
        <v>549</v>
      </c>
      <c r="J246" t="s">
        <v>92</v>
      </c>
      <c r="K246" s="22">
        <v>5</v>
      </c>
      <c r="L246" s="1">
        <v>42445</v>
      </c>
      <c r="M246" s="22">
        <f>Table10[[#This Row],[Ship Date]]-Table10[[#This Row],[Order Date]]</f>
        <v>3</v>
      </c>
      <c r="N246" t="s">
        <v>169</v>
      </c>
      <c r="O246" t="s">
        <v>23</v>
      </c>
      <c r="P246" t="s">
        <v>277</v>
      </c>
      <c r="Q246" t="s">
        <v>39</v>
      </c>
      <c r="R246" t="s">
        <v>550</v>
      </c>
      <c r="S246" s="33">
        <v>0.2</v>
      </c>
      <c r="T246" s="13">
        <v>157.91999999999999</v>
      </c>
      <c r="U246" s="13">
        <v>17.765999999999998</v>
      </c>
      <c r="V246" s="21">
        <f>Table10[[#This Row],[Profit]]/Table10[[#This Row],[Sales]]</f>
        <v>0.1125</v>
      </c>
    </row>
    <row r="247" spans="1:22" x14ac:dyDescent="0.2">
      <c r="A247">
        <v>246</v>
      </c>
      <c r="B247" t="s">
        <v>548</v>
      </c>
      <c r="C247" s="1">
        <v>42442</v>
      </c>
      <c r="D247" s="22">
        <f>MONTH(Table10[[#This Row],[Order Date]])</f>
        <v>3</v>
      </c>
      <c r="E247" t="s">
        <v>553</v>
      </c>
      <c r="F247" t="s">
        <v>554</v>
      </c>
      <c r="G247" s="23" t="s">
        <v>64</v>
      </c>
      <c r="H247" s="23" t="s">
        <v>65</v>
      </c>
      <c r="I247" t="s">
        <v>549</v>
      </c>
      <c r="J247" t="s">
        <v>92</v>
      </c>
      <c r="K247" s="22">
        <v>2</v>
      </c>
      <c r="L247" s="1">
        <v>42445</v>
      </c>
      <c r="M247" s="22">
        <f>Table10[[#This Row],[Ship Date]]-Table10[[#This Row],[Order Date]]</f>
        <v>3</v>
      </c>
      <c r="N247" t="s">
        <v>169</v>
      </c>
      <c r="O247" t="s">
        <v>23</v>
      </c>
      <c r="P247" t="s">
        <v>277</v>
      </c>
      <c r="Q247" t="s">
        <v>39</v>
      </c>
      <c r="R247" t="s">
        <v>550</v>
      </c>
      <c r="S247" s="33">
        <v>0.2</v>
      </c>
      <c r="T247" s="13">
        <v>203.184</v>
      </c>
      <c r="U247" s="13">
        <v>15.238799999999999</v>
      </c>
      <c r="V247" s="21">
        <f>Table10[[#This Row],[Profit]]/Table10[[#This Row],[Sales]]</f>
        <v>7.4999999999999997E-2</v>
      </c>
    </row>
    <row r="248" spans="1:22" x14ac:dyDescent="0.2">
      <c r="A248">
        <v>247</v>
      </c>
      <c r="B248" t="s">
        <v>4765</v>
      </c>
      <c r="C248" s="1">
        <v>42442</v>
      </c>
      <c r="D248" s="22">
        <f>MONTH(Table10[[#This Row],[Order Date]])</f>
        <v>3</v>
      </c>
      <c r="E248" t="s">
        <v>616</v>
      </c>
      <c r="F248" t="s">
        <v>4766</v>
      </c>
      <c r="G248" s="23" t="s">
        <v>41</v>
      </c>
      <c r="H248" s="23" t="s">
        <v>82</v>
      </c>
      <c r="I248" t="s">
        <v>2178</v>
      </c>
      <c r="J248" t="s">
        <v>22</v>
      </c>
      <c r="K248" s="22">
        <v>5</v>
      </c>
      <c r="L248" s="1">
        <v>42447</v>
      </c>
      <c r="M248" s="22">
        <f>Table10[[#This Row],[Ship Date]]-Table10[[#This Row],[Order Date]]</f>
        <v>5</v>
      </c>
      <c r="N248" t="s">
        <v>45</v>
      </c>
      <c r="O248" t="s">
        <v>23</v>
      </c>
      <c r="P248" t="s">
        <v>94</v>
      </c>
      <c r="Q248" t="s">
        <v>95</v>
      </c>
      <c r="R248" t="s">
        <v>598</v>
      </c>
      <c r="S248" s="33">
        <v>0.2</v>
      </c>
      <c r="T248" s="13">
        <v>70.08</v>
      </c>
      <c r="U248" s="13">
        <v>24.527999999999999</v>
      </c>
      <c r="V248" s="21">
        <f>Table10[[#This Row],[Profit]]/Table10[[#This Row],[Sales]]</f>
        <v>0.35</v>
      </c>
    </row>
    <row r="249" spans="1:22" x14ac:dyDescent="0.2">
      <c r="A249">
        <v>248</v>
      </c>
      <c r="B249" t="s">
        <v>4765</v>
      </c>
      <c r="C249" s="1">
        <v>42442</v>
      </c>
      <c r="D249" s="22">
        <f>MONTH(Table10[[#This Row],[Order Date]])</f>
        <v>3</v>
      </c>
      <c r="E249" t="s">
        <v>4767</v>
      </c>
      <c r="F249" t="s">
        <v>4768</v>
      </c>
      <c r="G249" s="23" t="s">
        <v>41</v>
      </c>
      <c r="H249" s="23" t="s">
        <v>68</v>
      </c>
      <c r="I249" t="s">
        <v>2178</v>
      </c>
      <c r="J249" t="s">
        <v>22</v>
      </c>
      <c r="K249" s="22">
        <v>2</v>
      </c>
      <c r="L249" s="1">
        <v>42447</v>
      </c>
      <c r="M249" s="22">
        <f>Table10[[#This Row],[Ship Date]]-Table10[[#This Row],[Order Date]]</f>
        <v>5</v>
      </c>
      <c r="N249" t="s">
        <v>45</v>
      </c>
      <c r="O249" t="s">
        <v>23</v>
      </c>
      <c r="P249" t="s">
        <v>94</v>
      </c>
      <c r="Q249" t="s">
        <v>95</v>
      </c>
      <c r="R249" t="s">
        <v>598</v>
      </c>
      <c r="S249" s="33">
        <v>0.8</v>
      </c>
      <c r="T249" s="13">
        <v>1.272</v>
      </c>
      <c r="U249" s="13">
        <v>-2.1623999999999999</v>
      </c>
      <c r="V249" s="21">
        <f>Table10[[#This Row],[Profit]]/Table10[[#This Row],[Sales]]</f>
        <v>-1.7</v>
      </c>
    </row>
    <row r="250" spans="1:22" x14ac:dyDescent="0.2">
      <c r="A250">
        <v>249</v>
      </c>
      <c r="B250" t="s">
        <v>4765</v>
      </c>
      <c r="C250" s="1">
        <v>42442</v>
      </c>
      <c r="D250" s="22">
        <f>MONTH(Table10[[#This Row],[Order Date]])</f>
        <v>3</v>
      </c>
      <c r="E250" t="s">
        <v>3081</v>
      </c>
      <c r="F250" t="s">
        <v>3082</v>
      </c>
      <c r="G250" s="23" t="s">
        <v>28</v>
      </c>
      <c r="H250" s="23" t="s">
        <v>50</v>
      </c>
      <c r="I250" t="s">
        <v>2178</v>
      </c>
      <c r="J250" t="s">
        <v>22</v>
      </c>
      <c r="K250" s="22">
        <v>5</v>
      </c>
      <c r="L250" s="1">
        <v>42447</v>
      </c>
      <c r="M250" s="22">
        <f>Table10[[#This Row],[Ship Date]]-Table10[[#This Row],[Order Date]]</f>
        <v>5</v>
      </c>
      <c r="N250" t="s">
        <v>45</v>
      </c>
      <c r="O250" t="s">
        <v>23</v>
      </c>
      <c r="P250" t="s">
        <v>94</v>
      </c>
      <c r="Q250" t="s">
        <v>95</v>
      </c>
      <c r="R250" t="s">
        <v>598</v>
      </c>
      <c r="S250" s="33">
        <v>0.3</v>
      </c>
      <c r="T250" s="13">
        <v>557.58500000000004</v>
      </c>
      <c r="U250" s="13">
        <v>0</v>
      </c>
      <c r="V250" s="21">
        <f>Table10[[#This Row],[Profit]]/Table10[[#This Row],[Sales]]</f>
        <v>0</v>
      </c>
    </row>
    <row r="251" spans="1:22" x14ac:dyDescent="0.2">
      <c r="A251">
        <v>250</v>
      </c>
      <c r="B251" t="s">
        <v>4786</v>
      </c>
      <c r="C251" s="1">
        <v>42442</v>
      </c>
      <c r="D251" s="22">
        <f>MONTH(Table10[[#This Row],[Order Date]])</f>
        <v>3</v>
      </c>
      <c r="E251" t="s">
        <v>1517</v>
      </c>
      <c r="F251" t="s">
        <v>1518</v>
      </c>
      <c r="G251" s="23" t="s">
        <v>28</v>
      </c>
      <c r="H251" s="23" t="s">
        <v>58</v>
      </c>
      <c r="I251" t="s">
        <v>1105</v>
      </c>
      <c r="J251" t="s">
        <v>92</v>
      </c>
      <c r="K251" s="22">
        <v>2</v>
      </c>
      <c r="L251" s="1">
        <v>42447</v>
      </c>
      <c r="M251" s="22">
        <f>Table10[[#This Row],[Ship Date]]-Table10[[#This Row],[Order Date]]</f>
        <v>5</v>
      </c>
      <c r="N251" t="s">
        <v>45</v>
      </c>
      <c r="O251" t="s">
        <v>23</v>
      </c>
      <c r="P251" t="s">
        <v>285</v>
      </c>
      <c r="Q251" t="s">
        <v>26</v>
      </c>
      <c r="R251" t="s">
        <v>1970</v>
      </c>
      <c r="S251" s="33">
        <v>0</v>
      </c>
      <c r="T251" s="13">
        <v>127.88</v>
      </c>
      <c r="U251" s="13">
        <v>40.921599999999998</v>
      </c>
      <c r="V251" s="21">
        <f>Table10[[#This Row],[Profit]]/Table10[[#This Row],[Sales]]</f>
        <v>0.32</v>
      </c>
    </row>
    <row r="252" spans="1:22" x14ac:dyDescent="0.2">
      <c r="A252">
        <v>251</v>
      </c>
      <c r="B252" t="s">
        <v>4786</v>
      </c>
      <c r="C252" s="1">
        <v>42442</v>
      </c>
      <c r="D252" s="22">
        <f>MONTH(Table10[[#This Row],[Order Date]])</f>
        <v>3</v>
      </c>
      <c r="E252" t="s">
        <v>4787</v>
      </c>
      <c r="F252" t="s">
        <v>4788</v>
      </c>
      <c r="G252" s="23" t="s">
        <v>41</v>
      </c>
      <c r="H252" s="23" t="s">
        <v>71</v>
      </c>
      <c r="I252" t="s">
        <v>1105</v>
      </c>
      <c r="J252" t="s">
        <v>92</v>
      </c>
      <c r="K252" s="22">
        <v>2</v>
      </c>
      <c r="L252" s="1">
        <v>42447</v>
      </c>
      <c r="M252" s="22">
        <f>Table10[[#This Row],[Ship Date]]-Table10[[#This Row],[Order Date]]</f>
        <v>5</v>
      </c>
      <c r="N252" t="s">
        <v>45</v>
      </c>
      <c r="O252" t="s">
        <v>23</v>
      </c>
      <c r="P252" t="s">
        <v>285</v>
      </c>
      <c r="Q252" t="s">
        <v>26</v>
      </c>
      <c r="R252" t="s">
        <v>1970</v>
      </c>
      <c r="S252" s="33">
        <v>0</v>
      </c>
      <c r="T252" s="13">
        <v>160.32</v>
      </c>
      <c r="U252" s="13">
        <v>44.889600000000002</v>
      </c>
      <c r="V252" s="21">
        <f>Table10[[#This Row],[Profit]]/Table10[[#This Row],[Sales]]</f>
        <v>0.28000000000000003</v>
      </c>
    </row>
    <row r="253" spans="1:22" x14ac:dyDescent="0.2">
      <c r="A253">
        <v>252</v>
      </c>
      <c r="B253" t="s">
        <v>4786</v>
      </c>
      <c r="C253" s="1">
        <v>42442</v>
      </c>
      <c r="D253" s="22">
        <f>MONTH(Table10[[#This Row],[Order Date]])</f>
        <v>3</v>
      </c>
      <c r="E253" t="s">
        <v>3559</v>
      </c>
      <c r="F253" t="s">
        <v>3560</v>
      </c>
      <c r="G253" s="23" t="s">
        <v>41</v>
      </c>
      <c r="H253" s="23" t="s">
        <v>68</v>
      </c>
      <c r="I253" t="s">
        <v>1105</v>
      </c>
      <c r="J253" t="s">
        <v>92</v>
      </c>
      <c r="K253" s="22">
        <v>4</v>
      </c>
      <c r="L253" s="1">
        <v>42447</v>
      </c>
      <c r="M253" s="22">
        <f>Table10[[#This Row],[Ship Date]]-Table10[[#This Row],[Order Date]]</f>
        <v>5</v>
      </c>
      <c r="N253" t="s">
        <v>45</v>
      </c>
      <c r="O253" t="s">
        <v>23</v>
      </c>
      <c r="P253" t="s">
        <v>285</v>
      </c>
      <c r="Q253" t="s">
        <v>26</v>
      </c>
      <c r="R253" t="s">
        <v>1970</v>
      </c>
      <c r="S253" s="33">
        <v>0</v>
      </c>
      <c r="T253" s="13">
        <v>46</v>
      </c>
      <c r="U253" s="13">
        <v>20.7</v>
      </c>
      <c r="V253" s="21">
        <f>Table10[[#This Row],[Profit]]/Table10[[#This Row],[Sales]]</f>
        <v>0.45</v>
      </c>
    </row>
    <row r="254" spans="1:22" x14ac:dyDescent="0.2">
      <c r="A254">
        <v>253</v>
      </c>
      <c r="B254" t="s">
        <v>7785</v>
      </c>
      <c r="C254" s="1">
        <v>42442</v>
      </c>
      <c r="D254" s="22">
        <f>MONTH(Table10[[#This Row],[Order Date]])</f>
        <v>3</v>
      </c>
      <c r="E254" t="s">
        <v>1309</v>
      </c>
      <c r="F254" t="s">
        <v>1310</v>
      </c>
      <c r="G254" s="23" t="s">
        <v>28</v>
      </c>
      <c r="H254" s="23" t="s">
        <v>58</v>
      </c>
      <c r="I254" t="s">
        <v>4217</v>
      </c>
      <c r="J254" t="s">
        <v>36</v>
      </c>
      <c r="K254" s="22">
        <v>2</v>
      </c>
      <c r="L254" s="1">
        <v>42444</v>
      </c>
      <c r="M254" s="22">
        <f>Table10[[#This Row],[Ship Date]]-Table10[[#This Row],[Order Date]]</f>
        <v>2</v>
      </c>
      <c r="N254" t="s">
        <v>20</v>
      </c>
      <c r="O254" t="s">
        <v>23</v>
      </c>
      <c r="P254" t="s">
        <v>38</v>
      </c>
      <c r="Q254" t="s">
        <v>39</v>
      </c>
      <c r="R254" t="s">
        <v>114</v>
      </c>
      <c r="S254" s="33">
        <v>0</v>
      </c>
      <c r="T254" s="13">
        <v>28.28</v>
      </c>
      <c r="U254" s="13">
        <v>7.3528000000000002</v>
      </c>
      <c r="V254" s="21">
        <f>Table10[[#This Row],[Profit]]/Table10[[#This Row],[Sales]]</f>
        <v>0.26</v>
      </c>
    </row>
    <row r="255" spans="1:22" x14ac:dyDescent="0.2">
      <c r="A255">
        <v>254</v>
      </c>
      <c r="B255" t="s">
        <v>7785</v>
      </c>
      <c r="C255" s="1">
        <v>42442</v>
      </c>
      <c r="D255" s="22">
        <f>MONTH(Table10[[#This Row],[Order Date]])</f>
        <v>3</v>
      </c>
      <c r="E255" t="s">
        <v>4969</v>
      </c>
      <c r="F255" t="s">
        <v>4970</v>
      </c>
      <c r="G255" s="23" t="s">
        <v>41</v>
      </c>
      <c r="H255" s="23" t="s">
        <v>513</v>
      </c>
      <c r="I255" t="s">
        <v>4217</v>
      </c>
      <c r="J255" t="s">
        <v>36</v>
      </c>
      <c r="K255" s="22">
        <v>3</v>
      </c>
      <c r="L255" s="1">
        <v>42444</v>
      </c>
      <c r="M255" s="22">
        <f>Table10[[#This Row],[Ship Date]]-Table10[[#This Row],[Order Date]]</f>
        <v>2</v>
      </c>
      <c r="N255" t="s">
        <v>20</v>
      </c>
      <c r="O255" t="s">
        <v>23</v>
      </c>
      <c r="P255" t="s">
        <v>38</v>
      </c>
      <c r="Q255" t="s">
        <v>39</v>
      </c>
      <c r="R255" t="s">
        <v>114</v>
      </c>
      <c r="S255" s="33">
        <v>0</v>
      </c>
      <c r="T255" s="13">
        <v>4912.59</v>
      </c>
      <c r="U255" s="13">
        <v>196.50360000000001</v>
      </c>
      <c r="V255" s="21">
        <f>Table10[[#This Row],[Profit]]/Table10[[#This Row],[Sales]]</f>
        <v>0.04</v>
      </c>
    </row>
    <row r="256" spans="1:22" x14ac:dyDescent="0.2">
      <c r="A256">
        <v>255</v>
      </c>
      <c r="B256" t="s">
        <v>8693</v>
      </c>
      <c r="C256" s="1">
        <v>42442</v>
      </c>
      <c r="D256" s="22">
        <f>MONTH(Table10[[#This Row],[Order Date]])</f>
        <v>3</v>
      </c>
      <c r="E256" t="s">
        <v>606</v>
      </c>
      <c r="F256" t="s">
        <v>607</v>
      </c>
      <c r="G256" s="23" t="s">
        <v>28</v>
      </c>
      <c r="H256" s="23" t="s">
        <v>32</v>
      </c>
      <c r="I256" t="s">
        <v>318</v>
      </c>
      <c r="J256" t="s">
        <v>36</v>
      </c>
      <c r="K256" s="22">
        <v>2</v>
      </c>
      <c r="L256" s="1">
        <v>42444</v>
      </c>
      <c r="M256" s="22">
        <f>Table10[[#This Row],[Ship Date]]-Table10[[#This Row],[Order Date]]</f>
        <v>2</v>
      </c>
      <c r="N256" t="s">
        <v>20</v>
      </c>
      <c r="O256" t="s">
        <v>23</v>
      </c>
      <c r="P256" t="s">
        <v>132</v>
      </c>
      <c r="Q256" t="s">
        <v>133</v>
      </c>
      <c r="R256" t="s">
        <v>131</v>
      </c>
      <c r="S256" s="33">
        <v>0.3</v>
      </c>
      <c r="T256" s="13">
        <v>386.68</v>
      </c>
      <c r="U256" s="13">
        <v>-5.524</v>
      </c>
      <c r="V256" s="21">
        <f>Table10[[#This Row],[Profit]]/Table10[[#This Row],[Sales]]</f>
        <v>-1.4285714285714285E-2</v>
      </c>
    </row>
    <row r="257" spans="1:22" x14ac:dyDescent="0.2">
      <c r="A257">
        <v>256</v>
      </c>
      <c r="B257" t="s">
        <v>8693</v>
      </c>
      <c r="C257" s="1">
        <v>42442</v>
      </c>
      <c r="D257" s="22">
        <f>MONTH(Table10[[#This Row],[Order Date]])</f>
        <v>3</v>
      </c>
      <c r="E257" t="s">
        <v>5843</v>
      </c>
      <c r="F257" t="s">
        <v>5844</v>
      </c>
      <c r="G257" s="23" t="s">
        <v>64</v>
      </c>
      <c r="H257" s="23" t="s">
        <v>144</v>
      </c>
      <c r="I257" t="s">
        <v>318</v>
      </c>
      <c r="J257" t="s">
        <v>36</v>
      </c>
      <c r="K257" s="22">
        <v>5</v>
      </c>
      <c r="L257" s="1">
        <v>42444</v>
      </c>
      <c r="M257" s="22">
        <f>Table10[[#This Row],[Ship Date]]-Table10[[#This Row],[Order Date]]</f>
        <v>2</v>
      </c>
      <c r="N257" t="s">
        <v>20</v>
      </c>
      <c r="O257" t="s">
        <v>23</v>
      </c>
      <c r="P257" t="s">
        <v>132</v>
      </c>
      <c r="Q257" t="s">
        <v>133</v>
      </c>
      <c r="R257" t="s">
        <v>131</v>
      </c>
      <c r="S257" s="33">
        <v>0.2</v>
      </c>
      <c r="T257" s="13">
        <v>379.96</v>
      </c>
      <c r="U257" s="13">
        <v>47.494999999999997</v>
      </c>
      <c r="V257" s="21">
        <f>Table10[[#This Row],[Profit]]/Table10[[#This Row],[Sales]]</f>
        <v>0.125</v>
      </c>
    </row>
    <row r="258" spans="1:22" x14ac:dyDescent="0.2">
      <c r="A258">
        <v>257</v>
      </c>
      <c r="B258" t="s">
        <v>8693</v>
      </c>
      <c r="C258" s="1">
        <v>42442</v>
      </c>
      <c r="D258" s="22">
        <f>MONTH(Table10[[#This Row],[Order Date]])</f>
        <v>3</v>
      </c>
      <c r="E258" t="s">
        <v>2458</v>
      </c>
      <c r="F258" t="s">
        <v>2459</v>
      </c>
      <c r="G258" s="23" t="s">
        <v>64</v>
      </c>
      <c r="H258" s="23" t="s">
        <v>65</v>
      </c>
      <c r="I258" t="s">
        <v>318</v>
      </c>
      <c r="J258" t="s">
        <v>36</v>
      </c>
      <c r="K258" s="22">
        <v>3</v>
      </c>
      <c r="L258" s="1">
        <v>42444</v>
      </c>
      <c r="M258" s="22">
        <f>Table10[[#This Row],[Ship Date]]-Table10[[#This Row],[Order Date]]</f>
        <v>2</v>
      </c>
      <c r="N258" t="s">
        <v>20</v>
      </c>
      <c r="O258" t="s">
        <v>23</v>
      </c>
      <c r="P258" t="s">
        <v>132</v>
      </c>
      <c r="Q258" t="s">
        <v>133</v>
      </c>
      <c r="R258" t="s">
        <v>131</v>
      </c>
      <c r="S258" s="33">
        <v>0.4</v>
      </c>
      <c r="T258" s="13">
        <v>539.91</v>
      </c>
      <c r="U258" s="13">
        <v>-116.98050000000001</v>
      </c>
      <c r="V258" s="21">
        <f>Table10[[#This Row],[Profit]]/Table10[[#This Row],[Sales]]</f>
        <v>-0.2166666666666667</v>
      </c>
    </row>
    <row r="259" spans="1:22" x14ac:dyDescent="0.2">
      <c r="A259">
        <v>258</v>
      </c>
      <c r="B259" t="s">
        <v>8693</v>
      </c>
      <c r="C259" s="1">
        <v>42442</v>
      </c>
      <c r="D259" s="22">
        <f>MONTH(Table10[[#This Row],[Order Date]])</f>
        <v>3</v>
      </c>
      <c r="E259" t="s">
        <v>5949</v>
      </c>
      <c r="F259" t="s">
        <v>5950</v>
      </c>
      <c r="G259" s="23" t="s">
        <v>41</v>
      </c>
      <c r="H259" s="23" t="s">
        <v>82</v>
      </c>
      <c r="I259" t="s">
        <v>318</v>
      </c>
      <c r="J259" t="s">
        <v>36</v>
      </c>
      <c r="K259" s="22">
        <v>5</v>
      </c>
      <c r="L259" s="1">
        <v>42444</v>
      </c>
      <c r="M259" s="22">
        <f>Table10[[#This Row],[Ship Date]]-Table10[[#This Row],[Order Date]]</f>
        <v>2</v>
      </c>
      <c r="N259" t="s">
        <v>20</v>
      </c>
      <c r="O259" t="s">
        <v>23</v>
      </c>
      <c r="P259" t="s">
        <v>132</v>
      </c>
      <c r="Q259" t="s">
        <v>133</v>
      </c>
      <c r="R259" t="s">
        <v>131</v>
      </c>
      <c r="S259" s="33">
        <v>0.2</v>
      </c>
      <c r="T259" s="13">
        <v>41.24</v>
      </c>
      <c r="U259" s="13">
        <v>13.9185</v>
      </c>
      <c r="V259" s="21">
        <f>Table10[[#This Row],[Profit]]/Table10[[#This Row],[Sales]]</f>
        <v>0.33749999999999997</v>
      </c>
    </row>
    <row r="260" spans="1:22" x14ac:dyDescent="0.2">
      <c r="A260">
        <v>259</v>
      </c>
      <c r="B260" t="s">
        <v>8693</v>
      </c>
      <c r="C260" s="1">
        <v>42442</v>
      </c>
      <c r="D260" s="22">
        <f>MONTH(Table10[[#This Row],[Order Date]])</f>
        <v>3</v>
      </c>
      <c r="E260" t="s">
        <v>6271</v>
      </c>
      <c r="F260" t="s">
        <v>6272</v>
      </c>
      <c r="G260" s="23" t="s">
        <v>41</v>
      </c>
      <c r="H260" s="23" t="s">
        <v>68</v>
      </c>
      <c r="I260" t="s">
        <v>318</v>
      </c>
      <c r="J260" t="s">
        <v>36</v>
      </c>
      <c r="K260" s="22">
        <v>1</v>
      </c>
      <c r="L260" s="1">
        <v>42444</v>
      </c>
      <c r="M260" s="22">
        <f>Table10[[#This Row],[Ship Date]]-Table10[[#This Row],[Order Date]]</f>
        <v>2</v>
      </c>
      <c r="N260" t="s">
        <v>20</v>
      </c>
      <c r="O260" t="s">
        <v>23</v>
      </c>
      <c r="P260" t="s">
        <v>132</v>
      </c>
      <c r="Q260" t="s">
        <v>133</v>
      </c>
      <c r="R260" t="s">
        <v>131</v>
      </c>
      <c r="S260" s="33">
        <v>0.7</v>
      </c>
      <c r="T260" s="13">
        <v>51.896999999999998</v>
      </c>
      <c r="U260" s="13">
        <v>-41.517600000000002</v>
      </c>
      <c r="V260" s="21">
        <f>Table10[[#This Row],[Profit]]/Table10[[#This Row],[Sales]]</f>
        <v>-0.8</v>
      </c>
    </row>
    <row r="261" spans="1:22" x14ac:dyDescent="0.2">
      <c r="A261">
        <v>260</v>
      </c>
      <c r="B261" t="s">
        <v>8693</v>
      </c>
      <c r="C261" s="1">
        <v>42442</v>
      </c>
      <c r="D261" s="22">
        <f>MONTH(Table10[[#This Row],[Order Date]])</f>
        <v>3</v>
      </c>
      <c r="E261" t="s">
        <v>3254</v>
      </c>
      <c r="F261" t="s">
        <v>3255</v>
      </c>
      <c r="G261" s="23" t="s">
        <v>41</v>
      </c>
      <c r="H261" s="23" t="s">
        <v>53</v>
      </c>
      <c r="I261" t="s">
        <v>318</v>
      </c>
      <c r="J261" t="s">
        <v>36</v>
      </c>
      <c r="K261" s="22">
        <v>5</v>
      </c>
      <c r="L261" s="1">
        <v>42444</v>
      </c>
      <c r="M261" s="22">
        <f>Table10[[#This Row],[Ship Date]]-Table10[[#This Row],[Order Date]]</f>
        <v>2</v>
      </c>
      <c r="N261" t="s">
        <v>20</v>
      </c>
      <c r="O261" t="s">
        <v>23</v>
      </c>
      <c r="P261" t="s">
        <v>132</v>
      </c>
      <c r="Q261" t="s">
        <v>133</v>
      </c>
      <c r="R261" t="s">
        <v>131</v>
      </c>
      <c r="S261" s="33">
        <v>0.2</v>
      </c>
      <c r="T261" s="13">
        <v>552.55999999999995</v>
      </c>
      <c r="U261" s="13">
        <v>-138.13999999999999</v>
      </c>
      <c r="V261" s="21">
        <f>Table10[[#This Row],[Profit]]/Table10[[#This Row],[Sales]]</f>
        <v>-0.25</v>
      </c>
    </row>
    <row r="262" spans="1:22" x14ac:dyDescent="0.2">
      <c r="A262">
        <v>261</v>
      </c>
      <c r="B262" t="s">
        <v>8693</v>
      </c>
      <c r="C262" s="1">
        <v>42442</v>
      </c>
      <c r="D262" s="22">
        <f>MONTH(Table10[[#This Row],[Order Date]])</f>
        <v>3</v>
      </c>
      <c r="E262" t="s">
        <v>3818</v>
      </c>
      <c r="F262" t="s">
        <v>3819</v>
      </c>
      <c r="G262" s="23" t="s">
        <v>41</v>
      </c>
      <c r="H262" s="23" t="s">
        <v>68</v>
      </c>
      <c r="I262" t="s">
        <v>318</v>
      </c>
      <c r="J262" t="s">
        <v>36</v>
      </c>
      <c r="K262" s="22">
        <v>5</v>
      </c>
      <c r="L262" s="1">
        <v>42444</v>
      </c>
      <c r="M262" s="22">
        <f>Table10[[#This Row],[Ship Date]]-Table10[[#This Row],[Order Date]]</f>
        <v>2</v>
      </c>
      <c r="N262" t="s">
        <v>20</v>
      </c>
      <c r="O262" t="s">
        <v>23</v>
      </c>
      <c r="P262" t="s">
        <v>132</v>
      </c>
      <c r="Q262" t="s">
        <v>133</v>
      </c>
      <c r="R262" t="s">
        <v>131</v>
      </c>
      <c r="S262" s="33">
        <v>0.7</v>
      </c>
      <c r="T262" s="13">
        <v>23.16</v>
      </c>
      <c r="U262" s="13">
        <v>-15.44</v>
      </c>
      <c r="V262" s="21">
        <f>Table10[[#This Row],[Profit]]/Table10[[#This Row],[Sales]]</f>
        <v>-0.66666666666666663</v>
      </c>
    </row>
    <row r="263" spans="1:22" x14ac:dyDescent="0.2">
      <c r="A263">
        <v>262</v>
      </c>
      <c r="B263" t="s">
        <v>8693</v>
      </c>
      <c r="C263" s="1">
        <v>42442</v>
      </c>
      <c r="D263" s="22">
        <f>MONTH(Table10[[#This Row],[Order Date]])</f>
        <v>3</v>
      </c>
      <c r="E263" t="s">
        <v>8694</v>
      </c>
      <c r="F263" t="s">
        <v>8695</v>
      </c>
      <c r="G263" s="23" t="s">
        <v>41</v>
      </c>
      <c r="H263" s="23" t="s">
        <v>53</v>
      </c>
      <c r="I263" t="s">
        <v>318</v>
      </c>
      <c r="J263" t="s">
        <v>36</v>
      </c>
      <c r="K263" s="22">
        <v>2</v>
      </c>
      <c r="L263" s="1">
        <v>42444</v>
      </c>
      <c r="M263" s="22">
        <f>Table10[[#This Row],[Ship Date]]-Table10[[#This Row],[Order Date]]</f>
        <v>2</v>
      </c>
      <c r="N263" t="s">
        <v>20</v>
      </c>
      <c r="O263" t="s">
        <v>23</v>
      </c>
      <c r="P263" t="s">
        <v>132</v>
      </c>
      <c r="Q263" t="s">
        <v>133</v>
      </c>
      <c r="R263" t="s">
        <v>131</v>
      </c>
      <c r="S263" s="33">
        <v>0.2</v>
      </c>
      <c r="T263" s="13">
        <v>126.08</v>
      </c>
      <c r="U263" s="13">
        <v>-28.367999999999999</v>
      </c>
      <c r="V263" s="21">
        <f>Table10[[#This Row],[Profit]]/Table10[[#This Row],[Sales]]</f>
        <v>-0.22499999999999998</v>
      </c>
    </row>
    <row r="264" spans="1:22" x14ac:dyDescent="0.2">
      <c r="A264">
        <v>263</v>
      </c>
      <c r="B264" t="s">
        <v>8693</v>
      </c>
      <c r="C264" s="1">
        <v>42442</v>
      </c>
      <c r="D264" s="22">
        <f>MONTH(Table10[[#This Row],[Order Date]])</f>
        <v>3</v>
      </c>
      <c r="E264" t="s">
        <v>769</v>
      </c>
      <c r="F264" t="s">
        <v>6042</v>
      </c>
      <c r="G264" s="23" t="s">
        <v>64</v>
      </c>
      <c r="H264" s="23" t="s">
        <v>602</v>
      </c>
      <c r="I264" t="s">
        <v>318</v>
      </c>
      <c r="J264" t="s">
        <v>36</v>
      </c>
      <c r="K264" s="22">
        <v>3</v>
      </c>
      <c r="L264" s="1">
        <v>42444</v>
      </c>
      <c r="M264" s="22">
        <f>Table10[[#This Row],[Ship Date]]-Table10[[#This Row],[Order Date]]</f>
        <v>2</v>
      </c>
      <c r="N264" t="s">
        <v>20</v>
      </c>
      <c r="O264" t="s">
        <v>23</v>
      </c>
      <c r="P264" t="s">
        <v>132</v>
      </c>
      <c r="Q264" t="s">
        <v>133</v>
      </c>
      <c r="R264" t="s">
        <v>131</v>
      </c>
      <c r="S264" s="33">
        <v>0.7</v>
      </c>
      <c r="T264" s="13">
        <v>449.1</v>
      </c>
      <c r="U264" s="13">
        <v>-643.71</v>
      </c>
      <c r="V264" s="21">
        <f>Table10[[#This Row],[Profit]]/Table10[[#This Row],[Sales]]</f>
        <v>-1.4333333333333333</v>
      </c>
    </row>
    <row r="265" spans="1:22" x14ac:dyDescent="0.2">
      <c r="A265">
        <v>264</v>
      </c>
      <c r="B265" t="s">
        <v>9777</v>
      </c>
      <c r="C265" s="1">
        <v>42442</v>
      </c>
      <c r="D265" s="22">
        <f>MONTH(Table10[[#This Row],[Order Date]])</f>
        <v>3</v>
      </c>
      <c r="E265" t="s">
        <v>2147</v>
      </c>
      <c r="F265" t="s">
        <v>2148</v>
      </c>
      <c r="G265" s="23" t="s">
        <v>41</v>
      </c>
      <c r="H265" s="23" t="s">
        <v>68</v>
      </c>
      <c r="I265" t="s">
        <v>6929</v>
      </c>
      <c r="J265" t="s">
        <v>92</v>
      </c>
      <c r="K265" s="22">
        <v>7</v>
      </c>
      <c r="L265" s="1">
        <v>42447</v>
      </c>
      <c r="M265" s="22">
        <f>Table10[[#This Row],[Ship Date]]-Table10[[#This Row],[Order Date]]</f>
        <v>5</v>
      </c>
      <c r="N265" t="s">
        <v>45</v>
      </c>
      <c r="O265" t="s">
        <v>23</v>
      </c>
      <c r="P265" t="s">
        <v>38</v>
      </c>
      <c r="Q265" t="s">
        <v>39</v>
      </c>
      <c r="R265" t="s">
        <v>2513</v>
      </c>
      <c r="S265" s="33">
        <v>0.2</v>
      </c>
      <c r="T265" s="13">
        <v>51.183999999999997</v>
      </c>
      <c r="U265" s="13">
        <v>19.193999999999999</v>
      </c>
      <c r="V265" s="21">
        <f>Table10[[#This Row],[Profit]]/Table10[[#This Row],[Sales]]</f>
        <v>0.375</v>
      </c>
    </row>
    <row r="266" spans="1:22" x14ac:dyDescent="0.2">
      <c r="A266">
        <v>265</v>
      </c>
      <c r="B266" t="s">
        <v>3860</v>
      </c>
      <c r="C266" s="1">
        <v>42443</v>
      </c>
      <c r="D266" s="22">
        <f>MONTH(Table10[[#This Row],[Order Date]])</f>
        <v>3</v>
      </c>
      <c r="E266" t="s">
        <v>1689</v>
      </c>
      <c r="F266" t="s">
        <v>1690</v>
      </c>
      <c r="G266" s="23" t="s">
        <v>28</v>
      </c>
      <c r="H266" s="23" t="s">
        <v>58</v>
      </c>
      <c r="I266" t="s">
        <v>3861</v>
      </c>
      <c r="J266" t="s">
        <v>22</v>
      </c>
      <c r="K266" s="22">
        <v>5</v>
      </c>
      <c r="L266" s="1">
        <v>42448</v>
      </c>
      <c r="M266" s="22">
        <f>Table10[[#This Row],[Ship Date]]-Table10[[#This Row],[Order Date]]</f>
        <v>5</v>
      </c>
      <c r="N266" t="s">
        <v>45</v>
      </c>
      <c r="O266" t="s">
        <v>23</v>
      </c>
      <c r="P266" t="s">
        <v>441</v>
      </c>
      <c r="Q266" t="s">
        <v>133</v>
      </c>
      <c r="R266" t="s">
        <v>440</v>
      </c>
      <c r="S266" s="33">
        <v>0.2</v>
      </c>
      <c r="T266" s="13">
        <v>21.88</v>
      </c>
      <c r="U266" s="13">
        <v>6.2904999999999998</v>
      </c>
      <c r="V266" s="21">
        <f>Table10[[#This Row],[Profit]]/Table10[[#This Row],[Sales]]</f>
        <v>0.28749999999999998</v>
      </c>
    </row>
    <row r="267" spans="1:22" x14ac:dyDescent="0.2">
      <c r="A267">
        <v>266</v>
      </c>
      <c r="B267" t="s">
        <v>6346</v>
      </c>
      <c r="C267" s="1">
        <v>42443</v>
      </c>
      <c r="D267" s="22">
        <f>MONTH(Table10[[#This Row],[Order Date]])</f>
        <v>3</v>
      </c>
      <c r="E267" t="s">
        <v>2166</v>
      </c>
      <c r="F267" t="s">
        <v>2167</v>
      </c>
      <c r="G267" s="23" t="s">
        <v>28</v>
      </c>
      <c r="H267" s="23" t="s">
        <v>29</v>
      </c>
      <c r="I267" t="s">
        <v>2658</v>
      </c>
      <c r="J267" t="s">
        <v>22</v>
      </c>
      <c r="K267" s="22">
        <v>5</v>
      </c>
      <c r="L267" s="1">
        <v>42446</v>
      </c>
      <c r="M267" s="22">
        <f>Table10[[#This Row],[Ship Date]]-Table10[[#This Row],[Order Date]]</f>
        <v>3</v>
      </c>
      <c r="N267" t="s">
        <v>169</v>
      </c>
      <c r="O267" t="s">
        <v>23</v>
      </c>
      <c r="P267" t="s">
        <v>94</v>
      </c>
      <c r="Q267" t="s">
        <v>95</v>
      </c>
      <c r="R267" t="s">
        <v>1152</v>
      </c>
      <c r="S267" s="33">
        <v>0.32</v>
      </c>
      <c r="T267" s="13">
        <v>241.33199999999999</v>
      </c>
      <c r="U267" s="13">
        <v>-14.196</v>
      </c>
      <c r="V267" s="21">
        <f>Table10[[#This Row],[Profit]]/Table10[[#This Row],[Sales]]</f>
        <v>-5.8823529411764705E-2</v>
      </c>
    </row>
    <row r="268" spans="1:22" x14ac:dyDescent="0.2">
      <c r="A268">
        <v>267</v>
      </c>
      <c r="B268" t="s">
        <v>6346</v>
      </c>
      <c r="C268" s="1">
        <v>42443</v>
      </c>
      <c r="D268" s="22">
        <f>MONTH(Table10[[#This Row],[Order Date]])</f>
        <v>3</v>
      </c>
      <c r="E268" t="s">
        <v>1875</v>
      </c>
      <c r="F268" t="s">
        <v>1876</v>
      </c>
      <c r="G268" s="23" t="s">
        <v>41</v>
      </c>
      <c r="H268" s="23" t="s">
        <v>82</v>
      </c>
      <c r="I268" t="s">
        <v>2658</v>
      </c>
      <c r="J268" t="s">
        <v>22</v>
      </c>
      <c r="K268" s="22">
        <v>1</v>
      </c>
      <c r="L268" s="1">
        <v>42446</v>
      </c>
      <c r="M268" s="22">
        <f>Table10[[#This Row],[Ship Date]]-Table10[[#This Row],[Order Date]]</f>
        <v>3</v>
      </c>
      <c r="N268" t="s">
        <v>169</v>
      </c>
      <c r="O268" t="s">
        <v>23</v>
      </c>
      <c r="P268" t="s">
        <v>94</v>
      </c>
      <c r="Q268" t="s">
        <v>95</v>
      </c>
      <c r="R268" t="s">
        <v>1152</v>
      </c>
      <c r="S268" s="33">
        <v>0.2</v>
      </c>
      <c r="T268" s="13">
        <v>5.1840000000000002</v>
      </c>
      <c r="U268" s="13">
        <v>1.8792</v>
      </c>
      <c r="V268" s="21">
        <f>Table10[[#This Row],[Profit]]/Table10[[#This Row],[Sales]]</f>
        <v>0.36249999999999999</v>
      </c>
    </row>
    <row r="269" spans="1:22" x14ac:dyDescent="0.2">
      <c r="A269">
        <v>268</v>
      </c>
      <c r="B269" t="s">
        <v>6346</v>
      </c>
      <c r="C269" s="1">
        <v>42443</v>
      </c>
      <c r="D269" s="22">
        <f>MONTH(Table10[[#This Row],[Order Date]])</f>
        <v>3</v>
      </c>
      <c r="E269" t="s">
        <v>3728</v>
      </c>
      <c r="F269" t="s">
        <v>3729</v>
      </c>
      <c r="G269" s="23" t="s">
        <v>41</v>
      </c>
      <c r="H269" s="23" t="s">
        <v>61</v>
      </c>
      <c r="I269" t="s">
        <v>2658</v>
      </c>
      <c r="J269" t="s">
        <v>22</v>
      </c>
      <c r="K269" s="22">
        <v>7</v>
      </c>
      <c r="L269" s="1">
        <v>42446</v>
      </c>
      <c r="M269" s="22">
        <f>Table10[[#This Row],[Ship Date]]-Table10[[#This Row],[Order Date]]</f>
        <v>3</v>
      </c>
      <c r="N269" t="s">
        <v>169</v>
      </c>
      <c r="O269" t="s">
        <v>23</v>
      </c>
      <c r="P269" t="s">
        <v>94</v>
      </c>
      <c r="Q269" t="s">
        <v>95</v>
      </c>
      <c r="R269" t="s">
        <v>1152</v>
      </c>
      <c r="S269" s="33">
        <v>0.2</v>
      </c>
      <c r="T269" s="13">
        <v>145.54400000000001</v>
      </c>
      <c r="U269" s="13">
        <v>16.373699999999999</v>
      </c>
      <c r="V269" s="21">
        <f>Table10[[#This Row],[Profit]]/Table10[[#This Row],[Sales]]</f>
        <v>0.11249999999999999</v>
      </c>
    </row>
    <row r="270" spans="1:22" x14ac:dyDescent="0.2">
      <c r="A270">
        <v>269</v>
      </c>
      <c r="B270" t="s">
        <v>6623</v>
      </c>
      <c r="C270" s="1">
        <v>42443</v>
      </c>
      <c r="D270" s="22">
        <f>MONTH(Table10[[#This Row],[Order Date]])</f>
        <v>3</v>
      </c>
      <c r="E270" t="s">
        <v>2803</v>
      </c>
      <c r="F270" t="s">
        <v>2804</v>
      </c>
      <c r="G270" s="23" t="s">
        <v>28</v>
      </c>
      <c r="H270" s="23" t="s">
        <v>32</v>
      </c>
      <c r="I270" t="s">
        <v>1167</v>
      </c>
      <c r="J270" t="s">
        <v>36</v>
      </c>
      <c r="K270" s="22">
        <v>2</v>
      </c>
      <c r="L270" s="1">
        <v>42445</v>
      </c>
      <c r="M270" s="22">
        <f>Table10[[#This Row],[Ship Date]]-Table10[[#This Row],[Order Date]]</f>
        <v>2</v>
      </c>
      <c r="N270" t="s">
        <v>169</v>
      </c>
      <c r="O270" t="s">
        <v>23</v>
      </c>
      <c r="P270" t="s">
        <v>87</v>
      </c>
      <c r="Q270" t="s">
        <v>39</v>
      </c>
      <c r="R270" t="s">
        <v>86</v>
      </c>
      <c r="S270" s="33">
        <v>0.2</v>
      </c>
      <c r="T270" s="13">
        <v>196.78399999999999</v>
      </c>
      <c r="U270" s="13">
        <v>-22.138200000000001</v>
      </c>
      <c r="V270" s="21">
        <f>Table10[[#This Row],[Profit]]/Table10[[#This Row],[Sales]]</f>
        <v>-0.11250000000000002</v>
      </c>
    </row>
    <row r="271" spans="1:22" x14ac:dyDescent="0.2">
      <c r="A271">
        <v>270</v>
      </c>
      <c r="B271" t="s">
        <v>7913</v>
      </c>
      <c r="C271" s="1">
        <v>42443</v>
      </c>
      <c r="D271" s="22">
        <f>MONTH(Table10[[#This Row],[Order Date]])</f>
        <v>3</v>
      </c>
      <c r="E271" t="s">
        <v>207</v>
      </c>
      <c r="F271" t="s">
        <v>208</v>
      </c>
      <c r="G271" s="23" t="s">
        <v>41</v>
      </c>
      <c r="H271" s="23" t="s">
        <v>68</v>
      </c>
      <c r="I271" t="s">
        <v>556</v>
      </c>
      <c r="J271" t="s">
        <v>36</v>
      </c>
      <c r="K271" s="22">
        <v>6</v>
      </c>
      <c r="L271" s="1">
        <v>42449</v>
      </c>
      <c r="M271" s="22">
        <f>Table10[[#This Row],[Ship Date]]-Table10[[#This Row],[Order Date]]</f>
        <v>6</v>
      </c>
      <c r="N271" t="s">
        <v>45</v>
      </c>
      <c r="O271" t="s">
        <v>23</v>
      </c>
      <c r="P271" t="s">
        <v>38</v>
      </c>
      <c r="Q271" t="s">
        <v>39</v>
      </c>
      <c r="R271" t="s">
        <v>7914</v>
      </c>
      <c r="S271" s="33">
        <v>0.2</v>
      </c>
      <c r="T271" s="13">
        <v>41.904000000000003</v>
      </c>
      <c r="U271" s="13">
        <v>14.1426</v>
      </c>
      <c r="V271" s="21">
        <f>Table10[[#This Row],[Profit]]/Table10[[#This Row],[Sales]]</f>
        <v>0.33749999999999997</v>
      </c>
    </row>
    <row r="272" spans="1:22" x14ac:dyDescent="0.2">
      <c r="A272">
        <v>271</v>
      </c>
      <c r="B272" t="s">
        <v>9539</v>
      </c>
      <c r="C272" s="1">
        <v>42443</v>
      </c>
      <c r="D272" s="22">
        <f>MONTH(Table10[[#This Row],[Order Date]])</f>
        <v>3</v>
      </c>
      <c r="E272" t="s">
        <v>3096</v>
      </c>
      <c r="F272" t="s">
        <v>3097</v>
      </c>
      <c r="G272" s="23" t="s">
        <v>28</v>
      </c>
      <c r="H272" s="23" t="s">
        <v>58</v>
      </c>
      <c r="I272" t="s">
        <v>1910</v>
      </c>
      <c r="J272" t="s">
        <v>36</v>
      </c>
      <c r="K272" s="22">
        <v>2</v>
      </c>
      <c r="L272" s="1">
        <v>42448</v>
      </c>
      <c r="M272" s="22">
        <f>Table10[[#This Row],[Ship Date]]-Table10[[#This Row],[Order Date]]</f>
        <v>5</v>
      </c>
      <c r="N272" t="s">
        <v>45</v>
      </c>
      <c r="O272" t="s">
        <v>23</v>
      </c>
      <c r="P272" t="s">
        <v>103</v>
      </c>
      <c r="Q272" t="s">
        <v>95</v>
      </c>
      <c r="R272" t="s">
        <v>1631</v>
      </c>
      <c r="S272" s="33">
        <v>0</v>
      </c>
      <c r="T272" s="13">
        <v>16.739999999999998</v>
      </c>
      <c r="U272" s="13">
        <v>4.3524000000000003</v>
      </c>
      <c r="V272" s="21">
        <f>Table10[[#This Row],[Profit]]/Table10[[#This Row],[Sales]]</f>
        <v>0.26000000000000006</v>
      </c>
    </row>
    <row r="273" spans="1:22" x14ac:dyDescent="0.2">
      <c r="A273">
        <v>272</v>
      </c>
      <c r="B273" t="s">
        <v>3742</v>
      </c>
      <c r="C273" s="1">
        <v>42444</v>
      </c>
      <c r="D273" s="22">
        <f>MONTH(Table10[[#This Row],[Order Date]])</f>
        <v>3</v>
      </c>
      <c r="E273" t="s">
        <v>3743</v>
      </c>
      <c r="F273" t="s">
        <v>3744</v>
      </c>
      <c r="G273" s="23" t="s">
        <v>64</v>
      </c>
      <c r="H273" s="23" t="s">
        <v>144</v>
      </c>
      <c r="I273" t="s">
        <v>3573</v>
      </c>
      <c r="J273" t="s">
        <v>92</v>
      </c>
      <c r="K273" s="22">
        <v>3</v>
      </c>
      <c r="L273" s="1">
        <v>42448</v>
      </c>
      <c r="M273" s="22">
        <f>Table10[[#This Row],[Ship Date]]-Table10[[#This Row],[Order Date]]</f>
        <v>4</v>
      </c>
      <c r="N273" t="s">
        <v>45</v>
      </c>
      <c r="O273" t="s">
        <v>23</v>
      </c>
      <c r="P273" t="s">
        <v>132</v>
      </c>
      <c r="Q273" t="s">
        <v>133</v>
      </c>
      <c r="R273" t="s">
        <v>131</v>
      </c>
      <c r="S273" s="33">
        <v>0.2</v>
      </c>
      <c r="T273" s="13">
        <v>83.975999999999999</v>
      </c>
      <c r="U273" s="13">
        <v>-13.646100000000001</v>
      </c>
      <c r="V273" s="21">
        <f>Table10[[#This Row],[Profit]]/Table10[[#This Row],[Sales]]</f>
        <v>-0.16250000000000001</v>
      </c>
    </row>
    <row r="274" spans="1:22" x14ac:dyDescent="0.2">
      <c r="A274">
        <v>273</v>
      </c>
      <c r="B274" t="s">
        <v>8801</v>
      </c>
      <c r="C274" s="1">
        <v>42444</v>
      </c>
      <c r="D274" s="22">
        <f>MONTH(Table10[[#This Row],[Order Date]])</f>
        <v>3</v>
      </c>
      <c r="E274" t="s">
        <v>2750</v>
      </c>
      <c r="F274" t="s">
        <v>2751</v>
      </c>
      <c r="G274" s="23" t="s">
        <v>41</v>
      </c>
      <c r="H274" s="23" t="s">
        <v>68</v>
      </c>
      <c r="I274" t="s">
        <v>6044</v>
      </c>
      <c r="J274" t="s">
        <v>36</v>
      </c>
      <c r="K274" s="22">
        <v>2</v>
      </c>
      <c r="L274" s="1">
        <v>42445</v>
      </c>
      <c r="M274" s="22">
        <f>Table10[[#This Row],[Ship Date]]-Table10[[#This Row],[Order Date]]</f>
        <v>1</v>
      </c>
      <c r="N274" t="s">
        <v>169</v>
      </c>
      <c r="O274" t="s">
        <v>23</v>
      </c>
      <c r="P274" t="s">
        <v>38</v>
      </c>
      <c r="Q274" t="s">
        <v>39</v>
      </c>
      <c r="R274" t="s">
        <v>114</v>
      </c>
      <c r="S274" s="33">
        <v>0.2</v>
      </c>
      <c r="T274" s="13">
        <v>4.5439999999999996</v>
      </c>
      <c r="U274" s="13">
        <v>1.6472</v>
      </c>
      <c r="V274" s="21">
        <f>Table10[[#This Row],[Profit]]/Table10[[#This Row],[Sales]]</f>
        <v>0.36250000000000004</v>
      </c>
    </row>
    <row r="275" spans="1:22" x14ac:dyDescent="0.2">
      <c r="A275">
        <v>274</v>
      </c>
      <c r="B275" t="s">
        <v>8801</v>
      </c>
      <c r="C275" s="1">
        <v>42444</v>
      </c>
      <c r="D275" s="22">
        <f>MONTH(Table10[[#This Row],[Order Date]])</f>
        <v>3</v>
      </c>
      <c r="E275" t="s">
        <v>2674</v>
      </c>
      <c r="F275" t="s">
        <v>2675</v>
      </c>
      <c r="G275" s="23" t="s">
        <v>28</v>
      </c>
      <c r="H275" s="23" t="s">
        <v>32</v>
      </c>
      <c r="I275" t="s">
        <v>6044</v>
      </c>
      <c r="J275" t="s">
        <v>36</v>
      </c>
      <c r="K275" s="22">
        <v>4</v>
      </c>
      <c r="L275" s="1">
        <v>42445</v>
      </c>
      <c r="M275" s="22">
        <f>Table10[[#This Row],[Ship Date]]-Table10[[#This Row],[Order Date]]</f>
        <v>1</v>
      </c>
      <c r="N275" t="s">
        <v>169</v>
      </c>
      <c r="O275" t="s">
        <v>23</v>
      </c>
      <c r="P275" t="s">
        <v>38</v>
      </c>
      <c r="Q275" t="s">
        <v>39</v>
      </c>
      <c r="R275" t="s">
        <v>114</v>
      </c>
      <c r="S275" s="33">
        <v>0.2</v>
      </c>
      <c r="T275" s="13">
        <v>1352.0319999999999</v>
      </c>
      <c r="U275" s="13">
        <v>84.501999999999995</v>
      </c>
      <c r="V275" s="21">
        <f>Table10[[#This Row],[Profit]]/Table10[[#This Row],[Sales]]</f>
        <v>6.25E-2</v>
      </c>
    </row>
    <row r="276" spans="1:22" x14ac:dyDescent="0.2">
      <c r="A276">
        <v>275</v>
      </c>
      <c r="B276" t="s">
        <v>9682</v>
      </c>
      <c r="C276" s="1">
        <v>42444</v>
      </c>
      <c r="D276" s="22">
        <f>MONTH(Table10[[#This Row],[Order Date]])</f>
        <v>3</v>
      </c>
      <c r="E276" t="s">
        <v>2062</v>
      </c>
      <c r="F276" t="s">
        <v>2063</v>
      </c>
      <c r="G276" s="23" t="s">
        <v>41</v>
      </c>
      <c r="H276" s="23" t="s">
        <v>82</v>
      </c>
      <c r="I276" t="s">
        <v>2341</v>
      </c>
      <c r="J276" t="s">
        <v>92</v>
      </c>
      <c r="K276" s="22">
        <v>14</v>
      </c>
      <c r="L276" s="1">
        <v>42448</v>
      </c>
      <c r="M276" s="22">
        <f>Table10[[#This Row],[Ship Date]]-Table10[[#This Row],[Order Date]]</f>
        <v>4</v>
      </c>
      <c r="N276" t="s">
        <v>45</v>
      </c>
      <c r="O276" t="s">
        <v>23</v>
      </c>
      <c r="P276" t="s">
        <v>1315</v>
      </c>
      <c r="Q276" t="s">
        <v>26</v>
      </c>
      <c r="R276" t="s">
        <v>293</v>
      </c>
      <c r="S276" s="33">
        <v>0</v>
      </c>
      <c r="T276" s="13">
        <v>319.76</v>
      </c>
      <c r="U276" s="13">
        <v>147.08959999999999</v>
      </c>
      <c r="V276" s="21">
        <f>Table10[[#This Row],[Profit]]/Table10[[#This Row],[Sales]]</f>
        <v>0.45999999999999996</v>
      </c>
    </row>
    <row r="277" spans="1:22" x14ac:dyDescent="0.2">
      <c r="A277">
        <v>276</v>
      </c>
      <c r="B277" t="s">
        <v>9682</v>
      </c>
      <c r="C277" s="1">
        <v>42444</v>
      </c>
      <c r="D277" s="22">
        <f>MONTH(Table10[[#This Row],[Order Date]])</f>
        <v>3</v>
      </c>
      <c r="E277" t="s">
        <v>2062</v>
      </c>
      <c r="F277" t="s">
        <v>2063</v>
      </c>
      <c r="G277" s="23" t="s">
        <v>41</v>
      </c>
      <c r="H277" s="23" t="s">
        <v>82</v>
      </c>
      <c r="I277" t="s">
        <v>2341</v>
      </c>
      <c r="J277" t="s">
        <v>92</v>
      </c>
      <c r="K277" s="22">
        <v>2</v>
      </c>
      <c r="L277" s="1">
        <v>42448</v>
      </c>
      <c r="M277" s="22">
        <f>Table10[[#This Row],[Ship Date]]-Table10[[#This Row],[Order Date]]</f>
        <v>4</v>
      </c>
      <c r="N277" t="s">
        <v>45</v>
      </c>
      <c r="O277" t="s">
        <v>23</v>
      </c>
      <c r="P277" t="s">
        <v>1315</v>
      </c>
      <c r="Q277" t="s">
        <v>26</v>
      </c>
      <c r="R277" t="s">
        <v>293</v>
      </c>
      <c r="S277" s="33">
        <v>0</v>
      </c>
      <c r="T277" s="13">
        <v>45.68</v>
      </c>
      <c r="U277" s="13">
        <v>21.012799999999999</v>
      </c>
      <c r="V277" s="21">
        <f>Table10[[#This Row],[Profit]]/Table10[[#This Row],[Sales]]</f>
        <v>0.45999999999999996</v>
      </c>
    </row>
    <row r="278" spans="1:22" x14ac:dyDescent="0.2">
      <c r="A278">
        <v>277</v>
      </c>
      <c r="B278" t="s">
        <v>10106</v>
      </c>
      <c r="C278" s="1">
        <v>42444</v>
      </c>
      <c r="D278" s="22">
        <f>MONTH(Table10[[#This Row],[Order Date]])</f>
        <v>3</v>
      </c>
      <c r="E278" t="s">
        <v>343</v>
      </c>
      <c r="F278" t="s">
        <v>344</v>
      </c>
      <c r="G278" s="23" t="s">
        <v>28</v>
      </c>
      <c r="H278" s="23" t="s">
        <v>32</v>
      </c>
      <c r="I278" t="s">
        <v>3698</v>
      </c>
      <c r="J278" t="s">
        <v>36</v>
      </c>
      <c r="K278" s="22">
        <v>5</v>
      </c>
      <c r="L278" s="1">
        <v>42448</v>
      </c>
      <c r="M278" s="22">
        <f>Table10[[#This Row],[Ship Date]]-Table10[[#This Row],[Order Date]]</f>
        <v>4</v>
      </c>
      <c r="N278" t="s">
        <v>45</v>
      </c>
      <c r="O278" t="s">
        <v>23</v>
      </c>
      <c r="P278" t="s">
        <v>94</v>
      </c>
      <c r="Q278" t="s">
        <v>95</v>
      </c>
      <c r="R278" t="s">
        <v>9713</v>
      </c>
      <c r="S278" s="33">
        <v>0.3</v>
      </c>
      <c r="T278" s="13">
        <v>528.42999999999995</v>
      </c>
      <c r="U278" s="13">
        <v>-143.43100000000001</v>
      </c>
      <c r="V278" s="21">
        <f>Table10[[#This Row],[Profit]]/Table10[[#This Row],[Sales]]</f>
        <v>-0.27142857142857146</v>
      </c>
    </row>
    <row r="279" spans="1:22" x14ac:dyDescent="0.2">
      <c r="A279">
        <v>278</v>
      </c>
      <c r="B279" t="s">
        <v>10106</v>
      </c>
      <c r="C279" s="1">
        <v>42444</v>
      </c>
      <c r="D279" s="22">
        <f>MONTH(Table10[[#This Row],[Order Date]])</f>
        <v>3</v>
      </c>
      <c r="E279" t="s">
        <v>5144</v>
      </c>
      <c r="F279" t="s">
        <v>5145</v>
      </c>
      <c r="G279" s="23" t="s">
        <v>41</v>
      </c>
      <c r="H279" s="23" t="s">
        <v>68</v>
      </c>
      <c r="I279" t="s">
        <v>3698</v>
      </c>
      <c r="J279" t="s">
        <v>36</v>
      </c>
      <c r="K279" s="22">
        <v>7</v>
      </c>
      <c r="L279" s="1">
        <v>42448</v>
      </c>
      <c r="M279" s="22">
        <f>Table10[[#This Row],[Ship Date]]-Table10[[#This Row],[Order Date]]</f>
        <v>4</v>
      </c>
      <c r="N279" t="s">
        <v>45</v>
      </c>
      <c r="O279" t="s">
        <v>23</v>
      </c>
      <c r="P279" t="s">
        <v>94</v>
      </c>
      <c r="Q279" t="s">
        <v>95</v>
      </c>
      <c r="R279" t="s">
        <v>9713</v>
      </c>
      <c r="S279" s="33">
        <v>0.8</v>
      </c>
      <c r="T279" s="13">
        <v>22.385999999999999</v>
      </c>
      <c r="U279" s="13">
        <v>-35.817599999999999</v>
      </c>
      <c r="V279" s="21">
        <f>Table10[[#This Row],[Profit]]/Table10[[#This Row],[Sales]]</f>
        <v>-1.6</v>
      </c>
    </row>
    <row r="280" spans="1:22" x14ac:dyDescent="0.2">
      <c r="A280">
        <v>279</v>
      </c>
      <c r="B280" t="s">
        <v>4834</v>
      </c>
      <c r="C280" s="1">
        <v>42446</v>
      </c>
      <c r="D280" s="22">
        <f>MONTH(Table10[[#This Row],[Order Date]])</f>
        <v>3</v>
      </c>
      <c r="E280" t="s">
        <v>1381</v>
      </c>
      <c r="F280" t="s">
        <v>1382</v>
      </c>
      <c r="G280" s="23" t="s">
        <v>41</v>
      </c>
      <c r="H280" s="23" t="s">
        <v>61</v>
      </c>
      <c r="I280" t="s">
        <v>2870</v>
      </c>
      <c r="J280" t="s">
        <v>22</v>
      </c>
      <c r="K280" s="22">
        <v>2</v>
      </c>
      <c r="L280" s="1">
        <v>42452</v>
      </c>
      <c r="M280" s="22">
        <f>Table10[[#This Row],[Ship Date]]-Table10[[#This Row],[Order Date]]</f>
        <v>6</v>
      </c>
      <c r="N280" t="s">
        <v>45</v>
      </c>
      <c r="O280" t="s">
        <v>23</v>
      </c>
      <c r="P280" t="s">
        <v>1101</v>
      </c>
      <c r="Q280" t="s">
        <v>133</v>
      </c>
      <c r="R280" t="s">
        <v>4835</v>
      </c>
      <c r="S280" s="33">
        <v>0</v>
      </c>
      <c r="T280" s="13">
        <v>39.68</v>
      </c>
      <c r="U280" s="13">
        <v>10.316800000000001</v>
      </c>
      <c r="V280" s="21">
        <f>Table10[[#This Row],[Profit]]/Table10[[#This Row],[Sales]]</f>
        <v>0.26</v>
      </c>
    </row>
    <row r="281" spans="1:22" x14ac:dyDescent="0.2">
      <c r="A281">
        <v>280</v>
      </c>
      <c r="B281" t="s">
        <v>6179</v>
      </c>
      <c r="C281" s="1">
        <v>42446</v>
      </c>
      <c r="D281" s="22">
        <f>MONTH(Table10[[#This Row],[Order Date]])</f>
        <v>3</v>
      </c>
      <c r="E281" t="s">
        <v>5222</v>
      </c>
      <c r="F281" t="s">
        <v>5223</v>
      </c>
      <c r="G281" s="23" t="s">
        <v>64</v>
      </c>
      <c r="H281" s="23" t="s">
        <v>65</v>
      </c>
      <c r="I281" t="s">
        <v>6180</v>
      </c>
      <c r="J281" t="s">
        <v>22</v>
      </c>
      <c r="K281" s="22">
        <v>2</v>
      </c>
      <c r="L281" s="1">
        <v>42446</v>
      </c>
      <c r="M281" s="22">
        <f>Table10[[#This Row],[Ship Date]]-Table10[[#This Row],[Order Date]]</f>
        <v>0</v>
      </c>
      <c r="N281" t="s">
        <v>1141</v>
      </c>
      <c r="O281" t="s">
        <v>23</v>
      </c>
      <c r="P281" t="s">
        <v>218</v>
      </c>
      <c r="Q281" t="s">
        <v>133</v>
      </c>
      <c r="R281" t="s">
        <v>536</v>
      </c>
      <c r="S281" s="33">
        <v>0</v>
      </c>
      <c r="T281" s="13">
        <v>129.97999999999999</v>
      </c>
      <c r="U281" s="13">
        <v>62.3904</v>
      </c>
      <c r="V281" s="21">
        <f>Table10[[#This Row],[Profit]]/Table10[[#This Row],[Sales]]</f>
        <v>0.48000000000000004</v>
      </c>
    </row>
    <row r="282" spans="1:22" x14ac:dyDescent="0.2">
      <c r="A282">
        <v>281</v>
      </c>
      <c r="B282" t="s">
        <v>6179</v>
      </c>
      <c r="C282" s="1">
        <v>42446</v>
      </c>
      <c r="D282" s="22">
        <f>MONTH(Table10[[#This Row],[Order Date]])</f>
        <v>3</v>
      </c>
      <c r="E282" t="s">
        <v>5851</v>
      </c>
      <c r="F282" t="s">
        <v>5852</v>
      </c>
      <c r="G282" s="23" t="s">
        <v>41</v>
      </c>
      <c r="H282" s="23" t="s">
        <v>68</v>
      </c>
      <c r="I282" t="s">
        <v>6180</v>
      </c>
      <c r="J282" t="s">
        <v>22</v>
      </c>
      <c r="K282" s="22">
        <v>2</v>
      </c>
      <c r="L282" s="1">
        <v>42446</v>
      </c>
      <c r="M282" s="22">
        <f>Table10[[#This Row],[Ship Date]]-Table10[[#This Row],[Order Date]]</f>
        <v>0</v>
      </c>
      <c r="N282" t="s">
        <v>1141</v>
      </c>
      <c r="O282" t="s">
        <v>23</v>
      </c>
      <c r="P282" t="s">
        <v>218</v>
      </c>
      <c r="Q282" t="s">
        <v>133</v>
      </c>
      <c r="R282" t="s">
        <v>536</v>
      </c>
      <c r="S282" s="33">
        <v>0</v>
      </c>
      <c r="T282" s="13">
        <v>32.54</v>
      </c>
      <c r="U282" s="13">
        <v>15.944599999999999</v>
      </c>
      <c r="V282" s="21">
        <f>Table10[[#This Row],[Profit]]/Table10[[#This Row],[Sales]]</f>
        <v>0.49</v>
      </c>
    </row>
    <row r="283" spans="1:22" x14ac:dyDescent="0.2">
      <c r="A283">
        <v>282</v>
      </c>
      <c r="B283" t="s">
        <v>6733</v>
      </c>
      <c r="C283" s="1">
        <v>42446</v>
      </c>
      <c r="D283" s="22">
        <f>MONTH(Table10[[#This Row],[Order Date]])</f>
        <v>3</v>
      </c>
      <c r="E283" t="s">
        <v>3049</v>
      </c>
      <c r="F283" t="s">
        <v>3050</v>
      </c>
      <c r="G283" s="23" t="s">
        <v>41</v>
      </c>
      <c r="H283" s="23" t="s">
        <v>155</v>
      </c>
      <c r="I283" t="s">
        <v>399</v>
      </c>
      <c r="J283" t="s">
        <v>22</v>
      </c>
      <c r="K283" s="22">
        <v>5</v>
      </c>
      <c r="L283" s="1">
        <v>42446</v>
      </c>
      <c r="M283" s="22">
        <f>Table10[[#This Row],[Ship Date]]-Table10[[#This Row],[Order Date]]</f>
        <v>0</v>
      </c>
      <c r="N283" t="s">
        <v>1141</v>
      </c>
      <c r="O283" t="s">
        <v>23</v>
      </c>
      <c r="P283" t="s">
        <v>2408</v>
      </c>
      <c r="Q283" t="s">
        <v>133</v>
      </c>
      <c r="R283" t="s">
        <v>341</v>
      </c>
      <c r="S283" s="33">
        <v>0</v>
      </c>
      <c r="T283" s="13">
        <v>199.9</v>
      </c>
      <c r="U283" s="13">
        <v>89.954999999999998</v>
      </c>
      <c r="V283" s="21">
        <f>Table10[[#This Row],[Profit]]/Table10[[#This Row],[Sales]]</f>
        <v>0.44999999999999996</v>
      </c>
    </row>
    <row r="284" spans="1:22" x14ac:dyDescent="0.2">
      <c r="A284">
        <v>283</v>
      </c>
      <c r="B284" t="s">
        <v>6733</v>
      </c>
      <c r="C284" s="1">
        <v>42446</v>
      </c>
      <c r="D284" s="22">
        <f>MONTH(Table10[[#This Row],[Order Date]])</f>
        <v>3</v>
      </c>
      <c r="E284" t="s">
        <v>828</v>
      </c>
      <c r="F284" t="s">
        <v>829</v>
      </c>
      <c r="G284" s="23" t="s">
        <v>41</v>
      </c>
      <c r="H284" s="23" t="s">
        <v>71</v>
      </c>
      <c r="I284" t="s">
        <v>399</v>
      </c>
      <c r="J284" t="s">
        <v>22</v>
      </c>
      <c r="K284" s="22">
        <v>3</v>
      </c>
      <c r="L284" s="1">
        <v>42446</v>
      </c>
      <c r="M284" s="22">
        <f>Table10[[#This Row],[Ship Date]]-Table10[[#This Row],[Order Date]]</f>
        <v>0</v>
      </c>
      <c r="N284" t="s">
        <v>1141</v>
      </c>
      <c r="O284" t="s">
        <v>23</v>
      </c>
      <c r="P284" t="s">
        <v>2408</v>
      </c>
      <c r="Q284" t="s">
        <v>133</v>
      </c>
      <c r="R284" t="s">
        <v>341</v>
      </c>
      <c r="S284" s="33">
        <v>0</v>
      </c>
      <c r="T284" s="13">
        <v>901.95</v>
      </c>
      <c r="U284" s="13">
        <v>297.64350000000002</v>
      </c>
      <c r="V284" s="21">
        <f>Table10[[#This Row],[Profit]]/Table10[[#This Row],[Sales]]</f>
        <v>0.33</v>
      </c>
    </row>
    <row r="285" spans="1:22" x14ac:dyDescent="0.2">
      <c r="A285">
        <v>284</v>
      </c>
      <c r="B285" t="s">
        <v>6733</v>
      </c>
      <c r="C285" s="1">
        <v>42446</v>
      </c>
      <c r="D285" s="22">
        <f>MONTH(Table10[[#This Row],[Order Date]])</f>
        <v>3</v>
      </c>
      <c r="E285" t="s">
        <v>2140</v>
      </c>
      <c r="F285" t="s">
        <v>2141</v>
      </c>
      <c r="G285" s="23" t="s">
        <v>28</v>
      </c>
      <c r="H285" s="23" t="s">
        <v>58</v>
      </c>
      <c r="I285" t="s">
        <v>399</v>
      </c>
      <c r="J285" t="s">
        <v>22</v>
      </c>
      <c r="K285" s="22">
        <v>5</v>
      </c>
      <c r="L285" s="1">
        <v>42446</v>
      </c>
      <c r="M285" s="22">
        <f>Table10[[#This Row],[Ship Date]]-Table10[[#This Row],[Order Date]]</f>
        <v>0</v>
      </c>
      <c r="N285" t="s">
        <v>1141</v>
      </c>
      <c r="O285" t="s">
        <v>23</v>
      </c>
      <c r="P285" t="s">
        <v>2408</v>
      </c>
      <c r="Q285" t="s">
        <v>133</v>
      </c>
      <c r="R285" t="s">
        <v>341</v>
      </c>
      <c r="S285" s="33">
        <v>0</v>
      </c>
      <c r="T285" s="13">
        <v>971.5</v>
      </c>
      <c r="U285" s="13">
        <v>252.59</v>
      </c>
      <c r="V285" s="21">
        <f>Table10[[#This Row],[Profit]]/Table10[[#This Row],[Sales]]</f>
        <v>0.26</v>
      </c>
    </row>
    <row r="286" spans="1:22" x14ac:dyDescent="0.2">
      <c r="A286">
        <v>285</v>
      </c>
      <c r="B286" t="s">
        <v>9212</v>
      </c>
      <c r="C286" s="1">
        <v>42446</v>
      </c>
      <c r="D286" s="22">
        <f>MONTH(Table10[[#This Row],[Order Date]])</f>
        <v>3</v>
      </c>
      <c r="E286" t="s">
        <v>1745</v>
      </c>
      <c r="F286" t="s">
        <v>1746</v>
      </c>
      <c r="G286" s="23" t="s">
        <v>64</v>
      </c>
      <c r="H286" s="23" t="s">
        <v>65</v>
      </c>
      <c r="I286" t="s">
        <v>5364</v>
      </c>
      <c r="J286" t="s">
        <v>22</v>
      </c>
      <c r="K286" s="22">
        <v>2</v>
      </c>
      <c r="L286" s="1">
        <v>42448</v>
      </c>
      <c r="M286" s="22">
        <f>Table10[[#This Row],[Ship Date]]-Table10[[#This Row],[Order Date]]</f>
        <v>2</v>
      </c>
      <c r="N286" t="s">
        <v>20</v>
      </c>
      <c r="O286" t="s">
        <v>23</v>
      </c>
      <c r="P286" t="s">
        <v>38</v>
      </c>
      <c r="Q286" t="s">
        <v>39</v>
      </c>
      <c r="R286" t="s">
        <v>114</v>
      </c>
      <c r="S286" s="33">
        <v>0.2</v>
      </c>
      <c r="T286" s="13">
        <v>84.784000000000006</v>
      </c>
      <c r="U286" s="13">
        <v>-20.136199999999999</v>
      </c>
      <c r="V286" s="21">
        <f>Table10[[#This Row],[Profit]]/Table10[[#This Row],[Sales]]</f>
        <v>-0.23749999999999996</v>
      </c>
    </row>
    <row r="287" spans="1:22" x14ac:dyDescent="0.2">
      <c r="A287">
        <v>286</v>
      </c>
      <c r="B287" t="s">
        <v>1503</v>
      </c>
      <c r="C287" s="1">
        <v>42447</v>
      </c>
      <c r="D287" s="22">
        <f>MONTH(Table10[[#This Row],[Order Date]])</f>
        <v>3</v>
      </c>
      <c r="E287" t="s">
        <v>1505</v>
      </c>
      <c r="F287" t="s">
        <v>1506</v>
      </c>
      <c r="G287" s="23" t="s">
        <v>28</v>
      </c>
      <c r="H287" s="23" t="s">
        <v>50</v>
      </c>
      <c r="I287" t="s">
        <v>1504</v>
      </c>
      <c r="J287" t="s">
        <v>22</v>
      </c>
      <c r="K287" s="22">
        <v>3</v>
      </c>
      <c r="L287" s="1">
        <v>42450</v>
      </c>
      <c r="M287" s="22">
        <f>Table10[[#This Row],[Ship Date]]-Table10[[#This Row],[Order Date]]</f>
        <v>3</v>
      </c>
      <c r="N287" t="s">
        <v>20</v>
      </c>
      <c r="O287" t="s">
        <v>23</v>
      </c>
      <c r="P287" t="s">
        <v>299</v>
      </c>
      <c r="Q287" t="s">
        <v>26</v>
      </c>
      <c r="R287" t="s">
        <v>298</v>
      </c>
      <c r="S287" s="33">
        <v>0.4</v>
      </c>
      <c r="T287" s="13">
        <v>189.88200000000001</v>
      </c>
      <c r="U287" s="13">
        <v>-94.941000000000003</v>
      </c>
      <c r="V287" s="21">
        <f>Table10[[#This Row],[Profit]]/Table10[[#This Row],[Sales]]</f>
        <v>-0.5</v>
      </c>
    </row>
    <row r="288" spans="1:22" x14ac:dyDescent="0.2">
      <c r="A288">
        <v>287</v>
      </c>
      <c r="B288" t="s">
        <v>8145</v>
      </c>
      <c r="C288" s="1">
        <v>42447</v>
      </c>
      <c r="D288" s="22">
        <f>MONTH(Table10[[#This Row],[Order Date]])</f>
        <v>3</v>
      </c>
      <c r="E288" t="s">
        <v>3331</v>
      </c>
      <c r="F288" t="s">
        <v>3332</v>
      </c>
      <c r="G288" s="23" t="s">
        <v>41</v>
      </c>
      <c r="H288" s="23" t="s">
        <v>71</v>
      </c>
      <c r="I288" t="s">
        <v>569</v>
      </c>
      <c r="J288" t="s">
        <v>22</v>
      </c>
      <c r="K288" s="22">
        <v>3</v>
      </c>
      <c r="L288" s="1">
        <v>42449</v>
      </c>
      <c r="M288" s="22">
        <f>Table10[[#This Row],[Ship Date]]-Table10[[#This Row],[Order Date]]</f>
        <v>2</v>
      </c>
      <c r="N288" t="s">
        <v>20</v>
      </c>
      <c r="O288" t="s">
        <v>23</v>
      </c>
      <c r="P288" t="s">
        <v>299</v>
      </c>
      <c r="Q288" t="s">
        <v>26</v>
      </c>
      <c r="R288" t="s">
        <v>341</v>
      </c>
      <c r="S288" s="33">
        <v>0.2</v>
      </c>
      <c r="T288" s="13">
        <v>871.8</v>
      </c>
      <c r="U288" s="13">
        <v>87.18</v>
      </c>
      <c r="V288" s="21">
        <f>Table10[[#This Row],[Profit]]/Table10[[#This Row],[Sales]]</f>
        <v>0.10000000000000002</v>
      </c>
    </row>
    <row r="289" spans="1:22" x14ac:dyDescent="0.2">
      <c r="A289">
        <v>288</v>
      </c>
      <c r="B289" t="s">
        <v>4598</v>
      </c>
      <c r="C289" s="1">
        <v>42448</v>
      </c>
      <c r="D289" s="22">
        <f>MONTH(Table10[[#This Row],[Order Date]])</f>
        <v>3</v>
      </c>
      <c r="E289" t="s">
        <v>4601</v>
      </c>
      <c r="F289" t="s">
        <v>4602</v>
      </c>
      <c r="G289" s="23" t="s">
        <v>28</v>
      </c>
      <c r="H289" s="23" t="s">
        <v>29</v>
      </c>
      <c r="I289" t="s">
        <v>4599</v>
      </c>
      <c r="J289" t="s">
        <v>22</v>
      </c>
      <c r="K289" s="22">
        <v>1</v>
      </c>
      <c r="L289" s="1">
        <v>42450</v>
      </c>
      <c r="M289" s="22">
        <f>Table10[[#This Row],[Ship Date]]-Table10[[#This Row],[Order Date]]</f>
        <v>2</v>
      </c>
      <c r="N289" t="s">
        <v>20</v>
      </c>
      <c r="O289" t="s">
        <v>23</v>
      </c>
      <c r="P289" t="s">
        <v>405</v>
      </c>
      <c r="Q289" t="s">
        <v>39</v>
      </c>
      <c r="R289" t="s">
        <v>4600</v>
      </c>
      <c r="S289" s="33">
        <v>0.7</v>
      </c>
      <c r="T289" s="13">
        <v>72.293999999999997</v>
      </c>
      <c r="U289" s="13">
        <v>-98.8018</v>
      </c>
      <c r="V289" s="21">
        <f>Table10[[#This Row],[Profit]]/Table10[[#This Row],[Sales]]</f>
        <v>-1.3666666666666667</v>
      </c>
    </row>
    <row r="290" spans="1:22" x14ac:dyDescent="0.2">
      <c r="A290">
        <v>289</v>
      </c>
      <c r="B290" t="s">
        <v>5377</v>
      </c>
      <c r="C290" s="1">
        <v>42448</v>
      </c>
      <c r="D290" s="22">
        <f>MONTH(Table10[[#This Row],[Order Date]])</f>
        <v>3</v>
      </c>
      <c r="E290" t="s">
        <v>5378</v>
      </c>
      <c r="F290" t="s">
        <v>5379</v>
      </c>
      <c r="G290" s="23" t="s">
        <v>28</v>
      </c>
      <c r="H290" s="23" t="s">
        <v>58</v>
      </c>
      <c r="I290" t="s">
        <v>4719</v>
      </c>
      <c r="J290" t="s">
        <v>22</v>
      </c>
      <c r="K290" s="22">
        <v>1</v>
      </c>
      <c r="L290" s="1">
        <v>42450</v>
      </c>
      <c r="M290" s="22">
        <f>Table10[[#This Row],[Ship Date]]-Table10[[#This Row],[Order Date]]</f>
        <v>2</v>
      </c>
      <c r="N290" t="s">
        <v>20</v>
      </c>
      <c r="O290" t="s">
        <v>23</v>
      </c>
      <c r="P290" t="s">
        <v>238</v>
      </c>
      <c r="Q290" t="s">
        <v>133</v>
      </c>
      <c r="R290" t="s">
        <v>2061</v>
      </c>
      <c r="S290" s="33">
        <v>0</v>
      </c>
      <c r="T290" s="13">
        <v>14.98</v>
      </c>
      <c r="U290" s="13">
        <v>6.8907999999999996</v>
      </c>
      <c r="V290" s="21">
        <f>Table10[[#This Row],[Profit]]/Table10[[#This Row],[Sales]]</f>
        <v>0.45999999999999996</v>
      </c>
    </row>
    <row r="291" spans="1:22" x14ac:dyDescent="0.2">
      <c r="A291">
        <v>290</v>
      </c>
      <c r="B291" t="s">
        <v>5377</v>
      </c>
      <c r="C291" s="1">
        <v>42448</v>
      </c>
      <c r="D291" s="22">
        <f>MONTH(Table10[[#This Row],[Order Date]])</f>
        <v>3</v>
      </c>
      <c r="E291" t="s">
        <v>1824</v>
      </c>
      <c r="F291" t="s">
        <v>1825</v>
      </c>
      <c r="G291" s="23" t="s">
        <v>28</v>
      </c>
      <c r="H291" s="23" t="s">
        <v>58</v>
      </c>
      <c r="I291" t="s">
        <v>4719</v>
      </c>
      <c r="J291" t="s">
        <v>22</v>
      </c>
      <c r="K291" s="22">
        <v>4</v>
      </c>
      <c r="L291" s="1">
        <v>42450</v>
      </c>
      <c r="M291" s="22">
        <f>Table10[[#This Row],[Ship Date]]-Table10[[#This Row],[Order Date]]</f>
        <v>2</v>
      </c>
      <c r="N291" t="s">
        <v>20</v>
      </c>
      <c r="O291" t="s">
        <v>23</v>
      </c>
      <c r="P291" t="s">
        <v>238</v>
      </c>
      <c r="Q291" t="s">
        <v>133</v>
      </c>
      <c r="R291" t="s">
        <v>2061</v>
      </c>
      <c r="S291" s="33">
        <v>0</v>
      </c>
      <c r="T291" s="13">
        <v>20.32</v>
      </c>
      <c r="U291" s="13">
        <v>6.9088000000000003</v>
      </c>
      <c r="V291" s="21">
        <f>Table10[[#This Row],[Profit]]/Table10[[#This Row],[Sales]]</f>
        <v>0.34</v>
      </c>
    </row>
    <row r="292" spans="1:22" x14ac:dyDescent="0.2">
      <c r="A292">
        <v>291</v>
      </c>
      <c r="B292" t="s">
        <v>9685</v>
      </c>
      <c r="C292" s="1">
        <v>42448</v>
      </c>
      <c r="D292" s="22">
        <f>MONTH(Table10[[#This Row],[Order Date]])</f>
        <v>3</v>
      </c>
      <c r="E292" t="s">
        <v>1066</v>
      </c>
      <c r="F292" t="s">
        <v>1067</v>
      </c>
      <c r="G292" s="23" t="s">
        <v>41</v>
      </c>
      <c r="H292" s="23" t="s">
        <v>68</v>
      </c>
      <c r="I292" t="s">
        <v>4392</v>
      </c>
      <c r="J292" t="s">
        <v>36</v>
      </c>
      <c r="K292" s="22">
        <v>3</v>
      </c>
      <c r="L292" s="1">
        <v>42453</v>
      </c>
      <c r="M292" s="22">
        <f>Table10[[#This Row],[Ship Date]]-Table10[[#This Row],[Order Date]]</f>
        <v>5</v>
      </c>
      <c r="N292" t="s">
        <v>45</v>
      </c>
      <c r="O292" t="s">
        <v>23</v>
      </c>
      <c r="P292" t="s">
        <v>299</v>
      </c>
      <c r="Q292" t="s">
        <v>26</v>
      </c>
      <c r="R292" t="s">
        <v>5035</v>
      </c>
      <c r="S292" s="33">
        <v>0.7</v>
      </c>
      <c r="T292" s="13">
        <v>31.085999999999999</v>
      </c>
      <c r="U292" s="13">
        <v>-20.724</v>
      </c>
      <c r="V292" s="21">
        <f>Table10[[#This Row],[Profit]]/Table10[[#This Row],[Sales]]</f>
        <v>-0.66666666666666674</v>
      </c>
    </row>
    <row r="293" spans="1:22" x14ac:dyDescent="0.2">
      <c r="A293">
        <v>292</v>
      </c>
      <c r="B293" t="s">
        <v>1742</v>
      </c>
      <c r="C293" s="1">
        <v>42449</v>
      </c>
      <c r="D293" s="22">
        <f>MONTH(Table10[[#This Row],[Order Date]])</f>
        <v>3</v>
      </c>
      <c r="E293" t="s">
        <v>1745</v>
      </c>
      <c r="F293" t="s">
        <v>1746</v>
      </c>
      <c r="G293" s="23" t="s">
        <v>64</v>
      </c>
      <c r="H293" s="23" t="s">
        <v>65</v>
      </c>
      <c r="I293" t="s">
        <v>1743</v>
      </c>
      <c r="J293" t="s">
        <v>22</v>
      </c>
      <c r="K293" s="22">
        <v>2</v>
      </c>
      <c r="L293" s="1">
        <v>42453</v>
      </c>
      <c r="M293" s="22">
        <f>Table10[[#This Row],[Ship Date]]-Table10[[#This Row],[Order Date]]</f>
        <v>4</v>
      </c>
      <c r="N293" t="s">
        <v>45</v>
      </c>
      <c r="O293" t="s">
        <v>23</v>
      </c>
      <c r="P293" t="s">
        <v>374</v>
      </c>
      <c r="Q293" t="s">
        <v>39</v>
      </c>
      <c r="R293" t="s">
        <v>1744</v>
      </c>
      <c r="S293" s="33">
        <v>0.2</v>
      </c>
      <c r="T293" s="13">
        <v>84.784000000000006</v>
      </c>
      <c r="U293" s="13">
        <v>-20.136199999999999</v>
      </c>
      <c r="V293" s="21">
        <f>Table10[[#This Row],[Profit]]/Table10[[#This Row],[Sales]]</f>
        <v>-0.23749999999999996</v>
      </c>
    </row>
    <row r="294" spans="1:22" x14ac:dyDescent="0.2">
      <c r="A294">
        <v>293</v>
      </c>
      <c r="B294" t="s">
        <v>1742</v>
      </c>
      <c r="C294" s="1">
        <v>42449</v>
      </c>
      <c r="D294" s="22">
        <f>MONTH(Table10[[#This Row],[Order Date]])</f>
        <v>3</v>
      </c>
      <c r="E294" t="s">
        <v>1747</v>
      </c>
      <c r="F294" t="s">
        <v>1748</v>
      </c>
      <c r="G294" s="23" t="s">
        <v>41</v>
      </c>
      <c r="H294" s="23" t="s">
        <v>82</v>
      </c>
      <c r="I294" t="s">
        <v>1743</v>
      </c>
      <c r="J294" t="s">
        <v>22</v>
      </c>
      <c r="K294" s="22">
        <v>4</v>
      </c>
      <c r="L294" s="1">
        <v>42453</v>
      </c>
      <c r="M294" s="22">
        <f>Table10[[#This Row],[Ship Date]]-Table10[[#This Row],[Order Date]]</f>
        <v>4</v>
      </c>
      <c r="N294" t="s">
        <v>45</v>
      </c>
      <c r="O294" t="s">
        <v>23</v>
      </c>
      <c r="P294" t="s">
        <v>374</v>
      </c>
      <c r="Q294" t="s">
        <v>39</v>
      </c>
      <c r="R294" t="s">
        <v>1744</v>
      </c>
      <c r="S294" s="33">
        <v>0.2</v>
      </c>
      <c r="T294" s="13">
        <v>20.736000000000001</v>
      </c>
      <c r="U294" s="13">
        <v>7.2576000000000001</v>
      </c>
      <c r="V294" s="21">
        <f>Table10[[#This Row],[Profit]]/Table10[[#This Row],[Sales]]</f>
        <v>0.35</v>
      </c>
    </row>
    <row r="295" spans="1:22" x14ac:dyDescent="0.2">
      <c r="A295">
        <v>294</v>
      </c>
      <c r="B295" t="s">
        <v>1742</v>
      </c>
      <c r="C295" s="1">
        <v>42449</v>
      </c>
      <c r="D295" s="22">
        <f>MONTH(Table10[[#This Row],[Order Date]])</f>
        <v>3</v>
      </c>
      <c r="E295" t="s">
        <v>1515</v>
      </c>
      <c r="F295" t="s">
        <v>1516</v>
      </c>
      <c r="G295" s="23" t="s">
        <v>41</v>
      </c>
      <c r="H295" s="23" t="s">
        <v>68</v>
      </c>
      <c r="I295" t="s">
        <v>1743</v>
      </c>
      <c r="J295" t="s">
        <v>22</v>
      </c>
      <c r="K295" s="22">
        <v>3</v>
      </c>
      <c r="L295" s="1">
        <v>42453</v>
      </c>
      <c r="M295" s="22">
        <f>Table10[[#This Row],[Ship Date]]-Table10[[#This Row],[Order Date]]</f>
        <v>4</v>
      </c>
      <c r="N295" t="s">
        <v>45</v>
      </c>
      <c r="O295" t="s">
        <v>23</v>
      </c>
      <c r="P295" t="s">
        <v>374</v>
      </c>
      <c r="Q295" t="s">
        <v>39</v>
      </c>
      <c r="R295" t="s">
        <v>1744</v>
      </c>
      <c r="S295" s="33">
        <v>0.7</v>
      </c>
      <c r="T295" s="13">
        <v>16.821000000000002</v>
      </c>
      <c r="U295" s="13">
        <v>-12.896100000000001</v>
      </c>
      <c r="V295" s="21">
        <f>Table10[[#This Row],[Profit]]/Table10[[#This Row],[Sales]]</f>
        <v>-0.76666666666666661</v>
      </c>
    </row>
    <row r="296" spans="1:22" x14ac:dyDescent="0.2">
      <c r="A296">
        <v>295</v>
      </c>
      <c r="B296" t="s">
        <v>1742</v>
      </c>
      <c r="C296" s="1">
        <v>42449</v>
      </c>
      <c r="D296" s="22">
        <f>MONTH(Table10[[#This Row],[Order Date]])</f>
        <v>3</v>
      </c>
      <c r="E296" t="s">
        <v>1749</v>
      </c>
      <c r="F296" t="s">
        <v>1750</v>
      </c>
      <c r="G296" s="23" t="s">
        <v>41</v>
      </c>
      <c r="H296" s="23" t="s">
        <v>82</v>
      </c>
      <c r="I296" t="s">
        <v>1743</v>
      </c>
      <c r="J296" t="s">
        <v>22</v>
      </c>
      <c r="K296" s="22">
        <v>2</v>
      </c>
      <c r="L296" s="1">
        <v>42453</v>
      </c>
      <c r="M296" s="22">
        <f>Table10[[#This Row],[Ship Date]]-Table10[[#This Row],[Order Date]]</f>
        <v>4</v>
      </c>
      <c r="N296" t="s">
        <v>45</v>
      </c>
      <c r="O296" t="s">
        <v>23</v>
      </c>
      <c r="P296" t="s">
        <v>374</v>
      </c>
      <c r="Q296" t="s">
        <v>39</v>
      </c>
      <c r="R296" t="s">
        <v>1744</v>
      </c>
      <c r="S296" s="33">
        <v>0.2</v>
      </c>
      <c r="T296" s="13">
        <v>10.368</v>
      </c>
      <c r="U296" s="13">
        <v>3.6288</v>
      </c>
      <c r="V296" s="21">
        <f>Table10[[#This Row],[Profit]]/Table10[[#This Row],[Sales]]</f>
        <v>0.35</v>
      </c>
    </row>
    <row r="297" spans="1:22" x14ac:dyDescent="0.2">
      <c r="A297">
        <v>296</v>
      </c>
      <c r="B297" t="s">
        <v>2092</v>
      </c>
      <c r="C297" s="1">
        <v>42449</v>
      </c>
      <c r="D297" s="22">
        <f>MONTH(Table10[[#This Row],[Order Date]])</f>
        <v>3</v>
      </c>
      <c r="E297" t="s">
        <v>2095</v>
      </c>
      <c r="F297" t="s">
        <v>2096</v>
      </c>
      <c r="G297" s="23" t="s">
        <v>64</v>
      </c>
      <c r="H297" s="23" t="s">
        <v>65</v>
      </c>
      <c r="I297" t="s">
        <v>2093</v>
      </c>
      <c r="J297" t="s">
        <v>22</v>
      </c>
      <c r="K297" s="22">
        <v>1</v>
      </c>
      <c r="L297" s="1">
        <v>42451</v>
      </c>
      <c r="M297" s="22">
        <f>Table10[[#This Row],[Ship Date]]-Table10[[#This Row],[Order Date]]</f>
        <v>2</v>
      </c>
      <c r="N297" t="s">
        <v>20</v>
      </c>
      <c r="O297" t="s">
        <v>23</v>
      </c>
      <c r="P297" t="s">
        <v>189</v>
      </c>
      <c r="Q297" t="s">
        <v>95</v>
      </c>
      <c r="R297" t="s">
        <v>2094</v>
      </c>
      <c r="S297" s="33">
        <v>0.2</v>
      </c>
      <c r="T297" s="13">
        <v>11.992000000000001</v>
      </c>
      <c r="U297" s="13">
        <v>0.89939999999999998</v>
      </c>
      <c r="V297" s="21">
        <f>Table10[[#This Row],[Profit]]/Table10[[#This Row],[Sales]]</f>
        <v>7.4999999999999997E-2</v>
      </c>
    </row>
    <row r="298" spans="1:22" x14ac:dyDescent="0.2">
      <c r="A298">
        <v>297</v>
      </c>
      <c r="B298" t="s">
        <v>2715</v>
      </c>
      <c r="C298" s="1">
        <v>42449</v>
      </c>
      <c r="D298" s="22">
        <f>MONTH(Table10[[#This Row],[Order Date]])</f>
        <v>3</v>
      </c>
      <c r="E298" t="s">
        <v>2112</v>
      </c>
      <c r="F298" t="s">
        <v>2113</v>
      </c>
      <c r="G298" s="23" t="s">
        <v>28</v>
      </c>
      <c r="H298" s="23" t="s">
        <v>50</v>
      </c>
      <c r="I298" t="s">
        <v>2716</v>
      </c>
      <c r="J298" t="s">
        <v>92</v>
      </c>
      <c r="K298" s="22">
        <v>4</v>
      </c>
      <c r="L298" s="1">
        <v>42453</v>
      </c>
      <c r="M298" s="22">
        <f>Table10[[#This Row],[Ship Date]]-Table10[[#This Row],[Order Date]]</f>
        <v>4</v>
      </c>
      <c r="N298" t="s">
        <v>45</v>
      </c>
      <c r="O298" t="s">
        <v>23</v>
      </c>
      <c r="P298" t="s">
        <v>528</v>
      </c>
      <c r="Q298" t="s">
        <v>95</v>
      </c>
      <c r="R298" t="s">
        <v>2717</v>
      </c>
      <c r="S298" s="33">
        <v>0</v>
      </c>
      <c r="T298" s="13">
        <v>697.16</v>
      </c>
      <c r="U298" s="13">
        <v>146.40360000000001</v>
      </c>
      <c r="V298" s="21">
        <f>Table10[[#This Row],[Profit]]/Table10[[#This Row],[Sales]]</f>
        <v>0.21000000000000002</v>
      </c>
    </row>
    <row r="299" spans="1:22" x14ac:dyDescent="0.2">
      <c r="A299">
        <v>298</v>
      </c>
      <c r="B299" t="s">
        <v>5831</v>
      </c>
      <c r="C299" s="1">
        <v>42449</v>
      </c>
      <c r="D299" s="22">
        <f>MONTH(Table10[[#This Row],[Order Date]])</f>
        <v>3</v>
      </c>
      <c r="E299" t="s">
        <v>3063</v>
      </c>
      <c r="F299" t="s">
        <v>3064</v>
      </c>
      <c r="G299" s="23" t="s">
        <v>28</v>
      </c>
      <c r="H299" s="23" t="s">
        <v>58</v>
      </c>
      <c r="I299" t="s">
        <v>5733</v>
      </c>
      <c r="J299" t="s">
        <v>36</v>
      </c>
      <c r="K299" s="22">
        <v>7</v>
      </c>
      <c r="L299" s="1">
        <v>42454</v>
      </c>
      <c r="M299" s="22">
        <f>Table10[[#This Row],[Ship Date]]-Table10[[#This Row],[Order Date]]</f>
        <v>5</v>
      </c>
      <c r="N299" t="s">
        <v>20</v>
      </c>
      <c r="O299" t="s">
        <v>23</v>
      </c>
      <c r="P299" t="s">
        <v>1315</v>
      </c>
      <c r="Q299" t="s">
        <v>26</v>
      </c>
      <c r="R299" t="s">
        <v>3075</v>
      </c>
      <c r="S299" s="33">
        <v>0</v>
      </c>
      <c r="T299" s="13">
        <v>86.45</v>
      </c>
      <c r="U299" s="13">
        <v>38.037999999999997</v>
      </c>
      <c r="V299" s="21">
        <f>Table10[[#This Row],[Profit]]/Table10[[#This Row],[Sales]]</f>
        <v>0.43999999999999995</v>
      </c>
    </row>
    <row r="300" spans="1:22" x14ac:dyDescent="0.2">
      <c r="A300">
        <v>299</v>
      </c>
      <c r="B300" t="s">
        <v>5701</v>
      </c>
      <c r="C300" s="1">
        <v>42450</v>
      </c>
      <c r="D300" s="22">
        <f>MONTH(Table10[[#This Row],[Order Date]])</f>
        <v>3</v>
      </c>
      <c r="E300" t="s">
        <v>2551</v>
      </c>
      <c r="F300" t="s">
        <v>2552</v>
      </c>
      <c r="G300" s="23" t="s">
        <v>41</v>
      </c>
      <c r="H300" s="23" t="s">
        <v>68</v>
      </c>
      <c r="I300" t="s">
        <v>3299</v>
      </c>
      <c r="J300" t="s">
        <v>22</v>
      </c>
      <c r="K300" s="22">
        <v>2</v>
      </c>
      <c r="L300" s="1">
        <v>42457</v>
      </c>
      <c r="M300" s="22">
        <f>Table10[[#This Row],[Ship Date]]-Table10[[#This Row],[Order Date]]</f>
        <v>7</v>
      </c>
      <c r="N300" t="s">
        <v>45</v>
      </c>
      <c r="O300" t="s">
        <v>23</v>
      </c>
      <c r="P300" t="s">
        <v>189</v>
      </c>
      <c r="Q300" t="s">
        <v>95</v>
      </c>
      <c r="R300" t="s">
        <v>271</v>
      </c>
      <c r="S300" s="33">
        <v>0.8</v>
      </c>
      <c r="T300" s="13">
        <v>3.1680000000000001</v>
      </c>
      <c r="U300" s="13">
        <v>-4.7519999999999998</v>
      </c>
      <c r="V300" s="21">
        <f>Table10[[#This Row],[Profit]]/Table10[[#This Row],[Sales]]</f>
        <v>-1.4999999999999998</v>
      </c>
    </row>
    <row r="301" spans="1:22" x14ac:dyDescent="0.2">
      <c r="A301">
        <v>300</v>
      </c>
      <c r="B301" t="s">
        <v>5701</v>
      </c>
      <c r="C301" s="1">
        <v>42450</v>
      </c>
      <c r="D301" s="22">
        <f>MONTH(Table10[[#This Row],[Order Date]])</f>
        <v>3</v>
      </c>
      <c r="E301" t="s">
        <v>2272</v>
      </c>
      <c r="F301" t="s">
        <v>2273</v>
      </c>
      <c r="G301" s="23" t="s">
        <v>28</v>
      </c>
      <c r="H301" s="23" t="s">
        <v>32</v>
      </c>
      <c r="I301" t="s">
        <v>3299</v>
      </c>
      <c r="J301" t="s">
        <v>22</v>
      </c>
      <c r="K301" s="22">
        <v>5</v>
      </c>
      <c r="L301" s="1">
        <v>42457</v>
      </c>
      <c r="M301" s="22">
        <f>Table10[[#This Row],[Ship Date]]-Table10[[#This Row],[Order Date]]</f>
        <v>7</v>
      </c>
      <c r="N301" t="s">
        <v>45</v>
      </c>
      <c r="O301" t="s">
        <v>23</v>
      </c>
      <c r="P301" t="s">
        <v>189</v>
      </c>
      <c r="Q301" t="s">
        <v>95</v>
      </c>
      <c r="R301" t="s">
        <v>271</v>
      </c>
      <c r="S301" s="33">
        <v>0.3</v>
      </c>
      <c r="T301" s="13">
        <v>528.42999999999995</v>
      </c>
      <c r="U301" s="13">
        <v>0</v>
      </c>
      <c r="V301" s="21">
        <f>Table10[[#This Row],[Profit]]/Table10[[#This Row],[Sales]]</f>
        <v>0</v>
      </c>
    </row>
    <row r="302" spans="1:22" x14ac:dyDescent="0.2">
      <c r="A302">
        <v>301</v>
      </c>
      <c r="B302" t="s">
        <v>5701</v>
      </c>
      <c r="C302" s="1">
        <v>42450</v>
      </c>
      <c r="D302" s="22">
        <f>MONTH(Table10[[#This Row],[Order Date]])</f>
        <v>3</v>
      </c>
      <c r="E302" t="s">
        <v>4516</v>
      </c>
      <c r="F302" t="s">
        <v>4517</v>
      </c>
      <c r="G302" s="23" t="s">
        <v>41</v>
      </c>
      <c r="H302" s="23" t="s">
        <v>61</v>
      </c>
      <c r="I302" t="s">
        <v>3299</v>
      </c>
      <c r="J302" t="s">
        <v>22</v>
      </c>
      <c r="K302" s="22">
        <v>3</v>
      </c>
      <c r="L302" s="1">
        <v>42457</v>
      </c>
      <c r="M302" s="22">
        <f>Table10[[#This Row],[Ship Date]]-Table10[[#This Row],[Order Date]]</f>
        <v>7</v>
      </c>
      <c r="N302" t="s">
        <v>45</v>
      </c>
      <c r="O302" t="s">
        <v>23</v>
      </c>
      <c r="P302" t="s">
        <v>189</v>
      </c>
      <c r="Q302" t="s">
        <v>95</v>
      </c>
      <c r="R302" t="s">
        <v>271</v>
      </c>
      <c r="S302" s="33">
        <v>0.2</v>
      </c>
      <c r="T302" s="13">
        <v>13.391999999999999</v>
      </c>
      <c r="U302" s="13">
        <v>1.5065999999999999</v>
      </c>
      <c r="V302" s="21">
        <f>Table10[[#This Row],[Profit]]/Table10[[#This Row],[Sales]]</f>
        <v>0.1125</v>
      </c>
    </row>
    <row r="303" spans="1:22" x14ac:dyDescent="0.2">
      <c r="A303">
        <v>302</v>
      </c>
      <c r="B303" t="s">
        <v>6197</v>
      </c>
      <c r="C303" s="1">
        <v>42450</v>
      </c>
      <c r="D303" s="22">
        <f>MONTH(Table10[[#This Row],[Order Date]])</f>
        <v>3</v>
      </c>
      <c r="E303" t="s">
        <v>4136</v>
      </c>
      <c r="F303" t="s">
        <v>4137</v>
      </c>
      <c r="G303" s="23" t="s">
        <v>28</v>
      </c>
      <c r="H303" s="23" t="s">
        <v>50</v>
      </c>
      <c r="I303" t="s">
        <v>5560</v>
      </c>
      <c r="J303" t="s">
        <v>36</v>
      </c>
      <c r="K303" s="22">
        <v>2</v>
      </c>
      <c r="L303" s="1">
        <v>42454</v>
      </c>
      <c r="M303" s="22">
        <f>Table10[[#This Row],[Ship Date]]-Table10[[#This Row],[Order Date]]</f>
        <v>4</v>
      </c>
      <c r="N303" t="s">
        <v>45</v>
      </c>
      <c r="O303" t="s">
        <v>23</v>
      </c>
      <c r="P303" t="s">
        <v>94</v>
      </c>
      <c r="Q303" t="s">
        <v>95</v>
      </c>
      <c r="R303" t="s">
        <v>165</v>
      </c>
      <c r="S303" s="33">
        <v>0.3</v>
      </c>
      <c r="T303" s="13">
        <v>99.372</v>
      </c>
      <c r="U303" s="13">
        <v>-1.4196</v>
      </c>
      <c r="V303" s="21">
        <f>Table10[[#This Row],[Profit]]/Table10[[#This Row],[Sales]]</f>
        <v>-1.4285714285714285E-2</v>
      </c>
    </row>
    <row r="304" spans="1:22" x14ac:dyDescent="0.2">
      <c r="A304">
        <v>303</v>
      </c>
      <c r="B304" t="s">
        <v>6197</v>
      </c>
      <c r="C304" s="1">
        <v>42450</v>
      </c>
      <c r="D304" s="22">
        <f>MONTH(Table10[[#This Row],[Order Date]])</f>
        <v>3</v>
      </c>
      <c r="E304" t="s">
        <v>257</v>
      </c>
      <c r="F304" t="s">
        <v>258</v>
      </c>
      <c r="G304" s="23" t="s">
        <v>41</v>
      </c>
      <c r="H304" s="23" t="s">
        <v>61</v>
      </c>
      <c r="I304" t="s">
        <v>5560</v>
      </c>
      <c r="J304" t="s">
        <v>36</v>
      </c>
      <c r="K304" s="22">
        <v>1</v>
      </c>
      <c r="L304" s="1">
        <v>42454</v>
      </c>
      <c r="M304" s="22">
        <f>Table10[[#This Row],[Ship Date]]-Table10[[#This Row],[Order Date]]</f>
        <v>4</v>
      </c>
      <c r="N304" t="s">
        <v>45</v>
      </c>
      <c r="O304" t="s">
        <v>23</v>
      </c>
      <c r="P304" t="s">
        <v>94</v>
      </c>
      <c r="Q304" t="s">
        <v>95</v>
      </c>
      <c r="R304" t="s">
        <v>165</v>
      </c>
      <c r="S304" s="33">
        <v>0.2</v>
      </c>
      <c r="T304" s="13">
        <v>1.3440000000000001</v>
      </c>
      <c r="U304" s="13">
        <v>0.504</v>
      </c>
      <c r="V304" s="21">
        <f>Table10[[#This Row],[Profit]]/Table10[[#This Row],[Sales]]</f>
        <v>0.375</v>
      </c>
    </row>
    <row r="305" spans="1:22" x14ac:dyDescent="0.2">
      <c r="A305">
        <v>304</v>
      </c>
      <c r="B305" t="s">
        <v>3832</v>
      </c>
      <c r="C305" s="1">
        <v>42451</v>
      </c>
      <c r="D305" s="22">
        <f>MONTH(Table10[[#This Row],[Order Date]])</f>
        <v>3</v>
      </c>
      <c r="E305" t="s">
        <v>2844</v>
      </c>
      <c r="F305" t="s">
        <v>2845</v>
      </c>
      <c r="G305" s="23" t="s">
        <v>64</v>
      </c>
      <c r="H305" s="23" t="s">
        <v>144</v>
      </c>
      <c r="I305" t="s">
        <v>3833</v>
      </c>
      <c r="J305" t="s">
        <v>36</v>
      </c>
      <c r="K305" s="22">
        <v>2</v>
      </c>
      <c r="L305" s="1">
        <v>42454</v>
      </c>
      <c r="M305" s="22">
        <f>Table10[[#This Row],[Ship Date]]-Table10[[#This Row],[Order Date]]</f>
        <v>3</v>
      </c>
      <c r="N305" t="s">
        <v>169</v>
      </c>
      <c r="O305" t="s">
        <v>23</v>
      </c>
      <c r="P305" t="s">
        <v>1229</v>
      </c>
      <c r="Q305" t="s">
        <v>39</v>
      </c>
      <c r="R305" t="s">
        <v>3568</v>
      </c>
      <c r="S305" s="33">
        <v>0</v>
      </c>
      <c r="T305" s="13">
        <v>58.58</v>
      </c>
      <c r="U305" s="13">
        <v>19.331399999999999</v>
      </c>
      <c r="V305" s="21">
        <f>Table10[[#This Row],[Profit]]/Table10[[#This Row],[Sales]]</f>
        <v>0.32999999999999996</v>
      </c>
    </row>
    <row r="306" spans="1:22" x14ac:dyDescent="0.2">
      <c r="A306">
        <v>305</v>
      </c>
      <c r="B306" t="s">
        <v>8828</v>
      </c>
      <c r="C306" s="1">
        <v>42451</v>
      </c>
      <c r="D306" s="22">
        <f>MONTH(Table10[[#This Row],[Order Date]])</f>
        <v>3</v>
      </c>
      <c r="E306" t="s">
        <v>4044</v>
      </c>
      <c r="F306" t="s">
        <v>4045</v>
      </c>
      <c r="G306" s="23" t="s">
        <v>28</v>
      </c>
      <c r="H306" s="23" t="s">
        <v>32</v>
      </c>
      <c r="I306" t="s">
        <v>3765</v>
      </c>
      <c r="J306" t="s">
        <v>22</v>
      </c>
      <c r="K306" s="22">
        <v>7</v>
      </c>
      <c r="L306" s="1">
        <v>42451</v>
      </c>
      <c r="M306" s="22">
        <f>Table10[[#This Row],[Ship Date]]-Table10[[#This Row],[Order Date]]</f>
        <v>0</v>
      </c>
      <c r="N306" t="s">
        <v>1141</v>
      </c>
      <c r="O306" t="s">
        <v>23</v>
      </c>
      <c r="P306" t="s">
        <v>87</v>
      </c>
      <c r="Q306" t="s">
        <v>39</v>
      </c>
      <c r="R306" t="s">
        <v>86</v>
      </c>
      <c r="S306" s="33">
        <v>0.2</v>
      </c>
      <c r="T306" s="13">
        <v>167.88800000000001</v>
      </c>
      <c r="U306" s="13">
        <v>14.690200000000001</v>
      </c>
      <c r="V306" s="21">
        <f>Table10[[#This Row],[Profit]]/Table10[[#This Row],[Sales]]</f>
        <v>8.7500000000000008E-2</v>
      </c>
    </row>
    <row r="307" spans="1:22" x14ac:dyDescent="0.2">
      <c r="A307">
        <v>306</v>
      </c>
      <c r="B307" t="s">
        <v>5557</v>
      </c>
      <c r="C307" s="1">
        <v>42453</v>
      </c>
      <c r="D307" s="22">
        <f>MONTH(Table10[[#This Row],[Order Date]])</f>
        <v>3</v>
      </c>
      <c r="E307" t="s">
        <v>5243</v>
      </c>
      <c r="F307" t="s">
        <v>5244</v>
      </c>
      <c r="G307" s="23" t="s">
        <v>64</v>
      </c>
      <c r="H307" s="23" t="s">
        <v>65</v>
      </c>
      <c r="I307" t="s">
        <v>846</v>
      </c>
      <c r="J307" t="s">
        <v>36</v>
      </c>
      <c r="K307" s="22">
        <v>4</v>
      </c>
      <c r="L307" s="1">
        <v>42457</v>
      </c>
      <c r="M307" s="22">
        <f>Table10[[#This Row],[Ship Date]]-Table10[[#This Row],[Order Date]]</f>
        <v>4</v>
      </c>
      <c r="N307" t="s">
        <v>45</v>
      </c>
      <c r="O307" t="s">
        <v>23</v>
      </c>
      <c r="P307" t="s">
        <v>374</v>
      </c>
      <c r="Q307" t="s">
        <v>39</v>
      </c>
      <c r="R307" t="s">
        <v>5558</v>
      </c>
      <c r="S307" s="33">
        <v>0.2</v>
      </c>
      <c r="T307" s="13">
        <v>403.16800000000001</v>
      </c>
      <c r="U307" s="13">
        <v>25.198</v>
      </c>
      <c r="V307" s="21">
        <f>Table10[[#This Row],[Profit]]/Table10[[#This Row],[Sales]]</f>
        <v>6.25E-2</v>
      </c>
    </row>
    <row r="308" spans="1:22" x14ac:dyDescent="0.2">
      <c r="A308">
        <v>307</v>
      </c>
      <c r="B308" t="s">
        <v>6598</v>
      </c>
      <c r="C308" s="1">
        <v>42453</v>
      </c>
      <c r="D308" s="22">
        <f>MONTH(Table10[[#This Row],[Order Date]])</f>
        <v>3</v>
      </c>
      <c r="E308" t="s">
        <v>4008</v>
      </c>
      <c r="F308" t="s">
        <v>4009</v>
      </c>
      <c r="G308" s="23" t="s">
        <v>41</v>
      </c>
      <c r="H308" s="23" t="s">
        <v>82</v>
      </c>
      <c r="I308" t="s">
        <v>3696</v>
      </c>
      <c r="J308" t="s">
        <v>36</v>
      </c>
      <c r="K308" s="22">
        <v>1</v>
      </c>
      <c r="L308" s="1">
        <v>42455</v>
      </c>
      <c r="M308" s="22">
        <f>Table10[[#This Row],[Ship Date]]-Table10[[#This Row],[Order Date]]</f>
        <v>2</v>
      </c>
      <c r="N308" t="s">
        <v>169</v>
      </c>
      <c r="O308" t="s">
        <v>23</v>
      </c>
      <c r="P308" t="s">
        <v>226</v>
      </c>
      <c r="Q308" t="s">
        <v>95</v>
      </c>
      <c r="R308" t="s">
        <v>1294</v>
      </c>
      <c r="S308" s="33">
        <v>0</v>
      </c>
      <c r="T308" s="13">
        <v>22.48</v>
      </c>
      <c r="U308" s="13">
        <v>10.3408</v>
      </c>
      <c r="V308" s="21">
        <f>Table10[[#This Row],[Profit]]/Table10[[#This Row],[Sales]]</f>
        <v>0.45999999999999996</v>
      </c>
    </row>
    <row r="309" spans="1:22" x14ac:dyDescent="0.2">
      <c r="A309">
        <v>308</v>
      </c>
      <c r="B309" t="s">
        <v>9659</v>
      </c>
      <c r="C309" s="1">
        <v>42453</v>
      </c>
      <c r="D309" s="22">
        <f>MONTH(Table10[[#This Row],[Order Date]])</f>
        <v>3</v>
      </c>
      <c r="E309" t="s">
        <v>5032</v>
      </c>
      <c r="F309" t="s">
        <v>5033</v>
      </c>
      <c r="G309" s="23" t="s">
        <v>28</v>
      </c>
      <c r="H309" s="23" t="s">
        <v>29</v>
      </c>
      <c r="I309" t="s">
        <v>3122</v>
      </c>
      <c r="J309" t="s">
        <v>22</v>
      </c>
      <c r="K309" s="22">
        <v>3</v>
      </c>
      <c r="L309" s="1">
        <v>42455</v>
      </c>
      <c r="M309" s="22">
        <f>Table10[[#This Row],[Ship Date]]-Table10[[#This Row],[Order Date]]</f>
        <v>2</v>
      </c>
      <c r="N309" t="s">
        <v>20</v>
      </c>
      <c r="O309" t="s">
        <v>23</v>
      </c>
      <c r="P309" t="s">
        <v>441</v>
      </c>
      <c r="Q309" t="s">
        <v>133</v>
      </c>
      <c r="R309" t="s">
        <v>1920</v>
      </c>
      <c r="S309" s="33">
        <v>0.5</v>
      </c>
      <c r="T309" s="13">
        <v>301.47000000000003</v>
      </c>
      <c r="U309" s="13">
        <v>-241.17599999999999</v>
      </c>
      <c r="V309" s="21">
        <f>Table10[[#This Row],[Profit]]/Table10[[#This Row],[Sales]]</f>
        <v>-0.79999999999999993</v>
      </c>
    </row>
    <row r="310" spans="1:22" x14ac:dyDescent="0.2">
      <c r="A310">
        <v>309</v>
      </c>
      <c r="B310" t="s">
        <v>9659</v>
      </c>
      <c r="C310" s="1">
        <v>42453</v>
      </c>
      <c r="D310" s="22">
        <f>MONTH(Table10[[#This Row],[Order Date]])</f>
        <v>3</v>
      </c>
      <c r="E310" t="s">
        <v>3994</v>
      </c>
      <c r="F310" t="s">
        <v>3995</v>
      </c>
      <c r="G310" s="23" t="s">
        <v>41</v>
      </c>
      <c r="H310" s="23" t="s">
        <v>61</v>
      </c>
      <c r="I310" t="s">
        <v>3122</v>
      </c>
      <c r="J310" t="s">
        <v>22</v>
      </c>
      <c r="K310" s="22">
        <v>2</v>
      </c>
      <c r="L310" s="1">
        <v>42455</v>
      </c>
      <c r="M310" s="22">
        <f>Table10[[#This Row],[Ship Date]]-Table10[[#This Row],[Order Date]]</f>
        <v>2</v>
      </c>
      <c r="N310" t="s">
        <v>20</v>
      </c>
      <c r="O310" t="s">
        <v>23</v>
      </c>
      <c r="P310" t="s">
        <v>441</v>
      </c>
      <c r="Q310" t="s">
        <v>133</v>
      </c>
      <c r="R310" t="s">
        <v>1920</v>
      </c>
      <c r="S310" s="33">
        <v>0.2</v>
      </c>
      <c r="T310" s="13">
        <v>18.655999999999999</v>
      </c>
      <c r="U310" s="13">
        <v>1.6324000000000001</v>
      </c>
      <c r="V310" s="21">
        <f>Table10[[#This Row],[Profit]]/Table10[[#This Row],[Sales]]</f>
        <v>8.7500000000000008E-2</v>
      </c>
    </row>
    <row r="311" spans="1:22" x14ac:dyDescent="0.2">
      <c r="A311">
        <v>310</v>
      </c>
      <c r="B311" t="s">
        <v>5881</v>
      </c>
      <c r="C311" s="1">
        <v>42454</v>
      </c>
      <c r="D311" s="22">
        <f>MONTH(Table10[[#This Row],[Order Date]])</f>
        <v>3</v>
      </c>
      <c r="E311" t="s">
        <v>800</v>
      </c>
      <c r="F311" t="s">
        <v>801</v>
      </c>
      <c r="G311" s="23" t="s">
        <v>64</v>
      </c>
      <c r="H311" s="23" t="s">
        <v>144</v>
      </c>
      <c r="I311" t="s">
        <v>3779</v>
      </c>
      <c r="J311" t="s">
        <v>22</v>
      </c>
      <c r="K311" s="22">
        <v>5</v>
      </c>
      <c r="L311" s="1">
        <v>42454</v>
      </c>
      <c r="M311" s="22">
        <f>Table10[[#This Row],[Ship Date]]-Table10[[#This Row],[Order Date]]</f>
        <v>0</v>
      </c>
      <c r="N311" t="s">
        <v>1141</v>
      </c>
      <c r="O311" t="s">
        <v>23</v>
      </c>
      <c r="P311" t="s">
        <v>573</v>
      </c>
      <c r="Q311" t="s">
        <v>95</v>
      </c>
      <c r="R311" t="s">
        <v>1398</v>
      </c>
      <c r="S311" s="33">
        <v>0</v>
      </c>
      <c r="T311" s="13">
        <v>1287.45</v>
      </c>
      <c r="U311" s="13">
        <v>244.6155</v>
      </c>
      <c r="V311" s="21">
        <f>Table10[[#This Row],[Profit]]/Table10[[#This Row],[Sales]]</f>
        <v>0.19</v>
      </c>
    </row>
    <row r="312" spans="1:22" x14ac:dyDescent="0.2">
      <c r="A312">
        <v>311</v>
      </c>
      <c r="B312" t="s">
        <v>8968</v>
      </c>
      <c r="C312" s="1">
        <v>42454</v>
      </c>
      <c r="D312" s="22">
        <f>MONTH(Table10[[#This Row],[Order Date]])</f>
        <v>3</v>
      </c>
      <c r="E312" t="s">
        <v>3644</v>
      </c>
      <c r="F312" t="s">
        <v>3645</v>
      </c>
      <c r="G312" s="23" t="s">
        <v>41</v>
      </c>
      <c r="H312" s="23" t="s">
        <v>61</v>
      </c>
      <c r="I312" t="s">
        <v>3402</v>
      </c>
      <c r="J312" t="s">
        <v>36</v>
      </c>
      <c r="K312" s="22">
        <v>3</v>
      </c>
      <c r="L312" s="1">
        <v>42456</v>
      </c>
      <c r="M312" s="22">
        <f>Table10[[#This Row],[Ship Date]]-Table10[[#This Row],[Order Date]]</f>
        <v>2</v>
      </c>
      <c r="N312" t="s">
        <v>20</v>
      </c>
      <c r="O312" t="s">
        <v>23</v>
      </c>
      <c r="P312" t="s">
        <v>238</v>
      </c>
      <c r="Q312" t="s">
        <v>133</v>
      </c>
      <c r="R312" t="s">
        <v>237</v>
      </c>
      <c r="S312" s="33">
        <v>0</v>
      </c>
      <c r="T312" s="13">
        <v>59.52</v>
      </c>
      <c r="U312" s="13">
        <v>17.856000000000002</v>
      </c>
      <c r="V312" s="21">
        <f>Table10[[#This Row],[Profit]]/Table10[[#This Row],[Sales]]</f>
        <v>0.3</v>
      </c>
    </row>
    <row r="313" spans="1:22" x14ac:dyDescent="0.2">
      <c r="A313">
        <v>312</v>
      </c>
      <c r="B313" t="s">
        <v>1909</v>
      </c>
      <c r="C313" s="1">
        <v>42455</v>
      </c>
      <c r="D313" s="22">
        <f>MONTH(Table10[[#This Row],[Order Date]])</f>
        <v>3</v>
      </c>
      <c r="E313" t="s">
        <v>739</v>
      </c>
      <c r="F313" t="s">
        <v>740</v>
      </c>
      <c r="G313" s="23" t="s">
        <v>41</v>
      </c>
      <c r="H313" s="23" t="s">
        <v>53</v>
      </c>
      <c r="I313" t="s">
        <v>1910</v>
      </c>
      <c r="J313" t="s">
        <v>36</v>
      </c>
      <c r="K313" s="22">
        <v>5</v>
      </c>
      <c r="L313" s="1">
        <v>42459</v>
      </c>
      <c r="M313" s="22">
        <f>Table10[[#This Row],[Ship Date]]-Table10[[#This Row],[Order Date]]</f>
        <v>4</v>
      </c>
      <c r="N313" t="s">
        <v>45</v>
      </c>
      <c r="O313" t="s">
        <v>23</v>
      </c>
      <c r="P313" t="s">
        <v>238</v>
      </c>
      <c r="Q313" t="s">
        <v>133</v>
      </c>
      <c r="R313" t="s">
        <v>237</v>
      </c>
      <c r="S313" s="33">
        <v>0</v>
      </c>
      <c r="T313" s="13">
        <v>459.95</v>
      </c>
      <c r="U313" s="13">
        <v>18.398</v>
      </c>
      <c r="V313" s="21">
        <f>Table10[[#This Row],[Profit]]/Table10[[#This Row],[Sales]]</f>
        <v>0.04</v>
      </c>
    </row>
    <row r="314" spans="1:22" x14ac:dyDescent="0.2">
      <c r="A314">
        <v>313</v>
      </c>
      <c r="B314" t="s">
        <v>5688</v>
      </c>
      <c r="C314" s="1">
        <v>42455</v>
      </c>
      <c r="D314" s="22">
        <f>MONTH(Table10[[#This Row],[Order Date]])</f>
        <v>3</v>
      </c>
      <c r="E314" t="s">
        <v>3621</v>
      </c>
      <c r="F314" t="s">
        <v>3622</v>
      </c>
      <c r="G314" s="23" t="s">
        <v>41</v>
      </c>
      <c r="H314" s="23" t="s">
        <v>53</v>
      </c>
      <c r="I314" t="s">
        <v>1571</v>
      </c>
      <c r="J314" t="s">
        <v>22</v>
      </c>
      <c r="K314" s="22">
        <v>5</v>
      </c>
      <c r="L314" s="1">
        <v>42456</v>
      </c>
      <c r="M314" s="22">
        <f>Table10[[#This Row],[Ship Date]]-Table10[[#This Row],[Order Date]]</f>
        <v>1</v>
      </c>
      <c r="N314" t="s">
        <v>169</v>
      </c>
      <c r="O314" t="s">
        <v>23</v>
      </c>
      <c r="P314" t="s">
        <v>80</v>
      </c>
      <c r="Q314" t="s">
        <v>26</v>
      </c>
      <c r="R314" t="s">
        <v>1345</v>
      </c>
      <c r="S314" s="33">
        <v>0.2</v>
      </c>
      <c r="T314" s="13">
        <v>67.64</v>
      </c>
      <c r="U314" s="13">
        <v>5.9184999999999999</v>
      </c>
      <c r="V314" s="21">
        <f>Table10[[#This Row],[Profit]]/Table10[[#This Row],[Sales]]</f>
        <v>8.7499999999999994E-2</v>
      </c>
    </row>
    <row r="315" spans="1:22" x14ac:dyDescent="0.2">
      <c r="A315">
        <v>314</v>
      </c>
      <c r="B315" t="s">
        <v>5688</v>
      </c>
      <c r="C315" s="1">
        <v>42455</v>
      </c>
      <c r="D315" s="22">
        <f>MONTH(Table10[[#This Row],[Order Date]])</f>
        <v>3</v>
      </c>
      <c r="E315" t="s">
        <v>3312</v>
      </c>
      <c r="F315" t="s">
        <v>3313</v>
      </c>
      <c r="G315" s="23" t="s">
        <v>64</v>
      </c>
      <c r="H315" s="23" t="s">
        <v>144</v>
      </c>
      <c r="I315" t="s">
        <v>1571</v>
      </c>
      <c r="J315" t="s">
        <v>22</v>
      </c>
      <c r="K315" s="22">
        <v>3</v>
      </c>
      <c r="L315" s="1">
        <v>42456</v>
      </c>
      <c r="M315" s="22">
        <f>Table10[[#This Row],[Ship Date]]-Table10[[#This Row],[Order Date]]</f>
        <v>1</v>
      </c>
      <c r="N315" t="s">
        <v>169</v>
      </c>
      <c r="O315" t="s">
        <v>23</v>
      </c>
      <c r="P315" t="s">
        <v>80</v>
      </c>
      <c r="Q315" t="s">
        <v>26</v>
      </c>
      <c r="R315" t="s">
        <v>1345</v>
      </c>
      <c r="S315" s="33">
        <v>0.2</v>
      </c>
      <c r="T315" s="13">
        <v>119.976</v>
      </c>
      <c r="U315" s="13">
        <v>-17.996400000000001</v>
      </c>
      <c r="V315" s="21">
        <f>Table10[[#This Row],[Profit]]/Table10[[#This Row],[Sales]]</f>
        <v>-0.15000000000000002</v>
      </c>
    </row>
    <row r="316" spans="1:22" x14ac:dyDescent="0.2">
      <c r="A316">
        <v>315</v>
      </c>
      <c r="B316" t="s">
        <v>9590</v>
      </c>
      <c r="C316" s="1">
        <v>42455</v>
      </c>
      <c r="D316" s="22">
        <f>MONTH(Table10[[#This Row],[Order Date]])</f>
        <v>3</v>
      </c>
      <c r="E316" t="s">
        <v>3532</v>
      </c>
      <c r="F316" t="s">
        <v>3533</v>
      </c>
      <c r="G316" s="23" t="s">
        <v>41</v>
      </c>
      <c r="H316" s="23" t="s">
        <v>82</v>
      </c>
      <c r="I316" t="s">
        <v>4656</v>
      </c>
      <c r="J316" t="s">
        <v>22</v>
      </c>
      <c r="K316" s="22">
        <v>3</v>
      </c>
      <c r="L316" s="1">
        <v>42457</v>
      </c>
      <c r="M316" s="22">
        <f>Table10[[#This Row],[Ship Date]]-Table10[[#This Row],[Order Date]]</f>
        <v>2</v>
      </c>
      <c r="N316" t="s">
        <v>20</v>
      </c>
      <c r="O316" t="s">
        <v>23</v>
      </c>
      <c r="P316" t="s">
        <v>5585</v>
      </c>
      <c r="Q316" t="s">
        <v>39</v>
      </c>
      <c r="R316" t="s">
        <v>7651</v>
      </c>
      <c r="S316" s="33">
        <v>0</v>
      </c>
      <c r="T316" s="13">
        <v>17.64</v>
      </c>
      <c r="U316" s="13">
        <v>8.6435999999999993</v>
      </c>
      <c r="V316" s="21">
        <f>Table10[[#This Row],[Profit]]/Table10[[#This Row],[Sales]]</f>
        <v>0.48999999999999994</v>
      </c>
    </row>
    <row r="317" spans="1:22" x14ac:dyDescent="0.2">
      <c r="A317">
        <v>316</v>
      </c>
      <c r="B317" t="s">
        <v>9590</v>
      </c>
      <c r="C317" s="1">
        <v>42455</v>
      </c>
      <c r="D317" s="22">
        <f>MONTH(Table10[[#This Row],[Order Date]])</f>
        <v>3</v>
      </c>
      <c r="E317" t="s">
        <v>119</v>
      </c>
      <c r="F317" t="s">
        <v>120</v>
      </c>
      <c r="G317" s="23" t="s">
        <v>41</v>
      </c>
      <c r="H317" s="23" t="s">
        <v>68</v>
      </c>
      <c r="I317" t="s">
        <v>4656</v>
      </c>
      <c r="J317" t="s">
        <v>22</v>
      </c>
      <c r="K317" s="22">
        <v>3</v>
      </c>
      <c r="L317" s="1">
        <v>42457</v>
      </c>
      <c r="M317" s="22">
        <f>Table10[[#This Row],[Ship Date]]-Table10[[#This Row],[Order Date]]</f>
        <v>2</v>
      </c>
      <c r="N317" t="s">
        <v>20</v>
      </c>
      <c r="O317" t="s">
        <v>23</v>
      </c>
      <c r="P317" t="s">
        <v>5585</v>
      </c>
      <c r="Q317" t="s">
        <v>39</v>
      </c>
      <c r="R317" t="s">
        <v>7651</v>
      </c>
      <c r="S317" s="33">
        <v>0.2</v>
      </c>
      <c r="T317" s="13">
        <v>17.04</v>
      </c>
      <c r="U317" s="13">
        <v>5.5380000000000003</v>
      </c>
      <c r="V317" s="21">
        <f>Table10[[#This Row],[Profit]]/Table10[[#This Row],[Sales]]</f>
        <v>0.32500000000000001</v>
      </c>
    </row>
    <row r="318" spans="1:22" x14ac:dyDescent="0.2">
      <c r="A318">
        <v>317</v>
      </c>
      <c r="B318" t="s">
        <v>9314</v>
      </c>
      <c r="C318" s="1">
        <v>42456</v>
      </c>
      <c r="D318" s="22">
        <f>MONTH(Table10[[#This Row],[Order Date]])</f>
        <v>3</v>
      </c>
      <c r="E318" t="s">
        <v>6696</v>
      </c>
      <c r="F318" t="s">
        <v>6697</v>
      </c>
      <c r="G318" s="23" t="s">
        <v>28</v>
      </c>
      <c r="H318" s="23" t="s">
        <v>58</v>
      </c>
      <c r="I318" t="s">
        <v>774</v>
      </c>
      <c r="J318" t="s">
        <v>36</v>
      </c>
      <c r="K318" s="22">
        <v>1</v>
      </c>
      <c r="L318" s="1">
        <v>42460</v>
      </c>
      <c r="M318" s="22">
        <f>Table10[[#This Row],[Ship Date]]-Table10[[#This Row],[Order Date]]</f>
        <v>4</v>
      </c>
      <c r="N318" t="s">
        <v>45</v>
      </c>
      <c r="O318" t="s">
        <v>23</v>
      </c>
      <c r="P318" t="s">
        <v>1125</v>
      </c>
      <c r="Q318" t="s">
        <v>26</v>
      </c>
      <c r="R318" t="s">
        <v>440</v>
      </c>
      <c r="S318" s="33">
        <v>0</v>
      </c>
      <c r="T318" s="13">
        <v>20.239999999999998</v>
      </c>
      <c r="U318" s="13">
        <v>8.7032000000000007</v>
      </c>
      <c r="V318" s="21">
        <f>Table10[[#This Row],[Profit]]/Table10[[#This Row],[Sales]]</f>
        <v>0.43000000000000005</v>
      </c>
    </row>
    <row r="319" spans="1:22" x14ac:dyDescent="0.2">
      <c r="A319">
        <v>318</v>
      </c>
      <c r="B319" t="s">
        <v>9314</v>
      </c>
      <c r="C319" s="1">
        <v>42456</v>
      </c>
      <c r="D319" s="22">
        <f>MONTH(Table10[[#This Row],[Order Date]])</f>
        <v>3</v>
      </c>
      <c r="E319" t="s">
        <v>6388</v>
      </c>
      <c r="F319" t="s">
        <v>6389</v>
      </c>
      <c r="G319" s="23" t="s">
        <v>28</v>
      </c>
      <c r="H319" s="23" t="s">
        <v>58</v>
      </c>
      <c r="I319" t="s">
        <v>774</v>
      </c>
      <c r="J319" t="s">
        <v>36</v>
      </c>
      <c r="K319" s="22">
        <v>4</v>
      </c>
      <c r="L319" s="1">
        <v>42460</v>
      </c>
      <c r="M319" s="22">
        <f>Table10[[#This Row],[Ship Date]]-Table10[[#This Row],[Order Date]]</f>
        <v>4</v>
      </c>
      <c r="N319" t="s">
        <v>45</v>
      </c>
      <c r="O319" t="s">
        <v>23</v>
      </c>
      <c r="P319" t="s">
        <v>1125</v>
      </c>
      <c r="Q319" t="s">
        <v>26</v>
      </c>
      <c r="R319" t="s">
        <v>440</v>
      </c>
      <c r="S319" s="33">
        <v>0</v>
      </c>
      <c r="T319" s="13">
        <v>39.92</v>
      </c>
      <c r="U319" s="13">
        <v>11.1776</v>
      </c>
      <c r="V319" s="21">
        <f>Table10[[#This Row],[Profit]]/Table10[[#This Row],[Sales]]</f>
        <v>0.27999999999999997</v>
      </c>
    </row>
    <row r="320" spans="1:22" x14ac:dyDescent="0.2">
      <c r="A320">
        <v>319</v>
      </c>
      <c r="B320" t="s">
        <v>9314</v>
      </c>
      <c r="C320" s="1">
        <v>42456</v>
      </c>
      <c r="D320" s="22">
        <f>MONTH(Table10[[#This Row],[Order Date]])</f>
        <v>3</v>
      </c>
      <c r="E320" t="s">
        <v>5851</v>
      </c>
      <c r="F320" t="s">
        <v>5852</v>
      </c>
      <c r="G320" s="23" t="s">
        <v>41</v>
      </c>
      <c r="H320" s="23" t="s">
        <v>68</v>
      </c>
      <c r="I320" t="s">
        <v>774</v>
      </c>
      <c r="J320" t="s">
        <v>36</v>
      </c>
      <c r="K320" s="22">
        <v>2</v>
      </c>
      <c r="L320" s="1">
        <v>42460</v>
      </c>
      <c r="M320" s="22">
        <f>Table10[[#This Row],[Ship Date]]-Table10[[#This Row],[Order Date]]</f>
        <v>4</v>
      </c>
      <c r="N320" t="s">
        <v>45</v>
      </c>
      <c r="O320" t="s">
        <v>23</v>
      </c>
      <c r="P320" t="s">
        <v>1125</v>
      </c>
      <c r="Q320" t="s">
        <v>26</v>
      </c>
      <c r="R320" t="s">
        <v>440</v>
      </c>
      <c r="S320" s="33">
        <v>0</v>
      </c>
      <c r="T320" s="13">
        <v>32.54</v>
      </c>
      <c r="U320" s="13">
        <v>15.944599999999999</v>
      </c>
      <c r="V320" s="21">
        <f>Table10[[#This Row],[Profit]]/Table10[[#This Row],[Sales]]</f>
        <v>0.49</v>
      </c>
    </row>
    <row r="321" spans="1:22" x14ac:dyDescent="0.2">
      <c r="A321">
        <v>320</v>
      </c>
      <c r="B321" t="s">
        <v>3287</v>
      </c>
      <c r="C321" s="1">
        <v>42457</v>
      </c>
      <c r="D321" s="22">
        <f>MONTH(Table10[[#This Row],[Order Date]])</f>
        <v>3</v>
      </c>
      <c r="E321" t="s">
        <v>3288</v>
      </c>
      <c r="F321" t="s">
        <v>3289</v>
      </c>
      <c r="G321" s="23" t="s">
        <v>41</v>
      </c>
      <c r="H321" s="23" t="s">
        <v>53</v>
      </c>
      <c r="I321" t="s">
        <v>3267</v>
      </c>
      <c r="J321" t="s">
        <v>36</v>
      </c>
      <c r="K321" s="22">
        <v>2</v>
      </c>
      <c r="L321" s="1">
        <v>42460</v>
      </c>
      <c r="M321" s="22">
        <f>Table10[[#This Row],[Ship Date]]-Table10[[#This Row],[Order Date]]</f>
        <v>3</v>
      </c>
      <c r="N321" t="s">
        <v>169</v>
      </c>
      <c r="O321" t="s">
        <v>23</v>
      </c>
      <c r="P321" t="s">
        <v>285</v>
      </c>
      <c r="Q321" t="s">
        <v>26</v>
      </c>
      <c r="R321" t="s">
        <v>997</v>
      </c>
      <c r="S321" s="33">
        <v>0</v>
      </c>
      <c r="T321" s="13">
        <v>31.4</v>
      </c>
      <c r="U321" s="13">
        <v>7.85</v>
      </c>
      <c r="V321" s="21">
        <f>Table10[[#This Row],[Profit]]/Table10[[#This Row],[Sales]]</f>
        <v>0.25</v>
      </c>
    </row>
    <row r="322" spans="1:22" x14ac:dyDescent="0.2">
      <c r="A322">
        <v>321</v>
      </c>
      <c r="B322" t="s">
        <v>8540</v>
      </c>
      <c r="C322" s="1">
        <v>42457</v>
      </c>
      <c r="D322" s="22">
        <f>MONTH(Table10[[#This Row],[Order Date]])</f>
        <v>3</v>
      </c>
      <c r="E322" t="s">
        <v>780</v>
      </c>
      <c r="F322" t="s">
        <v>781</v>
      </c>
      <c r="G322" s="23" t="s">
        <v>41</v>
      </c>
      <c r="H322" s="23" t="s">
        <v>53</v>
      </c>
      <c r="I322" t="s">
        <v>3114</v>
      </c>
      <c r="J322" t="s">
        <v>22</v>
      </c>
      <c r="K322" s="22">
        <v>4</v>
      </c>
      <c r="L322" s="1">
        <v>42460</v>
      </c>
      <c r="M322" s="22">
        <f>Table10[[#This Row],[Ship Date]]-Table10[[#This Row],[Order Date]]</f>
        <v>3</v>
      </c>
      <c r="N322" t="s">
        <v>20</v>
      </c>
      <c r="O322" t="s">
        <v>23</v>
      </c>
      <c r="P322" t="s">
        <v>38</v>
      </c>
      <c r="Q322" t="s">
        <v>39</v>
      </c>
      <c r="R322" t="s">
        <v>37</v>
      </c>
      <c r="S322" s="33">
        <v>0</v>
      </c>
      <c r="T322" s="13">
        <v>87.92</v>
      </c>
      <c r="U322" s="13">
        <v>0.87919999999999998</v>
      </c>
      <c r="V322" s="21">
        <f>Table10[[#This Row],[Profit]]/Table10[[#This Row],[Sales]]</f>
        <v>0.01</v>
      </c>
    </row>
    <row r="323" spans="1:22" x14ac:dyDescent="0.2">
      <c r="A323">
        <v>322</v>
      </c>
      <c r="B323" t="s">
        <v>8540</v>
      </c>
      <c r="C323" s="1">
        <v>42457</v>
      </c>
      <c r="D323" s="22">
        <f>MONTH(Table10[[#This Row],[Order Date]])</f>
        <v>3</v>
      </c>
      <c r="E323" t="s">
        <v>8541</v>
      </c>
      <c r="F323" t="s">
        <v>8542</v>
      </c>
      <c r="G323" s="23" t="s">
        <v>41</v>
      </c>
      <c r="H323" s="23" t="s">
        <v>82</v>
      </c>
      <c r="I323" t="s">
        <v>3114</v>
      </c>
      <c r="J323" t="s">
        <v>22</v>
      </c>
      <c r="K323" s="22">
        <v>1</v>
      </c>
      <c r="L323" s="1">
        <v>42460</v>
      </c>
      <c r="M323" s="22">
        <f>Table10[[#This Row],[Ship Date]]-Table10[[#This Row],[Order Date]]</f>
        <v>3</v>
      </c>
      <c r="N323" t="s">
        <v>20</v>
      </c>
      <c r="O323" t="s">
        <v>23</v>
      </c>
      <c r="P323" t="s">
        <v>38</v>
      </c>
      <c r="Q323" t="s">
        <v>39</v>
      </c>
      <c r="R323" t="s">
        <v>37</v>
      </c>
      <c r="S323" s="33">
        <v>0</v>
      </c>
      <c r="T323" s="13">
        <v>5.98</v>
      </c>
      <c r="U323" s="13">
        <v>2.9302000000000001</v>
      </c>
      <c r="V323" s="21">
        <f>Table10[[#This Row],[Profit]]/Table10[[#This Row],[Sales]]</f>
        <v>0.49</v>
      </c>
    </row>
    <row r="324" spans="1:22" x14ac:dyDescent="0.2">
      <c r="A324">
        <v>323</v>
      </c>
      <c r="B324" t="s">
        <v>6026</v>
      </c>
      <c r="C324" s="1">
        <v>42458</v>
      </c>
      <c r="D324" s="22">
        <f>MONTH(Table10[[#This Row],[Order Date]])</f>
        <v>3</v>
      </c>
      <c r="E324" t="s">
        <v>4407</v>
      </c>
      <c r="F324" t="s">
        <v>4408</v>
      </c>
      <c r="G324" s="23" t="s">
        <v>41</v>
      </c>
      <c r="H324" s="23" t="s">
        <v>82</v>
      </c>
      <c r="I324" t="s">
        <v>3454</v>
      </c>
      <c r="J324" t="s">
        <v>92</v>
      </c>
      <c r="K324" s="22">
        <v>3</v>
      </c>
      <c r="L324" s="1">
        <v>42462</v>
      </c>
      <c r="M324" s="22">
        <f>Table10[[#This Row],[Ship Date]]-Table10[[#This Row],[Order Date]]</f>
        <v>4</v>
      </c>
      <c r="N324" t="s">
        <v>20</v>
      </c>
      <c r="O324" t="s">
        <v>23</v>
      </c>
      <c r="P324" t="s">
        <v>189</v>
      </c>
      <c r="Q324" t="s">
        <v>95</v>
      </c>
      <c r="R324" t="s">
        <v>271</v>
      </c>
      <c r="S324" s="33">
        <v>0.2</v>
      </c>
      <c r="T324" s="13">
        <v>45.527999999999999</v>
      </c>
      <c r="U324" s="13">
        <v>15.934799999999999</v>
      </c>
      <c r="V324" s="21">
        <f>Table10[[#This Row],[Profit]]/Table10[[#This Row],[Sales]]</f>
        <v>0.35</v>
      </c>
    </row>
    <row r="325" spans="1:22" x14ac:dyDescent="0.2">
      <c r="A325">
        <v>324</v>
      </c>
      <c r="B325" t="s">
        <v>6026</v>
      </c>
      <c r="C325" s="1">
        <v>42458</v>
      </c>
      <c r="D325" s="22">
        <f>MONTH(Table10[[#This Row],[Order Date]])</f>
        <v>3</v>
      </c>
      <c r="E325" t="s">
        <v>832</v>
      </c>
      <c r="F325" t="s">
        <v>833</v>
      </c>
      <c r="G325" s="23" t="s">
        <v>28</v>
      </c>
      <c r="H325" s="23" t="s">
        <v>32</v>
      </c>
      <c r="I325" t="s">
        <v>3454</v>
      </c>
      <c r="J325" t="s">
        <v>92</v>
      </c>
      <c r="K325" s="22">
        <v>6</v>
      </c>
      <c r="L325" s="1">
        <v>42462</v>
      </c>
      <c r="M325" s="22">
        <f>Table10[[#This Row],[Ship Date]]-Table10[[#This Row],[Order Date]]</f>
        <v>4</v>
      </c>
      <c r="N325" t="s">
        <v>20</v>
      </c>
      <c r="O325" t="s">
        <v>23</v>
      </c>
      <c r="P325" t="s">
        <v>189</v>
      </c>
      <c r="Q325" t="s">
        <v>95</v>
      </c>
      <c r="R325" t="s">
        <v>271</v>
      </c>
      <c r="S325" s="33">
        <v>0.3</v>
      </c>
      <c r="T325" s="13">
        <v>844.11599999999999</v>
      </c>
      <c r="U325" s="13">
        <v>-36.176400000000001</v>
      </c>
      <c r="V325" s="21">
        <f>Table10[[#This Row],[Profit]]/Table10[[#This Row],[Sales]]</f>
        <v>-4.2857142857142858E-2</v>
      </c>
    </row>
    <row r="326" spans="1:22" x14ac:dyDescent="0.2">
      <c r="A326">
        <v>325</v>
      </c>
      <c r="B326" t="s">
        <v>6026</v>
      </c>
      <c r="C326" s="1">
        <v>42458</v>
      </c>
      <c r="D326" s="22">
        <f>MONTH(Table10[[#This Row],[Order Date]])</f>
        <v>3</v>
      </c>
      <c r="E326" t="s">
        <v>553</v>
      </c>
      <c r="F326" t="s">
        <v>554</v>
      </c>
      <c r="G326" s="23" t="s">
        <v>64</v>
      </c>
      <c r="H326" s="23" t="s">
        <v>65</v>
      </c>
      <c r="I326" t="s">
        <v>3454</v>
      </c>
      <c r="J326" t="s">
        <v>92</v>
      </c>
      <c r="K326" s="22">
        <v>8</v>
      </c>
      <c r="L326" s="1">
        <v>42462</v>
      </c>
      <c r="M326" s="22">
        <f>Table10[[#This Row],[Ship Date]]-Table10[[#This Row],[Order Date]]</f>
        <v>4</v>
      </c>
      <c r="N326" t="s">
        <v>20</v>
      </c>
      <c r="O326" t="s">
        <v>23</v>
      </c>
      <c r="P326" t="s">
        <v>189</v>
      </c>
      <c r="Q326" t="s">
        <v>95</v>
      </c>
      <c r="R326" t="s">
        <v>271</v>
      </c>
      <c r="S326" s="33">
        <v>0.2</v>
      </c>
      <c r="T326" s="13">
        <v>812.73599999999999</v>
      </c>
      <c r="U326" s="13">
        <v>60.955199999999998</v>
      </c>
      <c r="V326" s="21">
        <f>Table10[[#This Row],[Profit]]/Table10[[#This Row],[Sales]]</f>
        <v>7.4999999999999997E-2</v>
      </c>
    </row>
    <row r="327" spans="1:22" x14ac:dyDescent="0.2">
      <c r="A327">
        <v>326</v>
      </c>
      <c r="B327" t="s">
        <v>6386</v>
      </c>
      <c r="C327" s="1">
        <v>42458</v>
      </c>
      <c r="D327" s="22">
        <f>MONTH(Table10[[#This Row],[Order Date]])</f>
        <v>3</v>
      </c>
      <c r="E327" t="s">
        <v>3277</v>
      </c>
      <c r="F327" t="s">
        <v>3278</v>
      </c>
      <c r="G327" s="23" t="s">
        <v>41</v>
      </c>
      <c r="H327" s="23" t="s">
        <v>82</v>
      </c>
      <c r="I327" t="s">
        <v>413</v>
      </c>
      <c r="J327" t="s">
        <v>22</v>
      </c>
      <c r="K327" s="22">
        <v>2</v>
      </c>
      <c r="L327" s="1">
        <v>42462</v>
      </c>
      <c r="M327" s="22">
        <f>Table10[[#This Row],[Ship Date]]-Table10[[#This Row],[Order Date]]</f>
        <v>4</v>
      </c>
      <c r="N327" t="s">
        <v>45</v>
      </c>
      <c r="O327" t="s">
        <v>23</v>
      </c>
      <c r="P327" t="s">
        <v>238</v>
      </c>
      <c r="Q327" t="s">
        <v>133</v>
      </c>
      <c r="R327" t="s">
        <v>237</v>
      </c>
      <c r="S327" s="33">
        <v>0</v>
      </c>
      <c r="T327" s="13">
        <v>13.48</v>
      </c>
      <c r="U327" s="13">
        <v>6.74</v>
      </c>
      <c r="V327" s="21">
        <f>Table10[[#This Row],[Profit]]/Table10[[#This Row],[Sales]]</f>
        <v>0.5</v>
      </c>
    </row>
    <row r="328" spans="1:22" x14ac:dyDescent="0.2">
      <c r="A328">
        <v>327</v>
      </c>
      <c r="B328" t="s">
        <v>6386</v>
      </c>
      <c r="C328" s="1">
        <v>42458</v>
      </c>
      <c r="D328" s="22">
        <f>MONTH(Table10[[#This Row],[Order Date]])</f>
        <v>3</v>
      </c>
      <c r="E328" t="s">
        <v>3403</v>
      </c>
      <c r="F328" t="s">
        <v>3404</v>
      </c>
      <c r="G328" s="23" t="s">
        <v>41</v>
      </c>
      <c r="H328" s="23" t="s">
        <v>68</v>
      </c>
      <c r="I328" t="s">
        <v>413</v>
      </c>
      <c r="J328" t="s">
        <v>22</v>
      </c>
      <c r="K328" s="22">
        <v>5</v>
      </c>
      <c r="L328" s="1">
        <v>42462</v>
      </c>
      <c r="M328" s="22">
        <f>Table10[[#This Row],[Ship Date]]-Table10[[#This Row],[Order Date]]</f>
        <v>4</v>
      </c>
      <c r="N328" t="s">
        <v>45</v>
      </c>
      <c r="O328" t="s">
        <v>23</v>
      </c>
      <c r="P328" t="s">
        <v>238</v>
      </c>
      <c r="Q328" t="s">
        <v>133</v>
      </c>
      <c r="R328" t="s">
        <v>237</v>
      </c>
      <c r="S328" s="33">
        <v>0.2</v>
      </c>
      <c r="T328" s="13">
        <v>29.8</v>
      </c>
      <c r="U328" s="13">
        <v>9.3125</v>
      </c>
      <c r="V328" s="21">
        <f>Table10[[#This Row],[Profit]]/Table10[[#This Row],[Sales]]</f>
        <v>0.3125</v>
      </c>
    </row>
    <row r="329" spans="1:22" x14ac:dyDescent="0.2">
      <c r="A329">
        <v>328</v>
      </c>
      <c r="B329" t="s">
        <v>6386</v>
      </c>
      <c r="C329" s="1">
        <v>42458</v>
      </c>
      <c r="D329" s="22">
        <f>MONTH(Table10[[#This Row],[Order Date]])</f>
        <v>3</v>
      </c>
      <c r="E329" t="s">
        <v>152</v>
      </c>
      <c r="F329" t="s">
        <v>153</v>
      </c>
      <c r="G329" s="23" t="s">
        <v>28</v>
      </c>
      <c r="H329" s="23" t="s">
        <v>58</v>
      </c>
      <c r="I329" t="s">
        <v>413</v>
      </c>
      <c r="J329" t="s">
        <v>22</v>
      </c>
      <c r="K329" s="22">
        <v>8</v>
      </c>
      <c r="L329" s="1">
        <v>42462</v>
      </c>
      <c r="M329" s="22">
        <f>Table10[[#This Row],[Ship Date]]-Table10[[#This Row],[Order Date]]</f>
        <v>4</v>
      </c>
      <c r="N329" t="s">
        <v>45</v>
      </c>
      <c r="O329" t="s">
        <v>23</v>
      </c>
      <c r="P329" t="s">
        <v>238</v>
      </c>
      <c r="Q329" t="s">
        <v>133</v>
      </c>
      <c r="R329" t="s">
        <v>237</v>
      </c>
      <c r="S329" s="33">
        <v>0</v>
      </c>
      <c r="T329" s="13">
        <v>414</v>
      </c>
      <c r="U329" s="13">
        <v>124.2</v>
      </c>
      <c r="V329" s="21">
        <f>Table10[[#This Row],[Profit]]/Table10[[#This Row],[Sales]]</f>
        <v>0.3</v>
      </c>
    </row>
    <row r="330" spans="1:22" x14ac:dyDescent="0.2">
      <c r="A330">
        <v>329</v>
      </c>
      <c r="B330" t="s">
        <v>6386</v>
      </c>
      <c r="C330" s="1">
        <v>42458</v>
      </c>
      <c r="D330" s="22">
        <f>MONTH(Table10[[#This Row],[Order Date]])</f>
        <v>3</v>
      </c>
      <c r="E330" t="s">
        <v>2683</v>
      </c>
      <c r="F330" t="s">
        <v>2684</v>
      </c>
      <c r="G330" s="23" t="s">
        <v>41</v>
      </c>
      <c r="H330" s="23" t="s">
        <v>68</v>
      </c>
      <c r="I330" t="s">
        <v>413</v>
      </c>
      <c r="J330" t="s">
        <v>22</v>
      </c>
      <c r="K330" s="22">
        <v>7</v>
      </c>
      <c r="L330" s="1">
        <v>42462</v>
      </c>
      <c r="M330" s="22">
        <f>Table10[[#This Row],[Ship Date]]-Table10[[#This Row],[Order Date]]</f>
        <v>4</v>
      </c>
      <c r="N330" t="s">
        <v>45</v>
      </c>
      <c r="O330" t="s">
        <v>23</v>
      </c>
      <c r="P330" t="s">
        <v>238</v>
      </c>
      <c r="Q330" t="s">
        <v>133</v>
      </c>
      <c r="R330" t="s">
        <v>237</v>
      </c>
      <c r="S330" s="33">
        <v>0.2</v>
      </c>
      <c r="T330" s="13">
        <v>41.328000000000003</v>
      </c>
      <c r="U330" s="13">
        <v>14.981400000000001</v>
      </c>
      <c r="V330" s="21">
        <f>Table10[[#This Row],[Profit]]/Table10[[#This Row],[Sales]]</f>
        <v>0.36249999999999999</v>
      </c>
    </row>
    <row r="331" spans="1:22" x14ac:dyDescent="0.2">
      <c r="A331">
        <v>330</v>
      </c>
      <c r="B331" t="s">
        <v>8096</v>
      </c>
      <c r="C331" s="1">
        <v>42458</v>
      </c>
      <c r="D331" s="22">
        <f>MONTH(Table10[[#This Row],[Order Date]])</f>
        <v>3</v>
      </c>
      <c r="E331" t="s">
        <v>1966</v>
      </c>
      <c r="F331" t="s">
        <v>1967</v>
      </c>
      <c r="G331" s="23" t="s">
        <v>28</v>
      </c>
      <c r="H331" s="23" t="s">
        <v>29</v>
      </c>
      <c r="I331" t="s">
        <v>1375</v>
      </c>
      <c r="J331" t="s">
        <v>22</v>
      </c>
      <c r="K331" s="22">
        <v>5</v>
      </c>
      <c r="L331" s="1">
        <v>42462</v>
      </c>
      <c r="M331" s="22">
        <f>Table10[[#This Row],[Ship Date]]-Table10[[#This Row],[Order Date]]</f>
        <v>4</v>
      </c>
      <c r="N331" t="s">
        <v>45</v>
      </c>
      <c r="O331" t="s">
        <v>23</v>
      </c>
      <c r="P331" t="s">
        <v>441</v>
      </c>
      <c r="Q331" t="s">
        <v>133</v>
      </c>
      <c r="R331" t="s">
        <v>284</v>
      </c>
      <c r="S331" s="33">
        <v>0.5</v>
      </c>
      <c r="T331" s="13">
        <v>299.97500000000002</v>
      </c>
      <c r="U331" s="13">
        <v>-167.98599999999999</v>
      </c>
      <c r="V331" s="21">
        <f>Table10[[#This Row],[Profit]]/Table10[[#This Row],[Sales]]</f>
        <v>-0.55999999999999994</v>
      </c>
    </row>
    <row r="332" spans="1:22" x14ac:dyDescent="0.2">
      <c r="A332">
        <v>331</v>
      </c>
      <c r="B332" t="s">
        <v>8096</v>
      </c>
      <c r="C332" s="1">
        <v>42458</v>
      </c>
      <c r="D332" s="22">
        <f>MONTH(Table10[[#This Row],[Order Date]])</f>
        <v>3</v>
      </c>
      <c r="E332" t="s">
        <v>4818</v>
      </c>
      <c r="F332" t="s">
        <v>4819</v>
      </c>
      <c r="G332" s="23" t="s">
        <v>64</v>
      </c>
      <c r="H332" s="23" t="s">
        <v>65</v>
      </c>
      <c r="I332" t="s">
        <v>1375</v>
      </c>
      <c r="J332" t="s">
        <v>22</v>
      </c>
      <c r="K332" s="22">
        <v>4</v>
      </c>
      <c r="L332" s="1">
        <v>42462</v>
      </c>
      <c r="M332" s="22">
        <f>Table10[[#This Row],[Ship Date]]-Table10[[#This Row],[Order Date]]</f>
        <v>4</v>
      </c>
      <c r="N332" t="s">
        <v>45</v>
      </c>
      <c r="O332" t="s">
        <v>23</v>
      </c>
      <c r="P332" t="s">
        <v>441</v>
      </c>
      <c r="Q332" t="s">
        <v>133</v>
      </c>
      <c r="R332" t="s">
        <v>284</v>
      </c>
      <c r="S332" s="33">
        <v>0.4</v>
      </c>
      <c r="T332" s="13">
        <v>158.376</v>
      </c>
      <c r="U332" s="13">
        <v>-36.9544</v>
      </c>
      <c r="V332" s="21">
        <f>Table10[[#This Row],[Profit]]/Table10[[#This Row],[Sales]]</f>
        <v>-0.23333333333333334</v>
      </c>
    </row>
    <row r="333" spans="1:22" x14ac:dyDescent="0.2">
      <c r="A333">
        <v>332</v>
      </c>
      <c r="B333" t="s">
        <v>3236</v>
      </c>
      <c r="C333" s="1">
        <v>42459</v>
      </c>
      <c r="D333" s="22">
        <f>MONTH(Table10[[#This Row],[Order Date]])</f>
        <v>3</v>
      </c>
      <c r="E333" t="s">
        <v>2591</v>
      </c>
      <c r="F333" t="s">
        <v>2592</v>
      </c>
      <c r="G333" s="23" t="s">
        <v>41</v>
      </c>
      <c r="H333" s="23" t="s">
        <v>82</v>
      </c>
      <c r="I333" t="s">
        <v>3237</v>
      </c>
      <c r="J333" t="s">
        <v>36</v>
      </c>
      <c r="K333" s="22">
        <v>1</v>
      </c>
      <c r="L333" s="1">
        <v>42461</v>
      </c>
      <c r="M333" s="22">
        <f>Table10[[#This Row],[Ship Date]]-Table10[[#This Row],[Order Date]]</f>
        <v>2</v>
      </c>
      <c r="N333" t="s">
        <v>169</v>
      </c>
      <c r="O333" t="s">
        <v>23</v>
      </c>
      <c r="P333" t="s">
        <v>660</v>
      </c>
      <c r="Q333" t="s">
        <v>133</v>
      </c>
      <c r="R333" t="s">
        <v>2466</v>
      </c>
      <c r="S333" s="33">
        <v>0</v>
      </c>
      <c r="T333" s="13">
        <v>11.34</v>
      </c>
      <c r="U333" s="13">
        <v>5.5566000000000004</v>
      </c>
      <c r="V333" s="21">
        <f>Table10[[#This Row],[Profit]]/Table10[[#This Row],[Sales]]</f>
        <v>0.49000000000000005</v>
      </c>
    </row>
    <row r="334" spans="1:22" x14ac:dyDescent="0.2">
      <c r="A334">
        <v>333</v>
      </c>
      <c r="B334" t="s">
        <v>7461</v>
      </c>
      <c r="C334" s="1">
        <v>42460</v>
      </c>
      <c r="D334" s="22">
        <f>MONTH(Table10[[#This Row],[Order Date]])</f>
        <v>3</v>
      </c>
      <c r="E334" t="s">
        <v>6286</v>
      </c>
      <c r="F334" t="s">
        <v>6287</v>
      </c>
      <c r="G334" s="23" t="s">
        <v>64</v>
      </c>
      <c r="H334" s="23" t="s">
        <v>65</v>
      </c>
      <c r="I334" t="s">
        <v>1725</v>
      </c>
      <c r="J334" t="s">
        <v>22</v>
      </c>
      <c r="K334" s="22">
        <v>3</v>
      </c>
      <c r="L334" s="1">
        <v>42462</v>
      </c>
      <c r="M334" s="22">
        <f>Table10[[#This Row],[Ship Date]]-Table10[[#This Row],[Order Date]]</f>
        <v>2</v>
      </c>
      <c r="N334" t="s">
        <v>20</v>
      </c>
      <c r="O334" t="s">
        <v>23</v>
      </c>
      <c r="P334" t="s">
        <v>132</v>
      </c>
      <c r="Q334" t="s">
        <v>133</v>
      </c>
      <c r="R334" t="s">
        <v>131</v>
      </c>
      <c r="S334" s="33">
        <v>0.4</v>
      </c>
      <c r="T334" s="13">
        <v>280.78199999999998</v>
      </c>
      <c r="U334" s="13">
        <v>-60.836100000000002</v>
      </c>
      <c r="V334" s="21">
        <f>Table10[[#This Row],[Profit]]/Table10[[#This Row],[Sales]]</f>
        <v>-0.21666666666666667</v>
      </c>
    </row>
    <row r="335" spans="1:22" x14ac:dyDescent="0.2">
      <c r="A335">
        <v>334</v>
      </c>
      <c r="B335" t="s">
        <v>7461</v>
      </c>
      <c r="C335" s="1">
        <v>42460</v>
      </c>
      <c r="D335" s="22">
        <f>MONTH(Table10[[#This Row],[Order Date]])</f>
        <v>3</v>
      </c>
      <c r="E335" t="s">
        <v>4399</v>
      </c>
      <c r="F335" t="s">
        <v>4400</v>
      </c>
      <c r="G335" s="23" t="s">
        <v>64</v>
      </c>
      <c r="H335" s="23" t="s">
        <v>144</v>
      </c>
      <c r="I335" t="s">
        <v>1725</v>
      </c>
      <c r="J335" t="s">
        <v>22</v>
      </c>
      <c r="K335" s="22">
        <v>2</v>
      </c>
      <c r="L335" s="1">
        <v>42462</v>
      </c>
      <c r="M335" s="22">
        <f>Table10[[#This Row],[Ship Date]]-Table10[[#This Row],[Order Date]]</f>
        <v>2</v>
      </c>
      <c r="N335" t="s">
        <v>20</v>
      </c>
      <c r="O335" t="s">
        <v>23</v>
      </c>
      <c r="P335" t="s">
        <v>132</v>
      </c>
      <c r="Q335" t="s">
        <v>133</v>
      </c>
      <c r="R335" t="s">
        <v>131</v>
      </c>
      <c r="S335" s="33">
        <v>0.2</v>
      </c>
      <c r="T335" s="13">
        <v>31.984000000000002</v>
      </c>
      <c r="U335" s="13">
        <v>1.1994</v>
      </c>
      <c r="V335" s="21">
        <f>Table10[[#This Row],[Profit]]/Table10[[#This Row],[Sales]]</f>
        <v>3.7499999999999999E-2</v>
      </c>
    </row>
    <row r="336" spans="1:22" x14ac:dyDescent="0.2">
      <c r="A336">
        <v>335</v>
      </c>
      <c r="B336" t="s">
        <v>7924</v>
      </c>
      <c r="C336" s="1">
        <v>42460</v>
      </c>
      <c r="D336" s="22">
        <f>MONTH(Table10[[#This Row],[Order Date]])</f>
        <v>3</v>
      </c>
      <c r="E336" t="s">
        <v>620</v>
      </c>
      <c r="F336" t="s">
        <v>621</v>
      </c>
      <c r="G336" s="23" t="s">
        <v>28</v>
      </c>
      <c r="H336" s="23" t="s">
        <v>32</v>
      </c>
      <c r="I336" t="s">
        <v>4208</v>
      </c>
      <c r="J336" t="s">
        <v>22</v>
      </c>
      <c r="K336" s="22">
        <v>6</v>
      </c>
      <c r="L336" s="1">
        <v>42466</v>
      </c>
      <c r="M336" s="22">
        <f>Table10[[#This Row],[Ship Date]]-Table10[[#This Row],[Order Date]]</f>
        <v>6</v>
      </c>
      <c r="N336" t="s">
        <v>45</v>
      </c>
      <c r="O336" t="s">
        <v>23</v>
      </c>
      <c r="P336" t="s">
        <v>238</v>
      </c>
      <c r="Q336" t="s">
        <v>133</v>
      </c>
      <c r="R336" t="s">
        <v>237</v>
      </c>
      <c r="S336" s="33">
        <v>0.1</v>
      </c>
      <c r="T336" s="13">
        <v>327.99599999999998</v>
      </c>
      <c r="U336" s="13">
        <v>54.665999999999997</v>
      </c>
      <c r="V336" s="21">
        <f>Table10[[#This Row],[Profit]]/Table10[[#This Row],[Sales]]</f>
        <v>0.16666666666666666</v>
      </c>
    </row>
    <row r="337" spans="1:22" x14ac:dyDescent="0.2">
      <c r="A337">
        <v>336</v>
      </c>
      <c r="B337" t="s">
        <v>1378</v>
      </c>
      <c r="C337" s="1">
        <v>42461</v>
      </c>
      <c r="D337" s="22">
        <f>MONTH(Table10[[#This Row],[Order Date]])</f>
        <v>4</v>
      </c>
      <c r="E337" t="s">
        <v>1381</v>
      </c>
      <c r="F337" t="s">
        <v>1382</v>
      </c>
      <c r="G337" s="23" t="s">
        <v>41</v>
      </c>
      <c r="H337" s="23" t="s">
        <v>61</v>
      </c>
      <c r="I337" t="s">
        <v>1379</v>
      </c>
      <c r="J337" t="s">
        <v>22</v>
      </c>
      <c r="K337" s="22">
        <v>3</v>
      </c>
      <c r="L337" s="1">
        <v>42463</v>
      </c>
      <c r="M337" s="22">
        <f>Table10[[#This Row],[Ship Date]]-Table10[[#This Row],[Order Date]]</f>
        <v>2</v>
      </c>
      <c r="N337" t="s">
        <v>20</v>
      </c>
      <c r="O337" t="s">
        <v>23</v>
      </c>
      <c r="P337" t="s">
        <v>238</v>
      </c>
      <c r="Q337" t="s">
        <v>133</v>
      </c>
      <c r="R337" t="s">
        <v>1380</v>
      </c>
      <c r="S337" s="33">
        <v>0</v>
      </c>
      <c r="T337" s="13">
        <v>59.52</v>
      </c>
      <c r="U337" s="13">
        <v>15.475199999999999</v>
      </c>
      <c r="V337" s="21">
        <f>Table10[[#This Row],[Profit]]/Table10[[#This Row],[Sales]]</f>
        <v>0.25999999999999995</v>
      </c>
    </row>
    <row r="338" spans="1:22" x14ac:dyDescent="0.2">
      <c r="A338">
        <v>337</v>
      </c>
      <c r="B338" t="s">
        <v>1378</v>
      </c>
      <c r="C338" s="1">
        <v>42461</v>
      </c>
      <c r="D338" s="22">
        <f>MONTH(Table10[[#This Row],[Order Date]])</f>
        <v>4</v>
      </c>
      <c r="E338" t="s">
        <v>1383</v>
      </c>
      <c r="F338" t="s">
        <v>1384</v>
      </c>
      <c r="G338" s="23" t="s">
        <v>41</v>
      </c>
      <c r="H338" s="23" t="s">
        <v>53</v>
      </c>
      <c r="I338" t="s">
        <v>1379</v>
      </c>
      <c r="J338" t="s">
        <v>22</v>
      </c>
      <c r="K338" s="22">
        <v>3</v>
      </c>
      <c r="L338" s="1">
        <v>42463</v>
      </c>
      <c r="M338" s="22">
        <f>Table10[[#This Row],[Ship Date]]-Table10[[#This Row],[Order Date]]</f>
        <v>2</v>
      </c>
      <c r="N338" t="s">
        <v>20</v>
      </c>
      <c r="O338" t="s">
        <v>23</v>
      </c>
      <c r="P338" t="s">
        <v>238</v>
      </c>
      <c r="Q338" t="s">
        <v>133</v>
      </c>
      <c r="R338" t="s">
        <v>1380</v>
      </c>
      <c r="S338" s="33">
        <v>0</v>
      </c>
      <c r="T338" s="13">
        <v>161.94</v>
      </c>
      <c r="U338" s="13">
        <v>9.7164000000000001</v>
      </c>
      <c r="V338" s="21">
        <f>Table10[[#This Row],[Profit]]/Table10[[#This Row],[Sales]]</f>
        <v>6.0000000000000005E-2</v>
      </c>
    </row>
    <row r="339" spans="1:22" x14ac:dyDescent="0.2">
      <c r="A339">
        <v>338</v>
      </c>
      <c r="B339" t="s">
        <v>1378</v>
      </c>
      <c r="C339" s="1">
        <v>42461</v>
      </c>
      <c r="D339" s="22">
        <f>MONTH(Table10[[#This Row],[Order Date]])</f>
        <v>4</v>
      </c>
      <c r="E339" t="s">
        <v>1385</v>
      </c>
      <c r="F339" t="s">
        <v>1386</v>
      </c>
      <c r="G339" s="23" t="s">
        <v>41</v>
      </c>
      <c r="H339" s="23" t="s">
        <v>61</v>
      </c>
      <c r="I339" t="s">
        <v>1379</v>
      </c>
      <c r="J339" t="s">
        <v>22</v>
      </c>
      <c r="K339" s="22">
        <v>6</v>
      </c>
      <c r="L339" s="1">
        <v>42463</v>
      </c>
      <c r="M339" s="22">
        <f>Table10[[#This Row],[Ship Date]]-Table10[[#This Row],[Order Date]]</f>
        <v>2</v>
      </c>
      <c r="N339" t="s">
        <v>20</v>
      </c>
      <c r="O339" t="s">
        <v>23</v>
      </c>
      <c r="P339" t="s">
        <v>238</v>
      </c>
      <c r="Q339" t="s">
        <v>133</v>
      </c>
      <c r="R339" t="s">
        <v>1380</v>
      </c>
      <c r="S339" s="33">
        <v>0</v>
      </c>
      <c r="T339" s="13">
        <v>263.88</v>
      </c>
      <c r="U339" s="13">
        <v>71.247600000000006</v>
      </c>
      <c r="V339" s="21">
        <f>Table10[[#This Row],[Profit]]/Table10[[#This Row],[Sales]]</f>
        <v>0.27</v>
      </c>
    </row>
    <row r="340" spans="1:22" x14ac:dyDescent="0.2">
      <c r="A340">
        <v>339</v>
      </c>
      <c r="B340" t="s">
        <v>1378</v>
      </c>
      <c r="C340" s="1">
        <v>42461</v>
      </c>
      <c r="D340" s="22">
        <f>MONTH(Table10[[#This Row],[Order Date]])</f>
        <v>4</v>
      </c>
      <c r="E340" t="s">
        <v>1387</v>
      </c>
      <c r="F340" t="s">
        <v>1388</v>
      </c>
      <c r="G340" s="23" t="s">
        <v>41</v>
      </c>
      <c r="H340" s="23" t="s">
        <v>61</v>
      </c>
      <c r="I340" t="s">
        <v>1379</v>
      </c>
      <c r="J340" t="s">
        <v>22</v>
      </c>
      <c r="K340" s="22">
        <v>3</v>
      </c>
      <c r="L340" s="1">
        <v>42463</v>
      </c>
      <c r="M340" s="22">
        <f>Table10[[#This Row],[Ship Date]]-Table10[[#This Row],[Order Date]]</f>
        <v>2</v>
      </c>
      <c r="N340" t="s">
        <v>20</v>
      </c>
      <c r="O340" t="s">
        <v>23</v>
      </c>
      <c r="P340" t="s">
        <v>238</v>
      </c>
      <c r="Q340" t="s">
        <v>133</v>
      </c>
      <c r="R340" t="s">
        <v>1380</v>
      </c>
      <c r="S340" s="33">
        <v>0</v>
      </c>
      <c r="T340" s="13">
        <v>30.48</v>
      </c>
      <c r="U340" s="13">
        <v>7.9248000000000003</v>
      </c>
      <c r="V340" s="21">
        <f>Table10[[#This Row],[Profit]]/Table10[[#This Row],[Sales]]</f>
        <v>0.26</v>
      </c>
    </row>
    <row r="341" spans="1:22" x14ac:dyDescent="0.2">
      <c r="A341">
        <v>340</v>
      </c>
      <c r="B341" t="s">
        <v>1378</v>
      </c>
      <c r="C341" s="1">
        <v>42461</v>
      </c>
      <c r="D341" s="22">
        <f>MONTH(Table10[[#This Row],[Order Date]])</f>
        <v>4</v>
      </c>
      <c r="E341" t="s">
        <v>1389</v>
      </c>
      <c r="F341" t="s">
        <v>1390</v>
      </c>
      <c r="G341" s="23" t="s">
        <v>41</v>
      </c>
      <c r="H341" s="23" t="s">
        <v>61</v>
      </c>
      <c r="I341" t="s">
        <v>1379</v>
      </c>
      <c r="J341" t="s">
        <v>22</v>
      </c>
      <c r="K341" s="22">
        <v>3</v>
      </c>
      <c r="L341" s="1">
        <v>42463</v>
      </c>
      <c r="M341" s="22">
        <f>Table10[[#This Row],[Ship Date]]-Table10[[#This Row],[Order Date]]</f>
        <v>2</v>
      </c>
      <c r="N341" t="s">
        <v>20</v>
      </c>
      <c r="O341" t="s">
        <v>23</v>
      </c>
      <c r="P341" t="s">
        <v>238</v>
      </c>
      <c r="Q341" t="s">
        <v>133</v>
      </c>
      <c r="R341" t="s">
        <v>1380</v>
      </c>
      <c r="S341" s="33">
        <v>0</v>
      </c>
      <c r="T341" s="13">
        <v>9.84</v>
      </c>
      <c r="U341" s="13">
        <v>2.8536000000000001</v>
      </c>
      <c r="V341" s="21">
        <f>Table10[[#This Row],[Profit]]/Table10[[#This Row],[Sales]]</f>
        <v>0.29000000000000004</v>
      </c>
    </row>
    <row r="342" spans="1:22" x14ac:dyDescent="0.2">
      <c r="A342">
        <v>341</v>
      </c>
      <c r="B342" t="s">
        <v>1378</v>
      </c>
      <c r="C342" s="1">
        <v>42461</v>
      </c>
      <c r="D342" s="22">
        <f>MONTH(Table10[[#This Row],[Order Date]])</f>
        <v>4</v>
      </c>
      <c r="E342" t="s">
        <v>1391</v>
      </c>
      <c r="F342" t="s">
        <v>1392</v>
      </c>
      <c r="G342" s="23" t="s">
        <v>64</v>
      </c>
      <c r="H342" s="23" t="s">
        <v>65</v>
      </c>
      <c r="I342" t="s">
        <v>1379</v>
      </c>
      <c r="J342" t="s">
        <v>22</v>
      </c>
      <c r="K342" s="22">
        <v>4</v>
      </c>
      <c r="L342" s="1">
        <v>42463</v>
      </c>
      <c r="M342" s="22">
        <f>Table10[[#This Row],[Ship Date]]-Table10[[#This Row],[Order Date]]</f>
        <v>2</v>
      </c>
      <c r="N342" t="s">
        <v>20</v>
      </c>
      <c r="O342" t="s">
        <v>23</v>
      </c>
      <c r="P342" t="s">
        <v>238</v>
      </c>
      <c r="Q342" t="s">
        <v>133</v>
      </c>
      <c r="R342" t="s">
        <v>1380</v>
      </c>
      <c r="S342" s="33">
        <v>0</v>
      </c>
      <c r="T342" s="13">
        <v>35.119999999999997</v>
      </c>
      <c r="U342" s="13">
        <v>9.1311999999999998</v>
      </c>
      <c r="V342" s="21">
        <f>Table10[[#This Row],[Profit]]/Table10[[#This Row],[Sales]]</f>
        <v>0.26</v>
      </c>
    </row>
    <row r="343" spans="1:22" x14ac:dyDescent="0.2">
      <c r="A343">
        <v>342</v>
      </c>
      <c r="B343" t="s">
        <v>1881</v>
      </c>
      <c r="C343" s="1">
        <v>42461</v>
      </c>
      <c r="D343" s="22">
        <f>MONTH(Table10[[#This Row],[Order Date]])</f>
        <v>4</v>
      </c>
      <c r="E343" t="s">
        <v>1883</v>
      </c>
      <c r="F343" t="s">
        <v>498</v>
      </c>
      <c r="G343" s="23" t="s">
        <v>41</v>
      </c>
      <c r="H343" s="23" t="s">
        <v>240</v>
      </c>
      <c r="I343" t="s">
        <v>904</v>
      </c>
      <c r="J343" t="s">
        <v>36</v>
      </c>
      <c r="K343" s="22">
        <v>5</v>
      </c>
      <c r="L343" s="1">
        <v>42468</v>
      </c>
      <c r="M343" s="22">
        <f>Table10[[#This Row],[Ship Date]]-Table10[[#This Row],[Order Date]]</f>
        <v>7</v>
      </c>
      <c r="N343" t="s">
        <v>45</v>
      </c>
      <c r="O343" t="s">
        <v>23</v>
      </c>
      <c r="P343" t="s">
        <v>277</v>
      </c>
      <c r="Q343" t="s">
        <v>39</v>
      </c>
      <c r="R343" t="s">
        <v>1882</v>
      </c>
      <c r="S343" s="33">
        <v>0.2</v>
      </c>
      <c r="T343" s="13">
        <v>31.56</v>
      </c>
      <c r="U343" s="13">
        <v>9.8625000000000007</v>
      </c>
      <c r="V343" s="21">
        <f>Table10[[#This Row],[Profit]]/Table10[[#This Row],[Sales]]</f>
        <v>0.31250000000000006</v>
      </c>
    </row>
    <row r="344" spans="1:22" x14ac:dyDescent="0.2">
      <c r="A344">
        <v>343</v>
      </c>
      <c r="B344" t="s">
        <v>1881</v>
      </c>
      <c r="C344" s="1">
        <v>42461</v>
      </c>
      <c r="D344" s="22">
        <f>MONTH(Table10[[#This Row],[Order Date]])</f>
        <v>4</v>
      </c>
      <c r="E344" t="s">
        <v>1884</v>
      </c>
      <c r="F344" t="s">
        <v>1885</v>
      </c>
      <c r="G344" s="23" t="s">
        <v>41</v>
      </c>
      <c r="H344" s="23" t="s">
        <v>71</v>
      </c>
      <c r="I344" t="s">
        <v>904</v>
      </c>
      <c r="J344" t="s">
        <v>36</v>
      </c>
      <c r="K344" s="22">
        <v>2</v>
      </c>
      <c r="L344" s="1">
        <v>42468</v>
      </c>
      <c r="M344" s="22">
        <f>Table10[[#This Row],[Ship Date]]-Table10[[#This Row],[Order Date]]</f>
        <v>7</v>
      </c>
      <c r="N344" t="s">
        <v>45</v>
      </c>
      <c r="O344" t="s">
        <v>23</v>
      </c>
      <c r="P344" t="s">
        <v>277</v>
      </c>
      <c r="Q344" t="s">
        <v>39</v>
      </c>
      <c r="R344" t="s">
        <v>1882</v>
      </c>
      <c r="S344" s="33">
        <v>0.2</v>
      </c>
      <c r="T344" s="13">
        <v>30.143999999999998</v>
      </c>
      <c r="U344" s="13">
        <v>3.0144000000000002</v>
      </c>
      <c r="V344" s="21">
        <f>Table10[[#This Row],[Profit]]/Table10[[#This Row],[Sales]]</f>
        <v>0.1</v>
      </c>
    </row>
    <row r="345" spans="1:22" x14ac:dyDescent="0.2">
      <c r="A345">
        <v>344</v>
      </c>
      <c r="B345" t="s">
        <v>6378</v>
      </c>
      <c r="C345" s="1">
        <v>42461</v>
      </c>
      <c r="D345" s="22">
        <f>MONTH(Table10[[#This Row],[Order Date]])</f>
        <v>4</v>
      </c>
      <c r="E345" t="s">
        <v>2281</v>
      </c>
      <c r="F345" t="s">
        <v>2282</v>
      </c>
      <c r="G345" s="23" t="s">
        <v>41</v>
      </c>
      <c r="H345" s="23" t="s">
        <v>61</v>
      </c>
      <c r="I345" t="s">
        <v>2797</v>
      </c>
      <c r="J345" t="s">
        <v>22</v>
      </c>
      <c r="K345" s="22">
        <v>4</v>
      </c>
      <c r="L345" s="1">
        <v>42466</v>
      </c>
      <c r="M345" s="22">
        <f>Table10[[#This Row],[Ship Date]]-Table10[[#This Row],[Order Date]]</f>
        <v>5</v>
      </c>
      <c r="N345" t="s">
        <v>45</v>
      </c>
      <c r="O345" t="s">
        <v>23</v>
      </c>
      <c r="P345" t="s">
        <v>238</v>
      </c>
      <c r="Q345" t="s">
        <v>133</v>
      </c>
      <c r="R345" t="s">
        <v>237</v>
      </c>
      <c r="S345" s="33">
        <v>0</v>
      </c>
      <c r="T345" s="13">
        <v>88.04</v>
      </c>
      <c r="U345" s="13">
        <v>22.8904</v>
      </c>
      <c r="V345" s="21">
        <f>Table10[[#This Row],[Profit]]/Table10[[#This Row],[Sales]]</f>
        <v>0.25999999999999995</v>
      </c>
    </row>
    <row r="346" spans="1:22" x14ac:dyDescent="0.2">
      <c r="A346">
        <v>345</v>
      </c>
      <c r="B346" t="s">
        <v>6477</v>
      </c>
      <c r="C346" s="1">
        <v>42461</v>
      </c>
      <c r="D346" s="22">
        <f>MONTH(Table10[[#This Row],[Order Date]])</f>
        <v>4</v>
      </c>
      <c r="E346" t="s">
        <v>1675</v>
      </c>
      <c r="F346" t="s">
        <v>1676</v>
      </c>
      <c r="G346" s="23" t="s">
        <v>41</v>
      </c>
      <c r="H346" s="23" t="s">
        <v>42</v>
      </c>
      <c r="I346" t="s">
        <v>3997</v>
      </c>
      <c r="J346" t="s">
        <v>36</v>
      </c>
      <c r="K346" s="22">
        <v>2</v>
      </c>
      <c r="L346" s="1">
        <v>42465</v>
      </c>
      <c r="M346" s="22">
        <f>Table10[[#This Row],[Ship Date]]-Table10[[#This Row],[Order Date]]</f>
        <v>4</v>
      </c>
      <c r="N346" t="s">
        <v>45</v>
      </c>
      <c r="O346" t="s">
        <v>23</v>
      </c>
      <c r="P346" t="s">
        <v>238</v>
      </c>
      <c r="Q346" t="s">
        <v>133</v>
      </c>
      <c r="R346" t="s">
        <v>237</v>
      </c>
      <c r="S346" s="33">
        <v>0</v>
      </c>
      <c r="T346" s="13">
        <v>20.7</v>
      </c>
      <c r="U346" s="13">
        <v>9.9359999999999999</v>
      </c>
      <c r="V346" s="21">
        <f>Table10[[#This Row],[Profit]]/Table10[[#This Row],[Sales]]</f>
        <v>0.48000000000000004</v>
      </c>
    </row>
    <row r="347" spans="1:22" x14ac:dyDescent="0.2">
      <c r="A347">
        <v>346</v>
      </c>
      <c r="B347" t="s">
        <v>6477</v>
      </c>
      <c r="C347" s="1">
        <v>42461</v>
      </c>
      <c r="D347" s="22">
        <f>MONTH(Table10[[#This Row],[Order Date]])</f>
        <v>4</v>
      </c>
      <c r="E347" t="s">
        <v>1722</v>
      </c>
      <c r="F347" t="s">
        <v>1723</v>
      </c>
      <c r="G347" s="23" t="s">
        <v>41</v>
      </c>
      <c r="H347" s="23" t="s">
        <v>513</v>
      </c>
      <c r="I347" t="s">
        <v>3997</v>
      </c>
      <c r="J347" t="s">
        <v>36</v>
      </c>
      <c r="K347" s="22">
        <v>3</v>
      </c>
      <c r="L347" s="1">
        <v>42465</v>
      </c>
      <c r="M347" s="22">
        <f>Table10[[#This Row],[Ship Date]]-Table10[[#This Row],[Order Date]]</f>
        <v>4</v>
      </c>
      <c r="N347" t="s">
        <v>45</v>
      </c>
      <c r="O347" t="s">
        <v>23</v>
      </c>
      <c r="P347" t="s">
        <v>238</v>
      </c>
      <c r="Q347" t="s">
        <v>133</v>
      </c>
      <c r="R347" t="s">
        <v>237</v>
      </c>
      <c r="S347" s="33">
        <v>0</v>
      </c>
      <c r="T347" s="13">
        <v>10.95</v>
      </c>
      <c r="U347" s="13">
        <v>3.2850000000000001</v>
      </c>
      <c r="V347" s="21">
        <f>Table10[[#This Row],[Profit]]/Table10[[#This Row],[Sales]]</f>
        <v>0.30000000000000004</v>
      </c>
    </row>
    <row r="348" spans="1:22" x14ac:dyDescent="0.2">
      <c r="A348">
        <v>347</v>
      </c>
      <c r="B348" t="s">
        <v>6477</v>
      </c>
      <c r="C348" s="1">
        <v>42461</v>
      </c>
      <c r="D348" s="22">
        <f>MONTH(Table10[[#This Row],[Order Date]])</f>
        <v>4</v>
      </c>
      <c r="E348" t="s">
        <v>1951</v>
      </c>
      <c r="F348" t="s">
        <v>1952</v>
      </c>
      <c r="G348" s="23" t="s">
        <v>41</v>
      </c>
      <c r="H348" s="23" t="s">
        <v>68</v>
      </c>
      <c r="I348" t="s">
        <v>3997</v>
      </c>
      <c r="J348" t="s">
        <v>36</v>
      </c>
      <c r="K348" s="22">
        <v>3</v>
      </c>
      <c r="L348" s="1">
        <v>42465</v>
      </c>
      <c r="M348" s="22">
        <f>Table10[[#This Row],[Ship Date]]-Table10[[#This Row],[Order Date]]</f>
        <v>4</v>
      </c>
      <c r="N348" t="s">
        <v>45</v>
      </c>
      <c r="O348" t="s">
        <v>23</v>
      </c>
      <c r="P348" t="s">
        <v>238</v>
      </c>
      <c r="Q348" t="s">
        <v>133</v>
      </c>
      <c r="R348" t="s">
        <v>237</v>
      </c>
      <c r="S348" s="33">
        <v>0.2</v>
      </c>
      <c r="T348" s="13">
        <v>14.352</v>
      </c>
      <c r="U348" s="13">
        <v>4.6643999999999997</v>
      </c>
      <c r="V348" s="21">
        <f>Table10[[#This Row],[Profit]]/Table10[[#This Row],[Sales]]</f>
        <v>0.32499999999999996</v>
      </c>
    </row>
    <row r="349" spans="1:22" x14ac:dyDescent="0.2">
      <c r="A349">
        <v>348</v>
      </c>
      <c r="B349" t="s">
        <v>7270</v>
      </c>
      <c r="C349" s="1">
        <v>42461</v>
      </c>
      <c r="D349" s="22">
        <f>MONTH(Table10[[#This Row],[Order Date]])</f>
        <v>4</v>
      </c>
      <c r="E349" t="s">
        <v>31</v>
      </c>
      <c r="F349" t="s">
        <v>33</v>
      </c>
      <c r="G349" s="23" t="s">
        <v>28</v>
      </c>
      <c r="H349" s="23" t="s">
        <v>32</v>
      </c>
      <c r="I349" t="s">
        <v>1696</v>
      </c>
      <c r="J349" t="s">
        <v>22</v>
      </c>
      <c r="K349" s="22">
        <v>6</v>
      </c>
      <c r="L349" s="1">
        <v>42465</v>
      </c>
      <c r="M349" s="22">
        <f>Table10[[#This Row],[Ship Date]]-Table10[[#This Row],[Order Date]]</f>
        <v>4</v>
      </c>
      <c r="N349" t="s">
        <v>45</v>
      </c>
      <c r="O349" t="s">
        <v>23</v>
      </c>
      <c r="P349" t="s">
        <v>238</v>
      </c>
      <c r="Q349" t="s">
        <v>133</v>
      </c>
      <c r="R349" t="s">
        <v>237</v>
      </c>
      <c r="S349" s="33">
        <v>0.1</v>
      </c>
      <c r="T349" s="13">
        <v>1317.492</v>
      </c>
      <c r="U349" s="13">
        <v>292.77600000000001</v>
      </c>
      <c r="V349" s="21">
        <f>Table10[[#This Row],[Profit]]/Table10[[#This Row],[Sales]]</f>
        <v>0.22222222222222224</v>
      </c>
    </row>
    <row r="350" spans="1:22" x14ac:dyDescent="0.2">
      <c r="A350">
        <v>349</v>
      </c>
      <c r="B350" t="s">
        <v>7270</v>
      </c>
      <c r="C350" s="1">
        <v>42461</v>
      </c>
      <c r="D350" s="22">
        <f>MONTH(Table10[[#This Row],[Order Date]])</f>
        <v>4</v>
      </c>
      <c r="E350" t="s">
        <v>5391</v>
      </c>
      <c r="F350" t="s">
        <v>1147</v>
      </c>
      <c r="G350" s="23" t="s">
        <v>41</v>
      </c>
      <c r="H350" s="23" t="s">
        <v>513</v>
      </c>
      <c r="I350" t="s">
        <v>1696</v>
      </c>
      <c r="J350" t="s">
        <v>22</v>
      </c>
      <c r="K350" s="22">
        <v>8</v>
      </c>
      <c r="L350" s="1">
        <v>42465</v>
      </c>
      <c r="M350" s="22">
        <f>Table10[[#This Row],[Ship Date]]-Table10[[#This Row],[Order Date]]</f>
        <v>4</v>
      </c>
      <c r="N350" t="s">
        <v>45</v>
      </c>
      <c r="O350" t="s">
        <v>23</v>
      </c>
      <c r="P350" t="s">
        <v>238</v>
      </c>
      <c r="Q350" t="s">
        <v>133</v>
      </c>
      <c r="R350" t="s">
        <v>237</v>
      </c>
      <c r="S350" s="33">
        <v>0</v>
      </c>
      <c r="T350" s="13">
        <v>63.84</v>
      </c>
      <c r="U350" s="13">
        <v>18.5136</v>
      </c>
      <c r="V350" s="21">
        <f>Table10[[#This Row],[Profit]]/Table10[[#This Row],[Sales]]</f>
        <v>0.28999999999999998</v>
      </c>
    </row>
    <row r="351" spans="1:22" x14ac:dyDescent="0.2">
      <c r="A351">
        <v>350</v>
      </c>
      <c r="B351" t="s">
        <v>7270</v>
      </c>
      <c r="C351" s="1">
        <v>42461</v>
      </c>
      <c r="D351" s="22">
        <f>MONTH(Table10[[#This Row],[Order Date]])</f>
        <v>4</v>
      </c>
      <c r="E351" t="s">
        <v>1077</v>
      </c>
      <c r="F351" t="s">
        <v>1078</v>
      </c>
      <c r="G351" s="23" t="s">
        <v>41</v>
      </c>
      <c r="H351" s="23" t="s">
        <v>68</v>
      </c>
      <c r="I351" t="s">
        <v>1696</v>
      </c>
      <c r="J351" t="s">
        <v>22</v>
      </c>
      <c r="K351" s="22">
        <v>1</v>
      </c>
      <c r="L351" s="1">
        <v>42465</v>
      </c>
      <c r="M351" s="22">
        <f>Table10[[#This Row],[Ship Date]]-Table10[[#This Row],[Order Date]]</f>
        <v>4</v>
      </c>
      <c r="N351" t="s">
        <v>45</v>
      </c>
      <c r="O351" t="s">
        <v>23</v>
      </c>
      <c r="P351" t="s">
        <v>238</v>
      </c>
      <c r="Q351" t="s">
        <v>133</v>
      </c>
      <c r="R351" t="s">
        <v>237</v>
      </c>
      <c r="S351" s="33">
        <v>0.2</v>
      </c>
      <c r="T351" s="13">
        <v>3.5920000000000001</v>
      </c>
      <c r="U351" s="13">
        <v>1.1225000000000001</v>
      </c>
      <c r="V351" s="21">
        <f>Table10[[#This Row],[Profit]]/Table10[[#This Row],[Sales]]</f>
        <v>0.3125</v>
      </c>
    </row>
    <row r="352" spans="1:22" x14ac:dyDescent="0.2">
      <c r="A352">
        <v>351</v>
      </c>
      <c r="B352" t="s">
        <v>7634</v>
      </c>
      <c r="C352" s="1">
        <v>42461</v>
      </c>
      <c r="D352" s="22">
        <f>MONTH(Table10[[#This Row],[Order Date]])</f>
        <v>4</v>
      </c>
      <c r="E352" t="s">
        <v>899</v>
      </c>
      <c r="F352" t="s">
        <v>900</v>
      </c>
      <c r="G352" s="23" t="s">
        <v>28</v>
      </c>
      <c r="H352" s="23" t="s">
        <v>58</v>
      </c>
      <c r="I352" t="s">
        <v>4982</v>
      </c>
      <c r="J352" t="s">
        <v>92</v>
      </c>
      <c r="K352" s="22">
        <v>4</v>
      </c>
      <c r="L352" s="1">
        <v>42465</v>
      </c>
      <c r="M352" s="22">
        <f>Table10[[#This Row],[Ship Date]]-Table10[[#This Row],[Order Date]]</f>
        <v>4</v>
      </c>
      <c r="N352" t="s">
        <v>20</v>
      </c>
      <c r="O352" t="s">
        <v>23</v>
      </c>
      <c r="P352" t="s">
        <v>1125</v>
      </c>
      <c r="Q352" t="s">
        <v>26</v>
      </c>
      <c r="R352" t="s">
        <v>440</v>
      </c>
      <c r="S352" s="33">
        <v>0</v>
      </c>
      <c r="T352" s="13">
        <v>7.04</v>
      </c>
      <c r="U352" s="13">
        <v>3.0975999999999999</v>
      </c>
      <c r="V352" s="21">
        <f>Table10[[#This Row],[Profit]]/Table10[[#This Row],[Sales]]</f>
        <v>0.44</v>
      </c>
    </row>
    <row r="353" spans="1:22" x14ac:dyDescent="0.2">
      <c r="A353">
        <v>352</v>
      </c>
      <c r="B353" t="s">
        <v>9302</v>
      </c>
      <c r="C353" s="1">
        <v>42461</v>
      </c>
      <c r="D353" s="22">
        <f>MONTH(Table10[[#This Row],[Order Date]])</f>
        <v>4</v>
      </c>
      <c r="E353" t="s">
        <v>2691</v>
      </c>
      <c r="F353" t="s">
        <v>2692</v>
      </c>
      <c r="G353" s="23" t="s">
        <v>64</v>
      </c>
      <c r="H353" s="23" t="s">
        <v>65</v>
      </c>
      <c r="I353" t="s">
        <v>3698</v>
      </c>
      <c r="J353" t="s">
        <v>36</v>
      </c>
      <c r="K353" s="22">
        <v>1</v>
      </c>
      <c r="L353" s="1">
        <v>42467</v>
      </c>
      <c r="M353" s="22">
        <f>Table10[[#This Row],[Ship Date]]-Table10[[#This Row],[Order Date]]</f>
        <v>6</v>
      </c>
      <c r="N353" t="s">
        <v>45</v>
      </c>
      <c r="O353" t="s">
        <v>23</v>
      </c>
      <c r="P353" t="s">
        <v>103</v>
      </c>
      <c r="Q353" t="s">
        <v>95</v>
      </c>
      <c r="R353" t="s">
        <v>2242</v>
      </c>
      <c r="S353" s="33">
        <v>0</v>
      </c>
      <c r="T353" s="13">
        <v>12.99</v>
      </c>
      <c r="U353" s="13">
        <v>0.25979999999999998</v>
      </c>
      <c r="V353" s="21">
        <f>Table10[[#This Row],[Profit]]/Table10[[#This Row],[Sales]]</f>
        <v>1.9999999999999997E-2</v>
      </c>
    </row>
    <row r="354" spans="1:22" x14ac:dyDescent="0.2">
      <c r="A354">
        <v>353</v>
      </c>
      <c r="B354" t="s">
        <v>9323</v>
      </c>
      <c r="C354" s="1">
        <v>42462</v>
      </c>
      <c r="D354" s="22">
        <f>MONTH(Table10[[#This Row],[Order Date]])</f>
        <v>4</v>
      </c>
      <c r="E354" t="s">
        <v>3480</v>
      </c>
      <c r="F354" t="s">
        <v>3481</v>
      </c>
      <c r="G354" s="23" t="s">
        <v>28</v>
      </c>
      <c r="H354" s="23" t="s">
        <v>32</v>
      </c>
      <c r="I354" t="s">
        <v>1845</v>
      </c>
      <c r="J354" t="s">
        <v>36</v>
      </c>
      <c r="K354" s="22">
        <v>5</v>
      </c>
      <c r="L354" s="1">
        <v>42466</v>
      </c>
      <c r="M354" s="22">
        <f>Table10[[#This Row],[Ship Date]]-Table10[[#This Row],[Order Date]]</f>
        <v>4</v>
      </c>
      <c r="N354" t="s">
        <v>20</v>
      </c>
      <c r="O354" t="s">
        <v>23</v>
      </c>
      <c r="P354" t="s">
        <v>103</v>
      </c>
      <c r="Q354" t="s">
        <v>95</v>
      </c>
      <c r="R354" t="s">
        <v>2242</v>
      </c>
      <c r="S354" s="33">
        <v>0</v>
      </c>
      <c r="T354" s="13">
        <v>1454.9</v>
      </c>
      <c r="U354" s="13">
        <v>378.274</v>
      </c>
      <c r="V354" s="21">
        <f>Table10[[#This Row],[Profit]]/Table10[[#This Row],[Sales]]</f>
        <v>0.26</v>
      </c>
    </row>
    <row r="355" spans="1:22" x14ac:dyDescent="0.2">
      <c r="A355">
        <v>354</v>
      </c>
      <c r="B355" t="s">
        <v>7215</v>
      </c>
      <c r="C355" s="1">
        <v>42463</v>
      </c>
      <c r="D355" s="22">
        <f>MONTH(Table10[[#This Row],[Order Date]])</f>
        <v>4</v>
      </c>
      <c r="E355" t="s">
        <v>2770</v>
      </c>
      <c r="F355" t="s">
        <v>2771</v>
      </c>
      <c r="G355" s="23" t="s">
        <v>41</v>
      </c>
      <c r="H355" s="23" t="s">
        <v>68</v>
      </c>
      <c r="I355" t="s">
        <v>1725</v>
      </c>
      <c r="J355" t="s">
        <v>22</v>
      </c>
      <c r="K355" s="22">
        <v>9</v>
      </c>
      <c r="L355" s="1">
        <v>42467</v>
      </c>
      <c r="M355" s="22">
        <f>Table10[[#This Row],[Ship Date]]-Table10[[#This Row],[Order Date]]</f>
        <v>4</v>
      </c>
      <c r="N355" t="s">
        <v>45</v>
      </c>
      <c r="O355" t="s">
        <v>23</v>
      </c>
      <c r="P355" t="s">
        <v>132</v>
      </c>
      <c r="Q355" t="s">
        <v>133</v>
      </c>
      <c r="R355" t="s">
        <v>131</v>
      </c>
      <c r="S355" s="33">
        <v>0.7</v>
      </c>
      <c r="T355" s="13">
        <v>99.846000000000004</v>
      </c>
      <c r="U355" s="13">
        <v>-83.204999999999998</v>
      </c>
      <c r="V355" s="21">
        <f>Table10[[#This Row],[Profit]]/Table10[[#This Row],[Sales]]</f>
        <v>-0.83333333333333326</v>
      </c>
    </row>
    <row r="356" spans="1:22" x14ac:dyDescent="0.2">
      <c r="A356">
        <v>355</v>
      </c>
      <c r="B356" t="s">
        <v>7798</v>
      </c>
      <c r="C356" s="1">
        <v>42463</v>
      </c>
      <c r="D356" s="22">
        <f>MONTH(Table10[[#This Row],[Order Date]])</f>
        <v>4</v>
      </c>
      <c r="E356" t="s">
        <v>367</v>
      </c>
      <c r="F356" t="s">
        <v>368</v>
      </c>
      <c r="G356" s="23" t="s">
        <v>28</v>
      </c>
      <c r="H356" s="23" t="s">
        <v>58</v>
      </c>
      <c r="I356" t="s">
        <v>113</v>
      </c>
      <c r="J356" t="s">
        <v>22</v>
      </c>
      <c r="K356" s="22">
        <v>4</v>
      </c>
      <c r="L356" s="1">
        <v>42469</v>
      </c>
      <c r="M356" s="22">
        <f>Table10[[#This Row],[Ship Date]]-Table10[[#This Row],[Order Date]]</f>
        <v>6</v>
      </c>
      <c r="N356" t="s">
        <v>45</v>
      </c>
      <c r="O356" t="s">
        <v>23</v>
      </c>
      <c r="P356" t="s">
        <v>226</v>
      </c>
      <c r="Q356" t="s">
        <v>95</v>
      </c>
      <c r="R356" t="s">
        <v>1294</v>
      </c>
      <c r="S356" s="33">
        <v>0</v>
      </c>
      <c r="T356" s="13">
        <v>71.12</v>
      </c>
      <c r="U356" s="13">
        <v>22.0472</v>
      </c>
      <c r="V356" s="21">
        <f>Table10[[#This Row],[Profit]]/Table10[[#This Row],[Sales]]</f>
        <v>0.31</v>
      </c>
    </row>
    <row r="357" spans="1:22" x14ac:dyDescent="0.2">
      <c r="A357">
        <v>356</v>
      </c>
      <c r="B357" t="s">
        <v>7798</v>
      </c>
      <c r="C357" s="1">
        <v>42463</v>
      </c>
      <c r="D357" s="22">
        <f>MONTH(Table10[[#This Row],[Order Date]])</f>
        <v>4</v>
      </c>
      <c r="E357" t="s">
        <v>5222</v>
      </c>
      <c r="F357" t="s">
        <v>5223</v>
      </c>
      <c r="G357" s="23" t="s">
        <v>64</v>
      </c>
      <c r="H357" s="23" t="s">
        <v>65</v>
      </c>
      <c r="I357" t="s">
        <v>113</v>
      </c>
      <c r="J357" t="s">
        <v>22</v>
      </c>
      <c r="K357" s="22">
        <v>4</v>
      </c>
      <c r="L357" s="1">
        <v>42469</v>
      </c>
      <c r="M357" s="22">
        <f>Table10[[#This Row],[Ship Date]]-Table10[[#This Row],[Order Date]]</f>
        <v>6</v>
      </c>
      <c r="N357" t="s">
        <v>45</v>
      </c>
      <c r="O357" t="s">
        <v>23</v>
      </c>
      <c r="P357" t="s">
        <v>226</v>
      </c>
      <c r="Q357" t="s">
        <v>95</v>
      </c>
      <c r="R357" t="s">
        <v>1294</v>
      </c>
      <c r="S357" s="33">
        <v>0</v>
      </c>
      <c r="T357" s="13">
        <v>259.95999999999998</v>
      </c>
      <c r="U357" s="13">
        <v>124.7808</v>
      </c>
      <c r="V357" s="21">
        <f>Table10[[#This Row],[Profit]]/Table10[[#This Row],[Sales]]</f>
        <v>0.48000000000000004</v>
      </c>
    </row>
    <row r="358" spans="1:22" x14ac:dyDescent="0.2">
      <c r="A358">
        <v>357</v>
      </c>
      <c r="B358" t="s">
        <v>9329</v>
      </c>
      <c r="C358" s="1">
        <v>42463</v>
      </c>
      <c r="D358" s="22">
        <f>MONTH(Table10[[#This Row],[Order Date]])</f>
        <v>4</v>
      </c>
      <c r="E358" t="s">
        <v>3939</v>
      </c>
      <c r="F358" t="s">
        <v>3940</v>
      </c>
      <c r="G358" s="23" t="s">
        <v>41</v>
      </c>
      <c r="H358" s="23" t="s">
        <v>82</v>
      </c>
      <c r="I358" t="s">
        <v>1892</v>
      </c>
      <c r="J358" t="s">
        <v>92</v>
      </c>
      <c r="K358" s="22">
        <v>3</v>
      </c>
      <c r="L358" s="1">
        <v>42463</v>
      </c>
      <c r="M358" s="22">
        <f>Table10[[#This Row],[Ship Date]]-Table10[[#This Row],[Order Date]]</f>
        <v>0</v>
      </c>
      <c r="N358" t="s">
        <v>1141</v>
      </c>
      <c r="O358" t="s">
        <v>23</v>
      </c>
      <c r="P358" t="s">
        <v>94</v>
      </c>
      <c r="Q358" t="s">
        <v>95</v>
      </c>
      <c r="R358" t="s">
        <v>718</v>
      </c>
      <c r="S358" s="33">
        <v>0.2</v>
      </c>
      <c r="T358" s="13">
        <v>10.272</v>
      </c>
      <c r="U358" s="13">
        <v>3.21</v>
      </c>
      <c r="V358" s="21">
        <f>Table10[[#This Row],[Profit]]/Table10[[#This Row],[Sales]]</f>
        <v>0.3125</v>
      </c>
    </row>
    <row r="359" spans="1:22" x14ac:dyDescent="0.2">
      <c r="A359">
        <v>358</v>
      </c>
      <c r="B359" t="s">
        <v>6614</v>
      </c>
      <c r="C359" s="1">
        <v>42464</v>
      </c>
      <c r="D359" s="22">
        <f>MONTH(Table10[[#This Row],[Order Date]])</f>
        <v>4</v>
      </c>
      <c r="E359" t="s">
        <v>544</v>
      </c>
      <c r="F359" t="s">
        <v>545</v>
      </c>
      <c r="G359" s="23" t="s">
        <v>64</v>
      </c>
      <c r="H359" s="23" t="s">
        <v>65</v>
      </c>
      <c r="I359" t="s">
        <v>3454</v>
      </c>
      <c r="J359" t="s">
        <v>92</v>
      </c>
      <c r="K359" s="22">
        <v>3</v>
      </c>
      <c r="L359" s="1">
        <v>42465</v>
      </c>
      <c r="M359" s="22">
        <f>Table10[[#This Row],[Ship Date]]-Table10[[#This Row],[Order Date]]</f>
        <v>1</v>
      </c>
      <c r="N359" t="s">
        <v>169</v>
      </c>
      <c r="O359" t="s">
        <v>23</v>
      </c>
      <c r="P359" t="s">
        <v>285</v>
      </c>
      <c r="Q359" t="s">
        <v>26</v>
      </c>
      <c r="R359" t="s">
        <v>284</v>
      </c>
      <c r="S359" s="33">
        <v>0</v>
      </c>
      <c r="T359" s="13">
        <v>149.97</v>
      </c>
      <c r="U359" s="13">
        <v>5.9988000000000001</v>
      </c>
      <c r="V359" s="21">
        <f>Table10[[#This Row],[Profit]]/Table10[[#This Row],[Sales]]</f>
        <v>0.04</v>
      </c>
    </row>
    <row r="360" spans="1:22" x14ac:dyDescent="0.2">
      <c r="A360">
        <v>359</v>
      </c>
      <c r="B360" t="s">
        <v>6614</v>
      </c>
      <c r="C360" s="1">
        <v>42464</v>
      </c>
      <c r="D360" s="22">
        <f>MONTH(Table10[[#This Row],[Order Date]])</f>
        <v>4</v>
      </c>
      <c r="E360" t="s">
        <v>4649</v>
      </c>
      <c r="F360" t="s">
        <v>4650</v>
      </c>
      <c r="G360" s="23" t="s">
        <v>41</v>
      </c>
      <c r="H360" s="23" t="s">
        <v>82</v>
      </c>
      <c r="I360" t="s">
        <v>3454</v>
      </c>
      <c r="J360" t="s">
        <v>92</v>
      </c>
      <c r="K360" s="22">
        <v>3</v>
      </c>
      <c r="L360" s="1">
        <v>42465</v>
      </c>
      <c r="M360" s="22">
        <f>Table10[[#This Row],[Ship Date]]-Table10[[#This Row],[Order Date]]</f>
        <v>1</v>
      </c>
      <c r="N360" t="s">
        <v>169</v>
      </c>
      <c r="O360" t="s">
        <v>23</v>
      </c>
      <c r="P360" t="s">
        <v>285</v>
      </c>
      <c r="Q360" t="s">
        <v>26</v>
      </c>
      <c r="R360" t="s">
        <v>284</v>
      </c>
      <c r="S360" s="33">
        <v>0</v>
      </c>
      <c r="T360" s="13">
        <v>27.81</v>
      </c>
      <c r="U360" s="13">
        <v>13.0707</v>
      </c>
      <c r="V360" s="21">
        <f>Table10[[#This Row],[Profit]]/Table10[[#This Row],[Sales]]</f>
        <v>0.47000000000000003</v>
      </c>
    </row>
    <row r="361" spans="1:22" x14ac:dyDescent="0.2">
      <c r="A361">
        <v>360</v>
      </c>
      <c r="B361" t="s">
        <v>7483</v>
      </c>
      <c r="C361" s="1">
        <v>42464</v>
      </c>
      <c r="D361" s="22">
        <f>MONTH(Table10[[#This Row],[Order Date]])</f>
        <v>4</v>
      </c>
      <c r="E361" t="s">
        <v>5683</v>
      </c>
      <c r="F361" t="s">
        <v>5684</v>
      </c>
      <c r="G361" s="23" t="s">
        <v>41</v>
      </c>
      <c r="H361" s="23" t="s">
        <v>68</v>
      </c>
      <c r="I361" t="s">
        <v>5796</v>
      </c>
      <c r="J361" t="s">
        <v>22</v>
      </c>
      <c r="K361" s="22">
        <v>2</v>
      </c>
      <c r="L361" s="1">
        <v>42469</v>
      </c>
      <c r="M361" s="22">
        <f>Table10[[#This Row],[Ship Date]]-Table10[[#This Row],[Order Date]]</f>
        <v>5</v>
      </c>
      <c r="N361" t="s">
        <v>45</v>
      </c>
      <c r="O361" t="s">
        <v>23</v>
      </c>
      <c r="P361" t="s">
        <v>238</v>
      </c>
      <c r="Q361" t="s">
        <v>133</v>
      </c>
      <c r="R361" t="s">
        <v>237</v>
      </c>
      <c r="S361" s="33">
        <v>0.2</v>
      </c>
      <c r="T361" s="13">
        <v>588.78399999999999</v>
      </c>
      <c r="U361" s="13">
        <v>183.995</v>
      </c>
      <c r="V361" s="21">
        <f>Table10[[#This Row],[Profit]]/Table10[[#This Row],[Sales]]</f>
        <v>0.3125</v>
      </c>
    </row>
    <row r="362" spans="1:22" x14ac:dyDescent="0.2">
      <c r="A362">
        <v>361</v>
      </c>
      <c r="B362" t="s">
        <v>9124</v>
      </c>
      <c r="C362" s="1">
        <v>42464</v>
      </c>
      <c r="D362" s="22">
        <f>MONTH(Table10[[#This Row],[Order Date]])</f>
        <v>4</v>
      </c>
      <c r="E362" t="s">
        <v>1644</v>
      </c>
      <c r="F362" t="s">
        <v>1645</v>
      </c>
      <c r="G362" s="23" t="s">
        <v>28</v>
      </c>
      <c r="H362" s="23" t="s">
        <v>58</v>
      </c>
      <c r="I362" t="s">
        <v>4721</v>
      </c>
      <c r="J362" t="s">
        <v>92</v>
      </c>
      <c r="K362" s="22">
        <v>2</v>
      </c>
      <c r="L362" s="1">
        <v>42468</v>
      </c>
      <c r="M362" s="22">
        <f>Table10[[#This Row],[Ship Date]]-Table10[[#This Row],[Order Date]]</f>
        <v>4</v>
      </c>
      <c r="N362" t="s">
        <v>20</v>
      </c>
      <c r="O362" t="s">
        <v>23</v>
      </c>
      <c r="P362" t="s">
        <v>238</v>
      </c>
      <c r="Q362" t="s">
        <v>133</v>
      </c>
      <c r="R362" t="s">
        <v>246</v>
      </c>
      <c r="S362" s="33">
        <v>0</v>
      </c>
      <c r="T362" s="13">
        <v>82.64</v>
      </c>
      <c r="U362" s="13">
        <v>7.4375999999999998</v>
      </c>
      <c r="V362" s="21">
        <f>Table10[[#This Row],[Profit]]/Table10[[#This Row],[Sales]]</f>
        <v>0.09</v>
      </c>
    </row>
    <row r="363" spans="1:22" x14ac:dyDescent="0.2">
      <c r="A363">
        <v>362</v>
      </c>
      <c r="B363" t="s">
        <v>9124</v>
      </c>
      <c r="C363" s="1">
        <v>42464</v>
      </c>
      <c r="D363" s="22">
        <f>MONTH(Table10[[#This Row],[Order Date]])</f>
        <v>4</v>
      </c>
      <c r="E363" t="s">
        <v>643</v>
      </c>
      <c r="F363" t="s">
        <v>644</v>
      </c>
      <c r="G363" s="23" t="s">
        <v>41</v>
      </c>
      <c r="H363" s="23" t="s">
        <v>53</v>
      </c>
      <c r="I363" t="s">
        <v>4721</v>
      </c>
      <c r="J363" t="s">
        <v>92</v>
      </c>
      <c r="K363" s="22">
        <v>2</v>
      </c>
      <c r="L363" s="1">
        <v>42468</v>
      </c>
      <c r="M363" s="22">
        <f>Table10[[#This Row],[Ship Date]]-Table10[[#This Row],[Order Date]]</f>
        <v>4</v>
      </c>
      <c r="N363" t="s">
        <v>20</v>
      </c>
      <c r="O363" t="s">
        <v>23</v>
      </c>
      <c r="P363" t="s">
        <v>238</v>
      </c>
      <c r="Q363" t="s">
        <v>133</v>
      </c>
      <c r="R363" t="s">
        <v>246</v>
      </c>
      <c r="S363" s="33">
        <v>0</v>
      </c>
      <c r="T363" s="13">
        <v>31.02</v>
      </c>
      <c r="U363" s="13">
        <v>8.0652000000000008</v>
      </c>
      <c r="V363" s="21">
        <f>Table10[[#This Row],[Profit]]/Table10[[#This Row],[Sales]]</f>
        <v>0.26</v>
      </c>
    </row>
    <row r="364" spans="1:22" x14ac:dyDescent="0.2">
      <c r="A364">
        <v>363</v>
      </c>
      <c r="B364" t="s">
        <v>9124</v>
      </c>
      <c r="C364" s="1">
        <v>42464</v>
      </c>
      <c r="D364" s="22">
        <f>MONTH(Table10[[#This Row],[Order Date]])</f>
        <v>4</v>
      </c>
      <c r="E364" t="s">
        <v>3525</v>
      </c>
      <c r="F364" t="s">
        <v>3526</v>
      </c>
      <c r="G364" s="23" t="s">
        <v>64</v>
      </c>
      <c r="H364" s="23" t="s">
        <v>144</v>
      </c>
      <c r="I364" t="s">
        <v>4721</v>
      </c>
      <c r="J364" t="s">
        <v>92</v>
      </c>
      <c r="K364" s="22">
        <v>3</v>
      </c>
      <c r="L364" s="1">
        <v>42468</v>
      </c>
      <c r="M364" s="22">
        <f>Table10[[#This Row],[Ship Date]]-Table10[[#This Row],[Order Date]]</f>
        <v>4</v>
      </c>
      <c r="N364" t="s">
        <v>20</v>
      </c>
      <c r="O364" t="s">
        <v>23</v>
      </c>
      <c r="P364" t="s">
        <v>238</v>
      </c>
      <c r="Q364" t="s">
        <v>133</v>
      </c>
      <c r="R364" t="s">
        <v>246</v>
      </c>
      <c r="S364" s="33">
        <v>0</v>
      </c>
      <c r="T364" s="13">
        <v>89.97</v>
      </c>
      <c r="U364" s="13">
        <v>37.787399999999998</v>
      </c>
      <c r="V364" s="21">
        <f>Table10[[#This Row],[Profit]]/Table10[[#This Row],[Sales]]</f>
        <v>0.42</v>
      </c>
    </row>
    <row r="365" spans="1:22" x14ac:dyDescent="0.2">
      <c r="A365">
        <v>364</v>
      </c>
      <c r="B365" t="s">
        <v>352</v>
      </c>
      <c r="C365" s="1">
        <v>42465</v>
      </c>
      <c r="D365" s="22">
        <f>MONTH(Table10[[#This Row],[Order Date]])</f>
        <v>4</v>
      </c>
      <c r="E365" t="s">
        <v>354</v>
      </c>
      <c r="F365" t="s">
        <v>355</v>
      </c>
      <c r="G365" s="23" t="s">
        <v>41</v>
      </c>
      <c r="H365" s="23" t="s">
        <v>53</v>
      </c>
      <c r="I365" t="s">
        <v>353</v>
      </c>
      <c r="J365" t="s">
        <v>92</v>
      </c>
      <c r="K365" s="22">
        <v>7</v>
      </c>
      <c r="L365" s="1">
        <v>42470</v>
      </c>
      <c r="M365" s="22">
        <f>Table10[[#This Row],[Ship Date]]-Table10[[#This Row],[Order Date]]</f>
        <v>5</v>
      </c>
      <c r="N365" t="s">
        <v>20</v>
      </c>
      <c r="O365" t="s">
        <v>23</v>
      </c>
      <c r="P365" t="s">
        <v>94</v>
      </c>
      <c r="Q365" t="s">
        <v>95</v>
      </c>
      <c r="R365" t="s">
        <v>165</v>
      </c>
      <c r="S365" s="33">
        <v>0.2</v>
      </c>
      <c r="T365" s="13">
        <v>158.36799999999999</v>
      </c>
      <c r="U365" s="13">
        <v>13.857200000000001</v>
      </c>
      <c r="V365" s="21">
        <f>Table10[[#This Row],[Profit]]/Table10[[#This Row],[Sales]]</f>
        <v>8.7500000000000008E-2</v>
      </c>
    </row>
    <row r="366" spans="1:22" x14ac:dyDescent="0.2">
      <c r="A366">
        <v>365</v>
      </c>
      <c r="B366" t="s">
        <v>9762</v>
      </c>
      <c r="C366" s="1">
        <v>42465</v>
      </c>
      <c r="D366" s="22">
        <f>MONTH(Table10[[#This Row],[Order Date]])</f>
        <v>4</v>
      </c>
      <c r="E366" t="s">
        <v>4818</v>
      </c>
      <c r="F366" t="s">
        <v>4819</v>
      </c>
      <c r="G366" s="23" t="s">
        <v>64</v>
      </c>
      <c r="H366" s="23" t="s">
        <v>65</v>
      </c>
      <c r="I366" t="s">
        <v>3176</v>
      </c>
      <c r="J366" t="s">
        <v>22</v>
      </c>
      <c r="K366" s="22">
        <v>3</v>
      </c>
      <c r="L366" s="1">
        <v>42469</v>
      </c>
      <c r="M366" s="22">
        <f>Table10[[#This Row],[Ship Date]]-Table10[[#This Row],[Order Date]]</f>
        <v>4</v>
      </c>
      <c r="N366" t="s">
        <v>45</v>
      </c>
      <c r="O366" t="s">
        <v>23</v>
      </c>
      <c r="P366" t="s">
        <v>132</v>
      </c>
      <c r="Q366" t="s">
        <v>133</v>
      </c>
      <c r="R366" t="s">
        <v>131</v>
      </c>
      <c r="S366" s="33">
        <v>0.4</v>
      </c>
      <c r="T366" s="13">
        <v>118.782</v>
      </c>
      <c r="U366" s="13">
        <v>-27.715800000000002</v>
      </c>
      <c r="V366" s="21">
        <f>Table10[[#This Row],[Profit]]/Table10[[#This Row],[Sales]]</f>
        <v>-0.23333333333333336</v>
      </c>
    </row>
    <row r="367" spans="1:22" x14ac:dyDescent="0.2">
      <c r="A367">
        <v>366</v>
      </c>
      <c r="B367" t="s">
        <v>9762</v>
      </c>
      <c r="C367" s="1">
        <v>42465</v>
      </c>
      <c r="D367" s="22">
        <f>MONTH(Table10[[#This Row],[Order Date]])</f>
        <v>4</v>
      </c>
      <c r="E367" t="s">
        <v>940</v>
      </c>
      <c r="F367" t="s">
        <v>941</v>
      </c>
      <c r="G367" s="23" t="s">
        <v>41</v>
      </c>
      <c r="H367" s="23" t="s">
        <v>513</v>
      </c>
      <c r="I367" t="s">
        <v>3176</v>
      </c>
      <c r="J367" t="s">
        <v>22</v>
      </c>
      <c r="K367" s="22">
        <v>4</v>
      </c>
      <c r="L367" s="1">
        <v>42469</v>
      </c>
      <c r="M367" s="22">
        <f>Table10[[#This Row],[Ship Date]]-Table10[[#This Row],[Order Date]]</f>
        <v>4</v>
      </c>
      <c r="N367" t="s">
        <v>45</v>
      </c>
      <c r="O367" t="s">
        <v>23</v>
      </c>
      <c r="P367" t="s">
        <v>132</v>
      </c>
      <c r="Q367" t="s">
        <v>133</v>
      </c>
      <c r="R367" t="s">
        <v>131</v>
      </c>
      <c r="S367" s="33">
        <v>0.2</v>
      </c>
      <c r="T367" s="13">
        <v>769.18399999999997</v>
      </c>
      <c r="U367" s="13">
        <v>-163.45160000000001</v>
      </c>
      <c r="V367" s="21">
        <f>Table10[[#This Row],[Profit]]/Table10[[#This Row],[Sales]]</f>
        <v>-0.21250000000000002</v>
      </c>
    </row>
    <row r="368" spans="1:22" x14ac:dyDescent="0.2">
      <c r="A368">
        <v>367</v>
      </c>
      <c r="B368" t="s">
        <v>9461</v>
      </c>
      <c r="C368" s="1">
        <v>42466</v>
      </c>
      <c r="D368" s="22">
        <f>MONTH(Table10[[#This Row],[Order Date]])</f>
        <v>4</v>
      </c>
      <c r="E368" t="s">
        <v>5004</v>
      </c>
      <c r="F368" t="s">
        <v>5005</v>
      </c>
      <c r="G368" s="23" t="s">
        <v>64</v>
      </c>
      <c r="H368" s="23" t="s">
        <v>65</v>
      </c>
      <c r="I368" t="s">
        <v>693</v>
      </c>
      <c r="J368" t="s">
        <v>92</v>
      </c>
      <c r="K368" s="22">
        <v>5</v>
      </c>
      <c r="L368" s="1">
        <v>42470</v>
      </c>
      <c r="M368" s="22">
        <f>Table10[[#This Row],[Ship Date]]-Table10[[#This Row],[Order Date]]</f>
        <v>4</v>
      </c>
      <c r="N368" t="s">
        <v>45</v>
      </c>
      <c r="O368" t="s">
        <v>23</v>
      </c>
      <c r="P368" t="s">
        <v>4617</v>
      </c>
      <c r="Q368" t="s">
        <v>133</v>
      </c>
      <c r="R368" t="s">
        <v>1957</v>
      </c>
      <c r="S368" s="33">
        <v>0</v>
      </c>
      <c r="T368" s="13">
        <v>1294.75</v>
      </c>
      <c r="U368" s="13">
        <v>336.63499999999999</v>
      </c>
      <c r="V368" s="21">
        <f>Table10[[#This Row],[Profit]]/Table10[[#This Row],[Sales]]</f>
        <v>0.26</v>
      </c>
    </row>
    <row r="369" spans="1:22" x14ac:dyDescent="0.2">
      <c r="A369">
        <v>368</v>
      </c>
      <c r="B369" t="s">
        <v>2106</v>
      </c>
      <c r="C369" s="1">
        <v>42467</v>
      </c>
      <c r="D369" s="22">
        <f>MONTH(Table10[[#This Row],[Order Date]])</f>
        <v>4</v>
      </c>
      <c r="E369" t="s">
        <v>2108</v>
      </c>
      <c r="F369" t="s">
        <v>2109</v>
      </c>
      <c r="G369" s="23" t="s">
        <v>64</v>
      </c>
      <c r="H369" s="23" t="s">
        <v>1075</v>
      </c>
      <c r="I369" t="s">
        <v>2107</v>
      </c>
      <c r="J369" t="s">
        <v>36</v>
      </c>
      <c r="K369" s="22">
        <v>3</v>
      </c>
      <c r="L369" s="1">
        <v>42469</v>
      </c>
      <c r="M369" s="22">
        <f>Table10[[#This Row],[Ship Date]]-Table10[[#This Row],[Order Date]]</f>
        <v>2</v>
      </c>
      <c r="N369" t="s">
        <v>169</v>
      </c>
      <c r="O369" t="s">
        <v>23</v>
      </c>
      <c r="P369" t="s">
        <v>38</v>
      </c>
      <c r="Q369" t="s">
        <v>39</v>
      </c>
      <c r="R369" t="s">
        <v>114</v>
      </c>
      <c r="S369" s="33">
        <v>0.2</v>
      </c>
      <c r="T369" s="13">
        <v>1199.9760000000001</v>
      </c>
      <c r="U369" s="13">
        <v>374.99250000000001</v>
      </c>
      <c r="V369" s="21">
        <f>Table10[[#This Row],[Profit]]/Table10[[#This Row],[Sales]]</f>
        <v>0.3125</v>
      </c>
    </row>
    <row r="370" spans="1:22" x14ac:dyDescent="0.2">
      <c r="A370">
        <v>369</v>
      </c>
      <c r="B370" t="s">
        <v>6986</v>
      </c>
      <c r="C370" s="1">
        <v>42467</v>
      </c>
      <c r="D370" s="22">
        <f>MONTH(Table10[[#This Row],[Order Date]])</f>
        <v>4</v>
      </c>
      <c r="E370" t="s">
        <v>31</v>
      </c>
      <c r="F370" t="s">
        <v>33</v>
      </c>
      <c r="G370" s="23" t="s">
        <v>28</v>
      </c>
      <c r="H370" s="23" t="s">
        <v>32</v>
      </c>
      <c r="I370" t="s">
        <v>860</v>
      </c>
      <c r="J370" t="s">
        <v>36</v>
      </c>
      <c r="K370" s="22">
        <v>3</v>
      </c>
      <c r="L370" s="1">
        <v>42472</v>
      </c>
      <c r="M370" s="22">
        <f>Table10[[#This Row],[Ship Date]]-Table10[[#This Row],[Order Date]]</f>
        <v>5</v>
      </c>
      <c r="N370" t="s">
        <v>45</v>
      </c>
      <c r="O370" t="s">
        <v>23</v>
      </c>
      <c r="P370" t="s">
        <v>238</v>
      </c>
      <c r="Q370" t="s">
        <v>133</v>
      </c>
      <c r="R370" t="s">
        <v>237</v>
      </c>
      <c r="S370" s="33">
        <v>0.1</v>
      </c>
      <c r="T370" s="13">
        <v>658.74599999999998</v>
      </c>
      <c r="U370" s="13">
        <v>146.38800000000001</v>
      </c>
      <c r="V370" s="21">
        <f>Table10[[#This Row],[Profit]]/Table10[[#This Row],[Sales]]</f>
        <v>0.22222222222222224</v>
      </c>
    </row>
    <row r="371" spans="1:22" x14ac:dyDescent="0.2">
      <c r="A371">
        <v>370</v>
      </c>
      <c r="B371" t="s">
        <v>9298</v>
      </c>
      <c r="C371" s="1">
        <v>42467</v>
      </c>
      <c r="D371" s="22">
        <f>MONTH(Table10[[#This Row],[Order Date]])</f>
        <v>4</v>
      </c>
      <c r="E371" t="s">
        <v>60</v>
      </c>
      <c r="F371" t="s">
        <v>62</v>
      </c>
      <c r="G371" s="23" t="s">
        <v>41</v>
      </c>
      <c r="H371" s="23" t="s">
        <v>61</v>
      </c>
      <c r="I371" t="s">
        <v>1714</v>
      </c>
      <c r="J371" t="s">
        <v>22</v>
      </c>
      <c r="K371" s="22">
        <v>2</v>
      </c>
      <c r="L371" s="1">
        <v>42471</v>
      </c>
      <c r="M371" s="22">
        <f>Table10[[#This Row],[Ship Date]]-Table10[[#This Row],[Order Date]]</f>
        <v>4</v>
      </c>
      <c r="N371" t="s">
        <v>45</v>
      </c>
      <c r="O371" t="s">
        <v>23</v>
      </c>
      <c r="P371" t="s">
        <v>238</v>
      </c>
      <c r="Q371" t="s">
        <v>133</v>
      </c>
      <c r="R371" t="s">
        <v>237</v>
      </c>
      <c r="S371" s="33">
        <v>0</v>
      </c>
      <c r="T371" s="13">
        <v>3.64</v>
      </c>
      <c r="U371" s="13">
        <v>0.98280000000000001</v>
      </c>
      <c r="V371" s="21">
        <f>Table10[[#This Row],[Profit]]/Table10[[#This Row],[Sales]]</f>
        <v>0.27</v>
      </c>
    </row>
    <row r="372" spans="1:22" x14ac:dyDescent="0.2">
      <c r="A372">
        <v>371</v>
      </c>
      <c r="B372" t="s">
        <v>9787</v>
      </c>
      <c r="C372" s="1">
        <v>42467</v>
      </c>
      <c r="D372" s="22">
        <f>MONTH(Table10[[#This Row],[Order Date]])</f>
        <v>4</v>
      </c>
      <c r="E372" t="s">
        <v>971</v>
      </c>
      <c r="F372" t="s">
        <v>972</v>
      </c>
      <c r="G372" s="23" t="s">
        <v>41</v>
      </c>
      <c r="H372" s="23" t="s">
        <v>82</v>
      </c>
      <c r="I372" t="s">
        <v>197</v>
      </c>
      <c r="J372" t="s">
        <v>36</v>
      </c>
      <c r="K372" s="22">
        <v>2</v>
      </c>
      <c r="L372" s="1">
        <v>42469</v>
      </c>
      <c r="M372" s="22">
        <f>Table10[[#This Row],[Ship Date]]-Table10[[#This Row],[Order Date]]</f>
        <v>2</v>
      </c>
      <c r="N372" t="s">
        <v>169</v>
      </c>
      <c r="O372" t="s">
        <v>23</v>
      </c>
      <c r="P372" t="s">
        <v>695</v>
      </c>
      <c r="Q372" t="s">
        <v>133</v>
      </c>
      <c r="R372" t="s">
        <v>990</v>
      </c>
      <c r="S372" s="33">
        <v>0</v>
      </c>
      <c r="T372" s="13">
        <v>37.94</v>
      </c>
      <c r="U372" s="13">
        <v>18.211200000000002</v>
      </c>
      <c r="V372" s="21">
        <f>Table10[[#This Row],[Profit]]/Table10[[#This Row],[Sales]]</f>
        <v>0.48000000000000009</v>
      </c>
    </row>
    <row r="373" spans="1:22" x14ac:dyDescent="0.2">
      <c r="A373">
        <v>372</v>
      </c>
      <c r="B373" t="s">
        <v>10113</v>
      </c>
      <c r="C373" s="1">
        <v>42467</v>
      </c>
      <c r="D373" s="22">
        <f>MONTH(Table10[[#This Row],[Order Date]])</f>
        <v>4</v>
      </c>
      <c r="E373" t="s">
        <v>8384</v>
      </c>
      <c r="F373" t="s">
        <v>8385</v>
      </c>
      <c r="G373" s="23" t="s">
        <v>41</v>
      </c>
      <c r="H373" s="23" t="s">
        <v>71</v>
      </c>
      <c r="I373" t="s">
        <v>1773</v>
      </c>
      <c r="J373" t="s">
        <v>22</v>
      </c>
      <c r="K373" s="22">
        <v>3</v>
      </c>
      <c r="L373" s="1">
        <v>42472</v>
      </c>
      <c r="M373" s="22">
        <f>Table10[[#This Row],[Ship Date]]-Table10[[#This Row],[Order Date]]</f>
        <v>5</v>
      </c>
      <c r="N373" t="s">
        <v>45</v>
      </c>
      <c r="O373" t="s">
        <v>23</v>
      </c>
      <c r="P373" t="s">
        <v>132</v>
      </c>
      <c r="Q373" t="s">
        <v>133</v>
      </c>
      <c r="R373" t="s">
        <v>131</v>
      </c>
      <c r="S373" s="33">
        <v>0.2</v>
      </c>
      <c r="T373" s="13">
        <v>33.527999999999999</v>
      </c>
      <c r="U373" s="13">
        <v>2.5146000000000002</v>
      </c>
      <c r="V373" s="21">
        <f>Table10[[#This Row],[Profit]]/Table10[[#This Row],[Sales]]</f>
        <v>7.5000000000000011E-2</v>
      </c>
    </row>
    <row r="374" spans="1:22" x14ac:dyDescent="0.2">
      <c r="A374">
        <v>373</v>
      </c>
      <c r="B374" t="s">
        <v>10113</v>
      </c>
      <c r="C374" s="1">
        <v>42467</v>
      </c>
      <c r="D374" s="22">
        <f>MONTH(Table10[[#This Row],[Order Date]])</f>
        <v>4</v>
      </c>
      <c r="E374" t="s">
        <v>10114</v>
      </c>
      <c r="F374" t="s">
        <v>10115</v>
      </c>
      <c r="G374" s="23" t="s">
        <v>41</v>
      </c>
      <c r="H374" s="23" t="s">
        <v>53</v>
      </c>
      <c r="I374" t="s">
        <v>1773</v>
      </c>
      <c r="J374" t="s">
        <v>22</v>
      </c>
      <c r="K374" s="22">
        <v>3</v>
      </c>
      <c r="L374" s="1">
        <v>42472</v>
      </c>
      <c r="M374" s="22">
        <f>Table10[[#This Row],[Ship Date]]-Table10[[#This Row],[Order Date]]</f>
        <v>5</v>
      </c>
      <c r="N374" t="s">
        <v>45</v>
      </c>
      <c r="O374" t="s">
        <v>23</v>
      </c>
      <c r="P374" t="s">
        <v>132</v>
      </c>
      <c r="Q374" t="s">
        <v>133</v>
      </c>
      <c r="R374" t="s">
        <v>131</v>
      </c>
      <c r="S374" s="33">
        <v>0.2</v>
      </c>
      <c r="T374" s="13">
        <v>36.744</v>
      </c>
      <c r="U374" s="13">
        <v>3.6743999999999999</v>
      </c>
      <c r="V374" s="21">
        <f>Table10[[#This Row],[Profit]]/Table10[[#This Row],[Sales]]</f>
        <v>9.9999999999999992E-2</v>
      </c>
    </row>
    <row r="375" spans="1:22" x14ac:dyDescent="0.2">
      <c r="A375">
        <v>374</v>
      </c>
      <c r="B375" t="s">
        <v>1112</v>
      </c>
      <c r="C375" s="1">
        <v>42468</v>
      </c>
      <c r="D375" s="22">
        <f>MONTH(Table10[[#This Row],[Order Date]])</f>
        <v>4</v>
      </c>
      <c r="E375" t="s">
        <v>1114</v>
      </c>
      <c r="F375" t="s">
        <v>1115</v>
      </c>
      <c r="G375" s="23" t="s">
        <v>28</v>
      </c>
      <c r="H375" s="23" t="s">
        <v>29</v>
      </c>
      <c r="I375" t="s">
        <v>1113</v>
      </c>
      <c r="J375" t="s">
        <v>22</v>
      </c>
      <c r="K375" s="22">
        <v>6</v>
      </c>
      <c r="L375" s="1">
        <v>42473</v>
      </c>
      <c r="M375" s="22">
        <f>Table10[[#This Row],[Ship Date]]-Table10[[#This Row],[Order Date]]</f>
        <v>5</v>
      </c>
      <c r="N375" t="s">
        <v>45</v>
      </c>
      <c r="O375" t="s">
        <v>23</v>
      </c>
      <c r="P375" t="s">
        <v>238</v>
      </c>
      <c r="Q375" t="s">
        <v>133</v>
      </c>
      <c r="R375" t="s">
        <v>237</v>
      </c>
      <c r="S375" s="33">
        <v>0.2</v>
      </c>
      <c r="T375" s="13">
        <v>388.70400000000001</v>
      </c>
      <c r="U375" s="13">
        <v>-4.8587999999999996</v>
      </c>
      <c r="V375" s="21">
        <f>Table10[[#This Row],[Profit]]/Table10[[#This Row],[Sales]]</f>
        <v>-1.2499999999999999E-2</v>
      </c>
    </row>
    <row r="376" spans="1:22" x14ac:dyDescent="0.2">
      <c r="A376">
        <v>375</v>
      </c>
      <c r="B376" t="s">
        <v>1112</v>
      </c>
      <c r="C376" s="1">
        <v>42468</v>
      </c>
      <c r="D376" s="22">
        <f>MONTH(Table10[[#This Row],[Order Date]])</f>
        <v>4</v>
      </c>
      <c r="E376" t="s">
        <v>1116</v>
      </c>
      <c r="F376" t="s">
        <v>1117</v>
      </c>
      <c r="G376" s="23" t="s">
        <v>41</v>
      </c>
      <c r="H376" s="23" t="s">
        <v>155</v>
      </c>
      <c r="I376" t="s">
        <v>1113</v>
      </c>
      <c r="J376" t="s">
        <v>22</v>
      </c>
      <c r="K376" s="22">
        <v>2</v>
      </c>
      <c r="L376" s="1">
        <v>42473</v>
      </c>
      <c r="M376" s="22">
        <f>Table10[[#This Row],[Ship Date]]-Table10[[#This Row],[Order Date]]</f>
        <v>5</v>
      </c>
      <c r="N376" t="s">
        <v>45</v>
      </c>
      <c r="O376" t="s">
        <v>23</v>
      </c>
      <c r="P376" t="s">
        <v>238</v>
      </c>
      <c r="Q376" t="s">
        <v>133</v>
      </c>
      <c r="R376" t="s">
        <v>237</v>
      </c>
      <c r="S376" s="33">
        <v>0</v>
      </c>
      <c r="T376" s="13">
        <v>8.26</v>
      </c>
      <c r="U376" s="13">
        <v>3.7995999999999999</v>
      </c>
      <c r="V376" s="21">
        <f>Table10[[#This Row],[Profit]]/Table10[[#This Row],[Sales]]</f>
        <v>0.46</v>
      </c>
    </row>
    <row r="377" spans="1:22" x14ac:dyDescent="0.2">
      <c r="A377">
        <v>376</v>
      </c>
      <c r="B377" t="s">
        <v>1112</v>
      </c>
      <c r="C377" s="1">
        <v>42468</v>
      </c>
      <c r="D377" s="22">
        <f>MONTH(Table10[[#This Row],[Order Date]])</f>
        <v>4</v>
      </c>
      <c r="E377" t="s">
        <v>1118</v>
      </c>
      <c r="F377" t="s">
        <v>1119</v>
      </c>
      <c r="G377" s="23" t="s">
        <v>41</v>
      </c>
      <c r="H377" s="23" t="s">
        <v>61</v>
      </c>
      <c r="I377" t="s">
        <v>1113</v>
      </c>
      <c r="J377" t="s">
        <v>22</v>
      </c>
      <c r="K377" s="22">
        <v>4</v>
      </c>
      <c r="L377" s="1">
        <v>42473</v>
      </c>
      <c r="M377" s="22">
        <f>Table10[[#This Row],[Ship Date]]-Table10[[#This Row],[Order Date]]</f>
        <v>5</v>
      </c>
      <c r="N377" t="s">
        <v>45</v>
      </c>
      <c r="O377" t="s">
        <v>23</v>
      </c>
      <c r="P377" t="s">
        <v>238</v>
      </c>
      <c r="Q377" t="s">
        <v>133</v>
      </c>
      <c r="R377" t="s">
        <v>237</v>
      </c>
      <c r="S377" s="33">
        <v>0</v>
      </c>
      <c r="T377" s="13">
        <v>17.04</v>
      </c>
      <c r="U377" s="13">
        <v>6.9863999999999997</v>
      </c>
      <c r="V377" s="21">
        <f>Table10[[#This Row],[Profit]]/Table10[[#This Row],[Sales]]</f>
        <v>0.41000000000000003</v>
      </c>
    </row>
    <row r="378" spans="1:22" x14ac:dyDescent="0.2">
      <c r="A378">
        <v>377</v>
      </c>
      <c r="B378" t="s">
        <v>1112</v>
      </c>
      <c r="C378" s="1">
        <v>42468</v>
      </c>
      <c r="D378" s="22">
        <f>MONTH(Table10[[#This Row],[Order Date]])</f>
        <v>4</v>
      </c>
      <c r="E378" t="s">
        <v>1120</v>
      </c>
      <c r="F378" t="s">
        <v>1121</v>
      </c>
      <c r="G378" s="23" t="s">
        <v>41</v>
      </c>
      <c r="H378" s="23" t="s">
        <v>82</v>
      </c>
      <c r="I378" t="s">
        <v>1113</v>
      </c>
      <c r="J378" t="s">
        <v>22</v>
      </c>
      <c r="K378" s="22">
        <v>5</v>
      </c>
      <c r="L378" s="1">
        <v>42473</v>
      </c>
      <c r="M378" s="22">
        <f>Table10[[#This Row],[Ship Date]]-Table10[[#This Row],[Order Date]]</f>
        <v>5</v>
      </c>
      <c r="N378" t="s">
        <v>45</v>
      </c>
      <c r="O378" t="s">
        <v>23</v>
      </c>
      <c r="P378" t="s">
        <v>238</v>
      </c>
      <c r="Q378" t="s">
        <v>133</v>
      </c>
      <c r="R378" t="s">
        <v>237</v>
      </c>
      <c r="S378" s="33">
        <v>0</v>
      </c>
      <c r="T378" s="13">
        <v>34.4</v>
      </c>
      <c r="U378" s="13">
        <v>15.824</v>
      </c>
      <c r="V378" s="21">
        <f>Table10[[#This Row],[Profit]]/Table10[[#This Row],[Sales]]</f>
        <v>0.46</v>
      </c>
    </row>
    <row r="379" spans="1:22" x14ac:dyDescent="0.2">
      <c r="A379">
        <v>378</v>
      </c>
      <c r="B379" t="s">
        <v>2444</v>
      </c>
      <c r="C379" s="1">
        <v>42468</v>
      </c>
      <c r="D379" s="22">
        <f>MONTH(Table10[[#This Row],[Order Date]])</f>
        <v>4</v>
      </c>
      <c r="E379" t="s">
        <v>2445</v>
      </c>
      <c r="F379" t="s">
        <v>2446</v>
      </c>
      <c r="G379" s="23" t="s">
        <v>41</v>
      </c>
      <c r="H379" s="23" t="s">
        <v>82</v>
      </c>
      <c r="I379" t="s">
        <v>717</v>
      </c>
      <c r="J379" t="s">
        <v>22</v>
      </c>
      <c r="K379" s="22">
        <v>3</v>
      </c>
      <c r="L379" s="1">
        <v>42472</v>
      </c>
      <c r="M379" s="22">
        <f>Table10[[#This Row],[Ship Date]]-Table10[[#This Row],[Order Date]]</f>
        <v>4</v>
      </c>
      <c r="N379" t="s">
        <v>45</v>
      </c>
      <c r="O379" t="s">
        <v>23</v>
      </c>
      <c r="P379" t="s">
        <v>38</v>
      </c>
      <c r="Q379" t="s">
        <v>39</v>
      </c>
      <c r="R379" t="s">
        <v>37</v>
      </c>
      <c r="S379" s="33">
        <v>0</v>
      </c>
      <c r="T379" s="13">
        <v>20.04</v>
      </c>
      <c r="U379" s="13">
        <v>9.6191999999999993</v>
      </c>
      <c r="V379" s="21">
        <f>Table10[[#This Row],[Profit]]/Table10[[#This Row],[Sales]]</f>
        <v>0.48</v>
      </c>
    </row>
    <row r="380" spans="1:22" x14ac:dyDescent="0.2">
      <c r="A380">
        <v>379</v>
      </c>
      <c r="B380" t="s">
        <v>2444</v>
      </c>
      <c r="C380" s="1">
        <v>42468</v>
      </c>
      <c r="D380" s="22">
        <f>MONTH(Table10[[#This Row],[Order Date]])</f>
        <v>4</v>
      </c>
      <c r="E380" t="s">
        <v>1953</v>
      </c>
      <c r="F380" t="s">
        <v>1954</v>
      </c>
      <c r="G380" s="23" t="s">
        <v>41</v>
      </c>
      <c r="H380" s="23" t="s">
        <v>53</v>
      </c>
      <c r="I380" t="s">
        <v>717</v>
      </c>
      <c r="J380" t="s">
        <v>22</v>
      </c>
      <c r="K380" s="22">
        <v>2</v>
      </c>
      <c r="L380" s="1">
        <v>42472</v>
      </c>
      <c r="M380" s="22">
        <f>Table10[[#This Row],[Ship Date]]-Table10[[#This Row],[Order Date]]</f>
        <v>4</v>
      </c>
      <c r="N380" t="s">
        <v>45</v>
      </c>
      <c r="O380" t="s">
        <v>23</v>
      </c>
      <c r="P380" t="s">
        <v>38</v>
      </c>
      <c r="Q380" t="s">
        <v>39</v>
      </c>
      <c r="R380" t="s">
        <v>37</v>
      </c>
      <c r="S380" s="33">
        <v>0</v>
      </c>
      <c r="T380" s="13">
        <v>64.959999999999994</v>
      </c>
      <c r="U380" s="13">
        <v>2.5983999999999998</v>
      </c>
      <c r="V380" s="21">
        <f>Table10[[#This Row],[Profit]]/Table10[[#This Row],[Sales]]</f>
        <v>0.04</v>
      </c>
    </row>
    <row r="381" spans="1:22" x14ac:dyDescent="0.2">
      <c r="A381">
        <v>380</v>
      </c>
      <c r="B381" t="s">
        <v>2444</v>
      </c>
      <c r="C381" s="1">
        <v>42468</v>
      </c>
      <c r="D381" s="22">
        <f>MONTH(Table10[[#This Row],[Order Date]])</f>
        <v>4</v>
      </c>
      <c r="E381" t="s">
        <v>2447</v>
      </c>
      <c r="F381" t="s">
        <v>2448</v>
      </c>
      <c r="G381" s="23" t="s">
        <v>41</v>
      </c>
      <c r="H381" s="23" t="s">
        <v>82</v>
      </c>
      <c r="I381" t="s">
        <v>717</v>
      </c>
      <c r="J381" t="s">
        <v>22</v>
      </c>
      <c r="K381" s="22">
        <v>2</v>
      </c>
      <c r="L381" s="1">
        <v>42472</v>
      </c>
      <c r="M381" s="22">
        <f>Table10[[#This Row],[Ship Date]]-Table10[[#This Row],[Order Date]]</f>
        <v>4</v>
      </c>
      <c r="N381" t="s">
        <v>45</v>
      </c>
      <c r="O381" t="s">
        <v>23</v>
      </c>
      <c r="P381" t="s">
        <v>38</v>
      </c>
      <c r="Q381" t="s">
        <v>39</v>
      </c>
      <c r="R381" t="s">
        <v>37</v>
      </c>
      <c r="S381" s="33">
        <v>0</v>
      </c>
      <c r="T381" s="13">
        <v>12.96</v>
      </c>
      <c r="U381" s="13">
        <v>6.2207999999999997</v>
      </c>
      <c r="V381" s="21">
        <f>Table10[[#This Row],[Profit]]/Table10[[#This Row],[Sales]]</f>
        <v>0.47999999999999993</v>
      </c>
    </row>
    <row r="382" spans="1:22" x14ac:dyDescent="0.2">
      <c r="A382">
        <v>381</v>
      </c>
      <c r="B382" t="s">
        <v>3009</v>
      </c>
      <c r="C382" s="1">
        <v>42468</v>
      </c>
      <c r="D382" s="22">
        <f>MONTH(Table10[[#This Row],[Order Date]])</f>
        <v>4</v>
      </c>
      <c r="E382" t="s">
        <v>3010</v>
      </c>
      <c r="F382" t="s">
        <v>3011</v>
      </c>
      <c r="G382" s="23" t="s">
        <v>64</v>
      </c>
      <c r="H382" s="23" t="s">
        <v>144</v>
      </c>
      <c r="I382" t="s">
        <v>1743</v>
      </c>
      <c r="J382" t="s">
        <v>22</v>
      </c>
      <c r="K382" s="22">
        <v>9</v>
      </c>
      <c r="L382" s="1">
        <v>42472</v>
      </c>
      <c r="M382" s="22">
        <f>Table10[[#This Row],[Ship Date]]-Table10[[#This Row],[Order Date]]</f>
        <v>4</v>
      </c>
      <c r="N382" t="s">
        <v>45</v>
      </c>
      <c r="O382" t="s">
        <v>23</v>
      </c>
      <c r="P382" t="s">
        <v>94</v>
      </c>
      <c r="Q382" t="s">
        <v>95</v>
      </c>
      <c r="R382" t="s">
        <v>165</v>
      </c>
      <c r="S382" s="33">
        <v>0.2</v>
      </c>
      <c r="T382" s="13">
        <v>431.928</v>
      </c>
      <c r="U382" s="13">
        <v>64.789199999999994</v>
      </c>
      <c r="V382" s="21">
        <f>Table10[[#This Row],[Profit]]/Table10[[#This Row],[Sales]]</f>
        <v>0.15</v>
      </c>
    </row>
    <row r="383" spans="1:22" x14ac:dyDescent="0.2">
      <c r="A383">
        <v>382</v>
      </c>
      <c r="B383" t="s">
        <v>3009</v>
      </c>
      <c r="C383" s="1">
        <v>42468</v>
      </c>
      <c r="D383" s="22">
        <f>MONTH(Table10[[#This Row],[Order Date]])</f>
        <v>4</v>
      </c>
      <c r="E383" t="s">
        <v>3012</v>
      </c>
      <c r="F383" t="s">
        <v>3013</v>
      </c>
      <c r="G383" s="23" t="s">
        <v>28</v>
      </c>
      <c r="H383" s="23" t="s">
        <v>32</v>
      </c>
      <c r="I383" t="s">
        <v>1743</v>
      </c>
      <c r="J383" t="s">
        <v>22</v>
      </c>
      <c r="K383" s="22">
        <v>4</v>
      </c>
      <c r="L383" s="1">
        <v>42472</v>
      </c>
      <c r="M383" s="22">
        <f>Table10[[#This Row],[Ship Date]]-Table10[[#This Row],[Order Date]]</f>
        <v>4</v>
      </c>
      <c r="N383" t="s">
        <v>45</v>
      </c>
      <c r="O383" t="s">
        <v>23</v>
      </c>
      <c r="P383" t="s">
        <v>94</v>
      </c>
      <c r="Q383" t="s">
        <v>95</v>
      </c>
      <c r="R383" t="s">
        <v>165</v>
      </c>
      <c r="S383" s="33">
        <v>0.3</v>
      </c>
      <c r="T383" s="13">
        <v>95.983999999999995</v>
      </c>
      <c r="U383" s="13">
        <v>-4.1135999999999999</v>
      </c>
      <c r="V383" s="21">
        <f>Table10[[#This Row],[Profit]]/Table10[[#This Row],[Sales]]</f>
        <v>-4.2857142857142858E-2</v>
      </c>
    </row>
    <row r="384" spans="1:22" x14ac:dyDescent="0.2">
      <c r="A384">
        <v>383</v>
      </c>
      <c r="B384" t="s">
        <v>3009</v>
      </c>
      <c r="C384" s="1">
        <v>42468</v>
      </c>
      <c r="D384" s="22">
        <f>MONTH(Table10[[#This Row],[Order Date]])</f>
        <v>4</v>
      </c>
      <c r="E384" t="s">
        <v>1110</v>
      </c>
      <c r="F384" t="s">
        <v>1111</v>
      </c>
      <c r="G384" s="23" t="s">
        <v>41</v>
      </c>
      <c r="H384" s="23" t="s">
        <v>68</v>
      </c>
      <c r="I384" t="s">
        <v>1743</v>
      </c>
      <c r="J384" t="s">
        <v>22</v>
      </c>
      <c r="K384" s="22">
        <v>4</v>
      </c>
      <c r="L384" s="1">
        <v>42472</v>
      </c>
      <c r="M384" s="22">
        <f>Table10[[#This Row],[Ship Date]]-Table10[[#This Row],[Order Date]]</f>
        <v>4</v>
      </c>
      <c r="N384" t="s">
        <v>45</v>
      </c>
      <c r="O384" t="s">
        <v>23</v>
      </c>
      <c r="P384" t="s">
        <v>94</v>
      </c>
      <c r="Q384" t="s">
        <v>95</v>
      </c>
      <c r="R384" t="s">
        <v>165</v>
      </c>
      <c r="S384" s="33">
        <v>0.8</v>
      </c>
      <c r="T384" s="13">
        <v>1088.7919999999999</v>
      </c>
      <c r="U384" s="13">
        <v>-1850.9464</v>
      </c>
      <c r="V384" s="21">
        <f>Table10[[#This Row],[Profit]]/Table10[[#This Row],[Sales]]</f>
        <v>-1.7000000000000002</v>
      </c>
    </row>
    <row r="385" spans="1:22" x14ac:dyDescent="0.2">
      <c r="A385">
        <v>384</v>
      </c>
      <c r="B385" t="s">
        <v>6129</v>
      </c>
      <c r="C385" s="1">
        <v>42468</v>
      </c>
      <c r="D385" s="22">
        <f>MONTH(Table10[[#This Row],[Order Date]])</f>
        <v>4</v>
      </c>
      <c r="E385" t="s">
        <v>5572</v>
      </c>
      <c r="F385" t="s">
        <v>5573</v>
      </c>
      <c r="G385" s="23" t="s">
        <v>41</v>
      </c>
      <c r="H385" s="23" t="s">
        <v>155</v>
      </c>
      <c r="I385" t="s">
        <v>1905</v>
      </c>
      <c r="J385" t="s">
        <v>92</v>
      </c>
      <c r="K385" s="22">
        <v>1</v>
      </c>
      <c r="L385" s="1">
        <v>42474</v>
      </c>
      <c r="M385" s="22">
        <f>Table10[[#This Row],[Ship Date]]-Table10[[#This Row],[Order Date]]</f>
        <v>6</v>
      </c>
      <c r="N385" t="s">
        <v>45</v>
      </c>
      <c r="O385" t="s">
        <v>23</v>
      </c>
      <c r="P385" t="s">
        <v>441</v>
      </c>
      <c r="Q385" t="s">
        <v>133</v>
      </c>
      <c r="R385" t="s">
        <v>246</v>
      </c>
      <c r="S385" s="33">
        <v>0.2</v>
      </c>
      <c r="T385" s="13">
        <v>8.8719999999999999</v>
      </c>
      <c r="U385" s="13">
        <v>3.2161</v>
      </c>
      <c r="V385" s="21">
        <f>Table10[[#This Row],[Profit]]/Table10[[#This Row],[Sales]]</f>
        <v>0.36249999999999999</v>
      </c>
    </row>
    <row r="386" spans="1:22" x14ac:dyDescent="0.2">
      <c r="A386">
        <v>385</v>
      </c>
      <c r="B386" t="s">
        <v>6129</v>
      </c>
      <c r="C386" s="1">
        <v>42468</v>
      </c>
      <c r="D386" s="22">
        <f>MONTH(Table10[[#This Row],[Order Date]])</f>
        <v>4</v>
      </c>
      <c r="E386" t="s">
        <v>3794</v>
      </c>
      <c r="F386" t="s">
        <v>3795</v>
      </c>
      <c r="G386" s="23" t="s">
        <v>41</v>
      </c>
      <c r="H386" s="23" t="s">
        <v>68</v>
      </c>
      <c r="I386" t="s">
        <v>1905</v>
      </c>
      <c r="J386" t="s">
        <v>92</v>
      </c>
      <c r="K386" s="22">
        <v>6</v>
      </c>
      <c r="L386" s="1">
        <v>42474</v>
      </c>
      <c r="M386" s="22">
        <f>Table10[[#This Row],[Ship Date]]-Table10[[#This Row],[Order Date]]</f>
        <v>6</v>
      </c>
      <c r="N386" t="s">
        <v>45</v>
      </c>
      <c r="O386" t="s">
        <v>23</v>
      </c>
      <c r="P386" t="s">
        <v>441</v>
      </c>
      <c r="Q386" t="s">
        <v>133</v>
      </c>
      <c r="R386" t="s">
        <v>246</v>
      </c>
      <c r="S386" s="33">
        <v>0.7</v>
      </c>
      <c r="T386" s="13">
        <v>121.104</v>
      </c>
      <c r="U386" s="13">
        <v>-100.92</v>
      </c>
      <c r="V386" s="21">
        <f>Table10[[#This Row],[Profit]]/Table10[[#This Row],[Sales]]</f>
        <v>-0.83333333333333337</v>
      </c>
    </row>
    <row r="387" spans="1:22" x14ac:dyDescent="0.2">
      <c r="A387">
        <v>386</v>
      </c>
      <c r="B387" t="s">
        <v>6568</v>
      </c>
      <c r="C387" s="1">
        <v>42468</v>
      </c>
      <c r="D387" s="22">
        <f>MONTH(Table10[[#This Row],[Order Date]])</f>
        <v>4</v>
      </c>
      <c r="E387" t="s">
        <v>2153</v>
      </c>
      <c r="F387" t="s">
        <v>2154</v>
      </c>
      <c r="G387" s="23" t="s">
        <v>28</v>
      </c>
      <c r="H387" s="23" t="s">
        <v>58</v>
      </c>
      <c r="I387" t="s">
        <v>1795</v>
      </c>
      <c r="J387" t="s">
        <v>22</v>
      </c>
      <c r="K387" s="22">
        <v>5</v>
      </c>
      <c r="L387" s="1">
        <v>42474</v>
      </c>
      <c r="M387" s="22">
        <f>Table10[[#This Row],[Ship Date]]-Table10[[#This Row],[Order Date]]</f>
        <v>6</v>
      </c>
      <c r="N387" t="s">
        <v>45</v>
      </c>
      <c r="O387" t="s">
        <v>23</v>
      </c>
      <c r="P387" t="s">
        <v>38</v>
      </c>
      <c r="Q387" t="s">
        <v>39</v>
      </c>
      <c r="R387" t="s">
        <v>37</v>
      </c>
      <c r="S387" s="33">
        <v>0</v>
      </c>
      <c r="T387" s="13">
        <v>24.7</v>
      </c>
      <c r="U387" s="13">
        <v>10.374000000000001</v>
      </c>
      <c r="V387" s="21">
        <f>Table10[[#This Row],[Profit]]/Table10[[#This Row],[Sales]]</f>
        <v>0.42000000000000004</v>
      </c>
    </row>
    <row r="388" spans="1:22" x14ac:dyDescent="0.2">
      <c r="A388">
        <v>387</v>
      </c>
      <c r="B388" t="s">
        <v>7531</v>
      </c>
      <c r="C388" s="1">
        <v>42468</v>
      </c>
      <c r="D388" s="22">
        <f>MONTH(Table10[[#This Row],[Order Date]])</f>
        <v>4</v>
      </c>
      <c r="E388" t="s">
        <v>4896</v>
      </c>
      <c r="F388" t="s">
        <v>4897</v>
      </c>
      <c r="G388" s="23" t="s">
        <v>41</v>
      </c>
      <c r="H388" s="23" t="s">
        <v>155</v>
      </c>
      <c r="I388" t="s">
        <v>2260</v>
      </c>
      <c r="J388" t="s">
        <v>22</v>
      </c>
      <c r="K388" s="22">
        <v>4</v>
      </c>
      <c r="L388" s="1">
        <v>42474</v>
      </c>
      <c r="M388" s="22">
        <f>Table10[[#This Row],[Ship Date]]-Table10[[#This Row],[Order Date]]</f>
        <v>6</v>
      </c>
      <c r="N388" t="s">
        <v>45</v>
      </c>
      <c r="O388" t="s">
        <v>23</v>
      </c>
      <c r="P388" t="s">
        <v>1125</v>
      </c>
      <c r="Q388" t="s">
        <v>26</v>
      </c>
      <c r="R388" t="s">
        <v>3345</v>
      </c>
      <c r="S388" s="33">
        <v>0</v>
      </c>
      <c r="T388" s="13">
        <v>17.920000000000002</v>
      </c>
      <c r="U388" s="13">
        <v>8.6015999999999995</v>
      </c>
      <c r="V388" s="21">
        <f>Table10[[#This Row],[Profit]]/Table10[[#This Row],[Sales]]</f>
        <v>0.47999999999999993</v>
      </c>
    </row>
    <row r="389" spans="1:22" x14ac:dyDescent="0.2">
      <c r="A389">
        <v>388</v>
      </c>
      <c r="B389" t="s">
        <v>7945</v>
      </c>
      <c r="C389" s="1">
        <v>42468</v>
      </c>
      <c r="D389" s="22">
        <f>MONTH(Table10[[#This Row],[Order Date]])</f>
        <v>4</v>
      </c>
      <c r="E389" t="s">
        <v>5992</v>
      </c>
      <c r="F389" t="s">
        <v>5993</v>
      </c>
      <c r="G389" s="23" t="s">
        <v>28</v>
      </c>
      <c r="H389" s="23" t="s">
        <v>29</v>
      </c>
      <c r="I389" t="s">
        <v>3946</v>
      </c>
      <c r="J389" t="s">
        <v>22</v>
      </c>
      <c r="K389" s="22">
        <v>5</v>
      </c>
      <c r="L389" s="1">
        <v>42471</v>
      </c>
      <c r="M389" s="22">
        <f>Table10[[#This Row],[Ship Date]]-Table10[[#This Row],[Order Date]]</f>
        <v>3</v>
      </c>
      <c r="N389" t="s">
        <v>169</v>
      </c>
      <c r="O389" t="s">
        <v>23</v>
      </c>
      <c r="P389" t="s">
        <v>1125</v>
      </c>
      <c r="Q389" t="s">
        <v>26</v>
      </c>
      <c r="R389" t="s">
        <v>440</v>
      </c>
      <c r="S389" s="33">
        <v>0</v>
      </c>
      <c r="T389" s="13">
        <v>354.9</v>
      </c>
      <c r="U389" s="13">
        <v>88.724999999999994</v>
      </c>
      <c r="V389" s="21">
        <f>Table10[[#This Row],[Profit]]/Table10[[#This Row],[Sales]]</f>
        <v>0.25</v>
      </c>
    </row>
    <row r="390" spans="1:22" x14ac:dyDescent="0.2">
      <c r="A390">
        <v>389</v>
      </c>
      <c r="B390" t="s">
        <v>8280</v>
      </c>
      <c r="C390" s="1">
        <v>42468</v>
      </c>
      <c r="D390" s="22">
        <f>MONTH(Table10[[#This Row],[Order Date]])</f>
        <v>4</v>
      </c>
      <c r="E390" t="s">
        <v>2264</v>
      </c>
      <c r="F390" t="s">
        <v>2265</v>
      </c>
      <c r="G390" s="23" t="s">
        <v>41</v>
      </c>
      <c r="H390" s="23" t="s">
        <v>240</v>
      </c>
      <c r="I390" t="s">
        <v>2034</v>
      </c>
      <c r="J390" t="s">
        <v>92</v>
      </c>
      <c r="K390" s="22">
        <v>6</v>
      </c>
      <c r="L390" s="1">
        <v>42475</v>
      </c>
      <c r="M390" s="22">
        <f>Table10[[#This Row],[Ship Date]]-Table10[[#This Row],[Order Date]]</f>
        <v>7</v>
      </c>
      <c r="N390" t="s">
        <v>45</v>
      </c>
      <c r="O390" t="s">
        <v>23</v>
      </c>
      <c r="P390" t="s">
        <v>1510</v>
      </c>
      <c r="Q390" t="s">
        <v>26</v>
      </c>
      <c r="R390" t="s">
        <v>5129</v>
      </c>
      <c r="S390" s="33">
        <v>0</v>
      </c>
      <c r="T390" s="13">
        <v>30</v>
      </c>
      <c r="U390" s="13">
        <v>14.4</v>
      </c>
      <c r="V390" s="21">
        <f>Table10[[#This Row],[Profit]]/Table10[[#This Row],[Sales]]</f>
        <v>0.48000000000000004</v>
      </c>
    </row>
    <row r="391" spans="1:22" x14ac:dyDescent="0.2">
      <c r="A391">
        <v>390</v>
      </c>
      <c r="B391" t="s">
        <v>8280</v>
      </c>
      <c r="C391" s="1">
        <v>42468</v>
      </c>
      <c r="D391" s="22">
        <f>MONTH(Table10[[#This Row],[Order Date]])</f>
        <v>4</v>
      </c>
      <c r="E391" t="s">
        <v>1875</v>
      </c>
      <c r="F391" t="s">
        <v>1876</v>
      </c>
      <c r="G391" s="23" t="s">
        <v>41</v>
      </c>
      <c r="H391" s="23" t="s">
        <v>82</v>
      </c>
      <c r="I391" t="s">
        <v>2034</v>
      </c>
      <c r="J391" t="s">
        <v>92</v>
      </c>
      <c r="K391" s="22">
        <v>4</v>
      </c>
      <c r="L391" s="1">
        <v>42475</v>
      </c>
      <c r="M391" s="22">
        <f>Table10[[#This Row],[Ship Date]]-Table10[[#This Row],[Order Date]]</f>
        <v>7</v>
      </c>
      <c r="N391" t="s">
        <v>45</v>
      </c>
      <c r="O391" t="s">
        <v>23</v>
      </c>
      <c r="P391" t="s">
        <v>1510</v>
      </c>
      <c r="Q391" t="s">
        <v>26</v>
      </c>
      <c r="R391" t="s">
        <v>5129</v>
      </c>
      <c r="S391" s="33">
        <v>0</v>
      </c>
      <c r="T391" s="13">
        <v>25.92</v>
      </c>
      <c r="U391" s="13">
        <v>12.700799999999999</v>
      </c>
      <c r="V391" s="21">
        <f>Table10[[#This Row],[Profit]]/Table10[[#This Row],[Sales]]</f>
        <v>0.48999999999999994</v>
      </c>
    </row>
    <row r="392" spans="1:22" x14ac:dyDescent="0.2">
      <c r="A392">
        <v>391</v>
      </c>
      <c r="B392" t="s">
        <v>8280</v>
      </c>
      <c r="C392" s="1">
        <v>42468</v>
      </c>
      <c r="D392" s="22">
        <f>MONTH(Table10[[#This Row],[Order Date]])</f>
        <v>4</v>
      </c>
      <c r="E392" t="s">
        <v>3059</v>
      </c>
      <c r="F392" t="s">
        <v>3060</v>
      </c>
      <c r="G392" s="23" t="s">
        <v>28</v>
      </c>
      <c r="H392" s="23" t="s">
        <v>58</v>
      </c>
      <c r="I392" t="s">
        <v>2034</v>
      </c>
      <c r="J392" t="s">
        <v>92</v>
      </c>
      <c r="K392" s="22">
        <v>4</v>
      </c>
      <c r="L392" s="1">
        <v>42475</v>
      </c>
      <c r="M392" s="22">
        <f>Table10[[#This Row],[Ship Date]]-Table10[[#This Row],[Order Date]]</f>
        <v>7</v>
      </c>
      <c r="N392" t="s">
        <v>45</v>
      </c>
      <c r="O392" t="s">
        <v>23</v>
      </c>
      <c r="P392" t="s">
        <v>1510</v>
      </c>
      <c r="Q392" t="s">
        <v>26</v>
      </c>
      <c r="R392" t="s">
        <v>5129</v>
      </c>
      <c r="S392" s="33">
        <v>0</v>
      </c>
      <c r="T392" s="13">
        <v>159.91999999999999</v>
      </c>
      <c r="U392" s="13">
        <v>31.984000000000002</v>
      </c>
      <c r="V392" s="21">
        <f>Table10[[#This Row],[Profit]]/Table10[[#This Row],[Sales]]</f>
        <v>0.20000000000000004</v>
      </c>
    </row>
    <row r="393" spans="1:22" x14ac:dyDescent="0.2">
      <c r="A393">
        <v>392</v>
      </c>
      <c r="B393" t="s">
        <v>3647</v>
      </c>
      <c r="C393" s="1">
        <v>42469</v>
      </c>
      <c r="D393" s="22">
        <f>MONTH(Table10[[#This Row],[Order Date]])</f>
        <v>4</v>
      </c>
      <c r="E393" t="s">
        <v>2386</v>
      </c>
      <c r="F393" t="s">
        <v>2387</v>
      </c>
      <c r="G393" s="23" t="s">
        <v>41</v>
      </c>
      <c r="H393" s="23" t="s">
        <v>68</v>
      </c>
      <c r="I393" t="s">
        <v>3648</v>
      </c>
      <c r="J393" t="s">
        <v>36</v>
      </c>
      <c r="K393" s="22">
        <v>9</v>
      </c>
      <c r="L393" s="1">
        <v>42473</v>
      </c>
      <c r="M393" s="22">
        <f>Table10[[#This Row],[Ship Date]]-Table10[[#This Row],[Order Date]]</f>
        <v>4</v>
      </c>
      <c r="N393" t="s">
        <v>45</v>
      </c>
      <c r="O393" t="s">
        <v>23</v>
      </c>
      <c r="P393" t="s">
        <v>87</v>
      </c>
      <c r="Q393" t="s">
        <v>39</v>
      </c>
      <c r="R393" t="s">
        <v>86</v>
      </c>
      <c r="S393" s="33">
        <v>0.2</v>
      </c>
      <c r="T393" s="13">
        <v>35.351999999999997</v>
      </c>
      <c r="U393" s="13">
        <v>12.815099999999999</v>
      </c>
      <c r="V393" s="21">
        <f>Table10[[#This Row],[Profit]]/Table10[[#This Row],[Sales]]</f>
        <v>0.36249999999999999</v>
      </c>
    </row>
    <row r="394" spans="1:22" x14ac:dyDescent="0.2">
      <c r="A394">
        <v>393</v>
      </c>
      <c r="B394" t="s">
        <v>5588</v>
      </c>
      <c r="C394" s="1">
        <v>42469</v>
      </c>
      <c r="D394" s="22">
        <f>MONTH(Table10[[#This Row],[Order Date]])</f>
        <v>4</v>
      </c>
      <c r="E394" t="s">
        <v>5004</v>
      </c>
      <c r="F394" t="s">
        <v>5005</v>
      </c>
      <c r="G394" s="23" t="s">
        <v>64</v>
      </c>
      <c r="H394" s="23" t="s">
        <v>65</v>
      </c>
      <c r="I394" t="s">
        <v>5589</v>
      </c>
      <c r="J394" t="s">
        <v>92</v>
      </c>
      <c r="K394" s="22">
        <v>2</v>
      </c>
      <c r="L394" s="1">
        <v>42474</v>
      </c>
      <c r="M394" s="22">
        <f>Table10[[#This Row],[Ship Date]]-Table10[[#This Row],[Order Date]]</f>
        <v>5</v>
      </c>
      <c r="N394" t="s">
        <v>20</v>
      </c>
      <c r="O394" t="s">
        <v>23</v>
      </c>
      <c r="P394" t="s">
        <v>212</v>
      </c>
      <c r="Q394" t="s">
        <v>95</v>
      </c>
      <c r="R394" t="s">
        <v>775</v>
      </c>
      <c r="S394" s="33">
        <v>0</v>
      </c>
      <c r="T394" s="13">
        <v>517.9</v>
      </c>
      <c r="U394" s="13">
        <v>134.654</v>
      </c>
      <c r="V394" s="21">
        <f>Table10[[#This Row],[Profit]]/Table10[[#This Row],[Sales]]</f>
        <v>0.26</v>
      </c>
    </row>
    <row r="395" spans="1:22" x14ac:dyDescent="0.2">
      <c r="A395">
        <v>394</v>
      </c>
      <c r="B395" t="s">
        <v>5588</v>
      </c>
      <c r="C395" s="1">
        <v>42469</v>
      </c>
      <c r="D395" s="22">
        <f>MONTH(Table10[[#This Row],[Order Date]])</f>
        <v>4</v>
      </c>
      <c r="E395" t="s">
        <v>1530</v>
      </c>
      <c r="F395" t="s">
        <v>1531</v>
      </c>
      <c r="G395" s="23" t="s">
        <v>41</v>
      </c>
      <c r="H395" s="23" t="s">
        <v>68</v>
      </c>
      <c r="I395" t="s">
        <v>5589</v>
      </c>
      <c r="J395" t="s">
        <v>92</v>
      </c>
      <c r="K395" s="22">
        <v>2</v>
      </c>
      <c r="L395" s="1">
        <v>42474</v>
      </c>
      <c r="M395" s="22">
        <f>Table10[[#This Row],[Ship Date]]-Table10[[#This Row],[Order Date]]</f>
        <v>5</v>
      </c>
      <c r="N395" t="s">
        <v>20</v>
      </c>
      <c r="O395" t="s">
        <v>23</v>
      </c>
      <c r="P395" t="s">
        <v>212</v>
      </c>
      <c r="Q395" t="s">
        <v>95</v>
      </c>
      <c r="R395" t="s">
        <v>775</v>
      </c>
      <c r="S395" s="33">
        <v>0</v>
      </c>
      <c r="T395" s="13">
        <v>5.28</v>
      </c>
      <c r="U395" s="13">
        <v>2.4287999999999998</v>
      </c>
      <c r="V395" s="21">
        <f>Table10[[#This Row],[Profit]]/Table10[[#This Row],[Sales]]</f>
        <v>0.45999999999999996</v>
      </c>
    </row>
    <row r="396" spans="1:22" x14ac:dyDescent="0.2">
      <c r="A396">
        <v>395</v>
      </c>
      <c r="B396" t="s">
        <v>7444</v>
      </c>
      <c r="C396" s="1">
        <v>42469</v>
      </c>
      <c r="D396" s="22">
        <f>MONTH(Table10[[#This Row],[Order Date]])</f>
        <v>4</v>
      </c>
      <c r="E396" t="s">
        <v>27</v>
      </c>
      <c r="F396" t="s">
        <v>30</v>
      </c>
      <c r="G396" s="23" t="s">
        <v>28</v>
      </c>
      <c r="H396" s="23" t="s">
        <v>29</v>
      </c>
      <c r="I396" t="s">
        <v>3858</v>
      </c>
      <c r="J396" t="s">
        <v>22</v>
      </c>
      <c r="K396" s="22">
        <v>5</v>
      </c>
      <c r="L396" s="1">
        <v>42474</v>
      </c>
      <c r="M396" s="22">
        <f>Table10[[#This Row],[Ship Date]]-Table10[[#This Row],[Order Date]]</f>
        <v>5</v>
      </c>
      <c r="N396" t="s">
        <v>45</v>
      </c>
      <c r="O396" t="s">
        <v>23</v>
      </c>
      <c r="P396" t="s">
        <v>38</v>
      </c>
      <c r="Q396" t="s">
        <v>39</v>
      </c>
      <c r="R396" t="s">
        <v>37</v>
      </c>
      <c r="S396" s="33">
        <v>0.15</v>
      </c>
      <c r="T396" s="13">
        <v>556.66499999999996</v>
      </c>
      <c r="U396" s="13">
        <v>6.5490000000000004</v>
      </c>
      <c r="V396" s="21">
        <f>Table10[[#This Row],[Profit]]/Table10[[#This Row],[Sales]]</f>
        <v>1.1764705882352943E-2</v>
      </c>
    </row>
    <row r="397" spans="1:22" x14ac:dyDescent="0.2">
      <c r="A397">
        <v>396</v>
      </c>
      <c r="B397" t="s">
        <v>2433</v>
      </c>
      <c r="C397" s="1">
        <v>42470</v>
      </c>
      <c r="D397" s="22">
        <f>MONTH(Table10[[#This Row],[Order Date]])</f>
        <v>4</v>
      </c>
      <c r="E397" t="s">
        <v>2435</v>
      </c>
      <c r="F397" t="s">
        <v>2436</v>
      </c>
      <c r="G397" s="23" t="s">
        <v>41</v>
      </c>
      <c r="H397" s="23" t="s">
        <v>68</v>
      </c>
      <c r="I397" t="s">
        <v>2434</v>
      </c>
      <c r="J397" t="s">
        <v>36</v>
      </c>
      <c r="K397" s="22">
        <v>2</v>
      </c>
      <c r="L397" s="1">
        <v>42472</v>
      </c>
      <c r="M397" s="22">
        <f>Table10[[#This Row],[Ship Date]]-Table10[[#This Row],[Order Date]]</f>
        <v>2</v>
      </c>
      <c r="N397" t="s">
        <v>169</v>
      </c>
      <c r="O397" t="s">
        <v>23</v>
      </c>
      <c r="P397" t="s">
        <v>441</v>
      </c>
      <c r="Q397" t="s">
        <v>133</v>
      </c>
      <c r="R397" t="s">
        <v>284</v>
      </c>
      <c r="S397" s="33">
        <v>0.7</v>
      </c>
      <c r="T397" s="13">
        <v>8.9039999999999999</v>
      </c>
      <c r="U397" s="13">
        <v>-6.5296000000000003</v>
      </c>
      <c r="V397" s="21">
        <f>Table10[[#This Row],[Profit]]/Table10[[#This Row],[Sales]]</f>
        <v>-0.73333333333333339</v>
      </c>
    </row>
    <row r="398" spans="1:22" x14ac:dyDescent="0.2">
      <c r="A398">
        <v>397</v>
      </c>
      <c r="B398" t="s">
        <v>6804</v>
      </c>
      <c r="C398" s="1">
        <v>42470</v>
      </c>
      <c r="D398" s="22">
        <f>MONTH(Table10[[#This Row],[Order Date]])</f>
        <v>4</v>
      </c>
      <c r="E398" t="s">
        <v>4669</v>
      </c>
      <c r="F398" t="s">
        <v>4670</v>
      </c>
      <c r="G398" s="23" t="s">
        <v>41</v>
      </c>
      <c r="H398" s="23" t="s">
        <v>82</v>
      </c>
      <c r="I398" t="s">
        <v>3909</v>
      </c>
      <c r="J398" t="s">
        <v>36</v>
      </c>
      <c r="K398" s="22">
        <v>2</v>
      </c>
      <c r="L398" s="1">
        <v>42476</v>
      </c>
      <c r="M398" s="22">
        <f>Table10[[#This Row],[Ship Date]]-Table10[[#This Row],[Order Date]]</f>
        <v>6</v>
      </c>
      <c r="N398" t="s">
        <v>45</v>
      </c>
      <c r="O398" t="s">
        <v>23</v>
      </c>
      <c r="P398" t="s">
        <v>38</v>
      </c>
      <c r="Q398" t="s">
        <v>39</v>
      </c>
      <c r="R398" t="s">
        <v>5301</v>
      </c>
      <c r="S398" s="33">
        <v>0</v>
      </c>
      <c r="T398" s="13">
        <v>12.96</v>
      </c>
      <c r="U398" s="13">
        <v>6.2207999999999997</v>
      </c>
      <c r="V398" s="21">
        <f>Table10[[#This Row],[Profit]]/Table10[[#This Row],[Sales]]</f>
        <v>0.47999999999999993</v>
      </c>
    </row>
    <row r="399" spans="1:22" x14ac:dyDescent="0.2">
      <c r="A399">
        <v>398</v>
      </c>
      <c r="B399" t="s">
        <v>6804</v>
      </c>
      <c r="C399" s="1">
        <v>42470</v>
      </c>
      <c r="D399" s="22">
        <f>MONTH(Table10[[#This Row],[Order Date]])</f>
        <v>4</v>
      </c>
      <c r="E399" t="s">
        <v>5472</v>
      </c>
      <c r="F399" t="s">
        <v>5473</v>
      </c>
      <c r="G399" s="23" t="s">
        <v>41</v>
      </c>
      <c r="H399" s="23" t="s">
        <v>68</v>
      </c>
      <c r="I399" t="s">
        <v>3909</v>
      </c>
      <c r="J399" t="s">
        <v>36</v>
      </c>
      <c r="K399" s="22">
        <v>5</v>
      </c>
      <c r="L399" s="1">
        <v>42476</v>
      </c>
      <c r="M399" s="22">
        <f>Table10[[#This Row],[Ship Date]]-Table10[[#This Row],[Order Date]]</f>
        <v>6</v>
      </c>
      <c r="N399" t="s">
        <v>45</v>
      </c>
      <c r="O399" t="s">
        <v>23</v>
      </c>
      <c r="P399" t="s">
        <v>38</v>
      </c>
      <c r="Q399" t="s">
        <v>39</v>
      </c>
      <c r="R399" t="s">
        <v>5301</v>
      </c>
      <c r="S399" s="33">
        <v>0.2</v>
      </c>
      <c r="T399" s="13">
        <v>23.2</v>
      </c>
      <c r="U399" s="13">
        <v>8.1199999999999992</v>
      </c>
      <c r="V399" s="21">
        <f>Table10[[#This Row],[Profit]]/Table10[[#This Row],[Sales]]</f>
        <v>0.35</v>
      </c>
    </row>
    <row r="400" spans="1:22" x14ac:dyDescent="0.2">
      <c r="A400">
        <v>399</v>
      </c>
      <c r="B400" t="s">
        <v>8291</v>
      </c>
      <c r="C400" s="1">
        <v>42470</v>
      </c>
      <c r="D400" s="22">
        <f>MONTH(Table10[[#This Row],[Order Date]])</f>
        <v>4</v>
      </c>
      <c r="E400" t="s">
        <v>3397</v>
      </c>
      <c r="F400" t="s">
        <v>3398</v>
      </c>
      <c r="G400" s="23" t="s">
        <v>41</v>
      </c>
      <c r="H400" s="23" t="s">
        <v>71</v>
      </c>
      <c r="I400" t="s">
        <v>4027</v>
      </c>
      <c r="J400" t="s">
        <v>22</v>
      </c>
      <c r="K400" s="22">
        <v>3</v>
      </c>
      <c r="L400" s="1">
        <v>42477</v>
      </c>
      <c r="M400" s="22">
        <f>Table10[[#This Row],[Ship Date]]-Table10[[#This Row],[Order Date]]</f>
        <v>7</v>
      </c>
      <c r="N400" t="s">
        <v>45</v>
      </c>
      <c r="O400" t="s">
        <v>23</v>
      </c>
      <c r="P400" t="s">
        <v>38</v>
      </c>
      <c r="Q400" t="s">
        <v>39</v>
      </c>
      <c r="R400" t="s">
        <v>114</v>
      </c>
      <c r="S400" s="33">
        <v>0</v>
      </c>
      <c r="T400" s="13">
        <v>113.76</v>
      </c>
      <c r="U400" s="13">
        <v>44.366399999999999</v>
      </c>
      <c r="V400" s="21">
        <f>Table10[[#This Row],[Profit]]/Table10[[#This Row],[Sales]]</f>
        <v>0.38999999999999996</v>
      </c>
    </row>
    <row r="401" spans="1:22" x14ac:dyDescent="0.2">
      <c r="A401">
        <v>400</v>
      </c>
      <c r="B401" t="s">
        <v>8291</v>
      </c>
      <c r="C401" s="1">
        <v>42470</v>
      </c>
      <c r="D401" s="22">
        <f>MONTH(Table10[[#This Row],[Order Date]])</f>
        <v>4</v>
      </c>
      <c r="E401" t="s">
        <v>6765</v>
      </c>
      <c r="F401" t="s">
        <v>6766</v>
      </c>
      <c r="G401" s="23" t="s">
        <v>41</v>
      </c>
      <c r="H401" s="23" t="s">
        <v>53</v>
      </c>
      <c r="I401" t="s">
        <v>4027</v>
      </c>
      <c r="J401" t="s">
        <v>22</v>
      </c>
      <c r="K401" s="22">
        <v>3</v>
      </c>
      <c r="L401" s="1">
        <v>42477</v>
      </c>
      <c r="M401" s="22">
        <f>Table10[[#This Row],[Ship Date]]-Table10[[#This Row],[Order Date]]</f>
        <v>7</v>
      </c>
      <c r="N401" t="s">
        <v>45</v>
      </c>
      <c r="O401" t="s">
        <v>23</v>
      </c>
      <c r="P401" t="s">
        <v>38</v>
      </c>
      <c r="Q401" t="s">
        <v>39</v>
      </c>
      <c r="R401" t="s">
        <v>114</v>
      </c>
      <c r="S401" s="33">
        <v>0</v>
      </c>
      <c r="T401" s="13">
        <v>579.51</v>
      </c>
      <c r="U401" s="13">
        <v>81.131399999999999</v>
      </c>
      <c r="V401" s="21">
        <f>Table10[[#This Row],[Profit]]/Table10[[#This Row],[Sales]]</f>
        <v>0.14000000000000001</v>
      </c>
    </row>
    <row r="402" spans="1:22" x14ac:dyDescent="0.2">
      <c r="A402">
        <v>401</v>
      </c>
      <c r="B402" t="s">
        <v>8291</v>
      </c>
      <c r="C402" s="1">
        <v>42470</v>
      </c>
      <c r="D402" s="22">
        <f>MONTH(Table10[[#This Row],[Order Date]])</f>
        <v>4</v>
      </c>
      <c r="E402" t="s">
        <v>7756</v>
      </c>
      <c r="F402" t="s">
        <v>7757</v>
      </c>
      <c r="G402" s="23" t="s">
        <v>41</v>
      </c>
      <c r="H402" s="23" t="s">
        <v>53</v>
      </c>
      <c r="I402" t="s">
        <v>4027</v>
      </c>
      <c r="J402" t="s">
        <v>22</v>
      </c>
      <c r="K402" s="22">
        <v>9</v>
      </c>
      <c r="L402" s="1">
        <v>42477</v>
      </c>
      <c r="M402" s="22">
        <f>Table10[[#This Row],[Ship Date]]-Table10[[#This Row],[Order Date]]</f>
        <v>7</v>
      </c>
      <c r="N402" t="s">
        <v>45</v>
      </c>
      <c r="O402" t="s">
        <v>23</v>
      </c>
      <c r="P402" t="s">
        <v>38</v>
      </c>
      <c r="Q402" t="s">
        <v>39</v>
      </c>
      <c r="R402" t="s">
        <v>114</v>
      </c>
      <c r="S402" s="33">
        <v>0</v>
      </c>
      <c r="T402" s="13">
        <v>150.66</v>
      </c>
      <c r="U402" s="13">
        <v>6.0263999999999998</v>
      </c>
      <c r="V402" s="21">
        <f>Table10[[#This Row],[Profit]]/Table10[[#This Row],[Sales]]</f>
        <v>0.04</v>
      </c>
    </row>
    <row r="403" spans="1:22" x14ac:dyDescent="0.2">
      <c r="A403">
        <v>402</v>
      </c>
      <c r="B403" t="s">
        <v>8291</v>
      </c>
      <c r="C403" s="1">
        <v>42470</v>
      </c>
      <c r="D403" s="22">
        <f>MONTH(Table10[[#This Row],[Order Date]])</f>
        <v>4</v>
      </c>
      <c r="E403" t="s">
        <v>1683</v>
      </c>
      <c r="F403" t="s">
        <v>1684</v>
      </c>
      <c r="G403" s="23" t="s">
        <v>41</v>
      </c>
      <c r="H403" s="23" t="s">
        <v>68</v>
      </c>
      <c r="I403" t="s">
        <v>4027</v>
      </c>
      <c r="J403" t="s">
        <v>22</v>
      </c>
      <c r="K403" s="22">
        <v>4</v>
      </c>
      <c r="L403" s="1">
        <v>42477</v>
      </c>
      <c r="M403" s="22">
        <f>Table10[[#This Row],[Ship Date]]-Table10[[#This Row],[Order Date]]</f>
        <v>7</v>
      </c>
      <c r="N403" t="s">
        <v>45</v>
      </c>
      <c r="O403" t="s">
        <v>23</v>
      </c>
      <c r="P403" t="s">
        <v>38</v>
      </c>
      <c r="Q403" t="s">
        <v>39</v>
      </c>
      <c r="R403" t="s">
        <v>114</v>
      </c>
      <c r="S403" s="33">
        <v>0.2</v>
      </c>
      <c r="T403" s="13">
        <v>48.031999999999996</v>
      </c>
      <c r="U403" s="13">
        <v>15.6104</v>
      </c>
      <c r="V403" s="21">
        <f>Table10[[#This Row],[Profit]]/Table10[[#This Row],[Sales]]</f>
        <v>0.32500000000000001</v>
      </c>
    </row>
    <row r="404" spans="1:22" x14ac:dyDescent="0.2">
      <c r="A404">
        <v>403</v>
      </c>
      <c r="B404" t="s">
        <v>8720</v>
      </c>
      <c r="C404" s="1">
        <v>42470</v>
      </c>
      <c r="D404" s="22">
        <f>MONTH(Table10[[#This Row],[Order Date]])</f>
        <v>4</v>
      </c>
      <c r="E404" t="s">
        <v>2596</v>
      </c>
      <c r="F404" t="s">
        <v>2597</v>
      </c>
      <c r="G404" s="23" t="s">
        <v>41</v>
      </c>
      <c r="H404" s="23" t="s">
        <v>61</v>
      </c>
      <c r="I404" t="s">
        <v>3182</v>
      </c>
      <c r="J404" t="s">
        <v>36</v>
      </c>
      <c r="K404" s="22">
        <v>4</v>
      </c>
      <c r="L404" s="1">
        <v>42475</v>
      </c>
      <c r="M404" s="22">
        <f>Table10[[#This Row],[Ship Date]]-Table10[[#This Row],[Order Date]]</f>
        <v>5</v>
      </c>
      <c r="N404" t="s">
        <v>45</v>
      </c>
      <c r="O404" t="s">
        <v>23</v>
      </c>
      <c r="P404" t="s">
        <v>189</v>
      </c>
      <c r="Q404" t="s">
        <v>95</v>
      </c>
      <c r="R404" t="s">
        <v>271</v>
      </c>
      <c r="S404" s="33">
        <v>0.2</v>
      </c>
      <c r="T404" s="13">
        <v>13.568</v>
      </c>
      <c r="U404" s="13">
        <v>3.2223999999999999</v>
      </c>
      <c r="V404" s="21">
        <f>Table10[[#This Row],[Profit]]/Table10[[#This Row],[Sales]]</f>
        <v>0.23749999999999999</v>
      </c>
    </row>
    <row r="405" spans="1:22" x14ac:dyDescent="0.2">
      <c r="A405">
        <v>404</v>
      </c>
      <c r="B405" t="s">
        <v>2882</v>
      </c>
      <c r="C405" s="1">
        <v>42472</v>
      </c>
      <c r="D405" s="22">
        <f>MONTH(Table10[[#This Row],[Order Date]])</f>
        <v>4</v>
      </c>
      <c r="E405" t="s">
        <v>2883</v>
      </c>
      <c r="F405" t="s">
        <v>2884</v>
      </c>
      <c r="G405" s="23" t="s">
        <v>28</v>
      </c>
      <c r="H405" s="23" t="s">
        <v>50</v>
      </c>
      <c r="I405" t="s">
        <v>1583</v>
      </c>
      <c r="J405" t="s">
        <v>22</v>
      </c>
      <c r="K405" s="22">
        <v>4</v>
      </c>
      <c r="L405" s="1">
        <v>42476</v>
      </c>
      <c r="M405" s="22">
        <f>Table10[[#This Row],[Ship Date]]-Table10[[#This Row],[Order Date]]</f>
        <v>4</v>
      </c>
      <c r="N405" t="s">
        <v>45</v>
      </c>
      <c r="O405" t="s">
        <v>23</v>
      </c>
      <c r="P405" t="s">
        <v>285</v>
      </c>
      <c r="Q405" t="s">
        <v>26</v>
      </c>
      <c r="R405" t="s">
        <v>284</v>
      </c>
      <c r="S405" s="33">
        <v>0</v>
      </c>
      <c r="T405" s="13">
        <v>343.92</v>
      </c>
      <c r="U405" s="13">
        <v>75.662400000000005</v>
      </c>
      <c r="V405" s="21">
        <f>Table10[[#This Row],[Profit]]/Table10[[#This Row],[Sales]]</f>
        <v>0.22</v>
      </c>
    </row>
    <row r="406" spans="1:22" x14ac:dyDescent="0.2">
      <c r="A406">
        <v>405</v>
      </c>
      <c r="B406" t="s">
        <v>2882</v>
      </c>
      <c r="C406" s="1">
        <v>42472</v>
      </c>
      <c r="D406" s="22">
        <f>MONTH(Table10[[#This Row],[Order Date]])</f>
        <v>4</v>
      </c>
      <c r="E406" t="s">
        <v>2885</v>
      </c>
      <c r="F406" t="s">
        <v>2886</v>
      </c>
      <c r="G406" s="23" t="s">
        <v>41</v>
      </c>
      <c r="H406" s="23" t="s">
        <v>82</v>
      </c>
      <c r="I406" t="s">
        <v>1583</v>
      </c>
      <c r="J406" t="s">
        <v>22</v>
      </c>
      <c r="K406" s="22">
        <v>1</v>
      </c>
      <c r="L406" s="1">
        <v>42476</v>
      </c>
      <c r="M406" s="22">
        <f>Table10[[#This Row],[Ship Date]]-Table10[[#This Row],[Order Date]]</f>
        <v>4</v>
      </c>
      <c r="N406" t="s">
        <v>45</v>
      </c>
      <c r="O406" t="s">
        <v>23</v>
      </c>
      <c r="P406" t="s">
        <v>285</v>
      </c>
      <c r="Q406" t="s">
        <v>26</v>
      </c>
      <c r="R406" t="s">
        <v>284</v>
      </c>
      <c r="S406" s="33">
        <v>0</v>
      </c>
      <c r="T406" s="13">
        <v>40.99</v>
      </c>
      <c r="U406" s="13">
        <v>20.085100000000001</v>
      </c>
      <c r="V406" s="21">
        <f>Table10[[#This Row],[Profit]]/Table10[[#This Row],[Sales]]</f>
        <v>0.49</v>
      </c>
    </row>
    <row r="407" spans="1:22" x14ac:dyDescent="0.2">
      <c r="A407">
        <v>406</v>
      </c>
      <c r="B407" t="s">
        <v>2882</v>
      </c>
      <c r="C407" s="1">
        <v>42472</v>
      </c>
      <c r="D407" s="22">
        <f>MONTH(Table10[[#This Row],[Order Date]])</f>
        <v>4</v>
      </c>
      <c r="E407" t="s">
        <v>466</v>
      </c>
      <c r="F407" t="s">
        <v>467</v>
      </c>
      <c r="G407" s="23" t="s">
        <v>41</v>
      </c>
      <c r="H407" s="23" t="s">
        <v>155</v>
      </c>
      <c r="I407" t="s">
        <v>1583</v>
      </c>
      <c r="J407" t="s">
        <v>22</v>
      </c>
      <c r="K407" s="22">
        <v>5</v>
      </c>
      <c r="L407" s="1">
        <v>42476</v>
      </c>
      <c r="M407" s="22">
        <f>Table10[[#This Row],[Ship Date]]-Table10[[#This Row],[Order Date]]</f>
        <v>4</v>
      </c>
      <c r="N407" t="s">
        <v>45</v>
      </c>
      <c r="O407" t="s">
        <v>23</v>
      </c>
      <c r="P407" t="s">
        <v>285</v>
      </c>
      <c r="Q407" t="s">
        <v>26</v>
      </c>
      <c r="R407" t="s">
        <v>284</v>
      </c>
      <c r="S407" s="33">
        <v>0</v>
      </c>
      <c r="T407" s="13">
        <v>63.9</v>
      </c>
      <c r="U407" s="13">
        <v>28.754999999999999</v>
      </c>
      <c r="V407" s="21">
        <f>Table10[[#This Row],[Profit]]/Table10[[#This Row],[Sales]]</f>
        <v>0.45</v>
      </c>
    </row>
    <row r="408" spans="1:22" x14ac:dyDescent="0.2">
      <c r="A408">
        <v>407</v>
      </c>
      <c r="B408" t="s">
        <v>7716</v>
      </c>
      <c r="C408" s="1">
        <v>42472</v>
      </c>
      <c r="D408" s="22">
        <f>MONTH(Table10[[#This Row],[Order Date]])</f>
        <v>4</v>
      </c>
      <c r="E408" t="s">
        <v>7619</v>
      </c>
      <c r="F408" t="s">
        <v>7620</v>
      </c>
      <c r="G408" s="23" t="s">
        <v>28</v>
      </c>
      <c r="H408" s="23" t="s">
        <v>32</v>
      </c>
      <c r="I408" t="s">
        <v>3286</v>
      </c>
      <c r="J408" t="s">
        <v>22</v>
      </c>
      <c r="K408" s="22">
        <v>7</v>
      </c>
      <c r="L408" s="1">
        <v>42476</v>
      </c>
      <c r="M408" s="22">
        <f>Table10[[#This Row],[Ship Date]]-Table10[[#This Row],[Order Date]]</f>
        <v>4</v>
      </c>
      <c r="N408" t="s">
        <v>45</v>
      </c>
      <c r="O408" t="s">
        <v>23</v>
      </c>
      <c r="P408" t="s">
        <v>38</v>
      </c>
      <c r="Q408" t="s">
        <v>39</v>
      </c>
      <c r="R408" t="s">
        <v>37</v>
      </c>
      <c r="S408" s="33">
        <v>0.2</v>
      </c>
      <c r="T408" s="13">
        <v>638.28800000000001</v>
      </c>
      <c r="U408" s="13">
        <v>-31.914400000000001</v>
      </c>
      <c r="V408" s="21">
        <f>Table10[[#This Row],[Profit]]/Table10[[#This Row],[Sales]]</f>
        <v>-0.05</v>
      </c>
    </row>
    <row r="409" spans="1:22" x14ac:dyDescent="0.2">
      <c r="A409">
        <v>408</v>
      </c>
      <c r="B409" t="s">
        <v>7716</v>
      </c>
      <c r="C409" s="1">
        <v>42472</v>
      </c>
      <c r="D409" s="22">
        <f>MONTH(Table10[[#This Row],[Order Date]])</f>
        <v>4</v>
      </c>
      <c r="E409" t="s">
        <v>2507</v>
      </c>
      <c r="F409" t="s">
        <v>2508</v>
      </c>
      <c r="G409" s="23" t="s">
        <v>41</v>
      </c>
      <c r="H409" s="23" t="s">
        <v>68</v>
      </c>
      <c r="I409" t="s">
        <v>3286</v>
      </c>
      <c r="J409" t="s">
        <v>22</v>
      </c>
      <c r="K409" s="22">
        <v>1</v>
      </c>
      <c r="L409" s="1">
        <v>42476</v>
      </c>
      <c r="M409" s="22">
        <f>Table10[[#This Row],[Ship Date]]-Table10[[#This Row],[Order Date]]</f>
        <v>4</v>
      </c>
      <c r="N409" t="s">
        <v>45</v>
      </c>
      <c r="O409" t="s">
        <v>23</v>
      </c>
      <c r="P409" t="s">
        <v>38</v>
      </c>
      <c r="Q409" t="s">
        <v>39</v>
      </c>
      <c r="R409" t="s">
        <v>37</v>
      </c>
      <c r="S409" s="33">
        <v>0.2</v>
      </c>
      <c r="T409" s="13">
        <v>13.208</v>
      </c>
      <c r="U409" s="13">
        <v>4.6227999999999998</v>
      </c>
      <c r="V409" s="21">
        <f>Table10[[#This Row],[Profit]]/Table10[[#This Row],[Sales]]</f>
        <v>0.35</v>
      </c>
    </row>
    <row r="410" spans="1:22" x14ac:dyDescent="0.2">
      <c r="A410">
        <v>409</v>
      </c>
      <c r="B410" t="s">
        <v>8667</v>
      </c>
      <c r="C410" s="1">
        <v>42472</v>
      </c>
      <c r="D410" s="22">
        <f>MONTH(Table10[[#This Row],[Order Date]])</f>
        <v>4</v>
      </c>
      <c r="E410" t="s">
        <v>4046</v>
      </c>
      <c r="F410" t="s">
        <v>4047</v>
      </c>
      <c r="G410" s="23" t="s">
        <v>41</v>
      </c>
      <c r="H410" s="23" t="s">
        <v>82</v>
      </c>
      <c r="I410" t="s">
        <v>5114</v>
      </c>
      <c r="J410" t="s">
        <v>22</v>
      </c>
      <c r="K410" s="22">
        <v>3</v>
      </c>
      <c r="L410" s="1">
        <v>42474</v>
      </c>
      <c r="M410" s="22">
        <f>Table10[[#This Row],[Ship Date]]-Table10[[#This Row],[Order Date]]</f>
        <v>2</v>
      </c>
      <c r="N410" t="s">
        <v>169</v>
      </c>
      <c r="O410" t="s">
        <v>23</v>
      </c>
      <c r="P410" t="s">
        <v>38</v>
      </c>
      <c r="Q410" t="s">
        <v>39</v>
      </c>
      <c r="R410" t="s">
        <v>37</v>
      </c>
      <c r="S410" s="33">
        <v>0</v>
      </c>
      <c r="T410" s="13">
        <v>19.440000000000001</v>
      </c>
      <c r="U410" s="13">
        <v>9.3312000000000008</v>
      </c>
      <c r="V410" s="21">
        <f>Table10[[#This Row],[Profit]]/Table10[[#This Row],[Sales]]</f>
        <v>0.48000000000000004</v>
      </c>
    </row>
    <row r="411" spans="1:22" x14ac:dyDescent="0.2">
      <c r="A411">
        <v>410</v>
      </c>
      <c r="B411" t="s">
        <v>8667</v>
      </c>
      <c r="C411" s="1">
        <v>42472</v>
      </c>
      <c r="D411" s="22">
        <f>MONTH(Table10[[#This Row],[Order Date]])</f>
        <v>4</v>
      </c>
      <c r="E411" t="s">
        <v>1403</v>
      </c>
      <c r="F411" t="s">
        <v>1404</v>
      </c>
      <c r="G411" s="23" t="s">
        <v>28</v>
      </c>
      <c r="H411" s="23" t="s">
        <v>32</v>
      </c>
      <c r="I411" t="s">
        <v>5114</v>
      </c>
      <c r="J411" t="s">
        <v>22</v>
      </c>
      <c r="K411" s="22">
        <v>3</v>
      </c>
      <c r="L411" s="1">
        <v>42474</v>
      </c>
      <c r="M411" s="22">
        <f>Table10[[#This Row],[Ship Date]]-Table10[[#This Row],[Order Date]]</f>
        <v>2</v>
      </c>
      <c r="N411" t="s">
        <v>169</v>
      </c>
      <c r="O411" t="s">
        <v>23</v>
      </c>
      <c r="P411" t="s">
        <v>38</v>
      </c>
      <c r="Q411" t="s">
        <v>39</v>
      </c>
      <c r="R411" t="s">
        <v>37</v>
      </c>
      <c r="S411" s="33">
        <v>0.2</v>
      </c>
      <c r="T411" s="13">
        <v>194.352</v>
      </c>
      <c r="U411" s="13">
        <v>-36.441000000000003</v>
      </c>
      <c r="V411" s="21">
        <f>Table10[[#This Row],[Profit]]/Table10[[#This Row],[Sales]]</f>
        <v>-0.1875</v>
      </c>
    </row>
    <row r="412" spans="1:22" x14ac:dyDescent="0.2">
      <c r="A412">
        <v>411</v>
      </c>
      <c r="B412" t="s">
        <v>8667</v>
      </c>
      <c r="C412" s="1">
        <v>42472</v>
      </c>
      <c r="D412" s="22">
        <f>MONTH(Table10[[#This Row],[Order Date]])</f>
        <v>4</v>
      </c>
      <c r="E412" t="s">
        <v>2708</v>
      </c>
      <c r="F412" t="s">
        <v>2709</v>
      </c>
      <c r="G412" s="23" t="s">
        <v>41</v>
      </c>
      <c r="H412" s="23" t="s">
        <v>68</v>
      </c>
      <c r="I412" t="s">
        <v>5114</v>
      </c>
      <c r="J412" t="s">
        <v>22</v>
      </c>
      <c r="K412" s="22">
        <v>3</v>
      </c>
      <c r="L412" s="1">
        <v>42474</v>
      </c>
      <c r="M412" s="22">
        <f>Table10[[#This Row],[Ship Date]]-Table10[[#This Row],[Order Date]]</f>
        <v>2</v>
      </c>
      <c r="N412" t="s">
        <v>169</v>
      </c>
      <c r="O412" t="s">
        <v>23</v>
      </c>
      <c r="P412" t="s">
        <v>38</v>
      </c>
      <c r="Q412" t="s">
        <v>39</v>
      </c>
      <c r="R412" t="s">
        <v>37</v>
      </c>
      <c r="S412" s="33">
        <v>0.2</v>
      </c>
      <c r="T412" s="13">
        <v>36.624000000000002</v>
      </c>
      <c r="U412" s="13">
        <v>13.734</v>
      </c>
      <c r="V412" s="21">
        <f>Table10[[#This Row],[Profit]]/Table10[[#This Row],[Sales]]</f>
        <v>0.375</v>
      </c>
    </row>
    <row r="413" spans="1:22" x14ac:dyDescent="0.2">
      <c r="A413">
        <v>412</v>
      </c>
      <c r="B413" t="s">
        <v>9663</v>
      </c>
      <c r="C413" s="1">
        <v>42472</v>
      </c>
      <c r="D413" s="22">
        <f>MONTH(Table10[[#This Row],[Order Date]])</f>
        <v>4</v>
      </c>
      <c r="E413" t="s">
        <v>1383</v>
      </c>
      <c r="F413" t="s">
        <v>1384</v>
      </c>
      <c r="G413" s="23" t="s">
        <v>41</v>
      </c>
      <c r="H413" s="23" t="s">
        <v>53</v>
      </c>
      <c r="I413" t="s">
        <v>3997</v>
      </c>
      <c r="J413" t="s">
        <v>36</v>
      </c>
      <c r="K413" s="22">
        <v>3</v>
      </c>
      <c r="L413" s="1">
        <v>42477</v>
      </c>
      <c r="M413" s="22">
        <f>Table10[[#This Row],[Ship Date]]-Table10[[#This Row],[Order Date]]</f>
        <v>5</v>
      </c>
      <c r="N413" t="s">
        <v>45</v>
      </c>
      <c r="O413" t="s">
        <v>23</v>
      </c>
      <c r="P413" t="s">
        <v>80</v>
      </c>
      <c r="Q413" t="s">
        <v>26</v>
      </c>
      <c r="R413" t="s">
        <v>8228</v>
      </c>
      <c r="S413" s="33">
        <v>0.2</v>
      </c>
      <c r="T413" s="13">
        <v>129.55199999999999</v>
      </c>
      <c r="U413" s="13">
        <v>-22.671600000000002</v>
      </c>
      <c r="V413" s="21">
        <f>Table10[[#This Row],[Profit]]/Table10[[#This Row],[Sales]]</f>
        <v>-0.17500000000000002</v>
      </c>
    </row>
    <row r="414" spans="1:22" x14ac:dyDescent="0.2">
      <c r="A414">
        <v>413</v>
      </c>
      <c r="B414" t="s">
        <v>9663</v>
      </c>
      <c r="C414" s="1">
        <v>42472</v>
      </c>
      <c r="D414" s="22">
        <f>MONTH(Table10[[#This Row],[Order Date]])</f>
        <v>4</v>
      </c>
      <c r="E414" t="s">
        <v>1364</v>
      </c>
      <c r="F414" t="s">
        <v>1365</v>
      </c>
      <c r="G414" s="23" t="s">
        <v>41</v>
      </c>
      <c r="H414" s="23" t="s">
        <v>53</v>
      </c>
      <c r="I414" t="s">
        <v>3997</v>
      </c>
      <c r="J414" t="s">
        <v>36</v>
      </c>
      <c r="K414" s="22">
        <v>1</v>
      </c>
      <c r="L414" s="1">
        <v>42477</v>
      </c>
      <c r="M414" s="22">
        <f>Table10[[#This Row],[Ship Date]]-Table10[[#This Row],[Order Date]]</f>
        <v>5</v>
      </c>
      <c r="N414" t="s">
        <v>45</v>
      </c>
      <c r="O414" t="s">
        <v>23</v>
      </c>
      <c r="P414" t="s">
        <v>80</v>
      </c>
      <c r="Q414" t="s">
        <v>26</v>
      </c>
      <c r="R414" t="s">
        <v>8228</v>
      </c>
      <c r="S414" s="33">
        <v>0.2</v>
      </c>
      <c r="T414" s="13">
        <v>51.984000000000002</v>
      </c>
      <c r="U414" s="13">
        <v>-5.1984000000000004</v>
      </c>
      <c r="V414" s="21">
        <f>Table10[[#This Row],[Profit]]/Table10[[#This Row],[Sales]]</f>
        <v>-0.1</v>
      </c>
    </row>
    <row r="415" spans="1:22" x14ac:dyDescent="0.2">
      <c r="A415">
        <v>414</v>
      </c>
      <c r="B415" t="s">
        <v>9663</v>
      </c>
      <c r="C415" s="1">
        <v>42472</v>
      </c>
      <c r="D415" s="22">
        <f>MONTH(Table10[[#This Row],[Order Date]])</f>
        <v>4</v>
      </c>
      <c r="E415" t="s">
        <v>6818</v>
      </c>
      <c r="F415" t="s">
        <v>6819</v>
      </c>
      <c r="G415" s="23" t="s">
        <v>41</v>
      </c>
      <c r="H415" s="23" t="s">
        <v>82</v>
      </c>
      <c r="I415" t="s">
        <v>3997</v>
      </c>
      <c r="J415" t="s">
        <v>36</v>
      </c>
      <c r="K415" s="22">
        <v>3</v>
      </c>
      <c r="L415" s="1">
        <v>42477</v>
      </c>
      <c r="M415" s="22">
        <f>Table10[[#This Row],[Ship Date]]-Table10[[#This Row],[Order Date]]</f>
        <v>5</v>
      </c>
      <c r="N415" t="s">
        <v>45</v>
      </c>
      <c r="O415" t="s">
        <v>23</v>
      </c>
      <c r="P415" t="s">
        <v>80</v>
      </c>
      <c r="Q415" t="s">
        <v>26</v>
      </c>
      <c r="R415" t="s">
        <v>8228</v>
      </c>
      <c r="S415" s="33">
        <v>0.2</v>
      </c>
      <c r="T415" s="13">
        <v>10.272</v>
      </c>
      <c r="U415" s="13">
        <v>3.4668000000000001</v>
      </c>
      <c r="V415" s="21">
        <f>Table10[[#This Row],[Profit]]/Table10[[#This Row],[Sales]]</f>
        <v>0.33750000000000002</v>
      </c>
    </row>
    <row r="416" spans="1:22" x14ac:dyDescent="0.2">
      <c r="A416">
        <v>415</v>
      </c>
      <c r="B416" t="s">
        <v>8883</v>
      </c>
      <c r="C416" s="1">
        <v>42473</v>
      </c>
      <c r="D416" s="22">
        <f>MONTH(Table10[[#This Row],[Order Date]])</f>
        <v>4</v>
      </c>
      <c r="E416" t="s">
        <v>154</v>
      </c>
      <c r="F416" t="s">
        <v>156</v>
      </c>
      <c r="G416" s="23" t="s">
        <v>41</v>
      </c>
      <c r="H416" s="23" t="s">
        <v>155</v>
      </c>
      <c r="I416" t="s">
        <v>6384</v>
      </c>
      <c r="J416" t="s">
        <v>22</v>
      </c>
      <c r="K416" s="22">
        <v>3</v>
      </c>
      <c r="L416" s="1">
        <v>42475</v>
      </c>
      <c r="M416" s="22">
        <f>Table10[[#This Row],[Ship Date]]-Table10[[#This Row],[Order Date]]</f>
        <v>2</v>
      </c>
      <c r="N416" t="s">
        <v>169</v>
      </c>
      <c r="O416" t="s">
        <v>23</v>
      </c>
      <c r="P416" t="s">
        <v>38</v>
      </c>
      <c r="Q416" t="s">
        <v>39</v>
      </c>
      <c r="R416" t="s">
        <v>114</v>
      </c>
      <c r="S416" s="33">
        <v>0</v>
      </c>
      <c r="T416" s="13">
        <v>6.12</v>
      </c>
      <c r="U416" s="13">
        <v>2.8763999999999998</v>
      </c>
      <c r="V416" s="21">
        <f>Table10[[#This Row],[Profit]]/Table10[[#This Row],[Sales]]</f>
        <v>0.47</v>
      </c>
    </row>
    <row r="417" spans="1:22" x14ac:dyDescent="0.2">
      <c r="A417">
        <v>416</v>
      </c>
      <c r="B417" t="s">
        <v>1289</v>
      </c>
      <c r="C417" s="1">
        <v>42474</v>
      </c>
      <c r="D417" s="22">
        <f>MONTH(Table10[[#This Row],[Order Date]])</f>
        <v>4</v>
      </c>
      <c r="E417" t="s">
        <v>1291</v>
      </c>
      <c r="F417" t="s">
        <v>1292</v>
      </c>
      <c r="G417" s="23" t="s">
        <v>28</v>
      </c>
      <c r="H417" s="23" t="s">
        <v>32</v>
      </c>
      <c r="I417" t="s">
        <v>1290</v>
      </c>
      <c r="J417" t="s">
        <v>22</v>
      </c>
      <c r="K417" s="22">
        <v>5</v>
      </c>
      <c r="L417" s="1">
        <v>42478</v>
      </c>
      <c r="M417" s="22">
        <f>Table10[[#This Row],[Ship Date]]-Table10[[#This Row],[Order Date]]</f>
        <v>4</v>
      </c>
      <c r="N417" t="s">
        <v>45</v>
      </c>
      <c r="O417" t="s">
        <v>23</v>
      </c>
      <c r="P417" t="s">
        <v>38</v>
      </c>
      <c r="Q417" t="s">
        <v>39</v>
      </c>
      <c r="R417" t="s">
        <v>37</v>
      </c>
      <c r="S417" s="33">
        <v>0.2</v>
      </c>
      <c r="T417" s="13">
        <v>383.8</v>
      </c>
      <c r="U417" s="13">
        <v>38.380000000000003</v>
      </c>
      <c r="V417" s="21">
        <f>Table10[[#This Row],[Profit]]/Table10[[#This Row],[Sales]]</f>
        <v>0.1</v>
      </c>
    </row>
    <row r="418" spans="1:22" x14ac:dyDescent="0.2">
      <c r="A418">
        <v>417</v>
      </c>
      <c r="B418" t="s">
        <v>4292</v>
      </c>
      <c r="C418" s="1">
        <v>42474</v>
      </c>
      <c r="D418" s="22">
        <f>MONTH(Table10[[#This Row],[Order Date]])</f>
        <v>4</v>
      </c>
      <c r="E418" t="s">
        <v>1005</v>
      </c>
      <c r="F418" t="s">
        <v>1006</v>
      </c>
      <c r="G418" s="23" t="s">
        <v>28</v>
      </c>
      <c r="H418" s="23" t="s">
        <v>32</v>
      </c>
      <c r="I418" t="s">
        <v>3299</v>
      </c>
      <c r="J418" t="s">
        <v>22</v>
      </c>
      <c r="K418" s="22">
        <v>4</v>
      </c>
      <c r="L418" s="1">
        <v>42474</v>
      </c>
      <c r="M418" s="22">
        <f>Table10[[#This Row],[Ship Date]]-Table10[[#This Row],[Order Date]]</f>
        <v>0</v>
      </c>
      <c r="N418" t="s">
        <v>1141</v>
      </c>
      <c r="O418" t="s">
        <v>23</v>
      </c>
      <c r="P418" t="s">
        <v>277</v>
      </c>
      <c r="Q418" t="s">
        <v>39</v>
      </c>
      <c r="R418" t="s">
        <v>3477</v>
      </c>
      <c r="S418" s="33">
        <v>0.2</v>
      </c>
      <c r="T418" s="13">
        <v>933.53599999999994</v>
      </c>
      <c r="U418" s="13">
        <v>105.0228</v>
      </c>
      <c r="V418" s="21">
        <f>Table10[[#This Row],[Profit]]/Table10[[#This Row],[Sales]]</f>
        <v>0.11250000000000002</v>
      </c>
    </row>
    <row r="419" spans="1:22" x14ac:dyDescent="0.2">
      <c r="A419">
        <v>418</v>
      </c>
      <c r="B419" t="s">
        <v>4292</v>
      </c>
      <c r="C419" s="1">
        <v>42474</v>
      </c>
      <c r="D419" s="22">
        <f>MONTH(Table10[[#This Row],[Order Date]])</f>
        <v>4</v>
      </c>
      <c r="E419" t="s">
        <v>841</v>
      </c>
      <c r="F419" t="s">
        <v>842</v>
      </c>
      <c r="G419" s="23" t="s">
        <v>41</v>
      </c>
      <c r="H419" s="23" t="s">
        <v>53</v>
      </c>
      <c r="I419" t="s">
        <v>3299</v>
      </c>
      <c r="J419" t="s">
        <v>22</v>
      </c>
      <c r="K419" s="22">
        <v>4</v>
      </c>
      <c r="L419" s="1">
        <v>42474</v>
      </c>
      <c r="M419" s="22">
        <f>Table10[[#This Row],[Ship Date]]-Table10[[#This Row],[Order Date]]</f>
        <v>0</v>
      </c>
      <c r="N419" t="s">
        <v>1141</v>
      </c>
      <c r="O419" t="s">
        <v>23</v>
      </c>
      <c r="P419" t="s">
        <v>277</v>
      </c>
      <c r="Q419" t="s">
        <v>39</v>
      </c>
      <c r="R419" t="s">
        <v>3477</v>
      </c>
      <c r="S419" s="33">
        <v>0.2</v>
      </c>
      <c r="T419" s="13">
        <v>42.975999999999999</v>
      </c>
      <c r="U419" s="13">
        <v>4.2976000000000001</v>
      </c>
      <c r="V419" s="21">
        <f>Table10[[#This Row],[Profit]]/Table10[[#This Row],[Sales]]</f>
        <v>0.1</v>
      </c>
    </row>
    <row r="420" spans="1:22" x14ac:dyDescent="0.2">
      <c r="A420">
        <v>419</v>
      </c>
      <c r="B420" t="s">
        <v>5232</v>
      </c>
      <c r="C420" s="1">
        <v>42474</v>
      </c>
      <c r="D420" s="22">
        <f>MONTH(Table10[[#This Row],[Order Date]])</f>
        <v>4</v>
      </c>
      <c r="E420" t="s">
        <v>2473</v>
      </c>
      <c r="F420" t="s">
        <v>2474</v>
      </c>
      <c r="G420" s="23" t="s">
        <v>41</v>
      </c>
      <c r="H420" s="23" t="s">
        <v>53</v>
      </c>
      <c r="I420" t="s">
        <v>3570</v>
      </c>
      <c r="J420" t="s">
        <v>22</v>
      </c>
      <c r="K420" s="22">
        <v>5</v>
      </c>
      <c r="L420" s="1">
        <v>42479</v>
      </c>
      <c r="M420" s="22">
        <f>Table10[[#This Row],[Ship Date]]-Table10[[#This Row],[Order Date]]</f>
        <v>5</v>
      </c>
      <c r="N420" t="s">
        <v>20</v>
      </c>
      <c r="O420" t="s">
        <v>23</v>
      </c>
      <c r="P420" t="s">
        <v>285</v>
      </c>
      <c r="Q420" t="s">
        <v>26</v>
      </c>
      <c r="R420" t="s">
        <v>2476</v>
      </c>
      <c r="S420" s="33">
        <v>0</v>
      </c>
      <c r="T420" s="13">
        <v>81.2</v>
      </c>
      <c r="U420" s="13">
        <v>12.18</v>
      </c>
      <c r="V420" s="21">
        <f>Table10[[#This Row],[Profit]]/Table10[[#This Row],[Sales]]</f>
        <v>0.15</v>
      </c>
    </row>
    <row r="421" spans="1:22" x14ac:dyDescent="0.2">
      <c r="A421">
        <v>420</v>
      </c>
      <c r="B421" t="s">
        <v>7793</v>
      </c>
      <c r="C421" s="1">
        <v>42474</v>
      </c>
      <c r="D421" s="22">
        <f>MONTH(Table10[[#This Row],[Order Date]])</f>
        <v>4</v>
      </c>
      <c r="E421" t="s">
        <v>3853</v>
      </c>
      <c r="F421" t="s">
        <v>3854</v>
      </c>
      <c r="G421" s="23" t="s">
        <v>41</v>
      </c>
      <c r="H421" s="23" t="s">
        <v>68</v>
      </c>
      <c r="I421" t="s">
        <v>7230</v>
      </c>
      <c r="J421" t="s">
        <v>22</v>
      </c>
      <c r="K421" s="22">
        <v>2</v>
      </c>
      <c r="L421" s="1">
        <v>42477</v>
      </c>
      <c r="M421" s="22">
        <f>Table10[[#This Row],[Ship Date]]-Table10[[#This Row],[Order Date]]</f>
        <v>3</v>
      </c>
      <c r="N421" t="s">
        <v>169</v>
      </c>
      <c r="O421" t="s">
        <v>23</v>
      </c>
      <c r="P421" t="s">
        <v>2408</v>
      </c>
      <c r="Q421" t="s">
        <v>133</v>
      </c>
      <c r="R421" t="s">
        <v>3967</v>
      </c>
      <c r="S421" s="33">
        <v>0</v>
      </c>
      <c r="T421" s="13">
        <v>25.06</v>
      </c>
      <c r="U421" s="13">
        <v>11.7782</v>
      </c>
      <c r="V421" s="21">
        <f>Table10[[#This Row],[Profit]]/Table10[[#This Row],[Sales]]</f>
        <v>0.47000000000000003</v>
      </c>
    </row>
    <row r="422" spans="1:22" x14ac:dyDescent="0.2">
      <c r="A422">
        <v>421</v>
      </c>
      <c r="B422" t="s">
        <v>1333</v>
      </c>
      <c r="C422" s="1">
        <v>42475</v>
      </c>
      <c r="D422" s="22">
        <f>MONTH(Table10[[#This Row],[Order Date]])</f>
        <v>4</v>
      </c>
      <c r="E422" t="s">
        <v>1336</v>
      </c>
      <c r="F422" t="s">
        <v>1337</v>
      </c>
      <c r="G422" s="23" t="s">
        <v>41</v>
      </c>
      <c r="H422" s="23" t="s">
        <v>68</v>
      </c>
      <c r="I422" t="s">
        <v>1334</v>
      </c>
      <c r="J422" t="s">
        <v>92</v>
      </c>
      <c r="K422" s="22">
        <v>2</v>
      </c>
      <c r="L422" s="1">
        <v>42481</v>
      </c>
      <c r="M422" s="22">
        <f>Table10[[#This Row],[Ship Date]]-Table10[[#This Row],[Order Date]]</f>
        <v>6</v>
      </c>
      <c r="N422" t="s">
        <v>45</v>
      </c>
      <c r="O422" t="s">
        <v>23</v>
      </c>
      <c r="P422" t="s">
        <v>80</v>
      </c>
      <c r="Q422" t="s">
        <v>26</v>
      </c>
      <c r="R422" t="s">
        <v>1335</v>
      </c>
      <c r="S422" s="33">
        <v>0.7</v>
      </c>
      <c r="T422" s="13">
        <v>189.58799999999999</v>
      </c>
      <c r="U422" s="13">
        <v>-145.35079999999999</v>
      </c>
      <c r="V422" s="21">
        <f>Table10[[#This Row],[Profit]]/Table10[[#This Row],[Sales]]</f>
        <v>-0.76666666666666661</v>
      </c>
    </row>
    <row r="423" spans="1:22" x14ac:dyDescent="0.2">
      <c r="A423">
        <v>422</v>
      </c>
      <c r="B423" t="s">
        <v>1333</v>
      </c>
      <c r="C423" s="1">
        <v>42475</v>
      </c>
      <c r="D423" s="22">
        <f>MONTH(Table10[[#This Row],[Order Date]])</f>
        <v>4</v>
      </c>
      <c r="E423" t="s">
        <v>645</v>
      </c>
      <c r="F423" t="s">
        <v>646</v>
      </c>
      <c r="G423" s="23" t="s">
        <v>64</v>
      </c>
      <c r="H423" s="23" t="s">
        <v>144</v>
      </c>
      <c r="I423" t="s">
        <v>1334</v>
      </c>
      <c r="J423" t="s">
        <v>92</v>
      </c>
      <c r="K423" s="22">
        <v>7</v>
      </c>
      <c r="L423" s="1">
        <v>42481</v>
      </c>
      <c r="M423" s="22">
        <f>Table10[[#This Row],[Ship Date]]-Table10[[#This Row],[Order Date]]</f>
        <v>6</v>
      </c>
      <c r="N423" t="s">
        <v>45</v>
      </c>
      <c r="O423" t="s">
        <v>23</v>
      </c>
      <c r="P423" t="s">
        <v>80</v>
      </c>
      <c r="Q423" t="s">
        <v>26</v>
      </c>
      <c r="R423" t="s">
        <v>1335</v>
      </c>
      <c r="S423" s="33">
        <v>0.2</v>
      </c>
      <c r="T423" s="13">
        <v>408.74400000000003</v>
      </c>
      <c r="U423" s="13">
        <v>76.639499999999998</v>
      </c>
      <c r="V423" s="21">
        <f>Table10[[#This Row],[Profit]]/Table10[[#This Row],[Sales]]</f>
        <v>0.18749999999999997</v>
      </c>
    </row>
    <row r="424" spans="1:22" x14ac:dyDescent="0.2">
      <c r="A424">
        <v>423</v>
      </c>
      <c r="B424" t="s">
        <v>1333</v>
      </c>
      <c r="C424" s="1">
        <v>42475</v>
      </c>
      <c r="D424" s="22">
        <f>MONTH(Table10[[#This Row],[Order Date]])</f>
        <v>4</v>
      </c>
      <c r="E424" t="s">
        <v>645</v>
      </c>
      <c r="F424" t="s">
        <v>646</v>
      </c>
      <c r="G424" s="23" t="s">
        <v>64</v>
      </c>
      <c r="H424" s="23" t="s">
        <v>144</v>
      </c>
      <c r="I424" t="s">
        <v>1334</v>
      </c>
      <c r="J424" t="s">
        <v>92</v>
      </c>
      <c r="K424" s="22">
        <v>5</v>
      </c>
      <c r="L424" s="1">
        <v>42481</v>
      </c>
      <c r="M424" s="22">
        <f>Table10[[#This Row],[Ship Date]]-Table10[[#This Row],[Order Date]]</f>
        <v>6</v>
      </c>
      <c r="N424" t="s">
        <v>45</v>
      </c>
      <c r="O424" t="s">
        <v>23</v>
      </c>
      <c r="P424" t="s">
        <v>80</v>
      </c>
      <c r="Q424" t="s">
        <v>26</v>
      </c>
      <c r="R424" t="s">
        <v>1335</v>
      </c>
      <c r="S424" s="33">
        <v>0.2</v>
      </c>
      <c r="T424" s="13">
        <v>291.95999999999998</v>
      </c>
      <c r="U424" s="13">
        <v>54.7425</v>
      </c>
      <c r="V424" s="21">
        <f>Table10[[#This Row],[Profit]]/Table10[[#This Row],[Sales]]</f>
        <v>0.1875</v>
      </c>
    </row>
    <row r="425" spans="1:22" x14ac:dyDescent="0.2">
      <c r="A425">
        <v>424</v>
      </c>
      <c r="B425" t="s">
        <v>1333</v>
      </c>
      <c r="C425" s="1">
        <v>42475</v>
      </c>
      <c r="D425" s="22">
        <f>MONTH(Table10[[#This Row],[Order Date]])</f>
        <v>4</v>
      </c>
      <c r="E425" t="s">
        <v>1338</v>
      </c>
      <c r="F425" t="s">
        <v>1339</v>
      </c>
      <c r="G425" s="23" t="s">
        <v>41</v>
      </c>
      <c r="H425" s="23" t="s">
        <v>53</v>
      </c>
      <c r="I425" t="s">
        <v>1334</v>
      </c>
      <c r="J425" t="s">
        <v>92</v>
      </c>
      <c r="K425" s="22">
        <v>2</v>
      </c>
      <c r="L425" s="1">
        <v>42481</v>
      </c>
      <c r="M425" s="22">
        <f>Table10[[#This Row],[Ship Date]]-Table10[[#This Row],[Order Date]]</f>
        <v>6</v>
      </c>
      <c r="N425" t="s">
        <v>45</v>
      </c>
      <c r="O425" t="s">
        <v>23</v>
      </c>
      <c r="P425" t="s">
        <v>80</v>
      </c>
      <c r="Q425" t="s">
        <v>26</v>
      </c>
      <c r="R425" t="s">
        <v>1335</v>
      </c>
      <c r="S425" s="33">
        <v>0.2</v>
      </c>
      <c r="T425" s="13">
        <v>4.7679999999999998</v>
      </c>
      <c r="U425" s="13">
        <v>-0.77480000000000004</v>
      </c>
      <c r="V425" s="21">
        <f>Table10[[#This Row],[Profit]]/Table10[[#This Row],[Sales]]</f>
        <v>-0.16250000000000001</v>
      </c>
    </row>
    <row r="426" spans="1:22" x14ac:dyDescent="0.2">
      <c r="A426">
        <v>425</v>
      </c>
      <c r="B426" t="s">
        <v>1654</v>
      </c>
      <c r="C426" s="1">
        <v>42475</v>
      </c>
      <c r="D426" s="22">
        <f>MONTH(Table10[[#This Row],[Order Date]])</f>
        <v>4</v>
      </c>
      <c r="E426" t="s">
        <v>1656</v>
      </c>
      <c r="F426" t="s">
        <v>1657</v>
      </c>
      <c r="G426" s="23" t="s">
        <v>28</v>
      </c>
      <c r="H426" s="23" t="s">
        <v>32</v>
      </c>
      <c r="I426" t="s">
        <v>1655</v>
      </c>
      <c r="J426" t="s">
        <v>22</v>
      </c>
      <c r="K426" s="22">
        <v>2</v>
      </c>
      <c r="L426" s="1">
        <v>42477</v>
      </c>
      <c r="M426" s="22">
        <f>Table10[[#This Row],[Ship Date]]-Table10[[#This Row],[Order Date]]</f>
        <v>2</v>
      </c>
      <c r="N426" t="s">
        <v>20</v>
      </c>
      <c r="O426" t="s">
        <v>23</v>
      </c>
      <c r="P426" t="s">
        <v>38</v>
      </c>
      <c r="Q426" t="s">
        <v>39</v>
      </c>
      <c r="R426" t="s">
        <v>114</v>
      </c>
      <c r="S426" s="33">
        <v>0.2</v>
      </c>
      <c r="T426" s="13">
        <v>1121.568</v>
      </c>
      <c r="U426" s="13">
        <v>0</v>
      </c>
      <c r="V426" s="21">
        <f>Table10[[#This Row],[Profit]]/Table10[[#This Row],[Sales]]</f>
        <v>0</v>
      </c>
    </row>
    <row r="427" spans="1:22" x14ac:dyDescent="0.2">
      <c r="A427">
        <v>426</v>
      </c>
      <c r="B427" t="s">
        <v>3697</v>
      </c>
      <c r="C427" s="1">
        <v>42475</v>
      </c>
      <c r="D427" s="22">
        <f>MONTH(Table10[[#This Row],[Order Date]])</f>
        <v>4</v>
      </c>
      <c r="E427" t="s">
        <v>3700</v>
      </c>
      <c r="F427" t="s">
        <v>3701</v>
      </c>
      <c r="G427" s="23" t="s">
        <v>41</v>
      </c>
      <c r="H427" s="23" t="s">
        <v>61</v>
      </c>
      <c r="I427" t="s">
        <v>3698</v>
      </c>
      <c r="J427" t="s">
        <v>36</v>
      </c>
      <c r="K427" s="22">
        <v>7</v>
      </c>
      <c r="L427" s="1">
        <v>42479</v>
      </c>
      <c r="M427" s="22">
        <f>Table10[[#This Row],[Ship Date]]-Table10[[#This Row],[Order Date]]</f>
        <v>4</v>
      </c>
      <c r="N427" t="s">
        <v>45</v>
      </c>
      <c r="O427" t="s">
        <v>23</v>
      </c>
      <c r="P427" t="s">
        <v>94</v>
      </c>
      <c r="Q427" t="s">
        <v>95</v>
      </c>
      <c r="R427" t="s">
        <v>3699</v>
      </c>
      <c r="S427" s="33">
        <v>0.2</v>
      </c>
      <c r="T427" s="13">
        <v>33.488</v>
      </c>
      <c r="U427" s="13">
        <v>5.8604000000000003</v>
      </c>
      <c r="V427" s="21">
        <f>Table10[[#This Row],[Profit]]/Table10[[#This Row],[Sales]]</f>
        <v>0.17500000000000002</v>
      </c>
    </row>
    <row r="428" spans="1:22" x14ac:dyDescent="0.2">
      <c r="A428">
        <v>427</v>
      </c>
      <c r="B428" t="s">
        <v>3697</v>
      </c>
      <c r="C428" s="1">
        <v>42475</v>
      </c>
      <c r="D428" s="22">
        <f>MONTH(Table10[[#This Row],[Order Date]])</f>
        <v>4</v>
      </c>
      <c r="E428" t="s">
        <v>508</v>
      </c>
      <c r="F428" t="s">
        <v>509</v>
      </c>
      <c r="G428" s="23" t="s">
        <v>41</v>
      </c>
      <c r="H428" s="23" t="s">
        <v>240</v>
      </c>
      <c r="I428" t="s">
        <v>3698</v>
      </c>
      <c r="J428" t="s">
        <v>36</v>
      </c>
      <c r="K428" s="22">
        <v>5</v>
      </c>
      <c r="L428" s="1">
        <v>42479</v>
      </c>
      <c r="M428" s="22">
        <f>Table10[[#This Row],[Ship Date]]-Table10[[#This Row],[Order Date]]</f>
        <v>4</v>
      </c>
      <c r="N428" t="s">
        <v>45</v>
      </c>
      <c r="O428" t="s">
        <v>23</v>
      </c>
      <c r="P428" t="s">
        <v>94</v>
      </c>
      <c r="Q428" t="s">
        <v>95</v>
      </c>
      <c r="R428" t="s">
        <v>3699</v>
      </c>
      <c r="S428" s="33">
        <v>0.2</v>
      </c>
      <c r="T428" s="13">
        <v>8.0399999999999991</v>
      </c>
      <c r="U428" s="13">
        <v>2.9144999999999999</v>
      </c>
      <c r="V428" s="21">
        <f>Table10[[#This Row],[Profit]]/Table10[[#This Row],[Sales]]</f>
        <v>0.36250000000000004</v>
      </c>
    </row>
    <row r="429" spans="1:22" x14ac:dyDescent="0.2">
      <c r="A429">
        <v>428</v>
      </c>
      <c r="B429" t="s">
        <v>4641</v>
      </c>
      <c r="C429" s="1">
        <v>42475</v>
      </c>
      <c r="D429" s="22">
        <f>MONTH(Table10[[#This Row],[Order Date]])</f>
        <v>4</v>
      </c>
      <c r="E429" t="s">
        <v>523</v>
      </c>
      <c r="F429" t="s">
        <v>524</v>
      </c>
      <c r="G429" s="23" t="s">
        <v>41</v>
      </c>
      <c r="H429" s="23" t="s">
        <v>82</v>
      </c>
      <c r="I429" t="s">
        <v>3342</v>
      </c>
      <c r="J429" t="s">
        <v>92</v>
      </c>
      <c r="K429" s="22">
        <v>3</v>
      </c>
      <c r="L429" s="1">
        <v>42477</v>
      </c>
      <c r="M429" s="22">
        <f>Table10[[#This Row],[Ship Date]]-Table10[[#This Row],[Order Date]]</f>
        <v>2</v>
      </c>
      <c r="N429" t="s">
        <v>20</v>
      </c>
      <c r="O429" t="s">
        <v>23</v>
      </c>
      <c r="P429" t="s">
        <v>38</v>
      </c>
      <c r="Q429" t="s">
        <v>39</v>
      </c>
      <c r="R429" t="s">
        <v>836</v>
      </c>
      <c r="S429" s="33">
        <v>0</v>
      </c>
      <c r="T429" s="13">
        <v>143.69999999999999</v>
      </c>
      <c r="U429" s="13">
        <v>68.975999999999999</v>
      </c>
      <c r="V429" s="21">
        <f>Table10[[#This Row],[Profit]]/Table10[[#This Row],[Sales]]</f>
        <v>0.48000000000000004</v>
      </c>
    </row>
    <row r="430" spans="1:22" x14ac:dyDescent="0.2">
      <c r="A430">
        <v>429</v>
      </c>
      <c r="B430" t="s">
        <v>6529</v>
      </c>
      <c r="C430" s="1">
        <v>42476</v>
      </c>
      <c r="D430" s="22">
        <f>MONTH(Table10[[#This Row],[Order Date]])</f>
        <v>4</v>
      </c>
      <c r="E430" t="s">
        <v>115</v>
      </c>
      <c r="F430" t="s">
        <v>116</v>
      </c>
      <c r="G430" s="23" t="s">
        <v>41</v>
      </c>
      <c r="H430" s="23" t="s">
        <v>61</v>
      </c>
      <c r="I430" t="s">
        <v>2014</v>
      </c>
      <c r="J430" t="s">
        <v>22</v>
      </c>
      <c r="K430" s="22">
        <v>3</v>
      </c>
      <c r="L430" s="1">
        <v>42483</v>
      </c>
      <c r="M430" s="22">
        <f>Table10[[#This Row],[Ship Date]]-Table10[[#This Row],[Order Date]]</f>
        <v>7</v>
      </c>
      <c r="N430" t="s">
        <v>45</v>
      </c>
      <c r="O430" t="s">
        <v>23</v>
      </c>
      <c r="P430" t="s">
        <v>1125</v>
      </c>
      <c r="Q430" t="s">
        <v>26</v>
      </c>
      <c r="R430" t="s">
        <v>440</v>
      </c>
      <c r="S430" s="33">
        <v>0</v>
      </c>
      <c r="T430" s="13">
        <v>12.84</v>
      </c>
      <c r="U430" s="13">
        <v>3.7235999999999998</v>
      </c>
      <c r="V430" s="21">
        <f>Table10[[#This Row],[Profit]]/Table10[[#This Row],[Sales]]</f>
        <v>0.28999999999999998</v>
      </c>
    </row>
    <row r="431" spans="1:22" x14ac:dyDescent="0.2">
      <c r="A431">
        <v>430</v>
      </c>
      <c r="B431" t="s">
        <v>6640</v>
      </c>
      <c r="C431" s="1">
        <v>42476</v>
      </c>
      <c r="D431" s="22">
        <f>MONTH(Table10[[#This Row],[Order Date]])</f>
        <v>4</v>
      </c>
      <c r="E431" t="s">
        <v>6641</v>
      </c>
      <c r="F431" t="s">
        <v>6642</v>
      </c>
      <c r="G431" s="23" t="s">
        <v>64</v>
      </c>
      <c r="H431" s="23" t="s">
        <v>602</v>
      </c>
      <c r="I431" t="s">
        <v>6619</v>
      </c>
      <c r="J431" t="s">
        <v>36</v>
      </c>
      <c r="K431" s="22">
        <v>7</v>
      </c>
      <c r="L431" s="1">
        <v>42480</v>
      </c>
      <c r="M431" s="22">
        <f>Table10[[#This Row],[Ship Date]]-Table10[[#This Row],[Order Date]]</f>
        <v>4</v>
      </c>
      <c r="N431" t="s">
        <v>45</v>
      </c>
      <c r="O431" t="s">
        <v>23</v>
      </c>
      <c r="P431" t="s">
        <v>695</v>
      </c>
      <c r="Q431" t="s">
        <v>133</v>
      </c>
      <c r="R431" t="s">
        <v>990</v>
      </c>
      <c r="S431" s="33">
        <v>0</v>
      </c>
      <c r="T431" s="13">
        <v>9099.93</v>
      </c>
      <c r="U431" s="13">
        <v>2365.9818</v>
      </c>
      <c r="V431" s="21">
        <f>Table10[[#This Row],[Profit]]/Table10[[#This Row],[Sales]]</f>
        <v>0.26</v>
      </c>
    </row>
    <row r="432" spans="1:22" x14ac:dyDescent="0.2">
      <c r="A432">
        <v>431</v>
      </c>
      <c r="B432" t="s">
        <v>6640</v>
      </c>
      <c r="C432" s="1">
        <v>42476</v>
      </c>
      <c r="D432" s="22">
        <f>MONTH(Table10[[#This Row],[Order Date]])</f>
        <v>4</v>
      </c>
      <c r="E432" t="s">
        <v>5521</v>
      </c>
      <c r="F432" t="s">
        <v>5522</v>
      </c>
      <c r="G432" s="23" t="s">
        <v>28</v>
      </c>
      <c r="H432" s="23" t="s">
        <v>58</v>
      </c>
      <c r="I432" t="s">
        <v>6619</v>
      </c>
      <c r="J432" t="s">
        <v>36</v>
      </c>
      <c r="K432" s="22">
        <v>2</v>
      </c>
      <c r="L432" s="1">
        <v>42480</v>
      </c>
      <c r="M432" s="22">
        <f>Table10[[#This Row],[Ship Date]]-Table10[[#This Row],[Order Date]]</f>
        <v>4</v>
      </c>
      <c r="N432" t="s">
        <v>45</v>
      </c>
      <c r="O432" t="s">
        <v>23</v>
      </c>
      <c r="P432" t="s">
        <v>695</v>
      </c>
      <c r="Q432" t="s">
        <v>133</v>
      </c>
      <c r="R432" t="s">
        <v>990</v>
      </c>
      <c r="S432" s="33">
        <v>0</v>
      </c>
      <c r="T432" s="13">
        <v>9.9600000000000009</v>
      </c>
      <c r="U432" s="13">
        <v>3.2867999999999999</v>
      </c>
      <c r="V432" s="21">
        <f>Table10[[#This Row],[Profit]]/Table10[[#This Row],[Sales]]</f>
        <v>0.32999999999999996</v>
      </c>
    </row>
    <row r="433" spans="1:22" x14ac:dyDescent="0.2">
      <c r="A433">
        <v>432</v>
      </c>
      <c r="B433" t="s">
        <v>6640</v>
      </c>
      <c r="C433" s="1">
        <v>42476</v>
      </c>
      <c r="D433" s="22">
        <f>MONTH(Table10[[#This Row],[Order Date]])</f>
        <v>4</v>
      </c>
      <c r="E433" t="s">
        <v>3027</v>
      </c>
      <c r="F433" t="s">
        <v>3028</v>
      </c>
      <c r="G433" s="23" t="s">
        <v>41</v>
      </c>
      <c r="H433" s="23" t="s">
        <v>68</v>
      </c>
      <c r="I433" t="s">
        <v>6619</v>
      </c>
      <c r="J433" t="s">
        <v>36</v>
      </c>
      <c r="K433" s="22">
        <v>5</v>
      </c>
      <c r="L433" s="1">
        <v>42480</v>
      </c>
      <c r="M433" s="22">
        <f>Table10[[#This Row],[Ship Date]]-Table10[[#This Row],[Order Date]]</f>
        <v>4</v>
      </c>
      <c r="N433" t="s">
        <v>45</v>
      </c>
      <c r="O433" t="s">
        <v>23</v>
      </c>
      <c r="P433" t="s">
        <v>695</v>
      </c>
      <c r="Q433" t="s">
        <v>133</v>
      </c>
      <c r="R433" t="s">
        <v>990</v>
      </c>
      <c r="S433" s="33">
        <v>0</v>
      </c>
      <c r="T433" s="13">
        <v>25.3</v>
      </c>
      <c r="U433" s="13">
        <v>11.891</v>
      </c>
      <c r="V433" s="21">
        <f>Table10[[#This Row],[Profit]]/Table10[[#This Row],[Sales]]</f>
        <v>0.47</v>
      </c>
    </row>
    <row r="434" spans="1:22" x14ac:dyDescent="0.2">
      <c r="A434">
        <v>433</v>
      </c>
      <c r="B434" t="s">
        <v>8398</v>
      </c>
      <c r="C434" s="1">
        <v>42476</v>
      </c>
      <c r="D434" s="22">
        <f>MONTH(Table10[[#This Row],[Order Date]])</f>
        <v>4</v>
      </c>
      <c r="E434" t="s">
        <v>5753</v>
      </c>
      <c r="F434" t="s">
        <v>5754</v>
      </c>
      <c r="G434" s="23" t="s">
        <v>41</v>
      </c>
      <c r="H434" s="23" t="s">
        <v>513</v>
      </c>
      <c r="I434" t="s">
        <v>2165</v>
      </c>
      <c r="J434" t="s">
        <v>22</v>
      </c>
      <c r="K434" s="22">
        <v>3</v>
      </c>
      <c r="L434" s="1">
        <v>42478</v>
      </c>
      <c r="M434" s="22">
        <f>Table10[[#This Row],[Ship Date]]-Table10[[#This Row],[Order Date]]</f>
        <v>2</v>
      </c>
      <c r="N434" t="s">
        <v>20</v>
      </c>
      <c r="O434" t="s">
        <v>23</v>
      </c>
      <c r="P434" t="s">
        <v>87</v>
      </c>
      <c r="Q434" t="s">
        <v>39</v>
      </c>
      <c r="R434" t="s">
        <v>86</v>
      </c>
      <c r="S434" s="33">
        <v>0</v>
      </c>
      <c r="T434" s="13">
        <v>28.8</v>
      </c>
      <c r="U434" s="13">
        <v>0.86399999999999999</v>
      </c>
      <c r="V434" s="21">
        <f>Table10[[#This Row],[Profit]]/Table10[[#This Row],[Sales]]</f>
        <v>0.03</v>
      </c>
    </row>
    <row r="435" spans="1:22" x14ac:dyDescent="0.2">
      <c r="A435">
        <v>434</v>
      </c>
      <c r="B435" t="s">
        <v>8525</v>
      </c>
      <c r="C435" s="1">
        <v>42476</v>
      </c>
      <c r="D435" s="22">
        <f>MONTH(Table10[[#This Row],[Order Date]])</f>
        <v>4</v>
      </c>
      <c r="E435" t="s">
        <v>3141</v>
      </c>
      <c r="F435" t="s">
        <v>3142</v>
      </c>
      <c r="G435" s="23" t="s">
        <v>64</v>
      </c>
      <c r="H435" s="23" t="s">
        <v>144</v>
      </c>
      <c r="I435" t="s">
        <v>101</v>
      </c>
      <c r="J435" t="s">
        <v>22</v>
      </c>
      <c r="K435" s="22">
        <v>4</v>
      </c>
      <c r="L435" s="1">
        <v>42482</v>
      </c>
      <c r="M435" s="22">
        <f>Table10[[#This Row],[Ship Date]]-Table10[[#This Row],[Order Date]]</f>
        <v>6</v>
      </c>
      <c r="N435" t="s">
        <v>45</v>
      </c>
      <c r="O435" t="s">
        <v>23</v>
      </c>
      <c r="P435" t="s">
        <v>299</v>
      </c>
      <c r="Q435" t="s">
        <v>26</v>
      </c>
      <c r="R435" t="s">
        <v>5035</v>
      </c>
      <c r="S435" s="33">
        <v>0.2</v>
      </c>
      <c r="T435" s="13">
        <v>35.167999999999999</v>
      </c>
      <c r="U435" s="13">
        <v>8.3523999999999994</v>
      </c>
      <c r="V435" s="21">
        <f>Table10[[#This Row],[Profit]]/Table10[[#This Row],[Sales]]</f>
        <v>0.23749999999999999</v>
      </c>
    </row>
    <row r="436" spans="1:22" x14ac:dyDescent="0.2">
      <c r="A436">
        <v>435</v>
      </c>
      <c r="B436" t="s">
        <v>8525</v>
      </c>
      <c r="C436" s="1">
        <v>42476</v>
      </c>
      <c r="D436" s="22">
        <f>MONTH(Table10[[#This Row],[Order Date]])</f>
        <v>4</v>
      </c>
      <c r="E436" t="s">
        <v>6778</v>
      </c>
      <c r="F436" t="s">
        <v>7450</v>
      </c>
      <c r="G436" s="23" t="s">
        <v>41</v>
      </c>
      <c r="H436" s="23" t="s">
        <v>82</v>
      </c>
      <c r="I436" t="s">
        <v>101</v>
      </c>
      <c r="J436" t="s">
        <v>22</v>
      </c>
      <c r="K436" s="22">
        <v>7</v>
      </c>
      <c r="L436" s="1">
        <v>42482</v>
      </c>
      <c r="M436" s="22">
        <f>Table10[[#This Row],[Ship Date]]-Table10[[#This Row],[Order Date]]</f>
        <v>6</v>
      </c>
      <c r="N436" t="s">
        <v>45</v>
      </c>
      <c r="O436" t="s">
        <v>23</v>
      </c>
      <c r="P436" t="s">
        <v>299</v>
      </c>
      <c r="Q436" t="s">
        <v>26</v>
      </c>
      <c r="R436" t="s">
        <v>5035</v>
      </c>
      <c r="S436" s="33">
        <v>0.2</v>
      </c>
      <c r="T436" s="13">
        <v>123.08799999999999</v>
      </c>
      <c r="U436" s="13">
        <v>40.003599999999999</v>
      </c>
      <c r="V436" s="21">
        <f>Table10[[#This Row],[Profit]]/Table10[[#This Row],[Sales]]</f>
        <v>0.32500000000000001</v>
      </c>
    </row>
    <row r="437" spans="1:22" x14ac:dyDescent="0.2">
      <c r="A437">
        <v>436</v>
      </c>
      <c r="B437" t="s">
        <v>5131</v>
      </c>
      <c r="C437" s="1">
        <v>42477</v>
      </c>
      <c r="D437" s="22">
        <f>MONTH(Table10[[#This Row],[Order Date]])</f>
        <v>4</v>
      </c>
      <c r="E437" t="s">
        <v>1782</v>
      </c>
      <c r="F437" t="s">
        <v>1783</v>
      </c>
      <c r="G437" s="23" t="s">
        <v>64</v>
      </c>
      <c r="H437" s="23" t="s">
        <v>65</v>
      </c>
      <c r="I437" t="s">
        <v>3034</v>
      </c>
      <c r="J437" t="s">
        <v>92</v>
      </c>
      <c r="K437" s="22">
        <v>1</v>
      </c>
      <c r="L437" s="1">
        <v>42481</v>
      </c>
      <c r="M437" s="22">
        <f>Table10[[#This Row],[Ship Date]]-Table10[[#This Row],[Order Date]]</f>
        <v>4</v>
      </c>
      <c r="N437" t="s">
        <v>20</v>
      </c>
      <c r="O437" t="s">
        <v>23</v>
      </c>
      <c r="P437" t="s">
        <v>80</v>
      </c>
      <c r="Q437" t="s">
        <v>26</v>
      </c>
      <c r="R437" t="s">
        <v>4054</v>
      </c>
      <c r="S437" s="33">
        <v>0.2</v>
      </c>
      <c r="T437" s="13">
        <v>36.792000000000002</v>
      </c>
      <c r="U437" s="13">
        <v>4.1391</v>
      </c>
      <c r="V437" s="21">
        <f>Table10[[#This Row],[Profit]]/Table10[[#This Row],[Sales]]</f>
        <v>0.11249999999999999</v>
      </c>
    </row>
    <row r="438" spans="1:22" x14ac:dyDescent="0.2">
      <c r="A438">
        <v>437</v>
      </c>
      <c r="B438" t="s">
        <v>5131</v>
      </c>
      <c r="C438" s="1">
        <v>42477</v>
      </c>
      <c r="D438" s="22">
        <f>MONTH(Table10[[#This Row],[Order Date]])</f>
        <v>4</v>
      </c>
      <c r="E438" t="s">
        <v>1376</v>
      </c>
      <c r="F438" t="s">
        <v>1377</v>
      </c>
      <c r="G438" s="23" t="s">
        <v>28</v>
      </c>
      <c r="H438" s="23" t="s">
        <v>58</v>
      </c>
      <c r="I438" t="s">
        <v>3034</v>
      </c>
      <c r="J438" t="s">
        <v>92</v>
      </c>
      <c r="K438" s="22">
        <v>8</v>
      </c>
      <c r="L438" s="1">
        <v>42481</v>
      </c>
      <c r="M438" s="22">
        <f>Table10[[#This Row],[Ship Date]]-Table10[[#This Row],[Order Date]]</f>
        <v>4</v>
      </c>
      <c r="N438" t="s">
        <v>20</v>
      </c>
      <c r="O438" t="s">
        <v>23</v>
      </c>
      <c r="P438" t="s">
        <v>80</v>
      </c>
      <c r="Q438" t="s">
        <v>26</v>
      </c>
      <c r="R438" t="s">
        <v>4054</v>
      </c>
      <c r="S438" s="33">
        <v>0.2</v>
      </c>
      <c r="T438" s="13">
        <v>18.623999999999999</v>
      </c>
      <c r="U438" s="13">
        <v>6.2855999999999996</v>
      </c>
      <c r="V438" s="21">
        <f>Table10[[#This Row],[Profit]]/Table10[[#This Row],[Sales]]</f>
        <v>0.33750000000000002</v>
      </c>
    </row>
    <row r="439" spans="1:22" x14ac:dyDescent="0.2">
      <c r="A439">
        <v>438</v>
      </c>
      <c r="B439" t="s">
        <v>6222</v>
      </c>
      <c r="C439" s="1">
        <v>42477</v>
      </c>
      <c r="D439" s="22">
        <f>MONTH(Table10[[#This Row],[Order Date]])</f>
        <v>4</v>
      </c>
      <c r="E439" t="s">
        <v>737</v>
      </c>
      <c r="F439" t="s">
        <v>738</v>
      </c>
      <c r="G439" s="23" t="s">
        <v>41</v>
      </c>
      <c r="H439" s="23" t="s">
        <v>240</v>
      </c>
      <c r="I439" t="s">
        <v>5589</v>
      </c>
      <c r="J439" t="s">
        <v>92</v>
      </c>
      <c r="K439" s="22">
        <v>5</v>
      </c>
      <c r="L439" s="1">
        <v>42481</v>
      </c>
      <c r="M439" s="22">
        <f>Table10[[#This Row],[Ship Date]]-Table10[[#This Row],[Order Date]]</f>
        <v>4</v>
      </c>
      <c r="N439" t="s">
        <v>45</v>
      </c>
      <c r="O439" t="s">
        <v>23</v>
      </c>
      <c r="P439" t="s">
        <v>124</v>
      </c>
      <c r="Q439" t="s">
        <v>95</v>
      </c>
      <c r="R439" t="s">
        <v>2226</v>
      </c>
      <c r="S439" s="33">
        <v>0</v>
      </c>
      <c r="T439" s="13">
        <v>29.05</v>
      </c>
      <c r="U439" s="13">
        <v>9.0054999999999996</v>
      </c>
      <c r="V439" s="21">
        <f>Table10[[#This Row],[Profit]]/Table10[[#This Row],[Sales]]</f>
        <v>0.31</v>
      </c>
    </row>
    <row r="440" spans="1:22" x14ac:dyDescent="0.2">
      <c r="A440">
        <v>439</v>
      </c>
      <c r="B440" t="s">
        <v>6394</v>
      </c>
      <c r="C440" s="1">
        <v>42477</v>
      </c>
      <c r="D440" s="22">
        <f>MONTH(Table10[[#This Row],[Order Date]])</f>
        <v>4</v>
      </c>
      <c r="E440" t="s">
        <v>2450</v>
      </c>
      <c r="F440" t="s">
        <v>2451</v>
      </c>
      <c r="G440" s="23" t="s">
        <v>28</v>
      </c>
      <c r="H440" s="23" t="s">
        <v>29</v>
      </c>
      <c r="I440" t="s">
        <v>2488</v>
      </c>
      <c r="J440" t="s">
        <v>22</v>
      </c>
      <c r="K440" s="22">
        <v>3</v>
      </c>
      <c r="L440" s="1">
        <v>42481</v>
      </c>
      <c r="M440" s="22">
        <f>Table10[[#This Row],[Ship Date]]-Table10[[#This Row],[Order Date]]</f>
        <v>4</v>
      </c>
      <c r="N440" t="s">
        <v>45</v>
      </c>
      <c r="O440" t="s">
        <v>23</v>
      </c>
      <c r="P440" t="s">
        <v>38</v>
      </c>
      <c r="Q440" t="s">
        <v>39</v>
      </c>
      <c r="R440" t="s">
        <v>990</v>
      </c>
      <c r="S440" s="33">
        <v>0.15</v>
      </c>
      <c r="T440" s="13">
        <v>257.49900000000002</v>
      </c>
      <c r="U440" s="13">
        <v>24.235199999999999</v>
      </c>
      <c r="V440" s="21">
        <f>Table10[[#This Row],[Profit]]/Table10[[#This Row],[Sales]]</f>
        <v>9.4117647058823514E-2</v>
      </c>
    </row>
    <row r="441" spans="1:22" x14ac:dyDescent="0.2">
      <c r="A441">
        <v>440</v>
      </c>
      <c r="B441" t="s">
        <v>6398</v>
      </c>
      <c r="C441" s="1">
        <v>42477</v>
      </c>
      <c r="D441" s="22">
        <f>MONTH(Table10[[#This Row],[Order Date]])</f>
        <v>4</v>
      </c>
      <c r="E441" t="s">
        <v>6400</v>
      </c>
      <c r="F441" t="s">
        <v>6401</v>
      </c>
      <c r="G441" s="23" t="s">
        <v>28</v>
      </c>
      <c r="H441" s="23" t="s">
        <v>58</v>
      </c>
      <c r="I441" t="s">
        <v>6399</v>
      </c>
      <c r="J441" t="s">
        <v>36</v>
      </c>
      <c r="K441" s="22">
        <v>5</v>
      </c>
      <c r="L441" s="1">
        <v>42482</v>
      </c>
      <c r="M441" s="22">
        <f>Table10[[#This Row],[Ship Date]]-Table10[[#This Row],[Order Date]]</f>
        <v>5</v>
      </c>
      <c r="N441" t="s">
        <v>45</v>
      </c>
      <c r="O441" t="s">
        <v>23</v>
      </c>
      <c r="P441" t="s">
        <v>299</v>
      </c>
      <c r="Q441" t="s">
        <v>26</v>
      </c>
      <c r="R441" t="s">
        <v>341</v>
      </c>
      <c r="S441" s="33">
        <v>0.2</v>
      </c>
      <c r="T441" s="13">
        <v>79.12</v>
      </c>
      <c r="U441" s="13">
        <v>13.846</v>
      </c>
      <c r="V441" s="21">
        <f>Table10[[#This Row],[Profit]]/Table10[[#This Row],[Sales]]</f>
        <v>0.17499999999999999</v>
      </c>
    </row>
    <row r="442" spans="1:22" x14ac:dyDescent="0.2">
      <c r="A442">
        <v>441</v>
      </c>
      <c r="B442" t="s">
        <v>4867</v>
      </c>
      <c r="C442" s="1">
        <v>42478</v>
      </c>
      <c r="D442" s="22">
        <f>MONTH(Table10[[#This Row],[Order Date]])</f>
        <v>4</v>
      </c>
      <c r="E442" t="s">
        <v>338</v>
      </c>
      <c r="F442" t="s">
        <v>339</v>
      </c>
      <c r="G442" s="23" t="s">
        <v>41</v>
      </c>
      <c r="H442" s="23" t="s">
        <v>53</v>
      </c>
      <c r="I442" t="s">
        <v>4868</v>
      </c>
      <c r="J442" t="s">
        <v>92</v>
      </c>
      <c r="K442" s="22">
        <v>3</v>
      </c>
      <c r="L442" s="1">
        <v>42483</v>
      </c>
      <c r="M442" s="22">
        <f>Table10[[#This Row],[Ship Date]]-Table10[[#This Row],[Order Date]]</f>
        <v>5</v>
      </c>
      <c r="N442" t="s">
        <v>45</v>
      </c>
      <c r="O442" t="s">
        <v>23</v>
      </c>
      <c r="P442" t="s">
        <v>189</v>
      </c>
      <c r="Q442" t="s">
        <v>95</v>
      </c>
      <c r="R442" t="s">
        <v>4869</v>
      </c>
      <c r="S442" s="33">
        <v>0.2</v>
      </c>
      <c r="T442" s="13">
        <v>230.376</v>
      </c>
      <c r="U442" s="13">
        <v>-48.954900000000002</v>
      </c>
      <c r="V442" s="21">
        <f>Table10[[#This Row],[Profit]]/Table10[[#This Row],[Sales]]</f>
        <v>-0.21249999999999999</v>
      </c>
    </row>
    <row r="443" spans="1:22" x14ac:dyDescent="0.2">
      <c r="A443">
        <v>442</v>
      </c>
      <c r="B443" t="s">
        <v>4867</v>
      </c>
      <c r="C443" s="1">
        <v>42478</v>
      </c>
      <c r="D443" s="22">
        <f>MONTH(Table10[[#This Row],[Order Date]])</f>
        <v>4</v>
      </c>
      <c r="E443" t="s">
        <v>2292</v>
      </c>
      <c r="F443" t="s">
        <v>2293</v>
      </c>
      <c r="G443" s="23" t="s">
        <v>41</v>
      </c>
      <c r="H443" s="23" t="s">
        <v>82</v>
      </c>
      <c r="I443" t="s">
        <v>4868</v>
      </c>
      <c r="J443" t="s">
        <v>92</v>
      </c>
      <c r="K443" s="22">
        <v>2</v>
      </c>
      <c r="L443" s="1">
        <v>42483</v>
      </c>
      <c r="M443" s="22">
        <f>Table10[[#This Row],[Ship Date]]-Table10[[#This Row],[Order Date]]</f>
        <v>5</v>
      </c>
      <c r="N443" t="s">
        <v>45</v>
      </c>
      <c r="O443" t="s">
        <v>23</v>
      </c>
      <c r="P443" t="s">
        <v>189</v>
      </c>
      <c r="Q443" t="s">
        <v>95</v>
      </c>
      <c r="R443" t="s">
        <v>4869</v>
      </c>
      <c r="S443" s="33">
        <v>0.2</v>
      </c>
      <c r="T443" s="13">
        <v>9.6639999999999997</v>
      </c>
      <c r="U443" s="13">
        <v>3.2616000000000001</v>
      </c>
      <c r="V443" s="21">
        <f>Table10[[#This Row],[Profit]]/Table10[[#This Row],[Sales]]</f>
        <v>0.33750000000000002</v>
      </c>
    </row>
    <row r="444" spans="1:22" x14ac:dyDescent="0.2">
      <c r="A444">
        <v>443</v>
      </c>
      <c r="B444" t="s">
        <v>8885</v>
      </c>
      <c r="C444" s="1">
        <v>42478</v>
      </c>
      <c r="D444" s="22">
        <f>MONTH(Table10[[#This Row],[Order Date]])</f>
        <v>4</v>
      </c>
      <c r="E444" t="s">
        <v>1625</v>
      </c>
      <c r="F444" t="s">
        <v>1626</v>
      </c>
      <c r="G444" s="23" t="s">
        <v>41</v>
      </c>
      <c r="H444" s="23" t="s">
        <v>71</v>
      </c>
      <c r="I444" t="s">
        <v>1260</v>
      </c>
      <c r="J444" t="s">
        <v>22</v>
      </c>
      <c r="K444" s="22">
        <v>4</v>
      </c>
      <c r="L444" s="1">
        <v>42482</v>
      </c>
      <c r="M444" s="22">
        <f>Table10[[#This Row],[Ship Date]]-Table10[[#This Row],[Order Date]]</f>
        <v>4</v>
      </c>
      <c r="N444" t="s">
        <v>45</v>
      </c>
      <c r="O444" t="s">
        <v>23</v>
      </c>
      <c r="P444" t="s">
        <v>285</v>
      </c>
      <c r="Q444" t="s">
        <v>26</v>
      </c>
      <c r="R444" t="s">
        <v>4320</v>
      </c>
      <c r="S444" s="33">
        <v>0</v>
      </c>
      <c r="T444" s="13">
        <v>203.92</v>
      </c>
      <c r="U444" s="13">
        <v>55.058399999999999</v>
      </c>
      <c r="V444" s="21">
        <f>Table10[[#This Row],[Profit]]/Table10[[#This Row],[Sales]]</f>
        <v>0.27</v>
      </c>
    </row>
    <row r="445" spans="1:22" x14ac:dyDescent="0.2">
      <c r="A445">
        <v>444</v>
      </c>
      <c r="B445" t="s">
        <v>8885</v>
      </c>
      <c r="C445" s="1">
        <v>42478</v>
      </c>
      <c r="D445" s="22">
        <f>MONTH(Table10[[#This Row],[Order Date]])</f>
        <v>4</v>
      </c>
      <c r="E445" t="s">
        <v>4183</v>
      </c>
      <c r="F445" t="s">
        <v>4184</v>
      </c>
      <c r="G445" s="23" t="s">
        <v>64</v>
      </c>
      <c r="H445" s="23" t="s">
        <v>65</v>
      </c>
      <c r="I445" t="s">
        <v>1260</v>
      </c>
      <c r="J445" t="s">
        <v>22</v>
      </c>
      <c r="K445" s="22">
        <v>4</v>
      </c>
      <c r="L445" s="1">
        <v>42482</v>
      </c>
      <c r="M445" s="22">
        <f>Table10[[#This Row],[Ship Date]]-Table10[[#This Row],[Order Date]]</f>
        <v>4</v>
      </c>
      <c r="N445" t="s">
        <v>45</v>
      </c>
      <c r="O445" t="s">
        <v>23</v>
      </c>
      <c r="P445" t="s">
        <v>285</v>
      </c>
      <c r="Q445" t="s">
        <v>26</v>
      </c>
      <c r="R445" t="s">
        <v>4320</v>
      </c>
      <c r="S445" s="33">
        <v>0</v>
      </c>
      <c r="T445" s="13">
        <v>29.56</v>
      </c>
      <c r="U445" s="13">
        <v>7.9812000000000003</v>
      </c>
      <c r="V445" s="21">
        <f>Table10[[#This Row],[Profit]]/Table10[[#This Row],[Sales]]</f>
        <v>0.27</v>
      </c>
    </row>
    <row r="446" spans="1:22" x14ac:dyDescent="0.2">
      <c r="A446">
        <v>445</v>
      </c>
      <c r="B446" t="s">
        <v>9256</v>
      </c>
      <c r="C446" s="1">
        <v>42478</v>
      </c>
      <c r="D446" s="22">
        <f>MONTH(Table10[[#This Row],[Order Date]])</f>
        <v>4</v>
      </c>
      <c r="E446" t="s">
        <v>2803</v>
      </c>
      <c r="F446" t="s">
        <v>2804</v>
      </c>
      <c r="G446" s="23" t="s">
        <v>28</v>
      </c>
      <c r="H446" s="23" t="s">
        <v>32</v>
      </c>
      <c r="I446" t="s">
        <v>7529</v>
      </c>
      <c r="J446" t="s">
        <v>36</v>
      </c>
      <c r="K446" s="22">
        <v>4</v>
      </c>
      <c r="L446" s="1">
        <v>42483</v>
      </c>
      <c r="M446" s="22">
        <f>Table10[[#This Row],[Ship Date]]-Table10[[#This Row],[Order Date]]</f>
        <v>5</v>
      </c>
      <c r="N446" t="s">
        <v>45</v>
      </c>
      <c r="O446" t="s">
        <v>23</v>
      </c>
      <c r="P446" t="s">
        <v>94</v>
      </c>
      <c r="Q446" t="s">
        <v>95</v>
      </c>
      <c r="R446" t="s">
        <v>165</v>
      </c>
      <c r="S446" s="33">
        <v>0.3</v>
      </c>
      <c r="T446" s="13">
        <v>344.37200000000001</v>
      </c>
      <c r="U446" s="13">
        <v>-93.472399999999993</v>
      </c>
      <c r="V446" s="21">
        <f>Table10[[#This Row],[Profit]]/Table10[[#This Row],[Sales]]</f>
        <v>-0.27142857142857141</v>
      </c>
    </row>
    <row r="447" spans="1:22" x14ac:dyDescent="0.2">
      <c r="A447">
        <v>446</v>
      </c>
      <c r="B447" t="s">
        <v>9256</v>
      </c>
      <c r="C447" s="1">
        <v>42478</v>
      </c>
      <c r="D447" s="22">
        <f>MONTH(Table10[[#This Row],[Order Date]])</f>
        <v>4</v>
      </c>
      <c r="E447" t="s">
        <v>1667</v>
      </c>
      <c r="F447" t="s">
        <v>1668</v>
      </c>
      <c r="G447" s="23" t="s">
        <v>41</v>
      </c>
      <c r="H447" s="23" t="s">
        <v>53</v>
      </c>
      <c r="I447" t="s">
        <v>7529</v>
      </c>
      <c r="J447" t="s">
        <v>36</v>
      </c>
      <c r="K447" s="22">
        <v>3</v>
      </c>
      <c r="L447" s="1">
        <v>42483</v>
      </c>
      <c r="M447" s="22">
        <f>Table10[[#This Row],[Ship Date]]-Table10[[#This Row],[Order Date]]</f>
        <v>5</v>
      </c>
      <c r="N447" t="s">
        <v>45</v>
      </c>
      <c r="O447" t="s">
        <v>23</v>
      </c>
      <c r="P447" t="s">
        <v>94</v>
      </c>
      <c r="Q447" t="s">
        <v>95</v>
      </c>
      <c r="R447" t="s">
        <v>165</v>
      </c>
      <c r="S447" s="33">
        <v>0.2</v>
      </c>
      <c r="T447" s="13">
        <v>1554.9359999999999</v>
      </c>
      <c r="U447" s="13">
        <v>77.746799999999993</v>
      </c>
      <c r="V447" s="21">
        <f>Table10[[#This Row],[Profit]]/Table10[[#This Row],[Sales]]</f>
        <v>4.9999999999999996E-2</v>
      </c>
    </row>
    <row r="448" spans="1:22" x14ac:dyDescent="0.2">
      <c r="A448">
        <v>447</v>
      </c>
      <c r="B448" t="s">
        <v>9256</v>
      </c>
      <c r="C448" s="1">
        <v>42478</v>
      </c>
      <c r="D448" s="22">
        <f>MONTH(Table10[[#This Row],[Order Date]])</f>
        <v>4</v>
      </c>
      <c r="E448" t="s">
        <v>4564</v>
      </c>
      <c r="F448" t="s">
        <v>4565</v>
      </c>
      <c r="G448" s="23" t="s">
        <v>28</v>
      </c>
      <c r="H448" s="23" t="s">
        <v>58</v>
      </c>
      <c r="I448" t="s">
        <v>7529</v>
      </c>
      <c r="J448" t="s">
        <v>36</v>
      </c>
      <c r="K448" s="22">
        <v>5</v>
      </c>
      <c r="L448" s="1">
        <v>42483</v>
      </c>
      <c r="M448" s="22">
        <f>Table10[[#This Row],[Ship Date]]-Table10[[#This Row],[Order Date]]</f>
        <v>5</v>
      </c>
      <c r="N448" t="s">
        <v>45</v>
      </c>
      <c r="O448" t="s">
        <v>23</v>
      </c>
      <c r="P448" t="s">
        <v>94</v>
      </c>
      <c r="Q448" t="s">
        <v>95</v>
      </c>
      <c r="R448" t="s">
        <v>165</v>
      </c>
      <c r="S448" s="33">
        <v>0.6</v>
      </c>
      <c r="T448" s="13">
        <v>127.88</v>
      </c>
      <c r="U448" s="13">
        <v>-67.137</v>
      </c>
      <c r="V448" s="21">
        <f>Table10[[#This Row],[Profit]]/Table10[[#This Row],[Sales]]</f>
        <v>-0.52500000000000002</v>
      </c>
    </row>
    <row r="449" spans="1:22" x14ac:dyDescent="0.2">
      <c r="A449">
        <v>448</v>
      </c>
      <c r="B449" t="s">
        <v>9986</v>
      </c>
      <c r="C449" s="1">
        <v>42478</v>
      </c>
      <c r="D449" s="22">
        <f>MONTH(Table10[[#This Row],[Order Date]])</f>
        <v>4</v>
      </c>
      <c r="E449" t="s">
        <v>1298</v>
      </c>
      <c r="F449" t="s">
        <v>1299</v>
      </c>
      <c r="G449" s="23" t="s">
        <v>41</v>
      </c>
      <c r="H449" s="23" t="s">
        <v>61</v>
      </c>
      <c r="I449" t="s">
        <v>5885</v>
      </c>
      <c r="J449" t="s">
        <v>36</v>
      </c>
      <c r="K449" s="22">
        <v>3</v>
      </c>
      <c r="L449" s="1">
        <v>42483</v>
      </c>
      <c r="M449" s="22">
        <f>Table10[[#This Row],[Ship Date]]-Table10[[#This Row],[Order Date]]</f>
        <v>5</v>
      </c>
      <c r="N449" t="s">
        <v>45</v>
      </c>
      <c r="O449" t="s">
        <v>23</v>
      </c>
      <c r="P449" t="s">
        <v>238</v>
      </c>
      <c r="Q449" t="s">
        <v>133</v>
      </c>
      <c r="R449" t="s">
        <v>237</v>
      </c>
      <c r="S449" s="33">
        <v>0</v>
      </c>
      <c r="T449" s="13">
        <v>6.99</v>
      </c>
      <c r="U449" s="13">
        <v>2.0270999999999999</v>
      </c>
      <c r="V449" s="21">
        <f>Table10[[#This Row],[Profit]]/Table10[[#This Row],[Sales]]</f>
        <v>0.28999999999999998</v>
      </c>
    </row>
    <row r="450" spans="1:22" x14ac:dyDescent="0.2">
      <c r="A450">
        <v>449</v>
      </c>
      <c r="B450" t="s">
        <v>9986</v>
      </c>
      <c r="C450" s="1">
        <v>42478</v>
      </c>
      <c r="D450" s="22">
        <f>MONTH(Table10[[#This Row],[Order Date]])</f>
        <v>4</v>
      </c>
      <c r="E450" t="s">
        <v>9201</v>
      </c>
      <c r="F450" t="s">
        <v>9202</v>
      </c>
      <c r="G450" s="23" t="s">
        <v>41</v>
      </c>
      <c r="H450" s="23" t="s">
        <v>513</v>
      </c>
      <c r="I450" t="s">
        <v>5885</v>
      </c>
      <c r="J450" t="s">
        <v>36</v>
      </c>
      <c r="K450" s="22">
        <v>1</v>
      </c>
      <c r="L450" s="1">
        <v>42483</v>
      </c>
      <c r="M450" s="22">
        <f>Table10[[#This Row],[Ship Date]]-Table10[[#This Row],[Order Date]]</f>
        <v>5</v>
      </c>
      <c r="N450" t="s">
        <v>45</v>
      </c>
      <c r="O450" t="s">
        <v>23</v>
      </c>
      <c r="P450" t="s">
        <v>238</v>
      </c>
      <c r="Q450" t="s">
        <v>133</v>
      </c>
      <c r="R450" t="s">
        <v>237</v>
      </c>
      <c r="S450" s="33">
        <v>0</v>
      </c>
      <c r="T450" s="13">
        <v>6.84</v>
      </c>
      <c r="U450" s="13">
        <v>1.8468</v>
      </c>
      <c r="V450" s="21">
        <f>Table10[[#This Row],[Profit]]/Table10[[#This Row],[Sales]]</f>
        <v>0.27</v>
      </c>
    </row>
    <row r="451" spans="1:22" x14ac:dyDescent="0.2">
      <c r="A451">
        <v>450</v>
      </c>
      <c r="B451" t="s">
        <v>3367</v>
      </c>
      <c r="C451" s="1">
        <v>42479</v>
      </c>
      <c r="D451" s="22">
        <f>MONTH(Table10[[#This Row],[Order Date]])</f>
        <v>4</v>
      </c>
      <c r="E451" t="s">
        <v>3368</v>
      </c>
      <c r="F451" t="s">
        <v>3369</v>
      </c>
      <c r="G451" s="23" t="s">
        <v>28</v>
      </c>
      <c r="H451" s="23" t="s">
        <v>50</v>
      </c>
      <c r="I451" t="s">
        <v>353</v>
      </c>
      <c r="J451" t="s">
        <v>92</v>
      </c>
      <c r="K451" s="22">
        <v>2</v>
      </c>
      <c r="L451" s="1">
        <v>42485</v>
      </c>
      <c r="M451" s="22">
        <f>Table10[[#This Row],[Ship Date]]-Table10[[#This Row],[Order Date]]</f>
        <v>6</v>
      </c>
      <c r="N451" t="s">
        <v>45</v>
      </c>
      <c r="O451" t="s">
        <v>23</v>
      </c>
      <c r="P451" t="s">
        <v>441</v>
      </c>
      <c r="Q451" t="s">
        <v>133</v>
      </c>
      <c r="R451" t="s">
        <v>440</v>
      </c>
      <c r="S451" s="33">
        <v>0.4</v>
      </c>
      <c r="T451" s="13">
        <v>205.17599999999999</v>
      </c>
      <c r="U451" s="13">
        <v>-58.133200000000002</v>
      </c>
      <c r="V451" s="21">
        <f>Table10[[#This Row],[Profit]]/Table10[[#This Row],[Sales]]</f>
        <v>-0.28333333333333338</v>
      </c>
    </row>
    <row r="452" spans="1:22" x14ac:dyDescent="0.2">
      <c r="A452">
        <v>451</v>
      </c>
      <c r="B452" t="s">
        <v>3367</v>
      </c>
      <c r="C452" s="1">
        <v>42479</v>
      </c>
      <c r="D452" s="22">
        <f>MONTH(Table10[[#This Row],[Order Date]])</f>
        <v>4</v>
      </c>
      <c r="E452" t="s">
        <v>3370</v>
      </c>
      <c r="F452" t="s">
        <v>3371</v>
      </c>
      <c r="G452" s="23" t="s">
        <v>41</v>
      </c>
      <c r="H452" s="23" t="s">
        <v>82</v>
      </c>
      <c r="I452" t="s">
        <v>353</v>
      </c>
      <c r="J452" t="s">
        <v>92</v>
      </c>
      <c r="K452" s="22">
        <v>5</v>
      </c>
      <c r="L452" s="1">
        <v>42485</v>
      </c>
      <c r="M452" s="22">
        <f>Table10[[#This Row],[Ship Date]]-Table10[[#This Row],[Order Date]]</f>
        <v>6</v>
      </c>
      <c r="N452" t="s">
        <v>45</v>
      </c>
      <c r="O452" t="s">
        <v>23</v>
      </c>
      <c r="P452" t="s">
        <v>441</v>
      </c>
      <c r="Q452" t="s">
        <v>133</v>
      </c>
      <c r="R452" t="s">
        <v>440</v>
      </c>
      <c r="S452" s="33">
        <v>0.2</v>
      </c>
      <c r="T452" s="13">
        <v>419.4</v>
      </c>
      <c r="U452" s="13">
        <v>146.79</v>
      </c>
      <c r="V452" s="21">
        <f>Table10[[#This Row],[Profit]]/Table10[[#This Row],[Sales]]</f>
        <v>0.35</v>
      </c>
    </row>
    <row r="453" spans="1:22" x14ac:dyDescent="0.2">
      <c r="A453">
        <v>452</v>
      </c>
      <c r="B453" t="s">
        <v>3730</v>
      </c>
      <c r="C453" s="1">
        <v>42479</v>
      </c>
      <c r="D453" s="22">
        <f>MONTH(Table10[[#This Row],[Order Date]])</f>
        <v>4</v>
      </c>
      <c r="E453" t="s">
        <v>2947</v>
      </c>
      <c r="F453" t="s">
        <v>2948</v>
      </c>
      <c r="G453" s="23" t="s">
        <v>64</v>
      </c>
      <c r="H453" s="23" t="s">
        <v>65</v>
      </c>
      <c r="I453" t="s">
        <v>926</v>
      </c>
      <c r="J453" t="s">
        <v>22</v>
      </c>
      <c r="K453" s="22">
        <v>5</v>
      </c>
      <c r="L453" s="1">
        <v>42484</v>
      </c>
      <c r="M453" s="22">
        <f>Table10[[#This Row],[Ship Date]]-Table10[[#This Row],[Order Date]]</f>
        <v>5</v>
      </c>
      <c r="N453" t="s">
        <v>20</v>
      </c>
      <c r="O453" t="s">
        <v>23</v>
      </c>
      <c r="P453" t="s">
        <v>38</v>
      </c>
      <c r="Q453" t="s">
        <v>39</v>
      </c>
      <c r="R453" t="s">
        <v>37</v>
      </c>
      <c r="S453" s="33">
        <v>0.2</v>
      </c>
      <c r="T453" s="13">
        <v>39.96</v>
      </c>
      <c r="U453" s="13">
        <v>12.987</v>
      </c>
      <c r="V453" s="21">
        <f>Table10[[#This Row],[Profit]]/Table10[[#This Row],[Sales]]</f>
        <v>0.32500000000000001</v>
      </c>
    </row>
    <row r="454" spans="1:22" x14ac:dyDescent="0.2">
      <c r="A454">
        <v>453</v>
      </c>
      <c r="B454" t="s">
        <v>3730</v>
      </c>
      <c r="C454" s="1">
        <v>42479</v>
      </c>
      <c r="D454" s="22">
        <f>MONTH(Table10[[#This Row],[Order Date]])</f>
        <v>4</v>
      </c>
      <c r="E454" t="s">
        <v>3731</v>
      </c>
      <c r="F454" t="s">
        <v>3732</v>
      </c>
      <c r="G454" s="23" t="s">
        <v>41</v>
      </c>
      <c r="H454" s="23" t="s">
        <v>61</v>
      </c>
      <c r="I454" t="s">
        <v>926</v>
      </c>
      <c r="J454" t="s">
        <v>22</v>
      </c>
      <c r="K454" s="22">
        <v>3</v>
      </c>
      <c r="L454" s="1">
        <v>42484</v>
      </c>
      <c r="M454" s="22">
        <f>Table10[[#This Row],[Ship Date]]-Table10[[#This Row],[Order Date]]</f>
        <v>5</v>
      </c>
      <c r="N454" t="s">
        <v>20</v>
      </c>
      <c r="O454" t="s">
        <v>23</v>
      </c>
      <c r="P454" t="s">
        <v>38</v>
      </c>
      <c r="Q454" t="s">
        <v>39</v>
      </c>
      <c r="R454" t="s">
        <v>37</v>
      </c>
      <c r="S454" s="33">
        <v>0</v>
      </c>
      <c r="T454" s="13">
        <v>5.46</v>
      </c>
      <c r="U454" s="13">
        <v>1.5287999999999999</v>
      </c>
      <c r="V454" s="21">
        <f>Table10[[#This Row],[Profit]]/Table10[[#This Row],[Sales]]</f>
        <v>0.27999999999999997</v>
      </c>
    </row>
    <row r="455" spans="1:22" x14ac:dyDescent="0.2">
      <c r="A455">
        <v>454</v>
      </c>
      <c r="B455" t="s">
        <v>3730</v>
      </c>
      <c r="C455" s="1">
        <v>42479</v>
      </c>
      <c r="D455" s="22">
        <f>MONTH(Table10[[#This Row],[Order Date]])</f>
        <v>4</v>
      </c>
      <c r="E455" t="s">
        <v>3733</v>
      </c>
      <c r="F455" t="s">
        <v>3734</v>
      </c>
      <c r="G455" s="23" t="s">
        <v>41</v>
      </c>
      <c r="H455" s="23" t="s">
        <v>61</v>
      </c>
      <c r="I455" t="s">
        <v>926</v>
      </c>
      <c r="J455" t="s">
        <v>22</v>
      </c>
      <c r="K455" s="22">
        <v>5</v>
      </c>
      <c r="L455" s="1">
        <v>42484</v>
      </c>
      <c r="M455" s="22">
        <f>Table10[[#This Row],[Ship Date]]-Table10[[#This Row],[Order Date]]</f>
        <v>5</v>
      </c>
      <c r="N455" t="s">
        <v>20</v>
      </c>
      <c r="O455" t="s">
        <v>23</v>
      </c>
      <c r="P455" t="s">
        <v>38</v>
      </c>
      <c r="Q455" t="s">
        <v>39</v>
      </c>
      <c r="R455" t="s">
        <v>37</v>
      </c>
      <c r="S455" s="33">
        <v>0</v>
      </c>
      <c r="T455" s="13">
        <v>73.2</v>
      </c>
      <c r="U455" s="13">
        <v>21.228000000000002</v>
      </c>
      <c r="V455" s="21">
        <f>Table10[[#This Row],[Profit]]/Table10[[#This Row],[Sales]]</f>
        <v>0.29000000000000004</v>
      </c>
    </row>
    <row r="456" spans="1:22" x14ac:dyDescent="0.2">
      <c r="A456">
        <v>455</v>
      </c>
      <c r="B456" t="s">
        <v>3730</v>
      </c>
      <c r="C456" s="1">
        <v>42479</v>
      </c>
      <c r="D456" s="22">
        <f>MONTH(Table10[[#This Row],[Order Date]])</f>
        <v>4</v>
      </c>
      <c r="E456" t="s">
        <v>1212</v>
      </c>
      <c r="F456" t="s">
        <v>1213</v>
      </c>
      <c r="G456" s="23" t="s">
        <v>41</v>
      </c>
      <c r="H456" s="23" t="s">
        <v>68</v>
      </c>
      <c r="I456" t="s">
        <v>926</v>
      </c>
      <c r="J456" t="s">
        <v>22</v>
      </c>
      <c r="K456" s="22">
        <v>1</v>
      </c>
      <c r="L456" s="1">
        <v>42484</v>
      </c>
      <c r="M456" s="22">
        <f>Table10[[#This Row],[Ship Date]]-Table10[[#This Row],[Order Date]]</f>
        <v>5</v>
      </c>
      <c r="N456" t="s">
        <v>20</v>
      </c>
      <c r="O456" t="s">
        <v>23</v>
      </c>
      <c r="P456" t="s">
        <v>38</v>
      </c>
      <c r="Q456" t="s">
        <v>39</v>
      </c>
      <c r="R456" t="s">
        <v>37</v>
      </c>
      <c r="S456" s="33">
        <v>0.2</v>
      </c>
      <c r="T456" s="13">
        <v>5.84</v>
      </c>
      <c r="U456" s="13">
        <v>1.9710000000000001</v>
      </c>
      <c r="V456" s="21">
        <f>Table10[[#This Row],[Profit]]/Table10[[#This Row],[Sales]]</f>
        <v>0.33750000000000002</v>
      </c>
    </row>
    <row r="457" spans="1:22" x14ac:dyDescent="0.2">
      <c r="A457">
        <v>456</v>
      </c>
      <c r="B457" t="s">
        <v>3730</v>
      </c>
      <c r="C457" s="1">
        <v>42479</v>
      </c>
      <c r="D457" s="22">
        <f>MONTH(Table10[[#This Row],[Order Date]])</f>
        <v>4</v>
      </c>
      <c r="E457" t="s">
        <v>495</v>
      </c>
      <c r="F457" t="s">
        <v>1928</v>
      </c>
      <c r="G457" s="23" t="s">
        <v>41</v>
      </c>
      <c r="H457" s="23" t="s">
        <v>82</v>
      </c>
      <c r="I457" t="s">
        <v>926</v>
      </c>
      <c r="J457" t="s">
        <v>22</v>
      </c>
      <c r="K457" s="22">
        <v>4</v>
      </c>
      <c r="L457" s="1">
        <v>42484</v>
      </c>
      <c r="M457" s="22">
        <f>Table10[[#This Row],[Ship Date]]-Table10[[#This Row],[Order Date]]</f>
        <v>5</v>
      </c>
      <c r="N457" t="s">
        <v>20</v>
      </c>
      <c r="O457" t="s">
        <v>23</v>
      </c>
      <c r="P457" t="s">
        <v>38</v>
      </c>
      <c r="Q457" t="s">
        <v>39</v>
      </c>
      <c r="R457" t="s">
        <v>37</v>
      </c>
      <c r="S457" s="33">
        <v>0</v>
      </c>
      <c r="T457" s="13">
        <v>22.72</v>
      </c>
      <c r="U457" s="13">
        <v>10.224</v>
      </c>
      <c r="V457" s="21">
        <f>Table10[[#This Row],[Profit]]/Table10[[#This Row],[Sales]]</f>
        <v>0.45</v>
      </c>
    </row>
    <row r="458" spans="1:22" x14ac:dyDescent="0.2">
      <c r="A458">
        <v>457</v>
      </c>
      <c r="B458" t="s">
        <v>3730</v>
      </c>
      <c r="C458" s="1">
        <v>42479</v>
      </c>
      <c r="D458" s="22">
        <f>MONTH(Table10[[#This Row],[Order Date]])</f>
        <v>4</v>
      </c>
      <c r="E458" t="s">
        <v>3735</v>
      </c>
      <c r="F458" t="s">
        <v>3736</v>
      </c>
      <c r="G458" s="23" t="s">
        <v>41</v>
      </c>
      <c r="H458" s="23" t="s">
        <v>68</v>
      </c>
      <c r="I458" t="s">
        <v>926</v>
      </c>
      <c r="J458" t="s">
        <v>22</v>
      </c>
      <c r="K458" s="22">
        <v>3</v>
      </c>
      <c r="L458" s="1">
        <v>42484</v>
      </c>
      <c r="M458" s="22">
        <f>Table10[[#This Row],[Ship Date]]-Table10[[#This Row],[Order Date]]</f>
        <v>5</v>
      </c>
      <c r="N458" t="s">
        <v>20</v>
      </c>
      <c r="O458" t="s">
        <v>23</v>
      </c>
      <c r="P458" t="s">
        <v>38</v>
      </c>
      <c r="Q458" t="s">
        <v>39</v>
      </c>
      <c r="R458" t="s">
        <v>37</v>
      </c>
      <c r="S458" s="33">
        <v>0.2</v>
      </c>
      <c r="T458" s="13">
        <v>9.3360000000000003</v>
      </c>
      <c r="U458" s="13">
        <v>3.2675999999999998</v>
      </c>
      <c r="V458" s="21">
        <f>Table10[[#This Row],[Profit]]/Table10[[#This Row],[Sales]]</f>
        <v>0.35</v>
      </c>
    </row>
    <row r="459" spans="1:22" x14ac:dyDescent="0.2">
      <c r="A459">
        <v>458</v>
      </c>
      <c r="B459" t="s">
        <v>8515</v>
      </c>
      <c r="C459" s="1">
        <v>42479</v>
      </c>
      <c r="D459" s="22">
        <f>MONTH(Table10[[#This Row],[Order Date]])</f>
        <v>4</v>
      </c>
      <c r="E459" t="s">
        <v>2452</v>
      </c>
      <c r="F459" t="s">
        <v>2453</v>
      </c>
      <c r="G459" s="23" t="s">
        <v>64</v>
      </c>
      <c r="H459" s="23" t="s">
        <v>65</v>
      </c>
      <c r="I459" t="s">
        <v>260</v>
      </c>
      <c r="J459" t="s">
        <v>22</v>
      </c>
      <c r="K459" s="22">
        <v>2</v>
      </c>
      <c r="L459" s="1">
        <v>42486</v>
      </c>
      <c r="M459" s="22">
        <f>Table10[[#This Row],[Ship Date]]-Table10[[#This Row],[Order Date]]</f>
        <v>7</v>
      </c>
      <c r="N459" t="s">
        <v>45</v>
      </c>
      <c r="O459" t="s">
        <v>23</v>
      </c>
      <c r="P459" t="s">
        <v>238</v>
      </c>
      <c r="Q459" t="s">
        <v>133</v>
      </c>
      <c r="R459" t="s">
        <v>237</v>
      </c>
      <c r="S459" s="33">
        <v>0</v>
      </c>
      <c r="T459" s="13">
        <v>25.98</v>
      </c>
      <c r="U459" s="13">
        <v>0.77939999999999998</v>
      </c>
      <c r="V459" s="21">
        <f>Table10[[#This Row],[Profit]]/Table10[[#This Row],[Sales]]</f>
        <v>0.03</v>
      </c>
    </row>
    <row r="460" spans="1:22" x14ac:dyDescent="0.2">
      <c r="A460">
        <v>459</v>
      </c>
      <c r="B460" t="s">
        <v>8515</v>
      </c>
      <c r="C460" s="1">
        <v>42479</v>
      </c>
      <c r="D460" s="22">
        <f>MONTH(Table10[[#This Row],[Order Date]])</f>
        <v>4</v>
      </c>
      <c r="E460" t="s">
        <v>4259</v>
      </c>
      <c r="F460" t="s">
        <v>4260</v>
      </c>
      <c r="G460" s="23" t="s">
        <v>41</v>
      </c>
      <c r="H460" s="23" t="s">
        <v>61</v>
      </c>
      <c r="I460" t="s">
        <v>260</v>
      </c>
      <c r="J460" t="s">
        <v>22</v>
      </c>
      <c r="K460" s="22">
        <v>2</v>
      </c>
      <c r="L460" s="1">
        <v>42486</v>
      </c>
      <c r="M460" s="22">
        <f>Table10[[#This Row],[Ship Date]]-Table10[[#This Row],[Order Date]]</f>
        <v>7</v>
      </c>
      <c r="N460" t="s">
        <v>45</v>
      </c>
      <c r="O460" t="s">
        <v>23</v>
      </c>
      <c r="P460" t="s">
        <v>238</v>
      </c>
      <c r="Q460" t="s">
        <v>133</v>
      </c>
      <c r="R460" t="s">
        <v>237</v>
      </c>
      <c r="S460" s="33">
        <v>0</v>
      </c>
      <c r="T460" s="13">
        <v>3.28</v>
      </c>
      <c r="U460" s="13">
        <v>1.476</v>
      </c>
      <c r="V460" s="21">
        <f>Table10[[#This Row],[Profit]]/Table10[[#This Row],[Sales]]</f>
        <v>0.45</v>
      </c>
    </row>
    <row r="461" spans="1:22" x14ac:dyDescent="0.2">
      <c r="A461">
        <v>460</v>
      </c>
      <c r="B461" t="s">
        <v>8515</v>
      </c>
      <c r="C461" s="1">
        <v>42479</v>
      </c>
      <c r="D461" s="22">
        <f>MONTH(Table10[[#This Row],[Order Date]])</f>
        <v>4</v>
      </c>
      <c r="E461" t="s">
        <v>604</v>
      </c>
      <c r="F461" t="s">
        <v>605</v>
      </c>
      <c r="G461" s="23" t="s">
        <v>41</v>
      </c>
      <c r="H461" s="23" t="s">
        <v>53</v>
      </c>
      <c r="I461" t="s">
        <v>260</v>
      </c>
      <c r="J461" t="s">
        <v>22</v>
      </c>
      <c r="K461" s="22">
        <v>4</v>
      </c>
      <c r="L461" s="1">
        <v>42486</v>
      </c>
      <c r="M461" s="22">
        <f>Table10[[#This Row],[Ship Date]]-Table10[[#This Row],[Order Date]]</f>
        <v>7</v>
      </c>
      <c r="N461" t="s">
        <v>45</v>
      </c>
      <c r="O461" t="s">
        <v>23</v>
      </c>
      <c r="P461" t="s">
        <v>238</v>
      </c>
      <c r="Q461" t="s">
        <v>133</v>
      </c>
      <c r="R461" t="s">
        <v>237</v>
      </c>
      <c r="S461" s="33">
        <v>0</v>
      </c>
      <c r="T461" s="13">
        <v>459.88</v>
      </c>
      <c r="U461" s="13">
        <v>13.7964</v>
      </c>
      <c r="V461" s="21">
        <f>Table10[[#This Row],[Profit]]/Table10[[#This Row],[Sales]]</f>
        <v>3.0000000000000002E-2</v>
      </c>
    </row>
    <row r="462" spans="1:22" x14ac:dyDescent="0.2">
      <c r="A462">
        <v>461</v>
      </c>
      <c r="B462" t="s">
        <v>8515</v>
      </c>
      <c r="C462" s="1">
        <v>42479</v>
      </c>
      <c r="D462" s="22">
        <f>MONTH(Table10[[#This Row],[Order Date]])</f>
        <v>4</v>
      </c>
      <c r="E462" t="s">
        <v>6102</v>
      </c>
      <c r="F462" t="s">
        <v>6103</v>
      </c>
      <c r="G462" s="23" t="s">
        <v>41</v>
      </c>
      <c r="H462" s="23" t="s">
        <v>513</v>
      </c>
      <c r="I462" t="s">
        <v>260</v>
      </c>
      <c r="J462" t="s">
        <v>22</v>
      </c>
      <c r="K462" s="22">
        <v>2</v>
      </c>
      <c r="L462" s="1">
        <v>42486</v>
      </c>
      <c r="M462" s="22">
        <f>Table10[[#This Row],[Ship Date]]-Table10[[#This Row],[Order Date]]</f>
        <v>7</v>
      </c>
      <c r="N462" t="s">
        <v>45</v>
      </c>
      <c r="O462" t="s">
        <v>23</v>
      </c>
      <c r="P462" t="s">
        <v>238</v>
      </c>
      <c r="Q462" t="s">
        <v>133</v>
      </c>
      <c r="R462" t="s">
        <v>237</v>
      </c>
      <c r="S462" s="33">
        <v>0</v>
      </c>
      <c r="T462" s="13">
        <v>7.76</v>
      </c>
      <c r="U462" s="13">
        <v>2.2504</v>
      </c>
      <c r="V462" s="21">
        <f>Table10[[#This Row],[Profit]]/Table10[[#This Row],[Sales]]</f>
        <v>0.28999999999999998</v>
      </c>
    </row>
    <row r="463" spans="1:22" x14ac:dyDescent="0.2">
      <c r="A463">
        <v>462</v>
      </c>
      <c r="B463" t="s">
        <v>8515</v>
      </c>
      <c r="C463" s="1">
        <v>42479</v>
      </c>
      <c r="D463" s="22">
        <f>MONTH(Table10[[#This Row],[Order Date]])</f>
        <v>4</v>
      </c>
      <c r="E463" t="s">
        <v>3137</v>
      </c>
      <c r="F463" t="s">
        <v>3138</v>
      </c>
      <c r="G463" s="23" t="s">
        <v>41</v>
      </c>
      <c r="H463" s="23" t="s">
        <v>61</v>
      </c>
      <c r="I463" t="s">
        <v>260</v>
      </c>
      <c r="J463" t="s">
        <v>22</v>
      </c>
      <c r="K463" s="22">
        <v>2</v>
      </c>
      <c r="L463" s="1">
        <v>42486</v>
      </c>
      <c r="M463" s="22">
        <f>Table10[[#This Row],[Ship Date]]-Table10[[#This Row],[Order Date]]</f>
        <v>7</v>
      </c>
      <c r="N463" t="s">
        <v>45</v>
      </c>
      <c r="O463" t="s">
        <v>23</v>
      </c>
      <c r="P463" t="s">
        <v>238</v>
      </c>
      <c r="Q463" t="s">
        <v>133</v>
      </c>
      <c r="R463" t="s">
        <v>237</v>
      </c>
      <c r="S463" s="33">
        <v>0</v>
      </c>
      <c r="T463" s="13">
        <v>71.959999999999994</v>
      </c>
      <c r="U463" s="13">
        <v>17.989999999999998</v>
      </c>
      <c r="V463" s="21">
        <f>Table10[[#This Row],[Profit]]/Table10[[#This Row],[Sales]]</f>
        <v>0.25</v>
      </c>
    </row>
    <row r="464" spans="1:22" x14ac:dyDescent="0.2">
      <c r="A464">
        <v>463</v>
      </c>
      <c r="B464" t="s">
        <v>8515</v>
      </c>
      <c r="C464" s="1">
        <v>42479</v>
      </c>
      <c r="D464" s="22">
        <f>MONTH(Table10[[#This Row],[Order Date]])</f>
        <v>4</v>
      </c>
      <c r="E464" t="s">
        <v>512</v>
      </c>
      <c r="F464" t="s">
        <v>514</v>
      </c>
      <c r="G464" s="23" t="s">
        <v>41</v>
      </c>
      <c r="H464" s="23" t="s">
        <v>513</v>
      </c>
      <c r="I464" t="s">
        <v>260</v>
      </c>
      <c r="J464" t="s">
        <v>22</v>
      </c>
      <c r="K464" s="22">
        <v>5</v>
      </c>
      <c r="L464" s="1">
        <v>42486</v>
      </c>
      <c r="M464" s="22">
        <f>Table10[[#This Row],[Ship Date]]-Table10[[#This Row],[Order Date]]</f>
        <v>7</v>
      </c>
      <c r="N464" t="s">
        <v>45</v>
      </c>
      <c r="O464" t="s">
        <v>23</v>
      </c>
      <c r="P464" t="s">
        <v>238</v>
      </c>
      <c r="Q464" t="s">
        <v>133</v>
      </c>
      <c r="R464" t="s">
        <v>237</v>
      </c>
      <c r="S464" s="33">
        <v>0</v>
      </c>
      <c r="T464" s="13">
        <v>54.9</v>
      </c>
      <c r="U464" s="13">
        <v>15.372</v>
      </c>
      <c r="V464" s="21">
        <f>Table10[[#This Row],[Profit]]/Table10[[#This Row],[Sales]]</f>
        <v>0.28000000000000003</v>
      </c>
    </row>
    <row r="465" spans="1:22" x14ac:dyDescent="0.2">
      <c r="A465">
        <v>464</v>
      </c>
      <c r="B465" t="s">
        <v>8515</v>
      </c>
      <c r="C465" s="1">
        <v>42479</v>
      </c>
      <c r="D465" s="22">
        <f>MONTH(Table10[[#This Row],[Order Date]])</f>
        <v>4</v>
      </c>
      <c r="E465" t="s">
        <v>5472</v>
      </c>
      <c r="F465" t="s">
        <v>5473</v>
      </c>
      <c r="G465" s="23" t="s">
        <v>41</v>
      </c>
      <c r="H465" s="23" t="s">
        <v>68</v>
      </c>
      <c r="I465" t="s">
        <v>260</v>
      </c>
      <c r="J465" t="s">
        <v>22</v>
      </c>
      <c r="K465" s="22">
        <v>2</v>
      </c>
      <c r="L465" s="1">
        <v>42486</v>
      </c>
      <c r="M465" s="22">
        <f>Table10[[#This Row],[Ship Date]]-Table10[[#This Row],[Order Date]]</f>
        <v>7</v>
      </c>
      <c r="N465" t="s">
        <v>45</v>
      </c>
      <c r="O465" t="s">
        <v>23</v>
      </c>
      <c r="P465" t="s">
        <v>238</v>
      </c>
      <c r="Q465" t="s">
        <v>133</v>
      </c>
      <c r="R465" t="s">
        <v>237</v>
      </c>
      <c r="S465" s="33">
        <v>0.2</v>
      </c>
      <c r="T465" s="13">
        <v>9.2799999999999994</v>
      </c>
      <c r="U465" s="13">
        <v>3.2480000000000002</v>
      </c>
      <c r="V465" s="21">
        <f>Table10[[#This Row],[Profit]]/Table10[[#This Row],[Sales]]</f>
        <v>0.35000000000000003</v>
      </c>
    </row>
    <row r="466" spans="1:22" x14ac:dyDescent="0.2">
      <c r="A466">
        <v>465</v>
      </c>
      <c r="B466" t="s">
        <v>3125</v>
      </c>
      <c r="C466" s="1">
        <v>42481</v>
      </c>
      <c r="D466" s="22">
        <f>MONTH(Table10[[#This Row],[Order Date]])</f>
        <v>4</v>
      </c>
      <c r="E466" t="s">
        <v>3126</v>
      </c>
      <c r="F466" t="s">
        <v>3127</v>
      </c>
      <c r="G466" s="23" t="s">
        <v>41</v>
      </c>
      <c r="H466" s="23" t="s">
        <v>53</v>
      </c>
      <c r="I466" t="s">
        <v>1910</v>
      </c>
      <c r="J466" t="s">
        <v>36</v>
      </c>
      <c r="K466" s="22">
        <v>4</v>
      </c>
      <c r="L466" s="1">
        <v>42486</v>
      </c>
      <c r="M466" s="22">
        <f>Table10[[#This Row],[Ship Date]]-Table10[[#This Row],[Order Date]]</f>
        <v>5</v>
      </c>
      <c r="N466" t="s">
        <v>45</v>
      </c>
      <c r="O466" t="s">
        <v>23</v>
      </c>
      <c r="P466" t="s">
        <v>189</v>
      </c>
      <c r="Q466" t="s">
        <v>95</v>
      </c>
      <c r="R466" t="s">
        <v>271</v>
      </c>
      <c r="S466" s="33">
        <v>0.2</v>
      </c>
      <c r="T466" s="13">
        <v>102.336</v>
      </c>
      <c r="U466" s="13">
        <v>-12.792</v>
      </c>
      <c r="V466" s="21">
        <f>Table10[[#This Row],[Profit]]/Table10[[#This Row],[Sales]]</f>
        <v>-0.125</v>
      </c>
    </row>
    <row r="467" spans="1:22" x14ac:dyDescent="0.2">
      <c r="A467">
        <v>466</v>
      </c>
      <c r="B467" t="s">
        <v>3125</v>
      </c>
      <c r="C467" s="1">
        <v>42481</v>
      </c>
      <c r="D467" s="22">
        <f>MONTH(Table10[[#This Row],[Order Date]])</f>
        <v>4</v>
      </c>
      <c r="E467" t="s">
        <v>2483</v>
      </c>
      <c r="F467" t="s">
        <v>2484</v>
      </c>
      <c r="G467" s="23" t="s">
        <v>41</v>
      </c>
      <c r="H467" s="23" t="s">
        <v>71</v>
      </c>
      <c r="I467" t="s">
        <v>1910</v>
      </c>
      <c r="J467" t="s">
        <v>36</v>
      </c>
      <c r="K467" s="22">
        <v>3</v>
      </c>
      <c r="L467" s="1">
        <v>42486</v>
      </c>
      <c r="M467" s="22">
        <f>Table10[[#This Row],[Ship Date]]-Table10[[#This Row],[Order Date]]</f>
        <v>5</v>
      </c>
      <c r="N467" t="s">
        <v>45</v>
      </c>
      <c r="O467" t="s">
        <v>23</v>
      </c>
      <c r="P467" t="s">
        <v>189</v>
      </c>
      <c r="Q467" t="s">
        <v>95</v>
      </c>
      <c r="R467" t="s">
        <v>271</v>
      </c>
      <c r="S467" s="33">
        <v>0.8</v>
      </c>
      <c r="T467" s="13">
        <v>48.792000000000002</v>
      </c>
      <c r="U467" s="13">
        <v>-126.8592</v>
      </c>
      <c r="V467" s="21">
        <f>Table10[[#This Row],[Profit]]/Table10[[#This Row],[Sales]]</f>
        <v>-2.6</v>
      </c>
    </row>
    <row r="468" spans="1:22" x14ac:dyDescent="0.2">
      <c r="A468">
        <v>467</v>
      </c>
      <c r="B468" t="s">
        <v>3125</v>
      </c>
      <c r="C468" s="1">
        <v>42481</v>
      </c>
      <c r="D468" s="22">
        <f>MONTH(Table10[[#This Row],[Order Date]])</f>
        <v>4</v>
      </c>
      <c r="E468" t="s">
        <v>3128</v>
      </c>
      <c r="F468" t="s">
        <v>3129</v>
      </c>
      <c r="G468" s="23" t="s">
        <v>41</v>
      </c>
      <c r="H468" s="23" t="s">
        <v>68</v>
      </c>
      <c r="I468" t="s">
        <v>1910</v>
      </c>
      <c r="J468" t="s">
        <v>36</v>
      </c>
      <c r="K468" s="22">
        <v>8</v>
      </c>
      <c r="L468" s="1">
        <v>42486</v>
      </c>
      <c r="M468" s="22">
        <f>Table10[[#This Row],[Ship Date]]-Table10[[#This Row],[Order Date]]</f>
        <v>5</v>
      </c>
      <c r="N468" t="s">
        <v>45</v>
      </c>
      <c r="O468" t="s">
        <v>23</v>
      </c>
      <c r="P468" t="s">
        <v>189</v>
      </c>
      <c r="Q468" t="s">
        <v>95</v>
      </c>
      <c r="R468" t="s">
        <v>271</v>
      </c>
      <c r="S468" s="33">
        <v>0.8</v>
      </c>
      <c r="T468" s="13">
        <v>44.847999999999999</v>
      </c>
      <c r="U468" s="13">
        <v>-67.272000000000006</v>
      </c>
      <c r="V468" s="21">
        <f>Table10[[#This Row],[Profit]]/Table10[[#This Row],[Sales]]</f>
        <v>-1.5000000000000002</v>
      </c>
    </row>
    <row r="469" spans="1:22" x14ac:dyDescent="0.2">
      <c r="A469">
        <v>468</v>
      </c>
      <c r="B469" t="s">
        <v>8989</v>
      </c>
      <c r="C469" s="1">
        <v>42481</v>
      </c>
      <c r="D469" s="22">
        <f>MONTH(Table10[[#This Row],[Order Date]])</f>
        <v>4</v>
      </c>
      <c r="E469" t="s">
        <v>921</v>
      </c>
      <c r="F469" t="s">
        <v>922</v>
      </c>
      <c r="G469" s="23" t="s">
        <v>41</v>
      </c>
      <c r="H469" s="23" t="s">
        <v>68</v>
      </c>
      <c r="I469" t="s">
        <v>326</v>
      </c>
      <c r="J469" t="s">
        <v>22</v>
      </c>
      <c r="K469" s="22">
        <v>5</v>
      </c>
      <c r="L469" s="1">
        <v>42484</v>
      </c>
      <c r="M469" s="22">
        <f>Table10[[#This Row],[Ship Date]]-Table10[[#This Row],[Order Date]]</f>
        <v>3</v>
      </c>
      <c r="N469" t="s">
        <v>169</v>
      </c>
      <c r="O469" t="s">
        <v>23</v>
      </c>
      <c r="P469" t="s">
        <v>87</v>
      </c>
      <c r="Q469" t="s">
        <v>39</v>
      </c>
      <c r="R469" t="s">
        <v>86</v>
      </c>
      <c r="S469" s="33">
        <v>0.2</v>
      </c>
      <c r="T469" s="13">
        <v>8.32</v>
      </c>
      <c r="U469" s="13">
        <v>2.8079999999999998</v>
      </c>
      <c r="V469" s="21">
        <f>Table10[[#This Row],[Profit]]/Table10[[#This Row],[Sales]]</f>
        <v>0.33749999999999997</v>
      </c>
    </row>
    <row r="470" spans="1:22" x14ac:dyDescent="0.2">
      <c r="A470">
        <v>469</v>
      </c>
      <c r="B470" t="s">
        <v>9697</v>
      </c>
      <c r="C470" s="1">
        <v>42481</v>
      </c>
      <c r="D470" s="22">
        <f>MONTH(Table10[[#This Row],[Order Date]])</f>
        <v>4</v>
      </c>
      <c r="E470" t="s">
        <v>3163</v>
      </c>
      <c r="F470" t="s">
        <v>3164</v>
      </c>
      <c r="G470" s="23" t="s">
        <v>41</v>
      </c>
      <c r="H470" s="23" t="s">
        <v>61</v>
      </c>
      <c r="I470" t="s">
        <v>4027</v>
      </c>
      <c r="J470" t="s">
        <v>22</v>
      </c>
      <c r="K470" s="22">
        <v>3</v>
      </c>
      <c r="L470" s="1">
        <v>42481</v>
      </c>
      <c r="M470" s="22">
        <f>Table10[[#This Row],[Ship Date]]-Table10[[#This Row],[Order Date]]</f>
        <v>0</v>
      </c>
      <c r="N470" t="s">
        <v>1141</v>
      </c>
      <c r="O470" t="s">
        <v>23</v>
      </c>
      <c r="P470" t="s">
        <v>660</v>
      </c>
      <c r="Q470" t="s">
        <v>133</v>
      </c>
      <c r="R470" t="s">
        <v>7685</v>
      </c>
      <c r="S470" s="33">
        <v>0</v>
      </c>
      <c r="T470" s="13">
        <v>15.48</v>
      </c>
      <c r="U470" s="13">
        <v>4.4892000000000003</v>
      </c>
      <c r="V470" s="21">
        <f>Table10[[#This Row],[Profit]]/Table10[[#This Row],[Sales]]</f>
        <v>0.29000000000000004</v>
      </c>
    </row>
    <row r="471" spans="1:22" x14ac:dyDescent="0.2">
      <c r="A471">
        <v>470</v>
      </c>
      <c r="B471" t="s">
        <v>9697</v>
      </c>
      <c r="C471" s="1">
        <v>42481</v>
      </c>
      <c r="D471" s="22">
        <f>MONTH(Table10[[#This Row],[Order Date]])</f>
        <v>4</v>
      </c>
      <c r="E471" t="s">
        <v>7259</v>
      </c>
      <c r="F471" t="s">
        <v>7260</v>
      </c>
      <c r="G471" s="23" t="s">
        <v>41</v>
      </c>
      <c r="H471" s="23" t="s">
        <v>82</v>
      </c>
      <c r="I471" t="s">
        <v>4027</v>
      </c>
      <c r="J471" t="s">
        <v>22</v>
      </c>
      <c r="K471" s="22">
        <v>8</v>
      </c>
      <c r="L471" s="1">
        <v>42481</v>
      </c>
      <c r="M471" s="22">
        <f>Table10[[#This Row],[Ship Date]]-Table10[[#This Row],[Order Date]]</f>
        <v>0</v>
      </c>
      <c r="N471" t="s">
        <v>1141</v>
      </c>
      <c r="O471" t="s">
        <v>23</v>
      </c>
      <c r="P471" t="s">
        <v>660</v>
      </c>
      <c r="Q471" t="s">
        <v>133</v>
      </c>
      <c r="R471" t="s">
        <v>7685</v>
      </c>
      <c r="S471" s="33">
        <v>0</v>
      </c>
      <c r="T471" s="13">
        <v>51.84</v>
      </c>
      <c r="U471" s="13">
        <v>24.883199999999999</v>
      </c>
      <c r="V471" s="21">
        <f>Table10[[#This Row],[Profit]]/Table10[[#This Row],[Sales]]</f>
        <v>0.47999999999999993</v>
      </c>
    </row>
    <row r="472" spans="1:22" x14ac:dyDescent="0.2">
      <c r="A472">
        <v>471</v>
      </c>
      <c r="B472" t="s">
        <v>1416</v>
      </c>
      <c r="C472" s="1">
        <v>42482</v>
      </c>
      <c r="D472" s="22">
        <f>MONTH(Table10[[#This Row],[Order Date]])</f>
        <v>4</v>
      </c>
      <c r="E472" t="s">
        <v>1136</v>
      </c>
      <c r="F472" t="s">
        <v>1137</v>
      </c>
      <c r="G472" s="23" t="s">
        <v>28</v>
      </c>
      <c r="H472" s="23" t="s">
        <v>58</v>
      </c>
      <c r="I472" t="s">
        <v>1417</v>
      </c>
      <c r="J472" t="s">
        <v>92</v>
      </c>
      <c r="K472" s="22">
        <v>5</v>
      </c>
      <c r="L472" s="1">
        <v>42489</v>
      </c>
      <c r="M472" s="22">
        <f>Table10[[#This Row],[Ship Date]]-Table10[[#This Row],[Order Date]]</f>
        <v>7</v>
      </c>
      <c r="N472" t="s">
        <v>45</v>
      </c>
      <c r="O472" t="s">
        <v>23</v>
      </c>
      <c r="P472" t="s">
        <v>277</v>
      </c>
      <c r="Q472" t="s">
        <v>39</v>
      </c>
      <c r="R472" t="s">
        <v>481</v>
      </c>
      <c r="S472" s="33">
        <v>0.2</v>
      </c>
      <c r="T472" s="13">
        <v>23.56</v>
      </c>
      <c r="U472" s="13">
        <v>7.0679999999999996</v>
      </c>
      <c r="V472" s="21">
        <f>Table10[[#This Row],[Profit]]/Table10[[#This Row],[Sales]]</f>
        <v>0.3</v>
      </c>
    </row>
    <row r="473" spans="1:22" x14ac:dyDescent="0.2">
      <c r="A473">
        <v>472</v>
      </c>
      <c r="B473" t="s">
        <v>1416</v>
      </c>
      <c r="C473" s="1">
        <v>42482</v>
      </c>
      <c r="D473" s="22">
        <f>MONTH(Table10[[#This Row],[Order Date]])</f>
        <v>4</v>
      </c>
      <c r="E473" t="s">
        <v>1418</v>
      </c>
      <c r="F473" t="s">
        <v>1419</v>
      </c>
      <c r="G473" s="23" t="s">
        <v>28</v>
      </c>
      <c r="H473" s="23" t="s">
        <v>50</v>
      </c>
      <c r="I473" t="s">
        <v>1417</v>
      </c>
      <c r="J473" t="s">
        <v>92</v>
      </c>
      <c r="K473" s="22">
        <v>6</v>
      </c>
      <c r="L473" s="1">
        <v>42489</v>
      </c>
      <c r="M473" s="22">
        <f>Table10[[#This Row],[Ship Date]]-Table10[[#This Row],[Order Date]]</f>
        <v>7</v>
      </c>
      <c r="N473" t="s">
        <v>45</v>
      </c>
      <c r="O473" t="s">
        <v>23</v>
      </c>
      <c r="P473" t="s">
        <v>277</v>
      </c>
      <c r="Q473" t="s">
        <v>39</v>
      </c>
      <c r="R473" t="s">
        <v>481</v>
      </c>
      <c r="S473" s="33">
        <v>0.5</v>
      </c>
      <c r="T473" s="13">
        <v>1272.6300000000001</v>
      </c>
      <c r="U473" s="13">
        <v>-814.48320000000001</v>
      </c>
      <c r="V473" s="21">
        <f>Table10[[#This Row],[Profit]]/Table10[[#This Row],[Sales]]</f>
        <v>-0.6399999999999999</v>
      </c>
    </row>
    <row r="474" spans="1:22" x14ac:dyDescent="0.2">
      <c r="A474">
        <v>473</v>
      </c>
      <c r="B474" t="s">
        <v>1416</v>
      </c>
      <c r="C474" s="1">
        <v>42482</v>
      </c>
      <c r="D474" s="22">
        <f>MONTH(Table10[[#This Row],[Order Date]])</f>
        <v>4</v>
      </c>
      <c r="E474" t="s">
        <v>1420</v>
      </c>
      <c r="F474" t="s">
        <v>1421</v>
      </c>
      <c r="G474" s="23" t="s">
        <v>41</v>
      </c>
      <c r="H474" s="23" t="s">
        <v>68</v>
      </c>
      <c r="I474" t="s">
        <v>1417</v>
      </c>
      <c r="J474" t="s">
        <v>92</v>
      </c>
      <c r="K474" s="22">
        <v>5</v>
      </c>
      <c r="L474" s="1">
        <v>42489</v>
      </c>
      <c r="M474" s="22">
        <f>Table10[[#This Row],[Ship Date]]-Table10[[#This Row],[Order Date]]</f>
        <v>7</v>
      </c>
      <c r="N474" t="s">
        <v>45</v>
      </c>
      <c r="O474" t="s">
        <v>23</v>
      </c>
      <c r="P474" t="s">
        <v>277</v>
      </c>
      <c r="Q474" t="s">
        <v>39</v>
      </c>
      <c r="R474" t="s">
        <v>481</v>
      </c>
      <c r="S474" s="33">
        <v>0.7</v>
      </c>
      <c r="T474" s="13">
        <v>28.484999999999999</v>
      </c>
      <c r="U474" s="13">
        <v>-20.888999999999999</v>
      </c>
      <c r="V474" s="21">
        <f>Table10[[#This Row],[Profit]]/Table10[[#This Row],[Sales]]</f>
        <v>-0.73333333333333328</v>
      </c>
    </row>
    <row r="475" spans="1:22" x14ac:dyDescent="0.2">
      <c r="A475">
        <v>474</v>
      </c>
      <c r="B475" t="s">
        <v>1416</v>
      </c>
      <c r="C475" s="1">
        <v>42482</v>
      </c>
      <c r="D475" s="22">
        <f>MONTH(Table10[[#This Row],[Order Date]])</f>
        <v>4</v>
      </c>
      <c r="E475" t="s">
        <v>1422</v>
      </c>
      <c r="F475" t="s">
        <v>1423</v>
      </c>
      <c r="G475" s="23" t="s">
        <v>41</v>
      </c>
      <c r="H475" s="23" t="s">
        <v>513</v>
      </c>
      <c r="I475" t="s">
        <v>1417</v>
      </c>
      <c r="J475" t="s">
        <v>92</v>
      </c>
      <c r="K475" s="22">
        <v>2</v>
      </c>
      <c r="L475" s="1">
        <v>42489</v>
      </c>
      <c r="M475" s="22">
        <f>Table10[[#This Row],[Ship Date]]-Table10[[#This Row],[Order Date]]</f>
        <v>7</v>
      </c>
      <c r="N475" t="s">
        <v>45</v>
      </c>
      <c r="O475" t="s">
        <v>23</v>
      </c>
      <c r="P475" t="s">
        <v>277</v>
      </c>
      <c r="Q475" t="s">
        <v>39</v>
      </c>
      <c r="R475" t="s">
        <v>481</v>
      </c>
      <c r="S475" s="33">
        <v>0.2</v>
      </c>
      <c r="T475" s="13">
        <v>185.376</v>
      </c>
      <c r="U475" s="13">
        <v>-34.758000000000003</v>
      </c>
      <c r="V475" s="21">
        <f>Table10[[#This Row],[Profit]]/Table10[[#This Row],[Sales]]</f>
        <v>-0.1875</v>
      </c>
    </row>
    <row r="476" spans="1:22" x14ac:dyDescent="0.2">
      <c r="A476">
        <v>475</v>
      </c>
      <c r="B476" t="s">
        <v>1416</v>
      </c>
      <c r="C476" s="1">
        <v>42482</v>
      </c>
      <c r="D476" s="22">
        <f>MONTH(Table10[[#This Row],[Order Date]])</f>
        <v>4</v>
      </c>
      <c r="E476" t="s">
        <v>1424</v>
      </c>
      <c r="F476" t="s">
        <v>1425</v>
      </c>
      <c r="G476" s="23" t="s">
        <v>41</v>
      </c>
      <c r="H476" s="23" t="s">
        <v>71</v>
      </c>
      <c r="I476" t="s">
        <v>1417</v>
      </c>
      <c r="J476" t="s">
        <v>92</v>
      </c>
      <c r="K476" s="22">
        <v>2</v>
      </c>
      <c r="L476" s="1">
        <v>42489</v>
      </c>
      <c r="M476" s="22">
        <f>Table10[[#This Row],[Ship Date]]-Table10[[#This Row],[Order Date]]</f>
        <v>7</v>
      </c>
      <c r="N476" t="s">
        <v>45</v>
      </c>
      <c r="O476" t="s">
        <v>23</v>
      </c>
      <c r="P476" t="s">
        <v>277</v>
      </c>
      <c r="Q476" t="s">
        <v>39</v>
      </c>
      <c r="R476" t="s">
        <v>481</v>
      </c>
      <c r="S476" s="33">
        <v>0.2</v>
      </c>
      <c r="T476" s="13">
        <v>78.272000000000006</v>
      </c>
      <c r="U476" s="13">
        <v>5.8704000000000001</v>
      </c>
      <c r="V476" s="21">
        <f>Table10[[#This Row],[Profit]]/Table10[[#This Row],[Sales]]</f>
        <v>7.4999999999999997E-2</v>
      </c>
    </row>
    <row r="477" spans="1:22" x14ac:dyDescent="0.2">
      <c r="A477">
        <v>476</v>
      </c>
      <c r="B477" t="s">
        <v>2702</v>
      </c>
      <c r="C477" s="1">
        <v>42482</v>
      </c>
      <c r="D477" s="22">
        <f>MONTH(Table10[[#This Row],[Order Date]])</f>
        <v>4</v>
      </c>
      <c r="E477" t="s">
        <v>2704</v>
      </c>
      <c r="F477" t="s">
        <v>2705</v>
      </c>
      <c r="G477" s="23" t="s">
        <v>28</v>
      </c>
      <c r="H477" s="23" t="s">
        <v>58</v>
      </c>
      <c r="I477" t="s">
        <v>2407</v>
      </c>
      <c r="J477" t="s">
        <v>92</v>
      </c>
      <c r="K477" s="22">
        <v>2</v>
      </c>
      <c r="L477" s="1">
        <v>42486</v>
      </c>
      <c r="M477" s="22">
        <f>Table10[[#This Row],[Ship Date]]-Table10[[#This Row],[Order Date]]</f>
        <v>4</v>
      </c>
      <c r="N477" t="s">
        <v>45</v>
      </c>
      <c r="O477" t="s">
        <v>23</v>
      </c>
      <c r="P477" t="s">
        <v>528</v>
      </c>
      <c r="Q477" t="s">
        <v>95</v>
      </c>
      <c r="R477" t="s">
        <v>2703</v>
      </c>
      <c r="S477" s="33">
        <v>0</v>
      </c>
      <c r="T477" s="13">
        <v>86.62</v>
      </c>
      <c r="U477" s="13">
        <v>8.6620000000000008</v>
      </c>
      <c r="V477" s="21">
        <f>Table10[[#This Row],[Profit]]/Table10[[#This Row],[Sales]]</f>
        <v>0.1</v>
      </c>
    </row>
    <row r="478" spans="1:22" x14ac:dyDescent="0.2">
      <c r="A478">
        <v>477</v>
      </c>
      <c r="B478" t="s">
        <v>3682</v>
      </c>
      <c r="C478" s="1">
        <v>42482</v>
      </c>
      <c r="D478" s="22">
        <f>MONTH(Table10[[#This Row],[Order Date]])</f>
        <v>4</v>
      </c>
      <c r="E478" t="s">
        <v>1148</v>
      </c>
      <c r="F478" t="s">
        <v>1149</v>
      </c>
      <c r="G478" s="23" t="s">
        <v>41</v>
      </c>
      <c r="H478" s="23" t="s">
        <v>53</v>
      </c>
      <c r="I478" t="s">
        <v>3683</v>
      </c>
      <c r="J478" t="s">
        <v>92</v>
      </c>
      <c r="K478" s="22">
        <v>2</v>
      </c>
      <c r="L478" s="1">
        <v>42487</v>
      </c>
      <c r="M478" s="22">
        <f>Table10[[#This Row],[Ship Date]]-Table10[[#This Row],[Order Date]]</f>
        <v>5</v>
      </c>
      <c r="N478" t="s">
        <v>45</v>
      </c>
      <c r="O478" t="s">
        <v>23</v>
      </c>
      <c r="P478" t="s">
        <v>189</v>
      </c>
      <c r="Q478" t="s">
        <v>95</v>
      </c>
      <c r="R478" t="s">
        <v>404</v>
      </c>
      <c r="S478" s="33">
        <v>0.2</v>
      </c>
      <c r="T478" s="13">
        <v>23.952000000000002</v>
      </c>
      <c r="U478" s="13">
        <v>2.3952</v>
      </c>
      <c r="V478" s="21">
        <f>Table10[[#This Row],[Profit]]/Table10[[#This Row],[Sales]]</f>
        <v>9.9999999999999992E-2</v>
      </c>
    </row>
    <row r="479" spans="1:22" x14ac:dyDescent="0.2">
      <c r="A479">
        <v>478</v>
      </c>
      <c r="B479" t="s">
        <v>4151</v>
      </c>
      <c r="C479" s="1">
        <v>42482</v>
      </c>
      <c r="D479" s="22">
        <f>MONTH(Table10[[#This Row],[Order Date]])</f>
        <v>4</v>
      </c>
      <c r="E479" t="s">
        <v>4152</v>
      </c>
      <c r="F479" t="s">
        <v>4153</v>
      </c>
      <c r="G479" s="23" t="s">
        <v>28</v>
      </c>
      <c r="H479" s="23" t="s">
        <v>58</v>
      </c>
      <c r="I479" t="s">
        <v>346</v>
      </c>
      <c r="J479" t="s">
        <v>22</v>
      </c>
      <c r="K479" s="22">
        <v>3</v>
      </c>
      <c r="L479" s="1">
        <v>42486</v>
      </c>
      <c r="M479" s="22">
        <f>Table10[[#This Row],[Ship Date]]-Table10[[#This Row],[Order Date]]</f>
        <v>4</v>
      </c>
      <c r="N479" t="s">
        <v>20</v>
      </c>
      <c r="O479" t="s">
        <v>23</v>
      </c>
      <c r="P479" t="s">
        <v>38</v>
      </c>
      <c r="Q479" t="s">
        <v>39</v>
      </c>
      <c r="R479" t="s">
        <v>114</v>
      </c>
      <c r="S479" s="33">
        <v>0</v>
      </c>
      <c r="T479" s="13">
        <v>31.56</v>
      </c>
      <c r="U479" s="13">
        <v>10.4148</v>
      </c>
      <c r="V479" s="21">
        <f>Table10[[#This Row],[Profit]]/Table10[[#This Row],[Sales]]</f>
        <v>0.33</v>
      </c>
    </row>
    <row r="480" spans="1:22" x14ac:dyDescent="0.2">
      <c r="A480">
        <v>479</v>
      </c>
      <c r="B480" t="s">
        <v>9879</v>
      </c>
      <c r="C480" s="1">
        <v>42482</v>
      </c>
      <c r="D480" s="22">
        <f>MONTH(Table10[[#This Row],[Order Date]])</f>
        <v>4</v>
      </c>
      <c r="E480" t="s">
        <v>7490</v>
      </c>
      <c r="F480" t="s">
        <v>7491</v>
      </c>
      <c r="G480" s="23" t="s">
        <v>41</v>
      </c>
      <c r="H480" s="23" t="s">
        <v>61</v>
      </c>
      <c r="I480" t="s">
        <v>3425</v>
      </c>
      <c r="J480" t="s">
        <v>22</v>
      </c>
      <c r="K480" s="22">
        <v>9</v>
      </c>
      <c r="L480" s="1">
        <v>42489</v>
      </c>
      <c r="M480" s="22">
        <f>Table10[[#This Row],[Ship Date]]-Table10[[#This Row],[Order Date]]</f>
        <v>7</v>
      </c>
      <c r="N480" t="s">
        <v>45</v>
      </c>
      <c r="O480" t="s">
        <v>23</v>
      </c>
      <c r="P480" t="s">
        <v>238</v>
      </c>
      <c r="Q480" t="s">
        <v>133</v>
      </c>
      <c r="R480" t="s">
        <v>6828</v>
      </c>
      <c r="S480" s="33">
        <v>0</v>
      </c>
      <c r="T480" s="13">
        <v>32.130000000000003</v>
      </c>
      <c r="U480" s="13">
        <v>8.3537999999999997</v>
      </c>
      <c r="V480" s="21">
        <f>Table10[[#This Row],[Profit]]/Table10[[#This Row],[Sales]]</f>
        <v>0.25999999999999995</v>
      </c>
    </row>
    <row r="481" spans="1:22" x14ac:dyDescent="0.2">
      <c r="A481">
        <v>480</v>
      </c>
      <c r="B481" t="s">
        <v>9879</v>
      </c>
      <c r="C481" s="1">
        <v>42482</v>
      </c>
      <c r="D481" s="22">
        <f>MONTH(Table10[[#This Row],[Order Date]])</f>
        <v>4</v>
      </c>
      <c r="E481" t="s">
        <v>2231</v>
      </c>
      <c r="F481" t="s">
        <v>2232</v>
      </c>
      <c r="G481" s="23" t="s">
        <v>41</v>
      </c>
      <c r="H481" s="23" t="s">
        <v>61</v>
      </c>
      <c r="I481" t="s">
        <v>3425</v>
      </c>
      <c r="J481" t="s">
        <v>22</v>
      </c>
      <c r="K481" s="22">
        <v>1</v>
      </c>
      <c r="L481" s="1">
        <v>42489</v>
      </c>
      <c r="M481" s="22">
        <f>Table10[[#This Row],[Ship Date]]-Table10[[#This Row],[Order Date]]</f>
        <v>7</v>
      </c>
      <c r="N481" t="s">
        <v>45</v>
      </c>
      <c r="O481" t="s">
        <v>23</v>
      </c>
      <c r="P481" t="s">
        <v>238</v>
      </c>
      <c r="Q481" t="s">
        <v>133</v>
      </c>
      <c r="R481" t="s">
        <v>6828</v>
      </c>
      <c r="S481" s="33">
        <v>0</v>
      </c>
      <c r="T481" s="13">
        <v>2.88</v>
      </c>
      <c r="U481" s="13">
        <v>0.80640000000000001</v>
      </c>
      <c r="V481" s="21">
        <f>Table10[[#This Row],[Profit]]/Table10[[#This Row],[Sales]]</f>
        <v>0.28000000000000003</v>
      </c>
    </row>
    <row r="482" spans="1:22" x14ac:dyDescent="0.2">
      <c r="A482">
        <v>481</v>
      </c>
      <c r="B482" t="s">
        <v>1040</v>
      </c>
      <c r="C482" s="1">
        <v>42483</v>
      </c>
      <c r="D482" s="22">
        <f>MONTH(Table10[[#This Row],[Order Date]])</f>
        <v>4</v>
      </c>
      <c r="E482" t="s">
        <v>961</v>
      </c>
      <c r="F482" t="s">
        <v>962</v>
      </c>
      <c r="G482" s="23" t="s">
        <v>41</v>
      </c>
      <c r="H482" s="23" t="s">
        <v>68</v>
      </c>
      <c r="I482" t="s">
        <v>1041</v>
      </c>
      <c r="J482" t="s">
        <v>36</v>
      </c>
      <c r="K482" s="22">
        <v>6</v>
      </c>
      <c r="L482" s="1">
        <v>42487</v>
      </c>
      <c r="M482" s="22">
        <f>Table10[[#This Row],[Ship Date]]-Table10[[#This Row],[Order Date]]</f>
        <v>4</v>
      </c>
      <c r="N482" t="s">
        <v>45</v>
      </c>
      <c r="O482" t="s">
        <v>23</v>
      </c>
      <c r="P482" t="s">
        <v>38</v>
      </c>
      <c r="Q482" t="s">
        <v>39</v>
      </c>
      <c r="R482" t="s">
        <v>1042</v>
      </c>
      <c r="S482" s="33">
        <v>0.2</v>
      </c>
      <c r="T482" s="13">
        <v>251.52</v>
      </c>
      <c r="U482" s="13">
        <v>81.744</v>
      </c>
      <c r="V482" s="21">
        <f>Table10[[#This Row],[Profit]]/Table10[[#This Row],[Sales]]</f>
        <v>0.32500000000000001</v>
      </c>
    </row>
    <row r="483" spans="1:22" x14ac:dyDescent="0.2">
      <c r="A483">
        <v>482</v>
      </c>
      <c r="B483" t="s">
        <v>1040</v>
      </c>
      <c r="C483" s="1">
        <v>42483</v>
      </c>
      <c r="D483" s="22">
        <f>MONTH(Table10[[#This Row],[Order Date]])</f>
        <v>4</v>
      </c>
      <c r="E483" t="s">
        <v>1043</v>
      </c>
      <c r="F483" t="s">
        <v>1044</v>
      </c>
      <c r="G483" s="23" t="s">
        <v>64</v>
      </c>
      <c r="H483" s="23" t="s">
        <v>144</v>
      </c>
      <c r="I483" t="s">
        <v>1041</v>
      </c>
      <c r="J483" t="s">
        <v>36</v>
      </c>
      <c r="K483" s="22">
        <v>1</v>
      </c>
      <c r="L483" s="1">
        <v>42487</v>
      </c>
      <c r="M483" s="22">
        <f>Table10[[#This Row],[Ship Date]]-Table10[[#This Row],[Order Date]]</f>
        <v>4</v>
      </c>
      <c r="N483" t="s">
        <v>45</v>
      </c>
      <c r="O483" t="s">
        <v>23</v>
      </c>
      <c r="P483" t="s">
        <v>38</v>
      </c>
      <c r="Q483" t="s">
        <v>39</v>
      </c>
      <c r="R483" t="s">
        <v>1042</v>
      </c>
      <c r="S483" s="33">
        <v>0</v>
      </c>
      <c r="T483" s="13">
        <v>99.99</v>
      </c>
      <c r="U483" s="13">
        <v>34.996499999999997</v>
      </c>
      <c r="V483" s="21">
        <f>Table10[[#This Row],[Profit]]/Table10[[#This Row],[Sales]]</f>
        <v>0.35</v>
      </c>
    </row>
    <row r="484" spans="1:22" x14ac:dyDescent="0.2">
      <c r="A484">
        <v>483</v>
      </c>
      <c r="B484" t="s">
        <v>1122</v>
      </c>
      <c r="C484" s="1">
        <v>42483</v>
      </c>
      <c r="D484" s="22">
        <f>MONTH(Table10[[#This Row],[Order Date]])</f>
        <v>4</v>
      </c>
      <c r="E484" t="s">
        <v>707</v>
      </c>
      <c r="F484" t="s">
        <v>708</v>
      </c>
      <c r="G484" s="23" t="s">
        <v>41</v>
      </c>
      <c r="H484" s="23" t="s">
        <v>82</v>
      </c>
      <c r="I484" t="s">
        <v>722</v>
      </c>
      <c r="J484" t="s">
        <v>36</v>
      </c>
      <c r="K484" s="22">
        <v>5</v>
      </c>
      <c r="L484" s="1">
        <v>42488</v>
      </c>
      <c r="M484" s="22">
        <f>Table10[[#This Row],[Ship Date]]-Table10[[#This Row],[Order Date]]</f>
        <v>5</v>
      </c>
      <c r="N484" t="s">
        <v>45</v>
      </c>
      <c r="O484" t="s">
        <v>23</v>
      </c>
      <c r="P484" t="s">
        <v>80</v>
      </c>
      <c r="Q484" t="s">
        <v>26</v>
      </c>
      <c r="R484" t="s">
        <v>414</v>
      </c>
      <c r="S484" s="33">
        <v>0.2</v>
      </c>
      <c r="T484" s="13">
        <v>36.24</v>
      </c>
      <c r="U484" s="13">
        <v>11.324999999999999</v>
      </c>
      <c r="V484" s="21">
        <f>Table10[[#This Row],[Profit]]/Table10[[#This Row],[Sales]]</f>
        <v>0.31249999999999994</v>
      </c>
    </row>
    <row r="485" spans="1:22" x14ac:dyDescent="0.2">
      <c r="A485">
        <v>484</v>
      </c>
      <c r="B485" t="s">
        <v>5346</v>
      </c>
      <c r="C485" s="1">
        <v>42483</v>
      </c>
      <c r="D485" s="22">
        <f>MONTH(Table10[[#This Row],[Order Date]])</f>
        <v>4</v>
      </c>
      <c r="E485" t="s">
        <v>5347</v>
      </c>
      <c r="F485" t="s">
        <v>5348</v>
      </c>
      <c r="G485" s="23" t="s">
        <v>41</v>
      </c>
      <c r="H485" s="23" t="s">
        <v>82</v>
      </c>
      <c r="I485" t="s">
        <v>593</v>
      </c>
      <c r="J485" t="s">
        <v>22</v>
      </c>
      <c r="K485" s="22">
        <v>6</v>
      </c>
      <c r="L485" s="1">
        <v>42486</v>
      </c>
      <c r="M485" s="22">
        <f>Table10[[#This Row],[Ship Date]]-Table10[[#This Row],[Order Date]]</f>
        <v>3</v>
      </c>
      <c r="N485" t="s">
        <v>169</v>
      </c>
      <c r="O485" t="s">
        <v>23</v>
      </c>
      <c r="P485" t="s">
        <v>441</v>
      </c>
      <c r="Q485" t="s">
        <v>133</v>
      </c>
      <c r="R485" t="s">
        <v>2174</v>
      </c>
      <c r="S485" s="33">
        <v>0.2</v>
      </c>
      <c r="T485" s="13">
        <v>108.336</v>
      </c>
      <c r="U485" s="13">
        <v>37.9176</v>
      </c>
      <c r="V485" s="21">
        <f>Table10[[#This Row],[Profit]]/Table10[[#This Row],[Sales]]</f>
        <v>0.35000000000000003</v>
      </c>
    </row>
    <row r="486" spans="1:22" x14ac:dyDescent="0.2">
      <c r="A486">
        <v>485</v>
      </c>
      <c r="B486" t="s">
        <v>5346</v>
      </c>
      <c r="C486" s="1">
        <v>42483</v>
      </c>
      <c r="D486" s="22">
        <f>MONTH(Table10[[#This Row],[Order Date]])</f>
        <v>4</v>
      </c>
      <c r="E486" t="s">
        <v>52</v>
      </c>
      <c r="F486" t="s">
        <v>54</v>
      </c>
      <c r="G486" s="23" t="s">
        <v>41</v>
      </c>
      <c r="H486" s="23" t="s">
        <v>53</v>
      </c>
      <c r="I486" t="s">
        <v>593</v>
      </c>
      <c r="J486" t="s">
        <v>22</v>
      </c>
      <c r="K486" s="22">
        <v>5</v>
      </c>
      <c r="L486" s="1">
        <v>42486</v>
      </c>
      <c r="M486" s="22">
        <f>Table10[[#This Row],[Ship Date]]-Table10[[#This Row],[Order Date]]</f>
        <v>3</v>
      </c>
      <c r="N486" t="s">
        <v>169</v>
      </c>
      <c r="O486" t="s">
        <v>23</v>
      </c>
      <c r="P486" t="s">
        <v>441</v>
      </c>
      <c r="Q486" t="s">
        <v>133</v>
      </c>
      <c r="R486" t="s">
        <v>2174</v>
      </c>
      <c r="S486" s="33">
        <v>0.2</v>
      </c>
      <c r="T486" s="13">
        <v>55.92</v>
      </c>
      <c r="U486" s="13">
        <v>6.2910000000000004</v>
      </c>
      <c r="V486" s="21">
        <f>Table10[[#This Row],[Profit]]/Table10[[#This Row],[Sales]]</f>
        <v>0.1125</v>
      </c>
    </row>
    <row r="487" spans="1:22" x14ac:dyDescent="0.2">
      <c r="A487">
        <v>486</v>
      </c>
      <c r="B487" t="s">
        <v>5346</v>
      </c>
      <c r="C487" s="1">
        <v>42483</v>
      </c>
      <c r="D487" s="22">
        <f>MONTH(Table10[[#This Row],[Order Date]])</f>
        <v>4</v>
      </c>
      <c r="E487" t="s">
        <v>5349</v>
      </c>
      <c r="F487" t="s">
        <v>5350</v>
      </c>
      <c r="G487" s="23" t="s">
        <v>41</v>
      </c>
      <c r="H487" s="23" t="s">
        <v>82</v>
      </c>
      <c r="I487" t="s">
        <v>593</v>
      </c>
      <c r="J487" t="s">
        <v>22</v>
      </c>
      <c r="K487" s="22">
        <v>2</v>
      </c>
      <c r="L487" s="1">
        <v>42486</v>
      </c>
      <c r="M487" s="22">
        <f>Table10[[#This Row],[Ship Date]]-Table10[[#This Row],[Order Date]]</f>
        <v>3</v>
      </c>
      <c r="N487" t="s">
        <v>169</v>
      </c>
      <c r="O487" t="s">
        <v>23</v>
      </c>
      <c r="P487" t="s">
        <v>441</v>
      </c>
      <c r="Q487" t="s">
        <v>133</v>
      </c>
      <c r="R487" t="s">
        <v>2174</v>
      </c>
      <c r="S487" s="33">
        <v>0.2</v>
      </c>
      <c r="T487" s="13">
        <v>78.304000000000002</v>
      </c>
      <c r="U487" s="13">
        <v>29.364000000000001</v>
      </c>
      <c r="V487" s="21">
        <f>Table10[[#This Row],[Profit]]/Table10[[#This Row],[Sales]]</f>
        <v>0.375</v>
      </c>
    </row>
    <row r="488" spans="1:22" x14ac:dyDescent="0.2">
      <c r="A488">
        <v>487</v>
      </c>
      <c r="B488" t="s">
        <v>9975</v>
      </c>
      <c r="C488" s="1">
        <v>42483</v>
      </c>
      <c r="D488" s="22">
        <f>MONTH(Table10[[#This Row],[Order Date]])</f>
        <v>4</v>
      </c>
      <c r="E488" t="s">
        <v>1736</v>
      </c>
      <c r="F488" t="s">
        <v>1737</v>
      </c>
      <c r="G488" s="23" t="s">
        <v>41</v>
      </c>
      <c r="H488" s="23" t="s">
        <v>68</v>
      </c>
      <c r="I488" t="s">
        <v>4505</v>
      </c>
      <c r="J488" t="s">
        <v>22</v>
      </c>
      <c r="K488" s="22">
        <v>7</v>
      </c>
      <c r="L488" s="1">
        <v>42487</v>
      </c>
      <c r="M488" s="22">
        <f>Table10[[#This Row],[Ship Date]]-Table10[[#This Row],[Order Date]]</f>
        <v>4</v>
      </c>
      <c r="N488" t="s">
        <v>45</v>
      </c>
      <c r="O488" t="s">
        <v>23</v>
      </c>
      <c r="P488" t="s">
        <v>38</v>
      </c>
      <c r="Q488" t="s">
        <v>39</v>
      </c>
      <c r="R488" t="s">
        <v>9976</v>
      </c>
      <c r="S488" s="33">
        <v>0.2</v>
      </c>
      <c r="T488" s="13">
        <v>18.088000000000001</v>
      </c>
      <c r="U488" s="13">
        <v>6.5568999999999997</v>
      </c>
      <c r="V488" s="21">
        <f>Table10[[#This Row],[Profit]]/Table10[[#This Row],[Sales]]</f>
        <v>0.36249999999999999</v>
      </c>
    </row>
    <row r="489" spans="1:22" x14ac:dyDescent="0.2">
      <c r="A489">
        <v>488</v>
      </c>
      <c r="B489" t="s">
        <v>9975</v>
      </c>
      <c r="C489" s="1">
        <v>42483</v>
      </c>
      <c r="D489" s="22">
        <f>MONTH(Table10[[#This Row],[Order Date]])</f>
        <v>4</v>
      </c>
      <c r="E489" t="s">
        <v>890</v>
      </c>
      <c r="F489" t="s">
        <v>891</v>
      </c>
      <c r="G489" s="23" t="s">
        <v>41</v>
      </c>
      <c r="H489" s="23" t="s">
        <v>155</v>
      </c>
      <c r="I489" t="s">
        <v>4505</v>
      </c>
      <c r="J489" t="s">
        <v>22</v>
      </c>
      <c r="K489" s="22">
        <v>3</v>
      </c>
      <c r="L489" s="1">
        <v>42487</v>
      </c>
      <c r="M489" s="22">
        <f>Table10[[#This Row],[Ship Date]]-Table10[[#This Row],[Order Date]]</f>
        <v>4</v>
      </c>
      <c r="N489" t="s">
        <v>45</v>
      </c>
      <c r="O489" t="s">
        <v>23</v>
      </c>
      <c r="P489" t="s">
        <v>38</v>
      </c>
      <c r="Q489" t="s">
        <v>39</v>
      </c>
      <c r="R489" t="s">
        <v>9976</v>
      </c>
      <c r="S489" s="33">
        <v>0</v>
      </c>
      <c r="T489" s="13">
        <v>71.97</v>
      </c>
      <c r="U489" s="13">
        <v>35.984999999999999</v>
      </c>
      <c r="V489" s="21">
        <f>Table10[[#This Row],[Profit]]/Table10[[#This Row],[Sales]]</f>
        <v>0.5</v>
      </c>
    </row>
    <row r="490" spans="1:22" x14ac:dyDescent="0.2">
      <c r="A490">
        <v>489</v>
      </c>
      <c r="B490" t="s">
        <v>2981</v>
      </c>
      <c r="C490" s="1">
        <v>42484</v>
      </c>
      <c r="D490" s="22">
        <f>MONTH(Table10[[#This Row],[Order Date]])</f>
        <v>4</v>
      </c>
      <c r="E490" t="s">
        <v>2132</v>
      </c>
      <c r="F490" t="s">
        <v>2133</v>
      </c>
      <c r="G490" s="23" t="s">
        <v>64</v>
      </c>
      <c r="H490" s="23" t="s">
        <v>144</v>
      </c>
      <c r="I490" t="s">
        <v>2982</v>
      </c>
      <c r="J490" t="s">
        <v>92</v>
      </c>
      <c r="K490" s="22">
        <v>3</v>
      </c>
      <c r="L490" s="1">
        <v>42487</v>
      </c>
      <c r="M490" s="22">
        <f>Table10[[#This Row],[Ship Date]]-Table10[[#This Row],[Order Date]]</f>
        <v>3</v>
      </c>
      <c r="N490" t="s">
        <v>20</v>
      </c>
      <c r="O490" t="s">
        <v>23</v>
      </c>
      <c r="P490" t="s">
        <v>94</v>
      </c>
      <c r="Q490" t="s">
        <v>95</v>
      </c>
      <c r="R490" t="s">
        <v>165</v>
      </c>
      <c r="S490" s="33">
        <v>0.2</v>
      </c>
      <c r="T490" s="13">
        <v>258.69600000000003</v>
      </c>
      <c r="U490" s="13">
        <v>64.674000000000007</v>
      </c>
      <c r="V490" s="21">
        <f>Table10[[#This Row],[Profit]]/Table10[[#This Row],[Sales]]</f>
        <v>0.25</v>
      </c>
    </row>
    <row r="491" spans="1:22" x14ac:dyDescent="0.2">
      <c r="A491">
        <v>490</v>
      </c>
      <c r="B491" t="s">
        <v>5760</v>
      </c>
      <c r="C491" s="1">
        <v>42484</v>
      </c>
      <c r="D491" s="22">
        <f>MONTH(Table10[[#This Row],[Order Date]])</f>
        <v>4</v>
      </c>
      <c r="E491" t="s">
        <v>2026</v>
      </c>
      <c r="F491" t="s">
        <v>2027</v>
      </c>
      <c r="G491" s="23" t="s">
        <v>41</v>
      </c>
      <c r="H491" s="23" t="s">
        <v>68</v>
      </c>
      <c r="I491" t="s">
        <v>5723</v>
      </c>
      <c r="J491" t="s">
        <v>22</v>
      </c>
      <c r="K491" s="22">
        <v>1</v>
      </c>
      <c r="L491" s="1">
        <v>42487</v>
      </c>
      <c r="M491" s="22">
        <f>Table10[[#This Row],[Ship Date]]-Table10[[#This Row],[Order Date]]</f>
        <v>3</v>
      </c>
      <c r="N491" t="s">
        <v>169</v>
      </c>
      <c r="O491" t="s">
        <v>23</v>
      </c>
      <c r="P491" t="s">
        <v>38</v>
      </c>
      <c r="Q491" t="s">
        <v>39</v>
      </c>
      <c r="R491" t="s">
        <v>2513</v>
      </c>
      <c r="S491" s="33">
        <v>0.2</v>
      </c>
      <c r="T491" s="13">
        <v>3.984</v>
      </c>
      <c r="U491" s="13">
        <v>1.3944000000000001</v>
      </c>
      <c r="V491" s="21">
        <f>Table10[[#This Row],[Profit]]/Table10[[#This Row],[Sales]]</f>
        <v>0.35000000000000003</v>
      </c>
    </row>
    <row r="492" spans="1:22" x14ac:dyDescent="0.2">
      <c r="A492">
        <v>491</v>
      </c>
      <c r="B492" t="s">
        <v>7162</v>
      </c>
      <c r="C492" s="1">
        <v>42484</v>
      </c>
      <c r="D492" s="22">
        <f>MONTH(Table10[[#This Row],[Order Date]])</f>
        <v>4</v>
      </c>
      <c r="E492" t="s">
        <v>1679</v>
      </c>
      <c r="F492" t="s">
        <v>1680</v>
      </c>
      <c r="G492" s="23" t="s">
        <v>41</v>
      </c>
      <c r="H492" s="23" t="s">
        <v>82</v>
      </c>
      <c r="I492" t="s">
        <v>5152</v>
      </c>
      <c r="J492" t="s">
        <v>92</v>
      </c>
      <c r="K492" s="22">
        <v>3</v>
      </c>
      <c r="L492" s="1">
        <v>42488</v>
      </c>
      <c r="M492" s="22">
        <f>Table10[[#This Row],[Ship Date]]-Table10[[#This Row],[Order Date]]</f>
        <v>4</v>
      </c>
      <c r="N492" t="s">
        <v>45</v>
      </c>
      <c r="O492" t="s">
        <v>23</v>
      </c>
      <c r="P492" t="s">
        <v>405</v>
      </c>
      <c r="Q492" t="s">
        <v>39</v>
      </c>
      <c r="R492" t="s">
        <v>954</v>
      </c>
      <c r="S492" s="33">
        <v>0.2</v>
      </c>
      <c r="T492" s="13">
        <v>15.552</v>
      </c>
      <c r="U492" s="13">
        <v>5.4432</v>
      </c>
      <c r="V492" s="21">
        <f>Table10[[#This Row],[Profit]]/Table10[[#This Row],[Sales]]</f>
        <v>0.35000000000000003</v>
      </c>
    </row>
    <row r="493" spans="1:22" x14ac:dyDescent="0.2">
      <c r="A493">
        <v>492</v>
      </c>
      <c r="B493" t="s">
        <v>7162</v>
      </c>
      <c r="C493" s="1">
        <v>42484</v>
      </c>
      <c r="D493" s="22">
        <f>MONTH(Table10[[#This Row],[Order Date]])</f>
        <v>4</v>
      </c>
      <c r="E493" t="s">
        <v>606</v>
      </c>
      <c r="F493" t="s">
        <v>607</v>
      </c>
      <c r="G493" s="23" t="s">
        <v>28</v>
      </c>
      <c r="H493" s="23" t="s">
        <v>32</v>
      </c>
      <c r="I493" t="s">
        <v>5152</v>
      </c>
      <c r="J493" t="s">
        <v>92</v>
      </c>
      <c r="K493" s="22">
        <v>6</v>
      </c>
      <c r="L493" s="1">
        <v>42488</v>
      </c>
      <c r="M493" s="22">
        <f>Table10[[#This Row],[Ship Date]]-Table10[[#This Row],[Order Date]]</f>
        <v>4</v>
      </c>
      <c r="N493" t="s">
        <v>45</v>
      </c>
      <c r="O493" t="s">
        <v>23</v>
      </c>
      <c r="P493" t="s">
        <v>405</v>
      </c>
      <c r="Q493" t="s">
        <v>39</v>
      </c>
      <c r="R493" t="s">
        <v>954</v>
      </c>
      <c r="S493" s="33">
        <v>0.2</v>
      </c>
      <c r="T493" s="13">
        <v>1325.76</v>
      </c>
      <c r="U493" s="13">
        <v>149.148</v>
      </c>
      <c r="V493" s="21">
        <f>Table10[[#This Row],[Profit]]/Table10[[#This Row],[Sales]]</f>
        <v>0.1125</v>
      </c>
    </row>
    <row r="494" spans="1:22" x14ac:dyDescent="0.2">
      <c r="A494">
        <v>493</v>
      </c>
      <c r="B494" t="s">
        <v>7162</v>
      </c>
      <c r="C494" s="1">
        <v>42484</v>
      </c>
      <c r="D494" s="22">
        <f>MONTH(Table10[[#This Row],[Order Date]])</f>
        <v>4</v>
      </c>
      <c r="E494" t="s">
        <v>5691</v>
      </c>
      <c r="F494" t="s">
        <v>5692</v>
      </c>
      <c r="G494" s="23" t="s">
        <v>41</v>
      </c>
      <c r="H494" s="23" t="s">
        <v>68</v>
      </c>
      <c r="I494" t="s">
        <v>5152</v>
      </c>
      <c r="J494" t="s">
        <v>92</v>
      </c>
      <c r="K494" s="22">
        <v>2</v>
      </c>
      <c r="L494" s="1">
        <v>42488</v>
      </c>
      <c r="M494" s="22">
        <f>Table10[[#This Row],[Ship Date]]-Table10[[#This Row],[Order Date]]</f>
        <v>4</v>
      </c>
      <c r="N494" t="s">
        <v>45</v>
      </c>
      <c r="O494" t="s">
        <v>23</v>
      </c>
      <c r="P494" t="s">
        <v>405</v>
      </c>
      <c r="Q494" t="s">
        <v>39</v>
      </c>
      <c r="R494" t="s">
        <v>954</v>
      </c>
      <c r="S494" s="33">
        <v>0.7</v>
      </c>
      <c r="T494" s="13">
        <v>3.1080000000000001</v>
      </c>
      <c r="U494" s="13">
        <v>-2.1756000000000002</v>
      </c>
      <c r="V494" s="21">
        <f>Table10[[#This Row],[Profit]]/Table10[[#This Row],[Sales]]</f>
        <v>-0.70000000000000007</v>
      </c>
    </row>
    <row r="495" spans="1:22" x14ac:dyDescent="0.2">
      <c r="A495">
        <v>494</v>
      </c>
      <c r="B495" t="s">
        <v>1062</v>
      </c>
      <c r="C495" s="1">
        <v>42485</v>
      </c>
      <c r="D495" s="22">
        <f>MONTH(Table10[[#This Row],[Order Date]])</f>
        <v>4</v>
      </c>
      <c r="E495" t="s">
        <v>1064</v>
      </c>
      <c r="F495" t="s">
        <v>1065</v>
      </c>
      <c r="G495" s="23" t="s">
        <v>64</v>
      </c>
      <c r="H495" s="23" t="s">
        <v>65</v>
      </c>
      <c r="I495" t="s">
        <v>1063</v>
      </c>
      <c r="J495" t="s">
        <v>22</v>
      </c>
      <c r="K495" s="22">
        <v>2</v>
      </c>
      <c r="L495" s="1">
        <v>42489</v>
      </c>
      <c r="M495" s="22">
        <f>Table10[[#This Row],[Ship Date]]-Table10[[#This Row],[Order Date]]</f>
        <v>4</v>
      </c>
      <c r="N495" t="s">
        <v>20</v>
      </c>
      <c r="O495" t="s">
        <v>23</v>
      </c>
      <c r="P495" t="s">
        <v>132</v>
      </c>
      <c r="Q495" t="s">
        <v>133</v>
      </c>
      <c r="R495" t="s">
        <v>131</v>
      </c>
      <c r="S495" s="33">
        <v>0.4</v>
      </c>
      <c r="T495" s="13">
        <v>82.8</v>
      </c>
      <c r="U495" s="13">
        <v>-20.7</v>
      </c>
      <c r="V495" s="21">
        <f>Table10[[#This Row],[Profit]]/Table10[[#This Row],[Sales]]</f>
        <v>-0.25</v>
      </c>
    </row>
    <row r="496" spans="1:22" x14ac:dyDescent="0.2">
      <c r="A496">
        <v>495</v>
      </c>
      <c r="B496" t="s">
        <v>1062</v>
      </c>
      <c r="C496" s="1">
        <v>42485</v>
      </c>
      <c r="D496" s="22">
        <f>MONTH(Table10[[#This Row],[Order Date]])</f>
        <v>4</v>
      </c>
      <c r="E496" t="s">
        <v>1066</v>
      </c>
      <c r="F496" t="s">
        <v>1067</v>
      </c>
      <c r="G496" s="23" t="s">
        <v>41</v>
      </c>
      <c r="H496" s="23" t="s">
        <v>68</v>
      </c>
      <c r="I496" t="s">
        <v>1063</v>
      </c>
      <c r="J496" t="s">
        <v>22</v>
      </c>
      <c r="K496" s="22">
        <v>2</v>
      </c>
      <c r="L496" s="1">
        <v>42489</v>
      </c>
      <c r="M496" s="22">
        <f>Table10[[#This Row],[Ship Date]]-Table10[[#This Row],[Order Date]]</f>
        <v>4</v>
      </c>
      <c r="N496" t="s">
        <v>20</v>
      </c>
      <c r="O496" t="s">
        <v>23</v>
      </c>
      <c r="P496" t="s">
        <v>132</v>
      </c>
      <c r="Q496" t="s">
        <v>133</v>
      </c>
      <c r="R496" t="s">
        <v>131</v>
      </c>
      <c r="S496" s="33">
        <v>0.7</v>
      </c>
      <c r="T496" s="13">
        <v>20.724</v>
      </c>
      <c r="U496" s="13">
        <v>-13.816000000000001</v>
      </c>
      <c r="V496" s="21">
        <f>Table10[[#This Row],[Profit]]/Table10[[#This Row],[Sales]]</f>
        <v>-0.66666666666666674</v>
      </c>
    </row>
    <row r="497" spans="1:22" x14ac:dyDescent="0.2">
      <c r="A497">
        <v>496</v>
      </c>
      <c r="B497" t="s">
        <v>1062</v>
      </c>
      <c r="C497" s="1">
        <v>42485</v>
      </c>
      <c r="D497" s="22">
        <f>MONTH(Table10[[#This Row],[Order Date]])</f>
        <v>4</v>
      </c>
      <c r="E497" t="s">
        <v>1068</v>
      </c>
      <c r="F497" t="s">
        <v>1069</v>
      </c>
      <c r="G497" s="23" t="s">
        <v>41</v>
      </c>
      <c r="H497" s="23" t="s">
        <v>68</v>
      </c>
      <c r="I497" t="s">
        <v>1063</v>
      </c>
      <c r="J497" t="s">
        <v>22</v>
      </c>
      <c r="K497" s="22">
        <v>3</v>
      </c>
      <c r="L497" s="1">
        <v>42489</v>
      </c>
      <c r="M497" s="22">
        <f>Table10[[#This Row],[Ship Date]]-Table10[[#This Row],[Order Date]]</f>
        <v>4</v>
      </c>
      <c r="N497" t="s">
        <v>20</v>
      </c>
      <c r="O497" t="s">
        <v>23</v>
      </c>
      <c r="P497" t="s">
        <v>132</v>
      </c>
      <c r="Q497" t="s">
        <v>133</v>
      </c>
      <c r="R497" t="s">
        <v>131</v>
      </c>
      <c r="S497" s="33">
        <v>0.7</v>
      </c>
      <c r="T497" s="13">
        <v>4.8959999999999999</v>
      </c>
      <c r="U497" s="13">
        <v>-3.4272</v>
      </c>
      <c r="V497" s="21">
        <f>Table10[[#This Row],[Profit]]/Table10[[#This Row],[Sales]]</f>
        <v>-0.70000000000000007</v>
      </c>
    </row>
    <row r="498" spans="1:22" x14ac:dyDescent="0.2">
      <c r="A498">
        <v>497</v>
      </c>
      <c r="B498" t="s">
        <v>6928</v>
      </c>
      <c r="C498" s="1">
        <v>42486</v>
      </c>
      <c r="D498" s="22">
        <f>MONTH(Table10[[#This Row],[Order Date]])</f>
        <v>4</v>
      </c>
      <c r="E498" t="s">
        <v>6189</v>
      </c>
      <c r="F498" t="s">
        <v>6190</v>
      </c>
      <c r="G498" s="23" t="s">
        <v>28</v>
      </c>
      <c r="H498" s="23" t="s">
        <v>32</v>
      </c>
      <c r="I498" t="s">
        <v>6929</v>
      </c>
      <c r="J498" t="s">
        <v>92</v>
      </c>
      <c r="K498" s="22">
        <v>3</v>
      </c>
      <c r="L498" s="1">
        <v>42491</v>
      </c>
      <c r="M498" s="22">
        <f>Table10[[#This Row],[Ship Date]]-Table10[[#This Row],[Order Date]]</f>
        <v>5</v>
      </c>
      <c r="N498" t="s">
        <v>45</v>
      </c>
      <c r="O498" t="s">
        <v>23</v>
      </c>
      <c r="P498" t="s">
        <v>238</v>
      </c>
      <c r="Q498" t="s">
        <v>133</v>
      </c>
      <c r="R498" t="s">
        <v>237</v>
      </c>
      <c r="S498" s="33">
        <v>0.1</v>
      </c>
      <c r="T498" s="13">
        <v>434.64600000000002</v>
      </c>
      <c r="U498" s="13">
        <v>62.782200000000003</v>
      </c>
      <c r="V498" s="21">
        <f>Table10[[#This Row],[Profit]]/Table10[[#This Row],[Sales]]</f>
        <v>0.14444444444444446</v>
      </c>
    </row>
    <row r="499" spans="1:22" x14ac:dyDescent="0.2">
      <c r="A499">
        <v>498</v>
      </c>
      <c r="B499" t="s">
        <v>1784</v>
      </c>
      <c r="C499" s="1">
        <v>42488</v>
      </c>
      <c r="D499" s="22">
        <f>MONTH(Table10[[#This Row],[Order Date]])</f>
        <v>4</v>
      </c>
      <c r="E499" t="s">
        <v>1217</v>
      </c>
      <c r="F499" t="s">
        <v>1218</v>
      </c>
      <c r="G499" s="23" t="s">
        <v>64</v>
      </c>
      <c r="H499" s="23" t="s">
        <v>65</v>
      </c>
      <c r="I499" t="s">
        <v>1785</v>
      </c>
      <c r="J499" t="s">
        <v>36</v>
      </c>
      <c r="K499" s="22">
        <v>3</v>
      </c>
      <c r="L499" s="1">
        <v>42491</v>
      </c>
      <c r="M499" s="22">
        <f>Table10[[#This Row],[Ship Date]]-Table10[[#This Row],[Order Date]]</f>
        <v>3</v>
      </c>
      <c r="N499" t="s">
        <v>169</v>
      </c>
      <c r="O499" t="s">
        <v>23</v>
      </c>
      <c r="P499" t="s">
        <v>94</v>
      </c>
      <c r="Q499" t="s">
        <v>95</v>
      </c>
      <c r="R499" t="s">
        <v>718</v>
      </c>
      <c r="S499" s="33">
        <v>0.2</v>
      </c>
      <c r="T499" s="13">
        <v>369.57600000000002</v>
      </c>
      <c r="U499" s="13">
        <v>41.577300000000001</v>
      </c>
      <c r="V499" s="21">
        <f>Table10[[#This Row],[Profit]]/Table10[[#This Row],[Sales]]</f>
        <v>0.1125</v>
      </c>
    </row>
    <row r="500" spans="1:22" x14ac:dyDescent="0.2">
      <c r="A500">
        <v>499</v>
      </c>
      <c r="B500" t="s">
        <v>1784</v>
      </c>
      <c r="C500" s="1">
        <v>42488</v>
      </c>
      <c r="D500" s="22">
        <f>MONTH(Table10[[#This Row],[Order Date]])</f>
        <v>4</v>
      </c>
      <c r="E500" t="s">
        <v>1786</v>
      </c>
      <c r="F500" t="s">
        <v>1787</v>
      </c>
      <c r="G500" s="23" t="s">
        <v>41</v>
      </c>
      <c r="H500" s="23" t="s">
        <v>42</v>
      </c>
      <c r="I500" t="s">
        <v>1785</v>
      </c>
      <c r="J500" t="s">
        <v>36</v>
      </c>
      <c r="K500" s="22">
        <v>4</v>
      </c>
      <c r="L500" s="1">
        <v>42491</v>
      </c>
      <c r="M500" s="22">
        <f>Table10[[#This Row],[Ship Date]]-Table10[[#This Row],[Order Date]]</f>
        <v>3</v>
      </c>
      <c r="N500" t="s">
        <v>169</v>
      </c>
      <c r="O500" t="s">
        <v>23</v>
      </c>
      <c r="P500" t="s">
        <v>94</v>
      </c>
      <c r="Q500" t="s">
        <v>95</v>
      </c>
      <c r="R500" t="s">
        <v>718</v>
      </c>
      <c r="S500" s="33">
        <v>0.2</v>
      </c>
      <c r="T500" s="13">
        <v>15.712</v>
      </c>
      <c r="U500" s="13">
        <v>5.6955999999999998</v>
      </c>
      <c r="V500" s="21">
        <f>Table10[[#This Row],[Profit]]/Table10[[#This Row],[Sales]]</f>
        <v>0.36249999999999999</v>
      </c>
    </row>
    <row r="501" spans="1:22" x14ac:dyDescent="0.2">
      <c r="A501">
        <v>500</v>
      </c>
      <c r="B501" t="s">
        <v>2780</v>
      </c>
      <c r="C501" s="1">
        <v>42488</v>
      </c>
      <c r="D501" s="22">
        <f>MONTH(Table10[[#This Row],[Order Date]])</f>
        <v>4</v>
      </c>
      <c r="E501" t="s">
        <v>1106</v>
      </c>
      <c r="F501" t="s">
        <v>1107</v>
      </c>
      <c r="G501" s="23" t="s">
        <v>41</v>
      </c>
      <c r="H501" s="23" t="s">
        <v>82</v>
      </c>
      <c r="I501" t="s">
        <v>2781</v>
      </c>
      <c r="J501" t="s">
        <v>92</v>
      </c>
      <c r="K501" s="22">
        <v>3</v>
      </c>
      <c r="L501" s="1">
        <v>42492</v>
      </c>
      <c r="M501" s="22">
        <f>Table10[[#This Row],[Ship Date]]-Table10[[#This Row],[Order Date]]</f>
        <v>4</v>
      </c>
      <c r="N501" t="s">
        <v>45</v>
      </c>
      <c r="O501" t="s">
        <v>23</v>
      </c>
      <c r="P501" t="s">
        <v>405</v>
      </c>
      <c r="Q501" t="s">
        <v>39</v>
      </c>
      <c r="R501" t="s">
        <v>711</v>
      </c>
      <c r="S501" s="33">
        <v>0.2</v>
      </c>
      <c r="T501" s="13">
        <v>29.472000000000001</v>
      </c>
      <c r="U501" s="13">
        <v>9.9467999999999996</v>
      </c>
      <c r="V501" s="21">
        <f>Table10[[#This Row],[Profit]]/Table10[[#This Row],[Sales]]</f>
        <v>0.33749999999999997</v>
      </c>
    </row>
    <row r="502" spans="1:22" x14ac:dyDescent="0.2">
      <c r="A502">
        <v>501</v>
      </c>
      <c r="B502" t="s">
        <v>5093</v>
      </c>
      <c r="C502" s="1">
        <v>42488</v>
      </c>
      <c r="D502" s="22">
        <f>MONTH(Table10[[#This Row],[Order Date]])</f>
        <v>4</v>
      </c>
      <c r="E502" t="s">
        <v>2732</v>
      </c>
      <c r="F502" t="s">
        <v>2733</v>
      </c>
      <c r="G502" s="23" t="s">
        <v>28</v>
      </c>
      <c r="H502" s="23" t="s">
        <v>32</v>
      </c>
      <c r="I502" t="s">
        <v>5094</v>
      </c>
      <c r="J502" t="s">
        <v>36</v>
      </c>
      <c r="K502" s="22">
        <v>2</v>
      </c>
      <c r="L502" s="1">
        <v>42495</v>
      </c>
      <c r="M502" s="22">
        <f>Table10[[#This Row],[Ship Date]]-Table10[[#This Row],[Order Date]]</f>
        <v>7</v>
      </c>
      <c r="N502" t="s">
        <v>45</v>
      </c>
      <c r="O502" t="s">
        <v>23</v>
      </c>
      <c r="P502" t="s">
        <v>38</v>
      </c>
      <c r="Q502" t="s">
        <v>39</v>
      </c>
      <c r="R502" t="s">
        <v>37</v>
      </c>
      <c r="S502" s="33">
        <v>0.2</v>
      </c>
      <c r="T502" s="13">
        <v>41.567999999999998</v>
      </c>
      <c r="U502" s="13">
        <v>2.5979999999999999</v>
      </c>
      <c r="V502" s="21">
        <f>Table10[[#This Row],[Profit]]/Table10[[#This Row],[Sales]]</f>
        <v>6.25E-2</v>
      </c>
    </row>
    <row r="503" spans="1:22" x14ac:dyDescent="0.2">
      <c r="A503">
        <v>502</v>
      </c>
      <c r="B503" t="s">
        <v>8954</v>
      </c>
      <c r="C503" s="1">
        <v>42488</v>
      </c>
      <c r="D503" s="22">
        <f>MONTH(Table10[[#This Row],[Order Date]])</f>
        <v>4</v>
      </c>
      <c r="E503" t="s">
        <v>2651</v>
      </c>
      <c r="F503" t="s">
        <v>2652</v>
      </c>
      <c r="G503" s="23" t="s">
        <v>28</v>
      </c>
      <c r="H503" s="23" t="s">
        <v>58</v>
      </c>
      <c r="I503" t="s">
        <v>1933</v>
      </c>
      <c r="J503" t="s">
        <v>22</v>
      </c>
      <c r="K503" s="22">
        <v>2</v>
      </c>
      <c r="L503" s="1">
        <v>42490</v>
      </c>
      <c r="M503" s="22">
        <f>Table10[[#This Row],[Ship Date]]-Table10[[#This Row],[Order Date]]</f>
        <v>2</v>
      </c>
      <c r="N503" t="s">
        <v>20</v>
      </c>
      <c r="O503" t="s">
        <v>23</v>
      </c>
      <c r="P503" t="s">
        <v>189</v>
      </c>
      <c r="Q503" t="s">
        <v>95</v>
      </c>
      <c r="R503" t="s">
        <v>8529</v>
      </c>
      <c r="S503" s="33">
        <v>0.6</v>
      </c>
      <c r="T503" s="13">
        <v>30.344000000000001</v>
      </c>
      <c r="U503" s="13">
        <v>-31.8612</v>
      </c>
      <c r="V503" s="21">
        <f>Table10[[#This Row],[Profit]]/Table10[[#This Row],[Sales]]</f>
        <v>-1.05</v>
      </c>
    </row>
    <row r="504" spans="1:22" x14ac:dyDescent="0.2">
      <c r="A504">
        <v>503</v>
      </c>
      <c r="B504" t="s">
        <v>3892</v>
      </c>
      <c r="C504" s="1">
        <v>42490</v>
      </c>
      <c r="D504" s="22">
        <f>MONTH(Table10[[#This Row],[Order Date]])</f>
        <v>4</v>
      </c>
      <c r="E504" t="s">
        <v>1081</v>
      </c>
      <c r="F504" t="s">
        <v>1082</v>
      </c>
      <c r="G504" s="23" t="s">
        <v>41</v>
      </c>
      <c r="H504" s="23" t="s">
        <v>68</v>
      </c>
      <c r="I504" t="s">
        <v>1864</v>
      </c>
      <c r="J504" t="s">
        <v>22</v>
      </c>
      <c r="K504" s="22">
        <v>2</v>
      </c>
      <c r="L504" s="1">
        <v>42494</v>
      </c>
      <c r="M504" s="22">
        <f>Table10[[#This Row],[Ship Date]]-Table10[[#This Row],[Order Date]]</f>
        <v>4</v>
      </c>
      <c r="N504" t="s">
        <v>45</v>
      </c>
      <c r="O504" t="s">
        <v>23</v>
      </c>
      <c r="P504" t="s">
        <v>238</v>
      </c>
      <c r="Q504" t="s">
        <v>133</v>
      </c>
      <c r="R504" t="s">
        <v>237</v>
      </c>
      <c r="S504" s="33">
        <v>0.2</v>
      </c>
      <c r="T504" s="13">
        <v>7.7119999999999997</v>
      </c>
      <c r="U504" s="13">
        <v>2.7955999999999999</v>
      </c>
      <c r="V504" s="21">
        <f>Table10[[#This Row],[Profit]]/Table10[[#This Row],[Sales]]</f>
        <v>0.36249999999999999</v>
      </c>
    </row>
    <row r="505" spans="1:22" x14ac:dyDescent="0.2">
      <c r="A505">
        <v>504</v>
      </c>
      <c r="B505" t="s">
        <v>4512</v>
      </c>
      <c r="C505" s="1">
        <v>42490</v>
      </c>
      <c r="D505" s="22">
        <f>MONTH(Table10[[#This Row],[Order Date]])</f>
        <v>4</v>
      </c>
      <c r="E505" t="s">
        <v>4090</v>
      </c>
      <c r="F505" t="s">
        <v>4091</v>
      </c>
      <c r="G505" s="23" t="s">
        <v>28</v>
      </c>
      <c r="H505" s="23" t="s">
        <v>58</v>
      </c>
      <c r="I505" t="s">
        <v>3034</v>
      </c>
      <c r="J505" t="s">
        <v>92</v>
      </c>
      <c r="K505" s="22">
        <v>3</v>
      </c>
      <c r="L505" s="1">
        <v>42495</v>
      </c>
      <c r="M505" s="22">
        <f>Table10[[#This Row],[Ship Date]]-Table10[[#This Row],[Order Date]]</f>
        <v>5</v>
      </c>
      <c r="N505" t="s">
        <v>45</v>
      </c>
      <c r="O505" t="s">
        <v>23</v>
      </c>
      <c r="P505" t="s">
        <v>94</v>
      </c>
      <c r="Q505" t="s">
        <v>95</v>
      </c>
      <c r="R505" t="s">
        <v>718</v>
      </c>
      <c r="S505" s="33">
        <v>0.6</v>
      </c>
      <c r="T505" s="13">
        <v>22.608000000000001</v>
      </c>
      <c r="U505" s="13">
        <v>-10.1736</v>
      </c>
      <c r="V505" s="21">
        <f>Table10[[#This Row],[Profit]]/Table10[[#This Row],[Sales]]</f>
        <v>-0.45</v>
      </c>
    </row>
    <row r="506" spans="1:22" x14ac:dyDescent="0.2">
      <c r="A506">
        <v>505</v>
      </c>
      <c r="B506" t="s">
        <v>5007</v>
      </c>
      <c r="C506" s="1">
        <v>42490</v>
      </c>
      <c r="D506" s="22">
        <f>MONTH(Table10[[#This Row],[Order Date]])</f>
        <v>4</v>
      </c>
      <c r="E506" t="s">
        <v>1924</v>
      </c>
      <c r="F506" t="s">
        <v>1925</v>
      </c>
      <c r="G506" s="23" t="s">
        <v>28</v>
      </c>
      <c r="H506" s="23" t="s">
        <v>58</v>
      </c>
      <c r="I506" t="s">
        <v>5008</v>
      </c>
      <c r="J506" t="s">
        <v>36</v>
      </c>
      <c r="K506" s="22">
        <v>7</v>
      </c>
      <c r="L506" s="1">
        <v>42494</v>
      </c>
      <c r="M506" s="22">
        <f>Table10[[#This Row],[Ship Date]]-Table10[[#This Row],[Order Date]]</f>
        <v>4</v>
      </c>
      <c r="N506" t="s">
        <v>45</v>
      </c>
      <c r="O506" t="s">
        <v>23</v>
      </c>
      <c r="P506" t="s">
        <v>277</v>
      </c>
      <c r="Q506" t="s">
        <v>39</v>
      </c>
      <c r="R506" t="s">
        <v>550</v>
      </c>
      <c r="S506" s="33">
        <v>0.2</v>
      </c>
      <c r="T506" s="13">
        <v>111.88800000000001</v>
      </c>
      <c r="U506" s="13">
        <v>22.377600000000001</v>
      </c>
      <c r="V506" s="21">
        <f>Table10[[#This Row],[Profit]]/Table10[[#This Row],[Sales]]</f>
        <v>0.2</v>
      </c>
    </row>
    <row r="507" spans="1:22" x14ac:dyDescent="0.2">
      <c r="A507">
        <v>506</v>
      </c>
      <c r="B507" t="s">
        <v>5153</v>
      </c>
      <c r="C507" s="1">
        <v>42491</v>
      </c>
      <c r="D507" s="22">
        <f>MONTH(Table10[[#This Row],[Order Date]])</f>
        <v>5</v>
      </c>
      <c r="E507" t="s">
        <v>2193</v>
      </c>
      <c r="F507" t="s">
        <v>2194</v>
      </c>
      <c r="G507" s="23" t="s">
        <v>41</v>
      </c>
      <c r="H507" s="23" t="s">
        <v>42</v>
      </c>
      <c r="I507" t="s">
        <v>3858</v>
      </c>
      <c r="J507" t="s">
        <v>22</v>
      </c>
      <c r="K507" s="22">
        <v>1</v>
      </c>
      <c r="L507" s="1">
        <v>42494</v>
      </c>
      <c r="M507" s="22">
        <f>Table10[[#This Row],[Ship Date]]-Table10[[#This Row],[Order Date]]</f>
        <v>3</v>
      </c>
      <c r="N507" t="s">
        <v>169</v>
      </c>
      <c r="O507" t="s">
        <v>23</v>
      </c>
      <c r="P507" t="s">
        <v>299</v>
      </c>
      <c r="Q507" t="s">
        <v>26</v>
      </c>
      <c r="R507" t="s">
        <v>298</v>
      </c>
      <c r="S507" s="33">
        <v>0.2</v>
      </c>
      <c r="T507" s="13">
        <v>3.984</v>
      </c>
      <c r="U507" s="13">
        <v>1.2948</v>
      </c>
      <c r="V507" s="21">
        <f>Table10[[#This Row],[Profit]]/Table10[[#This Row],[Sales]]</f>
        <v>0.32500000000000001</v>
      </c>
    </row>
    <row r="508" spans="1:22" x14ac:dyDescent="0.2">
      <c r="A508">
        <v>507</v>
      </c>
      <c r="B508" t="s">
        <v>5153</v>
      </c>
      <c r="C508" s="1">
        <v>42491</v>
      </c>
      <c r="D508" s="22">
        <f>MONTH(Table10[[#This Row],[Order Date]])</f>
        <v>5</v>
      </c>
      <c r="E508" t="s">
        <v>477</v>
      </c>
      <c r="F508" t="s">
        <v>478</v>
      </c>
      <c r="G508" s="23" t="s">
        <v>28</v>
      </c>
      <c r="H508" s="23" t="s">
        <v>50</v>
      </c>
      <c r="I508" t="s">
        <v>3858</v>
      </c>
      <c r="J508" t="s">
        <v>22</v>
      </c>
      <c r="K508" s="22">
        <v>3</v>
      </c>
      <c r="L508" s="1">
        <v>42494</v>
      </c>
      <c r="M508" s="22">
        <f>Table10[[#This Row],[Ship Date]]-Table10[[#This Row],[Order Date]]</f>
        <v>3</v>
      </c>
      <c r="N508" t="s">
        <v>169</v>
      </c>
      <c r="O508" t="s">
        <v>23</v>
      </c>
      <c r="P508" t="s">
        <v>299</v>
      </c>
      <c r="Q508" t="s">
        <v>26</v>
      </c>
      <c r="R508" t="s">
        <v>298</v>
      </c>
      <c r="S508" s="33">
        <v>0.4</v>
      </c>
      <c r="T508" s="13">
        <v>370.62</v>
      </c>
      <c r="U508" s="13">
        <v>-142.071</v>
      </c>
      <c r="V508" s="21">
        <f>Table10[[#This Row],[Profit]]/Table10[[#This Row],[Sales]]</f>
        <v>-0.3833333333333333</v>
      </c>
    </row>
    <row r="509" spans="1:22" x14ac:dyDescent="0.2">
      <c r="A509">
        <v>508</v>
      </c>
      <c r="B509" t="s">
        <v>5153</v>
      </c>
      <c r="C509" s="1">
        <v>42491</v>
      </c>
      <c r="D509" s="22">
        <f>MONTH(Table10[[#This Row],[Order Date]])</f>
        <v>5</v>
      </c>
      <c r="E509" t="s">
        <v>4268</v>
      </c>
      <c r="F509" t="s">
        <v>4269</v>
      </c>
      <c r="G509" s="23" t="s">
        <v>41</v>
      </c>
      <c r="H509" s="23" t="s">
        <v>68</v>
      </c>
      <c r="I509" t="s">
        <v>3858</v>
      </c>
      <c r="J509" t="s">
        <v>22</v>
      </c>
      <c r="K509" s="22">
        <v>2</v>
      </c>
      <c r="L509" s="1">
        <v>42494</v>
      </c>
      <c r="M509" s="22">
        <f>Table10[[#This Row],[Ship Date]]-Table10[[#This Row],[Order Date]]</f>
        <v>3</v>
      </c>
      <c r="N509" t="s">
        <v>169</v>
      </c>
      <c r="O509" t="s">
        <v>23</v>
      </c>
      <c r="P509" t="s">
        <v>299</v>
      </c>
      <c r="Q509" t="s">
        <v>26</v>
      </c>
      <c r="R509" t="s">
        <v>298</v>
      </c>
      <c r="S509" s="33">
        <v>0.7</v>
      </c>
      <c r="T509" s="13">
        <v>2.742</v>
      </c>
      <c r="U509" s="13">
        <v>-2.0108000000000001</v>
      </c>
      <c r="V509" s="21">
        <f>Table10[[#This Row],[Profit]]/Table10[[#This Row],[Sales]]</f>
        <v>-0.73333333333333339</v>
      </c>
    </row>
    <row r="510" spans="1:22" x14ac:dyDescent="0.2">
      <c r="A510">
        <v>509</v>
      </c>
      <c r="B510" t="s">
        <v>7769</v>
      </c>
      <c r="C510" s="1">
        <v>42491</v>
      </c>
      <c r="D510" s="22">
        <f>MONTH(Table10[[#This Row],[Order Date]])</f>
        <v>5</v>
      </c>
      <c r="E510" t="s">
        <v>7770</v>
      </c>
      <c r="F510" t="s">
        <v>7771</v>
      </c>
      <c r="G510" s="23" t="s">
        <v>41</v>
      </c>
      <c r="H510" s="23" t="s">
        <v>82</v>
      </c>
      <c r="I510" t="s">
        <v>5050</v>
      </c>
      <c r="J510" t="s">
        <v>22</v>
      </c>
      <c r="K510" s="22">
        <v>2</v>
      </c>
      <c r="L510" s="1">
        <v>42494</v>
      </c>
      <c r="M510" s="22">
        <f>Table10[[#This Row],[Ship Date]]-Table10[[#This Row],[Order Date]]</f>
        <v>3</v>
      </c>
      <c r="N510" t="s">
        <v>20</v>
      </c>
      <c r="O510" t="s">
        <v>23</v>
      </c>
      <c r="P510" t="s">
        <v>1510</v>
      </c>
      <c r="Q510" t="s">
        <v>26</v>
      </c>
      <c r="R510" t="s">
        <v>4562</v>
      </c>
      <c r="S510" s="33">
        <v>0</v>
      </c>
      <c r="T510" s="13">
        <v>109.92</v>
      </c>
      <c r="U510" s="13">
        <v>53.860799999999998</v>
      </c>
      <c r="V510" s="21">
        <f>Table10[[#This Row],[Profit]]/Table10[[#This Row],[Sales]]</f>
        <v>0.49</v>
      </c>
    </row>
    <row r="511" spans="1:22" x14ac:dyDescent="0.2">
      <c r="A511">
        <v>510</v>
      </c>
      <c r="B511" t="s">
        <v>7769</v>
      </c>
      <c r="C511" s="1">
        <v>42491</v>
      </c>
      <c r="D511" s="22">
        <f>MONTH(Table10[[#This Row],[Order Date]])</f>
        <v>5</v>
      </c>
      <c r="E511" t="s">
        <v>4754</v>
      </c>
      <c r="F511" t="s">
        <v>4755</v>
      </c>
      <c r="G511" s="23" t="s">
        <v>41</v>
      </c>
      <c r="H511" s="23" t="s">
        <v>82</v>
      </c>
      <c r="I511" t="s">
        <v>5050</v>
      </c>
      <c r="J511" t="s">
        <v>22</v>
      </c>
      <c r="K511" s="22">
        <v>3</v>
      </c>
      <c r="L511" s="1">
        <v>42494</v>
      </c>
      <c r="M511" s="22">
        <f>Table10[[#This Row],[Ship Date]]-Table10[[#This Row],[Order Date]]</f>
        <v>3</v>
      </c>
      <c r="N511" t="s">
        <v>20</v>
      </c>
      <c r="O511" t="s">
        <v>23</v>
      </c>
      <c r="P511" t="s">
        <v>1510</v>
      </c>
      <c r="Q511" t="s">
        <v>26</v>
      </c>
      <c r="R511" t="s">
        <v>4562</v>
      </c>
      <c r="S511" s="33">
        <v>0</v>
      </c>
      <c r="T511" s="13">
        <v>19.440000000000001</v>
      </c>
      <c r="U511" s="13">
        <v>9.3312000000000008</v>
      </c>
      <c r="V511" s="21">
        <f>Table10[[#This Row],[Profit]]/Table10[[#This Row],[Sales]]</f>
        <v>0.48000000000000004</v>
      </c>
    </row>
    <row r="512" spans="1:22" x14ac:dyDescent="0.2">
      <c r="A512">
        <v>511</v>
      </c>
      <c r="B512" t="s">
        <v>7769</v>
      </c>
      <c r="C512" s="1">
        <v>42491</v>
      </c>
      <c r="D512" s="22">
        <f>MONTH(Table10[[#This Row],[Order Date]])</f>
        <v>5</v>
      </c>
      <c r="E512" t="s">
        <v>2746</v>
      </c>
      <c r="F512" t="s">
        <v>2747</v>
      </c>
      <c r="G512" s="23" t="s">
        <v>41</v>
      </c>
      <c r="H512" s="23" t="s">
        <v>61</v>
      </c>
      <c r="I512" t="s">
        <v>5050</v>
      </c>
      <c r="J512" t="s">
        <v>22</v>
      </c>
      <c r="K512" s="22">
        <v>2</v>
      </c>
      <c r="L512" s="1">
        <v>42494</v>
      </c>
      <c r="M512" s="22">
        <f>Table10[[#This Row],[Ship Date]]-Table10[[#This Row],[Order Date]]</f>
        <v>3</v>
      </c>
      <c r="N512" t="s">
        <v>20</v>
      </c>
      <c r="O512" t="s">
        <v>23</v>
      </c>
      <c r="P512" t="s">
        <v>1510</v>
      </c>
      <c r="Q512" t="s">
        <v>26</v>
      </c>
      <c r="R512" t="s">
        <v>4562</v>
      </c>
      <c r="S512" s="33">
        <v>0</v>
      </c>
      <c r="T512" s="13">
        <v>11.16</v>
      </c>
      <c r="U512" s="13">
        <v>4.3524000000000003</v>
      </c>
      <c r="V512" s="21">
        <f>Table10[[#This Row],[Profit]]/Table10[[#This Row],[Sales]]</f>
        <v>0.39</v>
      </c>
    </row>
    <row r="513" spans="1:22" x14ac:dyDescent="0.2">
      <c r="A513">
        <v>512</v>
      </c>
      <c r="B513" t="s">
        <v>3135</v>
      </c>
      <c r="C513" s="1">
        <v>42492</v>
      </c>
      <c r="D513" s="22">
        <f>MONTH(Table10[[#This Row],[Order Date]])</f>
        <v>5</v>
      </c>
      <c r="E513" t="s">
        <v>3137</v>
      </c>
      <c r="F513" t="s">
        <v>3138</v>
      </c>
      <c r="G513" s="23" t="s">
        <v>41</v>
      </c>
      <c r="H513" s="23" t="s">
        <v>61</v>
      </c>
      <c r="I513" t="s">
        <v>3136</v>
      </c>
      <c r="J513" t="s">
        <v>22</v>
      </c>
      <c r="K513" s="22">
        <v>3</v>
      </c>
      <c r="L513" s="1">
        <v>42497</v>
      </c>
      <c r="M513" s="22">
        <f>Table10[[#This Row],[Ship Date]]-Table10[[#This Row],[Order Date]]</f>
        <v>5</v>
      </c>
      <c r="N513" t="s">
        <v>45</v>
      </c>
      <c r="O513" t="s">
        <v>23</v>
      </c>
      <c r="P513" t="s">
        <v>94</v>
      </c>
      <c r="Q513" t="s">
        <v>95</v>
      </c>
      <c r="R513" t="s">
        <v>165</v>
      </c>
      <c r="S513" s="33">
        <v>0.2</v>
      </c>
      <c r="T513" s="13">
        <v>86.352000000000004</v>
      </c>
      <c r="U513" s="13">
        <v>5.3970000000000002</v>
      </c>
      <c r="V513" s="21">
        <f>Table10[[#This Row],[Profit]]/Table10[[#This Row],[Sales]]</f>
        <v>6.25E-2</v>
      </c>
    </row>
    <row r="514" spans="1:22" x14ac:dyDescent="0.2">
      <c r="A514">
        <v>513</v>
      </c>
      <c r="B514" t="s">
        <v>5762</v>
      </c>
      <c r="C514" s="1">
        <v>42492</v>
      </c>
      <c r="D514" s="22">
        <f>MONTH(Table10[[#This Row],[Order Date]])</f>
        <v>5</v>
      </c>
      <c r="E514" t="s">
        <v>1245</v>
      </c>
      <c r="F514" t="s">
        <v>1246</v>
      </c>
      <c r="G514" s="23" t="s">
        <v>41</v>
      </c>
      <c r="H514" s="23" t="s">
        <v>53</v>
      </c>
      <c r="I514" t="s">
        <v>5763</v>
      </c>
      <c r="J514" t="s">
        <v>22</v>
      </c>
      <c r="K514" s="22">
        <v>3</v>
      </c>
      <c r="L514" s="1">
        <v>42492</v>
      </c>
      <c r="M514" s="22">
        <f>Table10[[#This Row],[Ship Date]]-Table10[[#This Row],[Order Date]]</f>
        <v>0</v>
      </c>
      <c r="N514" t="s">
        <v>1141</v>
      </c>
      <c r="O514" t="s">
        <v>23</v>
      </c>
      <c r="P514" t="s">
        <v>238</v>
      </c>
      <c r="Q514" t="s">
        <v>133</v>
      </c>
      <c r="R514" t="s">
        <v>237</v>
      </c>
      <c r="S514" s="33">
        <v>0</v>
      </c>
      <c r="T514" s="13">
        <v>44.94</v>
      </c>
      <c r="U514" s="13">
        <v>12.5832</v>
      </c>
      <c r="V514" s="21">
        <f>Table10[[#This Row],[Profit]]/Table10[[#This Row],[Sales]]</f>
        <v>0.28000000000000003</v>
      </c>
    </row>
    <row r="515" spans="1:22" x14ac:dyDescent="0.2">
      <c r="A515">
        <v>514</v>
      </c>
      <c r="B515" t="s">
        <v>5762</v>
      </c>
      <c r="C515" s="1">
        <v>42492</v>
      </c>
      <c r="D515" s="22">
        <f>MONTH(Table10[[#This Row],[Order Date]])</f>
        <v>5</v>
      </c>
      <c r="E515" t="s">
        <v>1420</v>
      </c>
      <c r="F515" t="s">
        <v>1421</v>
      </c>
      <c r="G515" s="23" t="s">
        <v>41</v>
      </c>
      <c r="H515" s="23" t="s">
        <v>68</v>
      </c>
      <c r="I515" t="s">
        <v>5763</v>
      </c>
      <c r="J515" t="s">
        <v>22</v>
      </c>
      <c r="K515" s="22">
        <v>3</v>
      </c>
      <c r="L515" s="1">
        <v>42492</v>
      </c>
      <c r="M515" s="22">
        <f>Table10[[#This Row],[Ship Date]]-Table10[[#This Row],[Order Date]]</f>
        <v>0</v>
      </c>
      <c r="N515" t="s">
        <v>1141</v>
      </c>
      <c r="O515" t="s">
        <v>23</v>
      </c>
      <c r="P515" t="s">
        <v>238</v>
      </c>
      <c r="Q515" t="s">
        <v>133</v>
      </c>
      <c r="R515" t="s">
        <v>237</v>
      </c>
      <c r="S515" s="33">
        <v>0.2</v>
      </c>
      <c r="T515" s="13">
        <v>45.576000000000001</v>
      </c>
      <c r="U515" s="13">
        <v>15.951599999999999</v>
      </c>
      <c r="V515" s="21">
        <f>Table10[[#This Row],[Profit]]/Table10[[#This Row],[Sales]]</f>
        <v>0.35</v>
      </c>
    </row>
    <row r="516" spans="1:22" x14ac:dyDescent="0.2">
      <c r="A516">
        <v>515</v>
      </c>
      <c r="B516" t="s">
        <v>7387</v>
      </c>
      <c r="C516" s="1">
        <v>42492</v>
      </c>
      <c r="D516" s="22">
        <f>MONTH(Table10[[#This Row],[Order Date]])</f>
        <v>5</v>
      </c>
      <c r="E516" t="s">
        <v>2732</v>
      </c>
      <c r="F516" t="s">
        <v>2733</v>
      </c>
      <c r="G516" s="23" t="s">
        <v>28</v>
      </c>
      <c r="H516" s="23" t="s">
        <v>32</v>
      </c>
      <c r="I516" t="s">
        <v>2156</v>
      </c>
      <c r="J516" t="s">
        <v>22</v>
      </c>
      <c r="K516" s="22">
        <v>9</v>
      </c>
      <c r="L516" s="1">
        <v>42498</v>
      </c>
      <c r="M516" s="22">
        <f>Table10[[#This Row],[Ship Date]]-Table10[[#This Row],[Order Date]]</f>
        <v>6</v>
      </c>
      <c r="N516" t="s">
        <v>45</v>
      </c>
      <c r="O516" t="s">
        <v>23</v>
      </c>
      <c r="P516" t="s">
        <v>80</v>
      </c>
      <c r="Q516" t="s">
        <v>26</v>
      </c>
      <c r="R516" t="s">
        <v>3963</v>
      </c>
      <c r="S516" s="33">
        <v>0.2</v>
      </c>
      <c r="T516" s="13">
        <v>187.05600000000001</v>
      </c>
      <c r="U516" s="13">
        <v>11.691000000000001</v>
      </c>
      <c r="V516" s="21">
        <f>Table10[[#This Row],[Profit]]/Table10[[#This Row],[Sales]]</f>
        <v>6.25E-2</v>
      </c>
    </row>
    <row r="517" spans="1:22" x14ac:dyDescent="0.2">
      <c r="A517">
        <v>516</v>
      </c>
      <c r="B517" t="s">
        <v>8922</v>
      </c>
      <c r="C517" s="1">
        <v>42492</v>
      </c>
      <c r="D517" s="22">
        <f>MONTH(Table10[[#This Row],[Order Date]])</f>
        <v>5</v>
      </c>
      <c r="E517" t="s">
        <v>6051</v>
      </c>
      <c r="F517" t="s">
        <v>6052</v>
      </c>
      <c r="G517" s="23" t="s">
        <v>41</v>
      </c>
      <c r="H517" s="23" t="s">
        <v>53</v>
      </c>
      <c r="I517" t="s">
        <v>4166</v>
      </c>
      <c r="J517" t="s">
        <v>22</v>
      </c>
      <c r="K517" s="22">
        <v>3</v>
      </c>
      <c r="L517" s="1">
        <v>42496</v>
      </c>
      <c r="M517" s="22">
        <f>Table10[[#This Row],[Ship Date]]-Table10[[#This Row],[Order Date]]</f>
        <v>4</v>
      </c>
      <c r="N517" t="s">
        <v>45</v>
      </c>
      <c r="O517" t="s">
        <v>23</v>
      </c>
      <c r="P517" t="s">
        <v>94</v>
      </c>
      <c r="Q517" t="s">
        <v>95</v>
      </c>
      <c r="R517" t="s">
        <v>3463</v>
      </c>
      <c r="S517" s="33">
        <v>0.2</v>
      </c>
      <c r="T517" s="13">
        <v>18.936</v>
      </c>
      <c r="U517" s="13">
        <v>-3.7871999999999999</v>
      </c>
      <c r="V517" s="21">
        <f>Table10[[#This Row],[Profit]]/Table10[[#This Row],[Sales]]</f>
        <v>-0.19999999999999998</v>
      </c>
    </row>
    <row r="518" spans="1:22" x14ac:dyDescent="0.2">
      <c r="A518">
        <v>517</v>
      </c>
      <c r="B518" t="s">
        <v>8922</v>
      </c>
      <c r="C518" s="1">
        <v>42492</v>
      </c>
      <c r="D518" s="22">
        <f>MONTH(Table10[[#This Row],[Order Date]])</f>
        <v>5</v>
      </c>
      <c r="E518" t="s">
        <v>5717</v>
      </c>
      <c r="F518" t="s">
        <v>5718</v>
      </c>
      <c r="G518" s="23" t="s">
        <v>41</v>
      </c>
      <c r="H518" s="23" t="s">
        <v>53</v>
      </c>
      <c r="I518" t="s">
        <v>4166</v>
      </c>
      <c r="J518" t="s">
        <v>22</v>
      </c>
      <c r="K518" s="22">
        <v>3</v>
      </c>
      <c r="L518" s="1">
        <v>42496</v>
      </c>
      <c r="M518" s="22">
        <f>Table10[[#This Row],[Ship Date]]-Table10[[#This Row],[Order Date]]</f>
        <v>4</v>
      </c>
      <c r="N518" t="s">
        <v>45</v>
      </c>
      <c r="O518" t="s">
        <v>23</v>
      </c>
      <c r="P518" t="s">
        <v>94</v>
      </c>
      <c r="Q518" t="s">
        <v>95</v>
      </c>
      <c r="R518" t="s">
        <v>3463</v>
      </c>
      <c r="S518" s="33">
        <v>0.2</v>
      </c>
      <c r="T518" s="13">
        <v>12.672000000000001</v>
      </c>
      <c r="U518" s="13">
        <v>-3.1680000000000001</v>
      </c>
      <c r="V518" s="21">
        <f>Table10[[#This Row],[Profit]]/Table10[[#This Row],[Sales]]</f>
        <v>-0.25</v>
      </c>
    </row>
    <row r="519" spans="1:22" x14ac:dyDescent="0.2">
      <c r="A519">
        <v>518</v>
      </c>
      <c r="B519" t="s">
        <v>8922</v>
      </c>
      <c r="C519" s="1">
        <v>42492</v>
      </c>
      <c r="D519" s="22">
        <f>MONTH(Table10[[#This Row],[Order Date]])</f>
        <v>5</v>
      </c>
      <c r="E519" t="s">
        <v>2890</v>
      </c>
      <c r="F519" t="s">
        <v>2891</v>
      </c>
      <c r="G519" s="23" t="s">
        <v>41</v>
      </c>
      <c r="H519" s="23" t="s">
        <v>42</v>
      </c>
      <c r="I519" t="s">
        <v>4166</v>
      </c>
      <c r="J519" t="s">
        <v>22</v>
      </c>
      <c r="K519" s="22">
        <v>2</v>
      </c>
      <c r="L519" s="1">
        <v>42496</v>
      </c>
      <c r="M519" s="22">
        <f>Table10[[#This Row],[Ship Date]]-Table10[[#This Row],[Order Date]]</f>
        <v>4</v>
      </c>
      <c r="N519" t="s">
        <v>45</v>
      </c>
      <c r="O519" t="s">
        <v>23</v>
      </c>
      <c r="P519" t="s">
        <v>94</v>
      </c>
      <c r="Q519" t="s">
        <v>95</v>
      </c>
      <c r="R519" t="s">
        <v>3463</v>
      </c>
      <c r="S519" s="33">
        <v>0.2</v>
      </c>
      <c r="T519" s="13">
        <v>5.04</v>
      </c>
      <c r="U519" s="13">
        <v>1.764</v>
      </c>
      <c r="V519" s="21">
        <f>Table10[[#This Row],[Profit]]/Table10[[#This Row],[Sales]]</f>
        <v>0.35</v>
      </c>
    </row>
    <row r="520" spans="1:22" x14ac:dyDescent="0.2">
      <c r="A520">
        <v>519</v>
      </c>
      <c r="B520" t="s">
        <v>9291</v>
      </c>
      <c r="C520" s="1">
        <v>42492</v>
      </c>
      <c r="D520" s="22">
        <f>MONTH(Table10[[#This Row],[Order Date]])</f>
        <v>5</v>
      </c>
      <c r="E520" t="s">
        <v>6240</v>
      </c>
      <c r="F520" t="s">
        <v>6241</v>
      </c>
      <c r="G520" s="23" t="s">
        <v>28</v>
      </c>
      <c r="H520" s="23" t="s">
        <v>32</v>
      </c>
      <c r="I520" t="s">
        <v>6975</v>
      </c>
      <c r="J520" t="s">
        <v>22</v>
      </c>
      <c r="K520" s="22">
        <v>4</v>
      </c>
      <c r="L520" s="1">
        <v>42496</v>
      </c>
      <c r="M520" s="22">
        <f>Table10[[#This Row],[Ship Date]]-Table10[[#This Row],[Order Date]]</f>
        <v>4</v>
      </c>
      <c r="N520" t="s">
        <v>45</v>
      </c>
      <c r="O520" t="s">
        <v>23</v>
      </c>
      <c r="P520" t="s">
        <v>94</v>
      </c>
      <c r="Q520" t="s">
        <v>95</v>
      </c>
      <c r="R520" t="s">
        <v>1430</v>
      </c>
      <c r="S520" s="33">
        <v>0.3</v>
      </c>
      <c r="T520" s="13">
        <v>366.74400000000003</v>
      </c>
      <c r="U520" s="13">
        <v>-110.0232</v>
      </c>
      <c r="V520" s="21">
        <f>Table10[[#This Row],[Profit]]/Table10[[#This Row],[Sales]]</f>
        <v>-0.3</v>
      </c>
    </row>
    <row r="521" spans="1:22" x14ac:dyDescent="0.2">
      <c r="A521">
        <v>520</v>
      </c>
      <c r="B521" t="s">
        <v>10073</v>
      </c>
      <c r="C521" s="1">
        <v>42492</v>
      </c>
      <c r="D521" s="22">
        <f>MONTH(Table10[[#This Row],[Order Date]])</f>
        <v>5</v>
      </c>
      <c r="E521" t="s">
        <v>1861</v>
      </c>
      <c r="F521" t="s">
        <v>1862</v>
      </c>
      <c r="G521" s="23" t="s">
        <v>28</v>
      </c>
      <c r="H521" s="23" t="s">
        <v>58</v>
      </c>
      <c r="I521" t="s">
        <v>4217</v>
      </c>
      <c r="J521" t="s">
        <v>36</v>
      </c>
      <c r="K521" s="22">
        <v>2</v>
      </c>
      <c r="L521" s="1">
        <v>42496</v>
      </c>
      <c r="M521" s="22">
        <f>Table10[[#This Row],[Ship Date]]-Table10[[#This Row],[Order Date]]</f>
        <v>4</v>
      </c>
      <c r="N521" t="s">
        <v>45</v>
      </c>
      <c r="O521" t="s">
        <v>23</v>
      </c>
      <c r="P521" t="s">
        <v>238</v>
      </c>
      <c r="Q521" t="s">
        <v>133</v>
      </c>
      <c r="R521" t="s">
        <v>237</v>
      </c>
      <c r="S521" s="33">
        <v>0</v>
      </c>
      <c r="T521" s="13">
        <v>12.56</v>
      </c>
      <c r="U521" s="13">
        <v>4.0191999999999997</v>
      </c>
      <c r="V521" s="21">
        <f>Table10[[#This Row],[Profit]]/Table10[[#This Row],[Sales]]</f>
        <v>0.31999999999999995</v>
      </c>
    </row>
    <row r="522" spans="1:22" x14ac:dyDescent="0.2">
      <c r="A522">
        <v>521</v>
      </c>
      <c r="B522" t="s">
        <v>10073</v>
      </c>
      <c r="C522" s="1">
        <v>42492</v>
      </c>
      <c r="D522" s="22">
        <f>MONTH(Table10[[#This Row],[Order Date]])</f>
        <v>5</v>
      </c>
      <c r="E522" t="s">
        <v>1524</v>
      </c>
      <c r="F522" t="s">
        <v>1525</v>
      </c>
      <c r="G522" s="23" t="s">
        <v>41</v>
      </c>
      <c r="H522" s="23" t="s">
        <v>68</v>
      </c>
      <c r="I522" t="s">
        <v>4217</v>
      </c>
      <c r="J522" t="s">
        <v>36</v>
      </c>
      <c r="K522" s="22">
        <v>3</v>
      </c>
      <c r="L522" s="1">
        <v>42496</v>
      </c>
      <c r="M522" s="22">
        <f>Table10[[#This Row],[Ship Date]]-Table10[[#This Row],[Order Date]]</f>
        <v>4</v>
      </c>
      <c r="N522" t="s">
        <v>45</v>
      </c>
      <c r="O522" t="s">
        <v>23</v>
      </c>
      <c r="P522" t="s">
        <v>238</v>
      </c>
      <c r="Q522" t="s">
        <v>133</v>
      </c>
      <c r="R522" t="s">
        <v>237</v>
      </c>
      <c r="S522" s="33">
        <v>0.2</v>
      </c>
      <c r="T522" s="13">
        <v>90.48</v>
      </c>
      <c r="U522" s="13">
        <v>33.93</v>
      </c>
      <c r="V522" s="21">
        <f>Table10[[#This Row],[Profit]]/Table10[[#This Row],[Sales]]</f>
        <v>0.375</v>
      </c>
    </row>
    <row r="523" spans="1:22" x14ac:dyDescent="0.2">
      <c r="A523">
        <v>522</v>
      </c>
      <c r="B523" t="s">
        <v>10073</v>
      </c>
      <c r="C523" s="1">
        <v>42492</v>
      </c>
      <c r="D523" s="22">
        <f>MONTH(Table10[[#This Row],[Order Date]])</f>
        <v>5</v>
      </c>
      <c r="E523" t="s">
        <v>4338</v>
      </c>
      <c r="F523" t="s">
        <v>4339</v>
      </c>
      <c r="G523" s="23" t="s">
        <v>41</v>
      </c>
      <c r="H523" s="23" t="s">
        <v>82</v>
      </c>
      <c r="I523" t="s">
        <v>4217</v>
      </c>
      <c r="J523" t="s">
        <v>36</v>
      </c>
      <c r="K523" s="22">
        <v>2</v>
      </c>
      <c r="L523" s="1">
        <v>42496</v>
      </c>
      <c r="M523" s="22">
        <f>Table10[[#This Row],[Ship Date]]-Table10[[#This Row],[Order Date]]</f>
        <v>4</v>
      </c>
      <c r="N523" t="s">
        <v>45</v>
      </c>
      <c r="O523" t="s">
        <v>23</v>
      </c>
      <c r="P523" t="s">
        <v>238</v>
      </c>
      <c r="Q523" t="s">
        <v>133</v>
      </c>
      <c r="R523" t="s">
        <v>237</v>
      </c>
      <c r="S523" s="33">
        <v>0</v>
      </c>
      <c r="T523" s="13">
        <v>13.08</v>
      </c>
      <c r="U523" s="13">
        <v>6.0167999999999999</v>
      </c>
      <c r="V523" s="21">
        <f>Table10[[#This Row],[Profit]]/Table10[[#This Row],[Sales]]</f>
        <v>0.45999999999999996</v>
      </c>
    </row>
    <row r="524" spans="1:22" x14ac:dyDescent="0.2">
      <c r="A524">
        <v>523</v>
      </c>
      <c r="B524" t="s">
        <v>10073</v>
      </c>
      <c r="C524" s="1">
        <v>42492</v>
      </c>
      <c r="D524" s="22">
        <f>MONTH(Table10[[#This Row],[Order Date]])</f>
        <v>5</v>
      </c>
      <c r="E524" t="s">
        <v>2031</v>
      </c>
      <c r="F524" t="s">
        <v>2032</v>
      </c>
      <c r="G524" s="23" t="s">
        <v>28</v>
      </c>
      <c r="H524" s="23" t="s">
        <v>58</v>
      </c>
      <c r="I524" t="s">
        <v>4217</v>
      </c>
      <c r="J524" t="s">
        <v>36</v>
      </c>
      <c r="K524" s="22">
        <v>5</v>
      </c>
      <c r="L524" s="1">
        <v>42496</v>
      </c>
      <c r="M524" s="22">
        <f>Table10[[#This Row],[Ship Date]]-Table10[[#This Row],[Order Date]]</f>
        <v>4</v>
      </c>
      <c r="N524" t="s">
        <v>45</v>
      </c>
      <c r="O524" t="s">
        <v>23</v>
      </c>
      <c r="P524" t="s">
        <v>238</v>
      </c>
      <c r="Q524" t="s">
        <v>133</v>
      </c>
      <c r="R524" t="s">
        <v>237</v>
      </c>
      <c r="S524" s="33">
        <v>0</v>
      </c>
      <c r="T524" s="13">
        <v>214.7</v>
      </c>
      <c r="U524" s="13">
        <v>83.733000000000004</v>
      </c>
      <c r="V524" s="21">
        <f>Table10[[#This Row],[Profit]]/Table10[[#This Row],[Sales]]</f>
        <v>0.39</v>
      </c>
    </row>
    <row r="525" spans="1:22" x14ac:dyDescent="0.2">
      <c r="A525">
        <v>524</v>
      </c>
      <c r="B525" t="s">
        <v>6760</v>
      </c>
      <c r="C525" s="1">
        <v>42493</v>
      </c>
      <c r="D525" s="22">
        <f>MONTH(Table10[[#This Row],[Order Date]])</f>
        <v>5</v>
      </c>
      <c r="E525" t="s">
        <v>2175</v>
      </c>
      <c r="F525" t="s">
        <v>2176</v>
      </c>
      <c r="G525" s="23" t="s">
        <v>41</v>
      </c>
      <c r="H525" s="23" t="s">
        <v>68</v>
      </c>
      <c r="I525" t="s">
        <v>4300</v>
      </c>
      <c r="J525" t="s">
        <v>22</v>
      </c>
      <c r="K525" s="22">
        <v>1</v>
      </c>
      <c r="L525" s="1">
        <v>42498</v>
      </c>
      <c r="M525" s="22">
        <f>Table10[[#This Row],[Ship Date]]-Table10[[#This Row],[Order Date]]</f>
        <v>5</v>
      </c>
      <c r="N525" t="s">
        <v>45</v>
      </c>
      <c r="O525" t="s">
        <v>23</v>
      </c>
      <c r="P525" t="s">
        <v>189</v>
      </c>
      <c r="Q525" t="s">
        <v>95</v>
      </c>
      <c r="R525" t="s">
        <v>271</v>
      </c>
      <c r="S525" s="33">
        <v>0.8</v>
      </c>
      <c r="T525" s="13">
        <v>2.1819999999999999</v>
      </c>
      <c r="U525" s="13">
        <v>-3.6002999999999998</v>
      </c>
      <c r="V525" s="21">
        <f>Table10[[#This Row],[Profit]]/Table10[[#This Row],[Sales]]</f>
        <v>-1.65</v>
      </c>
    </row>
    <row r="526" spans="1:22" x14ac:dyDescent="0.2">
      <c r="A526">
        <v>525</v>
      </c>
      <c r="B526" t="s">
        <v>6760</v>
      </c>
      <c r="C526" s="1">
        <v>42493</v>
      </c>
      <c r="D526" s="22">
        <f>MONTH(Table10[[#This Row],[Order Date]])</f>
        <v>5</v>
      </c>
      <c r="E526" t="s">
        <v>6761</v>
      </c>
      <c r="F526" t="s">
        <v>6762</v>
      </c>
      <c r="G526" s="23" t="s">
        <v>41</v>
      </c>
      <c r="H526" s="23" t="s">
        <v>61</v>
      </c>
      <c r="I526" t="s">
        <v>4300</v>
      </c>
      <c r="J526" t="s">
        <v>22</v>
      </c>
      <c r="K526" s="22">
        <v>7</v>
      </c>
      <c r="L526" s="1">
        <v>42498</v>
      </c>
      <c r="M526" s="22">
        <f>Table10[[#This Row],[Ship Date]]-Table10[[#This Row],[Order Date]]</f>
        <v>5</v>
      </c>
      <c r="N526" t="s">
        <v>45</v>
      </c>
      <c r="O526" t="s">
        <v>23</v>
      </c>
      <c r="P526" t="s">
        <v>189</v>
      </c>
      <c r="Q526" t="s">
        <v>95</v>
      </c>
      <c r="R526" t="s">
        <v>271</v>
      </c>
      <c r="S526" s="33">
        <v>0.2</v>
      </c>
      <c r="T526" s="13">
        <v>27.384</v>
      </c>
      <c r="U526" s="13">
        <v>2.7383999999999999</v>
      </c>
      <c r="V526" s="21">
        <f>Table10[[#This Row],[Profit]]/Table10[[#This Row],[Sales]]</f>
        <v>9.9999999999999992E-2</v>
      </c>
    </row>
    <row r="527" spans="1:22" x14ac:dyDescent="0.2">
      <c r="A527">
        <v>526</v>
      </c>
      <c r="B527" t="s">
        <v>6760</v>
      </c>
      <c r="C527" s="1">
        <v>42493</v>
      </c>
      <c r="D527" s="22">
        <f>MONTH(Table10[[#This Row],[Order Date]])</f>
        <v>5</v>
      </c>
      <c r="E527" t="s">
        <v>4815</v>
      </c>
      <c r="F527" t="s">
        <v>4816</v>
      </c>
      <c r="G527" s="23" t="s">
        <v>41</v>
      </c>
      <c r="H527" s="23" t="s">
        <v>71</v>
      </c>
      <c r="I527" t="s">
        <v>4300</v>
      </c>
      <c r="J527" t="s">
        <v>22</v>
      </c>
      <c r="K527" s="22">
        <v>3</v>
      </c>
      <c r="L527" s="1">
        <v>42498</v>
      </c>
      <c r="M527" s="22">
        <f>Table10[[#This Row],[Ship Date]]-Table10[[#This Row],[Order Date]]</f>
        <v>5</v>
      </c>
      <c r="N527" t="s">
        <v>45</v>
      </c>
      <c r="O527" t="s">
        <v>23</v>
      </c>
      <c r="P527" t="s">
        <v>189</v>
      </c>
      <c r="Q527" t="s">
        <v>95</v>
      </c>
      <c r="R527" t="s">
        <v>271</v>
      </c>
      <c r="S527" s="33">
        <v>0.8</v>
      </c>
      <c r="T527" s="13">
        <v>26.405999999999999</v>
      </c>
      <c r="U527" s="13">
        <v>-71.296199999999999</v>
      </c>
      <c r="V527" s="21">
        <f>Table10[[#This Row],[Profit]]/Table10[[#This Row],[Sales]]</f>
        <v>-2.7</v>
      </c>
    </row>
    <row r="528" spans="1:22" x14ac:dyDescent="0.2">
      <c r="A528">
        <v>527</v>
      </c>
      <c r="B528" t="s">
        <v>9913</v>
      </c>
      <c r="C528" s="1">
        <v>42493</v>
      </c>
      <c r="D528" s="22">
        <f>MONTH(Table10[[#This Row],[Order Date]])</f>
        <v>5</v>
      </c>
      <c r="E528" t="s">
        <v>800</v>
      </c>
      <c r="F528" t="s">
        <v>1581</v>
      </c>
      <c r="G528" s="23" t="s">
        <v>64</v>
      </c>
      <c r="H528" s="23" t="s">
        <v>144</v>
      </c>
      <c r="I528" t="s">
        <v>9914</v>
      </c>
      <c r="J528" t="s">
        <v>22</v>
      </c>
      <c r="K528" s="22">
        <v>5</v>
      </c>
      <c r="L528" s="1">
        <v>42495</v>
      </c>
      <c r="M528" s="22">
        <f>Table10[[#This Row],[Ship Date]]-Table10[[#This Row],[Order Date]]</f>
        <v>2</v>
      </c>
      <c r="N528" t="s">
        <v>169</v>
      </c>
      <c r="O528" t="s">
        <v>23</v>
      </c>
      <c r="P528" t="s">
        <v>441</v>
      </c>
      <c r="Q528" t="s">
        <v>133</v>
      </c>
      <c r="R528" t="s">
        <v>536</v>
      </c>
      <c r="S528" s="33">
        <v>0.2</v>
      </c>
      <c r="T528" s="13">
        <v>132.52000000000001</v>
      </c>
      <c r="U528" s="13">
        <v>34.786499999999997</v>
      </c>
      <c r="V528" s="21">
        <f>Table10[[#This Row],[Profit]]/Table10[[#This Row],[Sales]]</f>
        <v>0.26249999999999996</v>
      </c>
    </row>
    <row r="529" spans="1:22" x14ac:dyDescent="0.2">
      <c r="A529">
        <v>528</v>
      </c>
      <c r="B529" t="s">
        <v>9913</v>
      </c>
      <c r="C529" s="1">
        <v>42493</v>
      </c>
      <c r="D529" s="22">
        <f>MONTH(Table10[[#This Row],[Order Date]])</f>
        <v>5</v>
      </c>
      <c r="E529" t="s">
        <v>4124</v>
      </c>
      <c r="F529" t="s">
        <v>4125</v>
      </c>
      <c r="G529" s="23" t="s">
        <v>41</v>
      </c>
      <c r="H529" s="23" t="s">
        <v>53</v>
      </c>
      <c r="I529" t="s">
        <v>9914</v>
      </c>
      <c r="J529" t="s">
        <v>22</v>
      </c>
      <c r="K529" s="22">
        <v>5</v>
      </c>
      <c r="L529" s="1">
        <v>42495</v>
      </c>
      <c r="M529" s="22">
        <f>Table10[[#This Row],[Ship Date]]-Table10[[#This Row],[Order Date]]</f>
        <v>2</v>
      </c>
      <c r="N529" t="s">
        <v>169</v>
      </c>
      <c r="O529" t="s">
        <v>23</v>
      </c>
      <c r="P529" t="s">
        <v>441</v>
      </c>
      <c r="Q529" t="s">
        <v>133</v>
      </c>
      <c r="R529" t="s">
        <v>536</v>
      </c>
      <c r="S529" s="33">
        <v>0.2</v>
      </c>
      <c r="T529" s="13">
        <v>195.64</v>
      </c>
      <c r="U529" s="13">
        <v>-44.018999999999998</v>
      </c>
      <c r="V529" s="21">
        <f>Table10[[#This Row],[Profit]]/Table10[[#This Row],[Sales]]</f>
        <v>-0.22500000000000001</v>
      </c>
    </row>
    <row r="530" spans="1:22" x14ac:dyDescent="0.2">
      <c r="A530">
        <v>529</v>
      </c>
      <c r="B530" t="s">
        <v>9913</v>
      </c>
      <c r="C530" s="1">
        <v>42493</v>
      </c>
      <c r="D530" s="22">
        <f>MONTH(Table10[[#This Row],[Order Date]])</f>
        <v>5</v>
      </c>
      <c r="E530" t="s">
        <v>5213</v>
      </c>
      <c r="F530" t="s">
        <v>5214</v>
      </c>
      <c r="G530" s="23" t="s">
        <v>28</v>
      </c>
      <c r="H530" s="23" t="s">
        <v>58</v>
      </c>
      <c r="I530" t="s">
        <v>9914</v>
      </c>
      <c r="J530" t="s">
        <v>22</v>
      </c>
      <c r="K530" s="22">
        <v>2</v>
      </c>
      <c r="L530" s="1">
        <v>42495</v>
      </c>
      <c r="M530" s="22">
        <f>Table10[[#This Row],[Ship Date]]-Table10[[#This Row],[Order Date]]</f>
        <v>2</v>
      </c>
      <c r="N530" t="s">
        <v>169</v>
      </c>
      <c r="O530" t="s">
        <v>23</v>
      </c>
      <c r="P530" t="s">
        <v>441</v>
      </c>
      <c r="Q530" t="s">
        <v>133</v>
      </c>
      <c r="R530" t="s">
        <v>536</v>
      </c>
      <c r="S530" s="33">
        <v>0.2</v>
      </c>
      <c r="T530" s="13">
        <v>51.968000000000004</v>
      </c>
      <c r="U530" s="13">
        <v>10.393599999999999</v>
      </c>
      <c r="V530" s="21">
        <f>Table10[[#This Row],[Profit]]/Table10[[#This Row],[Sales]]</f>
        <v>0.19999999999999998</v>
      </c>
    </row>
    <row r="531" spans="1:22" x14ac:dyDescent="0.2">
      <c r="A531">
        <v>530</v>
      </c>
      <c r="B531" t="s">
        <v>9913</v>
      </c>
      <c r="C531" s="1">
        <v>42493</v>
      </c>
      <c r="D531" s="22">
        <f>MONTH(Table10[[#This Row],[Order Date]])</f>
        <v>5</v>
      </c>
      <c r="E531" t="s">
        <v>4832</v>
      </c>
      <c r="F531" t="s">
        <v>4833</v>
      </c>
      <c r="G531" s="23" t="s">
        <v>64</v>
      </c>
      <c r="H531" s="23" t="s">
        <v>144</v>
      </c>
      <c r="I531" t="s">
        <v>9914</v>
      </c>
      <c r="J531" t="s">
        <v>22</v>
      </c>
      <c r="K531" s="22">
        <v>3</v>
      </c>
      <c r="L531" s="1">
        <v>42495</v>
      </c>
      <c r="M531" s="22">
        <f>Table10[[#This Row],[Ship Date]]-Table10[[#This Row],[Order Date]]</f>
        <v>2</v>
      </c>
      <c r="N531" t="s">
        <v>169</v>
      </c>
      <c r="O531" t="s">
        <v>23</v>
      </c>
      <c r="P531" t="s">
        <v>441</v>
      </c>
      <c r="Q531" t="s">
        <v>133</v>
      </c>
      <c r="R531" t="s">
        <v>536</v>
      </c>
      <c r="S531" s="33">
        <v>0.2</v>
      </c>
      <c r="T531" s="13">
        <v>431.976</v>
      </c>
      <c r="U531" s="13">
        <v>-75.595799999999997</v>
      </c>
      <c r="V531" s="21">
        <f>Table10[[#This Row],[Profit]]/Table10[[#This Row],[Sales]]</f>
        <v>-0.17499999999999999</v>
      </c>
    </row>
    <row r="532" spans="1:22" x14ac:dyDescent="0.2">
      <c r="A532">
        <v>531</v>
      </c>
      <c r="B532" t="s">
        <v>9913</v>
      </c>
      <c r="C532" s="1">
        <v>42493</v>
      </c>
      <c r="D532" s="22">
        <f>MONTH(Table10[[#This Row],[Order Date]])</f>
        <v>5</v>
      </c>
      <c r="E532" t="s">
        <v>9915</v>
      </c>
      <c r="F532" t="s">
        <v>9916</v>
      </c>
      <c r="G532" s="23" t="s">
        <v>64</v>
      </c>
      <c r="H532" s="23" t="s">
        <v>602</v>
      </c>
      <c r="I532" t="s">
        <v>9914</v>
      </c>
      <c r="J532" t="s">
        <v>22</v>
      </c>
      <c r="K532" s="22">
        <v>3</v>
      </c>
      <c r="L532" s="1">
        <v>42495</v>
      </c>
      <c r="M532" s="22">
        <f>Table10[[#This Row],[Ship Date]]-Table10[[#This Row],[Order Date]]</f>
        <v>2</v>
      </c>
      <c r="N532" t="s">
        <v>169</v>
      </c>
      <c r="O532" t="s">
        <v>23</v>
      </c>
      <c r="P532" t="s">
        <v>441</v>
      </c>
      <c r="Q532" t="s">
        <v>133</v>
      </c>
      <c r="R532" t="s">
        <v>536</v>
      </c>
      <c r="S532" s="33">
        <v>0.7</v>
      </c>
      <c r="T532" s="13">
        <v>224.93700000000001</v>
      </c>
      <c r="U532" s="13">
        <v>-164.9538</v>
      </c>
      <c r="V532" s="21">
        <f>Table10[[#This Row],[Profit]]/Table10[[#This Row],[Sales]]</f>
        <v>-0.73333333333333328</v>
      </c>
    </row>
    <row r="533" spans="1:22" x14ac:dyDescent="0.2">
      <c r="A533">
        <v>532</v>
      </c>
      <c r="B533" t="s">
        <v>9913</v>
      </c>
      <c r="C533" s="1">
        <v>42493</v>
      </c>
      <c r="D533" s="22">
        <f>MONTH(Table10[[#This Row],[Order Date]])</f>
        <v>5</v>
      </c>
      <c r="E533" t="s">
        <v>4906</v>
      </c>
      <c r="F533" t="s">
        <v>4907</v>
      </c>
      <c r="G533" s="23" t="s">
        <v>41</v>
      </c>
      <c r="H533" s="23" t="s">
        <v>42</v>
      </c>
      <c r="I533" t="s">
        <v>9914</v>
      </c>
      <c r="J533" t="s">
        <v>22</v>
      </c>
      <c r="K533" s="22">
        <v>2</v>
      </c>
      <c r="L533" s="1">
        <v>42495</v>
      </c>
      <c r="M533" s="22">
        <f>Table10[[#This Row],[Ship Date]]-Table10[[#This Row],[Order Date]]</f>
        <v>2</v>
      </c>
      <c r="N533" t="s">
        <v>169</v>
      </c>
      <c r="O533" t="s">
        <v>23</v>
      </c>
      <c r="P533" t="s">
        <v>441</v>
      </c>
      <c r="Q533" t="s">
        <v>133</v>
      </c>
      <c r="R533" t="s">
        <v>536</v>
      </c>
      <c r="S533" s="33">
        <v>0.2</v>
      </c>
      <c r="T533" s="13">
        <v>6</v>
      </c>
      <c r="U533" s="13">
        <v>2.1</v>
      </c>
      <c r="V533" s="21">
        <f>Table10[[#This Row],[Profit]]/Table10[[#This Row],[Sales]]</f>
        <v>0.35000000000000003</v>
      </c>
    </row>
    <row r="534" spans="1:22" x14ac:dyDescent="0.2">
      <c r="A534">
        <v>533</v>
      </c>
      <c r="B534" t="s">
        <v>3292</v>
      </c>
      <c r="C534" s="1">
        <v>42495</v>
      </c>
      <c r="D534" s="22">
        <f>MONTH(Table10[[#This Row],[Order Date]])</f>
        <v>5</v>
      </c>
      <c r="E534" t="s">
        <v>3294</v>
      </c>
      <c r="F534" t="s">
        <v>3295</v>
      </c>
      <c r="G534" s="23" t="s">
        <v>41</v>
      </c>
      <c r="H534" s="23" t="s">
        <v>82</v>
      </c>
      <c r="I534" t="s">
        <v>3293</v>
      </c>
      <c r="J534" t="s">
        <v>22</v>
      </c>
      <c r="K534" s="22">
        <v>3</v>
      </c>
      <c r="L534" s="1">
        <v>42497</v>
      </c>
      <c r="M534" s="22">
        <f>Table10[[#This Row],[Ship Date]]-Table10[[#This Row],[Order Date]]</f>
        <v>2</v>
      </c>
      <c r="N534" t="s">
        <v>169</v>
      </c>
      <c r="O534" t="s">
        <v>23</v>
      </c>
      <c r="P534" t="s">
        <v>25</v>
      </c>
      <c r="Q534" t="s">
        <v>26</v>
      </c>
      <c r="R534" t="s">
        <v>1303</v>
      </c>
      <c r="S534" s="33">
        <v>0</v>
      </c>
      <c r="T534" s="13">
        <v>79.14</v>
      </c>
      <c r="U534" s="13">
        <v>36.404400000000003</v>
      </c>
      <c r="V534" s="21">
        <f>Table10[[#This Row],[Profit]]/Table10[[#This Row],[Sales]]</f>
        <v>0.46</v>
      </c>
    </row>
    <row r="535" spans="1:22" x14ac:dyDescent="0.2">
      <c r="A535">
        <v>534</v>
      </c>
      <c r="B535" t="s">
        <v>4691</v>
      </c>
      <c r="C535" s="1">
        <v>42495</v>
      </c>
      <c r="D535" s="22">
        <f>MONTH(Table10[[#This Row],[Order Date]])</f>
        <v>5</v>
      </c>
      <c r="E535" t="s">
        <v>4693</v>
      </c>
      <c r="F535" t="s">
        <v>4694</v>
      </c>
      <c r="G535" s="23" t="s">
        <v>41</v>
      </c>
      <c r="H535" s="23" t="s">
        <v>82</v>
      </c>
      <c r="I535" t="s">
        <v>4692</v>
      </c>
      <c r="J535" t="s">
        <v>36</v>
      </c>
      <c r="K535" s="22">
        <v>3</v>
      </c>
      <c r="L535" s="1">
        <v>42498</v>
      </c>
      <c r="M535" s="22">
        <f>Table10[[#This Row],[Ship Date]]-Table10[[#This Row],[Order Date]]</f>
        <v>3</v>
      </c>
      <c r="N535" t="s">
        <v>169</v>
      </c>
      <c r="O535" t="s">
        <v>23</v>
      </c>
      <c r="P535" t="s">
        <v>299</v>
      </c>
      <c r="Q535" t="s">
        <v>26</v>
      </c>
      <c r="R535" t="s">
        <v>1047</v>
      </c>
      <c r="S535" s="33">
        <v>0.2</v>
      </c>
      <c r="T535" s="13">
        <v>14.352</v>
      </c>
      <c r="U535" s="13">
        <v>5.2026000000000003</v>
      </c>
      <c r="V535" s="21">
        <f>Table10[[#This Row],[Profit]]/Table10[[#This Row],[Sales]]</f>
        <v>0.36249999999999999</v>
      </c>
    </row>
    <row r="536" spans="1:22" x14ac:dyDescent="0.2">
      <c r="A536">
        <v>535</v>
      </c>
      <c r="B536" t="s">
        <v>5067</v>
      </c>
      <c r="C536" s="1">
        <v>42495</v>
      </c>
      <c r="D536" s="22">
        <f>MONTH(Table10[[#This Row],[Order Date]])</f>
        <v>5</v>
      </c>
      <c r="E536" t="s">
        <v>4253</v>
      </c>
      <c r="F536" t="s">
        <v>4254</v>
      </c>
      <c r="G536" s="23" t="s">
        <v>41</v>
      </c>
      <c r="H536" s="23" t="s">
        <v>53</v>
      </c>
      <c r="I536" t="s">
        <v>4633</v>
      </c>
      <c r="J536" t="s">
        <v>92</v>
      </c>
      <c r="K536" s="22">
        <v>1</v>
      </c>
      <c r="L536" s="1">
        <v>42499</v>
      </c>
      <c r="M536" s="22">
        <f>Table10[[#This Row],[Ship Date]]-Table10[[#This Row],[Order Date]]</f>
        <v>4</v>
      </c>
      <c r="N536" t="s">
        <v>45</v>
      </c>
      <c r="O536" t="s">
        <v>23</v>
      </c>
      <c r="P536" t="s">
        <v>38</v>
      </c>
      <c r="Q536" t="s">
        <v>39</v>
      </c>
      <c r="R536" t="s">
        <v>37</v>
      </c>
      <c r="S536" s="33">
        <v>0</v>
      </c>
      <c r="T536" s="13">
        <v>5.98</v>
      </c>
      <c r="U536" s="13">
        <v>1.0165999999999999</v>
      </c>
      <c r="V536" s="21">
        <f>Table10[[#This Row],[Profit]]/Table10[[#This Row],[Sales]]</f>
        <v>0.16999999999999998</v>
      </c>
    </row>
    <row r="537" spans="1:22" x14ac:dyDescent="0.2">
      <c r="A537">
        <v>536</v>
      </c>
      <c r="B537" t="s">
        <v>5067</v>
      </c>
      <c r="C537" s="1">
        <v>42495</v>
      </c>
      <c r="D537" s="22">
        <f>MONTH(Table10[[#This Row],[Order Date]])</f>
        <v>5</v>
      </c>
      <c r="E537" t="s">
        <v>869</v>
      </c>
      <c r="F537" t="s">
        <v>870</v>
      </c>
      <c r="G537" s="23" t="s">
        <v>64</v>
      </c>
      <c r="H537" s="23" t="s">
        <v>65</v>
      </c>
      <c r="I537" t="s">
        <v>4633</v>
      </c>
      <c r="J537" t="s">
        <v>92</v>
      </c>
      <c r="K537" s="22">
        <v>3</v>
      </c>
      <c r="L537" s="1">
        <v>42499</v>
      </c>
      <c r="M537" s="22">
        <f>Table10[[#This Row],[Ship Date]]-Table10[[#This Row],[Order Date]]</f>
        <v>4</v>
      </c>
      <c r="N537" t="s">
        <v>45</v>
      </c>
      <c r="O537" t="s">
        <v>23</v>
      </c>
      <c r="P537" t="s">
        <v>38</v>
      </c>
      <c r="Q537" t="s">
        <v>39</v>
      </c>
      <c r="R537" t="s">
        <v>37</v>
      </c>
      <c r="S537" s="33">
        <v>0.2</v>
      </c>
      <c r="T537" s="13">
        <v>246.16800000000001</v>
      </c>
      <c r="U537" s="13">
        <v>21.5397</v>
      </c>
      <c r="V537" s="21">
        <f>Table10[[#This Row],[Profit]]/Table10[[#This Row],[Sales]]</f>
        <v>8.7499999999999994E-2</v>
      </c>
    </row>
    <row r="538" spans="1:22" x14ac:dyDescent="0.2">
      <c r="A538">
        <v>537</v>
      </c>
      <c r="B538" t="s">
        <v>5339</v>
      </c>
      <c r="C538" s="1">
        <v>42495</v>
      </c>
      <c r="D538" s="22">
        <f>MONTH(Table10[[#This Row],[Order Date]])</f>
        <v>5</v>
      </c>
      <c r="E538" t="s">
        <v>4874</v>
      </c>
      <c r="F538" t="s">
        <v>4875</v>
      </c>
      <c r="G538" s="23" t="s">
        <v>41</v>
      </c>
      <c r="H538" s="23" t="s">
        <v>68</v>
      </c>
      <c r="I538" t="s">
        <v>5340</v>
      </c>
      <c r="J538" t="s">
        <v>22</v>
      </c>
      <c r="K538" s="22">
        <v>5</v>
      </c>
      <c r="L538" s="1">
        <v>42498</v>
      </c>
      <c r="M538" s="22">
        <f>Table10[[#This Row],[Ship Date]]-Table10[[#This Row],[Order Date]]</f>
        <v>3</v>
      </c>
      <c r="N538" t="s">
        <v>169</v>
      </c>
      <c r="O538" t="s">
        <v>23</v>
      </c>
      <c r="P538" t="s">
        <v>38</v>
      </c>
      <c r="Q538" t="s">
        <v>39</v>
      </c>
      <c r="R538" t="s">
        <v>2864</v>
      </c>
      <c r="S538" s="33">
        <v>0.2</v>
      </c>
      <c r="T538" s="13">
        <v>6.72</v>
      </c>
      <c r="U538" s="13">
        <v>2.3519999999999999</v>
      </c>
      <c r="V538" s="21">
        <f>Table10[[#This Row],[Profit]]/Table10[[#This Row],[Sales]]</f>
        <v>0.35</v>
      </c>
    </row>
    <row r="539" spans="1:22" x14ac:dyDescent="0.2">
      <c r="A539">
        <v>538</v>
      </c>
      <c r="B539" t="s">
        <v>5339</v>
      </c>
      <c r="C539" s="1">
        <v>42495</v>
      </c>
      <c r="D539" s="22">
        <f>MONTH(Table10[[#This Row],[Order Date]])</f>
        <v>5</v>
      </c>
      <c r="E539" t="s">
        <v>778</v>
      </c>
      <c r="F539" t="s">
        <v>779</v>
      </c>
      <c r="G539" s="23" t="s">
        <v>28</v>
      </c>
      <c r="H539" s="23" t="s">
        <v>50</v>
      </c>
      <c r="I539" t="s">
        <v>5340</v>
      </c>
      <c r="J539" t="s">
        <v>22</v>
      </c>
      <c r="K539" s="22">
        <v>3</v>
      </c>
      <c r="L539" s="1">
        <v>42498</v>
      </c>
      <c r="M539" s="22">
        <f>Table10[[#This Row],[Ship Date]]-Table10[[#This Row],[Order Date]]</f>
        <v>3</v>
      </c>
      <c r="N539" t="s">
        <v>169</v>
      </c>
      <c r="O539" t="s">
        <v>23</v>
      </c>
      <c r="P539" t="s">
        <v>38</v>
      </c>
      <c r="Q539" t="s">
        <v>39</v>
      </c>
      <c r="R539" t="s">
        <v>2864</v>
      </c>
      <c r="S539" s="33">
        <v>0.2</v>
      </c>
      <c r="T539" s="13">
        <v>298.77600000000001</v>
      </c>
      <c r="U539" s="13">
        <v>7.4694000000000003</v>
      </c>
      <c r="V539" s="21">
        <f>Table10[[#This Row],[Profit]]/Table10[[#This Row],[Sales]]</f>
        <v>2.5000000000000001E-2</v>
      </c>
    </row>
    <row r="540" spans="1:22" x14ac:dyDescent="0.2">
      <c r="A540">
        <v>539</v>
      </c>
      <c r="B540" t="s">
        <v>5569</v>
      </c>
      <c r="C540" s="1">
        <v>42495</v>
      </c>
      <c r="D540" s="22">
        <f>MONTH(Table10[[#This Row],[Order Date]])</f>
        <v>5</v>
      </c>
      <c r="E540" t="s">
        <v>3490</v>
      </c>
      <c r="F540" t="s">
        <v>3491</v>
      </c>
      <c r="G540" s="23" t="s">
        <v>28</v>
      </c>
      <c r="H540" s="23" t="s">
        <v>58</v>
      </c>
      <c r="I540" t="s">
        <v>113</v>
      </c>
      <c r="J540" t="s">
        <v>22</v>
      </c>
      <c r="K540" s="22">
        <v>5</v>
      </c>
      <c r="L540" s="1">
        <v>42499</v>
      </c>
      <c r="M540" s="22">
        <f>Table10[[#This Row],[Ship Date]]-Table10[[#This Row],[Order Date]]</f>
        <v>4</v>
      </c>
      <c r="N540" t="s">
        <v>45</v>
      </c>
      <c r="O540" t="s">
        <v>23</v>
      </c>
      <c r="P540" t="s">
        <v>299</v>
      </c>
      <c r="Q540" t="s">
        <v>26</v>
      </c>
      <c r="R540" t="s">
        <v>5570</v>
      </c>
      <c r="S540" s="33">
        <v>0.2</v>
      </c>
      <c r="T540" s="13">
        <v>16.72</v>
      </c>
      <c r="U540" s="13">
        <v>3.3439999999999999</v>
      </c>
      <c r="V540" s="21">
        <f>Table10[[#This Row],[Profit]]/Table10[[#This Row],[Sales]]</f>
        <v>0.2</v>
      </c>
    </row>
    <row r="541" spans="1:22" x14ac:dyDescent="0.2">
      <c r="A541">
        <v>540</v>
      </c>
      <c r="B541" t="s">
        <v>7664</v>
      </c>
      <c r="C541" s="1">
        <v>42495</v>
      </c>
      <c r="D541" s="22">
        <f>MONTH(Table10[[#This Row],[Order Date]])</f>
        <v>5</v>
      </c>
      <c r="E541" t="s">
        <v>3358</v>
      </c>
      <c r="F541" t="s">
        <v>3359</v>
      </c>
      <c r="G541" s="23" t="s">
        <v>28</v>
      </c>
      <c r="H541" s="23" t="s">
        <v>50</v>
      </c>
      <c r="I541" t="s">
        <v>6531</v>
      </c>
      <c r="J541" t="s">
        <v>22</v>
      </c>
      <c r="K541" s="22">
        <v>2</v>
      </c>
      <c r="L541" s="1">
        <v>42497</v>
      </c>
      <c r="M541" s="22">
        <f>Table10[[#This Row],[Ship Date]]-Table10[[#This Row],[Order Date]]</f>
        <v>2</v>
      </c>
      <c r="N541" t="s">
        <v>20</v>
      </c>
      <c r="O541" t="s">
        <v>23</v>
      </c>
      <c r="P541" t="s">
        <v>38</v>
      </c>
      <c r="Q541" t="s">
        <v>39</v>
      </c>
      <c r="R541" t="s">
        <v>114</v>
      </c>
      <c r="S541" s="33">
        <v>0.2</v>
      </c>
      <c r="T541" s="13">
        <v>71.087999999999994</v>
      </c>
      <c r="U541" s="13">
        <v>-1.7771999999999999</v>
      </c>
      <c r="V541" s="21">
        <f>Table10[[#This Row],[Profit]]/Table10[[#This Row],[Sales]]</f>
        <v>-2.5000000000000001E-2</v>
      </c>
    </row>
    <row r="542" spans="1:22" x14ac:dyDescent="0.2">
      <c r="A542">
        <v>541</v>
      </c>
      <c r="B542" t="s">
        <v>8516</v>
      </c>
      <c r="C542" s="1">
        <v>42495</v>
      </c>
      <c r="D542" s="22">
        <f>MONTH(Table10[[#This Row],[Order Date]])</f>
        <v>5</v>
      </c>
      <c r="E542" t="s">
        <v>6758</v>
      </c>
      <c r="F542" t="s">
        <v>6759</v>
      </c>
      <c r="G542" s="23" t="s">
        <v>28</v>
      </c>
      <c r="H542" s="23" t="s">
        <v>50</v>
      </c>
      <c r="I542" t="s">
        <v>2560</v>
      </c>
      <c r="J542" t="s">
        <v>36</v>
      </c>
      <c r="K542" s="22">
        <v>6</v>
      </c>
      <c r="L542" s="1">
        <v>42496</v>
      </c>
      <c r="M542" s="22">
        <f>Table10[[#This Row],[Ship Date]]-Table10[[#This Row],[Order Date]]</f>
        <v>1</v>
      </c>
      <c r="N542" t="s">
        <v>169</v>
      </c>
      <c r="O542" t="s">
        <v>23</v>
      </c>
      <c r="P542" t="s">
        <v>1229</v>
      </c>
      <c r="Q542" t="s">
        <v>39</v>
      </c>
      <c r="R542" t="s">
        <v>24</v>
      </c>
      <c r="S542" s="33">
        <v>0</v>
      </c>
      <c r="T542" s="13">
        <v>1685.88</v>
      </c>
      <c r="U542" s="13">
        <v>320.31720000000001</v>
      </c>
      <c r="V542" s="21">
        <f>Table10[[#This Row],[Profit]]/Table10[[#This Row],[Sales]]</f>
        <v>0.19</v>
      </c>
    </row>
    <row r="543" spans="1:22" x14ac:dyDescent="0.2">
      <c r="A543">
        <v>542</v>
      </c>
      <c r="B543" t="s">
        <v>8516</v>
      </c>
      <c r="C543" s="1">
        <v>42495</v>
      </c>
      <c r="D543" s="22">
        <f>MONTH(Table10[[#This Row],[Order Date]])</f>
        <v>5</v>
      </c>
      <c r="E543" t="s">
        <v>661</v>
      </c>
      <c r="F543" t="s">
        <v>662</v>
      </c>
      <c r="G543" s="23" t="s">
        <v>41</v>
      </c>
      <c r="H543" s="23" t="s">
        <v>68</v>
      </c>
      <c r="I543" t="s">
        <v>2560</v>
      </c>
      <c r="J543" t="s">
        <v>36</v>
      </c>
      <c r="K543" s="22">
        <v>2</v>
      </c>
      <c r="L543" s="1">
        <v>42496</v>
      </c>
      <c r="M543" s="22">
        <f>Table10[[#This Row],[Ship Date]]-Table10[[#This Row],[Order Date]]</f>
        <v>1</v>
      </c>
      <c r="N543" t="s">
        <v>169</v>
      </c>
      <c r="O543" t="s">
        <v>23</v>
      </c>
      <c r="P543" t="s">
        <v>1229</v>
      </c>
      <c r="Q543" t="s">
        <v>39</v>
      </c>
      <c r="R543" t="s">
        <v>24</v>
      </c>
      <c r="S543" s="33">
        <v>0.2</v>
      </c>
      <c r="T543" s="13">
        <v>5.7279999999999998</v>
      </c>
      <c r="U543" s="13">
        <v>2.0047999999999999</v>
      </c>
      <c r="V543" s="21">
        <f>Table10[[#This Row],[Profit]]/Table10[[#This Row],[Sales]]</f>
        <v>0.35</v>
      </c>
    </row>
    <row r="544" spans="1:22" x14ac:dyDescent="0.2">
      <c r="A544">
        <v>543</v>
      </c>
      <c r="B544" t="s">
        <v>9435</v>
      </c>
      <c r="C544" s="1">
        <v>42495</v>
      </c>
      <c r="D544" s="22">
        <f>MONTH(Table10[[#This Row],[Order Date]])</f>
        <v>5</v>
      </c>
      <c r="E544" t="s">
        <v>9436</v>
      </c>
      <c r="F544" t="s">
        <v>9437</v>
      </c>
      <c r="G544" s="23" t="s">
        <v>41</v>
      </c>
      <c r="H544" s="23" t="s">
        <v>82</v>
      </c>
      <c r="I544" t="s">
        <v>391</v>
      </c>
      <c r="J544" t="s">
        <v>92</v>
      </c>
      <c r="K544" s="22">
        <v>4</v>
      </c>
      <c r="L544" s="1">
        <v>42499</v>
      </c>
      <c r="M544" s="22">
        <f>Table10[[#This Row],[Ship Date]]-Table10[[#This Row],[Order Date]]</f>
        <v>4</v>
      </c>
      <c r="N544" t="s">
        <v>45</v>
      </c>
      <c r="O544" t="s">
        <v>23</v>
      </c>
      <c r="P544" t="s">
        <v>48</v>
      </c>
      <c r="Q544" t="s">
        <v>26</v>
      </c>
      <c r="R544" t="s">
        <v>5021</v>
      </c>
      <c r="S544" s="33">
        <v>0.2</v>
      </c>
      <c r="T544" s="13">
        <v>93.248000000000005</v>
      </c>
      <c r="U544" s="13">
        <v>31.4712</v>
      </c>
      <c r="V544" s="21">
        <f>Table10[[#This Row],[Profit]]/Table10[[#This Row],[Sales]]</f>
        <v>0.33749999999999997</v>
      </c>
    </row>
    <row r="545" spans="1:22" x14ac:dyDescent="0.2">
      <c r="A545">
        <v>544</v>
      </c>
      <c r="B545" t="s">
        <v>9435</v>
      </c>
      <c r="C545" s="1">
        <v>42495</v>
      </c>
      <c r="D545" s="22">
        <f>MONTH(Table10[[#This Row],[Order Date]])</f>
        <v>5</v>
      </c>
      <c r="E545" t="s">
        <v>4232</v>
      </c>
      <c r="F545" t="s">
        <v>4233</v>
      </c>
      <c r="G545" s="23" t="s">
        <v>64</v>
      </c>
      <c r="H545" s="23" t="s">
        <v>65</v>
      </c>
      <c r="I545" t="s">
        <v>391</v>
      </c>
      <c r="J545" t="s">
        <v>92</v>
      </c>
      <c r="K545" s="22">
        <v>3</v>
      </c>
      <c r="L545" s="1">
        <v>42499</v>
      </c>
      <c r="M545" s="22">
        <f>Table10[[#This Row],[Ship Date]]-Table10[[#This Row],[Order Date]]</f>
        <v>4</v>
      </c>
      <c r="N545" t="s">
        <v>45</v>
      </c>
      <c r="O545" t="s">
        <v>23</v>
      </c>
      <c r="P545" t="s">
        <v>48</v>
      </c>
      <c r="Q545" t="s">
        <v>26</v>
      </c>
      <c r="R545" t="s">
        <v>5021</v>
      </c>
      <c r="S545" s="33">
        <v>0.2</v>
      </c>
      <c r="T545" s="13">
        <v>177.48</v>
      </c>
      <c r="U545" s="13">
        <v>19.9665</v>
      </c>
      <c r="V545" s="21">
        <f>Table10[[#This Row],[Profit]]/Table10[[#This Row],[Sales]]</f>
        <v>0.1125</v>
      </c>
    </row>
    <row r="546" spans="1:22" x14ac:dyDescent="0.2">
      <c r="A546">
        <v>545</v>
      </c>
      <c r="B546" t="s">
        <v>4809</v>
      </c>
      <c r="C546" s="1">
        <v>42496</v>
      </c>
      <c r="D546" s="22">
        <f>MONTH(Table10[[#This Row],[Order Date]])</f>
        <v>5</v>
      </c>
      <c r="E546" t="s">
        <v>1663</v>
      </c>
      <c r="F546" t="s">
        <v>1664</v>
      </c>
      <c r="G546" s="23" t="s">
        <v>41</v>
      </c>
      <c r="H546" s="23" t="s">
        <v>240</v>
      </c>
      <c r="I546" t="s">
        <v>3999</v>
      </c>
      <c r="J546" t="s">
        <v>92</v>
      </c>
      <c r="K546" s="22">
        <v>2</v>
      </c>
      <c r="L546" s="1">
        <v>42500</v>
      </c>
      <c r="M546" s="22">
        <f>Table10[[#This Row],[Ship Date]]-Table10[[#This Row],[Order Date]]</f>
        <v>4</v>
      </c>
      <c r="N546" t="s">
        <v>45</v>
      </c>
      <c r="O546" t="s">
        <v>23</v>
      </c>
      <c r="P546" t="s">
        <v>441</v>
      </c>
      <c r="Q546" t="s">
        <v>133</v>
      </c>
      <c r="R546" t="s">
        <v>2315</v>
      </c>
      <c r="S546" s="33">
        <v>0.2</v>
      </c>
      <c r="T546" s="13">
        <v>7.2160000000000002</v>
      </c>
      <c r="U546" s="13">
        <v>1.7138</v>
      </c>
      <c r="V546" s="21">
        <f>Table10[[#This Row],[Profit]]/Table10[[#This Row],[Sales]]</f>
        <v>0.23749999999999999</v>
      </c>
    </row>
    <row r="547" spans="1:22" x14ac:dyDescent="0.2">
      <c r="A547">
        <v>546</v>
      </c>
      <c r="B547" t="s">
        <v>4809</v>
      </c>
      <c r="C547" s="1">
        <v>42496</v>
      </c>
      <c r="D547" s="22">
        <f>MONTH(Table10[[#This Row],[Order Date]])</f>
        <v>5</v>
      </c>
      <c r="E547" t="s">
        <v>4810</v>
      </c>
      <c r="F547" t="s">
        <v>4811</v>
      </c>
      <c r="G547" s="23" t="s">
        <v>41</v>
      </c>
      <c r="H547" s="23" t="s">
        <v>82</v>
      </c>
      <c r="I547" t="s">
        <v>3999</v>
      </c>
      <c r="J547" t="s">
        <v>92</v>
      </c>
      <c r="K547" s="22">
        <v>2</v>
      </c>
      <c r="L547" s="1">
        <v>42500</v>
      </c>
      <c r="M547" s="22">
        <f>Table10[[#This Row],[Ship Date]]-Table10[[#This Row],[Order Date]]</f>
        <v>4</v>
      </c>
      <c r="N547" t="s">
        <v>45</v>
      </c>
      <c r="O547" t="s">
        <v>23</v>
      </c>
      <c r="P547" t="s">
        <v>441</v>
      </c>
      <c r="Q547" t="s">
        <v>133</v>
      </c>
      <c r="R547" t="s">
        <v>2315</v>
      </c>
      <c r="S547" s="33">
        <v>0.2</v>
      </c>
      <c r="T547" s="13">
        <v>49.567999999999998</v>
      </c>
      <c r="U547" s="13">
        <v>15.49</v>
      </c>
      <c r="V547" s="21">
        <f>Table10[[#This Row],[Profit]]/Table10[[#This Row],[Sales]]</f>
        <v>0.3125</v>
      </c>
    </row>
    <row r="548" spans="1:22" x14ac:dyDescent="0.2">
      <c r="A548">
        <v>547</v>
      </c>
      <c r="B548" t="s">
        <v>4809</v>
      </c>
      <c r="C548" s="1">
        <v>42496</v>
      </c>
      <c r="D548" s="22">
        <f>MONTH(Table10[[#This Row],[Order Date]])</f>
        <v>5</v>
      </c>
      <c r="E548" t="s">
        <v>152</v>
      </c>
      <c r="F548" t="s">
        <v>4812</v>
      </c>
      <c r="G548" s="23" t="s">
        <v>28</v>
      </c>
      <c r="H548" s="23" t="s">
        <v>58</v>
      </c>
      <c r="I548" t="s">
        <v>3999</v>
      </c>
      <c r="J548" t="s">
        <v>92</v>
      </c>
      <c r="K548" s="22">
        <v>7</v>
      </c>
      <c r="L548" s="1">
        <v>42500</v>
      </c>
      <c r="M548" s="22">
        <f>Table10[[#This Row],[Ship Date]]-Table10[[#This Row],[Order Date]]</f>
        <v>4</v>
      </c>
      <c r="N548" t="s">
        <v>45</v>
      </c>
      <c r="O548" t="s">
        <v>23</v>
      </c>
      <c r="P548" t="s">
        <v>441</v>
      </c>
      <c r="Q548" t="s">
        <v>133</v>
      </c>
      <c r="R548" t="s">
        <v>2315</v>
      </c>
      <c r="S548" s="33">
        <v>0.2</v>
      </c>
      <c r="T548" s="13">
        <v>54.712000000000003</v>
      </c>
      <c r="U548" s="13">
        <v>11.626300000000001</v>
      </c>
      <c r="V548" s="21">
        <f>Table10[[#This Row],[Profit]]/Table10[[#This Row],[Sales]]</f>
        <v>0.21249999999999999</v>
      </c>
    </row>
    <row r="549" spans="1:22" x14ac:dyDescent="0.2">
      <c r="A549">
        <v>548</v>
      </c>
      <c r="B549" t="s">
        <v>5868</v>
      </c>
      <c r="C549" s="1">
        <v>42496</v>
      </c>
      <c r="D549" s="22">
        <f>MONTH(Table10[[#This Row],[Order Date]])</f>
        <v>5</v>
      </c>
      <c r="E549" t="s">
        <v>1346</v>
      </c>
      <c r="F549" t="s">
        <v>1347</v>
      </c>
      <c r="G549" s="23" t="s">
        <v>41</v>
      </c>
      <c r="H549" s="23" t="s">
        <v>68</v>
      </c>
      <c r="I549" t="s">
        <v>4505</v>
      </c>
      <c r="J549" t="s">
        <v>22</v>
      </c>
      <c r="K549" s="22">
        <v>2</v>
      </c>
      <c r="L549" s="1">
        <v>42500</v>
      </c>
      <c r="M549" s="22">
        <f>Table10[[#This Row],[Ship Date]]-Table10[[#This Row],[Order Date]]</f>
        <v>4</v>
      </c>
      <c r="N549" t="s">
        <v>45</v>
      </c>
      <c r="O549" t="s">
        <v>23</v>
      </c>
      <c r="P549" t="s">
        <v>189</v>
      </c>
      <c r="Q549" t="s">
        <v>95</v>
      </c>
      <c r="R549" t="s">
        <v>271</v>
      </c>
      <c r="S549" s="33">
        <v>0.8</v>
      </c>
      <c r="T549" s="13">
        <v>3.2080000000000002</v>
      </c>
      <c r="U549" s="13">
        <v>-5.2931999999999997</v>
      </c>
      <c r="V549" s="21">
        <f>Table10[[#This Row],[Profit]]/Table10[[#This Row],[Sales]]</f>
        <v>-1.65</v>
      </c>
    </row>
    <row r="550" spans="1:22" x14ac:dyDescent="0.2">
      <c r="A550">
        <v>549</v>
      </c>
      <c r="B550" t="s">
        <v>5868</v>
      </c>
      <c r="C550" s="1">
        <v>42496</v>
      </c>
      <c r="D550" s="22">
        <f>MONTH(Table10[[#This Row],[Order Date]])</f>
        <v>5</v>
      </c>
      <c r="E550" t="s">
        <v>3320</v>
      </c>
      <c r="F550" t="s">
        <v>3321</v>
      </c>
      <c r="G550" s="23" t="s">
        <v>64</v>
      </c>
      <c r="H550" s="23" t="s">
        <v>144</v>
      </c>
      <c r="I550" t="s">
        <v>4505</v>
      </c>
      <c r="J550" t="s">
        <v>22</v>
      </c>
      <c r="K550" s="22">
        <v>2</v>
      </c>
      <c r="L550" s="1">
        <v>42500</v>
      </c>
      <c r="M550" s="22">
        <f>Table10[[#This Row],[Ship Date]]-Table10[[#This Row],[Order Date]]</f>
        <v>4</v>
      </c>
      <c r="N550" t="s">
        <v>45</v>
      </c>
      <c r="O550" t="s">
        <v>23</v>
      </c>
      <c r="P550" t="s">
        <v>189</v>
      </c>
      <c r="Q550" t="s">
        <v>95</v>
      </c>
      <c r="R550" t="s">
        <v>271</v>
      </c>
      <c r="S550" s="33">
        <v>0.2</v>
      </c>
      <c r="T550" s="13">
        <v>26.175999999999998</v>
      </c>
      <c r="U550" s="13">
        <v>-3.2719999999999998</v>
      </c>
      <c r="V550" s="21">
        <f>Table10[[#This Row],[Profit]]/Table10[[#This Row],[Sales]]</f>
        <v>-0.125</v>
      </c>
    </row>
    <row r="551" spans="1:22" x14ac:dyDescent="0.2">
      <c r="A551">
        <v>550</v>
      </c>
      <c r="B551" t="s">
        <v>8230</v>
      </c>
      <c r="C551" s="1">
        <v>42496</v>
      </c>
      <c r="D551" s="22">
        <f>MONTH(Table10[[#This Row],[Order Date]])</f>
        <v>5</v>
      </c>
      <c r="E551" t="s">
        <v>4763</v>
      </c>
      <c r="F551" t="s">
        <v>4764</v>
      </c>
      <c r="G551" s="23" t="s">
        <v>41</v>
      </c>
      <c r="H551" s="23" t="s">
        <v>71</v>
      </c>
      <c r="I551" t="s">
        <v>3999</v>
      </c>
      <c r="J551" t="s">
        <v>92</v>
      </c>
      <c r="K551" s="22">
        <v>1</v>
      </c>
      <c r="L551" s="1">
        <v>42498</v>
      </c>
      <c r="M551" s="22">
        <f>Table10[[#This Row],[Ship Date]]-Table10[[#This Row],[Order Date]]</f>
        <v>2</v>
      </c>
      <c r="N551" t="s">
        <v>20</v>
      </c>
      <c r="O551" t="s">
        <v>23</v>
      </c>
      <c r="P551" t="s">
        <v>528</v>
      </c>
      <c r="Q551" t="s">
        <v>95</v>
      </c>
      <c r="R551" t="s">
        <v>284</v>
      </c>
      <c r="S551" s="33">
        <v>0</v>
      </c>
      <c r="T551" s="13">
        <v>54.48</v>
      </c>
      <c r="U551" s="13">
        <v>15.2544</v>
      </c>
      <c r="V551" s="21">
        <f>Table10[[#This Row],[Profit]]/Table10[[#This Row],[Sales]]</f>
        <v>0.28000000000000003</v>
      </c>
    </row>
    <row r="552" spans="1:22" x14ac:dyDescent="0.2">
      <c r="A552">
        <v>551</v>
      </c>
      <c r="B552" t="s">
        <v>9984</v>
      </c>
      <c r="C552" s="1">
        <v>42496</v>
      </c>
      <c r="D552" s="22">
        <f>MONTH(Table10[[#This Row],[Order Date]])</f>
        <v>5</v>
      </c>
      <c r="E552" t="s">
        <v>4115</v>
      </c>
      <c r="F552" t="s">
        <v>4116</v>
      </c>
      <c r="G552" s="23" t="s">
        <v>28</v>
      </c>
      <c r="H552" s="23" t="s">
        <v>58</v>
      </c>
      <c r="I552" t="s">
        <v>3160</v>
      </c>
      <c r="J552" t="s">
        <v>22</v>
      </c>
      <c r="K552" s="22">
        <v>4</v>
      </c>
      <c r="L552" s="1">
        <v>42500</v>
      </c>
      <c r="M552" s="22">
        <f>Table10[[#This Row],[Ship Date]]-Table10[[#This Row],[Order Date]]</f>
        <v>4</v>
      </c>
      <c r="N552" t="s">
        <v>45</v>
      </c>
      <c r="O552" t="s">
        <v>23</v>
      </c>
      <c r="P552" t="s">
        <v>38</v>
      </c>
      <c r="Q552" t="s">
        <v>39</v>
      </c>
      <c r="R552" t="s">
        <v>5301</v>
      </c>
      <c r="S552" s="33">
        <v>0</v>
      </c>
      <c r="T552" s="13">
        <v>41.6</v>
      </c>
      <c r="U552" s="13">
        <v>14.144</v>
      </c>
      <c r="V552" s="21">
        <f>Table10[[#This Row],[Profit]]/Table10[[#This Row],[Sales]]</f>
        <v>0.33999999999999997</v>
      </c>
    </row>
    <row r="553" spans="1:22" x14ac:dyDescent="0.2">
      <c r="A553">
        <v>552</v>
      </c>
      <c r="B553" t="s">
        <v>4544</v>
      </c>
      <c r="C553" s="1">
        <v>42497</v>
      </c>
      <c r="D553" s="22">
        <f>MONTH(Table10[[#This Row],[Order Date]])</f>
        <v>5</v>
      </c>
      <c r="E553" t="s">
        <v>1181</v>
      </c>
      <c r="F553" t="s">
        <v>1182</v>
      </c>
      <c r="G553" s="23" t="s">
        <v>41</v>
      </c>
      <c r="H553" s="23" t="s">
        <v>68</v>
      </c>
      <c r="I553" t="s">
        <v>1285</v>
      </c>
      <c r="J553" t="s">
        <v>22</v>
      </c>
      <c r="K553" s="22">
        <v>7</v>
      </c>
      <c r="L553" s="1">
        <v>42501</v>
      </c>
      <c r="M553" s="22">
        <f>Table10[[#This Row],[Ship Date]]-Table10[[#This Row],[Order Date]]</f>
        <v>4</v>
      </c>
      <c r="N553" t="s">
        <v>45</v>
      </c>
      <c r="O553" t="s">
        <v>23</v>
      </c>
      <c r="P553" t="s">
        <v>238</v>
      </c>
      <c r="Q553" t="s">
        <v>133</v>
      </c>
      <c r="R553" t="s">
        <v>237</v>
      </c>
      <c r="S553" s="33">
        <v>0.2</v>
      </c>
      <c r="T553" s="13">
        <v>85.231999999999999</v>
      </c>
      <c r="U553" s="13">
        <v>30.896599999999999</v>
      </c>
      <c r="V553" s="21">
        <f>Table10[[#This Row],[Profit]]/Table10[[#This Row],[Sales]]</f>
        <v>0.36249999999999999</v>
      </c>
    </row>
    <row r="554" spans="1:22" x14ac:dyDescent="0.2">
      <c r="A554">
        <v>553</v>
      </c>
      <c r="B554" t="s">
        <v>4544</v>
      </c>
      <c r="C554" s="1">
        <v>42497</v>
      </c>
      <c r="D554" s="22">
        <f>MONTH(Table10[[#This Row],[Order Date]])</f>
        <v>5</v>
      </c>
      <c r="E554" t="s">
        <v>1476</v>
      </c>
      <c r="F554" t="s">
        <v>1477</v>
      </c>
      <c r="G554" s="23" t="s">
        <v>41</v>
      </c>
      <c r="H554" s="23" t="s">
        <v>42</v>
      </c>
      <c r="I554" t="s">
        <v>1285</v>
      </c>
      <c r="J554" t="s">
        <v>22</v>
      </c>
      <c r="K554" s="22">
        <v>3</v>
      </c>
      <c r="L554" s="1">
        <v>42501</v>
      </c>
      <c r="M554" s="22">
        <f>Table10[[#This Row],[Ship Date]]-Table10[[#This Row],[Order Date]]</f>
        <v>4</v>
      </c>
      <c r="N554" t="s">
        <v>45</v>
      </c>
      <c r="O554" t="s">
        <v>23</v>
      </c>
      <c r="P554" t="s">
        <v>238</v>
      </c>
      <c r="Q554" t="s">
        <v>133</v>
      </c>
      <c r="R554" t="s">
        <v>237</v>
      </c>
      <c r="S554" s="33">
        <v>0</v>
      </c>
      <c r="T554" s="13">
        <v>44.4</v>
      </c>
      <c r="U554" s="13">
        <v>22.2</v>
      </c>
      <c r="V554" s="21">
        <f>Table10[[#This Row],[Profit]]/Table10[[#This Row],[Sales]]</f>
        <v>0.5</v>
      </c>
    </row>
    <row r="555" spans="1:22" x14ac:dyDescent="0.2">
      <c r="A555">
        <v>554</v>
      </c>
      <c r="B555" t="s">
        <v>4544</v>
      </c>
      <c r="C555" s="1">
        <v>42497</v>
      </c>
      <c r="D555" s="22">
        <f>MONTH(Table10[[#This Row],[Order Date]])</f>
        <v>5</v>
      </c>
      <c r="E555" t="s">
        <v>4545</v>
      </c>
      <c r="F555" t="s">
        <v>4546</v>
      </c>
      <c r="G555" s="23" t="s">
        <v>28</v>
      </c>
      <c r="H555" s="23" t="s">
        <v>32</v>
      </c>
      <c r="I555" t="s">
        <v>1285</v>
      </c>
      <c r="J555" t="s">
        <v>22</v>
      </c>
      <c r="K555" s="22">
        <v>4</v>
      </c>
      <c r="L555" s="1">
        <v>42501</v>
      </c>
      <c r="M555" s="22">
        <f>Table10[[#This Row],[Ship Date]]-Table10[[#This Row],[Order Date]]</f>
        <v>4</v>
      </c>
      <c r="N555" t="s">
        <v>45</v>
      </c>
      <c r="O555" t="s">
        <v>23</v>
      </c>
      <c r="P555" t="s">
        <v>238</v>
      </c>
      <c r="Q555" t="s">
        <v>133</v>
      </c>
      <c r="R555" t="s">
        <v>237</v>
      </c>
      <c r="S555" s="33">
        <v>0.1</v>
      </c>
      <c r="T555" s="13">
        <v>442.76400000000001</v>
      </c>
      <c r="U555" s="13">
        <v>59.035200000000003</v>
      </c>
      <c r="V555" s="21">
        <f>Table10[[#This Row],[Profit]]/Table10[[#This Row],[Sales]]</f>
        <v>0.13333333333333333</v>
      </c>
    </row>
    <row r="556" spans="1:22" x14ac:dyDescent="0.2">
      <c r="A556">
        <v>555</v>
      </c>
      <c r="B556" t="s">
        <v>4544</v>
      </c>
      <c r="C556" s="1">
        <v>42497</v>
      </c>
      <c r="D556" s="22">
        <f>MONTH(Table10[[#This Row],[Order Date]])</f>
        <v>5</v>
      </c>
      <c r="E556" t="s">
        <v>4068</v>
      </c>
      <c r="F556" t="s">
        <v>4069</v>
      </c>
      <c r="G556" s="23" t="s">
        <v>64</v>
      </c>
      <c r="H556" s="23" t="s">
        <v>602</v>
      </c>
      <c r="I556" t="s">
        <v>1285</v>
      </c>
      <c r="J556" t="s">
        <v>22</v>
      </c>
      <c r="K556" s="22">
        <v>5</v>
      </c>
      <c r="L556" s="1">
        <v>42501</v>
      </c>
      <c r="M556" s="22">
        <f>Table10[[#This Row],[Ship Date]]-Table10[[#This Row],[Order Date]]</f>
        <v>4</v>
      </c>
      <c r="N556" t="s">
        <v>45</v>
      </c>
      <c r="O556" t="s">
        <v>23</v>
      </c>
      <c r="P556" t="s">
        <v>238</v>
      </c>
      <c r="Q556" t="s">
        <v>133</v>
      </c>
      <c r="R556" t="s">
        <v>237</v>
      </c>
      <c r="S556" s="33">
        <v>0</v>
      </c>
      <c r="T556" s="13">
        <v>3999.95</v>
      </c>
      <c r="U556" s="13">
        <v>1159.9855</v>
      </c>
      <c r="V556" s="21">
        <f>Table10[[#This Row],[Profit]]/Table10[[#This Row],[Sales]]</f>
        <v>0.29000000000000004</v>
      </c>
    </row>
    <row r="557" spans="1:22" x14ac:dyDescent="0.2">
      <c r="A557">
        <v>556</v>
      </c>
      <c r="B557" t="s">
        <v>4544</v>
      </c>
      <c r="C557" s="1">
        <v>42497</v>
      </c>
      <c r="D557" s="22">
        <f>MONTH(Table10[[#This Row],[Order Date]])</f>
        <v>5</v>
      </c>
      <c r="E557" t="s">
        <v>394</v>
      </c>
      <c r="F557" t="s">
        <v>395</v>
      </c>
      <c r="G557" s="23" t="s">
        <v>64</v>
      </c>
      <c r="H557" s="23" t="s">
        <v>144</v>
      </c>
      <c r="I557" t="s">
        <v>1285</v>
      </c>
      <c r="J557" t="s">
        <v>22</v>
      </c>
      <c r="K557" s="22">
        <v>5</v>
      </c>
      <c r="L557" s="1">
        <v>42501</v>
      </c>
      <c r="M557" s="22">
        <f>Table10[[#This Row],[Ship Date]]-Table10[[#This Row],[Order Date]]</f>
        <v>4</v>
      </c>
      <c r="N557" t="s">
        <v>45</v>
      </c>
      <c r="O557" t="s">
        <v>23</v>
      </c>
      <c r="P557" t="s">
        <v>238</v>
      </c>
      <c r="Q557" t="s">
        <v>133</v>
      </c>
      <c r="R557" t="s">
        <v>237</v>
      </c>
      <c r="S557" s="33">
        <v>0</v>
      </c>
      <c r="T557" s="13">
        <v>199.95</v>
      </c>
      <c r="U557" s="13">
        <v>21.994499999999999</v>
      </c>
      <c r="V557" s="21">
        <f>Table10[[#This Row],[Profit]]/Table10[[#This Row],[Sales]]</f>
        <v>0.11</v>
      </c>
    </row>
    <row r="558" spans="1:22" x14ac:dyDescent="0.2">
      <c r="A558">
        <v>557</v>
      </c>
      <c r="B558" t="s">
        <v>4544</v>
      </c>
      <c r="C558" s="1">
        <v>42497</v>
      </c>
      <c r="D558" s="22">
        <f>MONTH(Table10[[#This Row],[Order Date]])</f>
        <v>5</v>
      </c>
      <c r="E558" t="s">
        <v>2543</v>
      </c>
      <c r="F558" t="s">
        <v>814</v>
      </c>
      <c r="G558" s="23" t="s">
        <v>28</v>
      </c>
      <c r="H558" s="23" t="s">
        <v>58</v>
      </c>
      <c r="I558" t="s">
        <v>1285</v>
      </c>
      <c r="J558" t="s">
        <v>22</v>
      </c>
      <c r="K558" s="22">
        <v>8</v>
      </c>
      <c r="L558" s="1">
        <v>42501</v>
      </c>
      <c r="M558" s="22">
        <f>Table10[[#This Row],[Ship Date]]-Table10[[#This Row],[Order Date]]</f>
        <v>4</v>
      </c>
      <c r="N558" t="s">
        <v>45</v>
      </c>
      <c r="O558" t="s">
        <v>23</v>
      </c>
      <c r="P558" t="s">
        <v>238</v>
      </c>
      <c r="Q558" t="s">
        <v>133</v>
      </c>
      <c r="R558" t="s">
        <v>237</v>
      </c>
      <c r="S558" s="33">
        <v>0</v>
      </c>
      <c r="T558" s="13">
        <v>63.68</v>
      </c>
      <c r="U558" s="13">
        <v>28.019200000000001</v>
      </c>
      <c r="V558" s="21">
        <f>Table10[[#This Row],[Profit]]/Table10[[#This Row],[Sales]]</f>
        <v>0.44</v>
      </c>
    </row>
    <row r="559" spans="1:22" x14ac:dyDescent="0.2">
      <c r="A559">
        <v>558</v>
      </c>
      <c r="B559" t="s">
        <v>3721</v>
      </c>
      <c r="C559" s="1">
        <v>42498</v>
      </c>
      <c r="D559" s="22">
        <f>MONTH(Table10[[#This Row],[Order Date]])</f>
        <v>5</v>
      </c>
      <c r="E559" t="s">
        <v>3722</v>
      </c>
      <c r="F559" t="s">
        <v>3723</v>
      </c>
      <c r="G559" s="23" t="s">
        <v>28</v>
      </c>
      <c r="H559" s="23" t="s">
        <v>58</v>
      </c>
      <c r="I559" t="s">
        <v>2430</v>
      </c>
      <c r="J559" t="s">
        <v>36</v>
      </c>
      <c r="K559" s="22">
        <v>2</v>
      </c>
      <c r="L559" s="1">
        <v>42503</v>
      </c>
      <c r="M559" s="22">
        <f>Table10[[#This Row],[Ship Date]]-Table10[[#This Row],[Order Date]]</f>
        <v>5</v>
      </c>
      <c r="N559" t="s">
        <v>20</v>
      </c>
      <c r="O559" t="s">
        <v>23</v>
      </c>
      <c r="P559" t="s">
        <v>218</v>
      </c>
      <c r="Q559" t="s">
        <v>133</v>
      </c>
      <c r="R559" t="s">
        <v>217</v>
      </c>
      <c r="S559" s="33">
        <v>0</v>
      </c>
      <c r="T559" s="13">
        <v>211.96</v>
      </c>
      <c r="U559" s="13">
        <v>42.392000000000003</v>
      </c>
      <c r="V559" s="21">
        <f>Table10[[#This Row],[Profit]]/Table10[[#This Row],[Sales]]</f>
        <v>0.2</v>
      </c>
    </row>
    <row r="560" spans="1:22" x14ac:dyDescent="0.2">
      <c r="A560">
        <v>559</v>
      </c>
      <c r="B560" t="s">
        <v>3770</v>
      </c>
      <c r="C560" s="1">
        <v>42498</v>
      </c>
      <c r="D560" s="22">
        <f>MONTH(Table10[[#This Row],[Order Date]])</f>
        <v>5</v>
      </c>
      <c r="E560" t="s">
        <v>3771</v>
      </c>
      <c r="F560" t="s">
        <v>3772</v>
      </c>
      <c r="G560" s="23" t="s">
        <v>41</v>
      </c>
      <c r="H560" s="23" t="s">
        <v>53</v>
      </c>
      <c r="I560" t="s">
        <v>431</v>
      </c>
      <c r="J560" t="s">
        <v>22</v>
      </c>
      <c r="K560" s="22">
        <v>3</v>
      </c>
      <c r="L560" s="1">
        <v>42498</v>
      </c>
      <c r="M560" s="22">
        <f>Table10[[#This Row],[Ship Date]]-Table10[[#This Row],[Order Date]]</f>
        <v>0</v>
      </c>
      <c r="N560" t="s">
        <v>1141</v>
      </c>
      <c r="O560" t="s">
        <v>23</v>
      </c>
      <c r="P560" t="s">
        <v>441</v>
      </c>
      <c r="Q560" t="s">
        <v>133</v>
      </c>
      <c r="R560" t="s">
        <v>1920</v>
      </c>
      <c r="S560" s="33">
        <v>0.2</v>
      </c>
      <c r="T560" s="13">
        <v>1006.056</v>
      </c>
      <c r="U560" s="13">
        <v>88.029899999999998</v>
      </c>
      <c r="V560" s="21">
        <f>Table10[[#This Row],[Profit]]/Table10[[#This Row],[Sales]]</f>
        <v>8.7499999999999994E-2</v>
      </c>
    </row>
    <row r="561" spans="1:22" x14ac:dyDescent="0.2">
      <c r="A561">
        <v>560</v>
      </c>
      <c r="B561" t="s">
        <v>3770</v>
      </c>
      <c r="C561" s="1">
        <v>42498</v>
      </c>
      <c r="D561" s="22">
        <f>MONTH(Table10[[#This Row],[Order Date]])</f>
        <v>5</v>
      </c>
      <c r="E561" t="s">
        <v>1650</v>
      </c>
      <c r="F561" t="s">
        <v>1651</v>
      </c>
      <c r="G561" s="23" t="s">
        <v>41</v>
      </c>
      <c r="H561" s="23" t="s">
        <v>82</v>
      </c>
      <c r="I561" t="s">
        <v>431</v>
      </c>
      <c r="J561" t="s">
        <v>22</v>
      </c>
      <c r="K561" s="22">
        <v>2</v>
      </c>
      <c r="L561" s="1">
        <v>42498</v>
      </c>
      <c r="M561" s="22">
        <f>Table10[[#This Row],[Ship Date]]-Table10[[#This Row],[Order Date]]</f>
        <v>0</v>
      </c>
      <c r="N561" t="s">
        <v>1141</v>
      </c>
      <c r="O561" t="s">
        <v>23</v>
      </c>
      <c r="P561" t="s">
        <v>441</v>
      </c>
      <c r="Q561" t="s">
        <v>133</v>
      </c>
      <c r="R561" t="s">
        <v>1920</v>
      </c>
      <c r="S561" s="33">
        <v>0.2</v>
      </c>
      <c r="T561" s="13">
        <v>10.688000000000001</v>
      </c>
      <c r="U561" s="13">
        <v>3.7408000000000001</v>
      </c>
      <c r="V561" s="21">
        <f>Table10[[#This Row],[Profit]]/Table10[[#This Row],[Sales]]</f>
        <v>0.35</v>
      </c>
    </row>
    <row r="562" spans="1:22" x14ac:dyDescent="0.2">
      <c r="A562">
        <v>561</v>
      </c>
      <c r="B562" t="s">
        <v>3770</v>
      </c>
      <c r="C562" s="1">
        <v>42498</v>
      </c>
      <c r="D562" s="22">
        <f>MONTH(Table10[[#This Row],[Order Date]])</f>
        <v>5</v>
      </c>
      <c r="E562" t="s">
        <v>1705</v>
      </c>
      <c r="F562" t="s">
        <v>1706</v>
      </c>
      <c r="G562" s="23" t="s">
        <v>41</v>
      </c>
      <c r="H562" s="23" t="s">
        <v>82</v>
      </c>
      <c r="I562" t="s">
        <v>431</v>
      </c>
      <c r="J562" t="s">
        <v>22</v>
      </c>
      <c r="K562" s="22">
        <v>2</v>
      </c>
      <c r="L562" s="1">
        <v>42498</v>
      </c>
      <c r="M562" s="22">
        <f>Table10[[#This Row],[Ship Date]]-Table10[[#This Row],[Order Date]]</f>
        <v>0</v>
      </c>
      <c r="N562" t="s">
        <v>1141</v>
      </c>
      <c r="O562" t="s">
        <v>23</v>
      </c>
      <c r="P562" t="s">
        <v>441</v>
      </c>
      <c r="Q562" t="s">
        <v>133</v>
      </c>
      <c r="R562" t="s">
        <v>1920</v>
      </c>
      <c r="S562" s="33">
        <v>0.2</v>
      </c>
      <c r="T562" s="13">
        <v>10.368</v>
      </c>
      <c r="U562" s="13">
        <v>3.6288</v>
      </c>
      <c r="V562" s="21">
        <f>Table10[[#This Row],[Profit]]/Table10[[#This Row],[Sales]]</f>
        <v>0.35</v>
      </c>
    </row>
    <row r="563" spans="1:22" x14ac:dyDescent="0.2">
      <c r="A563">
        <v>562</v>
      </c>
      <c r="B563" t="s">
        <v>3770</v>
      </c>
      <c r="C563" s="1">
        <v>42498</v>
      </c>
      <c r="D563" s="22">
        <f>MONTH(Table10[[#This Row],[Order Date]])</f>
        <v>5</v>
      </c>
      <c r="E563" t="s">
        <v>3288</v>
      </c>
      <c r="F563" t="s">
        <v>3289</v>
      </c>
      <c r="G563" s="23" t="s">
        <v>41</v>
      </c>
      <c r="H563" s="23" t="s">
        <v>53</v>
      </c>
      <c r="I563" t="s">
        <v>431</v>
      </c>
      <c r="J563" t="s">
        <v>22</v>
      </c>
      <c r="K563" s="22">
        <v>2</v>
      </c>
      <c r="L563" s="1">
        <v>42498</v>
      </c>
      <c r="M563" s="22">
        <f>Table10[[#This Row],[Ship Date]]-Table10[[#This Row],[Order Date]]</f>
        <v>0</v>
      </c>
      <c r="N563" t="s">
        <v>1141</v>
      </c>
      <c r="O563" t="s">
        <v>23</v>
      </c>
      <c r="P563" t="s">
        <v>441</v>
      </c>
      <c r="Q563" t="s">
        <v>133</v>
      </c>
      <c r="R563" t="s">
        <v>1920</v>
      </c>
      <c r="S563" s="33">
        <v>0.2</v>
      </c>
      <c r="T563" s="13">
        <v>25.12</v>
      </c>
      <c r="U563" s="13">
        <v>1.57</v>
      </c>
      <c r="V563" s="21">
        <f>Table10[[#This Row],[Profit]]/Table10[[#This Row],[Sales]]</f>
        <v>6.25E-2</v>
      </c>
    </row>
    <row r="564" spans="1:22" x14ac:dyDescent="0.2">
      <c r="A564">
        <v>563</v>
      </c>
      <c r="B564" t="s">
        <v>3770</v>
      </c>
      <c r="C564" s="1">
        <v>42498</v>
      </c>
      <c r="D564" s="22">
        <f>MONTH(Table10[[#This Row],[Order Date]])</f>
        <v>5</v>
      </c>
      <c r="E564" t="s">
        <v>1640</v>
      </c>
      <c r="F564" t="s">
        <v>1641</v>
      </c>
      <c r="G564" s="23" t="s">
        <v>64</v>
      </c>
      <c r="H564" s="23" t="s">
        <v>144</v>
      </c>
      <c r="I564" t="s">
        <v>431</v>
      </c>
      <c r="J564" t="s">
        <v>22</v>
      </c>
      <c r="K564" s="22">
        <v>2</v>
      </c>
      <c r="L564" s="1">
        <v>42498</v>
      </c>
      <c r="M564" s="22">
        <f>Table10[[#This Row],[Ship Date]]-Table10[[#This Row],[Order Date]]</f>
        <v>0</v>
      </c>
      <c r="N564" t="s">
        <v>1141</v>
      </c>
      <c r="O564" t="s">
        <v>23</v>
      </c>
      <c r="P564" t="s">
        <v>441</v>
      </c>
      <c r="Q564" t="s">
        <v>133</v>
      </c>
      <c r="R564" t="s">
        <v>1920</v>
      </c>
      <c r="S564" s="33">
        <v>0.2</v>
      </c>
      <c r="T564" s="13">
        <v>58.112000000000002</v>
      </c>
      <c r="U564" s="13">
        <v>7.2640000000000002</v>
      </c>
      <c r="V564" s="21">
        <f>Table10[[#This Row],[Profit]]/Table10[[#This Row],[Sales]]</f>
        <v>0.125</v>
      </c>
    </row>
    <row r="565" spans="1:22" x14ac:dyDescent="0.2">
      <c r="A565">
        <v>564</v>
      </c>
      <c r="B565" t="s">
        <v>7047</v>
      </c>
      <c r="C565" s="1">
        <v>42498</v>
      </c>
      <c r="D565" s="22">
        <f>MONTH(Table10[[#This Row],[Order Date]])</f>
        <v>5</v>
      </c>
      <c r="E565" t="s">
        <v>580</v>
      </c>
      <c r="F565" t="s">
        <v>581</v>
      </c>
      <c r="G565" s="23" t="s">
        <v>41</v>
      </c>
      <c r="H565" s="23" t="s">
        <v>82</v>
      </c>
      <c r="I565" t="s">
        <v>4488</v>
      </c>
      <c r="J565" t="s">
        <v>22</v>
      </c>
      <c r="K565" s="22">
        <v>3</v>
      </c>
      <c r="L565" s="1">
        <v>42500</v>
      </c>
      <c r="M565" s="22">
        <f>Table10[[#This Row],[Ship Date]]-Table10[[#This Row],[Order Date]]</f>
        <v>2</v>
      </c>
      <c r="N565" t="s">
        <v>169</v>
      </c>
      <c r="O565" t="s">
        <v>23</v>
      </c>
      <c r="P565" t="s">
        <v>38</v>
      </c>
      <c r="Q565" t="s">
        <v>39</v>
      </c>
      <c r="R565" t="s">
        <v>37</v>
      </c>
      <c r="S565" s="33">
        <v>0</v>
      </c>
      <c r="T565" s="13">
        <v>17.940000000000001</v>
      </c>
      <c r="U565" s="13">
        <v>8.0730000000000004</v>
      </c>
      <c r="V565" s="21">
        <f>Table10[[#This Row],[Profit]]/Table10[[#This Row],[Sales]]</f>
        <v>0.45</v>
      </c>
    </row>
    <row r="566" spans="1:22" x14ac:dyDescent="0.2">
      <c r="A566">
        <v>565</v>
      </c>
      <c r="B566" t="s">
        <v>1499</v>
      </c>
      <c r="C566" s="1">
        <v>42499</v>
      </c>
      <c r="D566" s="22">
        <f>MONTH(Table10[[#This Row],[Order Date]])</f>
        <v>5</v>
      </c>
      <c r="E566" t="s">
        <v>1501</v>
      </c>
      <c r="F566" t="s">
        <v>1502</v>
      </c>
      <c r="G566" s="23" t="s">
        <v>64</v>
      </c>
      <c r="H566" s="23" t="s">
        <v>144</v>
      </c>
      <c r="I566" t="s">
        <v>1500</v>
      </c>
      <c r="J566" t="s">
        <v>22</v>
      </c>
      <c r="K566" s="22">
        <v>2</v>
      </c>
      <c r="L566" s="1">
        <v>42504</v>
      </c>
      <c r="M566" s="22">
        <f>Table10[[#This Row],[Ship Date]]-Table10[[#This Row],[Order Date]]</f>
        <v>5</v>
      </c>
      <c r="N566" t="s">
        <v>45</v>
      </c>
      <c r="O566" t="s">
        <v>23</v>
      </c>
      <c r="P566" t="s">
        <v>87</v>
      </c>
      <c r="Q566" t="s">
        <v>39</v>
      </c>
      <c r="R566" t="s">
        <v>86</v>
      </c>
      <c r="S566" s="33">
        <v>0</v>
      </c>
      <c r="T566" s="13">
        <v>93.98</v>
      </c>
      <c r="U566" s="13">
        <v>13.1572</v>
      </c>
      <c r="V566" s="21">
        <f>Table10[[#This Row],[Profit]]/Table10[[#This Row],[Sales]]</f>
        <v>0.13999999999999999</v>
      </c>
    </row>
    <row r="567" spans="1:22" x14ac:dyDescent="0.2">
      <c r="A567">
        <v>566</v>
      </c>
      <c r="B567" t="s">
        <v>3641</v>
      </c>
      <c r="C567" s="1">
        <v>42499</v>
      </c>
      <c r="D567" s="22">
        <f>MONTH(Table10[[#This Row],[Order Date]])</f>
        <v>5</v>
      </c>
      <c r="E567" t="s">
        <v>3643</v>
      </c>
      <c r="F567" t="s">
        <v>591</v>
      </c>
      <c r="G567" s="23" t="s">
        <v>41</v>
      </c>
      <c r="H567" s="23" t="s">
        <v>155</v>
      </c>
      <c r="I567" t="s">
        <v>3642</v>
      </c>
      <c r="J567" t="s">
        <v>22</v>
      </c>
      <c r="K567" s="22">
        <v>1</v>
      </c>
      <c r="L567" s="1">
        <v>42505</v>
      </c>
      <c r="M567" s="22">
        <f>Table10[[#This Row],[Ship Date]]-Table10[[#This Row],[Order Date]]</f>
        <v>6</v>
      </c>
      <c r="N567" t="s">
        <v>45</v>
      </c>
      <c r="O567" t="s">
        <v>23</v>
      </c>
      <c r="P567" t="s">
        <v>132</v>
      </c>
      <c r="Q567" t="s">
        <v>133</v>
      </c>
      <c r="R567" t="s">
        <v>131</v>
      </c>
      <c r="S567" s="33">
        <v>0.2</v>
      </c>
      <c r="T567" s="13">
        <v>9.3439999999999994</v>
      </c>
      <c r="U567" s="13">
        <v>3.504</v>
      </c>
      <c r="V567" s="21">
        <f>Table10[[#This Row],[Profit]]/Table10[[#This Row],[Sales]]</f>
        <v>0.375</v>
      </c>
    </row>
    <row r="568" spans="1:22" x14ac:dyDescent="0.2">
      <c r="A568">
        <v>567</v>
      </c>
      <c r="B568" t="s">
        <v>3641</v>
      </c>
      <c r="C568" s="1">
        <v>42499</v>
      </c>
      <c r="D568" s="22">
        <f>MONTH(Table10[[#This Row],[Order Date]])</f>
        <v>5</v>
      </c>
      <c r="E568" t="s">
        <v>3644</v>
      </c>
      <c r="F568" t="s">
        <v>3645</v>
      </c>
      <c r="G568" s="23" t="s">
        <v>41</v>
      </c>
      <c r="H568" s="23" t="s">
        <v>61</v>
      </c>
      <c r="I568" t="s">
        <v>3642</v>
      </c>
      <c r="J568" t="s">
        <v>22</v>
      </c>
      <c r="K568" s="22">
        <v>5</v>
      </c>
      <c r="L568" s="1">
        <v>42505</v>
      </c>
      <c r="M568" s="22">
        <f>Table10[[#This Row],[Ship Date]]-Table10[[#This Row],[Order Date]]</f>
        <v>6</v>
      </c>
      <c r="N568" t="s">
        <v>45</v>
      </c>
      <c r="O568" t="s">
        <v>23</v>
      </c>
      <c r="P568" t="s">
        <v>132</v>
      </c>
      <c r="Q568" t="s">
        <v>133</v>
      </c>
      <c r="R568" t="s">
        <v>131</v>
      </c>
      <c r="S568" s="33">
        <v>0.2</v>
      </c>
      <c r="T568" s="13">
        <v>79.36</v>
      </c>
      <c r="U568" s="13">
        <v>9.92</v>
      </c>
      <c r="V568" s="21">
        <f>Table10[[#This Row],[Profit]]/Table10[[#This Row],[Sales]]</f>
        <v>0.125</v>
      </c>
    </row>
    <row r="569" spans="1:22" x14ac:dyDescent="0.2">
      <c r="A569">
        <v>568</v>
      </c>
      <c r="B569" t="s">
        <v>7579</v>
      </c>
      <c r="C569" s="1">
        <v>42499</v>
      </c>
      <c r="D569" s="22">
        <f>MONTH(Table10[[#This Row],[Order Date]])</f>
        <v>5</v>
      </c>
      <c r="E569" t="s">
        <v>3089</v>
      </c>
      <c r="F569" t="s">
        <v>3090</v>
      </c>
      <c r="G569" s="23" t="s">
        <v>41</v>
      </c>
      <c r="H569" s="23" t="s">
        <v>61</v>
      </c>
      <c r="I569" t="s">
        <v>270</v>
      </c>
      <c r="J569" t="s">
        <v>92</v>
      </c>
      <c r="K569" s="22">
        <v>5</v>
      </c>
      <c r="L569" s="1">
        <v>42503</v>
      </c>
      <c r="M569" s="22">
        <f>Table10[[#This Row],[Ship Date]]-Table10[[#This Row],[Order Date]]</f>
        <v>4</v>
      </c>
      <c r="N569" t="s">
        <v>45</v>
      </c>
      <c r="O569" t="s">
        <v>23</v>
      </c>
      <c r="P569" t="s">
        <v>238</v>
      </c>
      <c r="Q569" t="s">
        <v>133</v>
      </c>
      <c r="R569" t="s">
        <v>237</v>
      </c>
      <c r="S569" s="33">
        <v>0</v>
      </c>
      <c r="T569" s="13">
        <v>8</v>
      </c>
      <c r="U569" s="13">
        <v>3.44</v>
      </c>
      <c r="V569" s="21">
        <f>Table10[[#This Row],[Profit]]/Table10[[#This Row],[Sales]]</f>
        <v>0.43</v>
      </c>
    </row>
    <row r="570" spans="1:22" x14ac:dyDescent="0.2">
      <c r="A570">
        <v>569</v>
      </c>
      <c r="B570" t="s">
        <v>8359</v>
      </c>
      <c r="C570" s="1">
        <v>42499</v>
      </c>
      <c r="D570" s="22">
        <f>MONTH(Table10[[#This Row],[Order Date]])</f>
        <v>5</v>
      </c>
      <c r="E570" t="s">
        <v>8165</v>
      </c>
      <c r="F570" t="s">
        <v>8166</v>
      </c>
      <c r="G570" s="23" t="s">
        <v>41</v>
      </c>
      <c r="H570" s="23" t="s">
        <v>82</v>
      </c>
      <c r="I570" t="s">
        <v>4703</v>
      </c>
      <c r="J570" t="s">
        <v>36</v>
      </c>
      <c r="K570" s="22">
        <v>4</v>
      </c>
      <c r="L570" s="1">
        <v>42504</v>
      </c>
      <c r="M570" s="22">
        <f>Table10[[#This Row],[Ship Date]]-Table10[[#This Row],[Order Date]]</f>
        <v>5</v>
      </c>
      <c r="N570" t="s">
        <v>45</v>
      </c>
      <c r="O570" t="s">
        <v>23</v>
      </c>
      <c r="P570" t="s">
        <v>38</v>
      </c>
      <c r="Q570" t="s">
        <v>39</v>
      </c>
      <c r="R570" t="s">
        <v>37</v>
      </c>
      <c r="S570" s="33">
        <v>0</v>
      </c>
      <c r="T570" s="13">
        <v>32.04</v>
      </c>
      <c r="U570" s="13">
        <v>14.417999999999999</v>
      </c>
      <c r="V570" s="21">
        <f>Table10[[#This Row],[Profit]]/Table10[[#This Row],[Sales]]</f>
        <v>0.45</v>
      </c>
    </row>
    <row r="571" spans="1:22" x14ac:dyDescent="0.2">
      <c r="A571">
        <v>570</v>
      </c>
      <c r="B571" t="s">
        <v>8912</v>
      </c>
      <c r="C571" s="1">
        <v>42499</v>
      </c>
      <c r="D571" s="22">
        <f>MONTH(Table10[[#This Row],[Order Date]])</f>
        <v>5</v>
      </c>
      <c r="E571" t="s">
        <v>676</v>
      </c>
      <c r="F571" t="s">
        <v>677</v>
      </c>
      <c r="G571" s="23" t="s">
        <v>64</v>
      </c>
      <c r="H571" s="23" t="s">
        <v>65</v>
      </c>
      <c r="I571" t="s">
        <v>3471</v>
      </c>
      <c r="J571" t="s">
        <v>22</v>
      </c>
      <c r="K571" s="22">
        <v>2</v>
      </c>
      <c r="L571" s="1">
        <v>42503</v>
      </c>
      <c r="M571" s="22">
        <f>Table10[[#This Row],[Ship Date]]-Table10[[#This Row],[Order Date]]</f>
        <v>4</v>
      </c>
      <c r="N571" t="s">
        <v>45</v>
      </c>
      <c r="O571" t="s">
        <v>23</v>
      </c>
      <c r="P571" t="s">
        <v>94</v>
      </c>
      <c r="Q571" t="s">
        <v>95</v>
      </c>
      <c r="R571" t="s">
        <v>165</v>
      </c>
      <c r="S571" s="33">
        <v>0.2</v>
      </c>
      <c r="T571" s="13">
        <v>19.135999999999999</v>
      </c>
      <c r="U571" s="13">
        <v>1.9136</v>
      </c>
      <c r="V571" s="21">
        <f>Table10[[#This Row],[Profit]]/Table10[[#This Row],[Sales]]</f>
        <v>0.1</v>
      </c>
    </row>
    <row r="572" spans="1:22" x14ac:dyDescent="0.2">
      <c r="A572">
        <v>571</v>
      </c>
      <c r="B572" t="s">
        <v>9233</v>
      </c>
      <c r="C572" s="1">
        <v>42499</v>
      </c>
      <c r="D572" s="22">
        <f>MONTH(Table10[[#This Row],[Order Date]])</f>
        <v>5</v>
      </c>
      <c r="E572" t="s">
        <v>680</v>
      </c>
      <c r="F572" t="s">
        <v>681</v>
      </c>
      <c r="G572" s="23" t="s">
        <v>41</v>
      </c>
      <c r="H572" s="23" t="s">
        <v>61</v>
      </c>
      <c r="I572" t="s">
        <v>3812</v>
      </c>
      <c r="J572" t="s">
        <v>22</v>
      </c>
      <c r="K572" s="22">
        <v>7</v>
      </c>
      <c r="L572" s="1">
        <v>42502</v>
      </c>
      <c r="M572" s="22">
        <f>Table10[[#This Row],[Ship Date]]-Table10[[#This Row],[Order Date]]</f>
        <v>3</v>
      </c>
      <c r="N572" t="s">
        <v>20</v>
      </c>
      <c r="O572" t="s">
        <v>23</v>
      </c>
      <c r="P572" t="s">
        <v>285</v>
      </c>
      <c r="Q572" t="s">
        <v>26</v>
      </c>
      <c r="R572" t="s">
        <v>1744</v>
      </c>
      <c r="S572" s="33">
        <v>0</v>
      </c>
      <c r="T572" s="13">
        <v>27.86</v>
      </c>
      <c r="U572" s="13">
        <v>9.1937999999999995</v>
      </c>
      <c r="V572" s="21">
        <f>Table10[[#This Row],[Profit]]/Table10[[#This Row],[Sales]]</f>
        <v>0.33</v>
      </c>
    </row>
    <row r="573" spans="1:22" x14ac:dyDescent="0.2">
      <c r="A573">
        <v>572</v>
      </c>
      <c r="B573" t="s">
        <v>9527</v>
      </c>
      <c r="C573" s="1">
        <v>42499</v>
      </c>
      <c r="D573" s="22">
        <f>MONTH(Table10[[#This Row],[Order Date]])</f>
        <v>5</v>
      </c>
      <c r="E573" t="s">
        <v>1774</v>
      </c>
      <c r="F573" t="s">
        <v>1775</v>
      </c>
      <c r="G573" s="23" t="s">
        <v>41</v>
      </c>
      <c r="H573" s="23" t="s">
        <v>53</v>
      </c>
      <c r="I573" t="s">
        <v>427</v>
      </c>
      <c r="J573" t="s">
        <v>36</v>
      </c>
      <c r="K573" s="22">
        <v>6</v>
      </c>
      <c r="L573" s="1">
        <v>42503</v>
      </c>
      <c r="M573" s="22">
        <f>Table10[[#This Row],[Ship Date]]-Table10[[#This Row],[Order Date]]</f>
        <v>4</v>
      </c>
      <c r="N573" t="s">
        <v>45</v>
      </c>
      <c r="O573" t="s">
        <v>23</v>
      </c>
      <c r="P573" t="s">
        <v>94</v>
      </c>
      <c r="Q573" t="s">
        <v>95</v>
      </c>
      <c r="R573" t="s">
        <v>1095</v>
      </c>
      <c r="S573" s="33">
        <v>0.2</v>
      </c>
      <c r="T573" s="13">
        <v>856.65599999999995</v>
      </c>
      <c r="U573" s="13">
        <v>107.08199999999999</v>
      </c>
      <c r="V573" s="21">
        <f>Table10[[#This Row],[Profit]]/Table10[[#This Row],[Sales]]</f>
        <v>0.125</v>
      </c>
    </row>
    <row r="574" spans="1:22" x14ac:dyDescent="0.2">
      <c r="A574">
        <v>573</v>
      </c>
      <c r="B574" t="s">
        <v>9527</v>
      </c>
      <c r="C574" s="1">
        <v>42499</v>
      </c>
      <c r="D574" s="22">
        <f>MONTH(Table10[[#This Row],[Order Date]])</f>
        <v>5</v>
      </c>
      <c r="E574" t="s">
        <v>369</v>
      </c>
      <c r="F574" t="s">
        <v>370</v>
      </c>
      <c r="G574" s="23" t="s">
        <v>41</v>
      </c>
      <c r="H574" s="23" t="s">
        <v>68</v>
      </c>
      <c r="I574" t="s">
        <v>427</v>
      </c>
      <c r="J574" t="s">
        <v>36</v>
      </c>
      <c r="K574" s="22">
        <v>4</v>
      </c>
      <c r="L574" s="1">
        <v>42503</v>
      </c>
      <c r="M574" s="22">
        <f>Table10[[#This Row],[Ship Date]]-Table10[[#This Row],[Order Date]]</f>
        <v>4</v>
      </c>
      <c r="N574" t="s">
        <v>45</v>
      </c>
      <c r="O574" t="s">
        <v>23</v>
      </c>
      <c r="P574" t="s">
        <v>94</v>
      </c>
      <c r="Q574" t="s">
        <v>95</v>
      </c>
      <c r="R574" t="s">
        <v>1095</v>
      </c>
      <c r="S574" s="33">
        <v>0.8</v>
      </c>
      <c r="T574" s="13">
        <v>13.183999999999999</v>
      </c>
      <c r="U574" s="13">
        <v>-20.435199999999998</v>
      </c>
      <c r="V574" s="21">
        <f>Table10[[#This Row],[Profit]]/Table10[[#This Row],[Sales]]</f>
        <v>-1.55</v>
      </c>
    </row>
    <row r="575" spans="1:22" x14ac:dyDescent="0.2">
      <c r="A575">
        <v>574</v>
      </c>
      <c r="B575" t="s">
        <v>9527</v>
      </c>
      <c r="C575" s="1">
        <v>42499</v>
      </c>
      <c r="D575" s="22">
        <f>MONTH(Table10[[#This Row],[Order Date]])</f>
        <v>5</v>
      </c>
      <c r="E575" t="s">
        <v>7168</v>
      </c>
      <c r="F575" t="s">
        <v>7169</v>
      </c>
      <c r="G575" s="23" t="s">
        <v>41</v>
      </c>
      <c r="H575" s="23" t="s">
        <v>71</v>
      </c>
      <c r="I575" t="s">
        <v>427</v>
      </c>
      <c r="J575" t="s">
        <v>36</v>
      </c>
      <c r="K575" s="22">
        <v>4</v>
      </c>
      <c r="L575" s="1">
        <v>42503</v>
      </c>
      <c r="M575" s="22">
        <f>Table10[[#This Row],[Ship Date]]-Table10[[#This Row],[Order Date]]</f>
        <v>4</v>
      </c>
      <c r="N575" t="s">
        <v>45</v>
      </c>
      <c r="O575" t="s">
        <v>23</v>
      </c>
      <c r="P575" t="s">
        <v>94</v>
      </c>
      <c r="Q575" t="s">
        <v>95</v>
      </c>
      <c r="R575" t="s">
        <v>1095</v>
      </c>
      <c r="S575" s="33">
        <v>0.8</v>
      </c>
      <c r="T575" s="13">
        <v>48.783999999999999</v>
      </c>
      <c r="U575" s="13">
        <v>-131.71680000000001</v>
      </c>
      <c r="V575" s="21">
        <f>Table10[[#This Row],[Profit]]/Table10[[#This Row],[Sales]]</f>
        <v>-2.7</v>
      </c>
    </row>
    <row r="576" spans="1:22" x14ac:dyDescent="0.2">
      <c r="A576">
        <v>575</v>
      </c>
      <c r="B576" t="s">
        <v>9527</v>
      </c>
      <c r="C576" s="1">
        <v>42499</v>
      </c>
      <c r="D576" s="22">
        <f>MONTH(Table10[[#This Row],[Order Date]])</f>
        <v>5</v>
      </c>
      <c r="E576" t="s">
        <v>523</v>
      </c>
      <c r="F576" t="s">
        <v>524</v>
      </c>
      <c r="G576" s="23" t="s">
        <v>41</v>
      </c>
      <c r="H576" s="23" t="s">
        <v>82</v>
      </c>
      <c r="I576" t="s">
        <v>427</v>
      </c>
      <c r="J576" t="s">
        <v>36</v>
      </c>
      <c r="K576" s="22">
        <v>2</v>
      </c>
      <c r="L576" s="1">
        <v>42503</v>
      </c>
      <c r="M576" s="22">
        <f>Table10[[#This Row],[Ship Date]]-Table10[[#This Row],[Order Date]]</f>
        <v>4</v>
      </c>
      <c r="N576" t="s">
        <v>45</v>
      </c>
      <c r="O576" t="s">
        <v>23</v>
      </c>
      <c r="P576" t="s">
        <v>94</v>
      </c>
      <c r="Q576" t="s">
        <v>95</v>
      </c>
      <c r="R576" t="s">
        <v>1095</v>
      </c>
      <c r="S576" s="33">
        <v>0.2</v>
      </c>
      <c r="T576" s="13">
        <v>76.64</v>
      </c>
      <c r="U576" s="13">
        <v>26.824000000000002</v>
      </c>
      <c r="V576" s="21">
        <f>Table10[[#This Row],[Profit]]/Table10[[#This Row],[Sales]]</f>
        <v>0.35000000000000003</v>
      </c>
    </row>
    <row r="577" spans="1:22" x14ac:dyDescent="0.2">
      <c r="A577">
        <v>576</v>
      </c>
      <c r="B577" t="s">
        <v>9527</v>
      </c>
      <c r="C577" s="1">
        <v>42499</v>
      </c>
      <c r="D577" s="22">
        <f>MONTH(Table10[[#This Row],[Order Date]])</f>
        <v>5</v>
      </c>
      <c r="E577" t="s">
        <v>3818</v>
      </c>
      <c r="F577" t="s">
        <v>3819</v>
      </c>
      <c r="G577" s="23" t="s">
        <v>41</v>
      </c>
      <c r="H577" s="23" t="s">
        <v>68</v>
      </c>
      <c r="I577" t="s">
        <v>427</v>
      </c>
      <c r="J577" t="s">
        <v>36</v>
      </c>
      <c r="K577" s="22">
        <v>6</v>
      </c>
      <c r="L577" s="1">
        <v>42503</v>
      </c>
      <c r="M577" s="22">
        <f>Table10[[#This Row],[Ship Date]]-Table10[[#This Row],[Order Date]]</f>
        <v>4</v>
      </c>
      <c r="N577" t="s">
        <v>45</v>
      </c>
      <c r="O577" t="s">
        <v>23</v>
      </c>
      <c r="P577" t="s">
        <v>94</v>
      </c>
      <c r="Q577" t="s">
        <v>95</v>
      </c>
      <c r="R577" t="s">
        <v>1095</v>
      </c>
      <c r="S577" s="33">
        <v>0.8</v>
      </c>
      <c r="T577" s="13">
        <v>18.527999999999999</v>
      </c>
      <c r="U577" s="13">
        <v>-27.792000000000002</v>
      </c>
      <c r="V577" s="21">
        <f>Table10[[#This Row],[Profit]]/Table10[[#This Row],[Sales]]</f>
        <v>-1.5000000000000002</v>
      </c>
    </row>
    <row r="578" spans="1:22" x14ac:dyDescent="0.2">
      <c r="A578">
        <v>577</v>
      </c>
      <c r="B578" t="s">
        <v>8192</v>
      </c>
      <c r="C578" s="1">
        <v>42500</v>
      </c>
      <c r="D578" s="22">
        <f>MONTH(Table10[[#This Row],[Order Date]])</f>
        <v>5</v>
      </c>
      <c r="E578" t="s">
        <v>4693</v>
      </c>
      <c r="F578" t="s">
        <v>4694</v>
      </c>
      <c r="G578" s="23" t="s">
        <v>41</v>
      </c>
      <c r="H578" s="23" t="s">
        <v>82</v>
      </c>
      <c r="I578" t="s">
        <v>6681</v>
      </c>
      <c r="J578" t="s">
        <v>22</v>
      </c>
      <c r="K578" s="22">
        <v>2</v>
      </c>
      <c r="L578" s="1">
        <v>42506</v>
      </c>
      <c r="M578" s="22">
        <f>Table10[[#This Row],[Ship Date]]-Table10[[#This Row],[Order Date]]</f>
        <v>6</v>
      </c>
      <c r="N578" t="s">
        <v>45</v>
      </c>
      <c r="O578" t="s">
        <v>23</v>
      </c>
      <c r="P578" t="s">
        <v>87</v>
      </c>
      <c r="Q578" t="s">
        <v>39</v>
      </c>
      <c r="R578" t="s">
        <v>86</v>
      </c>
      <c r="S578" s="33">
        <v>0</v>
      </c>
      <c r="T578" s="13">
        <v>11.96</v>
      </c>
      <c r="U578" s="13">
        <v>5.8604000000000003</v>
      </c>
      <c r="V578" s="21">
        <f>Table10[[#This Row],[Profit]]/Table10[[#This Row],[Sales]]</f>
        <v>0.49</v>
      </c>
    </row>
    <row r="579" spans="1:22" x14ac:dyDescent="0.2">
      <c r="A579">
        <v>578</v>
      </c>
      <c r="B579" t="s">
        <v>9133</v>
      </c>
      <c r="C579" s="1">
        <v>42500</v>
      </c>
      <c r="D579" s="22">
        <f>MONTH(Table10[[#This Row],[Order Date]])</f>
        <v>5</v>
      </c>
      <c r="E579" t="s">
        <v>2223</v>
      </c>
      <c r="F579" t="s">
        <v>2224</v>
      </c>
      <c r="G579" s="23" t="s">
        <v>64</v>
      </c>
      <c r="H579" s="23" t="s">
        <v>65</v>
      </c>
      <c r="I579" t="s">
        <v>337</v>
      </c>
      <c r="J579" t="s">
        <v>92</v>
      </c>
      <c r="K579" s="22">
        <v>2</v>
      </c>
      <c r="L579" s="1">
        <v>42503</v>
      </c>
      <c r="M579" s="22">
        <f>Table10[[#This Row],[Ship Date]]-Table10[[#This Row],[Order Date]]</f>
        <v>3</v>
      </c>
      <c r="N579" t="s">
        <v>20</v>
      </c>
      <c r="O579" t="s">
        <v>23</v>
      </c>
      <c r="P579" t="s">
        <v>132</v>
      </c>
      <c r="Q579" t="s">
        <v>133</v>
      </c>
      <c r="R579" t="s">
        <v>131</v>
      </c>
      <c r="S579" s="33">
        <v>0.4</v>
      </c>
      <c r="T579" s="13">
        <v>743.98800000000006</v>
      </c>
      <c r="U579" s="13">
        <v>-123.998</v>
      </c>
      <c r="V579" s="21">
        <f>Table10[[#This Row],[Profit]]/Table10[[#This Row],[Sales]]</f>
        <v>-0.16666666666666666</v>
      </c>
    </row>
    <row r="580" spans="1:22" x14ac:dyDescent="0.2">
      <c r="A580">
        <v>579</v>
      </c>
      <c r="B580" t="s">
        <v>9796</v>
      </c>
      <c r="C580" s="1">
        <v>42500</v>
      </c>
      <c r="D580" s="22">
        <f>MONTH(Table10[[#This Row],[Order Date]])</f>
        <v>5</v>
      </c>
      <c r="E580" t="s">
        <v>9797</v>
      </c>
      <c r="F580" t="s">
        <v>9798</v>
      </c>
      <c r="G580" s="23" t="s">
        <v>41</v>
      </c>
      <c r="H580" s="23" t="s">
        <v>155</v>
      </c>
      <c r="I580" t="s">
        <v>3160</v>
      </c>
      <c r="J580" t="s">
        <v>22</v>
      </c>
      <c r="K580" s="22">
        <v>2</v>
      </c>
      <c r="L580" s="1">
        <v>42505</v>
      </c>
      <c r="M580" s="22">
        <f>Table10[[#This Row],[Ship Date]]-Table10[[#This Row],[Order Date]]</f>
        <v>5</v>
      </c>
      <c r="N580" t="s">
        <v>45</v>
      </c>
      <c r="O580" t="s">
        <v>23</v>
      </c>
      <c r="P580" t="s">
        <v>189</v>
      </c>
      <c r="Q580" t="s">
        <v>95</v>
      </c>
      <c r="R580" t="s">
        <v>271</v>
      </c>
      <c r="S580" s="33">
        <v>0.2</v>
      </c>
      <c r="T580" s="13">
        <v>7.0720000000000001</v>
      </c>
      <c r="U580" s="13">
        <v>2.3868</v>
      </c>
      <c r="V580" s="21">
        <f>Table10[[#This Row],[Profit]]/Table10[[#This Row],[Sales]]</f>
        <v>0.33750000000000002</v>
      </c>
    </row>
    <row r="581" spans="1:22" x14ac:dyDescent="0.2">
      <c r="A581">
        <v>580</v>
      </c>
      <c r="B581" t="s">
        <v>578</v>
      </c>
      <c r="C581" s="1">
        <v>42501</v>
      </c>
      <c r="D581" s="22">
        <f>MONTH(Table10[[#This Row],[Order Date]])</f>
        <v>5</v>
      </c>
      <c r="E581" t="s">
        <v>580</v>
      </c>
      <c r="F581" t="s">
        <v>581</v>
      </c>
      <c r="G581" s="23" t="s">
        <v>41</v>
      </c>
      <c r="H581" s="23" t="s">
        <v>82</v>
      </c>
      <c r="I581" t="s">
        <v>579</v>
      </c>
      <c r="J581" t="s">
        <v>22</v>
      </c>
      <c r="K581" s="22">
        <v>1</v>
      </c>
      <c r="L581" s="1">
        <v>42502</v>
      </c>
      <c r="M581" s="22">
        <f>Table10[[#This Row],[Ship Date]]-Table10[[#This Row],[Order Date]]</f>
        <v>1</v>
      </c>
      <c r="N581" t="s">
        <v>169</v>
      </c>
      <c r="O581" t="s">
        <v>23</v>
      </c>
      <c r="P581" t="s">
        <v>38</v>
      </c>
      <c r="Q581" t="s">
        <v>39</v>
      </c>
      <c r="R581" t="s">
        <v>37</v>
      </c>
      <c r="S581" s="33">
        <v>0</v>
      </c>
      <c r="T581" s="13">
        <v>5.98</v>
      </c>
      <c r="U581" s="13">
        <v>2.6909999999999998</v>
      </c>
      <c r="V581" s="21">
        <f>Table10[[#This Row],[Profit]]/Table10[[#This Row],[Sales]]</f>
        <v>0.44999999999999996</v>
      </c>
    </row>
    <row r="582" spans="1:22" x14ac:dyDescent="0.2">
      <c r="A582">
        <v>581</v>
      </c>
      <c r="B582" t="s">
        <v>3695</v>
      </c>
      <c r="C582" s="1">
        <v>42502</v>
      </c>
      <c r="D582" s="22">
        <f>MONTH(Table10[[#This Row],[Order Date]])</f>
        <v>5</v>
      </c>
      <c r="E582" t="s">
        <v>1538</v>
      </c>
      <c r="F582" t="s">
        <v>1539</v>
      </c>
      <c r="G582" s="23" t="s">
        <v>41</v>
      </c>
      <c r="H582" s="23" t="s">
        <v>61</v>
      </c>
      <c r="I582" t="s">
        <v>3696</v>
      </c>
      <c r="J582" t="s">
        <v>36</v>
      </c>
      <c r="K582" s="22">
        <v>4</v>
      </c>
      <c r="L582" s="1">
        <v>42506</v>
      </c>
      <c r="M582" s="22">
        <f>Table10[[#This Row],[Ship Date]]-Table10[[#This Row],[Order Date]]</f>
        <v>4</v>
      </c>
      <c r="N582" t="s">
        <v>45</v>
      </c>
      <c r="O582" t="s">
        <v>23</v>
      </c>
      <c r="P582" t="s">
        <v>285</v>
      </c>
      <c r="Q582" t="s">
        <v>26</v>
      </c>
      <c r="R582" t="s">
        <v>2621</v>
      </c>
      <c r="S582" s="33">
        <v>0</v>
      </c>
      <c r="T582" s="13">
        <v>10.96</v>
      </c>
      <c r="U582" s="13">
        <v>2.9592000000000001</v>
      </c>
      <c r="V582" s="21">
        <f>Table10[[#This Row],[Profit]]/Table10[[#This Row],[Sales]]</f>
        <v>0.26999999999999996</v>
      </c>
    </row>
    <row r="583" spans="1:22" x14ac:dyDescent="0.2">
      <c r="A583">
        <v>582</v>
      </c>
      <c r="B583" t="s">
        <v>6201</v>
      </c>
      <c r="C583" s="1">
        <v>42502</v>
      </c>
      <c r="D583" s="22">
        <f>MONTH(Table10[[#This Row],[Order Date]])</f>
        <v>5</v>
      </c>
      <c r="E583" t="s">
        <v>847</v>
      </c>
      <c r="F583" t="s">
        <v>848</v>
      </c>
      <c r="G583" s="23" t="s">
        <v>41</v>
      </c>
      <c r="H583" s="23" t="s">
        <v>53</v>
      </c>
      <c r="I583" t="s">
        <v>3909</v>
      </c>
      <c r="J583" t="s">
        <v>36</v>
      </c>
      <c r="K583" s="22">
        <v>2</v>
      </c>
      <c r="L583" s="1">
        <v>42507</v>
      </c>
      <c r="M583" s="22">
        <f>Table10[[#This Row],[Ship Date]]-Table10[[#This Row],[Order Date]]</f>
        <v>5</v>
      </c>
      <c r="N583" t="s">
        <v>45</v>
      </c>
      <c r="O583" t="s">
        <v>23</v>
      </c>
      <c r="P583" t="s">
        <v>132</v>
      </c>
      <c r="Q583" t="s">
        <v>133</v>
      </c>
      <c r="R583" t="s">
        <v>131</v>
      </c>
      <c r="S583" s="33">
        <v>0.2</v>
      </c>
      <c r="T583" s="13">
        <v>82.367999999999995</v>
      </c>
      <c r="U583" s="13">
        <v>-19.5624</v>
      </c>
      <c r="V583" s="21">
        <f>Table10[[#This Row],[Profit]]/Table10[[#This Row],[Sales]]</f>
        <v>-0.23750000000000002</v>
      </c>
    </row>
    <row r="584" spans="1:22" x14ac:dyDescent="0.2">
      <c r="A584">
        <v>583</v>
      </c>
      <c r="B584" t="s">
        <v>8498</v>
      </c>
      <c r="C584" s="1">
        <v>42502</v>
      </c>
      <c r="D584" s="22">
        <f>MONTH(Table10[[#This Row],[Order Date]])</f>
        <v>5</v>
      </c>
      <c r="E584" t="s">
        <v>2055</v>
      </c>
      <c r="F584" t="s">
        <v>2056</v>
      </c>
      <c r="G584" s="23" t="s">
        <v>41</v>
      </c>
      <c r="H584" s="23" t="s">
        <v>155</v>
      </c>
      <c r="I584" t="s">
        <v>7230</v>
      </c>
      <c r="J584" t="s">
        <v>22</v>
      </c>
      <c r="K584" s="22">
        <v>5</v>
      </c>
      <c r="L584" s="1">
        <v>42507</v>
      </c>
      <c r="M584" s="22">
        <f>Table10[[#This Row],[Ship Date]]-Table10[[#This Row],[Order Date]]</f>
        <v>5</v>
      </c>
      <c r="N584" t="s">
        <v>45</v>
      </c>
      <c r="O584" t="s">
        <v>23</v>
      </c>
      <c r="P584" t="s">
        <v>87</v>
      </c>
      <c r="Q584" t="s">
        <v>39</v>
      </c>
      <c r="R584" t="s">
        <v>86</v>
      </c>
      <c r="S584" s="33">
        <v>0</v>
      </c>
      <c r="T584" s="13">
        <v>54.9</v>
      </c>
      <c r="U584" s="13">
        <v>26.901</v>
      </c>
      <c r="V584" s="21">
        <f>Table10[[#This Row],[Profit]]/Table10[[#This Row],[Sales]]</f>
        <v>0.49</v>
      </c>
    </row>
    <row r="585" spans="1:22" x14ac:dyDescent="0.2">
      <c r="A585">
        <v>584</v>
      </c>
      <c r="B585" t="s">
        <v>9737</v>
      </c>
      <c r="C585" s="1">
        <v>42502</v>
      </c>
      <c r="D585" s="22">
        <f>MONTH(Table10[[#This Row],[Order Date]])</f>
        <v>5</v>
      </c>
      <c r="E585" t="s">
        <v>5892</v>
      </c>
      <c r="F585" t="s">
        <v>5893</v>
      </c>
      <c r="G585" s="23" t="s">
        <v>28</v>
      </c>
      <c r="H585" s="23" t="s">
        <v>58</v>
      </c>
      <c r="I585" t="s">
        <v>3303</v>
      </c>
      <c r="J585" t="s">
        <v>36</v>
      </c>
      <c r="K585" s="22">
        <v>3</v>
      </c>
      <c r="L585" s="1">
        <v>42507</v>
      </c>
      <c r="M585" s="22">
        <f>Table10[[#This Row],[Ship Date]]-Table10[[#This Row],[Order Date]]</f>
        <v>5</v>
      </c>
      <c r="N585" t="s">
        <v>45</v>
      </c>
      <c r="O585" t="s">
        <v>23</v>
      </c>
      <c r="P585" t="s">
        <v>238</v>
      </c>
      <c r="Q585" t="s">
        <v>133</v>
      </c>
      <c r="R585" t="s">
        <v>237</v>
      </c>
      <c r="S585" s="33">
        <v>0</v>
      </c>
      <c r="T585" s="13">
        <v>10.02</v>
      </c>
      <c r="U585" s="13">
        <v>4.4088000000000003</v>
      </c>
      <c r="V585" s="21">
        <f>Table10[[#This Row],[Profit]]/Table10[[#This Row],[Sales]]</f>
        <v>0.44000000000000006</v>
      </c>
    </row>
    <row r="586" spans="1:22" x14ac:dyDescent="0.2">
      <c r="A586">
        <v>585</v>
      </c>
      <c r="B586" t="s">
        <v>9737</v>
      </c>
      <c r="C586" s="1">
        <v>42502</v>
      </c>
      <c r="D586" s="22">
        <f>MONTH(Table10[[#This Row],[Order Date]])</f>
        <v>5</v>
      </c>
      <c r="E586" t="s">
        <v>4947</v>
      </c>
      <c r="F586" t="s">
        <v>4948</v>
      </c>
      <c r="G586" s="23" t="s">
        <v>64</v>
      </c>
      <c r="H586" s="23" t="s">
        <v>65</v>
      </c>
      <c r="I586" t="s">
        <v>3303</v>
      </c>
      <c r="J586" t="s">
        <v>36</v>
      </c>
      <c r="K586" s="22">
        <v>4</v>
      </c>
      <c r="L586" s="1">
        <v>42507</v>
      </c>
      <c r="M586" s="22">
        <f>Table10[[#This Row],[Ship Date]]-Table10[[#This Row],[Order Date]]</f>
        <v>5</v>
      </c>
      <c r="N586" t="s">
        <v>45</v>
      </c>
      <c r="O586" t="s">
        <v>23</v>
      </c>
      <c r="P586" t="s">
        <v>238</v>
      </c>
      <c r="Q586" t="s">
        <v>133</v>
      </c>
      <c r="R586" t="s">
        <v>237</v>
      </c>
      <c r="S586" s="33">
        <v>0</v>
      </c>
      <c r="T586" s="13">
        <v>631.96</v>
      </c>
      <c r="U586" s="13">
        <v>303.3408</v>
      </c>
      <c r="V586" s="21">
        <f>Table10[[#This Row],[Profit]]/Table10[[#This Row],[Sales]]</f>
        <v>0.48</v>
      </c>
    </row>
    <row r="587" spans="1:22" x14ac:dyDescent="0.2">
      <c r="A587">
        <v>586</v>
      </c>
      <c r="B587" t="s">
        <v>9875</v>
      </c>
      <c r="C587" s="1">
        <v>42502</v>
      </c>
      <c r="D587" s="22">
        <f>MONTH(Table10[[#This Row],[Order Date]])</f>
        <v>5</v>
      </c>
      <c r="E587" t="s">
        <v>8824</v>
      </c>
      <c r="F587" t="s">
        <v>8825</v>
      </c>
      <c r="G587" s="23" t="s">
        <v>64</v>
      </c>
      <c r="H587" s="23" t="s">
        <v>144</v>
      </c>
      <c r="I587" t="s">
        <v>6180</v>
      </c>
      <c r="J587" t="s">
        <v>22</v>
      </c>
      <c r="K587" s="22">
        <v>6</v>
      </c>
      <c r="L587" s="1">
        <v>42506</v>
      </c>
      <c r="M587" s="22">
        <f>Table10[[#This Row],[Ship Date]]-Table10[[#This Row],[Order Date]]</f>
        <v>4</v>
      </c>
      <c r="N587" t="s">
        <v>45</v>
      </c>
      <c r="O587" t="s">
        <v>23</v>
      </c>
      <c r="P587" t="s">
        <v>38</v>
      </c>
      <c r="Q587" t="s">
        <v>39</v>
      </c>
      <c r="R587" t="s">
        <v>1865</v>
      </c>
      <c r="S587" s="33">
        <v>0</v>
      </c>
      <c r="T587" s="13">
        <v>120</v>
      </c>
      <c r="U587" s="13">
        <v>46.8</v>
      </c>
      <c r="V587" s="21">
        <f>Table10[[#This Row],[Profit]]/Table10[[#This Row],[Sales]]</f>
        <v>0.38999999999999996</v>
      </c>
    </row>
    <row r="588" spans="1:22" x14ac:dyDescent="0.2">
      <c r="A588">
        <v>587</v>
      </c>
      <c r="B588" t="s">
        <v>9875</v>
      </c>
      <c r="C588" s="1">
        <v>42502</v>
      </c>
      <c r="D588" s="22">
        <f>MONTH(Table10[[#This Row],[Order Date]])</f>
        <v>5</v>
      </c>
      <c r="E588" t="s">
        <v>4690</v>
      </c>
      <c r="F588" t="s">
        <v>1262</v>
      </c>
      <c r="G588" s="23" t="s">
        <v>41</v>
      </c>
      <c r="H588" s="23" t="s">
        <v>71</v>
      </c>
      <c r="I588" t="s">
        <v>6180</v>
      </c>
      <c r="J588" t="s">
        <v>22</v>
      </c>
      <c r="K588" s="22">
        <v>1</v>
      </c>
      <c r="L588" s="1">
        <v>42506</v>
      </c>
      <c r="M588" s="22">
        <f>Table10[[#This Row],[Ship Date]]-Table10[[#This Row],[Order Date]]</f>
        <v>4</v>
      </c>
      <c r="N588" t="s">
        <v>45</v>
      </c>
      <c r="O588" t="s">
        <v>23</v>
      </c>
      <c r="P588" t="s">
        <v>38</v>
      </c>
      <c r="Q588" t="s">
        <v>39</v>
      </c>
      <c r="R588" t="s">
        <v>1865</v>
      </c>
      <c r="S588" s="33">
        <v>0</v>
      </c>
      <c r="T588" s="13">
        <v>8.67</v>
      </c>
      <c r="U588" s="13">
        <v>2.3409</v>
      </c>
      <c r="V588" s="21">
        <f>Table10[[#This Row],[Profit]]/Table10[[#This Row],[Sales]]</f>
        <v>0.27</v>
      </c>
    </row>
    <row r="589" spans="1:22" x14ac:dyDescent="0.2">
      <c r="A589">
        <v>588</v>
      </c>
      <c r="B589" t="s">
        <v>4519</v>
      </c>
      <c r="C589" s="1">
        <v>42504</v>
      </c>
      <c r="D589" s="22">
        <f>MONTH(Table10[[#This Row],[Order Date]])</f>
        <v>5</v>
      </c>
      <c r="E589" t="s">
        <v>3756</v>
      </c>
      <c r="F589" t="s">
        <v>3757</v>
      </c>
      <c r="G589" s="23" t="s">
        <v>28</v>
      </c>
      <c r="H589" s="23" t="s">
        <v>58</v>
      </c>
      <c r="I589" t="s">
        <v>831</v>
      </c>
      <c r="J589" t="s">
        <v>22</v>
      </c>
      <c r="K589" s="22">
        <v>1</v>
      </c>
      <c r="L589" s="1">
        <v>42504</v>
      </c>
      <c r="M589" s="22">
        <f>Table10[[#This Row],[Ship Date]]-Table10[[#This Row],[Order Date]]</f>
        <v>0</v>
      </c>
      <c r="N589" t="s">
        <v>1141</v>
      </c>
      <c r="O589" t="s">
        <v>23</v>
      </c>
      <c r="P589" t="s">
        <v>441</v>
      </c>
      <c r="Q589" t="s">
        <v>133</v>
      </c>
      <c r="R589" t="s">
        <v>887</v>
      </c>
      <c r="S589" s="33">
        <v>0.2</v>
      </c>
      <c r="T589" s="13">
        <v>79.384</v>
      </c>
      <c r="U589" s="13">
        <v>29.768999999999998</v>
      </c>
      <c r="V589" s="21">
        <f>Table10[[#This Row],[Profit]]/Table10[[#This Row],[Sales]]</f>
        <v>0.375</v>
      </c>
    </row>
    <row r="590" spans="1:22" x14ac:dyDescent="0.2">
      <c r="A590">
        <v>589</v>
      </c>
      <c r="B590" t="s">
        <v>7037</v>
      </c>
      <c r="C590" s="1">
        <v>42504</v>
      </c>
      <c r="D590" s="22">
        <f>MONTH(Table10[[#This Row],[Order Date]])</f>
        <v>5</v>
      </c>
      <c r="E590" t="s">
        <v>4429</v>
      </c>
      <c r="F590" t="s">
        <v>4430</v>
      </c>
      <c r="G590" s="23" t="s">
        <v>41</v>
      </c>
      <c r="H590" s="23" t="s">
        <v>68</v>
      </c>
      <c r="I590" t="s">
        <v>1142</v>
      </c>
      <c r="J590" t="s">
        <v>36</v>
      </c>
      <c r="K590" s="22">
        <v>3</v>
      </c>
      <c r="L590" s="1">
        <v>42509</v>
      </c>
      <c r="M590" s="22">
        <f>Table10[[#This Row],[Ship Date]]-Table10[[#This Row],[Order Date]]</f>
        <v>5</v>
      </c>
      <c r="N590" t="s">
        <v>45</v>
      </c>
      <c r="O590" t="s">
        <v>23</v>
      </c>
      <c r="P590" t="s">
        <v>48</v>
      </c>
      <c r="Q590" t="s">
        <v>26</v>
      </c>
      <c r="R590" t="s">
        <v>1345</v>
      </c>
      <c r="S590" s="33">
        <v>0.7</v>
      </c>
      <c r="T590" s="13">
        <v>57.582000000000001</v>
      </c>
      <c r="U590" s="13">
        <v>-44.1462</v>
      </c>
      <c r="V590" s="21">
        <f>Table10[[#This Row],[Profit]]/Table10[[#This Row],[Sales]]</f>
        <v>-0.76666666666666661</v>
      </c>
    </row>
    <row r="591" spans="1:22" x14ac:dyDescent="0.2">
      <c r="A591">
        <v>590</v>
      </c>
      <c r="B591" t="s">
        <v>7037</v>
      </c>
      <c r="C591" s="1">
        <v>42504</v>
      </c>
      <c r="D591" s="22">
        <f>MONTH(Table10[[#This Row],[Order Date]])</f>
        <v>5</v>
      </c>
      <c r="E591" t="s">
        <v>4916</v>
      </c>
      <c r="F591" t="s">
        <v>4917</v>
      </c>
      <c r="G591" s="23" t="s">
        <v>41</v>
      </c>
      <c r="H591" s="23" t="s">
        <v>82</v>
      </c>
      <c r="I591" t="s">
        <v>1142</v>
      </c>
      <c r="J591" t="s">
        <v>36</v>
      </c>
      <c r="K591" s="22">
        <v>6</v>
      </c>
      <c r="L591" s="1">
        <v>42509</v>
      </c>
      <c r="M591" s="22">
        <f>Table10[[#This Row],[Ship Date]]-Table10[[#This Row],[Order Date]]</f>
        <v>5</v>
      </c>
      <c r="N591" t="s">
        <v>45</v>
      </c>
      <c r="O591" t="s">
        <v>23</v>
      </c>
      <c r="P591" t="s">
        <v>48</v>
      </c>
      <c r="Q591" t="s">
        <v>26</v>
      </c>
      <c r="R591" t="s">
        <v>1345</v>
      </c>
      <c r="S591" s="33">
        <v>0.2</v>
      </c>
      <c r="T591" s="13">
        <v>31.103999999999999</v>
      </c>
      <c r="U591" s="13">
        <v>10.8864</v>
      </c>
      <c r="V591" s="21">
        <f>Table10[[#This Row],[Profit]]/Table10[[#This Row],[Sales]]</f>
        <v>0.35000000000000003</v>
      </c>
    </row>
    <row r="592" spans="1:22" x14ac:dyDescent="0.2">
      <c r="A592">
        <v>591</v>
      </c>
      <c r="B592" t="s">
        <v>7037</v>
      </c>
      <c r="C592" s="1">
        <v>42504</v>
      </c>
      <c r="D592" s="22">
        <f>MONTH(Table10[[#This Row],[Order Date]])</f>
        <v>5</v>
      </c>
      <c r="E592" t="s">
        <v>6306</v>
      </c>
      <c r="F592" t="s">
        <v>6307</v>
      </c>
      <c r="G592" s="23" t="s">
        <v>28</v>
      </c>
      <c r="H592" s="23" t="s">
        <v>58</v>
      </c>
      <c r="I592" t="s">
        <v>1142</v>
      </c>
      <c r="J592" t="s">
        <v>36</v>
      </c>
      <c r="K592" s="22">
        <v>3</v>
      </c>
      <c r="L592" s="1">
        <v>42509</v>
      </c>
      <c r="M592" s="22">
        <f>Table10[[#This Row],[Ship Date]]-Table10[[#This Row],[Order Date]]</f>
        <v>5</v>
      </c>
      <c r="N592" t="s">
        <v>45</v>
      </c>
      <c r="O592" t="s">
        <v>23</v>
      </c>
      <c r="P592" t="s">
        <v>48</v>
      </c>
      <c r="Q592" t="s">
        <v>26</v>
      </c>
      <c r="R592" t="s">
        <v>1345</v>
      </c>
      <c r="S592" s="33">
        <v>0.2</v>
      </c>
      <c r="T592" s="13">
        <v>30.192</v>
      </c>
      <c r="U592" s="13">
        <v>8.3027999999999995</v>
      </c>
      <c r="V592" s="21">
        <f>Table10[[#This Row],[Profit]]/Table10[[#This Row],[Sales]]</f>
        <v>0.27499999999999997</v>
      </c>
    </row>
    <row r="593" spans="1:22" x14ac:dyDescent="0.2">
      <c r="A593">
        <v>592</v>
      </c>
      <c r="B593" t="s">
        <v>7037</v>
      </c>
      <c r="C593" s="1">
        <v>42504</v>
      </c>
      <c r="D593" s="22">
        <f>MONTH(Table10[[#This Row],[Order Date]])</f>
        <v>5</v>
      </c>
      <c r="E593" t="s">
        <v>221</v>
      </c>
      <c r="F593" t="s">
        <v>222</v>
      </c>
      <c r="G593" s="23" t="s">
        <v>64</v>
      </c>
      <c r="H593" s="23" t="s">
        <v>65</v>
      </c>
      <c r="I593" t="s">
        <v>1142</v>
      </c>
      <c r="J593" t="s">
        <v>36</v>
      </c>
      <c r="K593" s="22">
        <v>5</v>
      </c>
      <c r="L593" s="1">
        <v>42509</v>
      </c>
      <c r="M593" s="22">
        <f>Table10[[#This Row],[Ship Date]]-Table10[[#This Row],[Order Date]]</f>
        <v>5</v>
      </c>
      <c r="N593" t="s">
        <v>45</v>
      </c>
      <c r="O593" t="s">
        <v>23</v>
      </c>
      <c r="P593" t="s">
        <v>48</v>
      </c>
      <c r="Q593" t="s">
        <v>26</v>
      </c>
      <c r="R593" t="s">
        <v>1345</v>
      </c>
      <c r="S593" s="33">
        <v>0.2</v>
      </c>
      <c r="T593" s="13">
        <v>43.6</v>
      </c>
      <c r="U593" s="13">
        <v>4.3600000000000003</v>
      </c>
      <c r="V593" s="21">
        <f>Table10[[#This Row],[Profit]]/Table10[[#This Row],[Sales]]</f>
        <v>0.1</v>
      </c>
    </row>
    <row r="594" spans="1:22" x14ac:dyDescent="0.2">
      <c r="A594">
        <v>593</v>
      </c>
      <c r="B594" t="s">
        <v>7037</v>
      </c>
      <c r="C594" s="1">
        <v>42504</v>
      </c>
      <c r="D594" s="22">
        <f>MONTH(Table10[[#This Row],[Order Date]])</f>
        <v>5</v>
      </c>
      <c r="E594" t="s">
        <v>7038</v>
      </c>
      <c r="F594" t="s">
        <v>7039</v>
      </c>
      <c r="G594" s="23" t="s">
        <v>41</v>
      </c>
      <c r="H594" s="23" t="s">
        <v>61</v>
      </c>
      <c r="I594" t="s">
        <v>1142</v>
      </c>
      <c r="J594" t="s">
        <v>36</v>
      </c>
      <c r="K594" s="22">
        <v>2</v>
      </c>
      <c r="L594" s="1">
        <v>42509</v>
      </c>
      <c r="M594" s="22">
        <f>Table10[[#This Row],[Ship Date]]-Table10[[#This Row],[Order Date]]</f>
        <v>5</v>
      </c>
      <c r="N594" t="s">
        <v>45</v>
      </c>
      <c r="O594" t="s">
        <v>23</v>
      </c>
      <c r="P594" t="s">
        <v>48</v>
      </c>
      <c r="Q594" t="s">
        <v>26</v>
      </c>
      <c r="R594" t="s">
        <v>1345</v>
      </c>
      <c r="S594" s="33">
        <v>0.2</v>
      </c>
      <c r="T594" s="13">
        <v>4.7679999999999998</v>
      </c>
      <c r="U594" s="13">
        <v>0.41720000000000002</v>
      </c>
      <c r="V594" s="21">
        <f>Table10[[#This Row],[Profit]]/Table10[[#This Row],[Sales]]</f>
        <v>8.7500000000000008E-2</v>
      </c>
    </row>
    <row r="595" spans="1:22" x14ac:dyDescent="0.2">
      <c r="A595">
        <v>594</v>
      </c>
      <c r="B595" t="s">
        <v>7037</v>
      </c>
      <c r="C595" s="1">
        <v>42504</v>
      </c>
      <c r="D595" s="22">
        <f>MONTH(Table10[[#This Row],[Order Date]])</f>
        <v>5</v>
      </c>
      <c r="E595" t="s">
        <v>594</v>
      </c>
      <c r="F595" t="s">
        <v>595</v>
      </c>
      <c r="G595" s="23" t="s">
        <v>41</v>
      </c>
      <c r="H595" s="23" t="s">
        <v>68</v>
      </c>
      <c r="I595" t="s">
        <v>1142</v>
      </c>
      <c r="J595" t="s">
        <v>36</v>
      </c>
      <c r="K595" s="22">
        <v>2</v>
      </c>
      <c r="L595" s="1">
        <v>42509</v>
      </c>
      <c r="M595" s="22">
        <f>Table10[[#This Row],[Ship Date]]-Table10[[#This Row],[Order Date]]</f>
        <v>5</v>
      </c>
      <c r="N595" t="s">
        <v>45</v>
      </c>
      <c r="O595" t="s">
        <v>23</v>
      </c>
      <c r="P595" t="s">
        <v>48</v>
      </c>
      <c r="Q595" t="s">
        <v>26</v>
      </c>
      <c r="R595" t="s">
        <v>1345</v>
      </c>
      <c r="S595" s="33">
        <v>0.7</v>
      </c>
      <c r="T595" s="13">
        <v>10.38</v>
      </c>
      <c r="U595" s="13">
        <v>-7.6120000000000001</v>
      </c>
      <c r="V595" s="21">
        <f>Table10[[#This Row],[Profit]]/Table10[[#This Row],[Sales]]</f>
        <v>-0.73333333333333328</v>
      </c>
    </row>
    <row r="596" spans="1:22" x14ac:dyDescent="0.2">
      <c r="A596">
        <v>595</v>
      </c>
      <c r="B596" t="s">
        <v>7037</v>
      </c>
      <c r="C596" s="1">
        <v>42504</v>
      </c>
      <c r="D596" s="22">
        <f>MONTH(Table10[[#This Row],[Order Date]])</f>
        <v>5</v>
      </c>
      <c r="E596" t="s">
        <v>323</v>
      </c>
      <c r="F596" t="s">
        <v>324</v>
      </c>
      <c r="G596" s="23" t="s">
        <v>41</v>
      </c>
      <c r="H596" s="23" t="s">
        <v>68</v>
      </c>
      <c r="I596" t="s">
        <v>1142</v>
      </c>
      <c r="J596" t="s">
        <v>36</v>
      </c>
      <c r="K596" s="22">
        <v>8</v>
      </c>
      <c r="L596" s="1">
        <v>42509</v>
      </c>
      <c r="M596" s="22">
        <f>Table10[[#This Row],[Ship Date]]-Table10[[#This Row],[Order Date]]</f>
        <v>5</v>
      </c>
      <c r="N596" t="s">
        <v>45</v>
      </c>
      <c r="O596" t="s">
        <v>23</v>
      </c>
      <c r="P596" t="s">
        <v>48</v>
      </c>
      <c r="Q596" t="s">
        <v>26</v>
      </c>
      <c r="R596" t="s">
        <v>1345</v>
      </c>
      <c r="S596" s="33">
        <v>0.7</v>
      </c>
      <c r="T596" s="13">
        <v>13.391999999999999</v>
      </c>
      <c r="U596" s="13">
        <v>-9.8208000000000002</v>
      </c>
      <c r="V596" s="21">
        <f>Table10[[#This Row],[Profit]]/Table10[[#This Row],[Sales]]</f>
        <v>-0.73333333333333339</v>
      </c>
    </row>
    <row r="597" spans="1:22" x14ac:dyDescent="0.2">
      <c r="A597">
        <v>596</v>
      </c>
      <c r="B597" t="s">
        <v>8614</v>
      </c>
      <c r="C597" s="1">
        <v>42504</v>
      </c>
      <c r="D597" s="22">
        <f>MONTH(Table10[[#This Row],[Order Date]])</f>
        <v>5</v>
      </c>
      <c r="E597" t="s">
        <v>800</v>
      </c>
      <c r="F597" t="s">
        <v>1581</v>
      </c>
      <c r="G597" s="23" t="s">
        <v>64</v>
      </c>
      <c r="H597" s="23" t="s">
        <v>144</v>
      </c>
      <c r="I597" t="s">
        <v>1913</v>
      </c>
      <c r="J597" t="s">
        <v>36</v>
      </c>
      <c r="K597" s="22">
        <v>7</v>
      </c>
      <c r="L597" s="1">
        <v>42504</v>
      </c>
      <c r="M597" s="22">
        <f>Table10[[#This Row],[Ship Date]]-Table10[[#This Row],[Order Date]]</f>
        <v>0</v>
      </c>
      <c r="N597" t="s">
        <v>1141</v>
      </c>
      <c r="O597" t="s">
        <v>23</v>
      </c>
      <c r="P597" t="s">
        <v>277</v>
      </c>
      <c r="Q597" t="s">
        <v>39</v>
      </c>
      <c r="R597" t="s">
        <v>7053</v>
      </c>
      <c r="S597" s="33">
        <v>0.2</v>
      </c>
      <c r="T597" s="13">
        <v>185.52799999999999</v>
      </c>
      <c r="U597" s="13">
        <v>48.701099999999997</v>
      </c>
      <c r="V597" s="21">
        <f>Table10[[#This Row],[Profit]]/Table10[[#This Row],[Sales]]</f>
        <v>0.26250000000000001</v>
      </c>
    </row>
    <row r="598" spans="1:22" x14ac:dyDescent="0.2">
      <c r="A598">
        <v>597</v>
      </c>
      <c r="B598" t="s">
        <v>4428</v>
      </c>
      <c r="C598" s="1">
        <v>42505</v>
      </c>
      <c r="D598" s="22">
        <f>MONTH(Table10[[#This Row],[Order Date]])</f>
        <v>5</v>
      </c>
      <c r="E598" t="s">
        <v>4429</v>
      </c>
      <c r="F598" t="s">
        <v>4430</v>
      </c>
      <c r="G598" s="23" t="s">
        <v>41</v>
      </c>
      <c r="H598" s="23" t="s">
        <v>68</v>
      </c>
      <c r="I598" t="s">
        <v>177</v>
      </c>
      <c r="J598" t="s">
        <v>92</v>
      </c>
      <c r="K598" s="22">
        <v>8</v>
      </c>
      <c r="L598" s="1">
        <v>42510</v>
      </c>
      <c r="M598" s="22">
        <f>Table10[[#This Row],[Ship Date]]-Table10[[#This Row],[Order Date]]</f>
        <v>5</v>
      </c>
      <c r="N598" t="s">
        <v>45</v>
      </c>
      <c r="O598" t="s">
        <v>23</v>
      </c>
      <c r="P598" t="s">
        <v>1315</v>
      </c>
      <c r="Q598" t="s">
        <v>26</v>
      </c>
      <c r="R598" t="s">
        <v>293</v>
      </c>
      <c r="S598" s="33">
        <v>0</v>
      </c>
      <c r="T598" s="13">
        <v>511.84</v>
      </c>
      <c r="U598" s="13">
        <v>240.56479999999999</v>
      </c>
      <c r="V598" s="21">
        <f>Table10[[#This Row],[Profit]]/Table10[[#This Row],[Sales]]</f>
        <v>0.47000000000000003</v>
      </c>
    </row>
    <row r="599" spans="1:22" x14ac:dyDescent="0.2">
      <c r="A599">
        <v>598</v>
      </c>
      <c r="B599" t="s">
        <v>4428</v>
      </c>
      <c r="C599" s="1">
        <v>42505</v>
      </c>
      <c r="D599" s="22">
        <f>MONTH(Table10[[#This Row],[Order Date]])</f>
        <v>5</v>
      </c>
      <c r="E599" t="s">
        <v>4431</v>
      </c>
      <c r="F599" t="s">
        <v>4432</v>
      </c>
      <c r="G599" s="23" t="s">
        <v>41</v>
      </c>
      <c r="H599" s="23" t="s">
        <v>61</v>
      </c>
      <c r="I599" t="s">
        <v>177</v>
      </c>
      <c r="J599" t="s">
        <v>92</v>
      </c>
      <c r="K599" s="22">
        <v>4</v>
      </c>
      <c r="L599" s="1">
        <v>42510</v>
      </c>
      <c r="M599" s="22">
        <f>Table10[[#This Row],[Ship Date]]-Table10[[#This Row],[Order Date]]</f>
        <v>5</v>
      </c>
      <c r="N599" t="s">
        <v>45</v>
      </c>
      <c r="O599" t="s">
        <v>23</v>
      </c>
      <c r="P599" t="s">
        <v>1315</v>
      </c>
      <c r="Q599" t="s">
        <v>26</v>
      </c>
      <c r="R599" t="s">
        <v>293</v>
      </c>
      <c r="S599" s="33">
        <v>0</v>
      </c>
      <c r="T599" s="13">
        <v>91.96</v>
      </c>
      <c r="U599" s="13">
        <v>25.748799999999999</v>
      </c>
      <c r="V599" s="21">
        <f>Table10[[#This Row],[Profit]]/Table10[[#This Row],[Sales]]</f>
        <v>0.28000000000000003</v>
      </c>
    </row>
    <row r="600" spans="1:22" x14ac:dyDescent="0.2">
      <c r="A600">
        <v>599</v>
      </c>
      <c r="B600" t="s">
        <v>4428</v>
      </c>
      <c r="C600" s="1">
        <v>42505</v>
      </c>
      <c r="D600" s="22">
        <f>MONTH(Table10[[#This Row],[Order Date]])</f>
        <v>5</v>
      </c>
      <c r="E600" t="s">
        <v>1540</v>
      </c>
      <c r="F600" t="s">
        <v>1541</v>
      </c>
      <c r="G600" s="23" t="s">
        <v>41</v>
      </c>
      <c r="H600" s="23" t="s">
        <v>61</v>
      </c>
      <c r="I600" t="s">
        <v>177</v>
      </c>
      <c r="J600" t="s">
        <v>92</v>
      </c>
      <c r="K600" s="22">
        <v>3</v>
      </c>
      <c r="L600" s="1">
        <v>42510</v>
      </c>
      <c r="M600" s="22">
        <f>Table10[[#This Row],[Ship Date]]-Table10[[#This Row],[Order Date]]</f>
        <v>5</v>
      </c>
      <c r="N600" t="s">
        <v>45</v>
      </c>
      <c r="O600" t="s">
        <v>23</v>
      </c>
      <c r="P600" t="s">
        <v>1315</v>
      </c>
      <c r="Q600" t="s">
        <v>26</v>
      </c>
      <c r="R600" t="s">
        <v>293</v>
      </c>
      <c r="S600" s="33">
        <v>0</v>
      </c>
      <c r="T600" s="13">
        <v>8.34</v>
      </c>
      <c r="U600" s="13">
        <v>2.1684000000000001</v>
      </c>
      <c r="V600" s="21">
        <f>Table10[[#This Row],[Profit]]/Table10[[#This Row],[Sales]]</f>
        <v>0.26</v>
      </c>
    </row>
    <row r="601" spans="1:22" x14ac:dyDescent="0.2">
      <c r="A601">
        <v>600</v>
      </c>
      <c r="B601" t="s">
        <v>7059</v>
      </c>
      <c r="C601" s="1">
        <v>42505</v>
      </c>
      <c r="D601" s="22">
        <f>MONTH(Table10[[#This Row],[Order Date]])</f>
        <v>5</v>
      </c>
      <c r="E601" t="s">
        <v>4302</v>
      </c>
      <c r="F601" t="s">
        <v>4303</v>
      </c>
      <c r="G601" s="23" t="s">
        <v>41</v>
      </c>
      <c r="H601" s="23" t="s">
        <v>68</v>
      </c>
      <c r="I601" t="s">
        <v>4993</v>
      </c>
      <c r="J601" t="s">
        <v>22</v>
      </c>
      <c r="K601" s="22">
        <v>3</v>
      </c>
      <c r="L601" s="1">
        <v>42511</v>
      </c>
      <c r="M601" s="22">
        <f>Table10[[#This Row],[Ship Date]]-Table10[[#This Row],[Order Date]]</f>
        <v>6</v>
      </c>
      <c r="N601" t="s">
        <v>45</v>
      </c>
      <c r="O601" t="s">
        <v>23</v>
      </c>
      <c r="P601" t="s">
        <v>238</v>
      </c>
      <c r="Q601" t="s">
        <v>133</v>
      </c>
      <c r="R601" t="s">
        <v>237</v>
      </c>
      <c r="S601" s="33">
        <v>0.2</v>
      </c>
      <c r="T601" s="13">
        <v>13.776</v>
      </c>
      <c r="U601" s="13">
        <v>4.4771999999999998</v>
      </c>
      <c r="V601" s="21">
        <f>Table10[[#This Row],[Profit]]/Table10[[#This Row],[Sales]]</f>
        <v>0.32500000000000001</v>
      </c>
    </row>
    <row r="602" spans="1:22" x14ac:dyDescent="0.2">
      <c r="A602">
        <v>601</v>
      </c>
      <c r="B602" t="s">
        <v>7150</v>
      </c>
      <c r="C602" s="1">
        <v>42505</v>
      </c>
      <c r="D602" s="22">
        <f>MONTH(Table10[[#This Row],[Order Date]])</f>
        <v>5</v>
      </c>
      <c r="E602" t="s">
        <v>2149</v>
      </c>
      <c r="F602" t="s">
        <v>2150</v>
      </c>
      <c r="G602" s="23" t="s">
        <v>41</v>
      </c>
      <c r="H602" s="23" t="s">
        <v>68</v>
      </c>
      <c r="I602" t="s">
        <v>224</v>
      </c>
      <c r="J602" t="s">
        <v>22</v>
      </c>
      <c r="K602" s="22">
        <v>4</v>
      </c>
      <c r="L602" s="1">
        <v>42509</v>
      </c>
      <c r="M602" s="22">
        <f>Table10[[#This Row],[Ship Date]]-Table10[[#This Row],[Order Date]]</f>
        <v>4</v>
      </c>
      <c r="N602" t="s">
        <v>20</v>
      </c>
      <c r="O602" t="s">
        <v>23</v>
      </c>
      <c r="P602" t="s">
        <v>48</v>
      </c>
      <c r="Q602" t="s">
        <v>26</v>
      </c>
      <c r="R602" t="s">
        <v>47</v>
      </c>
      <c r="S602" s="33">
        <v>0.7</v>
      </c>
      <c r="T602" s="13">
        <v>7.7640000000000002</v>
      </c>
      <c r="U602" s="13">
        <v>-5.1760000000000002</v>
      </c>
      <c r="V602" s="21">
        <f>Table10[[#This Row],[Profit]]/Table10[[#This Row],[Sales]]</f>
        <v>-0.66666666666666663</v>
      </c>
    </row>
    <row r="603" spans="1:22" x14ac:dyDescent="0.2">
      <c r="A603">
        <v>602</v>
      </c>
      <c r="B603" t="s">
        <v>8852</v>
      </c>
      <c r="C603" s="1">
        <v>42505</v>
      </c>
      <c r="D603" s="22">
        <f>MONTH(Table10[[#This Row],[Order Date]])</f>
        <v>5</v>
      </c>
      <c r="E603" t="s">
        <v>5124</v>
      </c>
      <c r="F603" t="s">
        <v>5125</v>
      </c>
      <c r="G603" s="23" t="s">
        <v>41</v>
      </c>
      <c r="H603" s="23" t="s">
        <v>82</v>
      </c>
      <c r="I603" t="s">
        <v>3247</v>
      </c>
      <c r="J603" t="s">
        <v>22</v>
      </c>
      <c r="K603" s="22">
        <v>4</v>
      </c>
      <c r="L603" s="1">
        <v>42509</v>
      </c>
      <c r="M603" s="22">
        <f>Table10[[#This Row],[Ship Date]]-Table10[[#This Row],[Order Date]]</f>
        <v>4</v>
      </c>
      <c r="N603" t="s">
        <v>20</v>
      </c>
      <c r="O603" t="s">
        <v>23</v>
      </c>
      <c r="P603" t="s">
        <v>441</v>
      </c>
      <c r="Q603" t="s">
        <v>133</v>
      </c>
      <c r="R603" t="s">
        <v>284</v>
      </c>
      <c r="S603" s="33">
        <v>0.2</v>
      </c>
      <c r="T603" s="13">
        <v>15.231999999999999</v>
      </c>
      <c r="U603" s="13">
        <v>5.5216000000000003</v>
      </c>
      <c r="V603" s="21">
        <f>Table10[[#This Row],[Profit]]/Table10[[#This Row],[Sales]]</f>
        <v>0.36250000000000004</v>
      </c>
    </row>
    <row r="604" spans="1:22" x14ac:dyDescent="0.2">
      <c r="A604">
        <v>603</v>
      </c>
      <c r="B604" t="s">
        <v>3251</v>
      </c>
      <c r="C604" s="1">
        <v>42506</v>
      </c>
      <c r="D604" s="22">
        <f>MONTH(Table10[[#This Row],[Order Date]])</f>
        <v>5</v>
      </c>
      <c r="E604" t="s">
        <v>3254</v>
      </c>
      <c r="F604" t="s">
        <v>3255</v>
      </c>
      <c r="G604" s="23" t="s">
        <v>41</v>
      </c>
      <c r="H604" s="23" t="s">
        <v>53</v>
      </c>
      <c r="I604" t="s">
        <v>3252</v>
      </c>
      <c r="J604" t="s">
        <v>22</v>
      </c>
      <c r="K604" s="22">
        <v>4</v>
      </c>
      <c r="L604" s="1">
        <v>42513</v>
      </c>
      <c r="M604" s="22">
        <f>Table10[[#This Row],[Ship Date]]-Table10[[#This Row],[Order Date]]</f>
        <v>7</v>
      </c>
      <c r="N604" t="s">
        <v>45</v>
      </c>
      <c r="O604" t="s">
        <v>23</v>
      </c>
      <c r="P604" t="s">
        <v>660</v>
      </c>
      <c r="Q604" t="s">
        <v>133</v>
      </c>
      <c r="R604" t="s">
        <v>3253</v>
      </c>
      <c r="S604" s="33">
        <v>0</v>
      </c>
      <c r="T604" s="13">
        <v>552.55999999999995</v>
      </c>
      <c r="U604" s="13">
        <v>0</v>
      </c>
      <c r="V604" s="21">
        <f>Table10[[#This Row],[Profit]]/Table10[[#This Row],[Sales]]</f>
        <v>0</v>
      </c>
    </row>
    <row r="605" spans="1:22" x14ac:dyDescent="0.2">
      <c r="A605">
        <v>604</v>
      </c>
      <c r="B605" t="s">
        <v>6359</v>
      </c>
      <c r="C605" s="1">
        <v>42506</v>
      </c>
      <c r="D605" s="22">
        <f>MONTH(Table10[[#This Row],[Order Date]])</f>
        <v>5</v>
      </c>
      <c r="E605" t="s">
        <v>2087</v>
      </c>
      <c r="F605" t="s">
        <v>2088</v>
      </c>
      <c r="G605" s="23" t="s">
        <v>41</v>
      </c>
      <c r="H605" s="23" t="s">
        <v>82</v>
      </c>
      <c r="I605" t="s">
        <v>1194</v>
      </c>
      <c r="J605" t="s">
        <v>22</v>
      </c>
      <c r="K605" s="22">
        <v>3</v>
      </c>
      <c r="L605" s="1">
        <v>42511</v>
      </c>
      <c r="M605" s="22">
        <f>Table10[[#This Row],[Ship Date]]-Table10[[#This Row],[Order Date]]</f>
        <v>5</v>
      </c>
      <c r="N605" t="s">
        <v>20</v>
      </c>
      <c r="O605" t="s">
        <v>23</v>
      </c>
      <c r="P605" t="s">
        <v>38</v>
      </c>
      <c r="Q605" t="s">
        <v>39</v>
      </c>
      <c r="R605" t="s">
        <v>37</v>
      </c>
      <c r="S605" s="33">
        <v>0</v>
      </c>
      <c r="T605" s="13">
        <v>17.34</v>
      </c>
      <c r="U605" s="13">
        <v>8.4966000000000008</v>
      </c>
      <c r="V605" s="21">
        <f>Table10[[#This Row],[Profit]]/Table10[[#This Row],[Sales]]</f>
        <v>0.49000000000000005</v>
      </c>
    </row>
    <row r="606" spans="1:22" x14ac:dyDescent="0.2">
      <c r="A606">
        <v>605</v>
      </c>
      <c r="B606" t="s">
        <v>9946</v>
      </c>
      <c r="C606" s="1">
        <v>42506</v>
      </c>
      <c r="D606" s="22">
        <f>MONTH(Table10[[#This Row],[Order Date]])</f>
        <v>5</v>
      </c>
      <c r="E606" t="s">
        <v>5452</v>
      </c>
      <c r="F606" t="s">
        <v>5453</v>
      </c>
      <c r="G606" s="23" t="s">
        <v>28</v>
      </c>
      <c r="H606" s="23" t="s">
        <v>58</v>
      </c>
      <c r="I606" t="s">
        <v>1402</v>
      </c>
      <c r="J606" t="s">
        <v>22</v>
      </c>
      <c r="K606" s="22">
        <v>4</v>
      </c>
      <c r="L606" s="1">
        <v>42509</v>
      </c>
      <c r="M606" s="22">
        <f>Table10[[#This Row],[Ship Date]]-Table10[[#This Row],[Order Date]]</f>
        <v>3</v>
      </c>
      <c r="N606" t="s">
        <v>20</v>
      </c>
      <c r="O606" t="s">
        <v>23</v>
      </c>
      <c r="P606" t="s">
        <v>38</v>
      </c>
      <c r="Q606" t="s">
        <v>39</v>
      </c>
      <c r="R606" t="s">
        <v>37</v>
      </c>
      <c r="S606" s="33">
        <v>0</v>
      </c>
      <c r="T606" s="13">
        <v>282.83999999999997</v>
      </c>
      <c r="U606" s="13">
        <v>19.7988</v>
      </c>
      <c r="V606" s="21">
        <f>Table10[[#This Row],[Profit]]/Table10[[#This Row],[Sales]]</f>
        <v>7.0000000000000007E-2</v>
      </c>
    </row>
    <row r="607" spans="1:22" x14ac:dyDescent="0.2">
      <c r="A607">
        <v>606</v>
      </c>
      <c r="B607" t="s">
        <v>9946</v>
      </c>
      <c r="C607" s="1">
        <v>42506</v>
      </c>
      <c r="D607" s="22">
        <f>MONTH(Table10[[#This Row],[Order Date]])</f>
        <v>5</v>
      </c>
      <c r="E607" t="s">
        <v>3631</v>
      </c>
      <c r="F607" t="s">
        <v>3632</v>
      </c>
      <c r="G607" s="23" t="s">
        <v>41</v>
      </c>
      <c r="H607" s="23" t="s">
        <v>42</v>
      </c>
      <c r="I607" t="s">
        <v>1402</v>
      </c>
      <c r="J607" t="s">
        <v>22</v>
      </c>
      <c r="K607" s="22">
        <v>9</v>
      </c>
      <c r="L607" s="1">
        <v>42509</v>
      </c>
      <c r="M607" s="22">
        <f>Table10[[#This Row],[Ship Date]]-Table10[[#This Row],[Order Date]]</f>
        <v>3</v>
      </c>
      <c r="N607" t="s">
        <v>20</v>
      </c>
      <c r="O607" t="s">
        <v>23</v>
      </c>
      <c r="P607" t="s">
        <v>38</v>
      </c>
      <c r="Q607" t="s">
        <v>39</v>
      </c>
      <c r="R607" t="s">
        <v>37</v>
      </c>
      <c r="S607" s="33">
        <v>0</v>
      </c>
      <c r="T607" s="13">
        <v>27.72</v>
      </c>
      <c r="U607" s="13">
        <v>13.3056</v>
      </c>
      <c r="V607" s="21">
        <f>Table10[[#This Row],[Profit]]/Table10[[#This Row],[Sales]]</f>
        <v>0.48000000000000004</v>
      </c>
    </row>
    <row r="608" spans="1:22" x14ac:dyDescent="0.2">
      <c r="A608">
        <v>607</v>
      </c>
      <c r="B608" t="s">
        <v>4190</v>
      </c>
      <c r="C608" s="1">
        <v>42507</v>
      </c>
      <c r="D608" s="22">
        <f>MONTH(Table10[[#This Row],[Order Date]])</f>
        <v>5</v>
      </c>
      <c r="E608" t="s">
        <v>4192</v>
      </c>
      <c r="F608" t="s">
        <v>4193</v>
      </c>
      <c r="G608" s="23" t="s">
        <v>41</v>
      </c>
      <c r="H608" s="23" t="s">
        <v>68</v>
      </c>
      <c r="I608" t="s">
        <v>3986</v>
      </c>
      <c r="J608" t="s">
        <v>36</v>
      </c>
      <c r="K608" s="22">
        <v>2</v>
      </c>
      <c r="L608" s="1">
        <v>42511</v>
      </c>
      <c r="M608" s="22">
        <f>Table10[[#This Row],[Ship Date]]-Table10[[#This Row],[Order Date]]</f>
        <v>4</v>
      </c>
      <c r="N608" t="s">
        <v>45</v>
      </c>
      <c r="O608" t="s">
        <v>23</v>
      </c>
      <c r="P608" t="s">
        <v>48</v>
      </c>
      <c r="Q608" t="s">
        <v>26</v>
      </c>
      <c r="R608" t="s">
        <v>4191</v>
      </c>
      <c r="S608" s="33">
        <v>0.7</v>
      </c>
      <c r="T608" s="13">
        <v>2.952</v>
      </c>
      <c r="U608" s="13">
        <v>-2.1648000000000001</v>
      </c>
      <c r="V608" s="21">
        <f>Table10[[#This Row],[Profit]]/Table10[[#This Row],[Sales]]</f>
        <v>-0.73333333333333339</v>
      </c>
    </row>
    <row r="609" spans="1:22" x14ac:dyDescent="0.2">
      <c r="A609">
        <v>608</v>
      </c>
      <c r="B609" t="s">
        <v>4190</v>
      </c>
      <c r="C609" s="1">
        <v>42507</v>
      </c>
      <c r="D609" s="22">
        <f>MONTH(Table10[[#This Row],[Order Date]])</f>
        <v>5</v>
      </c>
      <c r="E609" t="s">
        <v>1683</v>
      </c>
      <c r="F609" t="s">
        <v>1684</v>
      </c>
      <c r="G609" s="23" t="s">
        <v>41</v>
      </c>
      <c r="H609" s="23" t="s">
        <v>68</v>
      </c>
      <c r="I609" t="s">
        <v>3986</v>
      </c>
      <c r="J609" t="s">
        <v>36</v>
      </c>
      <c r="K609" s="22">
        <v>6</v>
      </c>
      <c r="L609" s="1">
        <v>42511</v>
      </c>
      <c r="M609" s="22">
        <f>Table10[[#This Row],[Ship Date]]-Table10[[#This Row],[Order Date]]</f>
        <v>4</v>
      </c>
      <c r="N609" t="s">
        <v>45</v>
      </c>
      <c r="O609" t="s">
        <v>23</v>
      </c>
      <c r="P609" t="s">
        <v>48</v>
      </c>
      <c r="Q609" t="s">
        <v>26</v>
      </c>
      <c r="R609" t="s">
        <v>4191</v>
      </c>
      <c r="S609" s="33">
        <v>0.7</v>
      </c>
      <c r="T609" s="13">
        <v>27.018000000000001</v>
      </c>
      <c r="U609" s="13">
        <v>-21.6144</v>
      </c>
      <c r="V609" s="21">
        <f>Table10[[#This Row],[Profit]]/Table10[[#This Row],[Sales]]</f>
        <v>-0.79999999999999993</v>
      </c>
    </row>
    <row r="610" spans="1:22" x14ac:dyDescent="0.2">
      <c r="A610">
        <v>609</v>
      </c>
      <c r="B610" t="s">
        <v>6961</v>
      </c>
      <c r="C610" s="1">
        <v>42507</v>
      </c>
      <c r="D610" s="22">
        <f>MONTH(Table10[[#This Row],[Order Date]])</f>
        <v>5</v>
      </c>
      <c r="E610" t="s">
        <v>2266</v>
      </c>
      <c r="F610" t="s">
        <v>2267</v>
      </c>
      <c r="G610" s="23" t="s">
        <v>41</v>
      </c>
      <c r="H610" s="23" t="s">
        <v>513</v>
      </c>
      <c r="I610" t="s">
        <v>1158</v>
      </c>
      <c r="J610" t="s">
        <v>22</v>
      </c>
      <c r="K610" s="22">
        <v>7</v>
      </c>
      <c r="L610" s="1">
        <v>42508</v>
      </c>
      <c r="M610" s="22">
        <f>Table10[[#This Row],[Ship Date]]-Table10[[#This Row],[Order Date]]</f>
        <v>1</v>
      </c>
      <c r="N610" t="s">
        <v>169</v>
      </c>
      <c r="O610" t="s">
        <v>23</v>
      </c>
      <c r="P610" t="s">
        <v>660</v>
      </c>
      <c r="Q610" t="s">
        <v>133</v>
      </c>
      <c r="R610" t="s">
        <v>6962</v>
      </c>
      <c r="S610" s="33">
        <v>0</v>
      </c>
      <c r="T610" s="13">
        <v>65.17</v>
      </c>
      <c r="U610" s="13">
        <v>18.8993</v>
      </c>
      <c r="V610" s="21">
        <f>Table10[[#This Row],[Profit]]/Table10[[#This Row],[Sales]]</f>
        <v>0.28999999999999998</v>
      </c>
    </row>
    <row r="611" spans="1:22" x14ac:dyDescent="0.2">
      <c r="A611">
        <v>610</v>
      </c>
      <c r="B611" t="s">
        <v>6961</v>
      </c>
      <c r="C611" s="1">
        <v>42507</v>
      </c>
      <c r="D611" s="22">
        <f>MONTH(Table10[[#This Row],[Order Date]])</f>
        <v>5</v>
      </c>
      <c r="E611" t="s">
        <v>574</v>
      </c>
      <c r="F611" t="s">
        <v>575</v>
      </c>
      <c r="G611" s="23" t="s">
        <v>41</v>
      </c>
      <c r="H611" s="23" t="s">
        <v>42</v>
      </c>
      <c r="I611" t="s">
        <v>1158</v>
      </c>
      <c r="J611" t="s">
        <v>22</v>
      </c>
      <c r="K611" s="22">
        <v>2</v>
      </c>
      <c r="L611" s="1">
        <v>42508</v>
      </c>
      <c r="M611" s="22">
        <f>Table10[[#This Row],[Ship Date]]-Table10[[#This Row],[Order Date]]</f>
        <v>1</v>
      </c>
      <c r="N611" t="s">
        <v>169</v>
      </c>
      <c r="O611" t="s">
        <v>23</v>
      </c>
      <c r="P611" t="s">
        <v>660</v>
      </c>
      <c r="Q611" t="s">
        <v>133</v>
      </c>
      <c r="R611" t="s">
        <v>6962</v>
      </c>
      <c r="S611" s="33">
        <v>0</v>
      </c>
      <c r="T611" s="13">
        <v>14.62</v>
      </c>
      <c r="U611" s="13">
        <v>6.8714000000000004</v>
      </c>
      <c r="V611" s="21">
        <f>Table10[[#This Row],[Profit]]/Table10[[#This Row],[Sales]]</f>
        <v>0.47000000000000003</v>
      </c>
    </row>
    <row r="612" spans="1:22" x14ac:dyDescent="0.2">
      <c r="A612">
        <v>611</v>
      </c>
      <c r="B612" t="s">
        <v>6961</v>
      </c>
      <c r="C612" s="1">
        <v>42507</v>
      </c>
      <c r="D612" s="22">
        <f>MONTH(Table10[[#This Row],[Order Date]])</f>
        <v>5</v>
      </c>
      <c r="E612" t="s">
        <v>2704</v>
      </c>
      <c r="F612" t="s">
        <v>2705</v>
      </c>
      <c r="G612" s="23" t="s">
        <v>28</v>
      </c>
      <c r="H612" s="23" t="s">
        <v>58</v>
      </c>
      <c r="I612" t="s">
        <v>1158</v>
      </c>
      <c r="J612" t="s">
        <v>22</v>
      </c>
      <c r="K612" s="22">
        <v>4</v>
      </c>
      <c r="L612" s="1">
        <v>42508</v>
      </c>
      <c r="M612" s="22">
        <f>Table10[[#This Row],[Ship Date]]-Table10[[#This Row],[Order Date]]</f>
        <v>1</v>
      </c>
      <c r="N612" t="s">
        <v>169</v>
      </c>
      <c r="O612" t="s">
        <v>23</v>
      </c>
      <c r="P612" t="s">
        <v>660</v>
      </c>
      <c r="Q612" t="s">
        <v>133</v>
      </c>
      <c r="R612" t="s">
        <v>6962</v>
      </c>
      <c r="S612" s="33">
        <v>0</v>
      </c>
      <c r="T612" s="13">
        <v>173.24</v>
      </c>
      <c r="U612" s="13">
        <v>17.324000000000002</v>
      </c>
      <c r="V612" s="21">
        <f>Table10[[#This Row],[Profit]]/Table10[[#This Row],[Sales]]</f>
        <v>0.1</v>
      </c>
    </row>
    <row r="613" spans="1:22" x14ac:dyDescent="0.2">
      <c r="A613">
        <v>612</v>
      </c>
      <c r="B613" t="s">
        <v>8889</v>
      </c>
      <c r="C613" s="1">
        <v>42507</v>
      </c>
      <c r="D613" s="22">
        <f>MONTH(Table10[[#This Row],[Order Date]])</f>
        <v>5</v>
      </c>
      <c r="E613" t="s">
        <v>8101</v>
      </c>
      <c r="F613" t="s">
        <v>8102</v>
      </c>
      <c r="G613" s="23" t="s">
        <v>41</v>
      </c>
      <c r="H613" s="23" t="s">
        <v>68</v>
      </c>
      <c r="I613" t="s">
        <v>4322</v>
      </c>
      <c r="J613" t="s">
        <v>22</v>
      </c>
      <c r="K613" s="22">
        <v>1</v>
      </c>
      <c r="L613" s="1">
        <v>42510</v>
      </c>
      <c r="M613" s="22">
        <f>Table10[[#This Row],[Ship Date]]-Table10[[#This Row],[Order Date]]</f>
        <v>3</v>
      </c>
      <c r="N613" t="s">
        <v>169</v>
      </c>
      <c r="O613" t="s">
        <v>23</v>
      </c>
      <c r="P613" t="s">
        <v>189</v>
      </c>
      <c r="Q613" t="s">
        <v>95</v>
      </c>
      <c r="R613" t="s">
        <v>271</v>
      </c>
      <c r="S613" s="33">
        <v>0.8</v>
      </c>
      <c r="T613" s="13">
        <v>2.89</v>
      </c>
      <c r="U613" s="13">
        <v>-4.7685000000000004</v>
      </c>
      <c r="V613" s="21">
        <f>Table10[[#This Row],[Profit]]/Table10[[#This Row],[Sales]]</f>
        <v>-1.6500000000000001</v>
      </c>
    </row>
    <row r="614" spans="1:22" x14ac:dyDescent="0.2">
      <c r="A614">
        <v>613</v>
      </c>
      <c r="B614" t="s">
        <v>8889</v>
      </c>
      <c r="C614" s="1">
        <v>42507</v>
      </c>
      <c r="D614" s="22">
        <f>MONTH(Table10[[#This Row],[Order Date]])</f>
        <v>5</v>
      </c>
      <c r="E614" t="s">
        <v>4801</v>
      </c>
      <c r="F614" t="s">
        <v>4802</v>
      </c>
      <c r="G614" s="23" t="s">
        <v>41</v>
      </c>
      <c r="H614" s="23" t="s">
        <v>240</v>
      </c>
      <c r="I614" t="s">
        <v>4322</v>
      </c>
      <c r="J614" t="s">
        <v>22</v>
      </c>
      <c r="K614" s="22">
        <v>3</v>
      </c>
      <c r="L614" s="1">
        <v>42510</v>
      </c>
      <c r="M614" s="22">
        <f>Table10[[#This Row],[Ship Date]]-Table10[[#This Row],[Order Date]]</f>
        <v>3</v>
      </c>
      <c r="N614" t="s">
        <v>169</v>
      </c>
      <c r="O614" t="s">
        <v>23</v>
      </c>
      <c r="P614" t="s">
        <v>189</v>
      </c>
      <c r="Q614" t="s">
        <v>95</v>
      </c>
      <c r="R614" t="s">
        <v>271</v>
      </c>
      <c r="S614" s="33">
        <v>0.2</v>
      </c>
      <c r="T614" s="13">
        <v>7.8959999999999999</v>
      </c>
      <c r="U614" s="13">
        <v>2.4674999999999998</v>
      </c>
      <c r="V614" s="21">
        <f>Table10[[#This Row],[Profit]]/Table10[[#This Row],[Sales]]</f>
        <v>0.3125</v>
      </c>
    </row>
    <row r="615" spans="1:22" x14ac:dyDescent="0.2">
      <c r="A615">
        <v>614</v>
      </c>
      <c r="B615" t="s">
        <v>8889</v>
      </c>
      <c r="C615" s="1">
        <v>42507</v>
      </c>
      <c r="D615" s="22">
        <f>MONTH(Table10[[#This Row],[Order Date]])</f>
        <v>5</v>
      </c>
      <c r="E615" t="s">
        <v>4090</v>
      </c>
      <c r="F615" t="s">
        <v>4091</v>
      </c>
      <c r="G615" s="23" t="s">
        <v>28</v>
      </c>
      <c r="H615" s="23" t="s">
        <v>58</v>
      </c>
      <c r="I615" t="s">
        <v>4322</v>
      </c>
      <c r="J615" t="s">
        <v>22</v>
      </c>
      <c r="K615" s="22">
        <v>3</v>
      </c>
      <c r="L615" s="1">
        <v>42510</v>
      </c>
      <c r="M615" s="22">
        <f>Table10[[#This Row],[Ship Date]]-Table10[[#This Row],[Order Date]]</f>
        <v>3</v>
      </c>
      <c r="N615" t="s">
        <v>169</v>
      </c>
      <c r="O615" t="s">
        <v>23</v>
      </c>
      <c r="P615" t="s">
        <v>189</v>
      </c>
      <c r="Q615" t="s">
        <v>95</v>
      </c>
      <c r="R615" t="s">
        <v>271</v>
      </c>
      <c r="S615" s="33">
        <v>0.6</v>
      </c>
      <c r="T615" s="13">
        <v>22.608000000000001</v>
      </c>
      <c r="U615" s="13">
        <v>-10.1736</v>
      </c>
      <c r="V615" s="21">
        <f>Table10[[#This Row],[Profit]]/Table10[[#This Row],[Sales]]</f>
        <v>-0.45</v>
      </c>
    </row>
    <row r="616" spans="1:22" x14ac:dyDescent="0.2">
      <c r="A616">
        <v>615</v>
      </c>
      <c r="B616" t="s">
        <v>8889</v>
      </c>
      <c r="C616" s="1">
        <v>42507</v>
      </c>
      <c r="D616" s="22">
        <f>MONTH(Table10[[#This Row],[Order Date]])</f>
        <v>5</v>
      </c>
      <c r="E616" t="s">
        <v>5411</v>
      </c>
      <c r="F616" t="s">
        <v>5412</v>
      </c>
      <c r="G616" s="23" t="s">
        <v>41</v>
      </c>
      <c r="H616" s="23" t="s">
        <v>82</v>
      </c>
      <c r="I616" t="s">
        <v>4322</v>
      </c>
      <c r="J616" t="s">
        <v>22</v>
      </c>
      <c r="K616" s="22">
        <v>8</v>
      </c>
      <c r="L616" s="1">
        <v>42510</v>
      </c>
      <c r="M616" s="22">
        <f>Table10[[#This Row],[Ship Date]]-Table10[[#This Row],[Order Date]]</f>
        <v>3</v>
      </c>
      <c r="N616" t="s">
        <v>169</v>
      </c>
      <c r="O616" t="s">
        <v>23</v>
      </c>
      <c r="P616" t="s">
        <v>189</v>
      </c>
      <c r="Q616" t="s">
        <v>95</v>
      </c>
      <c r="R616" t="s">
        <v>271</v>
      </c>
      <c r="S616" s="33">
        <v>0.2</v>
      </c>
      <c r="T616" s="13">
        <v>30.527999999999999</v>
      </c>
      <c r="U616" s="13">
        <v>9.5399999999999991</v>
      </c>
      <c r="V616" s="21">
        <f>Table10[[#This Row],[Profit]]/Table10[[#This Row],[Sales]]</f>
        <v>0.3125</v>
      </c>
    </row>
    <row r="617" spans="1:22" x14ac:dyDescent="0.2">
      <c r="A617">
        <v>616</v>
      </c>
      <c r="B617" t="s">
        <v>3840</v>
      </c>
      <c r="C617" s="1">
        <v>42508</v>
      </c>
      <c r="D617" s="22">
        <f>MONTH(Table10[[#This Row],[Order Date]])</f>
        <v>5</v>
      </c>
      <c r="E617" t="s">
        <v>247</v>
      </c>
      <c r="F617" t="s">
        <v>248</v>
      </c>
      <c r="G617" s="23" t="s">
        <v>41</v>
      </c>
      <c r="H617" s="23" t="s">
        <v>53</v>
      </c>
      <c r="I617" t="s">
        <v>3841</v>
      </c>
      <c r="J617" t="s">
        <v>22</v>
      </c>
      <c r="K617" s="22">
        <v>3</v>
      </c>
      <c r="L617" s="1">
        <v>42514</v>
      </c>
      <c r="M617" s="22">
        <f>Table10[[#This Row],[Ship Date]]-Table10[[#This Row],[Order Date]]</f>
        <v>6</v>
      </c>
      <c r="N617" t="s">
        <v>45</v>
      </c>
      <c r="O617" t="s">
        <v>23</v>
      </c>
      <c r="P617" t="s">
        <v>38</v>
      </c>
      <c r="Q617" t="s">
        <v>39</v>
      </c>
      <c r="R617" t="s">
        <v>114</v>
      </c>
      <c r="S617" s="33">
        <v>0</v>
      </c>
      <c r="T617" s="13">
        <v>104.28</v>
      </c>
      <c r="U617" s="13">
        <v>26.07</v>
      </c>
      <c r="V617" s="21">
        <f>Table10[[#This Row],[Profit]]/Table10[[#This Row],[Sales]]</f>
        <v>0.25</v>
      </c>
    </row>
    <row r="618" spans="1:22" x14ac:dyDescent="0.2">
      <c r="A618">
        <v>617</v>
      </c>
      <c r="B618" t="s">
        <v>3840</v>
      </c>
      <c r="C618" s="1">
        <v>42508</v>
      </c>
      <c r="D618" s="22">
        <f>MONTH(Table10[[#This Row],[Order Date]])</f>
        <v>5</v>
      </c>
      <c r="E618" t="s">
        <v>400</v>
      </c>
      <c r="F618" t="s">
        <v>401</v>
      </c>
      <c r="G618" s="23" t="s">
        <v>41</v>
      </c>
      <c r="H618" s="23" t="s">
        <v>82</v>
      </c>
      <c r="I618" t="s">
        <v>3841</v>
      </c>
      <c r="J618" t="s">
        <v>22</v>
      </c>
      <c r="K618" s="22">
        <v>3</v>
      </c>
      <c r="L618" s="1">
        <v>42514</v>
      </c>
      <c r="M618" s="22">
        <f>Table10[[#This Row],[Ship Date]]-Table10[[#This Row],[Order Date]]</f>
        <v>6</v>
      </c>
      <c r="N618" t="s">
        <v>45</v>
      </c>
      <c r="O618" t="s">
        <v>23</v>
      </c>
      <c r="P618" t="s">
        <v>38</v>
      </c>
      <c r="Q618" t="s">
        <v>39</v>
      </c>
      <c r="R618" t="s">
        <v>114</v>
      </c>
      <c r="S618" s="33">
        <v>0</v>
      </c>
      <c r="T618" s="13">
        <v>17.940000000000001</v>
      </c>
      <c r="U618" s="13">
        <v>8.7905999999999995</v>
      </c>
      <c r="V618" s="21">
        <f>Table10[[#This Row],[Profit]]/Table10[[#This Row],[Sales]]</f>
        <v>0.48999999999999994</v>
      </c>
    </row>
    <row r="619" spans="1:22" x14ac:dyDescent="0.2">
      <c r="A619">
        <v>618</v>
      </c>
      <c r="B619" t="s">
        <v>2142</v>
      </c>
      <c r="C619" s="1">
        <v>42509</v>
      </c>
      <c r="D619" s="22">
        <f>MONTH(Table10[[#This Row],[Order Date]])</f>
        <v>5</v>
      </c>
      <c r="E619" t="s">
        <v>2143</v>
      </c>
      <c r="F619" t="s">
        <v>2144</v>
      </c>
      <c r="G619" s="23" t="s">
        <v>28</v>
      </c>
      <c r="H619" s="23" t="s">
        <v>32</v>
      </c>
      <c r="I619" t="s">
        <v>726</v>
      </c>
      <c r="J619" t="s">
        <v>22</v>
      </c>
      <c r="K619" s="22">
        <v>2</v>
      </c>
      <c r="L619" s="1">
        <v>42514</v>
      </c>
      <c r="M619" s="22">
        <f>Table10[[#This Row],[Ship Date]]-Table10[[#This Row],[Order Date]]</f>
        <v>5</v>
      </c>
      <c r="N619" t="s">
        <v>45</v>
      </c>
      <c r="O619" t="s">
        <v>23</v>
      </c>
      <c r="P619" t="s">
        <v>285</v>
      </c>
      <c r="Q619" t="s">
        <v>26</v>
      </c>
      <c r="R619" t="s">
        <v>997</v>
      </c>
      <c r="S619" s="33">
        <v>0</v>
      </c>
      <c r="T619" s="13">
        <v>641.96</v>
      </c>
      <c r="U619" s="13">
        <v>179.74879999999999</v>
      </c>
      <c r="V619" s="21">
        <f>Table10[[#This Row],[Profit]]/Table10[[#This Row],[Sales]]</f>
        <v>0.27999999999999997</v>
      </c>
    </row>
    <row r="620" spans="1:22" x14ac:dyDescent="0.2">
      <c r="A620">
        <v>619</v>
      </c>
      <c r="B620" t="s">
        <v>3893</v>
      </c>
      <c r="C620" s="1">
        <v>42509</v>
      </c>
      <c r="D620" s="22">
        <f>MONTH(Table10[[#This Row],[Order Date]])</f>
        <v>5</v>
      </c>
      <c r="E620" t="s">
        <v>1828</v>
      </c>
      <c r="F620" t="s">
        <v>1829</v>
      </c>
      <c r="G620" s="23" t="s">
        <v>41</v>
      </c>
      <c r="H620" s="23" t="s">
        <v>71</v>
      </c>
      <c r="I620" t="s">
        <v>1554</v>
      </c>
      <c r="J620" t="s">
        <v>22</v>
      </c>
      <c r="K620" s="22">
        <v>5</v>
      </c>
      <c r="L620" s="1">
        <v>42514</v>
      </c>
      <c r="M620" s="22">
        <f>Table10[[#This Row],[Ship Date]]-Table10[[#This Row],[Order Date]]</f>
        <v>5</v>
      </c>
      <c r="N620" t="s">
        <v>45</v>
      </c>
      <c r="O620" t="s">
        <v>23</v>
      </c>
      <c r="P620" t="s">
        <v>238</v>
      </c>
      <c r="Q620" t="s">
        <v>133</v>
      </c>
      <c r="R620" t="s">
        <v>237</v>
      </c>
      <c r="S620" s="33">
        <v>0</v>
      </c>
      <c r="T620" s="13">
        <v>242.9</v>
      </c>
      <c r="U620" s="13">
        <v>70.441000000000003</v>
      </c>
      <c r="V620" s="21">
        <f>Table10[[#This Row],[Profit]]/Table10[[#This Row],[Sales]]</f>
        <v>0.28999999999999998</v>
      </c>
    </row>
    <row r="621" spans="1:22" x14ac:dyDescent="0.2">
      <c r="A621">
        <v>620</v>
      </c>
      <c r="B621" t="s">
        <v>3893</v>
      </c>
      <c r="C621" s="1">
        <v>42509</v>
      </c>
      <c r="D621" s="22">
        <f>MONTH(Table10[[#This Row],[Order Date]])</f>
        <v>5</v>
      </c>
      <c r="E621" t="s">
        <v>304</v>
      </c>
      <c r="F621" t="s">
        <v>305</v>
      </c>
      <c r="G621" s="23" t="s">
        <v>41</v>
      </c>
      <c r="H621" s="23" t="s">
        <v>53</v>
      </c>
      <c r="I621" t="s">
        <v>1554</v>
      </c>
      <c r="J621" t="s">
        <v>22</v>
      </c>
      <c r="K621" s="22">
        <v>5</v>
      </c>
      <c r="L621" s="1">
        <v>42514</v>
      </c>
      <c r="M621" s="22">
        <f>Table10[[#This Row],[Ship Date]]-Table10[[#This Row],[Order Date]]</f>
        <v>5</v>
      </c>
      <c r="N621" t="s">
        <v>45</v>
      </c>
      <c r="O621" t="s">
        <v>23</v>
      </c>
      <c r="P621" t="s">
        <v>238</v>
      </c>
      <c r="Q621" t="s">
        <v>133</v>
      </c>
      <c r="R621" t="s">
        <v>237</v>
      </c>
      <c r="S621" s="33">
        <v>0</v>
      </c>
      <c r="T621" s="13">
        <v>454.9</v>
      </c>
      <c r="U621" s="13">
        <v>0</v>
      </c>
      <c r="V621" s="21">
        <f>Table10[[#This Row],[Profit]]/Table10[[#This Row],[Sales]]</f>
        <v>0</v>
      </c>
    </row>
    <row r="622" spans="1:22" x14ac:dyDescent="0.2">
      <c r="A622">
        <v>621</v>
      </c>
      <c r="B622" t="s">
        <v>3893</v>
      </c>
      <c r="C622" s="1">
        <v>42509</v>
      </c>
      <c r="D622" s="22">
        <f>MONTH(Table10[[#This Row],[Order Date]])</f>
        <v>5</v>
      </c>
      <c r="E622" t="s">
        <v>3894</v>
      </c>
      <c r="F622" t="s">
        <v>3895</v>
      </c>
      <c r="G622" s="23" t="s">
        <v>28</v>
      </c>
      <c r="H622" s="23" t="s">
        <v>58</v>
      </c>
      <c r="I622" t="s">
        <v>1554</v>
      </c>
      <c r="J622" t="s">
        <v>22</v>
      </c>
      <c r="K622" s="22">
        <v>4</v>
      </c>
      <c r="L622" s="1">
        <v>42514</v>
      </c>
      <c r="M622" s="22">
        <f>Table10[[#This Row],[Ship Date]]-Table10[[#This Row],[Order Date]]</f>
        <v>5</v>
      </c>
      <c r="N622" t="s">
        <v>45</v>
      </c>
      <c r="O622" t="s">
        <v>23</v>
      </c>
      <c r="P622" t="s">
        <v>238</v>
      </c>
      <c r="Q622" t="s">
        <v>133</v>
      </c>
      <c r="R622" t="s">
        <v>237</v>
      </c>
      <c r="S622" s="33">
        <v>0</v>
      </c>
      <c r="T622" s="13">
        <v>35.92</v>
      </c>
      <c r="U622" s="13">
        <v>15.086399999999999</v>
      </c>
      <c r="V622" s="21">
        <f>Table10[[#This Row],[Profit]]/Table10[[#This Row],[Sales]]</f>
        <v>0.42</v>
      </c>
    </row>
    <row r="623" spans="1:22" x14ac:dyDescent="0.2">
      <c r="A623">
        <v>622</v>
      </c>
      <c r="B623" t="s">
        <v>3893</v>
      </c>
      <c r="C623" s="1">
        <v>42509</v>
      </c>
      <c r="D623" s="22">
        <f>MONTH(Table10[[#This Row],[Order Date]])</f>
        <v>5</v>
      </c>
      <c r="E623" t="s">
        <v>1803</v>
      </c>
      <c r="F623" t="s">
        <v>1804</v>
      </c>
      <c r="G623" s="23" t="s">
        <v>28</v>
      </c>
      <c r="H623" s="23" t="s">
        <v>58</v>
      </c>
      <c r="I623" t="s">
        <v>1554</v>
      </c>
      <c r="J623" t="s">
        <v>22</v>
      </c>
      <c r="K623" s="22">
        <v>8</v>
      </c>
      <c r="L623" s="1">
        <v>42514</v>
      </c>
      <c r="M623" s="22">
        <f>Table10[[#This Row],[Ship Date]]-Table10[[#This Row],[Order Date]]</f>
        <v>5</v>
      </c>
      <c r="N623" t="s">
        <v>45</v>
      </c>
      <c r="O623" t="s">
        <v>23</v>
      </c>
      <c r="P623" t="s">
        <v>238</v>
      </c>
      <c r="Q623" t="s">
        <v>133</v>
      </c>
      <c r="R623" t="s">
        <v>237</v>
      </c>
      <c r="S623" s="33">
        <v>0</v>
      </c>
      <c r="T623" s="13">
        <v>39.76</v>
      </c>
      <c r="U623" s="13">
        <v>12.3256</v>
      </c>
      <c r="V623" s="21">
        <f>Table10[[#This Row],[Profit]]/Table10[[#This Row],[Sales]]</f>
        <v>0.31</v>
      </c>
    </row>
    <row r="624" spans="1:22" x14ac:dyDescent="0.2">
      <c r="A624">
        <v>623</v>
      </c>
      <c r="B624" t="s">
        <v>3893</v>
      </c>
      <c r="C624" s="1">
        <v>42509</v>
      </c>
      <c r="D624" s="22">
        <f>MONTH(Table10[[#This Row],[Order Date]])</f>
        <v>5</v>
      </c>
      <c r="E624" t="s">
        <v>1805</v>
      </c>
      <c r="F624" t="s">
        <v>1806</v>
      </c>
      <c r="G624" s="23" t="s">
        <v>41</v>
      </c>
      <c r="H624" s="23" t="s">
        <v>68</v>
      </c>
      <c r="I624" t="s">
        <v>1554</v>
      </c>
      <c r="J624" t="s">
        <v>22</v>
      </c>
      <c r="K624" s="22">
        <v>4</v>
      </c>
      <c r="L624" s="1">
        <v>42514</v>
      </c>
      <c r="M624" s="22">
        <f>Table10[[#This Row],[Ship Date]]-Table10[[#This Row],[Order Date]]</f>
        <v>5</v>
      </c>
      <c r="N624" t="s">
        <v>45</v>
      </c>
      <c r="O624" t="s">
        <v>23</v>
      </c>
      <c r="P624" t="s">
        <v>238</v>
      </c>
      <c r="Q624" t="s">
        <v>133</v>
      </c>
      <c r="R624" t="s">
        <v>237</v>
      </c>
      <c r="S624" s="33">
        <v>0.2</v>
      </c>
      <c r="T624" s="13">
        <v>47.744</v>
      </c>
      <c r="U624" s="13">
        <v>14.92</v>
      </c>
      <c r="V624" s="21">
        <f>Table10[[#This Row],[Profit]]/Table10[[#This Row],[Sales]]</f>
        <v>0.3125</v>
      </c>
    </row>
    <row r="625" spans="1:22" x14ac:dyDescent="0.2">
      <c r="A625">
        <v>624</v>
      </c>
      <c r="B625" t="s">
        <v>4960</v>
      </c>
      <c r="C625" s="1">
        <v>42509</v>
      </c>
      <c r="D625" s="22">
        <f>MONTH(Table10[[#This Row],[Order Date]])</f>
        <v>5</v>
      </c>
      <c r="E625" t="s">
        <v>4360</v>
      </c>
      <c r="F625" t="s">
        <v>4361</v>
      </c>
      <c r="G625" s="23" t="s">
        <v>41</v>
      </c>
      <c r="H625" s="23" t="s">
        <v>68</v>
      </c>
      <c r="I625" t="s">
        <v>2801</v>
      </c>
      <c r="J625" t="s">
        <v>36</v>
      </c>
      <c r="K625" s="22">
        <v>1</v>
      </c>
      <c r="L625" s="1">
        <v>42514</v>
      </c>
      <c r="M625" s="22">
        <f>Table10[[#This Row],[Ship Date]]-Table10[[#This Row],[Order Date]]</f>
        <v>5</v>
      </c>
      <c r="N625" t="s">
        <v>45</v>
      </c>
      <c r="O625" t="s">
        <v>23</v>
      </c>
      <c r="P625" t="s">
        <v>38</v>
      </c>
      <c r="Q625" t="s">
        <v>39</v>
      </c>
      <c r="R625" t="s">
        <v>114</v>
      </c>
      <c r="S625" s="33">
        <v>0.2</v>
      </c>
      <c r="T625" s="13">
        <v>9.5839999999999996</v>
      </c>
      <c r="U625" s="13">
        <v>3.3544</v>
      </c>
      <c r="V625" s="21">
        <f>Table10[[#This Row],[Profit]]/Table10[[#This Row],[Sales]]</f>
        <v>0.35000000000000003</v>
      </c>
    </row>
    <row r="626" spans="1:22" x14ac:dyDescent="0.2">
      <c r="A626">
        <v>625</v>
      </c>
      <c r="B626" t="s">
        <v>6012</v>
      </c>
      <c r="C626" s="1">
        <v>42509</v>
      </c>
      <c r="D626" s="22">
        <f>MONTH(Table10[[#This Row],[Order Date]])</f>
        <v>5</v>
      </c>
      <c r="E626" t="s">
        <v>115</v>
      </c>
      <c r="F626" t="s">
        <v>116</v>
      </c>
      <c r="G626" s="23" t="s">
        <v>41</v>
      </c>
      <c r="H626" s="23" t="s">
        <v>61</v>
      </c>
      <c r="I626" t="s">
        <v>3986</v>
      </c>
      <c r="J626" t="s">
        <v>36</v>
      </c>
      <c r="K626" s="22">
        <v>5</v>
      </c>
      <c r="L626" s="1">
        <v>42513</v>
      </c>
      <c r="M626" s="22">
        <f>Table10[[#This Row],[Ship Date]]-Table10[[#This Row],[Order Date]]</f>
        <v>4</v>
      </c>
      <c r="N626" t="s">
        <v>45</v>
      </c>
      <c r="O626" t="s">
        <v>23</v>
      </c>
      <c r="P626" t="s">
        <v>226</v>
      </c>
      <c r="Q626" t="s">
        <v>95</v>
      </c>
      <c r="R626" t="s">
        <v>3766</v>
      </c>
      <c r="S626" s="33">
        <v>0</v>
      </c>
      <c r="T626" s="13">
        <v>21.4</v>
      </c>
      <c r="U626" s="13">
        <v>6.2060000000000004</v>
      </c>
      <c r="V626" s="21">
        <f>Table10[[#This Row],[Profit]]/Table10[[#This Row],[Sales]]</f>
        <v>0.29000000000000004</v>
      </c>
    </row>
    <row r="627" spans="1:22" x14ac:dyDescent="0.2">
      <c r="A627">
        <v>626</v>
      </c>
      <c r="B627" t="s">
        <v>8715</v>
      </c>
      <c r="C627" s="1">
        <v>42509</v>
      </c>
      <c r="D627" s="22">
        <f>MONTH(Table10[[#This Row],[Order Date]])</f>
        <v>5</v>
      </c>
      <c r="E627" t="s">
        <v>6613</v>
      </c>
      <c r="F627" t="s">
        <v>1262</v>
      </c>
      <c r="G627" s="23" t="s">
        <v>41</v>
      </c>
      <c r="H627" s="23" t="s">
        <v>71</v>
      </c>
      <c r="I627" t="s">
        <v>5937</v>
      </c>
      <c r="J627" t="s">
        <v>36</v>
      </c>
      <c r="K627" s="22">
        <v>8</v>
      </c>
      <c r="L627" s="1">
        <v>42513</v>
      </c>
      <c r="M627" s="22">
        <f>Table10[[#This Row],[Ship Date]]-Table10[[#This Row],[Order Date]]</f>
        <v>4</v>
      </c>
      <c r="N627" t="s">
        <v>45</v>
      </c>
      <c r="O627" t="s">
        <v>23</v>
      </c>
      <c r="P627" t="s">
        <v>38</v>
      </c>
      <c r="Q627" t="s">
        <v>39</v>
      </c>
      <c r="R627" t="s">
        <v>37</v>
      </c>
      <c r="S627" s="33">
        <v>0</v>
      </c>
      <c r="T627" s="13">
        <v>87.84</v>
      </c>
      <c r="U627" s="13">
        <v>23.716799999999999</v>
      </c>
      <c r="V627" s="21">
        <f>Table10[[#This Row],[Profit]]/Table10[[#This Row],[Sales]]</f>
        <v>0.26999999999999996</v>
      </c>
    </row>
    <row r="628" spans="1:22" x14ac:dyDescent="0.2">
      <c r="A628">
        <v>627</v>
      </c>
      <c r="B628" t="s">
        <v>1855</v>
      </c>
      <c r="C628" s="1">
        <v>42510</v>
      </c>
      <c r="D628" s="22">
        <f>MONTH(Table10[[#This Row],[Order Date]])</f>
        <v>5</v>
      </c>
      <c r="E628" t="s">
        <v>811</v>
      </c>
      <c r="F628" t="s">
        <v>812</v>
      </c>
      <c r="G628" s="23" t="s">
        <v>28</v>
      </c>
      <c r="H628" s="23" t="s">
        <v>58</v>
      </c>
      <c r="I628" t="s">
        <v>391</v>
      </c>
      <c r="J628" t="s">
        <v>92</v>
      </c>
      <c r="K628" s="22">
        <v>5</v>
      </c>
      <c r="L628" s="1">
        <v>42515</v>
      </c>
      <c r="M628" s="22">
        <f>Table10[[#This Row],[Ship Date]]-Table10[[#This Row],[Order Date]]</f>
        <v>5</v>
      </c>
      <c r="N628" t="s">
        <v>45</v>
      </c>
      <c r="O628" t="s">
        <v>23</v>
      </c>
      <c r="P628" t="s">
        <v>38</v>
      </c>
      <c r="Q628" t="s">
        <v>39</v>
      </c>
      <c r="R628" t="s">
        <v>1856</v>
      </c>
      <c r="S628" s="33">
        <v>0</v>
      </c>
      <c r="T628" s="13">
        <v>1049.2</v>
      </c>
      <c r="U628" s="13">
        <v>272.79199999999997</v>
      </c>
      <c r="V628" s="21">
        <f>Table10[[#This Row],[Profit]]/Table10[[#This Row],[Sales]]</f>
        <v>0.25999999999999995</v>
      </c>
    </row>
    <row r="629" spans="1:22" x14ac:dyDescent="0.2">
      <c r="A629">
        <v>628</v>
      </c>
      <c r="B629" t="s">
        <v>1855</v>
      </c>
      <c r="C629" s="1">
        <v>42510</v>
      </c>
      <c r="D629" s="22">
        <f>MONTH(Table10[[#This Row],[Order Date]])</f>
        <v>5</v>
      </c>
      <c r="E629" t="s">
        <v>1857</v>
      </c>
      <c r="F629" t="s">
        <v>1858</v>
      </c>
      <c r="G629" s="23" t="s">
        <v>41</v>
      </c>
      <c r="H629" s="23" t="s">
        <v>68</v>
      </c>
      <c r="I629" t="s">
        <v>391</v>
      </c>
      <c r="J629" t="s">
        <v>92</v>
      </c>
      <c r="K629" s="22">
        <v>4</v>
      </c>
      <c r="L629" s="1">
        <v>42515</v>
      </c>
      <c r="M629" s="22">
        <f>Table10[[#This Row],[Ship Date]]-Table10[[#This Row],[Order Date]]</f>
        <v>5</v>
      </c>
      <c r="N629" t="s">
        <v>45</v>
      </c>
      <c r="O629" t="s">
        <v>23</v>
      </c>
      <c r="P629" t="s">
        <v>38</v>
      </c>
      <c r="Q629" t="s">
        <v>39</v>
      </c>
      <c r="R629" t="s">
        <v>1856</v>
      </c>
      <c r="S629" s="33">
        <v>0.2</v>
      </c>
      <c r="T629" s="13">
        <v>15.423999999999999</v>
      </c>
      <c r="U629" s="13">
        <v>5.0128000000000004</v>
      </c>
      <c r="V629" s="21">
        <f>Table10[[#This Row],[Profit]]/Table10[[#This Row],[Sales]]</f>
        <v>0.32500000000000001</v>
      </c>
    </row>
    <row r="630" spans="1:22" x14ac:dyDescent="0.2">
      <c r="A630">
        <v>629</v>
      </c>
      <c r="B630" t="s">
        <v>2186</v>
      </c>
      <c r="C630" s="1">
        <v>42510</v>
      </c>
      <c r="D630" s="22">
        <f>MONTH(Table10[[#This Row],[Order Date]])</f>
        <v>5</v>
      </c>
      <c r="E630" t="s">
        <v>2189</v>
      </c>
      <c r="F630" t="s">
        <v>2190</v>
      </c>
      <c r="G630" s="23" t="s">
        <v>64</v>
      </c>
      <c r="H630" s="23" t="s">
        <v>65</v>
      </c>
      <c r="I630" t="s">
        <v>2187</v>
      </c>
      <c r="J630" t="s">
        <v>22</v>
      </c>
      <c r="K630" s="22">
        <v>5</v>
      </c>
      <c r="L630" s="1">
        <v>42510</v>
      </c>
      <c r="M630" s="22">
        <f>Table10[[#This Row],[Ship Date]]-Table10[[#This Row],[Order Date]]</f>
        <v>0</v>
      </c>
      <c r="N630" t="s">
        <v>1141</v>
      </c>
      <c r="O630" t="s">
        <v>23</v>
      </c>
      <c r="P630" t="s">
        <v>80</v>
      </c>
      <c r="Q630" t="s">
        <v>26</v>
      </c>
      <c r="R630" t="s">
        <v>2188</v>
      </c>
      <c r="S630" s="33">
        <v>0.2</v>
      </c>
      <c r="T630" s="13">
        <v>1363.96</v>
      </c>
      <c r="U630" s="13">
        <v>85.247500000000002</v>
      </c>
      <c r="V630" s="21">
        <f>Table10[[#This Row],[Profit]]/Table10[[#This Row],[Sales]]</f>
        <v>6.25E-2</v>
      </c>
    </row>
    <row r="631" spans="1:22" x14ac:dyDescent="0.2">
      <c r="A631">
        <v>630</v>
      </c>
      <c r="B631" t="s">
        <v>6138</v>
      </c>
      <c r="C631" s="1">
        <v>42510</v>
      </c>
      <c r="D631" s="22">
        <f>MONTH(Table10[[#This Row],[Order Date]])</f>
        <v>5</v>
      </c>
      <c r="E631" t="s">
        <v>1077</v>
      </c>
      <c r="F631" t="s">
        <v>1078</v>
      </c>
      <c r="G631" s="23" t="s">
        <v>41</v>
      </c>
      <c r="H631" s="23" t="s">
        <v>68</v>
      </c>
      <c r="I631" t="s">
        <v>1571</v>
      </c>
      <c r="J631" t="s">
        <v>22</v>
      </c>
      <c r="K631" s="22">
        <v>2</v>
      </c>
      <c r="L631" s="1">
        <v>42514</v>
      </c>
      <c r="M631" s="22">
        <f>Table10[[#This Row],[Ship Date]]-Table10[[#This Row],[Order Date]]</f>
        <v>4</v>
      </c>
      <c r="N631" t="s">
        <v>45</v>
      </c>
      <c r="O631" t="s">
        <v>23</v>
      </c>
      <c r="P631" t="s">
        <v>48</v>
      </c>
      <c r="Q631" t="s">
        <v>26</v>
      </c>
      <c r="R631" t="s">
        <v>6139</v>
      </c>
      <c r="S631" s="33">
        <v>0.7</v>
      </c>
      <c r="T631" s="13">
        <v>2.694</v>
      </c>
      <c r="U631" s="13">
        <v>-2.2450000000000001</v>
      </c>
      <c r="V631" s="21">
        <f>Table10[[#This Row],[Profit]]/Table10[[#This Row],[Sales]]</f>
        <v>-0.83333333333333337</v>
      </c>
    </row>
    <row r="632" spans="1:22" x14ac:dyDescent="0.2">
      <c r="A632">
        <v>631</v>
      </c>
      <c r="B632" t="s">
        <v>6379</v>
      </c>
      <c r="C632" s="1">
        <v>42510</v>
      </c>
      <c r="D632" s="22">
        <f>MONTH(Table10[[#This Row],[Order Date]])</f>
        <v>5</v>
      </c>
      <c r="E632" t="s">
        <v>2100</v>
      </c>
      <c r="F632" t="s">
        <v>2101</v>
      </c>
      <c r="G632" s="23" t="s">
        <v>41</v>
      </c>
      <c r="H632" s="23" t="s">
        <v>68</v>
      </c>
      <c r="I632" t="s">
        <v>1905</v>
      </c>
      <c r="J632" t="s">
        <v>92</v>
      </c>
      <c r="K632" s="22">
        <v>7</v>
      </c>
      <c r="L632" s="1">
        <v>42513</v>
      </c>
      <c r="M632" s="22">
        <f>Table10[[#This Row],[Ship Date]]-Table10[[#This Row],[Order Date]]</f>
        <v>3</v>
      </c>
      <c r="N632" t="s">
        <v>169</v>
      </c>
      <c r="O632" t="s">
        <v>23</v>
      </c>
      <c r="P632" t="s">
        <v>405</v>
      </c>
      <c r="Q632" t="s">
        <v>39</v>
      </c>
      <c r="R632" t="s">
        <v>954</v>
      </c>
      <c r="S632" s="33">
        <v>0.7</v>
      </c>
      <c r="T632" s="13">
        <v>40.634999999999998</v>
      </c>
      <c r="U632" s="13">
        <v>-32.508000000000003</v>
      </c>
      <c r="V632" s="21">
        <f>Table10[[#This Row],[Profit]]/Table10[[#This Row],[Sales]]</f>
        <v>-0.80000000000000016</v>
      </c>
    </row>
    <row r="633" spans="1:22" x14ac:dyDescent="0.2">
      <c r="A633">
        <v>632</v>
      </c>
      <c r="B633" t="s">
        <v>1578</v>
      </c>
      <c r="C633" s="1">
        <v>42511</v>
      </c>
      <c r="D633" s="22">
        <f>MONTH(Table10[[#This Row],[Order Date]])</f>
        <v>5</v>
      </c>
      <c r="E633" t="s">
        <v>1579</v>
      </c>
      <c r="F633" t="s">
        <v>1580</v>
      </c>
      <c r="G633" s="23" t="s">
        <v>64</v>
      </c>
      <c r="H633" s="23" t="s">
        <v>65</v>
      </c>
      <c r="I633" t="s">
        <v>831</v>
      </c>
      <c r="J633" t="s">
        <v>22</v>
      </c>
      <c r="K633" s="22">
        <v>3</v>
      </c>
      <c r="L633" s="1">
        <v>42513</v>
      </c>
      <c r="M633" s="22">
        <f>Table10[[#This Row],[Ship Date]]-Table10[[#This Row],[Order Date]]</f>
        <v>2</v>
      </c>
      <c r="N633" t="s">
        <v>169</v>
      </c>
      <c r="O633" t="s">
        <v>23</v>
      </c>
      <c r="P633" t="s">
        <v>38</v>
      </c>
      <c r="Q633" t="s">
        <v>39</v>
      </c>
      <c r="R633" t="s">
        <v>37</v>
      </c>
      <c r="S633" s="33">
        <v>0.2</v>
      </c>
      <c r="T633" s="13">
        <v>55.176000000000002</v>
      </c>
      <c r="U633" s="13">
        <v>-12.4146</v>
      </c>
      <c r="V633" s="21">
        <f>Table10[[#This Row],[Profit]]/Table10[[#This Row],[Sales]]</f>
        <v>-0.22500000000000001</v>
      </c>
    </row>
    <row r="634" spans="1:22" x14ac:dyDescent="0.2">
      <c r="A634">
        <v>633</v>
      </c>
      <c r="B634" t="s">
        <v>1578</v>
      </c>
      <c r="C634" s="1">
        <v>42511</v>
      </c>
      <c r="D634" s="22">
        <f>MONTH(Table10[[#This Row],[Order Date]])</f>
        <v>5</v>
      </c>
      <c r="E634" t="s">
        <v>800</v>
      </c>
      <c r="F634" t="s">
        <v>1581</v>
      </c>
      <c r="G634" s="23" t="s">
        <v>64</v>
      </c>
      <c r="H634" s="23" t="s">
        <v>144</v>
      </c>
      <c r="I634" t="s">
        <v>831</v>
      </c>
      <c r="J634" t="s">
        <v>22</v>
      </c>
      <c r="K634" s="22">
        <v>2</v>
      </c>
      <c r="L634" s="1">
        <v>42513</v>
      </c>
      <c r="M634" s="22">
        <f>Table10[[#This Row],[Ship Date]]-Table10[[#This Row],[Order Date]]</f>
        <v>2</v>
      </c>
      <c r="N634" t="s">
        <v>169</v>
      </c>
      <c r="O634" t="s">
        <v>23</v>
      </c>
      <c r="P634" t="s">
        <v>38</v>
      </c>
      <c r="Q634" t="s">
        <v>39</v>
      </c>
      <c r="R634" t="s">
        <v>37</v>
      </c>
      <c r="S634" s="33">
        <v>0</v>
      </c>
      <c r="T634" s="13">
        <v>66.260000000000005</v>
      </c>
      <c r="U634" s="13">
        <v>27.166599999999999</v>
      </c>
      <c r="V634" s="21">
        <f>Table10[[#This Row],[Profit]]/Table10[[#This Row],[Sales]]</f>
        <v>0.41</v>
      </c>
    </row>
    <row r="635" spans="1:22" x14ac:dyDescent="0.2">
      <c r="A635">
        <v>634</v>
      </c>
      <c r="B635" t="s">
        <v>4859</v>
      </c>
      <c r="C635" s="1">
        <v>42511</v>
      </c>
      <c r="D635" s="22">
        <f>MONTH(Table10[[#This Row],[Order Date]])</f>
        <v>5</v>
      </c>
      <c r="E635" t="s">
        <v>4861</v>
      </c>
      <c r="F635" t="s">
        <v>4862</v>
      </c>
      <c r="G635" s="23" t="s">
        <v>64</v>
      </c>
      <c r="H635" s="23" t="s">
        <v>602</v>
      </c>
      <c r="I635" t="s">
        <v>187</v>
      </c>
      <c r="J635" t="s">
        <v>36</v>
      </c>
      <c r="K635" s="22">
        <v>10</v>
      </c>
      <c r="L635" s="1">
        <v>42518</v>
      </c>
      <c r="M635" s="22">
        <f>Table10[[#This Row],[Ship Date]]-Table10[[#This Row],[Order Date]]</f>
        <v>7</v>
      </c>
      <c r="N635" t="s">
        <v>45</v>
      </c>
      <c r="O635" t="s">
        <v>23</v>
      </c>
      <c r="P635" t="s">
        <v>1229</v>
      </c>
      <c r="Q635" t="s">
        <v>39</v>
      </c>
      <c r="R635" t="s">
        <v>4860</v>
      </c>
      <c r="S635" s="33">
        <v>0.2</v>
      </c>
      <c r="T635" s="13">
        <v>2396.4</v>
      </c>
      <c r="U635" s="13">
        <v>179.73</v>
      </c>
      <c r="V635" s="21">
        <f>Table10[[#This Row],[Profit]]/Table10[[#This Row],[Sales]]</f>
        <v>7.4999999999999997E-2</v>
      </c>
    </row>
    <row r="636" spans="1:22" x14ac:dyDescent="0.2">
      <c r="A636">
        <v>635</v>
      </c>
      <c r="B636" t="s">
        <v>6705</v>
      </c>
      <c r="C636" s="1">
        <v>42511</v>
      </c>
      <c r="D636" s="22">
        <f>MONTH(Table10[[#This Row],[Order Date]])</f>
        <v>5</v>
      </c>
      <c r="E636" t="s">
        <v>6706</v>
      </c>
      <c r="F636" t="s">
        <v>167</v>
      </c>
      <c r="G636" s="23" t="s">
        <v>41</v>
      </c>
      <c r="H636" s="23" t="s">
        <v>82</v>
      </c>
      <c r="I636" t="s">
        <v>2118</v>
      </c>
      <c r="J636" t="s">
        <v>36</v>
      </c>
      <c r="K636" s="22">
        <v>2</v>
      </c>
      <c r="L636" s="1">
        <v>42513</v>
      </c>
      <c r="M636" s="22">
        <f>Table10[[#This Row],[Ship Date]]-Table10[[#This Row],[Order Date]]</f>
        <v>2</v>
      </c>
      <c r="N636" t="s">
        <v>169</v>
      </c>
      <c r="O636" t="s">
        <v>23</v>
      </c>
      <c r="P636" t="s">
        <v>1235</v>
      </c>
      <c r="Q636" t="s">
        <v>133</v>
      </c>
      <c r="R636" t="s">
        <v>1234</v>
      </c>
      <c r="S636" s="33">
        <v>0</v>
      </c>
      <c r="T636" s="13">
        <v>111.96</v>
      </c>
      <c r="U636" s="13">
        <v>54.860399999999998</v>
      </c>
      <c r="V636" s="21">
        <f>Table10[[#This Row],[Profit]]/Table10[[#This Row],[Sales]]</f>
        <v>0.49</v>
      </c>
    </row>
    <row r="637" spans="1:22" x14ac:dyDescent="0.2">
      <c r="A637">
        <v>636</v>
      </c>
      <c r="B637" t="s">
        <v>8494</v>
      </c>
      <c r="C637" s="1">
        <v>42511</v>
      </c>
      <c r="D637" s="22">
        <f>MONTH(Table10[[#This Row],[Order Date]])</f>
        <v>5</v>
      </c>
      <c r="E637" t="s">
        <v>700</v>
      </c>
      <c r="F637" t="s">
        <v>701</v>
      </c>
      <c r="G637" s="23" t="s">
        <v>41</v>
      </c>
      <c r="H637" s="23" t="s">
        <v>68</v>
      </c>
      <c r="I637" t="s">
        <v>1184</v>
      </c>
      <c r="J637" t="s">
        <v>36</v>
      </c>
      <c r="K637" s="22">
        <v>2</v>
      </c>
      <c r="L637" s="1">
        <v>42516</v>
      </c>
      <c r="M637" s="22">
        <f>Table10[[#This Row],[Ship Date]]-Table10[[#This Row],[Order Date]]</f>
        <v>5</v>
      </c>
      <c r="N637" t="s">
        <v>45</v>
      </c>
      <c r="O637" t="s">
        <v>23</v>
      </c>
      <c r="P637" t="s">
        <v>94</v>
      </c>
      <c r="Q637" t="s">
        <v>95</v>
      </c>
      <c r="R637" t="s">
        <v>718</v>
      </c>
      <c r="S637" s="33">
        <v>0.8</v>
      </c>
      <c r="T637" s="13">
        <v>1.964</v>
      </c>
      <c r="U637" s="13">
        <v>-3.2406000000000001</v>
      </c>
      <c r="V637" s="21">
        <f>Table10[[#This Row],[Profit]]/Table10[[#This Row],[Sales]]</f>
        <v>-1.6500000000000001</v>
      </c>
    </row>
    <row r="638" spans="1:22" x14ac:dyDescent="0.2">
      <c r="A638">
        <v>637</v>
      </c>
      <c r="B638" t="s">
        <v>8494</v>
      </c>
      <c r="C638" s="1">
        <v>42511</v>
      </c>
      <c r="D638" s="22">
        <f>MONTH(Table10[[#This Row],[Order Date]])</f>
        <v>5</v>
      </c>
      <c r="E638" t="s">
        <v>2374</v>
      </c>
      <c r="F638" t="s">
        <v>2375</v>
      </c>
      <c r="G638" s="23" t="s">
        <v>41</v>
      </c>
      <c r="H638" s="23" t="s">
        <v>82</v>
      </c>
      <c r="I638" t="s">
        <v>1184</v>
      </c>
      <c r="J638" t="s">
        <v>36</v>
      </c>
      <c r="K638" s="22">
        <v>9</v>
      </c>
      <c r="L638" s="1">
        <v>42516</v>
      </c>
      <c r="M638" s="22">
        <f>Table10[[#This Row],[Ship Date]]-Table10[[#This Row],[Order Date]]</f>
        <v>5</v>
      </c>
      <c r="N638" t="s">
        <v>45</v>
      </c>
      <c r="O638" t="s">
        <v>23</v>
      </c>
      <c r="P638" t="s">
        <v>94</v>
      </c>
      <c r="Q638" t="s">
        <v>95</v>
      </c>
      <c r="R638" t="s">
        <v>718</v>
      </c>
      <c r="S638" s="33">
        <v>0.2</v>
      </c>
      <c r="T638" s="13">
        <v>82.656000000000006</v>
      </c>
      <c r="U638" s="13">
        <v>30.995999999999999</v>
      </c>
      <c r="V638" s="21">
        <f>Table10[[#This Row],[Profit]]/Table10[[#This Row],[Sales]]</f>
        <v>0.37499999999999994</v>
      </c>
    </row>
    <row r="639" spans="1:22" x14ac:dyDescent="0.2">
      <c r="A639">
        <v>638</v>
      </c>
      <c r="B639" t="s">
        <v>10051</v>
      </c>
      <c r="C639" s="1">
        <v>42511</v>
      </c>
      <c r="D639" s="22">
        <f>MONTH(Table10[[#This Row],[Order Date]])</f>
        <v>5</v>
      </c>
      <c r="E639" t="s">
        <v>2949</v>
      </c>
      <c r="F639" t="s">
        <v>2950</v>
      </c>
      <c r="G639" s="23" t="s">
        <v>41</v>
      </c>
      <c r="H639" s="23" t="s">
        <v>68</v>
      </c>
      <c r="I639" t="s">
        <v>518</v>
      </c>
      <c r="J639" t="s">
        <v>36</v>
      </c>
      <c r="K639" s="22">
        <v>3</v>
      </c>
      <c r="L639" s="1">
        <v>42518</v>
      </c>
      <c r="M639" s="22">
        <f>Table10[[#This Row],[Ship Date]]-Table10[[#This Row],[Order Date]]</f>
        <v>7</v>
      </c>
      <c r="N639" t="s">
        <v>45</v>
      </c>
      <c r="O639" t="s">
        <v>23</v>
      </c>
      <c r="P639" t="s">
        <v>189</v>
      </c>
      <c r="Q639" t="s">
        <v>95</v>
      </c>
      <c r="R639" t="s">
        <v>271</v>
      </c>
      <c r="S639" s="33">
        <v>0.8</v>
      </c>
      <c r="T639" s="13">
        <v>3.798</v>
      </c>
      <c r="U639" s="13">
        <v>-5.8868999999999998</v>
      </c>
      <c r="V639" s="21">
        <f>Table10[[#This Row],[Profit]]/Table10[[#This Row],[Sales]]</f>
        <v>-1.5499999999999998</v>
      </c>
    </row>
    <row r="640" spans="1:22" x14ac:dyDescent="0.2">
      <c r="A640">
        <v>639</v>
      </c>
      <c r="B640" t="s">
        <v>4894</v>
      </c>
      <c r="C640" s="1">
        <v>42512</v>
      </c>
      <c r="D640" s="22">
        <f>MONTH(Table10[[#This Row],[Order Date]])</f>
        <v>5</v>
      </c>
      <c r="E640" t="s">
        <v>1064</v>
      </c>
      <c r="F640" t="s">
        <v>1065</v>
      </c>
      <c r="G640" s="23" t="s">
        <v>64</v>
      </c>
      <c r="H640" s="23" t="s">
        <v>65</v>
      </c>
      <c r="I640" t="s">
        <v>4505</v>
      </c>
      <c r="J640" t="s">
        <v>22</v>
      </c>
      <c r="K640" s="22">
        <v>5</v>
      </c>
      <c r="L640" s="1">
        <v>42517</v>
      </c>
      <c r="M640" s="22">
        <f>Table10[[#This Row],[Ship Date]]-Table10[[#This Row],[Order Date]]</f>
        <v>5</v>
      </c>
      <c r="N640" t="s">
        <v>45</v>
      </c>
      <c r="O640" t="s">
        <v>23</v>
      </c>
      <c r="P640" t="s">
        <v>695</v>
      </c>
      <c r="Q640" t="s">
        <v>133</v>
      </c>
      <c r="R640" t="s">
        <v>4895</v>
      </c>
      <c r="S640" s="33">
        <v>0</v>
      </c>
      <c r="T640" s="13">
        <v>345</v>
      </c>
      <c r="U640" s="13">
        <v>86.25</v>
      </c>
      <c r="V640" s="21">
        <f>Table10[[#This Row],[Profit]]/Table10[[#This Row],[Sales]]</f>
        <v>0.25</v>
      </c>
    </row>
    <row r="641" spans="1:22" x14ac:dyDescent="0.2">
      <c r="A641">
        <v>640</v>
      </c>
      <c r="B641" t="s">
        <v>4894</v>
      </c>
      <c r="C641" s="1">
        <v>42512</v>
      </c>
      <c r="D641" s="22">
        <f>MONTH(Table10[[#This Row],[Order Date]])</f>
        <v>5</v>
      </c>
      <c r="E641" t="s">
        <v>778</v>
      </c>
      <c r="F641" t="s">
        <v>779</v>
      </c>
      <c r="G641" s="23" t="s">
        <v>28</v>
      </c>
      <c r="H641" s="23" t="s">
        <v>50</v>
      </c>
      <c r="I641" t="s">
        <v>4505</v>
      </c>
      <c r="J641" t="s">
        <v>22</v>
      </c>
      <c r="K641" s="22">
        <v>2</v>
      </c>
      <c r="L641" s="1">
        <v>42517</v>
      </c>
      <c r="M641" s="22">
        <f>Table10[[#This Row],[Ship Date]]-Table10[[#This Row],[Order Date]]</f>
        <v>5</v>
      </c>
      <c r="N641" t="s">
        <v>45</v>
      </c>
      <c r="O641" t="s">
        <v>23</v>
      </c>
      <c r="P641" t="s">
        <v>695</v>
      </c>
      <c r="Q641" t="s">
        <v>133</v>
      </c>
      <c r="R641" t="s">
        <v>4895</v>
      </c>
      <c r="S641" s="33">
        <v>0.3</v>
      </c>
      <c r="T641" s="13">
        <v>174.286</v>
      </c>
      <c r="U641" s="13">
        <v>-19.918399999999998</v>
      </c>
      <c r="V641" s="21">
        <f>Table10[[#This Row],[Profit]]/Table10[[#This Row],[Sales]]</f>
        <v>-0.11428571428571428</v>
      </c>
    </row>
    <row r="642" spans="1:22" x14ac:dyDescent="0.2">
      <c r="A642">
        <v>641</v>
      </c>
      <c r="B642" t="s">
        <v>4894</v>
      </c>
      <c r="C642" s="1">
        <v>42512</v>
      </c>
      <c r="D642" s="22">
        <f>MONTH(Table10[[#This Row],[Order Date]])</f>
        <v>5</v>
      </c>
      <c r="E642" t="s">
        <v>719</v>
      </c>
      <c r="F642" t="s">
        <v>720</v>
      </c>
      <c r="G642" s="23" t="s">
        <v>41</v>
      </c>
      <c r="H642" s="23" t="s">
        <v>71</v>
      </c>
      <c r="I642" t="s">
        <v>4505</v>
      </c>
      <c r="J642" t="s">
        <v>22</v>
      </c>
      <c r="K642" s="22">
        <v>4</v>
      </c>
      <c r="L642" s="1">
        <v>42517</v>
      </c>
      <c r="M642" s="22">
        <f>Table10[[#This Row],[Ship Date]]-Table10[[#This Row],[Order Date]]</f>
        <v>5</v>
      </c>
      <c r="N642" t="s">
        <v>45</v>
      </c>
      <c r="O642" t="s">
        <v>23</v>
      </c>
      <c r="P642" t="s">
        <v>695</v>
      </c>
      <c r="Q642" t="s">
        <v>133</v>
      </c>
      <c r="R642" t="s">
        <v>4895</v>
      </c>
      <c r="S642" s="33">
        <v>0</v>
      </c>
      <c r="T642" s="13">
        <v>662.84</v>
      </c>
      <c r="U642" s="13">
        <v>172.33840000000001</v>
      </c>
      <c r="V642" s="21">
        <f>Table10[[#This Row],[Profit]]/Table10[[#This Row],[Sales]]</f>
        <v>0.26</v>
      </c>
    </row>
    <row r="643" spans="1:22" x14ac:dyDescent="0.2">
      <c r="A643">
        <v>642</v>
      </c>
      <c r="B643" t="s">
        <v>4894</v>
      </c>
      <c r="C643" s="1">
        <v>42512</v>
      </c>
      <c r="D643" s="22">
        <f>MONTH(Table10[[#This Row],[Order Date]])</f>
        <v>5</v>
      </c>
      <c r="E643" t="s">
        <v>1550</v>
      </c>
      <c r="F643" t="s">
        <v>1551</v>
      </c>
      <c r="G643" s="23" t="s">
        <v>64</v>
      </c>
      <c r="H643" s="23" t="s">
        <v>144</v>
      </c>
      <c r="I643" t="s">
        <v>4505</v>
      </c>
      <c r="J643" t="s">
        <v>22</v>
      </c>
      <c r="K643" s="22">
        <v>5</v>
      </c>
      <c r="L643" s="1">
        <v>42517</v>
      </c>
      <c r="M643" s="22">
        <f>Table10[[#This Row],[Ship Date]]-Table10[[#This Row],[Order Date]]</f>
        <v>5</v>
      </c>
      <c r="N643" t="s">
        <v>45</v>
      </c>
      <c r="O643" t="s">
        <v>23</v>
      </c>
      <c r="P643" t="s">
        <v>695</v>
      </c>
      <c r="Q643" t="s">
        <v>133</v>
      </c>
      <c r="R643" t="s">
        <v>4895</v>
      </c>
      <c r="S643" s="33">
        <v>0</v>
      </c>
      <c r="T643" s="13">
        <v>95.1</v>
      </c>
      <c r="U643" s="13">
        <v>30.431999999999999</v>
      </c>
      <c r="V643" s="21">
        <f>Table10[[#This Row],[Profit]]/Table10[[#This Row],[Sales]]</f>
        <v>0.32</v>
      </c>
    </row>
    <row r="644" spans="1:22" x14ac:dyDescent="0.2">
      <c r="A644">
        <v>643</v>
      </c>
      <c r="B644" t="s">
        <v>4894</v>
      </c>
      <c r="C644" s="1">
        <v>42512</v>
      </c>
      <c r="D644" s="22">
        <f>MONTH(Table10[[#This Row],[Order Date]])</f>
        <v>5</v>
      </c>
      <c r="E644" t="s">
        <v>4896</v>
      </c>
      <c r="F644" t="s">
        <v>4897</v>
      </c>
      <c r="G644" s="23" t="s">
        <v>41</v>
      </c>
      <c r="H644" s="23" t="s">
        <v>155</v>
      </c>
      <c r="I644" t="s">
        <v>4505</v>
      </c>
      <c r="J644" t="s">
        <v>22</v>
      </c>
      <c r="K644" s="22">
        <v>6</v>
      </c>
      <c r="L644" s="1">
        <v>42517</v>
      </c>
      <c r="M644" s="22">
        <f>Table10[[#This Row],[Ship Date]]-Table10[[#This Row],[Order Date]]</f>
        <v>5</v>
      </c>
      <c r="N644" t="s">
        <v>45</v>
      </c>
      <c r="O644" t="s">
        <v>23</v>
      </c>
      <c r="P644" t="s">
        <v>695</v>
      </c>
      <c r="Q644" t="s">
        <v>133</v>
      </c>
      <c r="R644" t="s">
        <v>4895</v>
      </c>
      <c r="S644" s="33">
        <v>0</v>
      </c>
      <c r="T644" s="13">
        <v>26.88</v>
      </c>
      <c r="U644" s="13">
        <v>12.9024</v>
      </c>
      <c r="V644" s="21">
        <f>Table10[[#This Row],[Profit]]/Table10[[#This Row],[Sales]]</f>
        <v>0.48000000000000004</v>
      </c>
    </row>
    <row r="645" spans="1:22" x14ac:dyDescent="0.2">
      <c r="A645">
        <v>644</v>
      </c>
      <c r="B645" t="s">
        <v>4894</v>
      </c>
      <c r="C645" s="1">
        <v>42512</v>
      </c>
      <c r="D645" s="22">
        <f>MONTH(Table10[[#This Row],[Order Date]])</f>
        <v>5</v>
      </c>
      <c r="E645" t="s">
        <v>3306</v>
      </c>
      <c r="F645" t="s">
        <v>3307</v>
      </c>
      <c r="G645" s="23" t="s">
        <v>64</v>
      </c>
      <c r="H645" s="23" t="s">
        <v>65</v>
      </c>
      <c r="I645" t="s">
        <v>4505</v>
      </c>
      <c r="J645" t="s">
        <v>22</v>
      </c>
      <c r="K645" s="22">
        <v>2</v>
      </c>
      <c r="L645" s="1">
        <v>42517</v>
      </c>
      <c r="M645" s="22">
        <f>Table10[[#This Row],[Ship Date]]-Table10[[#This Row],[Order Date]]</f>
        <v>5</v>
      </c>
      <c r="N645" t="s">
        <v>45</v>
      </c>
      <c r="O645" t="s">
        <v>23</v>
      </c>
      <c r="P645" t="s">
        <v>695</v>
      </c>
      <c r="Q645" t="s">
        <v>133</v>
      </c>
      <c r="R645" t="s">
        <v>4895</v>
      </c>
      <c r="S645" s="33">
        <v>0</v>
      </c>
      <c r="T645" s="13">
        <v>257.98</v>
      </c>
      <c r="U645" s="13">
        <v>74.8142</v>
      </c>
      <c r="V645" s="21">
        <f>Table10[[#This Row],[Profit]]/Table10[[#This Row],[Sales]]</f>
        <v>0.28999999999999998</v>
      </c>
    </row>
    <row r="646" spans="1:22" x14ac:dyDescent="0.2">
      <c r="A646">
        <v>645</v>
      </c>
      <c r="B646" t="s">
        <v>6977</v>
      </c>
      <c r="C646" s="1">
        <v>42512</v>
      </c>
      <c r="D646" s="22">
        <f>MONTH(Table10[[#This Row],[Order Date]])</f>
        <v>5</v>
      </c>
      <c r="E646" t="s">
        <v>1786</v>
      </c>
      <c r="F646" t="s">
        <v>1787</v>
      </c>
      <c r="G646" s="23" t="s">
        <v>41</v>
      </c>
      <c r="H646" s="23" t="s">
        <v>42</v>
      </c>
      <c r="I646" t="s">
        <v>1692</v>
      </c>
      <c r="J646" t="s">
        <v>22</v>
      </c>
      <c r="K646" s="22">
        <v>3</v>
      </c>
      <c r="L646" s="1">
        <v>42512</v>
      </c>
      <c r="M646" s="22">
        <f>Table10[[#This Row],[Ship Date]]-Table10[[#This Row],[Order Date]]</f>
        <v>0</v>
      </c>
      <c r="N646" t="s">
        <v>1141</v>
      </c>
      <c r="O646" t="s">
        <v>23</v>
      </c>
      <c r="P646" t="s">
        <v>1125</v>
      </c>
      <c r="Q646" t="s">
        <v>26</v>
      </c>
      <c r="R646" t="s">
        <v>6978</v>
      </c>
      <c r="S646" s="33">
        <v>0</v>
      </c>
      <c r="T646" s="13">
        <v>14.73</v>
      </c>
      <c r="U646" s="13">
        <v>7.2176999999999998</v>
      </c>
      <c r="V646" s="21">
        <f>Table10[[#This Row],[Profit]]/Table10[[#This Row],[Sales]]</f>
        <v>0.49</v>
      </c>
    </row>
    <row r="647" spans="1:22" x14ac:dyDescent="0.2">
      <c r="A647">
        <v>646</v>
      </c>
      <c r="B647" t="s">
        <v>9257</v>
      </c>
      <c r="C647" s="1">
        <v>42512</v>
      </c>
      <c r="D647" s="22">
        <f>MONTH(Table10[[#This Row],[Order Date]])</f>
        <v>5</v>
      </c>
      <c r="E647" t="s">
        <v>728</v>
      </c>
      <c r="F647" t="s">
        <v>729</v>
      </c>
      <c r="G647" s="23" t="s">
        <v>64</v>
      </c>
      <c r="H647" s="23" t="s">
        <v>65</v>
      </c>
      <c r="I647" t="s">
        <v>3982</v>
      </c>
      <c r="J647" t="s">
        <v>36</v>
      </c>
      <c r="K647" s="22">
        <v>2</v>
      </c>
      <c r="L647" s="1">
        <v>42519</v>
      </c>
      <c r="M647" s="22">
        <f>Table10[[#This Row],[Ship Date]]-Table10[[#This Row],[Order Date]]</f>
        <v>7</v>
      </c>
      <c r="N647" t="s">
        <v>45</v>
      </c>
      <c r="O647" t="s">
        <v>23</v>
      </c>
      <c r="P647" t="s">
        <v>38</v>
      </c>
      <c r="Q647" t="s">
        <v>39</v>
      </c>
      <c r="R647" t="s">
        <v>37</v>
      </c>
      <c r="S647" s="33">
        <v>0.2</v>
      </c>
      <c r="T647" s="13">
        <v>222.38399999999999</v>
      </c>
      <c r="U647" s="13">
        <v>22.238399999999999</v>
      </c>
      <c r="V647" s="21">
        <f>Table10[[#This Row],[Profit]]/Table10[[#This Row],[Sales]]</f>
        <v>0.1</v>
      </c>
    </row>
    <row r="648" spans="1:22" x14ac:dyDescent="0.2">
      <c r="A648">
        <v>647</v>
      </c>
      <c r="B648" t="s">
        <v>3242</v>
      </c>
      <c r="C648" s="1">
        <v>42513</v>
      </c>
      <c r="D648" s="22">
        <f>MONTH(Table10[[#This Row],[Order Date]])</f>
        <v>5</v>
      </c>
      <c r="E648" t="s">
        <v>3063</v>
      </c>
      <c r="F648" t="s">
        <v>3064</v>
      </c>
      <c r="G648" s="23" t="s">
        <v>28</v>
      </c>
      <c r="H648" s="23" t="s">
        <v>58</v>
      </c>
      <c r="I648" t="s">
        <v>3243</v>
      </c>
      <c r="J648" t="s">
        <v>22</v>
      </c>
      <c r="K648" s="22">
        <v>3</v>
      </c>
      <c r="L648" s="1">
        <v>42517</v>
      </c>
      <c r="M648" s="22">
        <f>Table10[[#This Row],[Ship Date]]-Table10[[#This Row],[Order Date]]</f>
        <v>4</v>
      </c>
      <c r="N648" t="s">
        <v>45</v>
      </c>
      <c r="O648" t="s">
        <v>23</v>
      </c>
      <c r="P648" t="s">
        <v>38</v>
      </c>
      <c r="Q648" t="s">
        <v>39</v>
      </c>
      <c r="R648" t="s">
        <v>114</v>
      </c>
      <c r="S648" s="33">
        <v>0</v>
      </c>
      <c r="T648" s="13">
        <v>37.049999999999997</v>
      </c>
      <c r="U648" s="13">
        <v>16.302</v>
      </c>
      <c r="V648" s="21">
        <f>Table10[[#This Row],[Profit]]/Table10[[#This Row],[Sales]]</f>
        <v>0.44</v>
      </c>
    </row>
    <row r="649" spans="1:22" x14ac:dyDescent="0.2">
      <c r="A649">
        <v>648</v>
      </c>
      <c r="B649" t="s">
        <v>3430</v>
      </c>
      <c r="C649" s="1">
        <v>42513</v>
      </c>
      <c r="D649" s="22">
        <f>MONTH(Table10[[#This Row],[Order Date]])</f>
        <v>5</v>
      </c>
      <c r="E649" t="s">
        <v>3092</v>
      </c>
      <c r="F649" t="s">
        <v>3093</v>
      </c>
      <c r="G649" s="23" t="s">
        <v>64</v>
      </c>
      <c r="H649" s="23" t="s">
        <v>65</v>
      </c>
      <c r="I649" t="s">
        <v>808</v>
      </c>
      <c r="J649" t="s">
        <v>22</v>
      </c>
      <c r="K649" s="22">
        <v>9</v>
      </c>
      <c r="L649" s="1">
        <v>42518</v>
      </c>
      <c r="M649" s="22">
        <f>Table10[[#This Row],[Ship Date]]-Table10[[#This Row],[Order Date]]</f>
        <v>5</v>
      </c>
      <c r="N649" t="s">
        <v>45</v>
      </c>
      <c r="O649" t="s">
        <v>23</v>
      </c>
      <c r="P649" t="s">
        <v>189</v>
      </c>
      <c r="Q649" t="s">
        <v>95</v>
      </c>
      <c r="R649" t="s">
        <v>271</v>
      </c>
      <c r="S649" s="33">
        <v>0.2</v>
      </c>
      <c r="T649" s="13">
        <v>1979.9280000000001</v>
      </c>
      <c r="U649" s="13">
        <v>148.49459999999999</v>
      </c>
      <c r="V649" s="21">
        <f>Table10[[#This Row],[Profit]]/Table10[[#This Row],[Sales]]</f>
        <v>7.4999999999999997E-2</v>
      </c>
    </row>
    <row r="650" spans="1:22" x14ac:dyDescent="0.2">
      <c r="A650">
        <v>649</v>
      </c>
      <c r="B650" t="s">
        <v>3684</v>
      </c>
      <c r="C650" s="1">
        <v>42513</v>
      </c>
      <c r="D650" s="22">
        <f>MONTH(Table10[[#This Row],[Order Date]])</f>
        <v>5</v>
      </c>
      <c r="E650" t="s">
        <v>3685</v>
      </c>
      <c r="F650" t="s">
        <v>3686</v>
      </c>
      <c r="G650" s="23" t="s">
        <v>41</v>
      </c>
      <c r="H650" s="23" t="s">
        <v>82</v>
      </c>
      <c r="I650" t="s">
        <v>2946</v>
      </c>
      <c r="J650" t="s">
        <v>92</v>
      </c>
      <c r="K650" s="22">
        <v>1</v>
      </c>
      <c r="L650" s="1">
        <v>42517</v>
      </c>
      <c r="M650" s="22">
        <f>Table10[[#This Row],[Ship Date]]-Table10[[#This Row],[Order Date]]</f>
        <v>4</v>
      </c>
      <c r="N650" t="s">
        <v>45</v>
      </c>
      <c r="O650" t="s">
        <v>23</v>
      </c>
      <c r="P650" t="s">
        <v>320</v>
      </c>
      <c r="Q650" t="s">
        <v>26</v>
      </c>
      <c r="R650" t="s">
        <v>2271</v>
      </c>
      <c r="S650" s="33">
        <v>0</v>
      </c>
      <c r="T650" s="13">
        <v>4.9800000000000004</v>
      </c>
      <c r="U650" s="13">
        <v>2.4401999999999999</v>
      </c>
      <c r="V650" s="21">
        <f>Table10[[#This Row],[Profit]]/Table10[[#This Row],[Sales]]</f>
        <v>0.48999999999999994</v>
      </c>
    </row>
    <row r="651" spans="1:22" x14ac:dyDescent="0.2">
      <c r="A651">
        <v>650</v>
      </c>
      <c r="B651" t="s">
        <v>8119</v>
      </c>
      <c r="C651" s="1">
        <v>42513</v>
      </c>
      <c r="D651" s="22">
        <f>MONTH(Table10[[#This Row],[Order Date]])</f>
        <v>5</v>
      </c>
      <c r="E651" t="s">
        <v>5105</v>
      </c>
      <c r="F651" t="s">
        <v>5106</v>
      </c>
      <c r="G651" s="23" t="s">
        <v>64</v>
      </c>
      <c r="H651" s="23" t="s">
        <v>1075</v>
      </c>
      <c r="I651" t="s">
        <v>5384</v>
      </c>
      <c r="J651" t="s">
        <v>22</v>
      </c>
      <c r="K651" s="22">
        <v>4</v>
      </c>
      <c r="L651" s="1">
        <v>42517</v>
      </c>
      <c r="M651" s="22">
        <f>Table10[[#This Row],[Ship Date]]-Table10[[#This Row],[Order Date]]</f>
        <v>4</v>
      </c>
      <c r="N651" t="s">
        <v>45</v>
      </c>
      <c r="O651" t="s">
        <v>23</v>
      </c>
      <c r="P651" t="s">
        <v>132</v>
      </c>
      <c r="Q651" t="s">
        <v>133</v>
      </c>
      <c r="R651" t="s">
        <v>131</v>
      </c>
      <c r="S651" s="33">
        <v>0.4</v>
      </c>
      <c r="T651" s="13">
        <v>8399.9760000000006</v>
      </c>
      <c r="U651" s="13">
        <v>1119.9967999999999</v>
      </c>
      <c r="V651" s="21">
        <f>Table10[[#This Row],[Profit]]/Table10[[#This Row],[Sales]]</f>
        <v>0.1333333333333333</v>
      </c>
    </row>
    <row r="652" spans="1:22" x14ac:dyDescent="0.2">
      <c r="A652">
        <v>651</v>
      </c>
      <c r="B652" t="s">
        <v>8119</v>
      </c>
      <c r="C652" s="1">
        <v>42513</v>
      </c>
      <c r="D652" s="22">
        <f>MONTH(Table10[[#This Row],[Order Date]])</f>
        <v>5</v>
      </c>
      <c r="E652" t="s">
        <v>8120</v>
      </c>
      <c r="F652" t="s">
        <v>8121</v>
      </c>
      <c r="G652" s="23" t="s">
        <v>41</v>
      </c>
      <c r="H652" s="23" t="s">
        <v>68</v>
      </c>
      <c r="I652" t="s">
        <v>5384</v>
      </c>
      <c r="J652" t="s">
        <v>22</v>
      </c>
      <c r="K652" s="22">
        <v>1</v>
      </c>
      <c r="L652" s="1">
        <v>42517</v>
      </c>
      <c r="M652" s="22">
        <f>Table10[[#This Row],[Ship Date]]-Table10[[#This Row],[Order Date]]</f>
        <v>4</v>
      </c>
      <c r="N652" t="s">
        <v>45</v>
      </c>
      <c r="O652" t="s">
        <v>23</v>
      </c>
      <c r="P652" t="s">
        <v>132</v>
      </c>
      <c r="Q652" t="s">
        <v>133</v>
      </c>
      <c r="R652" t="s">
        <v>131</v>
      </c>
      <c r="S652" s="33">
        <v>0.7</v>
      </c>
      <c r="T652" s="13">
        <v>6.2939999999999996</v>
      </c>
      <c r="U652" s="13">
        <v>-4.1959999999999997</v>
      </c>
      <c r="V652" s="21">
        <f>Table10[[#This Row],[Profit]]/Table10[[#This Row],[Sales]]</f>
        <v>-0.66666666666666663</v>
      </c>
    </row>
    <row r="653" spans="1:22" x14ac:dyDescent="0.2">
      <c r="A653">
        <v>652</v>
      </c>
      <c r="B653" t="s">
        <v>8119</v>
      </c>
      <c r="C653" s="1">
        <v>42513</v>
      </c>
      <c r="D653" s="22">
        <f>MONTH(Table10[[#This Row],[Order Date]])</f>
        <v>5</v>
      </c>
      <c r="E653" t="s">
        <v>2811</v>
      </c>
      <c r="F653" t="s">
        <v>2812</v>
      </c>
      <c r="G653" s="23" t="s">
        <v>41</v>
      </c>
      <c r="H653" s="23" t="s">
        <v>82</v>
      </c>
      <c r="I653" t="s">
        <v>5384</v>
      </c>
      <c r="J653" t="s">
        <v>22</v>
      </c>
      <c r="K653" s="22">
        <v>2</v>
      </c>
      <c r="L653" s="1">
        <v>42517</v>
      </c>
      <c r="M653" s="22">
        <f>Table10[[#This Row],[Ship Date]]-Table10[[#This Row],[Order Date]]</f>
        <v>4</v>
      </c>
      <c r="N653" t="s">
        <v>45</v>
      </c>
      <c r="O653" t="s">
        <v>23</v>
      </c>
      <c r="P653" t="s">
        <v>132</v>
      </c>
      <c r="Q653" t="s">
        <v>133</v>
      </c>
      <c r="R653" t="s">
        <v>131</v>
      </c>
      <c r="S653" s="33">
        <v>0.2</v>
      </c>
      <c r="T653" s="13">
        <v>10.368</v>
      </c>
      <c r="U653" s="13">
        <v>3.6288</v>
      </c>
      <c r="V653" s="21">
        <f>Table10[[#This Row],[Profit]]/Table10[[#This Row],[Sales]]</f>
        <v>0.35</v>
      </c>
    </row>
    <row r="654" spans="1:22" x14ac:dyDescent="0.2">
      <c r="A654">
        <v>653</v>
      </c>
      <c r="B654" t="s">
        <v>8119</v>
      </c>
      <c r="C654" s="1">
        <v>42513</v>
      </c>
      <c r="D654" s="22">
        <f>MONTH(Table10[[#This Row],[Order Date]])</f>
        <v>5</v>
      </c>
      <c r="E654" t="s">
        <v>8122</v>
      </c>
      <c r="F654" t="s">
        <v>8123</v>
      </c>
      <c r="G654" s="23" t="s">
        <v>64</v>
      </c>
      <c r="H654" s="23" t="s">
        <v>65</v>
      </c>
      <c r="I654" t="s">
        <v>5384</v>
      </c>
      <c r="J654" t="s">
        <v>22</v>
      </c>
      <c r="K654" s="22">
        <v>3</v>
      </c>
      <c r="L654" s="1">
        <v>42517</v>
      </c>
      <c r="M654" s="22">
        <f>Table10[[#This Row],[Ship Date]]-Table10[[#This Row],[Order Date]]</f>
        <v>4</v>
      </c>
      <c r="N654" t="s">
        <v>45</v>
      </c>
      <c r="O654" t="s">
        <v>23</v>
      </c>
      <c r="P654" t="s">
        <v>132</v>
      </c>
      <c r="Q654" t="s">
        <v>133</v>
      </c>
      <c r="R654" t="s">
        <v>131</v>
      </c>
      <c r="S654" s="33">
        <v>0.4</v>
      </c>
      <c r="T654" s="13">
        <v>122.38200000000001</v>
      </c>
      <c r="U654" s="13">
        <v>-24.476400000000002</v>
      </c>
      <c r="V654" s="21">
        <f>Table10[[#This Row],[Profit]]/Table10[[#This Row],[Sales]]</f>
        <v>-0.2</v>
      </c>
    </row>
    <row r="655" spans="1:22" x14ac:dyDescent="0.2">
      <c r="A655">
        <v>654</v>
      </c>
      <c r="B655" t="s">
        <v>7173</v>
      </c>
      <c r="C655" s="1">
        <v>42514</v>
      </c>
      <c r="D655" s="22">
        <f>MONTH(Table10[[#This Row],[Order Date]])</f>
        <v>5</v>
      </c>
      <c r="E655" t="s">
        <v>4274</v>
      </c>
      <c r="F655" t="s">
        <v>4275</v>
      </c>
      <c r="G655" s="23" t="s">
        <v>41</v>
      </c>
      <c r="H655" s="23" t="s">
        <v>513</v>
      </c>
      <c r="I655" t="s">
        <v>1905</v>
      </c>
      <c r="J655" t="s">
        <v>92</v>
      </c>
      <c r="K655" s="22">
        <v>5</v>
      </c>
      <c r="L655" s="1">
        <v>42514</v>
      </c>
      <c r="M655" s="22">
        <f>Table10[[#This Row],[Ship Date]]-Table10[[#This Row],[Order Date]]</f>
        <v>0</v>
      </c>
      <c r="N655" t="s">
        <v>1141</v>
      </c>
      <c r="O655" t="s">
        <v>23</v>
      </c>
      <c r="P655" t="s">
        <v>285</v>
      </c>
      <c r="Q655" t="s">
        <v>26</v>
      </c>
      <c r="R655" t="s">
        <v>4913</v>
      </c>
      <c r="S655" s="33">
        <v>0</v>
      </c>
      <c r="T655" s="13">
        <v>69.5</v>
      </c>
      <c r="U655" s="13">
        <v>20.155000000000001</v>
      </c>
      <c r="V655" s="21">
        <f>Table10[[#This Row],[Profit]]/Table10[[#This Row],[Sales]]</f>
        <v>0.29000000000000004</v>
      </c>
    </row>
    <row r="656" spans="1:22" x14ac:dyDescent="0.2">
      <c r="A656">
        <v>655</v>
      </c>
      <c r="B656" t="s">
        <v>7173</v>
      </c>
      <c r="C656" s="1">
        <v>42514</v>
      </c>
      <c r="D656" s="22">
        <f>MONTH(Table10[[#This Row],[Order Date]])</f>
        <v>5</v>
      </c>
      <c r="E656" t="s">
        <v>523</v>
      </c>
      <c r="F656" t="s">
        <v>524</v>
      </c>
      <c r="G656" s="23" t="s">
        <v>41</v>
      </c>
      <c r="H656" s="23" t="s">
        <v>82</v>
      </c>
      <c r="I656" t="s">
        <v>1905</v>
      </c>
      <c r="J656" t="s">
        <v>92</v>
      </c>
      <c r="K656" s="22">
        <v>4</v>
      </c>
      <c r="L656" s="1">
        <v>42514</v>
      </c>
      <c r="M656" s="22">
        <f>Table10[[#This Row],[Ship Date]]-Table10[[#This Row],[Order Date]]</f>
        <v>0</v>
      </c>
      <c r="N656" t="s">
        <v>1141</v>
      </c>
      <c r="O656" t="s">
        <v>23</v>
      </c>
      <c r="P656" t="s">
        <v>285</v>
      </c>
      <c r="Q656" t="s">
        <v>26</v>
      </c>
      <c r="R656" t="s">
        <v>4913</v>
      </c>
      <c r="S656" s="33">
        <v>0</v>
      </c>
      <c r="T656" s="13">
        <v>191.6</v>
      </c>
      <c r="U656" s="13">
        <v>91.968000000000004</v>
      </c>
      <c r="V656" s="21">
        <f>Table10[[#This Row],[Profit]]/Table10[[#This Row],[Sales]]</f>
        <v>0.48000000000000004</v>
      </c>
    </row>
    <row r="657" spans="1:22" x14ac:dyDescent="0.2">
      <c r="A657">
        <v>656</v>
      </c>
      <c r="B657" t="s">
        <v>9278</v>
      </c>
      <c r="C657" s="1">
        <v>42514</v>
      </c>
      <c r="D657" s="22">
        <f>MONTH(Table10[[#This Row],[Order Date]])</f>
        <v>5</v>
      </c>
      <c r="E657" t="s">
        <v>3167</v>
      </c>
      <c r="F657" t="s">
        <v>3168</v>
      </c>
      <c r="G657" s="23" t="s">
        <v>41</v>
      </c>
      <c r="H657" s="23" t="s">
        <v>61</v>
      </c>
      <c r="I657" t="s">
        <v>3710</v>
      </c>
      <c r="J657" t="s">
        <v>92</v>
      </c>
      <c r="K657" s="22">
        <v>3</v>
      </c>
      <c r="L657" s="1">
        <v>42518</v>
      </c>
      <c r="M657" s="22">
        <f>Table10[[#This Row],[Ship Date]]-Table10[[#This Row],[Order Date]]</f>
        <v>4</v>
      </c>
      <c r="N657" t="s">
        <v>45</v>
      </c>
      <c r="O657" t="s">
        <v>23</v>
      </c>
      <c r="P657" t="s">
        <v>132</v>
      </c>
      <c r="Q657" t="s">
        <v>133</v>
      </c>
      <c r="R657" t="s">
        <v>131</v>
      </c>
      <c r="S657" s="33">
        <v>0.2</v>
      </c>
      <c r="T657" s="13">
        <v>16.655999999999999</v>
      </c>
      <c r="U657" s="13">
        <v>3.3311999999999999</v>
      </c>
      <c r="V657" s="21">
        <f>Table10[[#This Row],[Profit]]/Table10[[#This Row],[Sales]]</f>
        <v>0.2</v>
      </c>
    </row>
    <row r="658" spans="1:22" x14ac:dyDescent="0.2">
      <c r="A658">
        <v>657</v>
      </c>
      <c r="B658" t="s">
        <v>5510</v>
      </c>
      <c r="C658" s="1">
        <v>42515</v>
      </c>
      <c r="D658" s="22">
        <f>MONTH(Table10[[#This Row],[Order Date]])</f>
        <v>5</v>
      </c>
      <c r="E658" t="s">
        <v>5512</v>
      </c>
      <c r="F658" t="s">
        <v>5513</v>
      </c>
      <c r="G658" s="23" t="s">
        <v>28</v>
      </c>
      <c r="H658" s="23" t="s">
        <v>58</v>
      </c>
      <c r="I658" t="s">
        <v>5511</v>
      </c>
      <c r="J658" t="s">
        <v>92</v>
      </c>
      <c r="K658" s="22">
        <v>4</v>
      </c>
      <c r="L658" s="1">
        <v>42520</v>
      </c>
      <c r="M658" s="22">
        <f>Table10[[#This Row],[Ship Date]]-Table10[[#This Row],[Order Date]]</f>
        <v>5</v>
      </c>
      <c r="N658" t="s">
        <v>45</v>
      </c>
      <c r="O658" t="s">
        <v>23</v>
      </c>
      <c r="P658" t="s">
        <v>1125</v>
      </c>
      <c r="Q658" t="s">
        <v>26</v>
      </c>
      <c r="R658" t="s">
        <v>440</v>
      </c>
      <c r="S658" s="33">
        <v>0</v>
      </c>
      <c r="T658" s="13">
        <v>24.96</v>
      </c>
      <c r="U658" s="13">
        <v>6.24</v>
      </c>
      <c r="V658" s="21">
        <f>Table10[[#This Row],[Profit]]/Table10[[#This Row],[Sales]]</f>
        <v>0.25</v>
      </c>
    </row>
    <row r="659" spans="1:22" x14ac:dyDescent="0.2">
      <c r="A659">
        <v>658</v>
      </c>
      <c r="B659" t="s">
        <v>5510</v>
      </c>
      <c r="C659" s="1">
        <v>42515</v>
      </c>
      <c r="D659" s="22">
        <f>MONTH(Table10[[#This Row],[Order Date]])</f>
        <v>5</v>
      </c>
      <c r="E659" t="s">
        <v>1271</v>
      </c>
      <c r="F659" t="s">
        <v>1272</v>
      </c>
      <c r="G659" s="23" t="s">
        <v>41</v>
      </c>
      <c r="H659" s="23" t="s">
        <v>82</v>
      </c>
      <c r="I659" t="s">
        <v>5511</v>
      </c>
      <c r="J659" t="s">
        <v>92</v>
      </c>
      <c r="K659" s="22">
        <v>2</v>
      </c>
      <c r="L659" s="1">
        <v>42520</v>
      </c>
      <c r="M659" s="22">
        <f>Table10[[#This Row],[Ship Date]]-Table10[[#This Row],[Order Date]]</f>
        <v>5</v>
      </c>
      <c r="N659" t="s">
        <v>45</v>
      </c>
      <c r="O659" t="s">
        <v>23</v>
      </c>
      <c r="P659" t="s">
        <v>1125</v>
      </c>
      <c r="Q659" t="s">
        <v>26</v>
      </c>
      <c r="R659" t="s">
        <v>440</v>
      </c>
      <c r="S659" s="33">
        <v>0</v>
      </c>
      <c r="T659" s="13">
        <v>19.36</v>
      </c>
      <c r="U659" s="13">
        <v>9.2927999999999997</v>
      </c>
      <c r="V659" s="21">
        <f>Table10[[#This Row],[Profit]]/Table10[[#This Row],[Sales]]</f>
        <v>0.48</v>
      </c>
    </row>
    <row r="660" spans="1:22" x14ac:dyDescent="0.2">
      <c r="A660">
        <v>659</v>
      </c>
      <c r="B660" t="s">
        <v>5510</v>
      </c>
      <c r="C660" s="1">
        <v>42515</v>
      </c>
      <c r="D660" s="22">
        <f>MONTH(Table10[[#This Row],[Order Date]])</f>
        <v>5</v>
      </c>
      <c r="E660" t="s">
        <v>1464</v>
      </c>
      <c r="F660" t="s">
        <v>1465</v>
      </c>
      <c r="G660" s="23" t="s">
        <v>41</v>
      </c>
      <c r="H660" s="23" t="s">
        <v>53</v>
      </c>
      <c r="I660" t="s">
        <v>5511</v>
      </c>
      <c r="J660" t="s">
        <v>92</v>
      </c>
      <c r="K660" s="22">
        <v>9</v>
      </c>
      <c r="L660" s="1">
        <v>42520</v>
      </c>
      <c r="M660" s="22">
        <f>Table10[[#This Row],[Ship Date]]-Table10[[#This Row],[Order Date]]</f>
        <v>5</v>
      </c>
      <c r="N660" t="s">
        <v>45</v>
      </c>
      <c r="O660" t="s">
        <v>23</v>
      </c>
      <c r="P660" t="s">
        <v>1125</v>
      </c>
      <c r="Q660" t="s">
        <v>26</v>
      </c>
      <c r="R660" t="s">
        <v>440</v>
      </c>
      <c r="S660" s="33">
        <v>0</v>
      </c>
      <c r="T660" s="13">
        <v>1267.6500000000001</v>
      </c>
      <c r="U660" s="13">
        <v>152.11799999999999</v>
      </c>
      <c r="V660" s="21">
        <f>Table10[[#This Row],[Profit]]/Table10[[#This Row],[Sales]]</f>
        <v>0.11999999999999998</v>
      </c>
    </row>
    <row r="661" spans="1:22" x14ac:dyDescent="0.2">
      <c r="A661">
        <v>660</v>
      </c>
      <c r="B661" t="s">
        <v>3130</v>
      </c>
      <c r="C661" s="1">
        <v>42516</v>
      </c>
      <c r="D661" s="22">
        <f>MONTH(Table10[[#This Row],[Order Date]])</f>
        <v>5</v>
      </c>
      <c r="E661" t="s">
        <v>2574</v>
      </c>
      <c r="F661" t="s">
        <v>2575</v>
      </c>
      <c r="G661" s="23" t="s">
        <v>41</v>
      </c>
      <c r="H661" s="23" t="s">
        <v>82</v>
      </c>
      <c r="I661" t="s">
        <v>2787</v>
      </c>
      <c r="J661" t="s">
        <v>22</v>
      </c>
      <c r="K661" s="22">
        <v>2</v>
      </c>
      <c r="L661" s="1">
        <v>42516</v>
      </c>
      <c r="M661" s="22">
        <f>Table10[[#This Row],[Ship Date]]-Table10[[#This Row],[Order Date]]</f>
        <v>0</v>
      </c>
      <c r="N661" t="s">
        <v>1141</v>
      </c>
      <c r="O661" t="s">
        <v>23</v>
      </c>
      <c r="P661" t="s">
        <v>94</v>
      </c>
      <c r="Q661" t="s">
        <v>95</v>
      </c>
      <c r="R661" t="s">
        <v>93</v>
      </c>
      <c r="S661" s="33">
        <v>0.2</v>
      </c>
      <c r="T661" s="13">
        <v>10.368</v>
      </c>
      <c r="U661" s="13">
        <v>3.6288</v>
      </c>
      <c r="V661" s="21">
        <f>Table10[[#This Row],[Profit]]/Table10[[#This Row],[Sales]]</f>
        <v>0.35</v>
      </c>
    </row>
    <row r="662" spans="1:22" x14ac:dyDescent="0.2">
      <c r="A662">
        <v>661</v>
      </c>
      <c r="B662" t="s">
        <v>3130</v>
      </c>
      <c r="C662" s="1">
        <v>42516</v>
      </c>
      <c r="D662" s="22">
        <f>MONTH(Table10[[#This Row],[Order Date]])</f>
        <v>5</v>
      </c>
      <c r="E662" t="s">
        <v>3131</v>
      </c>
      <c r="F662" t="s">
        <v>3132</v>
      </c>
      <c r="G662" s="23" t="s">
        <v>28</v>
      </c>
      <c r="H662" s="23" t="s">
        <v>32</v>
      </c>
      <c r="I662" t="s">
        <v>2787</v>
      </c>
      <c r="J662" t="s">
        <v>22</v>
      </c>
      <c r="K662" s="22">
        <v>5</v>
      </c>
      <c r="L662" s="1">
        <v>42516</v>
      </c>
      <c r="M662" s="22">
        <f>Table10[[#This Row],[Ship Date]]-Table10[[#This Row],[Order Date]]</f>
        <v>0</v>
      </c>
      <c r="N662" t="s">
        <v>1141</v>
      </c>
      <c r="O662" t="s">
        <v>23</v>
      </c>
      <c r="P662" t="s">
        <v>94</v>
      </c>
      <c r="Q662" t="s">
        <v>95</v>
      </c>
      <c r="R662" t="s">
        <v>93</v>
      </c>
      <c r="S662" s="33">
        <v>0.3</v>
      </c>
      <c r="T662" s="13">
        <v>388.43</v>
      </c>
      <c r="U662" s="13">
        <v>-88.784000000000006</v>
      </c>
      <c r="V662" s="21">
        <f>Table10[[#This Row],[Profit]]/Table10[[#This Row],[Sales]]</f>
        <v>-0.22857142857142859</v>
      </c>
    </row>
    <row r="663" spans="1:22" x14ac:dyDescent="0.2">
      <c r="A663">
        <v>662</v>
      </c>
      <c r="B663" t="s">
        <v>3130</v>
      </c>
      <c r="C663" s="1">
        <v>42516</v>
      </c>
      <c r="D663" s="22">
        <f>MONTH(Table10[[#This Row],[Order Date]])</f>
        <v>5</v>
      </c>
      <c r="E663" t="s">
        <v>400</v>
      </c>
      <c r="F663" t="s">
        <v>401</v>
      </c>
      <c r="G663" s="23" t="s">
        <v>41</v>
      </c>
      <c r="H663" s="23" t="s">
        <v>82</v>
      </c>
      <c r="I663" t="s">
        <v>2787</v>
      </c>
      <c r="J663" t="s">
        <v>22</v>
      </c>
      <c r="K663" s="22">
        <v>3</v>
      </c>
      <c r="L663" s="1">
        <v>42516</v>
      </c>
      <c r="M663" s="22">
        <f>Table10[[#This Row],[Ship Date]]-Table10[[#This Row],[Order Date]]</f>
        <v>0</v>
      </c>
      <c r="N663" t="s">
        <v>1141</v>
      </c>
      <c r="O663" t="s">
        <v>23</v>
      </c>
      <c r="P663" t="s">
        <v>94</v>
      </c>
      <c r="Q663" t="s">
        <v>95</v>
      </c>
      <c r="R663" t="s">
        <v>93</v>
      </c>
      <c r="S663" s="33">
        <v>0.2</v>
      </c>
      <c r="T663" s="13">
        <v>14.352</v>
      </c>
      <c r="U663" s="13">
        <v>5.2026000000000003</v>
      </c>
      <c r="V663" s="21">
        <f>Table10[[#This Row],[Profit]]/Table10[[#This Row],[Sales]]</f>
        <v>0.36249999999999999</v>
      </c>
    </row>
    <row r="664" spans="1:22" x14ac:dyDescent="0.2">
      <c r="A664">
        <v>663</v>
      </c>
      <c r="B664" t="s">
        <v>3130</v>
      </c>
      <c r="C664" s="1">
        <v>42516</v>
      </c>
      <c r="D664" s="22">
        <f>MONTH(Table10[[#This Row],[Order Date]])</f>
        <v>5</v>
      </c>
      <c r="E664" t="s">
        <v>3133</v>
      </c>
      <c r="F664" t="s">
        <v>3134</v>
      </c>
      <c r="G664" s="23" t="s">
        <v>64</v>
      </c>
      <c r="H664" s="23" t="s">
        <v>144</v>
      </c>
      <c r="I664" t="s">
        <v>2787</v>
      </c>
      <c r="J664" t="s">
        <v>22</v>
      </c>
      <c r="K664" s="22">
        <v>1</v>
      </c>
      <c r="L664" s="1">
        <v>42516</v>
      </c>
      <c r="M664" s="22">
        <f>Table10[[#This Row],[Ship Date]]-Table10[[#This Row],[Order Date]]</f>
        <v>0</v>
      </c>
      <c r="N664" t="s">
        <v>1141</v>
      </c>
      <c r="O664" t="s">
        <v>23</v>
      </c>
      <c r="P664" t="s">
        <v>94</v>
      </c>
      <c r="Q664" t="s">
        <v>95</v>
      </c>
      <c r="R664" t="s">
        <v>93</v>
      </c>
      <c r="S664" s="33">
        <v>0.2</v>
      </c>
      <c r="T664" s="13">
        <v>63.991999999999997</v>
      </c>
      <c r="U664" s="13">
        <v>-7.1990999999999996</v>
      </c>
      <c r="V664" s="21">
        <f>Table10[[#This Row],[Profit]]/Table10[[#This Row],[Sales]]</f>
        <v>-0.1125</v>
      </c>
    </row>
    <row r="665" spans="1:22" x14ac:dyDescent="0.2">
      <c r="A665">
        <v>664</v>
      </c>
      <c r="B665" t="s">
        <v>3778</v>
      </c>
      <c r="C665" s="1">
        <v>42516</v>
      </c>
      <c r="D665" s="22">
        <f>MONTH(Table10[[#This Row],[Order Date]])</f>
        <v>5</v>
      </c>
      <c r="E665" t="s">
        <v>3780</v>
      </c>
      <c r="F665" t="s">
        <v>3781</v>
      </c>
      <c r="G665" s="23" t="s">
        <v>41</v>
      </c>
      <c r="H665" s="23" t="s">
        <v>82</v>
      </c>
      <c r="I665" t="s">
        <v>3779</v>
      </c>
      <c r="J665" t="s">
        <v>22</v>
      </c>
      <c r="K665" s="22">
        <v>3</v>
      </c>
      <c r="L665" s="1">
        <v>42522</v>
      </c>
      <c r="M665" s="22">
        <f>Table10[[#This Row],[Ship Date]]-Table10[[#This Row],[Order Date]]</f>
        <v>6</v>
      </c>
      <c r="N665" t="s">
        <v>45</v>
      </c>
      <c r="O665" t="s">
        <v>23</v>
      </c>
      <c r="P665" t="s">
        <v>2671</v>
      </c>
      <c r="Q665" t="s">
        <v>133</v>
      </c>
      <c r="R665" t="s">
        <v>87</v>
      </c>
      <c r="S665" s="33">
        <v>0</v>
      </c>
      <c r="T665" s="13">
        <v>19.440000000000001</v>
      </c>
      <c r="U665" s="13">
        <v>9.3312000000000008</v>
      </c>
      <c r="V665" s="21">
        <f>Table10[[#This Row],[Profit]]/Table10[[#This Row],[Sales]]</f>
        <v>0.48000000000000004</v>
      </c>
    </row>
    <row r="666" spans="1:22" x14ac:dyDescent="0.2">
      <c r="A666">
        <v>665</v>
      </c>
      <c r="B666" t="s">
        <v>3778</v>
      </c>
      <c r="C666" s="1">
        <v>42516</v>
      </c>
      <c r="D666" s="22">
        <f>MONTH(Table10[[#This Row],[Order Date]])</f>
        <v>5</v>
      </c>
      <c r="E666" t="s">
        <v>1857</v>
      </c>
      <c r="F666" t="s">
        <v>1858</v>
      </c>
      <c r="G666" s="23" t="s">
        <v>41</v>
      </c>
      <c r="H666" s="23" t="s">
        <v>68</v>
      </c>
      <c r="I666" t="s">
        <v>3779</v>
      </c>
      <c r="J666" t="s">
        <v>22</v>
      </c>
      <c r="K666" s="22">
        <v>2</v>
      </c>
      <c r="L666" s="1">
        <v>42522</v>
      </c>
      <c r="M666" s="22">
        <f>Table10[[#This Row],[Ship Date]]-Table10[[#This Row],[Order Date]]</f>
        <v>6</v>
      </c>
      <c r="N666" t="s">
        <v>45</v>
      </c>
      <c r="O666" t="s">
        <v>23</v>
      </c>
      <c r="P666" t="s">
        <v>2671</v>
      </c>
      <c r="Q666" t="s">
        <v>133</v>
      </c>
      <c r="R666" t="s">
        <v>87</v>
      </c>
      <c r="S666" s="33">
        <v>0</v>
      </c>
      <c r="T666" s="13">
        <v>9.64</v>
      </c>
      <c r="U666" s="13">
        <v>4.4344000000000001</v>
      </c>
      <c r="V666" s="21">
        <f>Table10[[#This Row],[Profit]]/Table10[[#This Row],[Sales]]</f>
        <v>0.45999999999999996</v>
      </c>
    </row>
    <row r="667" spans="1:22" x14ac:dyDescent="0.2">
      <c r="A667">
        <v>666</v>
      </c>
      <c r="B667" t="s">
        <v>3778</v>
      </c>
      <c r="C667" s="1">
        <v>42516</v>
      </c>
      <c r="D667" s="22">
        <f>MONTH(Table10[[#This Row],[Order Date]])</f>
        <v>5</v>
      </c>
      <c r="E667" t="s">
        <v>294</v>
      </c>
      <c r="F667" t="s">
        <v>295</v>
      </c>
      <c r="G667" s="23" t="s">
        <v>41</v>
      </c>
      <c r="H667" s="23" t="s">
        <v>82</v>
      </c>
      <c r="I667" t="s">
        <v>3779</v>
      </c>
      <c r="J667" t="s">
        <v>22</v>
      </c>
      <c r="K667" s="22">
        <v>2</v>
      </c>
      <c r="L667" s="1">
        <v>42522</v>
      </c>
      <c r="M667" s="22">
        <f>Table10[[#This Row],[Ship Date]]-Table10[[#This Row],[Order Date]]</f>
        <v>6</v>
      </c>
      <c r="N667" t="s">
        <v>45</v>
      </c>
      <c r="O667" t="s">
        <v>23</v>
      </c>
      <c r="P667" t="s">
        <v>2671</v>
      </c>
      <c r="Q667" t="s">
        <v>133</v>
      </c>
      <c r="R667" t="s">
        <v>87</v>
      </c>
      <c r="S667" s="33">
        <v>0</v>
      </c>
      <c r="T667" s="13">
        <v>12.7</v>
      </c>
      <c r="U667" s="13">
        <v>5.8419999999999996</v>
      </c>
      <c r="V667" s="21">
        <f>Table10[[#This Row],[Profit]]/Table10[[#This Row],[Sales]]</f>
        <v>0.46</v>
      </c>
    </row>
    <row r="668" spans="1:22" x14ac:dyDescent="0.2">
      <c r="A668">
        <v>667</v>
      </c>
      <c r="B668" t="s">
        <v>3778</v>
      </c>
      <c r="C668" s="1">
        <v>42516</v>
      </c>
      <c r="D668" s="22">
        <f>MONTH(Table10[[#This Row],[Order Date]])</f>
        <v>5</v>
      </c>
      <c r="E668" t="s">
        <v>379</v>
      </c>
      <c r="F668" t="s">
        <v>380</v>
      </c>
      <c r="G668" s="23" t="s">
        <v>28</v>
      </c>
      <c r="H668" s="23" t="s">
        <v>58</v>
      </c>
      <c r="I668" t="s">
        <v>3779</v>
      </c>
      <c r="J668" t="s">
        <v>22</v>
      </c>
      <c r="K668" s="22">
        <v>3</v>
      </c>
      <c r="L668" s="1">
        <v>42522</v>
      </c>
      <c r="M668" s="22">
        <f>Table10[[#This Row],[Ship Date]]-Table10[[#This Row],[Order Date]]</f>
        <v>6</v>
      </c>
      <c r="N668" t="s">
        <v>45</v>
      </c>
      <c r="O668" t="s">
        <v>23</v>
      </c>
      <c r="P668" t="s">
        <v>2671</v>
      </c>
      <c r="Q668" t="s">
        <v>133</v>
      </c>
      <c r="R668" t="s">
        <v>87</v>
      </c>
      <c r="S668" s="33">
        <v>0</v>
      </c>
      <c r="T668" s="13">
        <v>41.37</v>
      </c>
      <c r="U668" s="13">
        <v>17.375399999999999</v>
      </c>
      <c r="V668" s="21">
        <f>Table10[[#This Row],[Profit]]/Table10[[#This Row],[Sales]]</f>
        <v>0.42</v>
      </c>
    </row>
    <row r="669" spans="1:22" x14ac:dyDescent="0.2">
      <c r="A669">
        <v>668</v>
      </c>
      <c r="B669" t="s">
        <v>5744</v>
      </c>
      <c r="C669" s="1">
        <v>42516</v>
      </c>
      <c r="D669" s="22">
        <f>MONTH(Table10[[#This Row],[Order Date]])</f>
        <v>5</v>
      </c>
      <c r="E669" t="s">
        <v>2986</v>
      </c>
      <c r="F669" t="s">
        <v>2987</v>
      </c>
      <c r="G669" s="23" t="s">
        <v>41</v>
      </c>
      <c r="H669" s="23" t="s">
        <v>61</v>
      </c>
      <c r="I669" t="s">
        <v>1913</v>
      </c>
      <c r="J669" t="s">
        <v>36</v>
      </c>
      <c r="K669" s="22">
        <v>1</v>
      </c>
      <c r="L669" s="1">
        <v>42522</v>
      </c>
      <c r="M669" s="22">
        <f>Table10[[#This Row],[Ship Date]]-Table10[[#This Row],[Order Date]]</f>
        <v>6</v>
      </c>
      <c r="N669" t="s">
        <v>45</v>
      </c>
      <c r="O669" t="s">
        <v>23</v>
      </c>
      <c r="P669" t="s">
        <v>132</v>
      </c>
      <c r="Q669" t="s">
        <v>133</v>
      </c>
      <c r="R669" t="s">
        <v>131</v>
      </c>
      <c r="S669" s="33">
        <v>0.2</v>
      </c>
      <c r="T669" s="13">
        <v>1.504</v>
      </c>
      <c r="U669" s="13">
        <v>0.16919999999999999</v>
      </c>
      <c r="V669" s="21">
        <f>Table10[[#This Row],[Profit]]/Table10[[#This Row],[Sales]]</f>
        <v>0.11249999999999999</v>
      </c>
    </row>
    <row r="670" spans="1:22" x14ac:dyDescent="0.2">
      <c r="A670">
        <v>669</v>
      </c>
      <c r="B670" t="s">
        <v>5744</v>
      </c>
      <c r="C670" s="1">
        <v>42516</v>
      </c>
      <c r="D670" s="22">
        <f>MONTH(Table10[[#This Row],[Order Date]])</f>
        <v>5</v>
      </c>
      <c r="E670" t="s">
        <v>3918</v>
      </c>
      <c r="F670" t="s">
        <v>3919</v>
      </c>
      <c r="G670" s="23" t="s">
        <v>41</v>
      </c>
      <c r="H670" s="23" t="s">
        <v>71</v>
      </c>
      <c r="I670" t="s">
        <v>1913</v>
      </c>
      <c r="J670" t="s">
        <v>36</v>
      </c>
      <c r="K670" s="22">
        <v>2</v>
      </c>
      <c r="L670" s="1">
        <v>42522</v>
      </c>
      <c r="M670" s="22">
        <f>Table10[[#This Row],[Ship Date]]-Table10[[#This Row],[Order Date]]</f>
        <v>6</v>
      </c>
      <c r="N670" t="s">
        <v>45</v>
      </c>
      <c r="O670" t="s">
        <v>23</v>
      </c>
      <c r="P670" t="s">
        <v>132</v>
      </c>
      <c r="Q670" t="s">
        <v>133</v>
      </c>
      <c r="R670" t="s">
        <v>131</v>
      </c>
      <c r="S670" s="33">
        <v>0.2</v>
      </c>
      <c r="T670" s="13">
        <v>34.847999999999999</v>
      </c>
      <c r="U670" s="13">
        <v>6.5339999999999998</v>
      </c>
      <c r="V670" s="21">
        <f>Table10[[#This Row],[Profit]]/Table10[[#This Row],[Sales]]</f>
        <v>0.1875</v>
      </c>
    </row>
    <row r="671" spans="1:22" x14ac:dyDescent="0.2">
      <c r="A671">
        <v>670</v>
      </c>
      <c r="B671" t="s">
        <v>8214</v>
      </c>
      <c r="C671" s="1">
        <v>42516</v>
      </c>
      <c r="D671" s="22">
        <f>MONTH(Table10[[#This Row],[Order Date]])</f>
        <v>5</v>
      </c>
      <c r="E671" t="s">
        <v>1693</v>
      </c>
      <c r="F671" t="s">
        <v>1694</v>
      </c>
      <c r="G671" s="23" t="s">
        <v>41</v>
      </c>
      <c r="H671" s="23" t="s">
        <v>240</v>
      </c>
      <c r="I671" t="s">
        <v>5168</v>
      </c>
      <c r="J671" t="s">
        <v>22</v>
      </c>
      <c r="K671" s="22">
        <v>3</v>
      </c>
      <c r="L671" s="1">
        <v>42521</v>
      </c>
      <c r="M671" s="22">
        <f>Table10[[#This Row],[Ship Date]]-Table10[[#This Row],[Order Date]]</f>
        <v>5</v>
      </c>
      <c r="N671" t="s">
        <v>45</v>
      </c>
      <c r="O671" t="s">
        <v>23</v>
      </c>
      <c r="P671" t="s">
        <v>38</v>
      </c>
      <c r="Q671" t="s">
        <v>39</v>
      </c>
      <c r="R671" t="s">
        <v>2237</v>
      </c>
      <c r="S671" s="33">
        <v>0</v>
      </c>
      <c r="T671" s="13">
        <v>5.94</v>
      </c>
      <c r="U671" s="13">
        <v>0</v>
      </c>
      <c r="V671" s="21">
        <f>Table10[[#This Row],[Profit]]/Table10[[#This Row],[Sales]]</f>
        <v>0</v>
      </c>
    </row>
    <row r="672" spans="1:22" x14ac:dyDescent="0.2">
      <c r="A672">
        <v>671</v>
      </c>
      <c r="B672" t="s">
        <v>8214</v>
      </c>
      <c r="C672" s="1">
        <v>42516</v>
      </c>
      <c r="D672" s="22">
        <f>MONTH(Table10[[#This Row],[Order Date]])</f>
        <v>5</v>
      </c>
      <c r="E672" t="s">
        <v>3482</v>
      </c>
      <c r="F672" t="s">
        <v>3483</v>
      </c>
      <c r="G672" s="23" t="s">
        <v>41</v>
      </c>
      <c r="H672" s="23" t="s">
        <v>82</v>
      </c>
      <c r="I672" t="s">
        <v>5168</v>
      </c>
      <c r="J672" t="s">
        <v>22</v>
      </c>
      <c r="K672" s="22">
        <v>7</v>
      </c>
      <c r="L672" s="1">
        <v>42521</v>
      </c>
      <c r="M672" s="22">
        <f>Table10[[#This Row],[Ship Date]]-Table10[[#This Row],[Order Date]]</f>
        <v>5</v>
      </c>
      <c r="N672" t="s">
        <v>45</v>
      </c>
      <c r="O672" t="s">
        <v>23</v>
      </c>
      <c r="P672" t="s">
        <v>38</v>
      </c>
      <c r="Q672" t="s">
        <v>39</v>
      </c>
      <c r="R672" t="s">
        <v>2237</v>
      </c>
      <c r="S672" s="33">
        <v>0</v>
      </c>
      <c r="T672" s="13">
        <v>45.36</v>
      </c>
      <c r="U672" s="13">
        <v>21.7728</v>
      </c>
      <c r="V672" s="21">
        <f>Table10[[#This Row],[Profit]]/Table10[[#This Row],[Sales]]</f>
        <v>0.48</v>
      </c>
    </row>
    <row r="673" spans="1:22" x14ac:dyDescent="0.2">
      <c r="A673">
        <v>672</v>
      </c>
      <c r="B673" t="s">
        <v>8214</v>
      </c>
      <c r="C673" s="1">
        <v>42516</v>
      </c>
      <c r="D673" s="22">
        <f>MONTH(Table10[[#This Row],[Order Date]])</f>
        <v>5</v>
      </c>
      <c r="E673" t="s">
        <v>2694</v>
      </c>
      <c r="F673" t="s">
        <v>2695</v>
      </c>
      <c r="G673" s="23" t="s">
        <v>64</v>
      </c>
      <c r="H673" s="23" t="s">
        <v>65</v>
      </c>
      <c r="I673" t="s">
        <v>5168</v>
      </c>
      <c r="J673" t="s">
        <v>22</v>
      </c>
      <c r="K673" s="22">
        <v>4</v>
      </c>
      <c r="L673" s="1">
        <v>42521</v>
      </c>
      <c r="M673" s="22">
        <f>Table10[[#This Row],[Ship Date]]-Table10[[#This Row],[Order Date]]</f>
        <v>5</v>
      </c>
      <c r="N673" t="s">
        <v>45</v>
      </c>
      <c r="O673" t="s">
        <v>23</v>
      </c>
      <c r="P673" t="s">
        <v>38</v>
      </c>
      <c r="Q673" t="s">
        <v>39</v>
      </c>
      <c r="R673" t="s">
        <v>2237</v>
      </c>
      <c r="S673" s="33">
        <v>0.2</v>
      </c>
      <c r="T673" s="13">
        <v>211.16800000000001</v>
      </c>
      <c r="U673" s="13">
        <v>23.756399999999999</v>
      </c>
      <c r="V673" s="21">
        <f>Table10[[#This Row],[Profit]]/Table10[[#This Row],[Sales]]</f>
        <v>0.11249999999999999</v>
      </c>
    </row>
    <row r="674" spans="1:22" x14ac:dyDescent="0.2">
      <c r="A674">
        <v>673</v>
      </c>
      <c r="B674" t="s">
        <v>8214</v>
      </c>
      <c r="C674" s="1">
        <v>42516</v>
      </c>
      <c r="D674" s="22">
        <f>MONTH(Table10[[#This Row],[Order Date]])</f>
        <v>5</v>
      </c>
      <c r="E674" t="s">
        <v>784</v>
      </c>
      <c r="F674" t="s">
        <v>785</v>
      </c>
      <c r="G674" s="23" t="s">
        <v>28</v>
      </c>
      <c r="H674" s="23" t="s">
        <v>32</v>
      </c>
      <c r="I674" t="s">
        <v>5168</v>
      </c>
      <c r="J674" t="s">
        <v>22</v>
      </c>
      <c r="K674" s="22">
        <v>6</v>
      </c>
      <c r="L674" s="1">
        <v>42521</v>
      </c>
      <c r="M674" s="22">
        <f>Table10[[#This Row],[Ship Date]]-Table10[[#This Row],[Order Date]]</f>
        <v>5</v>
      </c>
      <c r="N674" t="s">
        <v>45</v>
      </c>
      <c r="O674" t="s">
        <v>23</v>
      </c>
      <c r="P674" t="s">
        <v>38</v>
      </c>
      <c r="Q674" t="s">
        <v>39</v>
      </c>
      <c r="R674" t="s">
        <v>2237</v>
      </c>
      <c r="S674" s="33">
        <v>0.2</v>
      </c>
      <c r="T674" s="13">
        <v>484.70400000000001</v>
      </c>
      <c r="U674" s="13">
        <v>-84.8232</v>
      </c>
      <c r="V674" s="21">
        <f>Table10[[#This Row],[Profit]]/Table10[[#This Row],[Sales]]</f>
        <v>-0.17499999999999999</v>
      </c>
    </row>
    <row r="675" spans="1:22" x14ac:dyDescent="0.2">
      <c r="A675">
        <v>674</v>
      </c>
      <c r="B675" t="s">
        <v>8214</v>
      </c>
      <c r="C675" s="1">
        <v>42516</v>
      </c>
      <c r="D675" s="22">
        <f>MONTH(Table10[[#This Row],[Order Date]])</f>
        <v>5</v>
      </c>
      <c r="E675" t="s">
        <v>5821</v>
      </c>
      <c r="F675" t="s">
        <v>5822</v>
      </c>
      <c r="G675" s="23" t="s">
        <v>64</v>
      </c>
      <c r="H675" s="23" t="s">
        <v>602</v>
      </c>
      <c r="I675" t="s">
        <v>5168</v>
      </c>
      <c r="J675" t="s">
        <v>22</v>
      </c>
      <c r="K675" s="22">
        <v>3</v>
      </c>
      <c r="L675" s="1">
        <v>42521</v>
      </c>
      <c r="M675" s="22">
        <f>Table10[[#This Row],[Ship Date]]-Table10[[#This Row],[Order Date]]</f>
        <v>5</v>
      </c>
      <c r="N675" t="s">
        <v>45</v>
      </c>
      <c r="O675" t="s">
        <v>23</v>
      </c>
      <c r="P675" t="s">
        <v>38</v>
      </c>
      <c r="Q675" t="s">
        <v>39</v>
      </c>
      <c r="R675" t="s">
        <v>2237</v>
      </c>
      <c r="S675" s="33">
        <v>0.2</v>
      </c>
      <c r="T675" s="13">
        <v>371.976</v>
      </c>
      <c r="U675" s="13">
        <v>116.24250000000001</v>
      </c>
      <c r="V675" s="21">
        <f>Table10[[#This Row],[Profit]]/Table10[[#This Row],[Sales]]</f>
        <v>0.3125</v>
      </c>
    </row>
    <row r="676" spans="1:22" x14ac:dyDescent="0.2">
      <c r="A676">
        <v>675</v>
      </c>
      <c r="B676" t="s">
        <v>9740</v>
      </c>
      <c r="C676" s="1">
        <v>42516</v>
      </c>
      <c r="D676" s="22">
        <f>MONTH(Table10[[#This Row],[Order Date]])</f>
        <v>5</v>
      </c>
      <c r="E676" t="s">
        <v>5268</v>
      </c>
      <c r="F676" t="s">
        <v>5269</v>
      </c>
      <c r="G676" s="23" t="s">
        <v>41</v>
      </c>
      <c r="H676" s="23" t="s">
        <v>53</v>
      </c>
      <c r="I676" t="s">
        <v>3237</v>
      </c>
      <c r="J676" t="s">
        <v>36</v>
      </c>
      <c r="K676" s="22">
        <v>6</v>
      </c>
      <c r="L676" s="1">
        <v>42519</v>
      </c>
      <c r="M676" s="22">
        <f>Table10[[#This Row],[Ship Date]]-Table10[[#This Row],[Order Date]]</f>
        <v>3</v>
      </c>
      <c r="N676" t="s">
        <v>20</v>
      </c>
      <c r="O676" t="s">
        <v>23</v>
      </c>
      <c r="P676" t="s">
        <v>48</v>
      </c>
      <c r="Q676" t="s">
        <v>26</v>
      </c>
      <c r="R676" t="s">
        <v>8205</v>
      </c>
      <c r="S676" s="33">
        <v>0.2</v>
      </c>
      <c r="T676" s="13">
        <v>184.70400000000001</v>
      </c>
      <c r="U676" s="13">
        <v>13.8528</v>
      </c>
      <c r="V676" s="21">
        <f>Table10[[#This Row],[Profit]]/Table10[[#This Row],[Sales]]</f>
        <v>7.4999999999999997E-2</v>
      </c>
    </row>
    <row r="677" spans="1:22" x14ac:dyDescent="0.2">
      <c r="A677">
        <v>676</v>
      </c>
      <c r="B677" t="s">
        <v>9740</v>
      </c>
      <c r="C677" s="1">
        <v>42516</v>
      </c>
      <c r="D677" s="22">
        <f>MONTH(Table10[[#This Row],[Order Date]])</f>
        <v>5</v>
      </c>
      <c r="E677" t="s">
        <v>1837</v>
      </c>
      <c r="F677" t="s">
        <v>1838</v>
      </c>
      <c r="G677" s="23" t="s">
        <v>64</v>
      </c>
      <c r="H677" s="23" t="s">
        <v>144</v>
      </c>
      <c r="I677" t="s">
        <v>3237</v>
      </c>
      <c r="J677" t="s">
        <v>36</v>
      </c>
      <c r="K677" s="22">
        <v>2</v>
      </c>
      <c r="L677" s="1">
        <v>42519</v>
      </c>
      <c r="M677" s="22">
        <f>Table10[[#This Row],[Ship Date]]-Table10[[#This Row],[Order Date]]</f>
        <v>3</v>
      </c>
      <c r="N677" t="s">
        <v>20</v>
      </c>
      <c r="O677" t="s">
        <v>23</v>
      </c>
      <c r="P677" t="s">
        <v>48</v>
      </c>
      <c r="Q677" t="s">
        <v>26</v>
      </c>
      <c r="R677" t="s">
        <v>8205</v>
      </c>
      <c r="S677" s="33">
        <v>0.2</v>
      </c>
      <c r="T677" s="13">
        <v>47.92</v>
      </c>
      <c r="U677" s="13">
        <v>11.98</v>
      </c>
      <c r="V677" s="21">
        <f>Table10[[#This Row],[Profit]]/Table10[[#This Row],[Sales]]</f>
        <v>0.25</v>
      </c>
    </row>
    <row r="678" spans="1:22" x14ac:dyDescent="0.2">
      <c r="A678">
        <v>677</v>
      </c>
      <c r="B678" t="s">
        <v>9877</v>
      </c>
      <c r="C678" s="1">
        <v>42516</v>
      </c>
      <c r="D678" s="22">
        <f>MONTH(Table10[[#This Row],[Order Date]])</f>
        <v>5</v>
      </c>
      <c r="E678" t="s">
        <v>3894</v>
      </c>
      <c r="F678" t="s">
        <v>3895</v>
      </c>
      <c r="G678" s="23" t="s">
        <v>28</v>
      </c>
      <c r="H678" s="23" t="s">
        <v>58</v>
      </c>
      <c r="I678" t="s">
        <v>5050</v>
      </c>
      <c r="J678" t="s">
        <v>22</v>
      </c>
      <c r="K678" s="22">
        <v>3</v>
      </c>
      <c r="L678" s="1">
        <v>42520</v>
      </c>
      <c r="M678" s="22">
        <f>Table10[[#This Row],[Ship Date]]-Table10[[#This Row],[Order Date]]</f>
        <v>4</v>
      </c>
      <c r="N678" t="s">
        <v>45</v>
      </c>
      <c r="O678" t="s">
        <v>23</v>
      </c>
      <c r="P678" t="s">
        <v>103</v>
      </c>
      <c r="Q678" t="s">
        <v>95</v>
      </c>
      <c r="R678" t="s">
        <v>2242</v>
      </c>
      <c r="S678" s="33">
        <v>0</v>
      </c>
      <c r="T678" s="13">
        <v>26.94</v>
      </c>
      <c r="U678" s="13">
        <v>11.3148</v>
      </c>
      <c r="V678" s="21">
        <f>Table10[[#This Row],[Profit]]/Table10[[#This Row],[Sales]]</f>
        <v>0.42</v>
      </c>
    </row>
    <row r="679" spans="1:22" x14ac:dyDescent="0.2">
      <c r="A679">
        <v>678</v>
      </c>
      <c r="B679" t="s">
        <v>7287</v>
      </c>
      <c r="C679" s="1">
        <v>42517</v>
      </c>
      <c r="D679" s="22">
        <f>MONTH(Table10[[#This Row],[Order Date]])</f>
        <v>5</v>
      </c>
      <c r="E679" t="s">
        <v>1656</v>
      </c>
      <c r="F679" t="s">
        <v>1657</v>
      </c>
      <c r="G679" s="23" t="s">
        <v>28</v>
      </c>
      <c r="H679" s="23" t="s">
        <v>32</v>
      </c>
      <c r="I679" t="s">
        <v>1190</v>
      </c>
      <c r="J679" t="s">
        <v>36</v>
      </c>
      <c r="K679" s="22">
        <v>5</v>
      </c>
      <c r="L679" s="1">
        <v>42519</v>
      </c>
      <c r="M679" s="22">
        <f>Table10[[#This Row],[Ship Date]]-Table10[[#This Row],[Order Date]]</f>
        <v>2</v>
      </c>
      <c r="N679" t="s">
        <v>20</v>
      </c>
      <c r="O679" t="s">
        <v>23</v>
      </c>
      <c r="P679" t="s">
        <v>212</v>
      </c>
      <c r="Q679" t="s">
        <v>95</v>
      </c>
      <c r="R679" t="s">
        <v>775</v>
      </c>
      <c r="S679" s="33">
        <v>0</v>
      </c>
      <c r="T679" s="13">
        <v>3504.9</v>
      </c>
      <c r="U679" s="13">
        <v>700.98</v>
      </c>
      <c r="V679" s="21">
        <f>Table10[[#This Row],[Profit]]/Table10[[#This Row],[Sales]]</f>
        <v>0.2</v>
      </c>
    </row>
    <row r="680" spans="1:22" x14ac:dyDescent="0.2">
      <c r="A680">
        <v>679</v>
      </c>
      <c r="B680" t="s">
        <v>7287</v>
      </c>
      <c r="C680" s="1">
        <v>42517</v>
      </c>
      <c r="D680" s="22">
        <f>MONTH(Table10[[#This Row],[Order Date]])</f>
        <v>5</v>
      </c>
      <c r="E680" t="s">
        <v>2379</v>
      </c>
      <c r="F680" t="s">
        <v>2380</v>
      </c>
      <c r="G680" s="23" t="s">
        <v>41</v>
      </c>
      <c r="H680" s="23" t="s">
        <v>82</v>
      </c>
      <c r="I680" t="s">
        <v>1190</v>
      </c>
      <c r="J680" t="s">
        <v>36</v>
      </c>
      <c r="K680" s="22">
        <v>3</v>
      </c>
      <c r="L680" s="1">
        <v>42519</v>
      </c>
      <c r="M680" s="22">
        <f>Table10[[#This Row],[Ship Date]]-Table10[[#This Row],[Order Date]]</f>
        <v>2</v>
      </c>
      <c r="N680" t="s">
        <v>20</v>
      </c>
      <c r="O680" t="s">
        <v>23</v>
      </c>
      <c r="P680" t="s">
        <v>212</v>
      </c>
      <c r="Q680" t="s">
        <v>95</v>
      </c>
      <c r="R680" t="s">
        <v>775</v>
      </c>
      <c r="S680" s="33">
        <v>0</v>
      </c>
      <c r="T680" s="13">
        <v>144.12</v>
      </c>
      <c r="U680" s="13">
        <v>69.177599999999998</v>
      </c>
      <c r="V680" s="21">
        <f>Table10[[#This Row],[Profit]]/Table10[[#This Row],[Sales]]</f>
        <v>0.48</v>
      </c>
    </row>
    <row r="681" spans="1:22" x14ac:dyDescent="0.2">
      <c r="A681">
        <v>680</v>
      </c>
      <c r="B681" t="s">
        <v>7287</v>
      </c>
      <c r="C681" s="1">
        <v>42517</v>
      </c>
      <c r="D681" s="22">
        <f>MONTH(Table10[[#This Row],[Order Date]])</f>
        <v>5</v>
      </c>
      <c r="E681" t="s">
        <v>3154</v>
      </c>
      <c r="F681" t="s">
        <v>3155</v>
      </c>
      <c r="G681" s="23" t="s">
        <v>41</v>
      </c>
      <c r="H681" s="23" t="s">
        <v>82</v>
      </c>
      <c r="I681" t="s">
        <v>1190</v>
      </c>
      <c r="J681" t="s">
        <v>36</v>
      </c>
      <c r="K681" s="22">
        <v>3</v>
      </c>
      <c r="L681" s="1">
        <v>42519</v>
      </c>
      <c r="M681" s="22">
        <f>Table10[[#This Row],[Ship Date]]-Table10[[#This Row],[Order Date]]</f>
        <v>2</v>
      </c>
      <c r="N681" t="s">
        <v>20</v>
      </c>
      <c r="O681" t="s">
        <v>23</v>
      </c>
      <c r="P681" t="s">
        <v>212</v>
      </c>
      <c r="Q681" t="s">
        <v>95</v>
      </c>
      <c r="R681" t="s">
        <v>775</v>
      </c>
      <c r="S681" s="33">
        <v>0</v>
      </c>
      <c r="T681" s="13">
        <v>314.55</v>
      </c>
      <c r="U681" s="13">
        <v>150.98400000000001</v>
      </c>
      <c r="V681" s="21">
        <f>Table10[[#This Row],[Profit]]/Table10[[#This Row],[Sales]]</f>
        <v>0.48000000000000004</v>
      </c>
    </row>
    <row r="682" spans="1:22" x14ac:dyDescent="0.2">
      <c r="A682">
        <v>681</v>
      </c>
      <c r="B682" t="s">
        <v>8780</v>
      </c>
      <c r="C682" s="1">
        <v>42517</v>
      </c>
      <c r="D682" s="22">
        <f>MONTH(Table10[[#This Row],[Order Date]])</f>
        <v>5</v>
      </c>
      <c r="E682" t="s">
        <v>5586</v>
      </c>
      <c r="F682" t="s">
        <v>5587</v>
      </c>
      <c r="G682" s="23" t="s">
        <v>28</v>
      </c>
      <c r="H682" s="23" t="s">
        <v>58</v>
      </c>
      <c r="I682" t="s">
        <v>4470</v>
      </c>
      <c r="J682" t="s">
        <v>22</v>
      </c>
      <c r="K682" s="22">
        <v>3</v>
      </c>
      <c r="L682" s="1">
        <v>42521</v>
      </c>
      <c r="M682" s="22">
        <f>Table10[[#This Row],[Ship Date]]-Table10[[#This Row],[Order Date]]</f>
        <v>4</v>
      </c>
      <c r="N682" t="s">
        <v>45</v>
      </c>
      <c r="O682" t="s">
        <v>23</v>
      </c>
      <c r="P682" t="s">
        <v>189</v>
      </c>
      <c r="Q682" t="s">
        <v>95</v>
      </c>
      <c r="R682" t="s">
        <v>271</v>
      </c>
      <c r="S682" s="33">
        <v>0.6</v>
      </c>
      <c r="T682" s="13">
        <v>25.175999999999998</v>
      </c>
      <c r="U682" s="13">
        <v>-33.358199999999997</v>
      </c>
      <c r="V682" s="21">
        <f>Table10[[#This Row],[Profit]]/Table10[[#This Row],[Sales]]</f>
        <v>-1.325</v>
      </c>
    </row>
    <row r="683" spans="1:22" x14ac:dyDescent="0.2">
      <c r="A683">
        <v>682</v>
      </c>
      <c r="B683" t="s">
        <v>8780</v>
      </c>
      <c r="C683" s="1">
        <v>42517</v>
      </c>
      <c r="D683" s="22">
        <f>MONTH(Table10[[#This Row],[Order Date]])</f>
        <v>5</v>
      </c>
      <c r="E683" t="s">
        <v>2664</v>
      </c>
      <c r="F683" t="s">
        <v>2665</v>
      </c>
      <c r="G683" s="23" t="s">
        <v>28</v>
      </c>
      <c r="H683" s="23" t="s">
        <v>58</v>
      </c>
      <c r="I683" t="s">
        <v>4470</v>
      </c>
      <c r="J683" t="s">
        <v>22</v>
      </c>
      <c r="K683" s="22">
        <v>2</v>
      </c>
      <c r="L683" s="1">
        <v>42521</v>
      </c>
      <c r="M683" s="22">
        <f>Table10[[#This Row],[Ship Date]]-Table10[[#This Row],[Order Date]]</f>
        <v>4</v>
      </c>
      <c r="N683" t="s">
        <v>45</v>
      </c>
      <c r="O683" t="s">
        <v>23</v>
      </c>
      <c r="P683" t="s">
        <v>189</v>
      </c>
      <c r="Q683" t="s">
        <v>95</v>
      </c>
      <c r="R683" t="s">
        <v>271</v>
      </c>
      <c r="S683" s="33">
        <v>0.6</v>
      </c>
      <c r="T683" s="13">
        <v>5.5839999999999996</v>
      </c>
      <c r="U683" s="13">
        <v>-1.6752</v>
      </c>
      <c r="V683" s="21">
        <f>Table10[[#This Row],[Profit]]/Table10[[#This Row],[Sales]]</f>
        <v>-0.30000000000000004</v>
      </c>
    </row>
    <row r="684" spans="1:22" x14ac:dyDescent="0.2">
      <c r="A684">
        <v>683</v>
      </c>
      <c r="B684" t="s">
        <v>8780</v>
      </c>
      <c r="C684" s="1">
        <v>42517</v>
      </c>
      <c r="D684" s="22">
        <f>MONTH(Table10[[#This Row],[Order Date]])</f>
        <v>5</v>
      </c>
      <c r="E684" t="s">
        <v>2527</v>
      </c>
      <c r="F684" t="s">
        <v>2528</v>
      </c>
      <c r="G684" s="23" t="s">
        <v>41</v>
      </c>
      <c r="H684" s="23" t="s">
        <v>53</v>
      </c>
      <c r="I684" t="s">
        <v>4470</v>
      </c>
      <c r="J684" t="s">
        <v>22</v>
      </c>
      <c r="K684" s="22">
        <v>9</v>
      </c>
      <c r="L684" s="1">
        <v>42521</v>
      </c>
      <c r="M684" s="22">
        <f>Table10[[#This Row],[Ship Date]]-Table10[[#This Row],[Order Date]]</f>
        <v>4</v>
      </c>
      <c r="N684" t="s">
        <v>45</v>
      </c>
      <c r="O684" t="s">
        <v>23</v>
      </c>
      <c r="P684" t="s">
        <v>189</v>
      </c>
      <c r="Q684" t="s">
        <v>95</v>
      </c>
      <c r="R684" t="s">
        <v>271</v>
      </c>
      <c r="S684" s="33">
        <v>0.2</v>
      </c>
      <c r="T684" s="13">
        <v>1297.3679999999999</v>
      </c>
      <c r="U684" s="13">
        <v>97.302599999999998</v>
      </c>
      <c r="V684" s="21">
        <f>Table10[[#This Row],[Profit]]/Table10[[#This Row],[Sales]]</f>
        <v>7.4999999999999997E-2</v>
      </c>
    </row>
    <row r="685" spans="1:22" x14ac:dyDescent="0.2">
      <c r="A685">
        <v>684</v>
      </c>
      <c r="B685" t="s">
        <v>8933</v>
      </c>
      <c r="C685" s="1">
        <v>42517</v>
      </c>
      <c r="D685" s="22">
        <f>MONTH(Table10[[#This Row],[Order Date]])</f>
        <v>5</v>
      </c>
      <c r="E685" t="s">
        <v>3751</v>
      </c>
      <c r="F685" t="s">
        <v>3752</v>
      </c>
      <c r="G685" s="23" t="s">
        <v>41</v>
      </c>
      <c r="H685" s="23" t="s">
        <v>82</v>
      </c>
      <c r="I685" t="s">
        <v>1546</v>
      </c>
      <c r="J685" t="s">
        <v>22</v>
      </c>
      <c r="K685" s="22">
        <v>2</v>
      </c>
      <c r="L685" s="1">
        <v>42523</v>
      </c>
      <c r="M685" s="22">
        <f>Table10[[#This Row],[Ship Date]]-Table10[[#This Row],[Order Date]]</f>
        <v>6</v>
      </c>
      <c r="N685" t="s">
        <v>45</v>
      </c>
      <c r="O685" t="s">
        <v>23</v>
      </c>
      <c r="P685" t="s">
        <v>38</v>
      </c>
      <c r="Q685" t="s">
        <v>39</v>
      </c>
      <c r="R685" t="s">
        <v>37</v>
      </c>
      <c r="S685" s="33">
        <v>0</v>
      </c>
      <c r="T685" s="13">
        <v>13.38</v>
      </c>
      <c r="U685" s="13">
        <v>6.1547999999999998</v>
      </c>
      <c r="V685" s="21">
        <f>Table10[[#This Row],[Profit]]/Table10[[#This Row],[Sales]]</f>
        <v>0.45999999999999996</v>
      </c>
    </row>
    <row r="686" spans="1:22" x14ac:dyDescent="0.2">
      <c r="A686">
        <v>685</v>
      </c>
      <c r="B686" t="s">
        <v>2330</v>
      </c>
      <c r="C686" s="1">
        <v>42518</v>
      </c>
      <c r="D686" s="22">
        <f>MONTH(Table10[[#This Row],[Order Date]])</f>
        <v>5</v>
      </c>
      <c r="E686" t="s">
        <v>1025</v>
      </c>
      <c r="F686" t="s">
        <v>1026</v>
      </c>
      <c r="G686" s="23" t="s">
        <v>41</v>
      </c>
      <c r="H686" s="23" t="s">
        <v>61</v>
      </c>
      <c r="I686" t="s">
        <v>783</v>
      </c>
      <c r="J686" t="s">
        <v>22</v>
      </c>
      <c r="K686" s="22">
        <v>6</v>
      </c>
      <c r="L686" s="1">
        <v>42525</v>
      </c>
      <c r="M686" s="22">
        <f>Table10[[#This Row],[Ship Date]]-Table10[[#This Row],[Order Date]]</f>
        <v>7</v>
      </c>
      <c r="N686" t="s">
        <v>45</v>
      </c>
      <c r="O686" t="s">
        <v>23</v>
      </c>
      <c r="P686" t="s">
        <v>1315</v>
      </c>
      <c r="Q686" t="s">
        <v>26</v>
      </c>
      <c r="R686" t="s">
        <v>293</v>
      </c>
      <c r="S686" s="33">
        <v>0</v>
      </c>
      <c r="T686" s="13">
        <v>185.88</v>
      </c>
      <c r="U686" s="13">
        <v>50.187600000000003</v>
      </c>
      <c r="V686" s="21">
        <f>Table10[[#This Row],[Profit]]/Table10[[#This Row],[Sales]]</f>
        <v>0.27</v>
      </c>
    </row>
    <row r="687" spans="1:22" x14ac:dyDescent="0.2">
      <c r="A687">
        <v>686</v>
      </c>
      <c r="B687" t="s">
        <v>5699</v>
      </c>
      <c r="C687" s="1">
        <v>42518</v>
      </c>
      <c r="D687" s="22">
        <f>MONTH(Table10[[#This Row],[Order Date]])</f>
        <v>5</v>
      </c>
      <c r="E687" t="s">
        <v>4368</v>
      </c>
      <c r="F687" t="s">
        <v>4369</v>
      </c>
      <c r="G687" s="23" t="s">
        <v>28</v>
      </c>
      <c r="H687" s="23" t="s">
        <v>32</v>
      </c>
      <c r="I687" t="s">
        <v>1281</v>
      </c>
      <c r="J687" t="s">
        <v>36</v>
      </c>
      <c r="K687" s="22">
        <v>8</v>
      </c>
      <c r="L687" s="1">
        <v>42524</v>
      </c>
      <c r="M687" s="22">
        <f>Table10[[#This Row],[Ship Date]]-Table10[[#This Row],[Order Date]]</f>
        <v>6</v>
      </c>
      <c r="N687" t="s">
        <v>45</v>
      </c>
      <c r="O687" t="s">
        <v>23</v>
      </c>
      <c r="P687" t="s">
        <v>48</v>
      </c>
      <c r="Q687" t="s">
        <v>26</v>
      </c>
      <c r="R687" t="s">
        <v>5021</v>
      </c>
      <c r="S687" s="33">
        <v>0.2</v>
      </c>
      <c r="T687" s="13">
        <v>390.27199999999999</v>
      </c>
      <c r="U687" s="13">
        <v>-24.391999999999999</v>
      </c>
      <c r="V687" s="21">
        <f>Table10[[#This Row],[Profit]]/Table10[[#This Row],[Sales]]</f>
        <v>-6.25E-2</v>
      </c>
    </row>
    <row r="688" spans="1:22" x14ac:dyDescent="0.2">
      <c r="A688">
        <v>687</v>
      </c>
      <c r="B688" t="s">
        <v>5699</v>
      </c>
      <c r="C688" s="1">
        <v>42518</v>
      </c>
      <c r="D688" s="22">
        <f>MONTH(Table10[[#This Row],[Order Date]])</f>
        <v>5</v>
      </c>
      <c r="E688" t="s">
        <v>1566</v>
      </c>
      <c r="F688" t="s">
        <v>1567</v>
      </c>
      <c r="G688" s="23" t="s">
        <v>41</v>
      </c>
      <c r="H688" s="23" t="s">
        <v>82</v>
      </c>
      <c r="I688" t="s">
        <v>1281</v>
      </c>
      <c r="J688" t="s">
        <v>36</v>
      </c>
      <c r="K688" s="22">
        <v>13</v>
      </c>
      <c r="L688" s="1">
        <v>42524</v>
      </c>
      <c r="M688" s="22">
        <f>Table10[[#This Row],[Ship Date]]-Table10[[#This Row],[Order Date]]</f>
        <v>6</v>
      </c>
      <c r="N688" t="s">
        <v>45</v>
      </c>
      <c r="O688" t="s">
        <v>23</v>
      </c>
      <c r="P688" t="s">
        <v>48</v>
      </c>
      <c r="Q688" t="s">
        <v>26</v>
      </c>
      <c r="R688" t="s">
        <v>5021</v>
      </c>
      <c r="S688" s="33">
        <v>0.2</v>
      </c>
      <c r="T688" s="13">
        <v>62.192</v>
      </c>
      <c r="U688" s="13">
        <v>19.434999999999999</v>
      </c>
      <c r="V688" s="21">
        <f>Table10[[#This Row],[Profit]]/Table10[[#This Row],[Sales]]</f>
        <v>0.3125</v>
      </c>
    </row>
    <row r="689" spans="1:22" x14ac:dyDescent="0.2">
      <c r="A689">
        <v>688</v>
      </c>
      <c r="B689" t="s">
        <v>5918</v>
      </c>
      <c r="C689" s="1">
        <v>42518</v>
      </c>
      <c r="D689" s="22">
        <f>MONTH(Table10[[#This Row],[Order Date]])</f>
        <v>5</v>
      </c>
      <c r="E689" t="s">
        <v>624</v>
      </c>
      <c r="F689" t="s">
        <v>625</v>
      </c>
      <c r="G689" s="23" t="s">
        <v>41</v>
      </c>
      <c r="H689" s="23" t="s">
        <v>71</v>
      </c>
      <c r="I689" t="s">
        <v>431</v>
      </c>
      <c r="J689" t="s">
        <v>22</v>
      </c>
      <c r="K689" s="22">
        <v>2</v>
      </c>
      <c r="L689" s="1">
        <v>42524</v>
      </c>
      <c r="M689" s="22">
        <f>Table10[[#This Row],[Ship Date]]-Table10[[#This Row],[Order Date]]</f>
        <v>6</v>
      </c>
      <c r="N689" t="s">
        <v>45</v>
      </c>
      <c r="O689" t="s">
        <v>23</v>
      </c>
      <c r="P689" t="s">
        <v>38</v>
      </c>
      <c r="Q689" t="s">
        <v>39</v>
      </c>
      <c r="R689" t="s">
        <v>37</v>
      </c>
      <c r="S689" s="33">
        <v>0</v>
      </c>
      <c r="T689" s="13">
        <v>262.24</v>
      </c>
      <c r="U689" s="13">
        <v>78.671999999999997</v>
      </c>
      <c r="V689" s="21">
        <f>Table10[[#This Row],[Profit]]/Table10[[#This Row],[Sales]]</f>
        <v>0.3</v>
      </c>
    </row>
    <row r="690" spans="1:22" x14ac:dyDescent="0.2">
      <c r="A690">
        <v>689</v>
      </c>
      <c r="B690" t="s">
        <v>5918</v>
      </c>
      <c r="C690" s="1">
        <v>42518</v>
      </c>
      <c r="D690" s="22">
        <f>MONTH(Table10[[#This Row],[Order Date]])</f>
        <v>5</v>
      </c>
      <c r="E690" t="s">
        <v>4596</v>
      </c>
      <c r="F690" t="s">
        <v>4597</v>
      </c>
      <c r="G690" s="23" t="s">
        <v>41</v>
      </c>
      <c r="H690" s="23" t="s">
        <v>82</v>
      </c>
      <c r="I690" t="s">
        <v>431</v>
      </c>
      <c r="J690" t="s">
        <v>22</v>
      </c>
      <c r="K690" s="22">
        <v>8</v>
      </c>
      <c r="L690" s="1">
        <v>42524</v>
      </c>
      <c r="M690" s="22">
        <f>Table10[[#This Row],[Ship Date]]-Table10[[#This Row],[Order Date]]</f>
        <v>6</v>
      </c>
      <c r="N690" t="s">
        <v>45</v>
      </c>
      <c r="O690" t="s">
        <v>23</v>
      </c>
      <c r="P690" t="s">
        <v>38</v>
      </c>
      <c r="Q690" t="s">
        <v>39</v>
      </c>
      <c r="R690" t="s">
        <v>37</v>
      </c>
      <c r="S690" s="33">
        <v>0</v>
      </c>
      <c r="T690" s="13">
        <v>182.72</v>
      </c>
      <c r="U690" s="13">
        <v>84.051199999999994</v>
      </c>
      <c r="V690" s="21">
        <f>Table10[[#This Row],[Profit]]/Table10[[#This Row],[Sales]]</f>
        <v>0.45999999999999996</v>
      </c>
    </row>
    <row r="691" spans="1:22" x14ac:dyDescent="0.2">
      <c r="A691">
        <v>690</v>
      </c>
      <c r="B691" t="s">
        <v>5918</v>
      </c>
      <c r="C691" s="1">
        <v>42518</v>
      </c>
      <c r="D691" s="22">
        <f>MONTH(Table10[[#This Row],[Order Date]])</f>
        <v>5</v>
      </c>
      <c r="E691" t="s">
        <v>4266</v>
      </c>
      <c r="F691" t="s">
        <v>4267</v>
      </c>
      <c r="G691" s="23" t="s">
        <v>64</v>
      </c>
      <c r="H691" s="23" t="s">
        <v>144</v>
      </c>
      <c r="I691" t="s">
        <v>431</v>
      </c>
      <c r="J691" t="s">
        <v>22</v>
      </c>
      <c r="K691" s="22">
        <v>7</v>
      </c>
      <c r="L691" s="1">
        <v>42524</v>
      </c>
      <c r="M691" s="22">
        <f>Table10[[#This Row],[Ship Date]]-Table10[[#This Row],[Order Date]]</f>
        <v>6</v>
      </c>
      <c r="N691" t="s">
        <v>45</v>
      </c>
      <c r="O691" t="s">
        <v>23</v>
      </c>
      <c r="P691" t="s">
        <v>38</v>
      </c>
      <c r="Q691" t="s">
        <v>39</v>
      </c>
      <c r="R691" t="s">
        <v>37</v>
      </c>
      <c r="S691" s="33">
        <v>0</v>
      </c>
      <c r="T691" s="13">
        <v>131.6</v>
      </c>
      <c r="U691" s="13">
        <v>7.8959999999999999</v>
      </c>
      <c r="V691" s="21">
        <f>Table10[[#This Row],[Profit]]/Table10[[#This Row],[Sales]]</f>
        <v>6.0000000000000005E-2</v>
      </c>
    </row>
    <row r="692" spans="1:22" x14ac:dyDescent="0.2">
      <c r="A692">
        <v>691</v>
      </c>
      <c r="B692" t="s">
        <v>5918</v>
      </c>
      <c r="C692" s="1">
        <v>42518</v>
      </c>
      <c r="D692" s="22">
        <f>MONTH(Table10[[#This Row],[Order Date]])</f>
        <v>5</v>
      </c>
      <c r="E692" t="s">
        <v>119</v>
      </c>
      <c r="F692" t="s">
        <v>120</v>
      </c>
      <c r="G692" s="23" t="s">
        <v>41</v>
      </c>
      <c r="H692" s="23" t="s">
        <v>68</v>
      </c>
      <c r="I692" t="s">
        <v>431</v>
      </c>
      <c r="J692" t="s">
        <v>22</v>
      </c>
      <c r="K692" s="22">
        <v>4</v>
      </c>
      <c r="L692" s="1">
        <v>42524</v>
      </c>
      <c r="M692" s="22">
        <f>Table10[[#This Row],[Ship Date]]-Table10[[#This Row],[Order Date]]</f>
        <v>6</v>
      </c>
      <c r="N692" t="s">
        <v>45</v>
      </c>
      <c r="O692" t="s">
        <v>23</v>
      </c>
      <c r="P692" t="s">
        <v>38</v>
      </c>
      <c r="Q692" t="s">
        <v>39</v>
      </c>
      <c r="R692" t="s">
        <v>37</v>
      </c>
      <c r="S692" s="33">
        <v>0.2</v>
      </c>
      <c r="T692" s="13">
        <v>22.72</v>
      </c>
      <c r="U692" s="13">
        <v>7.3840000000000003</v>
      </c>
      <c r="V692" s="21">
        <f>Table10[[#This Row],[Profit]]/Table10[[#This Row],[Sales]]</f>
        <v>0.32500000000000001</v>
      </c>
    </row>
    <row r="693" spans="1:22" x14ac:dyDescent="0.2">
      <c r="A693">
        <v>692</v>
      </c>
      <c r="B693" t="s">
        <v>5918</v>
      </c>
      <c r="C693" s="1">
        <v>42518</v>
      </c>
      <c r="D693" s="22">
        <f>MONTH(Table10[[#This Row],[Order Date]])</f>
        <v>5</v>
      </c>
      <c r="E693" t="s">
        <v>5648</v>
      </c>
      <c r="F693" t="s">
        <v>5649</v>
      </c>
      <c r="G693" s="23" t="s">
        <v>64</v>
      </c>
      <c r="H693" s="23" t="s">
        <v>602</v>
      </c>
      <c r="I693" t="s">
        <v>431</v>
      </c>
      <c r="J693" t="s">
        <v>22</v>
      </c>
      <c r="K693" s="22">
        <v>2</v>
      </c>
      <c r="L693" s="1">
        <v>42524</v>
      </c>
      <c r="M693" s="22">
        <f>Table10[[#This Row],[Ship Date]]-Table10[[#This Row],[Order Date]]</f>
        <v>6</v>
      </c>
      <c r="N693" t="s">
        <v>45</v>
      </c>
      <c r="O693" t="s">
        <v>23</v>
      </c>
      <c r="P693" t="s">
        <v>38</v>
      </c>
      <c r="Q693" t="s">
        <v>39</v>
      </c>
      <c r="R693" t="s">
        <v>37</v>
      </c>
      <c r="S693" s="33">
        <v>0.2</v>
      </c>
      <c r="T693" s="13">
        <v>558.4</v>
      </c>
      <c r="U693" s="13">
        <v>41.88</v>
      </c>
      <c r="V693" s="21">
        <f>Table10[[#This Row],[Profit]]/Table10[[#This Row],[Sales]]</f>
        <v>7.5000000000000011E-2</v>
      </c>
    </row>
    <row r="694" spans="1:22" x14ac:dyDescent="0.2">
      <c r="A694">
        <v>693</v>
      </c>
      <c r="B694" t="s">
        <v>6013</v>
      </c>
      <c r="C694" s="1">
        <v>42518</v>
      </c>
      <c r="D694" s="22">
        <f>MONTH(Table10[[#This Row],[Order Date]])</f>
        <v>5</v>
      </c>
      <c r="E694" t="s">
        <v>512</v>
      </c>
      <c r="F694" t="s">
        <v>514</v>
      </c>
      <c r="G694" s="23" t="s">
        <v>41</v>
      </c>
      <c r="H694" s="23" t="s">
        <v>513</v>
      </c>
      <c r="I694" t="s">
        <v>4217</v>
      </c>
      <c r="J694" t="s">
        <v>36</v>
      </c>
      <c r="K694" s="22">
        <v>5</v>
      </c>
      <c r="L694" s="1">
        <v>42518</v>
      </c>
      <c r="M694" s="22">
        <f>Table10[[#This Row],[Ship Date]]-Table10[[#This Row],[Order Date]]</f>
        <v>0</v>
      </c>
      <c r="N694" t="s">
        <v>1141</v>
      </c>
      <c r="O694" t="s">
        <v>23</v>
      </c>
      <c r="P694" t="s">
        <v>238</v>
      </c>
      <c r="Q694" t="s">
        <v>133</v>
      </c>
      <c r="R694" t="s">
        <v>237</v>
      </c>
      <c r="S694" s="33">
        <v>0</v>
      </c>
      <c r="T694" s="13">
        <v>54.9</v>
      </c>
      <c r="U694" s="13">
        <v>15.372</v>
      </c>
      <c r="V694" s="21">
        <f>Table10[[#This Row],[Profit]]/Table10[[#This Row],[Sales]]</f>
        <v>0.28000000000000003</v>
      </c>
    </row>
    <row r="695" spans="1:22" x14ac:dyDescent="0.2">
      <c r="A695">
        <v>694</v>
      </c>
      <c r="B695" t="s">
        <v>8636</v>
      </c>
      <c r="C695" s="1">
        <v>42518</v>
      </c>
      <c r="D695" s="22">
        <f>MONTH(Table10[[#This Row],[Order Date]])</f>
        <v>5</v>
      </c>
      <c r="E695" t="s">
        <v>3942</v>
      </c>
      <c r="F695" t="s">
        <v>3943</v>
      </c>
      <c r="G695" s="23" t="s">
        <v>64</v>
      </c>
      <c r="H695" s="23" t="s">
        <v>65</v>
      </c>
      <c r="I695" t="s">
        <v>1417</v>
      </c>
      <c r="J695" t="s">
        <v>92</v>
      </c>
      <c r="K695" s="22">
        <v>1</v>
      </c>
      <c r="L695" s="1">
        <v>42523</v>
      </c>
      <c r="M695" s="22">
        <f>Table10[[#This Row],[Ship Date]]-Table10[[#This Row],[Order Date]]</f>
        <v>5</v>
      </c>
      <c r="N695" t="s">
        <v>45</v>
      </c>
      <c r="O695" t="s">
        <v>23</v>
      </c>
      <c r="P695" t="s">
        <v>189</v>
      </c>
      <c r="Q695" t="s">
        <v>95</v>
      </c>
      <c r="R695" t="s">
        <v>1428</v>
      </c>
      <c r="S695" s="33">
        <v>0.2</v>
      </c>
      <c r="T695" s="13">
        <v>286.39999999999998</v>
      </c>
      <c r="U695" s="13">
        <v>25.06</v>
      </c>
      <c r="V695" s="21">
        <f>Table10[[#This Row],[Profit]]/Table10[[#This Row],[Sales]]</f>
        <v>8.7500000000000008E-2</v>
      </c>
    </row>
    <row r="696" spans="1:22" x14ac:dyDescent="0.2">
      <c r="A696">
        <v>695</v>
      </c>
      <c r="B696" t="s">
        <v>1606</v>
      </c>
      <c r="C696" s="1">
        <v>42519</v>
      </c>
      <c r="D696" s="22">
        <f>MONTH(Table10[[#This Row],[Order Date]])</f>
        <v>5</v>
      </c>
      <c r="E696" t="s">
        <v>1609</v>
      </c>
      <c r="F696" t="s">
        <v>1610</v>
      </c>
      <c r="G696" s="23" t="s">
        <v>64</v>
      </c>
      <c r="H696" s="23" t="s">
        <v>65</v>
      </c>
      <c r="I696" t="s">
        <v>1607</v>
      </c>
      <c r="J696" t="s">
        <v>22</v>
      </c>
      <c r="K696" s="22">
        <v>5</v>
      </c>
      <c r="L696" s="1">
        <v>42522</v>
      </c>
      <c r="M696" s="22">
        <f>Table10[[#This Row],[Ship Date]]-Table10[[#This Row],[Order Date]]</f>
        <v>3</v>
      </c>
      <c r="N696" t="s">
        <v>20</v>
      </c>
      <c r="O696" t="s">
        <v>23</v>
      </c>
      <c r="P696" t="s">
        <v>320</v>
      </c>
      <c r="Q696" t="s">
        <v>26</v>
      </c>
      <c r="R696" t="s">
        <v>1608</v>
      </c>
      <c r="S696" s="33">
        <v>0</v>
      </c>
      <c r="T696" s="13">
        <v>979.95</v>
      </c>
      <c r="U696" s="13">
        <v>274.38600000000002</v>
      </c>
      <c r="V696" s="21">
        <f>Table10[[#This Row],[Profit]]/Table10[[#This Row],[Sales]]</f>
        <v>0.28000000000000003</v>
      </c>
    </row>
    <row r="697" spans="1:22" x14ac:dyDescent="0.2">
      <c r="A697">
        <v>696</v>
      </c>
      <c r="B697" t="s">
        <v>1606</v>
      </c>
      <c r="C697" s="1">
        <v>42519</v>
      </c>
      <c r="D697" s="22">
        <f>MONTH(Table10[[#This Row],[Order Date]])</f>
        <v>5</v>
      </c>
      <c r="E697" t="s">
        <v>901</v>
      </c>
      <c r="F697" t="s">
        <v>902</v>
      </c>
      <c r="G697" s="23" t="s">
        <v>41</v>
      </c>
      <c r="H697" s="23" t="s">
        <v>68</v>
      </c>
      <c r="I697" t="s">
        <v>1607</v>
      </c>
      <c r="J697" t="s">
        <v>22</v>
      </c>
      <c r="K697" s="22">
        <v>5</v>
      </c>
      <c r="L697" s="1">
        <v>42522</v>
      </c>
      <c r="M697" s="22">
        <f>Table10[[#This Row],[Ship Date]]-Table10[[#This Row],[Order Date]]</f>
        <v>3</v>
      </c>
      <c r="N697" t="s">
        <v>20</v>
      </c>
      <c r="O697" t="s">
        <v>23</v>
      </c>
      <c r="P697" t="s">
        <v>320</v>
      </c>
      <c r="Q697" t="s">
        <v>26</v>
      </c>
      <c r="R697" t="s">
        <v>1608</v>
      </c>
      <c r="S697" s="33">
        <v>0</v>
      </c>
      <c r="T697" s="13">
        <v>22.75</v>
      </c>
      <c r="U697" s="13">
        <v>11.375</v>
      </c>
      <c r="V697" s="21">
        <f>Table10[[#This Row],[Profit]]/Table10[[#This Row],[Sales]]</f>
        <v>0.5</v>
      </c>
    </row>
    <row r="698" spans="1:22" x14ac:dyDescent="0.2">
      <c r="A698">
        <v>697</v>
      </c>
      <c r="B698" t="s">
        <v>6369</v>
      </c>
      <c r="C698" s="1">
        <v>42519</v>
      </c>
      <c r="D698" s="22">
        <f>MONTH(Table10[[#This Row],[Order Date]])</f>
        <v>5</v>
      </c>
      <c r="E698" t="s">
        <v>3853</v>
      </c>
      <c r="F698" t="s">
        <v>3854</v>
      </c>
      <c r="G698" s="23" t="s">
        <v>41</v>
      </c>
      <c r="H698" s="23" t="s">
        <v>68</v>
      </c>
      <c r="I698" t="s">
        <v>1379</v>
      </c>
      <c r="J698" t="s">
        <v>22</v>
      </c>
      <c r="K698" s="22">
        <v>3</v>
      </c>
      <c r="L698" s="1">
        <v>42523</v>
      </c>
      <c r="M698" s="22">
        <f>Table10[[#This Row],[Ship Date]]-Table10[[#This Row],[Order Date]]</f>
        <v>4</v>
      </c>
      <c r="N698" t="s">
        <v>45</v>
      </c>
      <c r="O698" t="s">
        <v>23</v>
      </c>
      <c r="P698" t="s">
        <v>299</v>
      </c>
      <c r="Q698" t="s">
        <v>26</v>
      </c>
      <c r="R698" t="s">
        <v>5035</v>
      </c>
      <c r="S698" s="33">
        <v>0.7</v>
      </c>
      <c r="T698" s="13">
        <v>11.276999999999999</v>
      </c>
      <c r="U698" s="13">
        <v>-8.6456999999999997</v>
      </c>
      <c r="V698" s="21">
        <f>Table10[[#This Row],[Profit]]/Table10[[#This Row],[Sales]]</f>
        <v>-0.76666666666666672</v>
      </c>
    </row>
    <row r="699" spans="1:22" x14ac:dyDescent="0.2">
      <c r="A699">
        <v>698</v>
      </c>
      <c r="B699" t="s">
        <v>6369</v>
      </c>
      <c r="C699" s="1">
        <v>42519</v>
      </c>
      <c r="D699" s="22">
        <f>MONTH(Table10[[#This Row],[Order Date]])</f>
        <v>5</v>
      </c>
      <c r="E699" t="s">
        <v>1134</v>
      </c>
      <c r="F699" t="s">
        <v>1135</v>
      </c>
      <c r="G699" s="23" t="s">
        <v>41</v>
      </c>
      <c r="H699" s="23" t="s">
        <v>61</v>
      </c>
      <c r="I699" t="s">
        <v>1379</v>
      </c>
      <c r="J699" t="s">
        <v>22</v>
      </c>
      <c r="K699" s="22">
        <v>2</v>
      </c>
      <c r="L699" s="1">
        <v>42523</v>
      </c>
      <c r="M699" s="22">
        <f>Table10[[#This Row],[Ship Date]]-Table10[[#This Row],[Order Date]]</f>
        <v>4</v>
      </c>
      <c r="N699" t="s">
        <v>45</v>
      </c>
      <c r="O699" t="s">
        <v>23</v>
      </c>
      <c r="P699" t="s">
        <v>299</v>
      </c>
      <c r="Q699" t="s">
        <v>26</v>
      </c>
      <c r="R699" t="s">
        <v>5035</v>
      </c>
      <c r="S699" s="33">
        <v>0.2</v>
      </c>
      <c r="T699" s="13">
        <v>4.4480000000000004</v>
      </c>
      <c r="U699" s="13">
        <v>0.33360000000000001</v>
      </c>
      <c r="V699" s="21">
        <f>Table10[[#This Row],[Profit]]/Table10[[#This Row],[Sales]]</f>
        <v>7.4999999999999997E-2</v>
      </c>
    </row>
    <row r="700" spans="1:22" x14ac:dyDescent="0.2">
      <c r="A700">
        <v>699</v>
      </c>
      <c r="B700" t="s">
        <v>6369</v>
      </c>
      <c r="C700" s="1">
        <v>42519</v>
      </c>
      <c r="D700" s="22">
        <f>MONTH(Table10[[#This Row],[Order Date]])</f>
        <v>5</v>
      </c>
      <c r="E700" t="s">
        <v>6370</v>
      </c>
      <c r="F700" t="s">
        <v>6371</v>
      </c>
      <c r="G700" s="23" t="s">
        <v>28</v>
      </c>
      <c r="H700" s="23" t="s">
        <v>58</v>
      </c>
      <c r="I700" t="s">
        <v>1379</v>
      </c>
      <c r="J700" t="s">
        <v>22</v>
      </c>
      <c r="K700" s="22">
        <v>3</v>
      </c>
      <c r="L700" s="1">
        <v>42523</v>
      </c>
      <c r="M700" s="22">
        <f>Table10[[#This Row],[Ship Date]]-Table10[[#This Row],[Order Date]]</f>
        <v>4</v>
      </c>
      <c r="N700" t="s">
        <v>45</v>
      </c>
      <c r="O700" t="s">
        <v>23</v>
      </c>
      <c r="P700" t="s">
        <v>299</v>
      </c>
      <c r="Q700" t="s">
        <v>26</v>
      </c>
      <c r="R700" t="s">
        <v>5035</v>
      </c>
      <c r="S700" s="33">
        <v>0.2</v>
      </c>
      <c r="T700" s="13">
        <v>44.76</v>
      </c>
      <c r="U700" s="13">
        <v>14.547000000000001</v>
      </c>
      <c r="V700" s="21">
        <f>Table10[[#This Row],[Profit]]/Table10[[#This Row],[Sales]]</f>
        <v>0.32500000000000001</v>
      </c>
    </row>
    <row r="701" spans="1:22" x14ac:dyDescent="0.2">
      <c r="A701">
        <v>700</v>
      </c>
      <c r="B701" t="s">
        <v>1521</v>
      </c>
      <c r="C701" s="1">
        <v>42520</v>
      </c>
      <c r="D701" s="22">
        <f>MONTH(Table10[[#This Row],[Order Date]])</f>
        <v>5</v>
      </c>
      <c r="E701" t="s">
        <v>1524</v>
      </c>
      <c r="F701" t="s">
        <v>1525</v>
      </c>
      <c r="G701" s="23" t="s">
        <v>41</v>
      </c>
      <c r="H701" s="23" t="s">
        <v>68</v>
      </c>
      <c r="I701" t="s">
        <v>1522</v>
      </c>
      <c r="J701" t="s">
        <v>36</v>
      </c>
      <c r="K701" s="22">
        <v>2</v>
      </c>
      <c r="L701" s="1">
        <v>42525</v>
      </c>
      <c r="M701" s="22">
        <f>Table10[[#This Row],[Ship Date]]-Table10[[#This Row],[Order Date]]</f>
        <v>5</v>
      </c>
      <c r="N701" t="s">
        <v>45</v>
      </c>
      <c r="O701" t="s">
        <v>23</v>
      </c>
      <c r="P701" t="s">
        <v>405</v>
      </c>
      <c r="Q701" t="s">
        <v>39</v>
      </c>
      <c r="R701" t="s">
        <v>1523</v>
      </c>
      <c r="S701" s="33">
        <v>0.7</v>
      </c>
      <c r="T701" s="13">
        <v>22.62</v>
      </c>
      <c r="U701" s="13">
        <v>-15.08</v>
      </c>
      <c r="V701" s="21">
        <f>Table10[[#This Row],[Profit]]/Table10[[#This Row],[Sales]]</f>
        <v>-0.66666666666666663</v>
      </c>
    </row>
    <row r="702" spans="1:22" x14ac:dyDescent="0.2">
      <c r="A702">
        <v>701</v>
      </c>
      <c r="B702" t="s">
        <v>1521</v>
      </c>
      <c r="C702" s="1">
        <v>42520</v>
      </c>
      <c r="D702" s="22">
        <f>MONTH(Table10[[#This Row],[Order Date]])</f>
        <v>5</v>
      </c>
      <c r="E702" t="s">
        <v>1526</v>
      </c>
      <c r="F702" t="s">
        <v>1527</v>
      </c>
      <c r="G702" s="23" t="s">
        <v>41</v>
      </c>
      <c r="H702" s="23" t="s">
        <v>68</v>
      </c>
      <c r="I702" t="s">
        <v>1522</v>
      </c>
      <c r="J702" t="s">
        <v>36</v>
      </c>
      <c r="K702" s="22">
        <v>2</v>
      </c>
      <c r="L702" s="1">
        <v>42525</v>
      </c>
      <c r="M702" s="22">
        <f>Table10[[#This Row],[Ship Date]]-Table10[[#This Row],[Order Date]]</f>
        <v>5</v>
      </c>
      <c r="N702" t="s">
        <v>45</v>
      </c>
      <c r="O702" t="s">
        <v>23</v>
      </c>
      <c r="P702" t="s">
        <v>405</v>
      </c>
      <c r="Q702" t="s">
        <v>39</v>
      </c>
      <c r="R702" t="s">
        <v>1523</v>
      </c>
      <c r="S702" s="33">
        <v>0.7</v>
      </c>
      <c r="T702" s="13">
        <v>14.952</v>
      </c>
      <c r="U702" s="13">
        <v>-11.961600000000001</v>
      </c>
      <c r="V702" s="21">
        <f>Table10[[#This Row],[Profit]]/Table10[[#This Row],[Sales]]</f>
        <v>-0.8</v>
      </c>
    </row>
    <row r="703" spans="1:22" x14ac:dyDescent="0.2">
      <c r="A703">
        <v>702</v>
      </c>
      <c r="B703" t="s">
        <v>1521</v>
      </c>
      <c r="C703" s="1">
        <v>42520</v>
      </c>
      <c r="D703" s="22">
        <f>MONTH(Table10[[#This Row],[Order Date]])</f>
        <v>5</v>
      </c>
      <c r="E703" t="s">
        <v>1528</v>
      </c>
      <c r="F703" t="s">
        <v>1529</v>
      </c>
      <c r="G703" s="23" t="s">
        <v>28</v>
      </c>
      <c r="H703" s="23" t="s">
        <v>32</v>
      </c>
      <c r="I703" t="s">
        <v>1522</v>
      </c>
      <c r="J703" t="s">
        <v>36</v>
      </c>
      <c r="K703" s="22">
        <v>2</v>
      </c>
      <c r="L703" s="1">
        <v>42525</v>
      </c>
      <c r="M703" s="22">
        <f>Table10[[#This Row],[Ship Date]]-Table10[[#This Row],[Order Date]]</f>
        <v>5</v>
      </c>
      <c r="N703" t="s">
        <v>45</v>
      </c>
      <c r="O703" t="s">
        <v>23</v>
      </c>
      <c r="P703" t="s">
        <v>405</v>
      </c>
      <c r="Q703" t="s">
        <v>39</v>
      </c>
      <c r="R703" t="s">
        <v>1523</v>
      </c>
      <c r="S703" s="33">
        <v>0.2</v>
      </c>
      <c r="T703" s="13">
        <v>801.56799999999998</v>
      </c>
      <c r="U703" s="13">
        <v>50.097999999999999</v>
      </c>
      <c r="V703" s="21">
        <f>Table10[[#This Row],[Profit]]/Table10[[#This Row],[Sales]]</f>
        <v>6.25E-2</v>
      </c>
    </row>
    <row r="704" spans="1:22" x14ac:dyDescent="0.2">
      <c r="A704">
        <v>703</v>
      </c>
      <c r="B704" t="s">
        <v>1521</v>
      </c>
      <c r="C704" s="1">
        <v>42520</v>
      </c>
      <c r="D704" s="22">
        <f>MONTH(Table10[[#This Row],[Order Date]])</f>
        <v>5</v>
      </c>
      <c r="E704" t="s">
        <v>1530</v>
      </c>
      <c r="F704" t="s">
        <v>1531</v>
      </c>
      <c r="G704" s="23" t="s">
        <v>41</v>
      </c>
      <c r="H704" s="23" t="s">
        <v>68</v>
      </c>
      <c r="I704" t="s">
        <v>1522</v>
      </c>
      <c r="J704" t="s">
        <v>36</v>
      </c>
      <c r="K704" s="22">
        <v>3</v>
      </c>
      <c r="L704" s="1">
        <v>42525</v>
      </c>
      <c r="M704" s="22">
        <f>Table10[[#This Row],[Ship Date]]-Table10[[#This Row],[Order Date]]</f>
        <v>5</v>
      </c>
      <c r="N704" t="s">
        <v>45</v>
      </c>
      <c r="O704" t="s">
        <v>23</v>
      </c>
      <c r="P704" t="s">
        <v>405</v>
      </c>
      <c r="Q704" t="s">
        <v>39</v>
      </c>
      <c r="R704" t="s">
        <v>1523</v>
      </c>
      <c r="S704" s="33">
        <v>0.7</v>
      </c>
      <c r="T704" s="13">
        <v>2.3759999999999999</v>
      </c>
      <c r="U704" s="13">
        <v>-1.9008</v>
      </c>
      <c r="V704" s="21">
        <f>Table10[[#This Row],[Profit]]/Table10[[#This Row],[Sales]]</f>
        <v>-0.8</v>
      </c>
    </row>
    <row r="705" spans="1:22" x14ac:dyDescent="0.2">
      <c r="A705">
        <v>704</v>
      </c>
      <c r="B705" t="s">
        <v>1521</v>
      </c>
      <c r="C705" s="1">
        <v>42520</v>
      </c>
      <c r="D705" s="22">
        <f>MONTH(Table10[[#This Row],[Order Date]])</f>
        <v>5</v>
      </c>
      <c r="E705" t="s">
        <v>1532</v>
      </c>
      <c r="F705" t="s">
        <v>1533</v>
      </c>
      <c r="G705" s="23" t="s">
        <v>41</v>
      </c>
      <c r="H705" s="23" t="s">
        <v>82</v>
      </c>
      <c r="I705" t="s">
        <v>1522</v>
      </c>
      <c r="J705" t="s">
        <v>36</v>
      </c>
      <c r="K705" s="22">
        <v>1</v>
      </c>
      <c r="L705" s="1">
        <v>42525</v>
      </c>
      <c r="M705" s="22">
        <f>Table10[[#This Row],[Ship Date]]-Table10[[#This Row],[Order Date]]</f>
        <v>5</v>
      </c>
      <c r="N705" t="s">
        <v>45</v>
      </c>
      <c r="O705" t="s">
        <v>23</v>
      </c>
      <c r="P705" t="s">
        <v>405</v>
      </c>
      <c r="Q705" t="s">
        <v>39</v>
      </c>
      <c r="R705" t="s">
        <v>1523</v>
      </c>
      <c r="S705" s="33">
        <v>0.2</v>
      </c>
      <c r="T705" s="13">
        <v>32.792000000000002</v>
      </c>
      <c r="U705" s="13">
        <v>11.8871</v>
      </c>
      <c r="V705" s="21">
        <f>Table10[[#This Row],[Profit]]/Table10[[#This Row],[Sales]]</f>
        <v>0.36249999999999999</v>
      </c>
    </row>
    <row r="706" spans="1:22" x14ac:dyDescent="0.2">
      <c r="A706">
        <v>705</v>
      </c>
      <c r="B706" t="s">
        <v>2588</v>
      </c>
      <c r="C706" s="1">
        <v>42520</v>
      </c>
      <c r="D706" s="22">
        <f>MONTH(Table10[[#This Row],[Order Date]])</f>
        <v>5</v>
      </c>
      <c r="E706" t="s">
        <v>1780</v>
      </c>
      <c r="F706" t="s">
        <v>1781</v>
      </c>
      <c r="G706" s="23" t="s">
        <v>41</v>
      </c>
      <c r="H706" s="23" t="s">
        <v>68</v>
      </c>
      <c r="I706" t="s">
        <v>2589</v>
      </c>
      <c r="J706" t="s">
        <v>22</v>
      </c>
      <c r="K706" s="22">
        <v>2</v>
      </c>
      <c r="L706" s="1">
        <v>42521</v>
      </c>
      <c r="M706" s="22">
        <f>Table10[[#This Row],[Ship Date]]-Table10[[#This Row],[Order Date]]</f>
        <v>1</v>
      </c>
      <c r="N706" t="s">
        <v>169</v>
      </c>
      <c r="O706" t="s">
        <v>23</v>
      </c>
      <c r="P706" t="s">
        <v>80</v>
      </c>
      <c r="Q706" t="s">
        <v>26</v>
      </c>
      <c r="R706" t="s">
        <v>461</v>
      </c>
      <c r="S706" s="33">
        <v>0.7</v>
      </c>
      <c r="T706" s="13">
        <v>3.282</v>
      </c>
      <c r="U706" s="13">
        <v>-2.6255999999999999</v>
      </c>
      <c r="V706" s="21">
        <f>Table10[[#This Row],[Profit]]/Table10[[#This Row],[Sales]]</f>
        <v>-0.79999999999999993</v>
      </c>
    </row>
    <row r="707" spans="1:22" x14ac:dyDescent="0.2">
      <c r="A707">
        <v>706</v>
      </c>
      <c r="B707" t="s">
        <v>3051</v>
      </c>
      <c r="C707" s="1">
        <v>42520</v>
      </c>
      <c r="D707" s="22">
        <f>MONTH(Table10[[#This Row],[Order Date]])</f>
        <v>5</v>
      </c>
      <c r="E707" t="s">
        <v>3053</v>
      </c>
      <c r="F707" t="s">
        <v>3054</v>
      </c>
      <c r="G707" s="23" t="s">
        <v>64</v>
      </c>
      <c r="H707" s="23" t="s">
        <v>1075</v>
      </c>
      <c r="I707" t="s">
        <v>3052</v>
      </c>
      <c r="J707" t="s">
        <v>36</v>
      </c>
      <c r="K707" s="22">
        <v>2</v>
      </c>
      <c r="L707" s="1">
        <v>42522</v>
      </c>
      <c r="M707" s="22">
        <f>Table10[[#This Row],[Ship Date]]-Table10[[#This Row],[Order Date]]</f>
        <v>2</v>
      </c>
      <c r="N707" t="s">
        <v>169</v>
      </c>
      <c r="O707" t="s">
        <v>23</v>
      </c>
      <c r="P707" t="s">
        <v>441</v>
      </c>
      <c r="Q707" t="s">
        <v>133</v>
      </c>
      <c r="R707" t="s">
        <v>887</v>
      </c>
      <c r="S707" s="33">
        <v>0.4</v>
      </c>
      <c r="T707" s="13">
        <v>839.98800000000006</v>
      </c>
      <c r="U707" s="13">
        <v>69.998999999999995</v>
      </c>
      <c r="V707" s="21">
        <f>Table10[[#This Row],[Profit]]/Table10[[#This Row],[Sales]]</f>
        <v>8.3333333333333329E-2</v>
      </c>
    </row>
    <row r="708" spans="1:22" x14ac:dyDescent="0.2">
      <c r="A708">
        <v>707</v>
      </c>
      <c r="B708" t="s">
        <v>7376</v>
      </c>
      <c r="C708" s="1">
        <v>42520</v>
      </c>
      <c r="D708" s="22">
        <f>MONTH(Table10[[#This Row],[Order Date]])</f>
        <v>5</v>
      </c>
      <c r="E708" t="s">
        <v>4871</v>
      </c>
      <c r="F708" t="s">
        <v>4872</v>
      </c>
      <c r="G708" s="23" t="s">
        <v>28</v>
      </c>
      <c r="H708" s="23" t="s">
        <v>50</v>
      </c>
      <c r="I708" t="s">
        <v>5937</v>
      </c>
      <c r="J708" t="s">
        <v>36</v>
      </c>
      <c r="K708" s="22">
        <v>10</v>
      </c>
      <c r="L708" s="1">
        <v>42524</v>
      </c>
      <c r="M708" s="22">
        <f>Table10[[#This Row],[Ship Date]]-Table10[[#This Row],[Order Date]]</f>
        <v>4</v>
      </c>
      <c r="N708" t="s">
        <v>45</v>
      </c>
      <c r="O708" t="s">
        <v>23</v>
      </c>
      <c r="P708" t="s">
        <v>285</v>
      </c>
      <c r="Q708" t="s">
        <v>26</v>
      </c>
      <c r="R708" t="s">
        <v>284</v>
      </c>
      <c r="S708" s="33">
        <v>0</v>
      </c>
      <c r="T708" s="13">
        <v>2275.5</v>
      </c>
      <c r="U708" s="13">
        <v>386.83499999999998</v>
      </c>
      <c r="V708" s="21">
        <f>Table10[[#This Row],[Profit]]/Table10[[#This Row],[Sales]]</f>
        <v>0.16999999999999998</v>
      </c>
    </row>
    <row r="709" spans="1:22" x14ac:dyDescent="0.2">
      <c r="A709">
        <v>708</v>
      </c>
      <c r="B709" t="s">
        <v>7376</v>
      </c>
      <c r="C709" s="1">
        <v>42520</v>
      </c>
      <c r="D709" s="22">
        <f>MONTH(Table10[[#This Row],[Order Date]])</f>
        <v>5</v>
      </c>
      <c r="E709" t="s">
        <v>2635</v>
      </c>
      <c r="F709" t="s">
        <v>2636</v>
      </c>
      <c r="G709" s="23" t="s">
        <v>64</v>
      </c>
      <c r="H709" s="23" t="s">
        <v>144</v>
      </c>
      <c r="I709" t="s">
        <v>5937</v>
      </c>
      <c r="J709" t="s">
        <v>36</v>
      </c>
      <c r="K709" s="22">
        <v>6</v>
      </c>
      <c r="L709" s="1">
        <v>42524</v>
      </c>
      <c r="M709" s="22">
        <f>Table10[[#This Row],[Ship Date]]-Table10[[#This Row],[Order Date]]</f>
        <v>4</v>
      </c>
      <c r="N709" t="s">
        <v>45</v>
      </c>
      <c r="O709" t="s">
        <v>23</v>
      </c>
      <c r="P709" t="s">
        <v>285</v>
      </c>
      <c r="Q709" t="s">
        <v>26</v>
      </c>
      <c r="R709" t="s">
        <v>284</v>
      </c>
      <c r="S709" s="33">
        <v>0</v>
      </c>
      <c r="T709" s="13">
        <v>1979.7</v>
      </c>
      <c r="U709" s="13">
        <v>653.30100000000004</v>
      </c>
      <c r="V709" s="21">
        <f>Table10[[#This Row],[Profit]]/Table10[[#This Row],[Sales]]</f>
        <v>0.33</v>
      </c>
    </row>
    <row r="710" spans="1:22" x14ac:dyDescent="0.2">
      <c r="A710">
        <v>709</v>
      </c>
      <c r="B710" t="s">
        <v>7376</v>
      </c>
      <c r="C710" s="1">
        <v>42520</v>
      </c>
      <c r="D710" s="22">
        <f>MONTH(Table10[[#This Row],[Order Date]])</f>
        <v>5</v>
      </c>
      <c r="E710" t="s">
        <v>1675</v>
      </c>
      <c r="F710" t="s">
        <v>1676</v>
      </c>
      <c r="G710" s="23" t="s">
        <v>41</v>
      </c>
      <c r="H710" s="23" t="s">
        <v>42</v>
      </c>
      <c r="I710" t="s">
        <v>5937</v>
      </c>
      <c r="J710" t="s">
        <v>36</v>
      </c>
      <c r="K710" s="22">
        <v>6</v>
      </c>
      <c r="L710" s="1">
        <v>42524</v>
      </c>
      <c r="M710" s="22">
        <f>Table10[[#This Row],[Ship Date]]-Table10[[#This Row],[Order Date]]</f>
        <v>4</v>
      </c>
      <c r="N710" t="s">
        <v>45</v>
      </c>
      <c r="O710" t="s">
        <v>23</v>
      </c>
      <c r="P710" t="s">
        <v>285</v>
      </c>
      <c r="Q710" t="s">
        <v>26</v>
      </c>
      <c r="R710" t="s">
        <v>284</v>
      </c>
      <c r="S710" s="33">
        <v>0</v>
      </c>
      <c r="T710" s="13">
        <v>62.1</v>
      </c>
      <c r="U710" s="13">
        <v>29.808</v>
      </c>
      <c r="V710" s="21">
        <f>Table10[[#This Row],[Profit]]/Table10[[#This Row],[Sales]]</f>
        <v>0.48</v>
      </c>
    </row>
    <row r="711" spans="1:22" x14ac:dyDescent="0.2">
      <c r="A711">
        <v>710</v>
      </c>
      <c r="B711" t="s">
        <v>7510</v>
      </c>
      <c r="C711" s="1">
        <v>42520</v>
      </c>
      <c r="D711" s="22">
        <f>MONTH(Table10[[#This Row],[Order Date]])</f>
        <v>5</v>
      </c>
      <c r="E711" t="s">
        <v>4580</v>
      </c>
      <c r="F711" t="s">
        <v>4581</v>
      </c>
      <c r="G711" s="23" t="s">
        <v>41</v>
      </c>
      <c r="H711" s="23" t="s">
        <v>71</v>
      </c>
      <c r="I711" t="s">
        <v>4635</v>
      </c>
      <c r="J711" t="s">
        <v>22</v>
      </c>
      <c r="K711" s="22">
        <v>5</v>
      </c>
      <c r="L711" s="1">
        <v>42525</v>
      </c>
      <c r="M711" s="22">
        <f>Table10[[#This Row],[Ship Date]]-Table10[[#This Row],[Order Date]]</f>
        <v>5</v>
      </c>
      <c r="N711" t="s">
        <v>45</v>
      </c>
      <c r="O711" t="s">
        <v>23</v>
      </c>
      <c r="P711" t="s">
        <v>441</v>
      </c>
      <c r="Q711" t="s">
        <v>133</v>
      </c>
      <c r="R711" t="s">
        <v>687</v>
      </c>
      <c r="S711" s="33">
        <v>0.2</v>
      </c>
      <c r="T711" s="13">
        <v>123.92</v>
      </c>
      <c r="U711" s="13">
        <v>9.2940000000000005</v>
      </c>
      <c r="V711" s="21">
        <f>Table10[[#This Row],[Profit]]/Table10[[#This Row],[Sales]]</f>
        <v>7.4999999999999997E-2</v>
      </c>
    </row>
    <row r="712" spans="1:22" x14ac:dyDescent="0.2">
      <c r="A712">
        <v>711</v>
      </c>
      <c r="B712" t="s">
        <v>8493</v>
      </c>
      <c r="C712" s="1">
        <v>42520</v>
      </c>
      <c r="D712" s="22">
        <f>MONTH(Table10[[#This Row],[Order Date]])</f>
        <v>5</v>
      </c>
      <c r="E712" t="s">
        <v>5332</v>
      </c>
      <c r="F712" t="s">
        <v>5333</v>
      </c>
      <c r="G712" s="23" t="s">
        <v>41</v>
      </c>
      <c r="H712" s="23" t="s">
        <v>82</v>
      </c>
      <c r="I712" t="s">
        <v>5157</v>
      </c>
      <c r="J712" t="s">
        <v>92</v>
      </c>
      <c r="K712" s="22">
        <v>6</v>
      </c>
      <c r="L712" s="1">
        <v>42524</v>
      </c>
      <c r="M712" s="22">
        <f>Table10[[#This Row],[Ship Date]]-Table10[[#This Row],[Order Date]]</f>
        <v>4</v>
      </c>
      <c r="N712" t="s">
        <v>45</v>
      </c>
      <c r="O712" t="s">
        <v>23</v>
      </c>
      <c r="P712" t="s">
        <v>38</v>
      </c>
      <c r="Q712" t="s">
        <v>39</v>
      </c>
      <c r="R712" t="s">
        <v>37</v>
      </c>
      <c r="S712" s="33">
        <v>0</v>
      </c>
      <c r="T712" s="13">
        <v>38.880000000000003</v>
      </c>
      <c r="U712" s="13">
        <v>18.662400000000002</v>
      </c>
      <c r="V712" s="21">
        <f>Table10[[#This Row],[Profit]]/Table10[[#This Row],[Sales]]</f>
        <v>0.48000000000000004</v>
      </c>
    </row>
    <row r="713" spans="1:22" x14ac:dyDescent="0.2">
      <c r="A713">
        <v>712</v>
      </c>
      <c r="B713" t="s">
        <v>8600</v>
      </c>
      <c r="C713" s="1">
        <v>42520</v>
      </c>
      <c r="D713" s="22">
        <f>MONTH(Table10[[#This Row],[Order Date]])</f>
        <v>5</v>
      </c>
      <c r="E713" t="s">
        <v>630</v>
      </c>
      <c r="F713" t="s">
        <v>631</v>
      </c>
      <c r="G713" s="23" t="s">
        <v>41</v>
      </c>
      <c r="H713" s="23" t="s">
        <v>71</v>
      </c>
      <c r="I713" t="s">
        <v>5475</v>
      </c>
      <c r="J713" t="s">
        <v>92</v>
      </c>
      <c r="K713" s="22">
        <v>3</v>
      </c>
      <c r="L713" s="1">
        <v>42525</v>
      </c>
      <c r="M713" s="22">
        <f>Table10[[#This Row],[Ship Date]]-Table10[[#This Row],[Order Date]]</f>
        <v>5</v>
      </c>
      <c r="N713" t="s">
        <v>45</v>
      </c>
      <c r="O713" t="s">
        <v>23</v>
      </c>
      <c r="P713" t="s">
        <v>103</v>
      </c>
      <c r="Q713" t="s">
        <v>95</v>
      </c>
      <c r="R713" t="s">
        <v>6427</v>
      </c>
      <c r="S713" s="33">
        <v>0</v>
      </c>
      <c r="T713" s="13">
        <v>364.74</v>
      </c>
      <c r="U713" s="13">
        <v>109.422</v>
      </c>
      <c r="V713" s="21">
        <f>Table10[[#This Row],[Profit]]/Table10[[#This Row],[Sales]]</f>
        <v>0.3</v>
      </c>
    </row>
    <row r="714" spans="1:22" x14ac:dyDescent="0.2">
      <c r="A714">
        <v>713</v>
      </c>
      <c r="B714" t="s">
        <v>8600</v>
      </c>
      <c r="C714" s="1">
        <v>42520</v>
      </c>
      <c r="D714" s="22">
        <f>MONTH(Table10[[#This Row],[Order Date]])</f>
        <v>5</v>
      </c>
      <c r="E714" t="s">
        <v>4199</v>
      </c>
      <c r="F714" t="s">
        <v>4200</v>
      </c>
      <c r="G714" s="23" t="s">
        <v>28</v>
      </c>
      <c r="H714" s="23" t="s">
        <v>58</v>
      </c>
      <c r="I714" t="s">
        <v>5475</v>
      </c>
      <c r="J714" t="s">
        <v>92</v>
      </c>
      <c r="K714" s="22">
        <v>5</v>
      </c>
      <c r="L714" s="1">
        <v>42525</v>
      </c>
      <c r="M714" s="22">
        <f>Table10[[#This Row],[Ship Date]]-Table10[[#This Row],[Order Date]]</f>
        <v>5</v>
      </c>
      <c r="N714" t="s">
        <v>45</v>
      </c>
      <c r="O714" t="s">
        <v>23</v>
      </c>
      <c r="P714" t="s">
        <v>103</v>
      </c>
      <c r="Q714" t="s">
        <v>95</v>
      </c>
      <c r="R714" t="s">
        <v>6427</v>
      </c>
      <c r="S714" s="33">
        <v>0</v>
      </c>
      <c r="T714" s="13">
        <v>47.4</v>
      </c>
      <c r="U714" s="13">
        <v>21.33</v>
      </c>
      <c r="V714" s="21">
        <f>Table10[[#This Row],[Profit]]/Table10[[#This Row],[Sales]]</f>
        <v>0.44999999999999996</v>
      </c>
    </row>
    <row r="715" spans="1:22" x14ac:dyDescent="0.2">
      <c r="A715">
        <v>714</v>
      </c>
      <c r="B715" t="s">
        <v>8600</v>
      </c>
      <c r="C715" s="1">
        <v>42520</v>
      </c>
      <c r="D715" s="22">
        <f>MONTH(Table10[[#This Row],[Order Date]])</f>
        <v>5</v>
      </c>
      <c r="E715" t="s">
        <v>916</v>
      </c>
      <c r="F715" t="s">
        <v>917</v>
      </c>
      <c r="G715" s="23" t="s">
        <v>41</v>
      </c>
      <c r="H715" s="23" t="s">
        <v>53</v>
      </c>
      <c r="I715" t="s">
        <v>5475</v>
      </c>
      <c r="J715" t="s">
        <v>92</v>
      </c>
      <c r="K715" s="22">
        <v>4</v>
      </c>
      <c r="L715" s="1">
        <v>42525</v>
      </c>
      <c r="M715" s="22">
        <f>Table10[[#This Row],[Ship Date]]-Table10[[#This Row],[Order Date]]</f>
        <v>5</v>
      </c>
      <c r="N715" t="s">
        <v>45</v>
      </c>
      <c r="O715" t="s">
        <v>23</v>
      </c>
      <c r="P715" t="s">
        <v>103</v>
      </c>
      <c r="Q715" t="s">
        <v>95</v>
      </c>
      <c r="R715" t="s">
        <v>6427</v>
      </c>
      <c r="S715" s="33">
        <v>0</v>
      </c>
      <c r="T715" s="13">
        <v>49.76</v>
      </c>
      <c r="U715" s="13">
        <v>13.9328</v>
      </c>
      <c r="V715" s="21">
        <f>Table10[[#This Row],[Profit]]/Table10[[#This Row],[Sales]]</f>
        <v>0.28000000000000003</v>
      </c>
    </row>
    <row r="716" spans="1:22" x14ac:dyDescent="0.2">
      <c r="A716">
        <v>715</v>
      </c>
      <c r="B716" t="s">
        <v>8600</v>
      </c>
      <c r="C716" s="1">
        <v>42520</v>
      </c>
      <c r="D716" s="22">
        <f>MONTH(Table10[[#This Row],[Order Date]])</f>
        <v>5</v>
      </c>
      <c r="E716" t="s">
        <v>1134</v>
      </c>
      <c r="F716" t="s">
        <v>1135</v>
      </c>
      <c r="G716" s="23" t="s">
        <v>41</v>
      </c>
      <c r="H716" s="23" t="s">
        <v>61</v>
      </c>
      <c r="I716" t="s">
        <v>5475</v>
      </c>
      <c r="J716" t="s">
        <v>92</v>
      </c>
      <c r="K716" s="22">
        <v>2</v>
      </c>
      <c r="L716" s="1">
        <v>42525</v>
      </c>
      <c r="M716" s="22">
        <f>Table10[[#This Row],[Ship Date]]-Table10[[#This Row],[Order Date]]</f>
        <v>5</v>
      </c>
      <c r="N716" t="s">
        <v>45</v>
      </c>
      <c r="O716" t="s">
        <v>23</v>
      </c>
      <c r="P716" t="s">
        <v>103</v>
      </c>
      <c r="Q716" t="s">
        <v>95</v>
      </c>
      <c r="R716" t="s">
        <v>6427</v>
      </c>
      <c r="S716" s="33">
        <v>0</v>
      </c>
      <c r="T716" s="13">
        <v>5.56</v>
      </c>
      <c r="U716" s="13">
        <v>1.4456</v>
      </c>
      <c r="V716" s="21">
        <f>Table10[[#This Row],[Profit]]/Table10[[#This Row],[Sales]]</f>
        <v>0.26</v>
      </c>
    </row>
    <row r="717" spans="1:22" x14ac:dyDescent="0.2">
      <c r="A717">
        <v>716</v>
      </c>
      <c r="B717" t="s">
        <v>8600</v>
      </c>
      <c r="C717" s="1">
        <v>42520</v>
      </c>
      <c r="D717" s="22">
        <f>MONTH(Table10[[#This Row],[Order Date]])</f>
        <v>5</v>
      </c>
      <c r="E717" t="s">
        <v>3154</v>
      </c>
      <c r="F717" t="s">
        <v>3155</v>
      </c>
      <c r="G717" s="23" t="s">
        <v>41</v>
      </c>
      <c r="H717" s="23" t="s">
        <v>82</v>
      </c>
      <c r="I717" t="s">
        <v>5475</v>
      </c>
      <c r="J717" t="s">
        <v>92</v>
      </c>
      <c r="K717" s="22">
        <v>6</v>
      </c>
      <c r="L717" s="1">
        <v>42525</v>
      </c>
      <c r="M717" s="22">
        <f>Table10[[#This Row],[Ship Date]]-Table10[[#This Row],[Order Date]]</f>
        <v>5</v>
      </c>
      <c r="N717" t="s">
        <v>45</v>
      </c>
      <c r="O717" t="s">
        <v>23</v>
      </c>
      <c r="P717" t="s">
        <v>103</v>
      </c>
      <c r="Q717" t="s">
        <v>95</v>
      </c>
      <c r="R717" t="s">
        <v>6427</v>
      </c>
      <c r="S717" s="33">
        <v>0</v>
      </c>
      <c r="T717" s="13">
        <v>629.1</v>
      </c>
      <c r="U717" s="13">
        <v>301.96800000000002</v>
      </c>
      <c r="V717" s="21">
        <f>Table10[[#This Row],[Profit]]/Table10[[#This Row],[Sales]]</f>
        <v>0.48000000000000004</v>
      </c>
    </row>
    <row r="718" spans="1:22" x14ac:dyDescent="0.2">
      <c r="A718">
        <v>717</v>
      </c>
      <c r="B718" t="s">
        <v>8600</v>
      </c>
      <c r="C718" s="1">
        <v>42520</v>
      </c>
      <c r="D718" s="22">
        <f>MONTH(Table10[[#This Row],[Order Date]])</f>
        <v>5</v>
      </c>
      <c r="E718" t="s">
        <v>519</v>
      </c>
      <c r="F718" t="s">
        <v>520</v>
      </c>
      <c r="G718" s="23" t="s">
        <v>41</v>
      </c>
      <c r="H718" s="23" t="s">
        <v>61</v>
      </c>
      <c r="I718" t="s">
        <v>5475</v>
      </c>
      <c r="J718" t="s">
        <v>92</v>
      </c>
      <c r="K718" s="22">
        <v>5</v>
      </c>
      <c r="L718" s="1">
        <v>42525</v>
      </c>
      <c r="M718" s="22">
        <f>Table10[[#This Row],[Ship Date]]-Table10[[#This Row],[Order Date]]</f>
        <v>5</v>
      </c>
      <c r="N718" t="s">
        <v>45</v>
      </c>
      <c r="O718" t="s">
        <v>23</v>
      </c>
      <c r="P718" t="s">
        <v>103</v>
      </c>
      <c r="Q718" t="s">
        <v>95</v>
      </c>
      <c r="R718" t="s">
        <v>6427</v>
      </c>
      <c r="S718" s="33">
        <v>0</v>
      </c>
      <c r="T718" s="13">
        <v>14.7</v>
      </c>
      <c r="U718" s="13">
        <v>3.9689999999999999</v>
      </c>
      <c r="V718" s="21">
        <f>Table10[[#This Row],[Profit]]/Table10[[#This Row],[Sales]]</f>
        <v>0.27</v>
      </c>
    </row>
    <row r="719" spans="1:22" x14ac:dyDescent="0.2">
      <c r="A719">
        <v>718</v>
      </c>
      <c r="B719" t="s">
        <v>8600</v>
      </c>
      <c r="C719" s="1">
        <v>42520</v>
      </c>
      <c r="D719" s="22">
        <f>MONTH(Table10[[#This Row],[Order Date]])</f>
        <v>5</v>
      </c>
      <c r="E719" t="s">
        <v>3363</v>
      </c>
      <c r="F719" t="s">
        <v>3364</v>
      </c>
      <c r="G719" s="23" t="s">
        <v>41</v>
      </c>
      <c r="H719" s="23" t="s">
        <v>82</v>
      </c>
      <c r="I719" t="s">
        <v>5475</v>
      </c>
      <c r="J719" t="s">
        <v>92</v>
      </c>
      <c r="K719" s="22">
        <v>7</v>
      </c>
      <c r="L719" s="1">
        <v>42525</v>
      </c>
      <c r="M719" s="22">
        <f>Table10[[#This Row],[Ship Date]]-Table10[[#This Row],[Order Date]]</f>
        <v>5</v>
      </c>
      <c r="N719" t="s">
        <v>45</v>
      </c>
      <c r="O719" t="s">
        <v>23</v>
      </c>
      <c r="P719" t="s">
        <v>103</v>
      </c>
      <c r="Q719" t="s">
        <v>95</v>
      </c>
      <c r="R719" t="s">
        <v>6427</v>
      </c>
      <c r="S719" s="33">
        <v>0</v>
      </c>
      <c r="T719" s="13">
        <v>45.36</v>
      </c>
      <c r="U719" s="13">
        <v>21.7728</v>
      </c>
      <c r="V719" s="21">
        <f>Table10[[#This Row],[Profit]]/Table10[[#This Row],[Sales]]</f>
        <v>0.48</v>
      </c>
    </row>
    <row r="720" spans="1:22" x14ac:dyDescent="0.2">
      <c r="A720">
        <v>719</v>
      </c>
      <c r="B720" t="s">
        <v>8600</v>
      </c>
      <c r="C720" s="1">
        <v>42520</v>
      </c>
      <c r="D720" s="22">
        <f>MONTH(Table10[[#This Row],[Order Date]])</f>
        <v>5</v>
      </c>
      <c r="E720" t="s">
        <v>3739</v>
      </c>
      <c r="F720" t="s">
        <v>3740</v>
      </c>
      <c r="G720" s="23" t="s">
        <v>64</v>
      </c>
      <c r="H720" s="23" t="s">
        <v>65</v>
      </c>
      <c r="I720" t="s">
        <v>5475</v>
      </c>
      <c r="J720" t="s">
        <v>92</v>
      </c>
      <c r="K720" s="22">
        <v>1</v>
      </c>
      <c r="L720" s="1">
        <v>42525</v>
      </c>
      <c r="M720" s="22">
        <f>Table10[[#This Row],[Ship Date]]-Table10[[#This Row],[Order Date]]</f>
        <v>5</v>
      </c>
      <c r="N720" t="s">
        <v>45</v>
      </c>
      <c r="O720" t="s">
        <v>23</v>
      </c>
      <c r="P720" t="s">
        <v>103</v>
      </c>
      <c r="Q720" t="s">
        <v>95</v>
      </c>
      <c r="R720" t="s">
        <v>6427</v>
      </c>
      <c r="S720" s="33">
        <v>0</v>
      </c>
      <c r="T720" s="13">
        <v>125.99</v>
      </c>
      <c r="U720" s="13">
        <v>35.277200000000001</v>
      </c>
      <c r="V720" s="21">
        <f>Table10[[#This Row],[Profit]]/Table10[[#This Row],[Sales]]</f>
        <v>0.28000000000000003</v>
      </c>
    </row>
    <row r="721" spans="1:22" x14ac:dyDescent="0.2">
      <c r="A721">
        <v>720</v>
      </c>
      <c r="B721" t="s">
        <v>8689</v>
      </c>
      <c r="C721" s="1">
        <v>42520</v>
      </c>
      <c r="D721" s="22">
        <f>MONTH(Table10[[#This Row],[Order Date]])</f>
        <v>5</v>
      </c>
      <c r="E721" t="s">
        <v>5586</v>
      </c>
      <c r="F721" t="s">
        <v>5587</v>
      </c>
      <c r="G721" s="23" t="s">
        <v>28</v>
      </c>
      <c r="H721" s="23" t="s">
        <v>58</v>
      </c>
      <c r="I721" t="s">
        <v>5632</v>
      </c>
      <c r="J721" t="s">
        <v>36</v>
      </c>
      <c r="K721" s="22">
        <v>8</v>
      </c>
      <c r="L721" s="1">
        <v>42527</v>
      </c>
      <c r="M721" s="22">
        <f>Table10[[#This Row],[Ship Date]]-Table10[[#This Row],[Order Date]]</f>
        <v>7</v>
      </c>
      <c r="N721" t="s">
        <v>45</v>
      </c>
      <c r="O721" t="s">
        <v>23</v>
      </c>
      <c r="P721" t="s">
        <v>38</v>
      </c>
      <c r="Q721" t="s">
        <v>39</v>
      </c>
      <c r="R721" t="s">
        <v>37</v>
      </c>
      <c r="S721" s="33">
        <v>0</v>
      </c>
      <c r="T721" s="13">
        <v>167.84</v>
      </c>
      <c r="U721" s="13">
        <v>11.748799999999999</v>
      </c>
      <c r="V721" s="21">
        <f>Table10[[#This Row],[Profit]]/Table10[[#This Row],[Sales]]</f>
        <v>6.9999999999999993E-2</v>
      </c>
    </row>
    <row r="722" spans="1:22" x14ac:dyDescent="0.2">
      <c r="A722">
        <v>721</v>
      </c>
      <c r="B722" t="s">
        <v>9157</v>
      </c>
      <c r="C722" s="1">
        <v>42520</v>
      </c>
      <c r="D722" s="22">
        <f>MONTH(Table10[[#This Row],[Order Date]])</f>
        <v>5</v>
      </c>
      <c r="E722" t="s">
        <v>444</v>
      </c>
      <c r="F722" t="s">
        <v>445</v>
      </c>
      <c r="G722" s="23" t="s">
        <v>41</v>
      </c>
      <c r="H722" s="23" t="s">
        <v>155</v>
      </c>
      <c r="I722" t="s">
        <v>3648</v>
      </c>
      <c r="J722" t="s">
        <v>36</v>
      </c>
      <c r="K722" s="22">
        <v>9</v>
      </c>
      <c r="L722" s="1">
        <v>42524</v>
      </c>
      <c r="M722" s="22">
        <f>Table10[[#This Row],[Ship Date]]-Table10[[#This Row],[Order Date]]</f>
        <v>4</v>
      </c>
      <c r="N722" t="s">
        <v>45</v>
      </c>
      <c r="O722" t="s">
        <v>23</v>
      </c>
      <c r="P722" t="s">
        <v>285</v>
      </c>
      <c r="Q722" t="s">
        <v>26</v>
      </c>
      <c r="R722" t="s">
        <v>997</v>
      </c>
      <c r="S722" s="33">
        <v>0</v>
      </c>
      <c r="T722" s="13">
        <v>26.55</v>
      </c>
      <c r="U722" s="13">
        <v>12.744</v>
      </c>
      <c r="V722" s="21">
        <f>Table10[[#This Row],[Profit]]/Table10[[#This Row],[Sales]]</f>
        <v>0.48</v>
      </c>
    </row>
    <row r="723" spans="1:22" x14ac:dyDescent="0.2">
      <c r="A723">
        <v>722</v>
      </c>
      <c r="B723" t="s">
        <v>9157</v>
      </c>
      <c r="C723" s="1">
        <v>42520</v>
      </c>
      <c r="D723" s="22">
        <f>MONTH(Table10[[#This Row],[Order Date]])</f>
        <v>5</v>
      </c>
      <c r="E723" t="s">
        <v>754</v>
      </c>
      <c r="F723" t="s">
        <v>755</v>
      </c>
      <c r="G723" s="23" t="s">
        <v>64</v>
      </c>
      <c r="H723" s="23" t="s">
        <v>144</v>
      </c>
      <c r="I723" t="s">
        <v>3648</v>
      </c>
      <c r="J723" t="s">
        <v>36</v>
      </c>
      <c r="K723" s="22">
        <v>2</v>
      </c>
      <c r="L723" s="1">
        <v>42524</v>
      </c>
      <c r="M723" s="22">
        <f>Table10[[#This Row],[Ship Date]]-Table10[[#This Row],[Order Date]]</f>
        <v>4</v>
      </c>
      <c r="N723" t="s">
        <v>45</v>
      </c>
      <c r="O723" t="s">
        <v>23</v>
      </c>
      <c r="P723" t="s">
        <v>285</v>
      </c>
      <c r="Q723" t="s">
        <v>26</v>
      </c>
      <c r="R723" t="s">
        <v>997</v>
      </c>
      <c r="S723" s="33">
        <v>0</v>
      </c>
      <c r="T723" s="13">
        <v>111.98</v>
      </c>
      <c r="U723" s="13">
        <v>26.8752</v>
      </c>
      <c r="V723" s="21">
        <f>Table10[[#This Row],[Profit]]/Table10[[#This Row],[Sales]]</f>
        <v>0.24</v>
      </c>
    </row>
    <row r="724" spans="1:22" x14ac:dyDescent="0.2">
      <c r="A724">
        <v>723</v>
      </c>
      <c r="B724" t="s">
        <v>10009</v>
      </c>
      <c r="C724" s="1">
        <v>42520</v>
      </c>
      <c r="D724" s="22">
        <f>MONTH(Table10[[#This Row],[Order Date]])</f>
        <v>5</v>
      </c>
      <c r="E724" t="s">
        <v>493</v>
      </c>
      <c r="F724" t="s">
        <v>494</v>
      </c>
      <c r="G724" s="23" t="s">
        <v>64</v>
      </c>
      <c r="H724" s="23" t="s">
        <v>65</v>
      </c>
      <c r="I724" t="s">
        <v>1827</v>
      </c>
      <c r="J724" t="s">
        <v>22</v>
      </c>
      <c r="K724" s="22">
        <v>5</v>
      </c>
      <c r="L724" s="1">
        <v>42521</v>
      </c>
      <c r="M724" s="22">
        <f>Table10[[#This Row],[Ship Date]]-Table10[[#This Row],[Order Date]]</f>
        <v>1</v>
      </c>
      <c r="N724" t="s">
        <v>1141</v>
      </c>
      <c r="O724" t="s">
        <v>23</v>
      </c>
      <c r="P724" t="s">
        <v>94</v>
      </c>
      <c r="Q724" t="s">
        <v>95</v>
      </c>
      <c r="R724" t="s">
        <v>165</v>
      </c>
      <c r="S724" s="33">
        <v>0.2</v>
      </c>
      <c r="T724" s="13">
        <v>79.959999999999994</v>
      </c>
      <c r="U724" s="13">
        <v>7.9960000000000004</v>
      </c>
      <c r="V724" s="21">
        <f>Table10[[#This Row],[Profit]]/Table10[[#This Row],[Sales]]</f>
        <v>0.10000000000000002</v>
      </c>
    </row>
    <row r="725" spans="1:22" x14ac:dyDescent="0.2">
      <c r="A725">
        <v>724</v>
      </c>
      <c r="B725" t="s">
        <v>10009</v>
      </c>
      <c r="C725" s="1">
        <v>42520</v>
      </c>
      <c r="D725" s="22">
        <f>MONTH(Table10[[#This Row],[Order Date]])</f>
        <v>5</v>
      </c>
      <c r="E725" t="s">
        <v>754</v>
      </c>
      <c r="F725" t="s">
        <v>755</v>
      </c>
      <c r="G725" s="23" t="s">
        <v>64</v>
      </c>
      <c r="H725" s="23" t="s">
        <v>144</v>
      </c>
      <c r="I725" t="s">
        <v>1827</v>
      </c>
      <c r="J725" t="s">
        <v>22</v>
      </c>
      <c r="K725" s="22">
        <v>5</v>
      </c>
      <c r="L725" s="1">
        <v>42521</v>
      </c>
      <c r="M725" s="22">
        <f>Table10[[#This Row],[Ship Date]]-Table10[[#This Row],[Order Date]]</f>
        <v>1</v>
      </c>
      <c r="N725" t="s">
        <v>1141</v>
      </c>
      <c r="O725" t="s">
        <v>23</v>
      </c>
      <c r="P725" t="s">
        <v>94</v>
      </c>
      <c r="Q725" t="s">
        <v>95</v>
      </c>
      <c r="R725" t="s">
        <v>165</v>
      </c>
      <c r="S725" s="33">
        <v>0.2</v>
      </c>
      <c r="T725" s="13">
        <v>223.96</v>
      </c>
      <c r="U725" s="13">
        <v>11.198</v>
      </c>
      <c r="V725" s="21">
        <f>Table10[[#This Row],[Profit]]/Table10[[#This Row],[Sales]]</f>
        <v>0.05</v>
      </c>
    </row>
    <row r="726" spans="1:22" x14ac:dyDescent="0.2">
      <c r="A726">
        <v>725</v>
      </c>
      <c r="B726" t="s">
        <v>9521</v>
      </c>
      <c r="C726" s="1">
        <v>42521</v>
      </c>
      <c r="D726" s="22">
        <f>MONTH(Table10[[#This Row],[Order Date]])</f>
        <v>5</v>
      </c>
      <c r="E726" t="s">
        <v>9018</v>
      </c>
      <c r="F726" t="s">
        <v>9019</v>
      </c>
      <c r="G726" s="23" t="s">
        <v>28</v>
      </c>
      <c r="H726" s="23" t="s">
        <v>58</v>
      </c>
      <c r="I726" t="s">
        <v>3286</v>
      </c>
      <c r="J726" t="s">
        <v>22</v>
      </c>
      <c r="K726" s="22">
        <v>3</v>
      </c>
      <c r="L726" s="1">
        <v>42525</v>
      </c>
      <c r="M726" s="22">
        <f>Table10[[#This Row],[Ship Date]]-Table10[[#This Row],[Order Date]]</f>
        <v>4</v>
      </c>
      <c r="N726" t="s">
        <v>45</v>
      </c>
      <c r="O726" t="s">
        <v>23</v>
      </c>
      <c r="P726" t="s">
        <v>189</v>
      </c>
      <c r="Q726" t="s">
        <v>95</v>
      </c>
      <c r="R726" t="s">
        <v>319</v>
      </c>
      <c r="S726" s="33">
        <v>0.6</v>
      </c>
      <c r="T726" s="13">
        <v>32.064</v>
      </c>
      <c r="U726" s="13">
        <v>-12.8256</v>
      </c>
      <c r="V726" s="21">
        <f>Table10[[#This Row],[Profit]]/Table10[[#This Row],[Sales]]</f>
        <v>-0.39999999999999997</v>
      </c>
    </row>
    <row r="727" spans="1:22" x14ac:dyDescent="0.2">
      <c r="A727">
        <v>726</v>
      </c>
      <c r="B727" t="s">
        <v>9521</v>
      </c>
      <c r="C727" s="1">
        <v>42521</v>
      </c>
      <c r="D727" s="22">
        <f>MONTH(Table10[[#This Row],[Order Date]])</f>
        <v>5</v>
      </c>
      <c r="E727" t="s">
        <v>8930</v>
      </c>
      <c r="F727" t="s">
        <v>8931</v>
      </c>
      <c r="G727" s="23" t="s">
        <v>41</v>
      </c>
      <c r="H727" s="23" t="s">
        <v>82</v>
      </c>
      <c r="I727" t="s">
        <v>3286</v>
      </c>
      <c r="J727" t="s">
        <v>22</v>
      </c>
      <c r="K727" s="22">
        <v>4</v>
      </c>
      <c r="L727" s="1">
        <v>42525</v>
      </c>
      <c r="M727" s="22">
        <f>Table10[[#This Row],[Ship Date]]-Table10[[#This Row],[Order Date]]</f>
        <v>4</v>
      </c>
      <c r="N727" t="s">
        <v>45</v>
      </c>
      <c r="O727" t="s">
        <v>23</v>
      </c>
      <c r="P727" t="s">
        <v>189</v>
      </c>
      <c r="Q727" t="s">
        <v>95</v>
      </c>
      <c r="R727" t="s">
        <v>319</v>
      </c>
      <c r="S727" s="33">
        <v>0.2</v>
      </c>
      <c r="T727" s="13">
        <v>18.495999999999999</v>
      </c>
      <c r="U727" s="13">
        <v>6.7047999999999996</v>
      </c>
      <c r="V727" s="21">
        <f>Table10[[#This Row],[Profit]]/Table10[[#This Row],[Sales]]</f>
        <v>0.36249999999999999</v>
      </c>
    </row>
    <row r="728" spans="1:22" x14ac:dyDescent="0.2">
      <c r="A728">
        <v>727</v>
      </c>
      <c r="B728" t="s">
        <v>9521</v>
      </c>
      <c r="C728" s="1">
        <v>42521</v>
      </c>
      <c r="D728" s="22">
        <f>MONTH(Table10[[#This Row],[Order Date]])</f>
        <v>5</v>
      </c>
      <c r="E728" t="s">
        <v>5463</v>
      </c>
      <c r="F728" t="s">
        <v>5464</v>
      </c>
      <c r="G728" s="23" t="s">
        <v>28</v>
      </c>
      <c r="H728" s="23" t="s">
        <v>32</v>
      </c>
      <c r="I728" t="s">
        <v>3286</v>
      </c>
      <c r="J728" t="s">
        <v>22</v>
      </c>
      <c r="K728" s="22">
        <v>3</v>
      </c>
      <c r="L728" s="1">
        <v>42525</v>
      </c>
      <c r="M728" s="22">
        <f>Table10[[#This Row],[Ship Date]]-Table10[[#This Row],[Order Date]]</f>
        <v>4</v>
      </c>
      <c r="N728" t="s">
        <v>45</v>
      </c>
      <c r="O728" t="s">
        <v>23</v>
      </c>
      <c r="P728" t="s">
        <v>189</v>
      </c>
      <c r="Q728" t="s">
        <v>95</v>
      </c>
      <c r="R728" t="s">
        <v>319</v>
      </c>
      <c r="S728" s="33">
        <v>0.3</v>
      </c>
      <c r="T728" s="13">
        <v>191.07900000000001</v>
      </c>
      <c r="U728" s="13">
        <v>-38.215800000000002</v>
      </c>
      <c r="V728" s="21">
        <f>Table10[[#This Row],[Profit]]/Table10[[#This Row],[Sales]]</f>
        <v>-0.2</v>
      </c>
    </row>
    <row r="729" spans="1:22" x14ac:dyDescent="0.2">
      <c r="A729">
        <v>728</v>
      </c>
      <c r="B729" t="s">
        <v>9521</v>
      </c>
      <c r="C729" s="1">
        <v>42521</v>
      </c>
      <c r="D729" s="22">
        <f>MONTH(Table10[[#This Row],[Order Date]])</f>
        <v>5</v>
      </c>
      <c r="E729" t="s">
        <v>2574</v>
      </c>
      <c r="F729" t="s">
        <v>2575</v>
      </c>
      <c r="G729" s="23" t="s">
        <v>41</v>
      </c>
      <c r="H729" s="23" t="s">
        <v>82</v>
      </c>
      <c r="I729" t="s">
        <v>3286</v>
      </c>
      <c r="J729" t="s">
        <v>22</v>
      </c>
      <c r="K729" s="22">
        <v>2</v>
      </c>
      <c r="L729" s="1">
        <v>42525</v>
      </c>
      <c r="M729" s="22">
        <f>Table10[[#This Row],[Ship Date]]-Table10[[#This Row],[Order Date]]</f>
        <v>4</v>
      </c>
      <c r="N729" t="s">
        <v>45</v>
      </c>
      <c r="O729" t="s">
        <v>23</v>
      </c>
      <c r="P729" t="s">
        <v>189</v>
      </c>
      <c r="Q729" t="s">
        <v>95</v>
      </c>
      <c r="R729" t="s">
        <v>319</v>
      </c>
      <c r="S729" s="33">
        <v>0.2</v>
      </c>
      <c r="T729" s="13">
        <v>10.368</v>
      </c>
      <c r="U729" s="13">
        <v>3.6288</v>
      </c>
      <c r="V729" s="21">
        <f>Table10[[#This Row],[Profit]]/Table10[[#This Row],[Sales]]</f>
        <v>0.35</v>
      </c>
    </row>
    <row r="730" spans="1:22" x14ac:dyDescent="0.2">
      <c r="A730">
        <v>729</v>
      </c>
      <c r="B730" t="s">
        <v>9957</v>
      </c>
      <c r="C730" s="1">
        <v>42521</v>
      </c>
      <c r="D730" s="22">
        <f>MONTH(Table10[[#This Row],[Order Date]])</f>
        <v>5</v>
      </c>
      <c r="E730" t="s">
        <v>396</v>
      </c>
      <c r="F730" t="s">
        <v>397</v>
      </c>
      <c r="G730" s="23" t="s">
        <v>41</v>
      </c>
      <c r="H730" s="23" t="s">
        <v>68</v>
      </c>
      <c r="I730" t="s">
        <v>2850</v>
      </c>
      <c r="J730" t="s">
        <v>22</v>
      </c>
      <c r="K730" s="22">
        <v>3</v>
      </c>
      <c r="L730" s="1">
        <v>42527</v>
      </c>
      <c r="M730" s="22">
        <f>Table10[[#This Row],[Ship Date]]-Table10[[#This Row],[Order Date]]</f>
        <v>6</v>
      </c>
      <c r="N730" t="s">
        <v>45</v>
      </c>
      <c r="O730" t="s">
        <v>23</v>
      </c>
      <c r="P730" t="s">
        <v>238</v>
      </c>
      <c r="Q730" t="s">
        <v>133</v>
      </c>
      <c r="R730" t="s">
        <v>237</v>
      </c>
      <c r="S730" s="33">
        <v>0.2</v>
      </c>
      <c r="T730" s="13">
        <v>7.1520000000000001</v>
      </c>
      <c r="U730" s="13">
        <v>2.3243999999999998</v>
      </c>
      <c r="V730" s="21">
        <f>Table10[[#This Row],[Profit]]/Table10[[#This Row],[Sales]]</f>
        <v>0.32499999999999996</v>
      </c>
    </row>
    <row r="731" spans="1:22" x14ac:dyDescent="0.2">
      <c r="A731">
        <v>730</v>
      </c>
      <c r="B731" t="s">
        <v>9957</v>
      </c>
      <c r="C731" s="1">
        <v>42521</v>
      </c>
      <c r="D731" s="22">
        <f>MONTH(Table10[[#This Row],[Order Date]])</f>
        <v>5</v>
      </c>
      <c r="E731" t="s">
        <v>6434</v>
      </c>
      <c r="F731" t="s">
        <v>6435</v>
      </c>
      <c r="G731" s="23" t="s">
        <v>64</v>
      </c>
      <c r="H731" s="23" t="s">
        <v>65</v>
      </c>
      <c r="I731" t="s">
        <v>2850</v>
      </c>
      <c r="J731" t="s">
        <v>22</v>
      </c>
      <c r="K731" s="22">
        <v>6</v>
      </c>
      <c r="L731" s="1">
        <v>42527</v>
      </c>
      <c r="M731" s="22">
        <f>Table10[[#This Row],[Ship Date]]-Table10[[#This Row],[Order Date]]</f>
        <v>6</v>
      </c>
      <c r="N731" t="s">
        <v>45</v>
      </c>
      <c r="O731" t="s">
        <v>23</v>
      </c>
      <c r="P731" t="s">
        <v>238</v>
      </c>
      <c r="Q731" t="s">
        <v>133</v>
      </c>
      <c r="R731" t="s">
        <v>237</v>
      </c>
      <c r="S731" s="33">
        <v>0</v>
      </c>
      <c r="T731" s="13">
        <v>179.7</v>
      </c>
      <c r="U731" s="13">
        <v>88.052999999999997</v>
      </c>
      <c r="V731" s="21">
        <f>Table10[[#This Row],[Profit]]/Table10[[#This Row],[Sales]]</f>
        <v>0.49</v>
      </c>
    </row>
    <row r="732" spans="1:22" x14ac:dyDescent="0.2">
      <c r="A732">
        <v>731</v>
      </c>
      <c r="B732" t="s">
        <v>5374</v>
      </c>
      <c r="C732" s="1">
        <v>42523</v>
      </c>
      <c r="D732" s="22">
        <f>MONTH(Table10[[#This Row],[Order Date]])</f>
        <v>6</v>
      </c>
      <c r="E732" t="s">
        <v>1572</v>
      </c>
      <c r="F732" t="s">
        <v>1573</v>
      </c>
      <c r="G732" s="23" t="s">
        <v>41</v>
      </c>
      <c r="H732" s="23" t="s">
        <v>53</v>
      </c>
      <c r="I732" t="s">
        <v>2519</v>
      </c>
      <c r="J732" t="s">
        <v>36</v>
      </c>
      <c r="K732" s="22">
        <v>1</v>
      </c>
      <c r="L732" s="1">
        <v>42526</v>
      </c>
      <c r="M732" s="22">
        <f>Table10[[#This Row],[Ship Date]]-Table10[[#This Row],[Order Date]]</f>
        <v>3</v>
      </c>
      <c r="N732" t="s">
        <v>169</v>
      </c>
      <c r="O732" t="s">
        <v>23</v>
      </c>
      <c r="P732" t="s">
        <v>132</v>
      </c>
      <c r="Q732" t="s">
        <v>133</v>
      </c>
      <c r="R732" t="s">
        <v>131</v>
      </c>
      <c r="S732" s="33">
        <v>0.2</v>
      </c>
      <c r="T732" s="13">
        <v>64.784000000000006</v>
      </c>
      <c r="U732" s="13">
        <v>-12.956799999999999</v>
      </c>
      <c r="V732" s="21">
        <f>Table10[[#This Row],[Profit]]/Table10[[#This Row],[Sales]]</f>
        <v>-0.19999999999999998</v>
      </c>
    </row>
    <row r="733" spans="1:22" x14ac:dyDescent="0.2">
      <c r="A733">
        <v>732</v>
      </c>
      <c r="B733" t="s">
        <v>8572</v>
      </c>
      <c r="C733" s="1">
        <v>42523</v>
      </c>
      <c r="D733" s="22">
        <f>MONTH(Table10[[#This Row],[Order Date]])</f>
        <v>6</v>
      </c>
      <c r="E733" t="s">
        <v>6338</v>
      </c>
      <c r="F733" t="s">
        <v>6339</v>
      </c>
      <c r="G733" s="23" t="s">
        <v>41</v>
      </c>
      <c r="H733" s="23" t="s">
        <v>82</v>
      </c>
      <c r="I733" t="s">
        <v>4217</v>
      </c>
      <c r="J733" t="s">
        <v>36</v>
      </c>
      <c r="K733" s="22">
        <v>3</v>
      </c>
      <c r="L733" s="1">
        <v>42527</v>
      </c>
      <c r="M733" s="22">
        <f>Table10[[#This Row],[Ship Date]]-Table10[[#This Row],[Order Date]]</f>
        <v>4</v>
      </c>
      <c r="N733" t="s">
        <v>45</v>
      </c>
      <c r="O733" t="s">
        <v>23</v>
      </c>
      <c r="P733" t="s">
        <v>87</v>
      </c>
      <c r="Q733" t="s">
        <v>39</v>
      </c>
      <c r="R733" t="s">
        <v>86</v>
      </c>
      <c r="S733" s="33">
        <v>0</v>
      </c>
      <c r="T733" s="13">
        <v>30.18</v>
      </c>
      <c r="U733" s="13">
        <v>13.8828</v>
      </c>
      <c r="V733" s="21">
        <f>Table10[[#This Row],[Profit]]/Table10[[#This Row],[Sales]]</f>
        <v>0.45999999999999996</v>
      </c>
    </row>
    <row r="734" spans="1:22" x14ac:dyDescent="0.2">
      <c r="A734">
        <v>733</v>
      </c>
      <c r="B734" t="s">
        <v>8572</v>
      </c>
      <c r="C734" s="1">
        <v>42523</v>
      </c>
      <c r="D734" s="22">
        <f>MONTH(Table10[[#This Row],[Order Date]])</f>
        <v>6</v>
      </c>
      <c r="E734" t="s">
        <v>263</v>
      </c>
      <c r="F734" t="s">
        <v>264</v>
      </c>
      <c r="G734" s="23" t="s">
        <v>41</v>
      </c>
      <c r="H734" s="23" t="s">
        <v>68</v>
      </c>
      <c r="I734" t="s">
        <v>4217</v>
      </c>
      <c r="J734" t="s">
        <v>36</v>
      </c>
      <c r="K734" s="22">
        <v>12</v>
      </c>
      <c r="L734" s="1">
        <v>42527</v>
      </c>
      <c r="M734" s="22">
        <f>Table10[[#This Row],[Ship Date]]-Table10[[#This Row],[Order Date]]</f>
        <v>4</v>
      </c>
      <c r="N734" t="s">
        <v>45</v>
      </c>
      <c r="O734" t="s">
        <v>23</v>
      </c>
      <c r="P734" t="s">
        <v>87</v>
      </c>
      <c r="Q734" t="s">
        <v>39</v>
      </c>
      <c r="R734" t="s">
        <v>86</v>
      </c>
      <c r="S734" s="33">
        <v>0.2</v>
      </c>
      <c r="T734" s="13">
        <v>51.648000000000003</v>
      </c>
      <c r="U734" s="13">
        <v>18.7224</v>
      </c>
      <c r="V734" s="21">
        <f>Table10[[#This Row],[Profit]]/Table10[[#This Row],[Sales]]</f>
        <v>0.36249999999999999</v>
      </c>
    </row>
    <row r="735" spans="1:22" x14ac:dyDescent="0.2">
      <c r="A735">
        <v>734</v>
      </c>
      <c r="B735" t="s">
        <v>8572</v>
      </c>
      <c r="C735" s="1">
        <v>42523</v>
      </c>
      <c r="D735" s="22">
        <f>MONTH(Table10[[#This Row],[Order Date]])</f>
        <v>6</v>
      </c>
      <c r="E735" t="s">
        <v>2074</v>
      </c>
      <c r="F735" t="s">
        <v>2075</v>
      </c>
      <c r="G735" s="23" t="s">
        <v>41</v>
      </c>
      <c r="H735" s="23" t="s">
        <v>68</v>
      </c>
      <c r="I735" t="s">
        <v>4217</v>
      </c>
      <c r="J735" t="s">
        <v>36</v>
      </c>
      <c r="K735" s="22">
        <v>3</v>
      </c>
      <c r="L735" s="1">
        <v>42527</v>
      </c>
      <c r="M735" s="22">
        <f>Table10[[#This Row],[Ship Date]]-Table10[[#This Row],[Order Date]]</f>
        <v>4</v>
      </c>
      <c r="N735" t="s">
        <v>45</v>
      </c>
      <c r="O735" t="s">
        <v>23</v>
      </c>
      <c r="P735" t="s">
        <v>87</v>
      </c>
      <c r="Q735" t="s">
        <v>39</v>
      </c>
      <c r="R735" t="s">
        <v>86</v>
      </c>
      <c r="S735" s="33">
        <v>0.2</v>
      </c>
      <c r="T735" s="13">
        <v>11.231999999999999</v>
      </c>
      <c r="U735" s="13">
        <v>3.9312</v>
      </c>
      <c r="V735" s="21">
        <f>Table10[[#This Row],[Profit]]/Table10[[#This Row],[Sales]]</f>
        <v>0.35000000000000003</v>
      </c>
    </row>
    <row r="736" spans="1:22" x14ac:dyDescent="0.2">
      <c r="A736">
        <v>735</v>
      </c>
      <c r="B736" t="s">
        <v>10117</v>
      </c>
      <c r="C736" s="1">
        <v>42524</v>
      </c>
      <c r="D736" s="22">
        <f>MONTH(Table10[[#This Row],[Order Date]])</f>
        <v>6</v>
      </c>
      <c r="E736" t="s">
        <v>3358</v>
      </c>
      <c r="F736" t="s">
        <v>3359</v>
      </c>
      <c r="G736" s="23" t="s">
        <v>28</v>
      </c>
      <c r="H736" s="23" t="s">
        <v>50</v>
      </c>
      <c r="I736" t="s">
        <v>2118</v>
      </c>
      <c r="J736" t="s">
        <v>36</v>
      </c>
      <c r="K736" s="22">
        <v>2</v>
      </c>
      <c r="L736" s="1">
        <v>42527</v>
      </c>
      <c r="M736" s="22">
        <f>Table10[[#This Row],[Ship Date]]-Table10[[#This Row],[Order Date]]</f>
        <v>3</v>
      </c>
      <c r="N736" t="s">
        <v>20</v>
      </c>
      <c r="O736" t="s">
        <v>23</v>
      </c>
      <c r="P736" t="s">
        <v>38</v>
      </c>
      <c r="Q736" t="s">
        <v>39</v>
      </c>
      <c r="R736" t="s">
        <v>37</v>
      </c>
      <c r="S736" s="33">
        <v>0.2</v>
      </c>
      <c r="T736" s="13">
        <v>71.087999999999994</v>
      </c>
      <c r="U736" s="13">
        <v>-1.7771999999999999</v>
      </c>
      <c r="V736" s="21">
        <f>Table10[[#This Row],[Profit]]/Table10[[#This Row],[Sales]]</f>
        <v>-2.5000000000000001E-2</v>
      </c>
    </row>
    <row r="737" spans="1:22" x14ac:dyDescent="0.2">
      <c r="A737">
        <v>736</v>
      </c>
      <c r="B737" t="s">
        <v>282</v>
      </c>
      <c r="C737" s="1">
        <v>42525</v>
      </c>
      <c r="D737" s="22">
        <f>MONTH(Table10[[#This Row],[Order Date]])</f>
        <v>6</v>
      </c>
      <c r="E737" t="s">
        <v>286</v>
      </c>
      <c r="F737" t="s">
        <v>287</v>
      </c>
      <c r="G737" s="23" t="s">
        <v>41</v>
      </c>
      <c r="H737" s="23" t="s">
        <v>82</v>
      </c>
      <c r="I737" t="s">
        <v>283</v>
      </c>
      <c r="J737" t="s">
        <v>22</v>
      </c>
      <c r="K737" s="22">
        <v>2</v>
      </c>
      <c r="L737" s="1">
        <v>42527</v>
      </c>
      <c r="M737" s="22">
        <f>Table10[[#This Row],[Ship Date]]-Table10[[#This Row],[Order Date]]</f>
        <v>2</v>
      </c>
      <c r="N737" t="s">
        <v>169</v>
      </c>
      <c r="O737" t="s">
        <v>23</v>
      </c>
      <c r="P737" t="s">
        <v>285</v>
      </c>
      <c r="Q737" t="s">
        <v>26</v>
      </c>
      <c r="R737" t="s">
        <v>284</v>
      </c>
      <c r="S737" s="33">
        <v>0</v>
      </c>
      <c r="T737" s="13">
        <v>75.88</v>
      </c>
      <c r="U737" s="13">
        <v>35.663600000000002</v>
      </c>
      <c r="V737" s="21">
        <f>Table10[[#This Row],[Profit]]/Table10[[#This Row],[Sales]]</f>
        <v>0.47000000000000008</v>
      </c>
    </row>
    <row r="738" spans="1:22" x14ac:dyDescent="0.2">
      <c r="A738">
        <v>737</v>
      </c>
      <c r="B738" t="s">
        <v>807</v>
      </c>
      <c r="C738" s="1">
        <v>42525</v>
      </c>
      <c r="D738" s="22">
        <f>MONTH(Table10[[#This Row],[Order Date]])</f>
        <v>6</v>
      </c>
      <c r="E738" t="s">
        <v>809</v>
      </c>
      <c r="F738" t="s">
        <v>810</v>
      </c>
      <c r="G738" s="23" t="s">
        <v>41</v>
      </c>
      <c r="H738" s="23" t="s">
        <v>82</v>
      </c>
      <c r="I738" t="s">
        <v>808</v>
      </c>
      <c r="J738" t="s">
        <v>22</v>
      </c>
      <c r="K738" s="22">
        <v>5</v>
      </c>
      <c r="L738" s="1">
        <v>42530</v>
      </c>
      <c r="M738" s="22">
        <f>Table10[[#This Row],[Ship Date]]-Table10[[#This Row],[Order Date]]</f>
        <v>5</v>
      </c>
      <c r="N738" t="s">
        <v>20</v>
      </c>
      <c r="O738" t="s">
        <v>23</v>
      </c>
      <c r="P738" t="s">
        <v>189</v>
      </c>
      <c r="Q738" t="s">
        <v>95</v>
      </c>
      <c r="R738" t="s">
        <v>271</v>
      </c>
      <c r="S738" s="33">
        <v>0.2</v>
      </c>
      <c r="T738" s="13">
        <v>25.92</v>
      </c>
      <c r="U738" s="13">
        <v>9.3960000000000008</v>
      </c>
      <c r="V738" s="21">
        <f>Table10[[#This Row],[Profit]]/Table10[[#This Row],[Sales]]</f>
        <v>0.36249999999999999</v>
      </c>
    </row>
    <row r="739" spans="1:22" x14ac:dyDescent="0.2">
      <c r="A739">
        <v>738</v>
      </c>
      <c r="B739" t="s">
        <v>807</v>
      </c>
      <c r="C739" s="1">
        <v>42525</v>
      </c>
      <c r="D739" s="22">
        <f>MONTH(Table10[[#This Row],[Order Date]])</f>
        <v>6</v>
      </c>
      <c r="E739" t="s">
        <v>811</v>
      </c>
      <c r="F739" t="s">
        <v>812</v>
      </c>
      <c r="G739" s="23" t="s">
        <v>28</v>
      </c>
      <c r="H739" s="23" t="s">
        <v>58</v>
      </c>
      <c r="I739" t="s">
        <v>808</v>
      </c>
      <c r="J739" t="s">
        <v>22</v>
      </c>
      <c r="K739" s="22">
        <v>5</v>
      </c>
      <c r="L739" s="1">
        <v>42530</v>
      </c>
      <c r="M739" s="22">
        <f>Table10[[#This Row],[Ship Date]]-Table10[[#This Row],[Order Date]]</f>
        <v>5</v>
      </c>
      <c r="N739" t="s">
        <v>20</v>
      </c>
      <c r="O739" t="s">
        <v>23</v>
      </c>
      <c r="P739" t="s">
        <v>189</v>
      </c>
      <c r="Q739" t="s">
        <v>95</v>
      </c>
      <c r="R739" t="s">
        <v>271</v>
      </c>
      <c r="S739" s="33">
        <v>0.6</v>
      </c>
      <c r="T739" s="13">
        <v>419.68</v>
      </c>
      <c r="U739" s="13">
        <v>-356.72800000000001</v>
      </c>
      <c r="V739" s="21">
        <f>Table10[[#This Row],[Profit]]/Table10[[#This Row],[Sales]]</f>
        <v>-0.85</v>
      </c>
    </row>
    <row r="740" spans="1:22" x14ac:dyDescent="0.2">
      <c r="A740">
        <v>739</v>
      </c>
      <c r="B740" t="s">
        <v>807</v>
      </c>
      <c r="C740" s="1">
        <v>42525</v>
      </c>
      <c r="D740" s="22">
        <f>MONTH(Table10[[#This Row],[Order Date]])</f>
        <v>6</v>
      </c>
      <c r="E740" t="s">
        <v>813</v>
      </c>
      <c r="F740" t="s">
        <v>814</v>
      </c>
      <c r="G740" s="23" t="s">
        <v>28</v>
      </c>
      <c r="H740" s="23" t="s">
        <v>58</v>
      </c>
      <c r="I740" t="s">
        <v>808</v>
      </c>
      <c r="J740" t="s">
        <v>22</v>
      </c>
      <c r="K740" s="22">
        <v>3</v>
      </c>
      <c r="L740" s="1">
        <v>42530</v>
      </c>
      <c r="M740" s="22">
        <f>Table10[[#This Row],[Ship Date]]-Table10[[#This Row],[Order Date]]</f>
        <v>5</v>
      </c>
      <c r="N740" t="s">
        <v>20</v>
      </c>
      <c r="O740" t="s">
        <v>23</v>
      </c>
      <c r="P740" t="s">
        <v>189</v>
      </c>
      <c r="Q740" t="s">
        <v>95</v>
      </c>
      <c r="R740" t="s">
        <v>271</v>
      </c>
      <c r="S740" s="33">
        <v>0.6</v>
      </c>
      <c r="T740" s="13">
        <v>11.688000000000001</v>
      </c>
      <c r="U740" s="13">
        <v>-4.6752000000000002</v>
      </c>
      <c r="V740" s="21">
        <f>Table10[[#This Row],[Profit]]/Table10[[#This Row],[Sales]]</f>
        <v>-0.4</v>
      </c>
    </row>
    <row r="741" spans="1:22" x14ac:dyDescent="0.2">
      <c r="A741">
        <v>740</v>
      </c>
      <c r="B741" t="s">
        <v>807</v>
      </c>
      <c r="C741" s="1">
        <v>42525</v>
      </c>
      <c r="D741" s="22">
        <f>MONTH(Table10[[#This Row],[Order Date]])</f>
        <v>6</v>
      </c>
      <c r="E741" t="s">
        <v>815</v>
      </c>
      <c r="F741" t="s">
        <v>816</v>
      </c>
      <c r="G741" s="23" t="s">
        <v>64</v>
      </c>
      <c r="H741" s="23" t="s">
        <v>65</v>
      </c>
      <c r="I741" t="s">
        <v>808</v>
      </c>
      <c r="J741" t="s">
        <v>22</v>
      </c>
      <c r="K741" s="22">
        <v>2</v>
      </c>
      <c r="L741" s="1">
        <v>42530</v>
      </c>
      <c r="M741" s="22">
        <f>Table10[[#This Row],[Ship Date]]-Table10[[#This Row],[Order Date]]</f>
        <v>5</v>
      </c>
      <c r="N741" t="s">
        <v>20</v>
      </c>
      <c r="O741" t="s">
        <v>23</v>
      </c>
      <c r="P741" t="s">
        <v>189</v>
      </c>
      <c r="Q741" t="s">
        <v>95</v>
      </c>
      <c r="R741" t="s">
        <v>271</v>
      </c>
      <c r="S741" s="33">
        <v>0.2</v>
      </c>
      <c r="T741" s="13">
        <v>31.984000000000002</v>
      </c>
      <c r="U741" s="13">
        <v>11.1944</v>
      </c>
      <c r="V741" s="21">
        <f>Table10[[#This Row],[Profit]]/Table10[[#This Row],[Sales]]</f>
        <v>0.35</v>
      </c>
    </row>
    <row r="742" spans="1:22" x14ac:dyDescent="0.2">
      <c r="A742">
        <v>741</v>
      </c>
      <c r="B742" t="s">
        <v>807</v>
      </c>
      <c r="C742" s="1">
        <v>42525</v>
      </c>
      <c r="D742" s="22">
        <f>MONTH(Table10[[#This Row],[Order Date]])</f>
        <v>6</v>
      </c>
      <c r="E742" t="s">
        <v>817</v>
      </c>
      <c r="F742" t="s">
        <v>818</v>
      </c>
      <c r="G742" s="23" t="s">
        <v>28</v>
      </c>
      <c r="H742" s="23" t="s">
        <v>50</v>
      </c>
      <c r="I742" t="s">
        <v>808</v>
      </c>
      <c r="J742" t="s">
        <v>22</v>
      </c>
      <c r="K742" s="22">
        <v>5</v>
      </c>
      <c r="L742" s="1">
        <v>42530</v>
      </c>
      <c r="M742" s="22">
        <f>Table10[[#This Row],[Ship Date]]-Table10[[#This Row],[Order Date]]</f>
        <v>5</v>
      </c>
      <c r="N742" t="s">
        <v>20</v>
      </c>
      <c r="O742" t="s">
        <v>23</v>
      </c>
      <c r="P742" t="s">
        <v>189</v>
      </c>
      <c r="Q742" t="s">
        <v>95</v>
      </c>
      <c r="R742" t="s">
        <v>271</v>
      </c>
      <c r="S742" s="33">
        <v>0.5</v>
      </c>
      <c r="T742" s="13">
        <v>177.22499999999999</v>
      </c>
      <c r="U742" s="13">
        <v>-120.51300000000001</v>
      </c>
      <c r="V742" s="21">
        <f>Table10[[#This Row],[Profit]]/Table10[[#This Row],[Sales]]</f>
        <v>-0.68</v>
      </c>
    </row>
    <row r="743" spans="1:22" x14ac:dyDescent="0.2">
      <c r="A743">
        <v>742</v>
      </c>
      <c r="B743" t="s">
        <v>807</v>
      </c>
      <c r="C743" s="1">
        <v>42525</v>
      </c>
      <c r="D743" s="22">
        <f>MONTH(Table10[[#This Row],[Order Date]])</f>
        <v>6</v>
      </c>
      <c r="E743" t="s">
        <v>819</v>
      </c>
      <c r="F743" t="s">
        <v>820</v>
      </c>
      <c r="G743" s="23" t="s">
        <v>28</v>
      </c>
      <c r="H743" s="23" t="s">
        <v>58</v>
      </c>
      <c r="I743" t="s">
        <v>808</v>
      </c>
      <c r="J743" t="s">
        <v>22</v>
      </c>
      <c r="K743" s="22">
        <v>3</v>
      </c>
      <c r="L743" s="1">
        <v>42530</v>
      </c>
      <c r="M743" s="22">
        <f>Table10[[#This Row],[Ship Date]]-Table10[[#This Row],[Order Date]]</f>
        <v>5</v>
      </c>
      <c r="N743" t="s">
        <v>20</v>
      </c>
      <c r="O743" t="s">
        <v>23</v>
      </c>
      <c r="P743" t="s">
        <v>189</v>
      </c>
      <c r="Q743" t="s">
        <v>95</v>
      </c>
      <c r="R743" t="s">
        <v>271</v>
      </c>
      <c r="S743" s="33">
        <v>0.6</v>
      </c>
      <c r="T743" s="13">
        <v>4.0439999999999996</v>
      </c>
      <c r="U743" s="13">
        <v>-2.8308</v>
      </c>
      <c r="V743" s="21">
        <f>Table10[[#This Row],[Profit]]/Table10[[#This Row],[Sales]]</f>
        <v>-0.70000000000000007</v>
      </c>
    </row>
    <row r="744" spans="1:22" x14ac:dyDescent="0.2">
      <c r="A744">
        <v>743</v>
      </c>
      <c r="B744" t="s">
        <v>807</v>
      </c>
      <c r="C744" s="1">
        <v>42525</v>
      </c>
      <c r="D744" s="22">
        <f>MONTH(Table10[[#This Row],[Order Date]])</f>
        <v>6</v>
      </c>
      <c r="E744" t="s">
        <v>688</v>
      </c>
      <c r="F744" t="s">
        <v>689</v>
      </c>
      <c r="G744" s="23" t="s">
        <v>41</v>
      </c>
      <c r="H744" s="23" t="s">
        <v>61</v>
      </c>
      <c r="I744" t="s">
        <v>808</v>
      </c>
      <c r="J744" t="s">
        <v>22</v>
      </c>
      <c r="K744" s="22">
        <v>2</v>
      </c>
      <c r="L744" s="1">
        <v>42530</v>
      </c>
      <c r="M744" s="22">
        <f>Table10[[#This Row],[Ship Date]]-Table10[[#This Row],[Order Date]]</f>
        <v>5</v>
      </c>
      <c r="N744" t="s">
        <v>20</v>
      </c>
      <c r="O744" t="s">
        <v>23</v>
      </c>
      <c r="P744" t="s">
        <v>189</v>
      </c>
      <c r="Q744" t="s">
        <v>95</v>
      </c>
      <c r="R744" t="s">
        <v>271</v>
      </c>
      <c r="S744" s="33">
        <v>0.2</v>
      </c>
      <c r="T744" s="13">
        <v>7.4080000000000004</v>
      </c>
      <c r="U744" s="13">
        <v>1.2038</v>
      </c>
      <c r="V744" s="21">
        <f>Table10[[#This Row],[Profit]]/Table10[[#This Row],[Sales]]</f>
        <v>0.16249999999999998</v>
      </c>
    </row>
    <row r="745" spans="1:22" x14ac:dyDescent="0.2">
      <c r="A745">
        <v>744</v>
      </c>
      <c r="B745" t="s">
        <v>5081</v>
      </c>
      <c r="C745" s="1">
        <v>42525</v>
      </c>
      <c r="D745" s="22">
        <f>MONTH(Table10[[#This Row],[Order Date]])</f>
        <v>6</v>
      </c>
      <c r="E745" t="s">
        <v>2802</v>
      </c>
      <c r="F745" t="s">
        <v>167</v>
      </c>
      <c r="G745" s="23" t="s">
        <v>41</v>
      </c>
      <c r="H745" s="23" t="s">
        <v>82</v>
      </c>
      <c r="I745" t="s">
        <v>5082</v>
      </c>
      <c r="J745" t="s">
        <v>22</v>
      </c>
      <c r="K745" s="22">
        <v>3</v>
      </c>
      <c r="L745" s="1">
        <v>42525</v>
      </c>
      <c r="M745" s="22">
        <f>Table10[[#This Row],[Ship Date]]-Table10[[#This Row],[Order Date]]</f>
        <v>0</v>
      </c>
      <c r="N745" t="s">
        <v>1141</v>
      </c>
      <c r="O745" t="s">
        <v>23</v>
      </c>
      <c r="P745" t="s">
        <v>238</v>
      </c>
      <c r="Q745" t="s">
        <v>133</v>
      </c>
      <c r="R745" t="s">
        <v>237</v>
      </c>
      <c r="S745" s="33">
        <v>0</v>
      </c>
      <c r="T745" s="13">
        <v>14.94</v>
      </c>
      <c r="U745" s="13">
        <v>7.0217999999999998</v>
      </c>
      <c r="V745" s="21">
        <f>Table10[[#This Row],[Profit]]/Table10[[#This Row],[Sales]]</f>
        <v>0.47000000000000003</v>
      </c>
    </row>
    <row r="746" spans="1:22" x14ac:dyDescent="0.2">
      <c r="A746">
        <v>745</v>
      </c>
      <c r="B746" t="s">
        <v>5081</v>
      </c>
      <c r="C746" s="1">
        <v>42525</v>
      </c>
      <c r="D746" s="22">
        <f>MONTH(Table10[[#This Row],[Order Date]])</f>
        <v>6</v>
      </c>
      <c r="E746" t="s">
        <v>5083</v>
      </c>
      <c r="F746" t="s">
        <v>5084</v>
      </c>
      <c r="G746" s="23" t="s">
        <v>64</v>
      </c>
      <c r="H746" s="23" t="s">
        <v>602</v>
      </c>
      <c r="I746" t="s">
        <v>5082</v>
      </c>
      <c r="J746" t="s">
        <v>22</v>
      </c>
      <c r="K746" s="22">
        <v>3</v>
      </c>
      <c r="L746" s="1">
        <v>42525</v>
      </c>
      <c r="M746" s="22">
        <f>Table10[[#This Row],[Ship Date]]-Table10[[#This Row],[Order Date]]</f>
        <v>0</v>
      </c>
      <c r="N746" t="s">
        <v>1141</v>
      </c>
      <c r="O746" t="s">
        <v>23</v>
      </c>
      <c r="P746" t="s">
        <v>238</v>
      </c>
      <c r="Q746" t="s">
        <v>133</v>
      </c>
      <c r="R746" t="s">
        <v>237</v>
      </c>
      <c r="S746" s="33">
        <v>0</v>
      </c>
      <c r="T746" s="13">
        <v>1349.85</v>
      </c>
      <c r="U746" s="13">
        <v>364.45949999999999</v>
      </c>
      <c r="V746" s="21">
        <f>Table10[[#This Row],[Profit]]/Table10[[#This Row],[Sales]]</f>
        <v>0.27</v>
      </c>
    </row>
    <row r="747" spans="1:22" x14ac:dyDescent="0.2">
      <c r="A747">
        <v>746</v>
      </c>
      <c r="B747" t="s">
        <v>5081</v>
      </c>
      <c r="C747" s="1">
        <v>42525</v>
      </c>
      <c r="D747" s="22">
        <f>MONTH(Table10[[#This Row],[Order Date]])</f>
        <v>6</v>
      </c>
      <c r="E747" t="s">
        <v>3711</v>
      </c>
      <c r="F747" t="s">
        <v>3712</v>
      </c>
      <c r="G747" s="23" t="s">
        <v>28</v>
      </c>
      <c r="H747" s="23" t="s">
        <v>29</v>
      </c>
      <c r="I747" t="s">
        <v>5082</v>
      </c>
      <c r="J747" t="s">
        <v>22</v>
      </c>
      <c r="K747" s="22">
        <v>1</v>
      </c>
      <c r="L747" s="1">
        <v>42525</v>
      </c>
      <c r="M747" s="22">
        <f>Table10[[#This Row],[Ship Date]]-Table10[[#This Row],[Order Date]]</f>
        <v>0</v>
      </c>
      <c r="N747" t="s">
        <v>1141</v>
      </c>
      <c r="O747" t="s">
        <v>23</v>
      </c>
      <c r="P747" t="s">
        <v>238</v>
      </c>
      <c r="Q747" t="s">
        <v>133</v>
      </c>
      <c r="R747" t="s">
        <v>237</v>
      </c>
      <c r="S747" s="33">
        <v>0.2</v>
      </c>
      <c r="T747" s="13">
        <v>136.78399999999999</v>
      </c>
      <c r="U747" s="13">
        <v>5.1294000000000004</v>
      </c>
      <c r="V747" s="21">
        <f>Table10[[#This Row],[Profit]]/Table10[[#This Row],[Sales]]</f>
        <v>3.7500000000000006E-2</v>
      </c>
    </row>
    <row r="748" spans="1:22" x14ac:dyDescent="0.2">
      <c r="A748">
        <v>747</v>
      </c>
      <c r="B748" t="s">
        <v>5081</v>
      </c>
      <c r="C748" s="1">
        <v>42525</v>
      </c>
      <c r="D748" s="22">
        <f>MONTH(Table10[[#This Row],[Order Date]])</f>
        <v>6</v>
      </c>
      <c r="E748" t="s">
        <v>2316</v>
      </c>
      <c r="F748" t="s">
        <v>2317</v>
      </c>
      <c r="G748" s="23" t="s">
        <v>28</v>
      </c>
      <c r="H748" s="23" t="s">
        <v>58</v>
      </c>
      <c r="I748" t="s">
        <v>5082</v>
      </c>
      <c r="J748" t="s">
        <v>22</v>
      </c>
      <c r="K748" s="22">
        <v>4</v>
      </c>
      <c r="L748" s="1">
        <v>42525</v>
      </c>
      <c r="M748" s="22">
        <f>Table10[[#This Row],[Ship Date]]-Table10[[#This Row],[Order Date]]</f>
        <v>0</v>
      </c>
      <c r="N748" t="s">
        <v>1141</v>
      </c>
      <c r="O748" t="s">
        <v>23</v>
      </c>
      <c r="P748" t="s">
        <v>238</v>
      </c>
      <c r="Q748" t="s">
        <v>133</v>
      </c>
      <c r="R748" t="s">
        <v>237</v>
      </c>
      <c r="S748" s="33">
        <v>0</v>
      </c>
      <c r="T748" s="13">
        <v>61.12</v>
      </c>
      <c r="U748" s="13">
        <v>20.780799999999999</v>
      </c>
      <c r="V748" s="21">
        <f>Table10[[#This Row],[Profit]]/Table10[[#This Row],[Sales]]</f>
        <v>0.34</v>
      </c>
    </row>
    <row r="749" spans="1:22" x14ac:dyDescent="0.2">
      <c r="A749">
        <v>748</v>
      </c>
      <c r="B749" t="s">
        <v>2889</v>
      </c>
      <c r="C749" s="1">
        <v>42526</v>
      </c>
      <c r="D749" s="22">
        <f>MONTH(Table10[[#This Row],[Order Date]])</f>
        <v>6</v>
      </c>
      <c r="E749" t="s">
        <v>194</v>
      </c>
      <c r="F749" t="s">
        <v>195</v>
      </c>
      <c r="G749" s="23" t="s">
        <v>41</v>
      </c>
      <c r="H749" s="23" t="s">
        <v>53</v>
      </c>
      <c r="I749" t="s">
        <v>1427</v>
      </c>
      <c r="J749" t="s">
        <v>92</v>
      </c>
      <c r="K749" s="22">
        <v>4</v>
      </c>
      <c r="L749" s="1">
        <v>42530</v>
      </c>
      <c r="M749" s="22">
        <f>Table10[[#This Row],[Ship Date]]-Table10[[#This Row],[Order Date]]</f>
        <v>4</v>
      </c>
      <c r="N749" t="s">
        <v>45</v>
      </c>
      <c r="O749" t="s">
        <v>23</v>
      </c>
      <c r="P749" t="s">
        <v>132</v>
      </c>
      <c r="Q749" t="s">
        <v>133</v>
      </c>
      <c r="R749" t="s">
        <v>131</v>
      </c>
      <c r="S749" s="33">
        <v>0.2</v>
      </c>
      <c r="T749" s="13">
        <v>124.608</v>
      </c>
      <c r="U749" s="13">
        <v>-23.364000000000001</v>
      </c>
      <c r="V749" s="21">
        <f>Table10[[#This Row],[Profit]]/Table10[[#This Row],[Sales]]</f>
        <v>-0.1875</v>
      </c>
    </row>
    <row r="750" spans="1:22" x14ac:dyDescent="0.2">
      <c r="A750">
        <v>749</v>
      </c>
      <c r="B750" t="s">
        <v>2889</v>
      </c>
      <c r="C750" s="1">
        <v>42526</v>
      </c>
      <c r="D750" s="22">
        <f>MONTH(Table10[[#This Row],[Order Date]])</f>
        <v>6</v>
      </c>
      <c r="E750" t="s">
        <v>2890</v>
      </c>
      <c r="F750" t="s">
        <v>2891</v>
      </c>
      <c r="G750" s="23" t="s">
        <v>41</v>
      </c>
      <c r="H750" s="23" t="s">
        <v>42</v>
      </c>
      <c r="I750" t="s">
        <v>1427</v>
      </c>
      <c r="J750" t="s">
        <v>92</v>
      </c>
      <c r="K750" s="22">
        <v>3</v>
      </c>
      <c r="L750" s="1">
        <v>42530</v>
      </c>
      <c r="M750" s="22">
        <f>Table10[[#This Row],[Ship Date]]-Table10[[#This Row],[Order Date]]</f>
        <v>4</v>
      </c>
      <c r="N750" t="s">
        <v>45</v>
      </c>
      <c r="O750" t="s">
        <v>23</v>
      </c>
      <c r="P750" t="s">
        <v>132</v>
      </c>
      <c r="Q750" t="s">
        <v>133</v>
      </c>
      <c r="R750" t="s">
        <v>131</v>
      </c>
      <c r="S750" s="33">
        <v>0.2</v>
      </c>
      <c r="T750" s="13">
        <v>7.56</v>
      </c>
      <c r="U750" s="13">
        <v>2.6459999999999999</v>
      </c>
      <c r="V750" s="21">
        <f>Table10[[#This Row],[Profit]]/Table10[[#This Row],[Sales]]</f>
        <v>0.35000000000000003</v>
      </c>
    </row>
    <row r="751" spans="1:22" x14ac:dyDescent="0.2">
      <c r="A751">
        <v>750</v>
      </c>
      <c r="B751" t="s">
        <v>6173</v>
      </c>
      <c r="C751" s="1">
        <v>42526</v>
      </c>
      <c r="D751" s="22">
        <f>MONTH(Table10[[#This Row],[Order Date]])</f>
        <v>6</v>
      </c>
      <c r="E751" t="s">
        <v>2527</v>
      </c>
      <c r="F751" t="s">
        <v>2528</v>
      </c>
      <c r="G751" s="23" t="s">
        <v>41</v>
      </c>
      <c r="H751" s="23" t="s">
        <v>53</v>
      </c>
      <c r="I751" t="s">
        <v>4036</v>
      </c>
      <c r="J751" t="s">
        <v>22</v>
      </c>
      <c r="K751" s="22">
        <v>2</v>
      </c>
      <c r="L751" s="1">
        <v>42532</v>
      </c>
      <c r="M751" s="22">
        <f>Table10[[#This Row],[Ship Date]]-Table10[[#This Row],[Order Date]]</f>
        <v>6</v>
      </c>
      <c r="N751" t="s">
        <v>45</v>
      </c>
      <c r="O751" t="s">
        <v>23</v>
      </c>
      <c r="P751" t="s">
        <v>218</v>
      </c>
      <c r="Q751" t="s">
        <v>133</v>
      </c>
      <c r="R751" t="s">
        <v>536</v>
      </c>
      <c r="S751" s="33">
        <v>0</v>
      </c>
      <c r="T751" s="13">
        <v>360.38</v>
      </c>
      <c r="U751" s="13">
        <v>93.698800000000006</v>
      </c>
      <c r="V751" s="21">
        <f>Table10[[#This Row],[Profit]]/Table10[[#This Row],[Sales]]</f>
        <v>0.26</v>
      </c>
    </row>
    <row r="752" spans="1:22" x14ac:dyDescent="0.2">
      <c r="A752">
        <v>751</v>
      </c>
      <c r="B752" t="s">
        <v>6173</v>
      </c>
      <c r="C752" s="1">
        <v>42526</v>
      </c>
      <c r="D752" s="22">
        <f>MONTH(Table10[[#This Row],[Order Date]])</f>
        <v>6</v>
      </c>
      <c r="E752" t="s">
        <v>1090</v>
      </c>
      <c r="F752" t="s">
        <v>1091</v>
      </c>
      <c r="G752" s="23" t="s">
        <v>41</v>
      </c>
      <c r="H752" s="23" t="s">
        <v>61</v>
      </c>
      <c r="I752" t="s">
        <v>4036</v>
      </c>
      <c r="J752" t="s">
        <v>22</v>
      </c>
      <c r="K752" s="22">
        <v>2</v>
      </c>
      <c r="L752" s="1">
        <v>42532</v>
      </c>
      <c r="M752" s="22">
        <f>Table10[[#This Row],[Ship Date]]-Table10[[#This Row],[Order Date]]</f>
        <v>6</v>
      </c>
      <c r="N752" t="s">
        <v>45</v>
      </c>
      <c r="O752" t="s">
        <v>23</v>
      </c>
      <c r="P752" t="s">
        <v>218</v>
      </c>
      <c r="Q752" t="s">
        <v>133</v>
      </c>
      <c r="R752" t="s">
        <v>536</v>
      </c>
      <c r="S752" s="33">
        <v>0</v>
      </c>
      <c r="T752" s="13">
        <v>11.16</v>
      </c>
      <c r="U752" s="13">
        <v>2.79</v>
      </c>
      <c r="V752" s="21">
        <f>Table10[[#This Row],[Profit]]/Table10[[#This Row],[Sales]]</f>
        <v>0.25</v>
      </c>
    </row>
    <row r="753" spans="1:22" x14ac:dyDescent="0.2">
      <c r="A753">
        <v>752</v>
      </c>
      <c r="B753" t="s">
        <v>6173</v>
      </c>
      <c r="C753" s="1">
        <v>42526</v>
      </c>
      <c r="D753" s="22">
        <f>MONTH(Table10[[#This Row],[Order Date]])</f>
        <v>6</v>
      </c>
      <c r="E753" t="s">
        <v>5736</v>
      </c>
      <c r="F753" t="s">
        <v>5737</v>
      </c>
      <c r="G753" s="23" t="s">
        <v>41</v>
      </c>
      <c r="H753" s="23" t="s">
        <v>42</v>
      </c>
      <c r="I753" t="s">
        <v>4036</v>
      </c>
      <c r="J753" t="s">
        <v>22</v>
      </c>
      <c r="K753" s="22">
        <v>3</v>
      </c>
      <c r="L753" s="1">
        <v>42532</v>
      </c>
      <c r="M753" s="22">
        <f>Table10[[#This Row],[Ship Date]]-Table10[[#This Row],[Order Date]]</f>
        <v>6</v>
      </c>
      <c r="N753" t="s">
        <v>45</v>
      </c>
      <c r="O753" t="s">
        <v>23</v>
      </c>
      <c r="P753" t="s">
        <v>218</v>
      </c>
      <c r="Q753" t="s">
        <v>133</v>
      </c>
      <c r="R753" t="s">
        <v>536</v>
      </c>
      <c r="S753" s="33">
        <v>0</v>
      </c>
      <c r="T753" s="13">
        <v>14.94</v>
      </c>
      <c r="U753" s="13">
        <v>6.8723999999999998</v>
      </c>
      <c r="V753" s="21">
        <f>Table10[[#This Row],[Profit]]/Table10[[#This Row],[Sales]]</f>
        <v>0.46</v>
      </c>
    </row>
    <row r="754" spans="1:22" x14ac:dyDescent="0.2">
      <c r="A754">
        <v>753</v>
      </c>
      <c r="B754" t="s">
        <v>7539</v>
      </c>
      <c r="C754" s="1">
        <v>42526</v>
      </c>
      <c r="D754" s="22">
        <f>MONTH(Table10[[#This Row],[Order Date]])</f>
        <v>6</v>
      </c>
      <c r="E754" t="s">
        <v>4998</v>
      </c>
      <c r="F754" t="s">
        <v>1078</v>
      </c>
      <c r="G754" s="23" t="s">
        <v>41</v>
      </c>
      <c r="H754" s="23" t="s">
        <v>68</v>
      </c>
      <c r="I754" t="s">
        <v>1767</v>
      </c>
      <c r="J754" t="s">
        <v>22</v>
      </c>
      <c r="K754" s="22">
        <v>6</v>
      </c>
      <c r="L754" s="1">
        <v>42528</v>
      </c>
      <c r="M754" s="22">
        <f>Table10[[#This Row],[Ship Date]]-Table10[[#This Row],[Order Date]]</f>
        <v>2</v>
      </c>
      <c r="N754" t="s">
        <v>169</v>
      </c>
      <c r="O754" t="s">
        <v>23</v>
      </c>
      <c r="P754" t="s">
        <v>38</v>
      </c>
      <c r="Q754" t="s">
        <v>39</v>
      </c>
      <c r="R754" t="s">
        <v>804</v>
      </c>
      <c r="S754" s="33">
        <v>0.2</v>
      </c>
      <c r="T754" s="13">
        <v>21.552</v>
      </c>
      <c r="U754" s="13">
        <v>7.0044000000000004</v>
      </c>
      <c r="V754" s="21">
        <f>Table10[[#This Row],[Profit]]/Table10[[#This Row],[Sales]]</f>
        <v>0.32500000000000001</v>
      </c>
    </row>
    <row r="755" spans="1:22" x14ac:dyDescent="0.2">
      <c r="A755">
        <v>754</v>
      </c>
      <c r="B755" t="s">
        <v>7539</v>
      </c>
      <c r="C755" s="1">
        <v>42526</v>
      </c>
      <c r="D755" s="22">
        <f>MONTH(Table10[[#This Row],[Order Date]])</f>
        <v>6</v>
      </c>
      <c r="E755" t="s">
        <v>3224</v>
      </c>
      <c r="F755" t="s">
        <v>3225</v>
      </c>
      <c r="G755" s="23" t="s">
        <v>41</v>
      </c>
      <c r="H755" s="23" t="s">
        <v>71</v>
      </c>
      <c r="I755" t="s">
        <v>1767</v>
      </c>
      <c r="J755" t="s">
        <v>22</v>
      </c>
      <c r="K755" s="22">
        <v>4</v>
      </c>
      <c r="L755" s="1">
        <v>42528</v>
      </c>
      <c r="M755" s="22">
        <f>Table10[[#This Row],[Ship Date]]-Table10[[#This Row],[Order Date]]</f>
        <v>2</v>
      </c>
      <c r="N755" t="s">
        <v>169</v>
      </c>
      <c r="O755" t="s">
        <v>23</v>
      </c>
      <c r="P755" t="s">
        <v>38</v>
      </c>
      <c r="Q755" t="s">
        <v>39</v>
      </c>
      <c r="R755" t="s">
        <v>804</v>
      </c>
      <c r="S755" s="33">
        <v>0</v>
      </c>
      <c r="T755" s="13">
        <v>58.24</v>
      </c>
      <c r="U755" s="13">
        <v>15.7248</v>
      </c>
      <c r="V755" s="21">
        <f>Table10[[#This Row],[Profit]]/Table10[[#This Row],[Sales]]</f>
        <v>0.27</v>
      </c>
    </row>
    <row r="756" spans="1:22" x14ac:dyDescent="0.2">
      <c r="A756">
        <v>755</v>
      </c>
      <c r="B756" t="s">
        <v>9791</v>
      </c>
      <c r="C756" s="1">
        <v>42526</v>
      </c>
      <c r="D756" s="22">
        <f>MONTH(Table10[[#This Row],[Order Date]])</f>
        <v>6</v>
      </c>
      <c r="E756" t="s">
        <v>2336</v>
      </c>
      <c r="F756" t="s">
        <v>2337</v>
      </c>
      <c r="G756" s="23" t="s">
        <v>41</v>
      </c>
      <c r="H756" s="23" t="s">
        <v>513</v>
      </c>
      <c r="I756" t="s">
        <v>307</v>
      </c>
      <c r="J756" t="s">
        <v>36</v>
      </c>
      <c r="K756" s="22">
        <v>6</v>
      </c>
      <c r="L756" s="1">
        <v>42530</v>
      </c>
      <c r="M756" s="22">
        <f>Table10[[#This Row],[Ship Date]]-Table10[[#This Row],[Order Date]]</f>
        <v>4</v>
      </c>
      <c r="N756" t="s">
        <v>45</v>
      </c>
      <c r="O756" t="s">
        <v>23</v>
      </c>
      <c r="P756" t="s">
        <v>87</v>
      </c>
      <c r="Q756" t="s">
        <v>39</v>
      </c>
      <c r="R756" t="s">
        <v>86</v>
      </c>
      <c r="S756" s="33">
        <v>0</v>
      </c>
      <c r="T756" s="13">
        <v>61.38</v>
      </c>
      <c r="U756" s="13">
        <v>15.9588</v>
      </c>
      <c r="V756" s="21">
        <f>Table10[[#This Row],[Profit]]/Table10[[#This Row],[Sales]]</f>
        <v>0.26</v>
      </c>
    </row>
    <row r="757" spans="1:22" x14ac:dyDescent="0.2">
      <c r="A757">
        <v>756</v>
      </c>
      <c r="B757" t="s">
        <v>867</v>
      </c>
      <c r="C757" s="1">
        <v>42527</v>
      </c>
      <c r="D757" s="22">
        <f>MONTH(Table10[[#This Row],[Order Date]])</f>
        <v>6</v>
      </c>
      <c r="E757" t="s">
        <v>869</v>
      </c>
      <c r="F757" t="s">
        <v>870</v>
      </c>
      <c r="G757" s="23" t="s">
        <v>64</v>
      </c>
      <c r="H757" s="23" t="s">
        <v>65</v>
      </c>
      <c r="I757" t="s">
        <v>868</v>
      </c>
      <c r="J757" t="s">
        <v>22</v>
      </c>
      <c r="K757" s="22">
        <v>4</v>
      </c>
      <c r="L757" s="1">
        <v>42534</v>
      </c>
      <c r="M757" s="22">
        <f>Table10[[#This Row],[Ship Date]]-Table10[[#This Row],[Order Date]]</f>
        <v>7</v>
      </c>
      <c r="N757" t="s">
        <v>45</v>
      </c>
      <c r="O757" t="s">
        <v>23</v>
      </c>
      <c r="P757" t="s">
        <v>189</v>
      </c>
      <c r="Q757" t="s">
        <v>95</v>
      </c>
      <c r="R757" t="s">
        <v>271</v>
      </c>
      <c r="S757" s="33">
        <v>0.2</v>
      </c>
      <c r="T757" s="13">
        <v>328.22399999999999</v>
      </c>
      <c r="U757" s="13">
        <v>28.7196</v>
      </c>
      <c r="V757" s="21">
        <f>Table10[[#This Row],[Profit]]/Table10[[#This Row],[Sales]]</f>
        <v>8.7500000000000008E-2</v>
      </c>
    </row>
    <row r="758" spans="1:22" x14ac:dyDescent="0.2">
      <c r="A758">
        <v>757</v>
      </c>
      <c r="B758" t="s">
        <v>1340</v>
      </c>
      <c r="C758" s="1">
        <v>42527</v>
      </c>
      <c r="D758" s="22">
        <f>MONTH(Table10[[#This Row],[Order Date]])</f>
        <v>6</v>
      </c>
      <c r="E758" t="s">
        <v>1341</v>
      </c>
      <c r="F758" t="s">
        <v>1342</v>
      </c>
      <c r="G758" s="23" t="s">
        <v>41</v>
      </c>
      <c r="H758" s="23" t="s">
        <v>53</v>
      </c>
      <c r="I758" t="s">
        <v>569</v>
      </c>
      <c r="J758" t="s">
        <v>22</v>
      </c>
      <c r="K758" s="22">
        <v>5</v>
      </c>
      <c r="L758" s="1">
        <v>42528</v>
      </c>
      <c r="M758" s="22">
        <f>Table10[[#This Row],[Ship Date]]-Table10[[#This Row],[Order Date]]</f>
        <v>1</v>
      </c>
      <c r="N758" t="s">
        <v>169</v>
      </c>
      <c r="O758" t="s">
        <v>23</v>
      </c>
      <c r="P758" t="s">
        <v>1101</v>
      </c>
      <c r="Q758" t="s">
        <v>133</v>
      </c>
      <c r="R758" t="s">
        <v>1100</v>
      </c>
      <c r="S758" s="33">
        <v>0</v>
      </c>
      <c r="T758" s="13">
        <v>714.3</v>
      </c>
      <c r="U758" s="13">
        <v>207.14699999999999</v>
      </c>
      <c r="V758" s="21">
        <f>Table10[[#This Row],[Profit]]/Table10[[#This Row],[Sales]]</f>
        <v>0.28999999999999998</v>
      </c>
    </row>
    <row r="759" spans="1:22" x14ac:dyDescent="0.2">
      <c r="A759">
        <v>758</v>
      </c>
      <c r="B759" t="s">
        <v>7231</v>
      </c>
      <c r="C759" s="1">
        <v>42527</v>
      </c>
      <c r="D759" s="22">
        <f>MONTH(Table10[[#This Row],[Order Date]])</f>
        <v>6</v>
      </c>
      <c r="E759" t="s">
        <v>2689</v>
      </c>
      <c r="F759" t="s">
        <v>2690</v>
      </c>
      <c r="G759" s="23" t="s">
        <v>41</v>
      </c>
      <c r="H759" s="23" t="s">
        <v>82</v>
      </c>
      <c r="I759" t="s">
        <v>4226</v>
      </c>
      <c r="J759" t="s">
        <v>36</v>
      </c>
      <c r="K759" s="22">
        <v>4</v>
      </c>
      <c r="L759" s="1">
        <v>42530</v>
      </c>
      <c r="M759" s="22">
        <f>Table10[[#This Row],[Ship Date]]-Table10[[#This Row],[Order Date]]</f>
        <v>3</v>
      </c>
      <c r="N759" t="s">
        <v>20</v>
      </c>
      <c r="O759" t="s">
        <v>23</v>
      </c>
      <c r="P759" t="s">
        <v>1101</v>
      </c>
      <c r="Q759" t="s">
        <v>133</v>
      </c>
      <c r="R759" t="s">
        <v>1100</v>
      </c>
      <c r="S759" s="33">
        <v>0</v>
      </c>
      <c r="T759" s="13">
        <v>105.52</v>
      </c>
      <c r="U759" s="13">
        <v>48.539200000000001</v>
      </c>
      <c r="V759" s="21">
        <f>Table10[[#This Row],[Profit]]/Table10[[#This Row],[Sales]]</f>
        <v>0.46</v>
      </c>
    </row>
    <row r="760" spans="1:22" x14ac:dyDescent="0.2">
      <c r="A760">
        <v>759</v>
      </c>
      <c r="B760" t="s">
        <v>7550</v>
      </c>
      <c r="C760" s="1">
        <v>42527</v>
      </c>
      <c r="D760" s="22">
        <f>MONTH(Table10[[#This Row],[Order Date]])</f>
        <v>6</v>
      </c>
      <c r="E760" t="s">
        <v>3525</v>
      </c>
      <c r="F760" t="s">
        <v>3526</v>
      </c>
      <c r="G760" s="23" t="s">
        <v>64</v>
      </c>
      <c r="H760" s="23" t="s">
        <v>144</v>
      </c>
      <c r="I760" t="s">
        <v>1795</v>
      </c>
      <c r="J760" t="s">
        <v>22</v>
      </c>
      <c r="K760" s="22">
        <v>6</v>
      </c>
      <c r="L760" s="1">
        <v>42528</v>
      </c>
      <c r="M760" s="22">
        <f>Table10[[#This Row],[Ship Date]]-Table10[[#This Row],[Order Date]]</f>
        <v>1</v>
      </c>
      <c r="N760" t="s">
        <v>169</v>
      </c>
      <c r="O760" t="s">
        <v>23</v>
      </c>
      <c r="P760" t="s">
        <v>1510</v>
      </c>
      <c r="Q760" t="s">
        <v>26</v>
      </c>
      <c r="R760" t="s">
        <v>4562</v>
      </c>
      <c r="S760" s="33">
        <v>0</v>
      </c>
      <c r="T760" s="13">
        <v>179.94</v>
      </c>
      <c r="U760" s="13">
        <v>75.574799999999996</v>
      </c>
      <c r="V760" s="21">
        <f>Table10[[#This Row],[Profit]]/Table10[[#This Row],[Sales]]</f>
        <v>0.42</v>
      </c>
    </row>
    <row r="761" spans="1:22" x14ac:dyDescent="0.2">
      <c r="A761">
        <v>760</v>
      </c>
      <c r="B761" t="s">
        <v>7550</v>
      </c>
      <c r="C761" s="1">
        <v>42527</v>
      </c>
      <c r="D761" s="22">
        <f>MONTH(Table10[[#This Row],[Order Date]])</f>
        <v>6</v>
      </c>
      <c r="E761" t="s">
        <v>3664</v>
      </c>
      <c r="F761" t="s">
        <v>3665</v>
      </c>
      <c r="G761" s="23" t="s">
        <v>64</v>
      </c>
      <c r="H761" s="23" t="s">
        <v>144</v>
      </c>
      <c r="I761" t="s">
        <v>1795</v>
      </c>
      <c r="J761" t="s">
        <v>22</v>
      </c>
      <c r="K761" s="22">
        <v>3</v>
      </c>
      <c r="L761" s="1">
        <v>42528</v>
      </c>
      <c r="M761" s="22">
        <f>Table10[[#This Row],[Ship Date]]-Table10[[#This Row],[Order Date]]</f>
        <v>1</v>
      </c>
      <c r="N761" t="s">
        <v>169</v>
      </c>
      <c r="O761" t="s">
        <v>23</v>
      </c>
      <c r="P761" t="s">
        <v>1510</v>
      </c>
      <c r="Q761" t="s">
        <v>26</v>
      </c>
      <c r="R761" t="s">
        <v>4562</v>
      </c>
      <c r="S761" s="33">
        <v>0</v>
      </c>
      <c r="T761" s="13">
        <v>26.85</v>
      </c>
      <c r="U761" s="13">
        <v>5.1014999999999997</v>
      </c>
      <c r="V761" s="21">
        <f>Table10[[#This Row],[Profit]]/Table10[[#This Row],[Sales]]</f>
        <v>0.18999999999999997</v>
      </c>
    </row>
    <row r="762" spans="1:22" x14ac:dyDescent="0.2">
      <c r="A762">
        <v>761</v>
      </c>
      <c r="B762" t="s">
        <v>7550</v>
      </c>
      <c r="C762" s="1">
        <v>42527</v>
      </c>
      <c r="D762" s="22">
        <f>MONTH(Table10[[#This Row],[Order Date]])</f>
        <v>6</v>
      </c>
      <c r="E762" t="s">
        <v>2132</v>
      </c>
      <c r="F762" t="s">
        <v>2133</v>
      </c>
      <c r="G762" s="23" t="s">
        <v>64</v>
      </c>
      <c r="H762" s="23" t="s">
        <v>144</v>
      </c>
      <c r="I762" t="s">
        <v>1795</v>
      </c>
      <c r="J762" t="s">
        <v>22</v>
      </c>
      <c r="K762" s="22">
        <v>3</v>
      </c>
      <c r="L762" s="1">
        <v>42528</v>
      </c>
      <c r="M762" s="22">
        <f>Table10[[#This Row],[Ship Date]]-Table10[[#This Row],[Order Date]]</f>
        <v>1</v>
      </c>
      <c r="N762" t="s">
        <v>169</v>
      </c>
      <c r="O762" t="s">
        <v>23</v>
      </c>
      <c r="P762" t="s">
        <v>1510</v>
      </c>
      <c r="Q762" t="s">
        <v>26</v>
      </c>
      <c r="R762" t="s">
        <v>4562</v>
      </c>
      <c r="S762" s="33">
        <v>0</v>
      </c>
      <c r="T762" s="13">
        <v>323.37</v>
      </c>
      <c r="U762" s="13">
        <v>129.34800000000001</v>
      </c>
      <c r="V762" s="21">
        <f>Table10[[#This Row],[Profit]]/Table10[[#This Row],[Sales]]</f>
        <v>0.4</v>
      </c>
    </row>
    <row r="763" spans="1:22" x14ac:dyDescent="0.2">
      <c r="A763">
        <v>762</v>
      </c>
      <c r="B763" t="s">
        <v>7550</v>
      </c>
      <c r="C763" s="1">
        <v>42527</v>
      </c>
      <c r="D763" s="22">
        <f>MONTH(Table10[[#This Row],[Order Date]])</f>
        <v>6</v>
      </c>
      <c r="E763" t="s">
        <v>1282</v>
      </c>
      <c r="F763" t="s">
        <v>1283</v>
      </c>
      <c r="G763" s="23" t="s">
        <v>41</v>
      </c>
      <c r="H763" s="23" t="s">
        <v>82</v>
      </c>
      <c r="I763" t="s">
        <v>1795</v>
      </c>
      <c r="J763" t="s">
        <v>22</v>
      </c>
      <c r="K763" s="22">
        <v>3</v>
      </c>
      <c r="L763" s="1">
        <v>42528</v>
      </c>
      <c r="M763" s="22">
        <f>Table10[[#This Row],[Ship Date]]-Table10[[#This Row],[Order Date]]</f>
        <v>1</v>
      </c>
      <c r="N763" t="s">
        <v>169</v>
      </c>
      <c r="O763" t="s">
        <v>23</v>
      </c>
      <c r="P763" t="s">
        <v>1510</v>
      </c>
      <c r="Q763" t="s">
        <v>26</v>
      </c>
      <c r="R763" t="s">
        <v>4562</v>
      </c>
      <c r="S763" s="33">
        <v>0</v>
      </c>
      <c r="T763" s="13">
        <v>59.94</v>
      </c>
      <c r="U763" s="13">
        <v>28.171800000000001</v>
      </c>
      <c r="V763" s="21">
        <f>Table10[[#This Row],[Profit]]/Table10[[#This Row],[Sales]]</f>
        <v>0.47000000000000003</v>
      </c>
    </row>
    <row r="764" spans="1:22" x14ac:dyDescent="0.2">
      <c r="A764">
        <v>763</v>
      </c>
      <c r="B764" t="s">
        <v>7550</v>
      </c>
      <c r="C764" s="1">
        <v>42527</v>
      </c>
      <c r="D764" s="22">
        <f>MONTH(Table10[[#This Row],[Order Date]])</f>
        <v>6</v>
      </c>
      <c r="E764" t="s">
        <v>383</v>
      </c>
      <c r="F764" t="s">
        <v>384</v>
      </c>
      <c r="G764" s="23" t="s">
        <v>41</v>
      </c>
      <c r="H764" s="23" t="s">
        <v>68</v>
      </c>
      <c r="I764" t="s">
        <v>1795</v>
      </c>
      <c r="J764" t="s">
        <v>22</v>
      </c>
      <c r="K764" s="22">
        <v>3</v>
      </c>
      <c r="L764" s="1">
        <v>42528</v>
      </c>
      <c r="M764" s="22">
        <f>Table10[[#This Row],[Ship Date]]-Table10[[#This Row],[Order Date]]</f>
        <v>1</v>
      </c>
      <c r="N764" t="s">
        <v>169</v>
      </c>
      <c r="O764" t="s">
        <v>23</v>
      </c>
      <c r="P764" t="s">
        <v>1510</v>
      </c>
      <c r="Q764" t="s">
        <v>26</v>
      </c>
      <c r="R764" t="s">
        <v>4562</v>
      </c>
      <c r="S764" s="33">
        <v>0</v>
      </c>
      <c r="T764" s="13">
        <v>64.14</v>
      </c>
      <c r="U764" s="13">
        <v>30.787199999999999</v>
      </c>
      <c r="V764" s="21">
        <f>Table10[[#This Row],[Profit]]/Table10[[#This Row],[Sales]]</f>
        <v>0.48</v>
      </c>
    </row>
    <row r="765" spans="1:22" x14ac:dyDescent="0.2">
      <c r="A765">
        <v>764</v>
      </c>
      <c r="B765" t="s">
        <v>7550</v>
      </c>
      <c r="C765" s="1">
        <v>42527</v>
      </c>
      <c r="D765" s="22">
        <f>MONTH(Table10[[#This Row],[Order Date]])</f>
        <v>6</v>
      </c>
      <c r="E765" t="s">
        <v>3735</v>
      </c>
      <c r="F765" t="s">
        <v>3736</v>
      </c>
      <c r="G765" s="23" t="s">
        <v>41</v>
      </c>
      <c r="H765" s="23" t="s">
        <v>68</v>
      </c>
      <c r="I765" t="s">
        <v>1795</v>
      </c>
      <c r="J765" t="s">
        <v>22</v>
      </c>
      <c r="K765" s="22">
        <v>3</v>
      </c>
      <c r="L765" s="1">
        <v>42528</v>
      </c>
      <c r="M765" s="22">
        <f>Table10[[#This Row],[Ship Date]]-Table10[[#This Row],[Order Date]]</f>
        <v>1</v>
      </c>
      <c r="N765" t="s">
        <v>169</v>
      </c>
      <c r="O765" t="s">
        <v>23</v>
      </c>
      <c r="P765" t="s">
        <v>1510</v>
      </c>
      <c r="Q765" t="s">
        <v>26</v>
      </c>
      <c r="R765" t="s">
        <v>4562</v>
      </c>
      <c r="S765" s="33">
        <v>0</v>
      </c>
      <c r="T765" s="13">
        <v>11.67</v>
      </c>
      <c r="U765" s="13">
        <v>5.6016000000000004</v>
      </c>
      <c r="V765" s="21">
        <f>Table10[[#This Row],[Profit]]/Table10[[#This Row],[Sales]]</f>
        <v>0.48000000000000004</v>
      </c>
    </row>
    <row r="766" spans="1:22" x14ac:dyDescent="0.2">
      <c r="A766">
        <v>765</v>
      </c>
      <c r="B766" t="s">
        <v>7550</v>
      </c>
      <c r="C766" s="1">
        <v>42527</v>
      </c>
      <c r="D766" s="22">
        <f>MONTH(Table10[[#This Row],[Order Date]])</f>
        <v>6</v>
      </c>
      <c r="E766" t="s">
        <v>5606</v>
      </c>
      <c r="F766" t="s">
        <v>5607</v>
      </c>
      <c r="G766" s="23" t="s">
        <v>41</v>
      </c>
      <c r="H766" s="23" t="s">
        <v>82</v>
      </c>
      <c r="I766" t="s">
        <v>1795</v>
      </c>
      <c r="J766" t="s">
        <v>22</v>
      </c>
      <c r="K766" s="22">
        <v>2</v>
      </c>
      <c r="L766" s="1">
        <v>42528</v>
      </c>
      <c r="M766" s="22">
        <f>Table10[[#This Row],[Ship Date]]-Table10[[#This Row],[Order Date]]</f>
        <v>1</v>
      </c>
      <c r="N766" t="s">
        <v>169</v>
      </c>
      <c r="O766" t="s">
        <v>23</v>
      </c>
      <c r="P766" t="s">
        <v>1510</v>
      </c>
      <c r="Q766" t="s">
        <v>26</v>
      </c>
      <c r="R766" t="s">
        <v>4562</v>
      </c>
      <c r="S766" s="33">
        <v>0</v>
      </c>
      <c r="T766" s="13">
        <v>12.96</v>
      </c>
      <c r="U766" s="13">
        <v>6.2207999999999997</v>
      </c>
      <c r="V766" s="21">
        <f>Table10[[#This Row],[Profit]]/Table10[[#This Row],[Sales]]</f>
        <v>0.47999999999999993</v>
      </c>
    </row>
    <row r="767" spans="1:22" x14ac:dyDescent="0.2">
      <c r="A767">
        <v>766</v>
      </c>
      <c r="B767" t="s">
        <v>9649</v>
      </c>
      <c r="C767" s="1">
        <v>42527</v>
      </c>
      <c r="D767" s="22">
        <f>MONTH(Table10[[#This Row],[Order Date]])</f>
        <v>6</v>
      </c>
      <c r="E767" t="s">
        <v>2816</v>
      </c>
      <c r="F767" t="s">
        <v>2817</v>
      </c>
      <c r="G767" s="23" t="s">
        <v>41</v>
      </c>
      <c r="H767" s="23" t="s">
        <v>42</v>
      </c>
      <c r="I767" t="s">
        <v>1334</v>
      </c>
      <c r="J767" t="s">
        <v>92</v>
      </c>
      <c r="K767" s="22">
        <v>7</v>
      </c>
      <c r="L767" s="1">
        <v>42533</v>
      </c>
      <c r="M767" s="22">
        <f>Table10[[#This Row],[Ship Date]]-Table10[[#This Row],[Order Date]]</f>
        <v>6</v>
      </c>
      <c r="N767" t="s">
        <v>45</v>
      </c>
      <c r="O767" t="s">
        <v>23</v>
      </c>
      <c r="P767" t="s">
        <v>38</v>
      </c>
      <c r="Q767" t="s">
        <v>39</v>
      </c>
      <c r="R767" t="s">
        <v>37</v>
      </c>
      <c r="S767" s="33">
        <v>0</v>
      </c>
      <c r="T767" s="13">
        <v>22.05</v>
      </c>
      <c r="U767" s="13">
        <v>10.584</v>
      </c>
      <c r="V767" s="21">
        <f>Table10[[#This Row],[Profit]]/Table10[[#This Row],[Sales]]</f>
        <v>0.48</v>
      </c>
    </row>
    <row r="768" spans="1:22" x14ac:dyDescent="0.2">
      <c r="A768">
        <v>767</v>
      </c>
      <c r="B768" t="s">
        <v>9649</v>
      </c>
      <c r="C768" s="1">
        <v>42527</v>
      </c>
      <c r="D768" s="22">
        <f>MONTH(Table10[[#This Row],[Order Date]])</f>
        <v>6</v>
      </c>
      <c r="E768" t="s">
        <v>9650</v>
      </c>
      <c r="F768" t="s">
        <v>9651</v>
      </c>
      <c r="G768" s="23" t="s">
        <v>41</v>
      </c>
      <c r="H768" s="23" t="s">
        <v>82</v>
      </c>
      <c r="I768" t="s">
        <v>1334</v>
      </c>
      <c r="J768" t="s">
        <v>92</v>
      </c>
      <c r="K768" s="22">
        <v>5</v>
      </c>
      <c r="L768" s="1">
        <v>42533</v>
      </c>
      <c r="M768" s="22">
        <f>Table10[[#This Row],[Ship Date]]-Table10[[#This Row],[Order Date]]</f>
        <v>6</v>
      </c>
      <c r="N768" t="s">
        <v>45</v>
      </c>
      <c r="O768" t="s">
        <v>23</v>
      </c>
      <c r="P768" t="s">
        <v>38</v>
      </c>
      <c r="Q768" t="s">
        <v>39</v>
      </c>
      <c r="R768" t="s">
        <v>37</v>
      </c>
      <c r="S768" s="33">
        <v>0</v>
      </c>
      <c r="T768" s="13">
        <v>99.9</v>
      </c>
      <c r="U768" s="13">
        <v>46.953000000000003</v>
      </c>
      <c r="V768" s="21">
        <f>Table10[[#This Row],[Profit]]/Table10[[#This Row],[Sales]]</f>
        <v>0.47000000000000003</v>
      </c>
    </row>
    <row r="769" spans="1:22" x14ac:dyDescent="0.2">
      <c r="A769">
        <v>768</v>
      </c>
      <c r="B769" t="s">
        <v>9971</v>
      </c>
      <c r="C769" s="1">
        <v>42527</v>
      </c>
      <c r="D769" s="22">
        <f>MONTH(Table10[[#This Row],[Order Date]])</f>
        <v>6</v>
      </c>
      <c r="E769" t="s">
        <v>5480</v>
      </c>
      <c r="F769" t="s">
        <v>5481</v>
      </c>
      <c r="G769" s="23" t="s">
        <v>64</v>
      </c>
      <c r="H769" s="23" t="s">
        <v>65</v>
      </c>
      <c r="I769" t="s">
        <v>3454</v>
      </c>
      <c r="J769" t="s">
        <v>92</v>
      </c>
      <c r="K769" s="22">
        <v>9</v>
      </c>
      <c r="L769" s="1">
        <v>42532</v>
      </c>
      <c r="M769" s="22">
        <f>Table10[[#This Row],[Ship Date]]-Table10[[#This Row],[Order Date]]</f>
        <v>5</v>
      </c>
      <c r="N769" t="s">
        <v>45</v>
      </c>
      <c r="O769" t="s">
        <v>23</v>
      </c>
      <c r="P769" t="s">
        <v>38</v>
      </c>
      <c r="Q769" t="s">
        <v>39</v>
      </c>
      <c r="R769" t="s">
        <v>7543</v>
      </c>
      <c r="S769" s="33">
        <v>0.2</v>
      </c>
      <c r="T769" s="13">
        <v>3023.9279999999999</v>
      </c>
      <c r="U769" s="13">
        <v>226.7946</v>
      </c>
      <c r="V769" s="21">
        <f>Table10[[#This Row],[Profit]]/Table10[[#This Row],[Sales]]</f>
        <v>7.4999999999999997E-2</v>
      </c>
    </row>
    <row r="770" spans="1:22" x14ac:dyDescent="0.2">
      <c r="A770">
        <v>769</v>
      </c>
      <c r="B770" t="s">
        <v>9971</v>
      </c>
      <c r="C770" s="1">
        <v>42527</v>
      </c>
      <c r="D770" s="22">
        <f>MONTH(Table10[[#This Row],[Order Date]])</f>
        <v>6</v>
      </c>
      <c r="E770" t="s">
        <v>6065</v>
      </c>
      <c r="F770" t="s">
        <v>6066</v>
      </c>
      <c r="G770" s="23" t="s">
        <v>64</v>
      </c>
      <c r="H770" s="23" t="s">
        <v>144</v>
      </c>
      <c r="I770" t="s">
        <v>3454</v>
      </c>
      <c r="J770" t="s">
        <v>92</v>
      </c>
      <c r="K770" s="22">
        <v>2</v>
      </c>
      <c r="L770" s="1">
        <v>42532</v>
      </c>
      <c r="M770" s="22">
        <f>Table10[[#This Row],[Ship Date]]-Table10[[#This Row],[Order Date]]</f>
        <v>5</v>
      </c>
      <c r="N770" t="s">
        <v>45</v>
      </c>
      <c r="O770" t="s">
        <v>23</v>
      </c>
      <c r="P770" t="s">
        <v>38</v>
      </c>
      <c r="Q770" t="s">
        <v>39</v>
      </c>
      <c r="R770" t="s">
        <v>7543</v>
      </c>
      <c r="S770" s="33">
        <v>0</v>
      </c>
      <c r="T770" s="13">
        <v>26.96</v>
      </c>
      <c r="U770" s="13">
        <v>3.7744</v>
      </c>
      <c r="V770" s="21">
        <f>Table10[[#This Row],[Profit]]/Table10[[#This Row],[Sales]]</f>
        <v>0.13999999999999999</v>
      </c>
    </row>
    <row r="771" spans="1:22" x14ac:dyDescent="0.2">
      <c r="A771">
        <v>770</v>
      </c>
      <c r="B771" t="s">
        <v>9971</v>
      </c>
      <c r="C771" s="1">
        <v>42527</v>
      </c>
      <c r="D771" s="22">
        <f>MONTH(Table10[[#This Row],[Order Date]])</f>
        <v>6</v>
      </c>
      <c r="E771" t="s">
        <v>923</v>
      </c>
      <c r="F771" t="s">
        <v>924</v>
      </c>
      <c r="G771" s="23" t="s">
        <v>64</v>
      </c>
      <c r="H771" s="23" t="s">
        <v>65</v>
      </c>
      <c r="I771" t="s">
        <v>3454</v>
      </c>
      <c r="J771" t="s">
        <v>92</v>
      </c>
      <c r="K771" s="22">
        <v>3</v>
      </c>
      <c r="L771" s="1">
        <v>42532</v>
      </c>
      <c r="M771" s="22">
        <f>Table10[[#This Row],[Ship Date]]-Table10[[#This Row],[Order Date]]</f>
        <v>5</v>
      </c>
      <c r="N771" t="s">
        <v>45</v>
      </c>
      <c r="O771" t="s">
        <v>23</v>
      </c>
      <c r="P771" t="s">
        <v>38</v>
      </c>
      <c r="Q771" t="s">
        <v>39</v>
      </c>
      <c r="R771" t="s">
        <v>7543</v>
      </c>
      <c r="S771" s="33">
        <v>0.2</v>
      </c>
      <c r="T771" s="13">
        <v>477.6</v>
      </c>
      <c r="U771" s="13">
        <v>161.19</v>
      </c>
      <c r="V771" s="21">
        <f>Table10[[#This Row],[Profit]]/Table10[[#This Row],[Sales]]</f>
        <v>0.33749999999999997</v>
      </c>
    </row>
    <row r="772" spans="1:22" x14ac:dyDescent="0.2">
      <c r="A772">
        <v>771</v>
      </c>
      <c r="B772" t="s">
        <v>10097</v>
      </c>
      <c r="C772" s="1">
        <v>42527</v>
      </c>
      <c r="D772" s="22">
        <f>MONTH(Table10[[#This Row],[Order Date]])</f>
        <v>6</v>
      </c>
      <c r="E772" t="s">
        <v>2140</v>
      </c>
      <c r="F772" t="s">
        <v>2141</v>
      </c>
      <c r="G772" s="23" t="s">
        <v>28</v>
      </c>
      <c r="H772" s="23" t="s">
        <v>58</v>
      </c>
      <c r="I772" t="s">
        <v>3222</v>
      </c>
      <c r="J772" t="s">
        <v>22</v>
      </c>
      <c r="K772" s="22">
        <v>3</v>
      </c>
      <c r="L772" s="1">
        <v>42531</v>
      </c>
      <c r="M772" s="22">
        <f>Table10[[#This Row],[Ship Date]]-Table10[[#This Row],[Order Date]]</f>
        <v>4</v>
      </c>
      <c r="N772" t="s">
        <v>45</v>
      </c>
      <c r="O772" t="s">
        <v>23</v>
      </c>
      <c r="P772" t="s">
        <v>441</v>
      </c>
      <c r="Q772" t="s">
        <v>133</v>
      </c>
      <c r="R772" t="s">
        <v>659</v>
      </c>
      <c r="S772" s="33">
        <v>0.2</v>
      </c>
      <c r="T772" s="13">
        <v>466.32</v>
      </c>
      <c r="U772" s="13">
        <v>34.973999999999997</v>
      </c>
      <c r="V772" s="21">
        <f>Table10[[#This Row],[Profit]]/Table10[[#This Row],[Sales]]</f>
        <v>7.4999999999999997E-2</v>
      </c>
    </row>
    <row r="773" spans="1:22" x14ac:dyDescent="0.2">
      <c r="A773">
        <v>772</v>
      </c>
      <c r="B773" t="s">
        <v>10097</v>
      </c>
      <c r="C773" s="1">
        <v>42527</v>
      </c>
      <c r="D773" s="22">
        <f>MONTH(Table10[[#This Row],[Order Date]])</f>
        <v>6</v>
      </c>
      <c r="E773" t="s">
        <v>7075</v>
      </c>
      <c r="F773" t="s">
        <v>7076</v>
      </c>
      <c r="G773" s="23" t="s">
        <v>28</v>
      </c>
      <c r="H773" s="23" t="s">
        <v>58</v>
      </c>
      <c r="I773" t="s">
        <v>3222</v>
      </c>
      <c r="J773" t="s">
        <v>22</v>
      </c>
      <c r="K773" s="22">
        <v>2</v>
      </c>
      <c r="L773" s="1">
        <v>42531</v>
      </c>
      <c r="M773" s="22">
        <f>Table10[[#This Row],[Ship Date]]-Table10[[#This Row],[Order Date]]</f>
        <v>4</v>
      </c>
      <c r="N773" t="s">
        <v>45</v>
      </c>
      <c r="O773" t="s">
        <v>23</v>
      </c>
      <c r="P773" t="s">
        <v>441</v>
      </c>
      <c r="Q773" t="s">
        <v>133</v>
      </c>
      <c r="R773" t="s">
        <v>659</v>
      </c>
      <c r="S773" s="33">
        <v>0.2</v>
      </c>
      <c r="T773" s="13">
        <v>82.64</v>
      </c>
      <c r="U773" s="13">
        <v>0</v>
      </c>
      <c r="V773" s="21">
        <f>Table10[[#This Row],[Profit]]/Table10[[#This Row],[Sales]]</f>
        <v>0</v>
      </c>
    </row>
    <row r="774" spans="1:22" x14ac:dyDescent="0.2">
      <c r="A774">
        <v>773</v>
      </c>
      <c r="B774" t="s">
        <v>5676</v>
      </c>
      <c r="C774" s="1">
        <v>42528</v>
      </c>
      <c r="D774" s="22">
        <f>MONTH(Table10[[#This Row],[Order Date]])</f>
        <v>6</v>
      </c>
      <c r="E774" t="s">
        <v>1679</v>
      </c>
      <c r="F774" t="s">
        <v>1680</v>
      </c>
      <c r="G774" s="23" t="s">
        <v>41</v>
      </c>
      <c r="H774" s="23" t="s">
        <v>82</v>
      </c>
      <c r="I774" t="s">
        <v>2036</v>
      </c>
      <c r="J774" t="s">
        <v>92</v>
      </c>
      <c r="K774" s="22">
        <v>5</v>
      </c>
      <c r="L774" s="1">
        <v>42531</v>
      </c>
      <c r="M774" s="22">
        <f>Table10[[#This Row],[Ship Date]]-Table10[[#This Row],[Order Date]]</f>
        <v>3</v>
      </c>
      <c r="N774" t="s">
        <v>169</v>
      </c>
      <c r="O774" t="s">
        <v>23</v>
      </c>
      <c r="P774" t="s">
        <v>238</v>
      </c>
      <c r="Q774" t="s">
        <v>133</v>
      </c>
      <c r="R774" t="s">
        <v>237</v>
      </c>
      <c r="S774" s="33">
        <v>0</v>
      </c>
      <c r="T774" s="13">
        <v>32.4</v>
      </c>
      <c r="U774" s="13">
        <v>15.552</v>
      </c>
      <c r="V774" s="21">
        <f>Table10[[#This Row],[Profit]]/Table10[[#This Row],[Sales]]</f>
        <v>0.48</v>
      </c>
    </row>
    <row r="775" spans="1:22" x14ac:dyDescent="0.2">
      <c r="A775">
        <v>774</v>
      </c>
      <c r="B775" t="s">
        <v>6049</v>
      </c>
      <c r="C775" s="1">
        <v>42528</v>
      </c>
      <c r="D775" s="22">
        <f>MONTH(Table10[[#This Row],[Order Date]])</f>
        <v>6</v>
      </c>
      <c r="E775" t="s">
        <v>1951</v>
      </c>
      <c r="F775" t="s">
        <v>1952</v>
      </c>
      <c r="G775" s="23" t="s">
        <v>41</v>
      </c>
      <c r="H775" s="23" t="s">
        <v>68</v>
      </c>
      <c r="I775" t="s">
        <v>664</v>
      </c>
      <c r="J775" t="s">
        <v>92</v>
      </c>
      <c r="K775" s="22">
        <v>1</v>
      </c>
      <c r="L775" s="1">
        <v>42532</v>
      </c>
      <c r="M775" s="22">
        <f>Table10[[#This Row],[Ship Date]]-Table10[[#This Row],[Order Date]]</f>
        <v>4</v>
      </c>
      <c r="N775" t="s">
        <v>45</v>
      </c>
      <c r="O775" t="s">
        <v>23</v>
      </c>
      <c r="P775" t="s">
        <v>38</v>
      </c>
      <c r="Q775" t="s">
        <v>39</v>
      </c>
      <c r="R775" t="s">
        <v>5301</v>
      </c>
      <c r="S775" s="33">
        <v>0.2</v>
      </c>
      <c r="T775" s="13">
        <v>4.7839999999999998</v>
      </c>
      <c r="U775" s="13">
        <v>1.5548</v>
      </c>
      <c r="V775" s="21">
        <f>Table10[[#This Row],[Profit]]/Table10[[#This Row],[Sales]]</f>
        <v>0.32500000000000001</v>
      </c>
    </row>
    <row r="776" spans="1:22" x14ac:dyDescent="0.2">
      <c r="A776">
        <v>775</v>
      </c>
      <c r="B776" t="s">
        <v>6049</v>
      </c>
      <c r="C776" s="1">
        <v>42528</v>
      </c>
      <c r="D776" s="22">
        <f>MONTH(Table10[[#This Row],[Order Date]])</f>
        <v>6</v>
      </c>
      <c r="E776" t="s">
        <v>765</v>
      </c>
      <c r="F776" t="s">
        <v>766</v>
      </c>
      <c r="G776" s="23" t="s">
        <v>41</v>
      </c>
      <c r="H776" s="23" t="s">
        <v>82</v>
      </c>
      <c r="I776" t="s">
        <v>664</v>
      </c>
      <c r="J776" t="s">
        <v>92</v>
      </c>
      <c r="K776" s="22">
        <v>1</v>
      </c>
      <c r="L776" s="1">
        <v>42532</v>
      </c>
      <c r="M776" s="22">
        <f>Table10[[#This Row],[Ship Date]]-Table10[[#This Row],[Order Date]]</f>
        <v>4</v>
      </c>
      <c r="N776" t="s">
        <v>45</v>
      </c>
      <c r="O776" t="s">
        <v>23</v>
      </c>
      <c r="P776" t="s">
        <v>38</v>
      </c>
      <c r="Q776" t="s">
        <v>39</v>
      </c>
      <c r="R776" t="s">
        <v>5301</v>
      </c>
      <c r="S776" s="33">
        <v>0</v>
      </c>
      <c r="T776" s="13">
        <v>4.7300000000000004</v>
      </c>
      <c r="U776" s="13">
        <v>2.3176999999999999</v>
      </c>
      <c r="V776" s="21">
        <f>Table10[[#This Row],[Profit]]/Table10[[#This Row],[Sales]]</f>
        <v>0.48999999999999994</v>
      </c>
    </row>
    <row r="777" spans="1:22" x14ac:dyDescent="0.2">
      <c r="A777">
        <v>776</v>
      </c>
      <c r="B777" t="s">
        <v>9924</v>
      </c>
      <c r="C777" s="1">
        <v>42528</v>
      </c>
      <c r="D777" s="22">
        <f>MONTH(Table10[[#This Row],[Order Date]])</f>
        <v>6</v>
      </c>
      <c r="E777" t="s">
        <v>508</v>
      </c>
      <c r="F777" t="s">
        <v>509</v>
      </c>
      <c r="G777" s="23" t="s">
        <v>41</v>
      </c>
      <c r="H777" s="23" t="s">
        <v>240</v>
      </c>
      <c r="I777" t="s">
        <v>9701</v>
      </c>
      <c r="J777" t="s">
        <v>92</v>
      </c>
      <c r="K777" s="22">
        <v>6</v>
      </c>
      <c r="L777" s="1">
        <v>42532</v>
      </c>
      <c r="M777" s="22">
        <f>Table10[[#This Row],[Ship Date]]-Table10[[#This Row],[Order Date]]</f>
        <v>4</v>
      </c>
      <c r="N777" t="s">
        <v>45</v>
      </c>
      <c r="O777" t="s">
        <v>23</v>
      </c>
      <c r="P777" t="s">
        <v>132</v>
      </c>
      <c r="Q777" t="s">
        <v>133</v>
      </c>
      <c r="R777" t="s">
        <v>131</v>
      </c>
      <c r="S777" s="33">
        <v>0.2</v>
      </c>
      <c r="T777" s="13">
        <v>9.6479999999999997</v>
      </c>
      <c r="U777" s="13">
        <v>3.4973999999999998</v>
      </c>
      <c r="V777" s="21">
        <f>Table10[[#This Row],[Profit]]/Table10[[#This Row],[Sales]]</f>
        <v>0.36249999999999999</v>
      </c>
    </row>
    <row r="778" spans="1:22" x14ac:dyDescent="0.2">
      <c r="A778">
        <v>777</v>
      </c>
      <c r="B778" t="s">
        <v>4231</v>
      </c>
      <c r="C778" s="1">
        <v>42530</v>
      </c>
      <c r="D778" s="22">
        <f>MONTH(Table10[[#This Row],[Order Date]])</f>
        <v>6</v>
      </c>
      <c r="E778" t="s">
        <v>4232</v>
      </c>
      <c r="F778" t="s">
        <v>4233</v>
      </c>
      <c r="G778" s="23" t="s">
        <v>64</v>
      </c>
      <c r="H778" s="23" t="s">
        <v>65</v>
      </c>
      <c r="I778" t="s">
        <v>3062</v>
      </c>
      <c r="J778" t="s">
        <v>22</v>
      </c>
      <c r="K778" s="22">
        <v>3</v>
      </c>
      <c r="L778" s="1">
        <v>42536</v>
      </c>
      <c r="M778" s="22">
        <f>Table10[[#This Row],[Ship Date]]-Table10[[#This Row],[Order Date]]</f>
        <v>6</v>
      </c>
      <c r="N778" t="s">
        <v>45</v>
      </c>
      <c r="O778" t="s">
        <v>23</v>
      </c>
      <c r="P778" t="s">
        <v>38</v>
      </c>
      <c r="Q778" t="s">
        <v>39</v>
      </c>
      <c r="R778" t="s">
        <v>37</v>
      </c>
      <c r="S778" s="33">
        <v>0.2</v>
      </c>
      <c r="T778" s="13">
        <v>177.48</v>
      </c>
      <c r="U778" s="13">
        <v>19.9665</v>
      </c>
      <c r="V778" s="21">
        <f>Table10[[#This Row],[Profit]]/Table10[[#This Row],[Sales]]</f>
        <v>0.1125</v>
      </c>
    </row>
    <row r="779" spans="1:22" x14ac:dyDescent="0.2">
      <c r="A779">
        <v>778</v>
      </c>
      <c r="B779" t="s">
        <v>5359</v>
      </c>
      <c r="C779" s="1">
        <v>42530</v>
      </c>
      <c r="D779" s="22">
        <f>MONTH(Table10[[#This Row],[Order Date]])</f>
        <v>6</v>
      </c>
      <c r="E779" t="s">
        <v>3268</v>
      </c>
      <c r="F779" t="s">
        <v>3269</v>
      </c>
      <c r="G779" s="23" t="s">
        <v>64</v>
      </c>
      <c r="H779" s="23" t="s">
        <v>602</v>
      </c>
      <c r="I779" t="s">
        <v>5165</v>
      </c>
      <c r="J779" t="s">
        <v>22</v>
      </c>
      <c r="K779" s="22">
        <v>2</v>
      </c>
      <c r="L779" s="1">
        <v>42533</v>
      </c>
      <c r="M779" s="22">
        <f>Table10[[#This Row],[Ship Date]]-Table10[[#This Row],[Order Date]]</f>
        <v>3</v>
      </c>
      <c r="N779" t="s">
        <v>169</v>
      </c>
      <c r="O779" t="s">
        <v>23</v>
      </c>
      <c r="P779" t="s">
        <v>48</v>
      </c>
      <c r="Q779" t="s">
        <v>26</v>
      </c>
      <c r="R779" t="s">
        <v>5021</v>
      </c>
      <c r="S779" s="33">
        <v>0.5</v>
      </c>
      <c r="T779" s="13">
        <v>695.7</v>
      </c>
      <c r="U779" s="13">
        <v>-27.827999999999999</v>
      </c>
      <c r="V779" s="21">
        <f>Table10[[#This Row],[Profit]]/Table10[[#This Row],[Sales]]</f>
        <v>-3.9999999999999994E-2</v>
      </c>
    </row>
    <row r="780" spans="1:22" x14ac:dyDescent="0.2">
      <c r="A780">
        <v>779</v>
      </c>
      <c r="B780" t="s">
        <v>7508</v>
      </c>
      <c r="C780" s="1">
        <v>42530</v>
      </c>
      <c r="D780" s="22">
        <f>MONTH(Table10[[#This Row],[Order Date]])</f>
        <v>6</v>
      </c>
      <c r="E780" t="s">
        <v>134</v>
      </c>
      <c r="F780" t="s">
        <v>135</v>
      </c>
      <c r="G780" s="23" t="s">
        <v>28</v>
      </c>
      <c r="H780" s="23" t="s">
        <v>32</v>
      </c>
      <c r="I780" t="s">
        <v>1571</v>
      </c>
      <c r="J780" t="s">
        <v>22</v>
      </c>
      <c r="K780" s="22">
        <v>3</v>
      </c>
      <c r="L780" s="1">
        <v>42535</v>
      </c>
      <c r="M780" s="22">
        <f>Table10[[#This Row],[Ship Date]]-Table10[[#This Row],[Order Date]]</f>
        <v>5</v>
      </c>
      <c r="N780" t="s">
        <v>45</v>
      </c>
      <c r="O780" t="s">
        <v>23</v>
      </c>
      <c r="P780" t="s">
        <v>38</v>
      </c>
      <c r="Q780" t="s">
        <v>39</v>
      </c>
      <c r="R780" t="s">
        <v>114</v>
      </c>
      <c r="S780" s="33">
        <v>0.2</v>
      </c>
      <c r="T780" s="13">
        <v>122.352</v>
      </c>
      <c r="U780" s="13">
        <v>13.7646</v>
      </c>
      <c r="V780" s="21">
        <f>Table10[[#This Row],[Profit]]/Table10[[#This Row],[Sales]]</f>
        <v>0.11249999999999999</v>
      </c>
    </row>
    <row r="781" spans="1:22" x14ac:dyDescent="0.2">
      <c r="A781">
        <v>780</v>
      </c>
      <c r="B781" t="s">
        <v>7878</v>
      </c>
      <c r="C781" s="1">
        <v>42530</v>
      </c>
      <c r="D781" s="22">
        <f>MONTH(Table10[[#This Row],[Order Date]])</f>
        <v>6</v>
      </c>
      <c r="E781" t="s">
        <v>7502</v>
      </c>
      <c r="F781" t="s">
        <v>7503</v>
      </c>
      <c r="G781" s="23" t="s">
        <v>28</v>
      </c>
      <c r="H781" s="23" t="s">
        <v>50</v>
      </c>
      <c r="I781" t="s">
        <v>5603</v>
      </c>
      <c r="J781" t="s">
        <v>92</v>
      </c>
      <c r="K781" s="22">
        <v>3</v>
      </c>
      <c r="L781" s="1">
        <v>42537</v>
      </c>
      <c r="M781" s="22">
        <f>Table10[[#This Row],[Ship Date]]-Table10[[#This Row],[Order Date]]</f>
        <v>7</v>
      </c>
      <c r="N781" t="s">
        <v>45</v>
      </c>
      <c r="O781" t="s">
        <v>23</v>
      </c>
      <c r="P781" t="s">
        <v>204</v>
      </c>
      <c r="Q781" t="s">
        <v>95</v>
      </c>
      <c r="R781" t="s">
        <v>364</v>
      </c>
      <c r="S781" s="33">
        <v>0</v>
      </c>
      <c r="T781" s="13">
        <v>692.94</v>
      </c>
      <c r="U781" s="13">
        <v>173.23500000000001</v>
      </c>
      <c r="V781" s="21">
        <f>Table10[[#This Row],[Profit]]/Table10[[#This Row],[Sales]]</f>
        <v>0.25</v>
      </c>
    </row>
    <row r="782" spans="1:22" x14ac:dyDescent="0.2">
      <c r="A782">
        <v>781</v>
      </c>
      <c r="B782" t="s">
        <v>1673</v>
      </c>
      <c r="C782" s="1">
        <v>42531</v>
      </c>
      <c r="D782" s="22">
        <f>MONTH(Table10[[#This Row],[Order Date]])</f>
        <v>6</v>
      </c>
      <c r="E782" t="s">
        <v>1675</v>
      </c>
      <c r="F782" t="s">
        <v>1676</v>
      </c>
      <c r="G782" s="23" t="s">
        <v>41</v>
      </c>
      <c r="H782" s="23" t="s">
        <v>42</v>
      </c>
      <c r="I782" t="s">
        <v>1674</v>
      </c>
      <c r="J782" t="s">
        <v>22</v>
      </c>
      <c r="K782" s="22">
        <v>2</v>
      </c>
      <c r="L782" s="1">
        <v>42536</v>
      </c>
      <c r="M782" s="22">
        <f>Table10[[#This Row],[Ship Date]]-Table10[[#This Row],[Order Date]]</f>
        <v>5</v>
      </c>
      <c r="N782" t="s">
        <v>45</v>
      </c>
      <c r="O782" t="s">
        <v>23</v>
      </c>
      <c r="P782" t="s">
        <v>38</v>
      </c>
      <c r="Q782" t="s">
        <v>39</v>
      </c>
      <c r="R782" t="s">
        <v>37</v>
      </c>
      <c r="S782" s="33">
        <v>0</v>
      </c>
      <c r="T782" s="13">
        <v>20.7</v>
      </c>
      <c r="U782" s="13">
        <v>9.9359999999999999</v>
      </c>
      <c r="V782" s="21">
        <f>Table10[[#This Row],[Profit]]/Table10[[#This Row],[Sales]]</f>
        <v>0.48000000000000004</v>
      </c>
    </row>
    <row r="783" spans="1:22" x14ac:dyDescent="0.2">
      <c r="A783">
        <v>782</v>
      </c>
      <c r="B783" t="s">
        <v>1673</v>
      </c>
      <c r="C783" s="1">
        <v>42531</v>
      </c>
      <c r="D783" s="22">
        <f>MONTH(Table10[[#This Row],[Order Date]])</f>
        <v>6</v>
      </c>
      <c r="E783" t="s">
        <v>1677</v>
      </c>
      <c r="F783" t="s">
        <v>1678</v>
      </c>
      <c r="G783" s="23" t="s">
        <v>28</v>
      </c>
      <c r="H783" s="23" t="s">
        <v>50</v>
      </c>
      <c r="I783" t="s">
        <v>1674</v>
      </c>
      <c r="J783" t="s">
        <v>22</v>
      </c>
      <c r="K783" s="22">
        <v>4</v>
      </c>
      <c r="L783" s="1">
        <v>42536</v>
      </c>
      <c r="M783" s="22">
        <f>Table10[[#This Row],[Ship Date]]-Table10[[#This Row],[Order Date]]</f>
        <v>5</v>
      </c>
      <c r="N783" t="s">
        <v>45</v>
      </c>
      <c r="O783" t="s">
        <v>23</v>
      </c>
      <c r="P783" t="s">
        <v>38</v>
      </c>
      <c r="Q783" t="s">
        <v>39</v>
      </c>
      <c r="R783" t="s">
        <v>37</v>
      </c>
      <c r="S783" s="33">
        <v>0.2</v>
      </c>
      <c r="T783" s="13">
        <v>1335.68</v>
      </c>
      <c r="U783" s="13">
        <v>-217.048</v>
      </c>
      <c r="V783" s="21">
        <f>Table10[[#This Row],[Profit]]/Table10[[#This Row],[Sales]]</f>
        <v>-0.16250000000000001</v>
      </c>
    </row>
    <row r="784" spans="1:22" x14ac:dyDescent="0.2">
      <c r="A784">
        <v>783</v>
      </c>
      <c r="B784" t="s">
        <v>1673</v>
      </c>
      <c r="C784" s="1">
        <v>42531</v>
      </c>
      <c r="D784" s="22">
        <f>MONTH(Table10[[#This Row],[Order Date]])</f>
        <v>6</v>
      </c>
      <c r="E784" t="s">
        <v>1679</v>
      </c>
      <c r="F784" t="s">
        <v>1680</v>
      </c>
      <c r="G784" s="23" t="s">
        <v>41</v>
      </c>
      <c r="H784" s="23" t="s">
        <v>82</v>
      </c>
      <c r="I784" t="s">
        <v>1674</v>
      </c>
      <c r="J784" t="s">
        <v>22</v>
      </c>
      <c r="K784" s="22">
        <v>5</v>
      </c>
      <c r="L784" s="1">
        <v>42536</v>
      </c>
      <c r="M784" s="22">
        <f>Table10[[#This Row],[Ship Date]]-Table10[[#This Row],[Order Date]]</f>
        <v>5</v>
      </c>
      <c r="N784" t="s">
        <v>45</v>
      </c>
      <c r="O784" t="s">
        <v>23</v>
      </c>
      <c r="P784" t="s">
        <v>38</v>
      </c>
      <c r="Q784" t="s">
        <v>39</v>
      </c>
      <c r="R784" t="s">
        <v>37</v>
      </c>
      <c r="S784" s="33">
        <v>0</v>
      </c>
      <c r="T784" s="13">
        <v>32.4</v>
      </c>
      <c r="U784" s="13">
        <v>15.552</v>
      </c>
      <c r="V784" s="21">
        <f>Table10[[#This Row],[Profit]]/Table10[[#This Row],[Sales]]</f>
        <v>0.48</v>
      </c>
    </row>
    <row r="785" spans="1:22" x14ac:dyDescent="0.2">
      <c r="A785">
        <v>784</v>
      </c>
      <c r="B785" t="s">
        <v>6881</v>
      </c>
      <c r="C785" s="1">
        <v>42531</v>
      </c>
      <c r="D785" s="22">
        <f>MONTH(Table10[[#This Row],[Order Date]])</f>
        <v>6</v>
      </c>
      <c r="E785" t="s">
        <v>6645</v>
      </c>
      <c r="F785" t="s">
        <v>6646</v>
      </c>
      <c r="G785" s="23" t="s">
        <v>41</v>
      </c>
      <c r="H785" s="23" t="s">
        <v>42</v>
      </c>
      <c r="I785" t="s">
        <v>5549</v>
      </c>
      <c r="J785" t="s">
        <v>22</v>
      </c>
      <c r="K785" s="22">
        <v>8</v>
      </c>
      <c r="L785" s="1">
        <v>42533</v>
      </c>
      <c r="M785" s="22">
        <f>Table10[[#This Row],[Ship Date]]-Table10[[#This Row],[Order Date]]</f>
        <v>2</v>
      </c>
      <c r="N785" t="s">
        <v>169</v>
      </c>
      <c r="O785" t="s">
        <v>23</v>
      </c>
      <c r="P785" t="s">
        <v>132</v>
      </c>
      <c r="Q785" t="s">
        <v>133</v>
      </c>
      <c r="R785" t="s">
        <v>131</v>
      </c>
      <c r="S785" s="33">
        <v>0.2</v>
      </c>
      <c r="T785" s="13">
        <v>23.616</v>
      </c>
      <c r="U785" s="13">
        <v>7.9703999999999997</v>
      </c>
      <c r="V785" s="21">
        <f>Table10[[#This Row],[Profit]]/Table10[[#This Row],[Sales]]</f>
        <v>0.33749999999999997</v>
      </c>
    </row>
    <row r="786" spans="1:22" x14ac:dyDescent="0.2">
      <c r="A786">
        <v>785</v>
      </c>
      <c r="B786" t="s">
        <v>4873</v>
      </c>
      <c r="C786" s="1">
        <v>42532</v>
      </c>
      <c r="D786" s="22">
        <f>MONTH(Table10[[#This Row],[Order Date]])</f>
        <v>6</v>
      </c>
      <c r="E786" t="s">
        <v>4874</v>
      </c>
      <c r="F786" t="s">
        <v>4875</v>
      </c>
      <c r="G786" s="23" t="s">
        <v>41</v>
      </c>
      <c r="H786" s="23" t="s">
        <v>68</v>
      </c>
      <c r="I786" t="s">
        <v>683</v>
      </c>
      <c r="J786" t="s">
        <v>36</v>
      </c>
      <c r="K786" s="22">
        <v>4</v>
      </c>
      <c r="L786" s="1">
        <v>42538</v>
      </c>
      <c r="M786" s="22">
        <f>Table10[[#This Row],[Ship Date]]-Table10[[#This Row],[Order Date]]</f>
        <v>6</v>
      </c>
      <c r="N786" t="s">
        <v>45</v>
      </c>
      <c r="O786" t="s">
        <v>23</v>
      </c>
      <c r="P786" t="s">
        <v>94</v>
      </c>
      <c r="Q786" t="s">
        <v>95</v>
      </c>
      <c r="R786" t="s">
        <v>997</v>
      </c>
      <c r="S786" s="33">
        <v>0.8</v>
      </c>
      <c r="T786" s="13">
        <v>1.3440000000000001</v>
      </c>
      <c r="U786" s="13">
        <v>-2.1503999999999999</v>
      </c>
      <c r="V786" s="21">
        <f>Table10[[#This Row],[Profit]]/Table10[[#This Row],[Sales]]</f>
        <v>-1.5999999999999999</v>
      </c>
    </row>
    <row r="787" spans="1:22" x14ac:dyDescent="0.2">
      <c r="A787">
        <v>786</v>
      </c>
      <c r="B787" t="s">
        <v>4873</v>
      </c>
      <c r="C787" s="1">
        <v>42532</v>
      </c>
      <c r="D787" s="22">
        <f>MONTH(Table10[[#This Row],[Order Date]])</f>
        <v>6</v>
      </c>
      <c r="E787" t="s">
        <v>4876</v>
      </c>
      <c r="F787" t="s">
        <v>4877</v>
      </c>
      <c r="G787" s="23" t="s">
        <v>41</v>
      </c>
      <c r="H787" s="23" t="s">
        <v>68</v>
      </c>
      <c r="I787" t="s">
        <v>683</v>
      </c>
      <c r="J787" t="s">
        <v>36</v>
      </c>
      <c r="K787" s="22">
        <v>4</v>
      </c>
      <c r="L787" s="1">
        <v>42538</v>
      </c>
      <c r="M787" s="22">
        <f>Table10[[#This Row],[Ship Date]]-Table10[[#This Row],[Order Date]]</f>
        <v>6</v>
      </c>
      <c r="N787" t="s">
        <v>45</v>
      </c>
      <c r="O787" t="s">
        <v>23</v>
      </c>
      <c r="P787" t="s">
        <v>94</v>
      </c>
      <c r="Q787" t="s">
        <v>95</v>
      </c>
      <c r="R787" t="s">
        <v>997</v>
      </c>
      <c r="S787" s="33">
        <v>0.8</v>
      </c>
      <c r="T787" s="13">
        <v>8.2720000000000002</v>
      </c>
      <c r="U787" s="13">
        <v>-13.6488</v>
      </c>
      <c r="V787" s="21">
        <f>Table10[[#This Row],[Profit]]/Table10[[#This Row],[Sales]]</f>
        <v>-1.65</v>
      </c>
    </row>
    <row r="788" spans="1:22" x14ac:dyDescent="0.2">
      <c r="A788">
        <v>787</v>
      </c>
      <c r="B788" t="s">
        <v>4873</v>
      </c>
      <c r="C788" s="1">
        <v>42532</v>
      </c>
      <c r="D788" s="22">
        <f>MONTH(Table10[[#This Row],[Order Date]])</f>
        <v>6</v>
      </c>
      <c r="E788" t="s">
        <v>3768</v>
      </c>
      <c r="F788" t="s">
        <v>3769</v>
      </c>
      <c r="G788" s="23" t="s">
        <v>28</v>
      </c>
      <c r="H788" s="23" t="s">
        <v>58</v>
      </c>
      <c r="I788" t="s">
        <v>683</v>
      </c>
      <c r="J788" t="s">
        <v>36</v>
      </c>
      <c r="K788" s="22">
        <v>7</v>
      </c>
      <c r="L788" s="1">
        <v>42538</v>
      </c>
      <c r="M788" s="22">
        <f>Table10[[#This Row],[Ship Date]]-Table10[[#This Row],[Order Date]]</f>
        <v>6</v>
      </c>
      <c r="N788" t="s">
        <v>45</v>
      </c>
      <c r="O788" t="s">
        <v>23</v>
      </c>
      <c r="P788" t="s">
        <v>94</v>
      </c>
      <c r="Q788" t="s">
        <v>95</v>
      </c>
      <c r="R788" t="s">
        <v>997</v>
      </c>
      <c r="S788" s="33">
        <v>0.6</v>
      </c>
      <c r="T788" s="13">
        <v>12.544</v>
      </c>
      <c r="U788" s="13">
        <v>-9.0944000000000003</v>
      </c>
      <c r="V788" s="21">
        <f>Table10[[#This Row],[Profit]]/Table10[[#This Row],[Sales]]</f>
        <v>-0.72499999999999998</v>
      </c>
    </row>
    <row r="789" spans="1:22" x14ac:dyDescent="0.2">
      <c r="A789">
        <v>788</v>
      </c>
      <c r="B789" t="s">
        <v>5273</v>
      </c>
      <c r="C789" s="1">
        <v>42532</v>
      </c>
      <c r="D789" s="22">
        <f>MONTH(Table10[[#This Row],[Order Date]])</f>
        <v>6</v>
      </c>
      <c r="E789" t="s">
        <v>2257</v>
      </c>
      <c r="F789" t="s">
        <v>2258</v>
      </c>
      <c r="G789" s="23" t="s">
        <v>64</v>
      </c>
      <c r="H789" s="23" t="s">
        <v>144</v>
      </c>
      <c r="I789" t="s">
        <v>2192</v>
      </c>
      <c r="J789" t="s">
        <v>22</v>
      </c>
      <c r="K789" s="22">
        <v>3</v>
      </c>
      <c r="L789" s="1">
        <v>42534</v>
      </c>
      <c r="M789" s="22">
        <f>Table10[[#This Row],[Ship Date]]-Table10[[#This Row],[Order Date]]</f>
        <v>2</v>
      </c>
      <c r="N789" t="s">
        <v>20</v>
      </c>
      <c r="O789" t="s">
        <v>23</v>
      </c>
      <c r="P789" t="s">
        <v>238</v>
      </c>
      <c r="Q789" t="s">
        <v>133</v>
      </c>
      <c r="R789" t="s">
        <v>237</v>
      </c>
      <c r="S789" s="33">
        <v>0</v>
      </c>
      <c r="T789" s="13">
        <v>239.97</v>
      </c>
      <c r="U789" s="13">
        <v>71.991</v>
      </c>
      <c r="V789" s="21">
        <f>Table10[[#This Row],[Profit]]/Table10[[#This Row],[Sales]]</f>
        <v>0.3</v>
      </c>
    </row>
    <row r="790" spans="1:22" x14ac:dyDescent="0.2">
      <c r="A790">
        <v>789</v>
      </c>
      <c r="B790" t="s">
        <v>7649</v>
      </c>
      <c r="C790" s="1">
        <v>42532</v>
      </c>
      <c r="D790" s="22">
        <f>MONTH(Table10[[#This Row],[Order Date]])</f>
        <v>6</v>
      </c>
      <c r="E790" t="s">
        <v>2309</v>
      </c>
      <c r="F790" t="s">
        <v>2310</v>
      </c>
      <c r="G790" s="23" t="s">
        <v>41</v>
      </c>
      <c r="H790" s="23" t="s">
        <v>42</v>
      </c>
      <c r="I790" t="s">
        <v>2478</v>
      </c>
      <c r="J790" t="s">
        <v>22</v>
      </c>
      <c r="K790" s="22">
        <v>2</v>
      </c>
      <c r="L790" s="1">
        <v>42536</v>
      </c>
      <c r="M790" s="22">
        <f>Table10[[#This Row],[Ship Date]]-Table10[[#This Row],[Order Date]]</f>
        <v>4</v>
      </c>
      <c r="N790" t="s">
        <v>45</v>
      </c>
      <c r="O790" t="s">
        <v>23</v>
      </c>
      <c r="P790" t="s">
        <v>87</v>
      </c>
      <c r="Q790" t="s">
        <v>39</v>
      </c>
      <c r="R790" t="s">
        <v>86</v>
      </c>
      <c r="S790" s="33">
        <v>0</v>
      </c>
      <c r="T790" s="13">
        <v>14.62</v>
      </c>
      <c r="U790" s="13">
        <v>6.8714000000000004</v>
      </c>
      <c r="V790" s="21">
        <f>Table10[[#This Row],[Profit]]/Table10[[#This Row],[Sales]]</f>
        <v>0.47000000000000003</v>
      </c>
    </row>
    <row r="791" spans="1:22" x14ac:dyDescent="0.2">
      <c r="A791">
        <v>790</v>
      </c>
      <c r="B791" t="s">
        <v>7649</v>
      </c>
      <c r="C791" s="1">
        <v>42532</v>
      </c>
      <c r="D791" s="22">
        <f>MONTH(Table10[[#This Row],[Order Date]])</f>
        <v>6</v>
      </c>
      <c r="E791" t="s">
        <v>1857</v>
      </c>
      <c r="F791" t="s">
        <v>1858</v>
      </c>
      <c r="G791" s="23" t="s">
        <v>41</v>
      </c>
      <c r="H791" s="23" t="s">
        <v>68</v>
      </c>
      <c r="I791" t="s">
        <v>2478</v>
      </c>
      <c r="J791" t="s">
        <v>22</v>
      </c>
      <c r="K791" s="22">
        <v>14</v>
      </c>
      <c r="L791" s="1">
        <v>42536</v>
      </c>
      <c r="M791" s="22">
        <f>Table10[[#This Row],[Ship Date]]-Table10[[#This Row],[Order Date]]</f>
        <v>4</v>
      </c>
      <c r="N791" t="s">
        <v>45</v>
      </c>
      <c r="O791" t="s">
        <v>23</v>
      </c>
      <c r="P791" t="s">
        <v>87</v>
      </c>
      <c r="Q791" t="s">
        <v>39</v>
      </c>
      <c r="R791" t="s">
        <v>86</v>
      </c>
      <c r="S791" s="33">
        <v>0.2</v>
      </c>
      <c r="T791" s="13">
        <v>53.984000000000002</v>
      </c>
      <c r="U791" s="13">
        <v>17.544799999999999</v>
      </c>
      <c r="V791" s="21">
        <f>Table10[[#This Row],[Profit]]/Table10[[#This Row],[Sales]]</f>
        <v>0.32499999999999996</v>
      </c>
    </row>
    <row r="792" spans="1:22" x14ac:dyDescent="0.2">
      <c r="A792">
        <v>791</v>
      </c>
      <c r="B792" t="s">
        <v>7649</v>
      </c>
      <c r="C792" s="1">
        <v>42532</v>
      </c>
      <c r="D792" s="22">
        <f>MONTH(Table10[[#This Row],[Order Date]])</f>
        <v>6</v>
      </c>
      <c r="E792" t="s">
        <v>4726</v>
      </c>
      <c r="F792" t="s">
        <v>4727</v>
      </c>
      <c r="G792" s="23" t="s">
        <v>64</v>
      </c>
      <c r="H792" s="23" t="s">
        <v>144</v>
      </c>
      <c r="I792" t="s">
        <v>2478</v>
      </c>
      <c r="J792" t="s">
        <v>22</v>
      </c>
      <c r="K792" s="22">
        <v>3</v>
      </c>
      <c r="L792" s="1">
        <v>42536</v>
      </c>
      <c r="M792" s="22">
        <f>Table10[[#This Row],[Ship Date]]-Table10[[#This Row],[Order Date]]</f>
        <v>4</v>
      </c>
      <c r="N792" t="s">
        <v>45</v>
      </c>
      <c r="O792" t="s">
        <v>23</v>
      </c>
      <c r="P792" t="s">
        <v>87</v>
      </c>
      <c r="Q792" t="s">
        <v>39</v>
      </c>
      <c r="R792" t="s">
        <v>86</v>
      </c>
      <c r="S792" s="33">
        <v>0</v>
      </c>
      <c r="T792" s="13">
        <v>389.97</v>
      </c>
      <c r="U792" s="13">
        <v>132.5898</v>
      </c>
      <c r="V792" s="21">
        <f>Table10[[#This Row],[Profit]]/Table10[[#This Row],[Sales]]</f>
        <v>0.33999999999999997</v>
      </c>
    </row>
    <row r="793" spans="1:22" x14ac:dyDescent="0.2">
      <c r="A793">
        <v>792</v>
      </c>
      <c r="B793" t="s">
        <v>9203</v>
      </c>
      <c r="C793" s="1">
        <v>42532</v>
      </c>
      <c r="D793" s="22">
        <f>MONTH(Table10[[#This Row],[Order Date]])</f>
        <v>6</v>
      </c>
      <c r="E793" t="s">
        <v>796</v>
      </c>
      <c r="F793" t="s">
        <v>797</v>
      </c>
      <c r="G793" s="23" t="s">
        <v>28</v>
      </c>
      <c r="H793" s="23" t="s">
        <v>50</v>
      </c>
      <c r="I793" t="s">
        <v>2029</v>
      </c>
      <c r="J793" t="s">
        <v>22</v>
      </c>
      <c r="K793" s="22">
        <v>3</v>
      </c>
      <c r="L793" s="1">
        <v>42537</v>
      </c>
      <c r="M793" s="22">
        <f>Table10[[#This Row],[Ship Date]]-Table10[[#This Row],[Order Date]]</f>
        <v>5</v>
      </c>
      <c r="N793" t="s">
        <v>45</v>
      </c>
      <c r="O793" t="s">
        <v>23</v>
      </c>
      <c r="P793" t="s">
        <v>38</v>
      </c>
      <c r="Q793" t="s">
        <v>39</v>
      </c>
      <c r="R793" t="s">
        <v>37</v>
      </c>
      <c r="S793" s="33">
        <v>0.2</v>
      </c>
      <c r="T793" s="13">
        <v>902.71199999999999</v>
      </c>
      <c r="U793" s="13">
        <v>33.851700000000001</v>
      </c>
      <c r="V793" s="21">
        <f>Table10[[#This Row],[Profit]]/Table10[[#This Row],[Sales]]</f>
        <v>3.7499999999999999E-2</v>
      </c>
    </row>
    <row r="794" spans="1:22" x14ac:dyDescent="0.2">
      <c r="A794">
        <v>793</v>
      </c>
      <c r="B794" t="s">
        <v>34</v>
      </c>
      <c r="C794" s="1">
        <v>42533</v>
      </c>
      <c r="D794" s="22">
        <f>MONTH(Table10[[#This Row],[Order Date]])</f>
        <v>6</v>
      </c>
      <c r="E794" t="s">
        <v>40</v>
      </c>
      <c r="F794" t="s">
        <v>43</v>
      </c>
      <c r="G794" s="23" t="s">
        <v>41</v>
      </c>
      <c r="H794" s="23" t="s">
        <v>42</v>
      </c>
      <c r="I794" t="s">
        <v>35</v>
      </c>
      <c r="J794" t="s">
        <v>36</v>
      </c>
      <c r="K794" s="22">
        <v>2</v>
      </c>
      <c r="L794" s="1">
        <v>42537</v>
      </c>
      <c r="M794" s="22">
        <f>Table10[[#This Row],[Ship Date]]-Table10[[#This Row],[Order Date]]</f>
        <v>4</v>
      </c>
      <c r="N794" t="s">
        <v>20</v>
      </c>
      <c r="O794" t="s">
        <v>23</v>
      </c>
      <c r="P794" t="s">
        <v>38</v>
      </c>
      <c r="Q794" t="s">
        <v>39</v>
      </c>
      <c r="R794" t="s">
        <v>37</v>
      </c>
      <c r="S794" s="33">
        <v>0</v>
      </c>
      <c r="T794" s="13">
        <v>14.62</v>
      </c>
      <c r="U794" s="13">
        <v>6.8714000000000004</v>
      </c>
      <c r="V794" s="21">
        <f>Table10[[#This Row],[Profit]]/Table10[[#This Row],[Sales]]</f>
        <v>0.47000000000000003</v>
      </c>
    </row>
    <row r="795" spans="1:22" x14ac:dyDescent="0.2">
      <c r="A795">
        <v>794</v>
      </c>
      <c r="B795" t="s">
        <v>317</v>
      </c>
      <c r="C795" s="1">
        <v>42533</v>
      </c>
      <c r="D795" s="22">
        <f>MONTH(Table10[[#This Row],[Order Date]])</f>
        <v>6</v>
      </c>
      <c r="E795" t="s">
        <v>321</v>
      </c>
      <c r="F795" t="s">
        <v>322</v>
      </c>
      <c r="G795" s="23" t="s">
        <v>41</v>
      </c>
      <c r="H795" s="23" t="s">
        <v>71</v>
      </c>
      <c r="I795" t="s">
        <v>318</v>
      </c>
      <c r="J795" t="s">
        <v>36</v>
      </c>
      <c r="K795" s="22">
        <v>1</v>
      </c>
      <c r="L795" s="1">
        <v>42536</v>
      </c>
      <c r="M795" s="22">
        <f>Table10[[#This Row],[Ship Date]]-Table10[[#This Row],[Order Date]]</f>
        <v>3</v>
      </c>
      <c r="N795" t="s">
        <v>169</v>
      </c>
      <c r="O795" t="s">
        <v>23</v>
      </c>
      <c r="P795" t="s">
        <v>320</v>
      </c>
      <c r="Q795" t="s">
        <v>26</v>
      </c>
      <c r="R795" t="s">
        <v>319</v>
      </c>
      <c r="S795" s="33">
        <v>0</v>
      </c>
      <c r="T795" s="13">
        <v>208.16</v>
      </c>
      <c r="U795" s="13">
        <v>56.203200000000002</v>
      </c>
      <c r="V795" s="21">
        <f>Table10[[#This Row],[Profit]]/Table10[[#This Row],[Sales]]</f>
        <v>0.27</v>
      </c>
    </row>
    <row r="796" spans="1:22" x14ac:dyDescent="0.2">
      <c r="A796">
        <v>795</v>
      </c>
      <c r="B796" t="s">
        <v>317</v>
      </c>
      <c r="C796" s="1">
        <v>42533</v>
      </c>
      <c r="D796" s="22">
        <f>MONTH(Table10[[#This Row],[Order Date]])</f>
        <v>6</v>
      </c>
      <c r="E796" t="s">
        <v>323</v>
      </c>
      <c r="F796" t="s">
        <v>324</v>
      </c>
      <c r="G796" s="23" t="s">
        <v>41</v>
      </c>
      <c r="H796" s="23" t="s">
        <v>68</v>
      </c>
      <c r="I796" t="s">
        <v>318</v>
      </c>
      <c r="J796" t="s">
        <v>36</v>
      </c>
      <c r="K796" s="22">
        <v>3</v>
      </c>
      <c r="L796" s="1">
        <v>42536</v>
      </c>
      <c r="M796" s="22">
        <f>Table10[[#This Row],[Ship Date]]-Table10[[#This Row],[Order Date]]</f>
        <v>3</v>
      </c>
      <c r="N796" t="s">
        <v>169</v>
      </c>
      <c r="O796" t="s">
        <v>23</v>
      </c>
      <c r="P796" t="s">
        <v>320</v>
      </c>
      <c r="Q796" t="s">
        <v>26</v>
      </c>
      <c r="R796" t="s">
        <v>319</v>
      </c>
      <c r="S796" s="33">
        <v>0</v>
      </c>
      <c r="T796" s="13">
        <v>16.739999999999998</v>
      </c>
      <c r="U796" s="13">
        <v>8.0351999999999997</v>
      </c>
      <c r="V796" s="21">
        <f>Table10[[#This Row],[Profit]]/Table10[[#This Row],[Sales]]</f>
        <v>0.48000000000000004</v>
      </c>
    </row>
    <row r="797" spans="1:22" x14ac:dyDescent="0.2">
      <c r="A797">
        <v>796</v>
      </c>
      <c r="B797" t="s">
        <v>459</v>
      </c>
      <c r="C797" s="1">
        <v>42533</v>
      </c>
      <c r="D797" s="22">
        <f>MONTH(Table10[[#This Row],[Order Date]])</f>
        <v>6</v>
      </c>
      <c r="E797" t="s">
        <v>462</v>
      </c>
      <c r="F797" t="s">
        <v>463</v>
      </c>
      <c r="G797" s="23" t="s">
        <v>28</v>
      </c>
      <c r="H797" s="23" t="s">
        <v>58</v>
      </c>
      <c r="I797" t="s">
        <v>460</v>
      </c>
      <c r="J797" t="s">
        <v>22</v>
      </c>
      <c r="K797" s="22">
        <v>3</v>
      </c>
      <c r="L797" s="1">
        <v>42536</v>
      </c>
      <c r="M797" s="22">
        <f>Table10[[#This Row],[Ship Date]]-Table10[[#This Row],[Order Date]]</f>
        <v>3</v>
      </c>
      <c r="N797" t="s">
        <v>169</v>
      </c>
      <c r="O797" t="s">
        <v>23</v>
      </c>
      <c r="P797" t="s">
        <v>218</v>
      </c>
      <c r="Q797" t="s">
        <v>133</v>
      </c>
      <c r="R797" t="s">
        <v>461</v>
      </c>
      <c r="S797" s="33">
        <v>0</v>
      </c>
      <c r="T797" s="13">
        <v>47.04</v>
      </c>
      <c r="U797" s="13">
        <v>18.345600000000001</v>
      </c>
      <c r="V797" s="21">
        <f>Table10[[#This Row],[Profit]]/Table10[[#This Row],[Sales]]</f>
        <v>0.39</v>
      </c>
    </row>
    <row r="798" spans="1:22" x14ac:dyDescent="0.2">
      <c r="A798">
        <v>797</v>
      </c>
      <c r="B798" t="s">
        <v>459</v>
      </c>
      <c r="C798" s="1">
        <v>42533</v>
      </c>
      <c r="D798" s="22">
        <f>MONTH(Table10[[#This Row],[Order Date]])</f>
        <v>6</v>
      </c>
      <c r="E798" t="s">
        <v>67</v>
      </c>
      <c r="F798" t="s">
        <v>69</v>
      </c>
      <c r="G798" s="23" t="s">
        <v>41</v>
      </c>
      <c r="H798" s="23" t="s">
        <v>68</v>
      </c>
      <c r="I798" t="s">
        <v>460</v>
      </c>
      <c r="J798" t="s">
        <v>22</v>
      </c>
      <c r="K798" s="22">
        <v>4</v>
      </c>
      <c r="L798" s="1">
        <v>42536</v>
      </c>
      <c r="M798" s="22">
        <f>Table10[[#This Row],[Ship Date]]-Table10[[#This Row],[Order Date]]</f>
        <v>3</v>
      </c>
      <c r="N798" t="s">
        <v>169</v>
      </c>
      <c r="O798" t="s">
        <v>23</v>
      </c>
      <c r="P798" t="s">
        <v>218</v>
      </c>
      <c r="Q798" t="s">
        <v>133</v>
      </c>
      <c r="R798" t="s">
        <v>461</v>
      </c>
      <c r="S798" s="33">
        <v>0</v>
      </c>
      <c r="T798" s="13">
        <v>30.84</v>
      </c>
      <c r="U798" s="13">
        <v>13.878</v>
      </c>
      <c r="V798" s="21">
        <f>Table10[[#This Row],[Profit]]/Table10[[#This Row],[Sales]]</f>
        <v>0.45</v>
      </c>
    </row>
    <row r="799" spans="1:22" x14ac:dyDescent="0.2">
      <c r="A799">
        <v>798</v>
      </c>
      <c r="B799" t="s">
        <v>459</v>
      </c>
      <c r="C799" s="1">
        <v>42533</v>
      </c>
      <c r="D799" s="22">
        <f>MONTH(Table10[[#This Row],[Order Date]])</f>
        <v>6</v>
      </c>
      <c r="E799" t="s">
        <v>464</v>
      </c>
      <c r="F799" t="s">
        <v>465</v>
      </c>
      <c r="G799" s="23" t="s">
        <v>41</v>
      </c>
      <c r="H799" s="23" t="s">
        <v>53</v>
      </c>
      <c r="I799" t="s">
        <v>460</v>
      </c>
      <c r="J799" t="s">
        <v>22</v>
      </c>
      <c r="K799" s="22">
        <v>6</v>
      </c>
      <c r="L799" s="1">
        <v>42536</v>
      </c>
      <c r="M799" s="22">
        <f>Table10[[#This Row],[Ship Date]]-Table10[[#This Row],[Order Date]]</f>
        <v>3</v>
      </c>
      <c r="N799" t="s">
        <v>169</v>
      </c>
      <c r="O799" t="s">
        <v>23</v>
      </c>
      <c r="P799" t="s">
        <v>218</v>
      </c>
      <c r="Q799" t="s">
        <v>133</v>
      </c>
      <c r="R799" t="s">
        <v>461</v>
      </c>
      <c r="S799" s="33">
        <v>0</v>
      </c>
      <c r="T799" s="13">
        <v>226.56</v>
      </c>
      <c r="U799" s="13">
        <v>63.436799999999998</v>
      </c>
      <c r="V799" s="21">
        <f>Table10[[#This Row],[Profit]]/Table10[[#This Row],[Sales]]</f>
        <v>0.27999999999999997</v>
      </c>
    </row>
    <row r="800" spans="1:22" x14ac:dyDescent="0.2">
      <c r="A800">
        <v>799</v>
      </c>
      <c r="B800" t="s">
        <v>459</v>
      </c>
      <c r="C800" s="1">
        <v>42533</v>
      </c>
      <c r="D800" s="22">
        <f>MONTH(Table10[[#This Row],[Order Date]])</f>
        <v>6</v>
      </c>
      <c r="E800" t="s">
        <v>466</v>
      </c>
      <c r="F800" t="s">
        <v>467</v>
      </c>
      <c r="G800" s="23" t="s">
        <v>41</v>
      </c>
      <c r="H800" s="23" t="s">
        <v>155</v>
      </c>
      <c r="I800" t="s">
        <v>460</v>
      </c>
      <c r="J800" t="s">
        <v>22</v>
      </c>
      <c r="K800" s="22">
        <v>9</v>
      </c>
      <c r="L800" s="1">
        <v>42536</v>
      </c>
      <c r="M800" s="22">
        <f>Table10[[#This Row],[Ship Date]]-Table10[[#This Row],[Order Date]]</f>
        <v>3</v>
      </c>
      <c r="N800" t="s">
        <v>169</v>
      </c>
      <c r="O800" t="s">
        <v>23</v>
      </c>
      <c r="P800" t="s">
        <v>218</v>
      </c>
      <c r="Q800" t="s">
        <v>133</v>
      </c>
      <c r="R800" t="s">
        <v>461</v>
      </c>
      <c r="S800" s="33">
        <v>0</v>
      </c>
      <c r="T800" s="13">
        <v>115.02</v>
      </c>
      <c r="U800" s="13">
        <v>51.759</v>
      </c>
      <c r="V800" s="21">
        <f>Table10[[#This Row],[Profit]]/Table10[[#This Row],[Sales]]</f>
        <v>0.45</v>
      </c>
    </row>
    <row r="801" spans="1:22" x14ac:dyDescent="0.2">
      <c r="A801">
        <v>800</v>
      </c>
      <c r="B801" t="s">
        <v>459</v>
      </c>
      <c r="C801" s="1">
        <v>42533</v>
      </c>
      <c r="D801" s="22">
        <f>MONTH(Table10[[#This Row],[Order Date]])</f>
        <v>6</v>
      </c>
      <c r="E801" t="s">
        <v>468</v>
      </c>
      <c r="F801" t="s">
        <v>469</v>
      </c>
      <c r="G801" s="23" t="s">
        <v>64</v>
      </c>
      <c r="H801" s="23" t="s">
        <v>65</v>
      </c>
      <c r="I801" t="s">
        <v>460</v>
      </c>
      <c r="J801" t="s">
        <v>22</v>
      </c>
      <c r="K801" s="22">
        <v>7</v>
      </c>
      <c r="L801" s="1">
        <v>42536</v>
      </c>
      <c r="M801" s="22">
        <f>Table10[[#This Row],[Ship Date]]-Table10[[#This Row],[Order Date]]</f>
        <v>3</v>
      </c>
      <c r="N801" t="s">
        <v>169</v>
      </c>
      <c r="O801" t="s">
        <v>23</v>
      </c>
      <c r="P801" t="s">
        <v>218</v>
      </c>
      <c r="Q801" t="s">
        <v>133</v>
      </c>
      <c r="R801" t="s">
        <v>461</v>
      </c>
      <c r="S801" s="33">
        <v>0</v>
      </c>
      <c r="T801" s="13">
        <v>68.040000000000006</v>
      </c>
      <c r="U801" s="13">
        <v>19.7316</v>
      </c>
      <c r="V801" s="21">
        <f>Table10[[#This Row],[Profit]]/Table10[[#This Row],[Sales]]</f>
        <v>0.28999999999999998</v>
      </c>
    </row>
    <row r="802" spans="1:22" x14ac:dyDescent="0.2">
      <c r="A802">
        <v>801</v>
      </c>
      <c r="B802" t="s">
        <v>1350</v>
      </c>
      <c r="C802" s="1">
        <v>42533</v>
      </c>
      <c r="D802" s="22">
        <f>MONTH(Table10[[#This Row],[Order Date]])</f>
        <v>6</v>
      </c>
      <c r="E802" t="s">
        <v>1352</v>
      </c>
      <c r="F802" t="s">
        <v>1353</v>
      </c>
      <c r="G802" s="23" t="s">
        <v>64</v>
      </c>
      <c r="H802" s="23" t="s">
        <v>602</v>
      </c>
      <c r="I802" t="s">
        <v>1351</v>
      </c>
      <c r="J802" t="s">
        <v>92</v>
      </c>
      <c r="K802" s="22">
        <v>3</v>
      </c>
      <c r="L802" s="1">
        <v>42535</v>
      </c>
      <c r="M802" s="22">
        <f>Table10[[#This Row],[Ship Date]]-Table10[[#This Row],[Order Date]]</f>
        <v>2</v>
      </c>
      <c r="N802" t="s">
        <v>20</v>
      </c>
      <c r="O802" t="s">
        <v>23</v>
      </c>
      <c r="P802" t="s">
        <v>189</v>
      </c>
      <c r="Q802" t="s">
        <v>95</v>
      </c>
      <c r="R802" t="s">
        <v>271</v>
      </c>
      <c r="S802" s="33">
        <v>0.3</v>
      </c>
      <c r="T802" s="13">
        <v>1007.979</v>
      </c>
      <c r="U802" s="13">
        <v>43.199100000000001</v>
      </c>
      <c r="V802" s="21">
        <f>Table10[[#This Row],[Profit]]/Table10[[#This Row],[Sales]]</f>
        <v>4.2857142857142858E-2</v>
      </c>
    </row>
    <row r="803" spans="1:22" x14ac:dyDescent="0.2">
      <c r="A803">
        <v>802</v>
      </c>
      <c r="B803" t="s">
        <v>1350</v>
      </c>
      <c r="C803" s="1">
        <v>42533</v>
      </c>
      <c r="D803" s="22">
        <f>MONTH(Table10[[#This Row],[Order Date]])</f>
        <v>6</v>
      </c>
      <c r="E803" t="s">
        <v>1106</v>
      </c>
      <c r="F803" t="s">
        <v>1275</v>
      </c>
      <c r="G803" s="23" t="s">
        <v>41</v>
      </c>
      <c r="H803" s="23" t="s">
        <v>82</v>
      </c>
      <c r="I803" t="s">
        <v>1351</v>
      </c>
      <c r="J803" t="s">
        <v>92</v>
      </c>
      <c r="K803" s="22">
        <v>7</v>
      </c>
      <c r="L803" s="1">
        <v>42535</v>
      </c>
      <c r="M803" s="22">
        <f>Table10[[#This Row],[Ship Date]]-Table10[[#This Row],[Order Date]]</f>
        <v>2</v>
      </c>
      <c r="N803" t="s">
        <v>20</v>
      </c>
      <c r="O803" t="s">
        <v>23</v>
      </c>
      <c r="P803" t="s">
        <v>189</v>
      </c>
      <c r="Q803" t="s">
        <v>95</v>
      </c>
      <c r="R803" t="s">
        <v>271</v>
      </c>
      <c r="S803" s="33">
        <v>0.2</v>
      </c>
      <c r="T803" s="13">
        <v>313.488</v>
      </c>
      <c r="U803" s="13">
        <v>113.63939999999999</v>
      </c>
      <c r="V803" s="21">
        <f>Table10[[#This Row],[Profit]]/Table10[[#This Row],[Sales]]</f>
        <v>0.36249999999999999</v>
      </c>
    </row>
    <row r="804" spans="1:22" x14ac:dyDescent="0.2">
      <c r="A804">
        <v>803</v>
      </c>
      <c r="B804" t="s">
        <v>5426</v>
      </c>
      <c r="C804" s="1">
        <v>42533</v>
      </c>
      <c r="D804" s="22">
        <f>MONTH(Table10[[#This Row],[Order Date]])</f>
        <v>6</v>
      </c>
      <c r="E804" t="s">
        <v>4307</v>
      </c>
      <c r="F804" t="s">
        <v>4308</v>
      </c>
      <c r="G804" s="23" t="s">
        <v>41</v>
      </c>
      <c r="H804" s="23" t="s">
        <v>82</v>
      </c>
      <c r="I804" t="s">
        <v>1897</v>
      </c>
      <c r="J804" t="s">
        <v>22</v>
      </c>
      <c r="K804" s="22">
        <v>5</v>
      </c>
      <c r="L804" s="1">
        <v>42538</v>
      </c>
      <c r="M804" s="22">
        <f>Table10[[#This Row],[Ship Date]]-Table10[[#This Row],[Order Date]]</f>
        <v>5</v>
      </c>
      <c r="N804" t="s">
        <v>45</v>
      </c>
      <c r="O804" t="s">
        <v>23</v>
      </c>
      <c r="P804" t="s">
        <v>189</v>
      </c>
      <c r="Q804" t="s">
        <v>95</v>
      </c>
      <c r="R804" t="s">
        <v>271</v>
      </c>
      <c r="S804" s="33">
        <v>0.2</v>
      </c>
      <c r="T804" s="13">
        <v>23.12</v>
      </c>
      <c r="U804" s="13">
        <v>8.3810000000000002</v>
      </c>
      <c r="V804" s="21">
        <f>Table10[[#This Row],[Profit]]/Table10[[#This Row],[Sales]]</f>
        <v>0.36249999999999999</v>
      </c>
    </row>
    <row r="805" spans="1:22" x14ac:dyDescent="0.2">
      <c r="A805">
        <v>804</v>
      </c>
      <c r="B805" t="s">
        <v>8532</v>
      </c>
      <c r="C805" s="1">
        <v>42533</v>
      </c>
      <c r="D805" s="22">
        <f>MONTH(Table10[[#This Row],[Order Date]])</f>
        <v>6</v>
      </c>
      <c r="E805" t="s">
        <v>4163</v>
      </c>
      <c r="F805" t="s">
        <v>4164</v>
      </c>
      <c r="G805" s="23" t="s">
        <v>41</v>
      </c>
      <c r="H805" s="23" t="s">
        <v>82</v>
      </c>
      <c r="I805" t="s">
        <v>4300</v>
      </c>
      <c r="J805" t="s">
        <v>22</v>
      </c>
      <c r="K805" s="22">
        <v>3</v>
      </c>
      <c r="L805" s="1">
        <v>42538</v>
      </c>
      <c r="M805" s="22">
        <f>Table10[[#This Row],[Ship Date]]-Table10[[#This Row],[Order Date]]</f>
        <v>5</v>
      </c>
      <c r="N805" t="s">
        <v>45</v>
      </c>
      <c r="O805" t="s">
        <v>23</v>
      </c>
      <c r="P805" t="s">
        <v>238</v>
      </c>
      <c r="Q805" t="s">
        <v>133</v>
      </c>
      <c r="R805" t="s">
        <v>1037</v>
      </c>
      <c r="S805" s="33">
        <v>0</v>
      </c>
      <c r="T805" s="13">
        <v>92.94</v>
      </c>
      <c r="U805" s="13">
        <v>41.823</v>
      </c>
      <c r="V805" s="21">
        <f>Table10[[#This Row],[Profit]]/Table10[[#This Row],[Sales]]</f>
        <v>0.45</v>
      </c>
    </row>
    <row r="806" spans="1:22" x14ac:dyDescent="0.2">
      <c r="A806">
        <v>805</v>
      </c>
      <c r="B806" t="s">
        <v>8532</v>
      </c>
      <c r="C806" s="1">
        <v>42533</v>
      </c>
      <c r="D806" s="22">
        <f>MONTH(Table10[[#This Row],[Order Date]])</f>
        <v>6</v>
      </c>
      <c r="E806" t="s">
        <v>4696</v>
      </c>
      <c r="F806" t="s">
        <v>4697</v>
      </c>
      <c r="G806" s="23" t="s">
        <v>41</v>
      </c>
      <c r="H806" s="23" t="s">
        <v>71</v>
      </c>
      <c r="I806" t="s">
        <v>4300</v>
      </c>
      <c r="J806" t="s">
        <v>22</v>
      </c>
      <c r="K806" s="22">
        <v>3</v>
      </c>
      <c r="L806" s="1">
        <v>42538</v>
      </c>
      <c r="M806" s="22">
        <f>Table10[[#This Row],[Ship Date]]-Table10[[#This Row],[Order Date]]</f>
        <v>5</v>
      </c>
      <c r="N806" t="s">
        <v>45</v>
      </c>
      <c r="O806" t="s">
        <v>23</v>
      </c>
      <c r="P806" t="s">
        <v>238</v>
      </c>
      <c r="Q806" t="s">
        <v>133</v>
      </c>
      <c r="R806" t="s">
        <v>1037</v>
      </c>
      <c r="S806" s="33">
        <v>0</v>
      </c>
      <c r="T806" s="13">
        <v>52.56</v>
      </c>
      <c r="U806" s="13">
        <v>18.396000000000001</v>
      </c>
      <c r="V806" s="21">
        <f>Table10[[#This Row],[Profit]]/Table10[[#This Row],[Sales]]</f>
        <v>0.35</v>
      </c>
    </row>
    <row r="807" spans="1:22" x14ac:dyDescent="0.2">
      <c r="A807">
        <v>806</v>
      </c>
      <c r="B807" t="s">
        <v>9122</v>
      </c>
      <c r="C807" s="1">
        <v>42533</v>
      </c>
      <c r="D807" s="22">
        <f>MONTH(Table10[[#This Row],[Order Date]])</f>
        <v>6</v>
      </c>
      <c r="E807" t="s">
        <v>4163</v>
      </c>
      <c r="F807" t="s">
        <v>4164</v>
      </c>
      <c r="G807" s="23" t="s">
        <v>41</v>
      </c>
      <c r="H807" s="23" t="s">
        <v>82</v>
      </c>
      <c r="I807" t="s">
        <v>789</v>
      </c>
      <c r="J807" t="s">
        <v>36</v>
      </c>
      <c r="K807" s="22">
        <v>6</v>
      </c>
      <c r="L807" s="1">
        <v>42537</v>
      </c>
      <c r="M807" s="22">
        <f>Table10[[#This Row],[Ship Date]]-Table10[[#This Row],[Order Date]]</f>
        <v>4</v>
      </c>
      <c r="N807" t="s">
        <v>45</v>
      </c>
      <c r="O807" t="s">
        <v>23</v>
      </c>
      <c r="P807" t="s">
        <v>38</v>
      </c>
      <c r="Q807" t="s">
        <v>39</v>
      </c>
      <c r="R807" t="s">
        <v>533</v>
      </c>
      <c r="S807" s="33">
        <v>0</v>
      </c>
      <c r="T807" s="13">
        <v>185.88</v>
      </c>
      <c r="U807" s="13">
        <v>83.646000000000001</v>
      </c>
      <c r="V807" s="21">
        <f>Table10[[#This Row],[Profit]]/Table10[[#This Row],[Sales]]</f>
        <v>0.45</v>
      </c>
    </row>
    <row r="808" spans="1:22" x14ac:dyDescent="0.2">
      <c r="A808">
        <v>807</v>
      </c>
      <c r="B808" t="s">
        <v>9122</v>
      </c>
      <c r="C808" s="1">
        <v>42533</v>
      </c>
      <c r="D808" s="22">
        <f>MONTH(Table10[[#This Row],[Order Date]])</f>
        <v>6</v>
      </c>
      <c r="E808" t="s">
        <v>5332</v>
      </c>
      <c r="F808" t="s">
        <v>5333</v>
      </c>
      <c r="G808" s="23" t="s">
        <v>41</v>
      </c>
      <c r="H808" s="23" t="s">
        <v>82</v>
      </c>
      <c r="I808" t="s">
        <v>789</v>
      </c>
      <c r="J808" t="s">
        <v>36</v>
      </c>
      <c r="K808" s="22">
        <v>2</v>
      </c>
      <c r="L808" s="1">
        <v>42537</v>
      </c>
      <c r="M808" s="22">
        <f>Table10[[#This Row],[Ship Date]]-Table10[[#This Row],[Order Date]]</f>
        <v>4</v>
      </c>
      <c r="N808" t="s">
        <v>45</v>
      </c>
      <c r="O808" t="s">
        <v>23</v>
      </c>
      <c r="P808" t="s">
        <v>38</v>
      </c>
      <c r="Q808" t="s">
        <v>39</v>
      </c>
      <c r="R808" t="s">
        <v>533</v>
      </c>
      <c r="S808" s="33">
        <v>0</v>
      </c>
      <c r="T808" s="13">
        <v>12.96</v>
      </c>
      <c r="U808" s="13">
        <v>6.2207999999999997</v>
      </c>
      <c r="V808" s="21">
        <f>Table10[[#This Row],[Profit]]/Table10[[#This Row],[Sales]]</f>
        <v>0.47999999999999993</v>
      </c>
    </row>
    <row r="809" spans="1:22" x14ac:dyDescent="0.2">
      <c r="A809">
        <v>808</v>
      </c>
      <c r="B809" t="s">
        <v>9419</v>
      </c>
      <c r="C809" s="1">
        <v>42533</v>
      </c>
      <c r="D809" s="22">
        <f>MONTH(Table10[[#This Row],[Order Date]])</f>
        <v>6</v>
      </c>
      <c r="E809" t="s">
        <v>5291</v>
      </c>
      <c r="F809" t="s">
        <v>5292</v>
      </c>
      <c r="G809" s="23" t="s">
        <v>41</v>
      </c>
      <c r="H809" s="23" t="s">
        <v>71</v>
      </c>
      <c r="I809" t="s">
        <v>4572</v>
      </c>
      <c r="J809" t="s">
        <v>92</v>
      </c>
      <c r="K809" s="22">
        <v>4</v>
      </c>
      <c r="L809" s="1">
        <v>42537</v>
      </c>
      <c r="M809" s="22">
        <f>Table10[[#This Row],[Ship Date]]-Table10[[#This Row],[Order Date]]</f>
        <v>4</v>
      </c>
      <c r="N809" t="s">
        <v>20</v>
      </c>
      <c r="O809" t="s">
        <v>23</v>
      </c>
      <c r="P809" t="s">
        <v>94</v>
      </c>
      <c r="Q809" t="s">
        <v>95</v>
      </c>
      <c r="R809" t="s">
        <v>165</v>
      </c>
      <c r="S809" s="33">
        <v>0.8</v>
      </c>
      <c r="T809" s="13">
        <v>64.384</v>
      </c>
      <c r="U809" s="13">
        <v>-160.96</v>
      </c>
      <c r="V809" s="21">
        <f>Table10[[#This Row],[Profit]]/Table10[[#This Row],[Sales]]</f>
        <v>-2.5</v>
      </c>
    </row>
    <row r="810" spans="1:22" x14ac:dyDescent="0.2">
      <c r="A810">
        <v>809</v>
      </c>
      <c r="B810" t="s">
        <v>9419</v>
      </c>
      <c r="C810" s="1">
        <v>42533</v>
      </c>
      <c r="D810" s="22">
        <f>MONTH(Table10[[#This Row],[Order Date]])</f>
        <v>6</v>
      </c>
      <c r="E810" t="s">
        <v>2397</v>
      </c>
      <c r="F810" t="s">
        <v>2398</v>
      </c>
      <c r="G810" s="23" t="s">
        <v>28</v>
      </c>
      <c r="H810" s="23" t="s">
        <v>58</v>
      </c>
      <c r="I810" t="s">
        <v>4572</v>
      </c>
      <c r="J810" t="s">
        <v>92</v>
      </c>
      <c r="K810" s="22">
        <v>2</v>
      </c>
      <c r="L810" s="1">
        <v>42537</v>
      </c>
      <c r="M810" s="22">
        <f>Table10[[#This Row],[Ship Date]]-Table10[[#This Row],[Order Date]]</f>
        <v>4</v>
      </c>
      <c r="N810" t="s">
        <v>20</v>
      </c>
      <c r="O810" t="s">
        <v>23</v>
      </c>
      <c r="P810" t="s">
        <v>94</v>
      </c>
      <c r="Q810" t="s">
        <v>95</v>
      </c>
      <c r="R810" t="s">
        <v>165</v>
      </c>
      <c r="S810" s="33">
        <v>0.6</v>
      </c>
      <c r="T810" s="13">
        <v>6.984</v>
      </c>
      <c r="U810" s="13">
        <v>-4.5396000000000001</v>
      </c>
      <c r="V810" s="21">
        <f>Table10[[#This Row],[Profit]]/Table10[[#This Row],[Sales]]</f>
        <v>-0.65</v>
      </c>
    </row>
    <row r="811" spans="1:22" x14ac:dyDescent="0.2">
      <c r="A811">
        <v>810</v>
      </c>
      <c r="B811" t="s">
        <v>9419</v>
      </c>
      <c r="C811" s="1">
        <v>42533</v>
      </c>
      <c r="D811" s="22">
        <f>MONTH(Table10[[#This Row],[Order Date]])</f>
        <v>6</v>
      </c>
      <c r="E811" t="s">
        <v>4588</v>
      </c>
      <c r="F811" t="s">
        <v>4589</v>
      </c>
      <c r="G811" s="23" t="s">
        <v>41</v>
      </c>
      <c r="H811" s="23" t="s">
        <v>61</v>
      </c>
      <c r="I811" t="s">
        <v>4572</v>
      </c>
      <c r="J811" t="s">
        <v>92</v>
      </c>
      <c r="K811" s="22">
        <v>8</v>
      </c>
      <c r="L811" s="1">
        <v>42537</v>
      </c>
      <c r="M811" s="22">
        <f>Table10[[#This Row],[Ship Date]]-Table10[[#This Row],[Order Date]]</f>
        <v>4</v>
      </c>
      <c r="N811" t="s">
        <v>20</v>
      </c>
      <c r="O811" t="s">
        <v>23</v>
      </c>
      <c r="P811" t="s">
        <v>94</v>
      </c>
      <c r="Q811" t="s">
        <v>95</v>
      </c>
      <c r="R811" t="s">
        <v>165</v>
      </c>
      <c r="S811" s="33">
        <v>0.2</v>
      </c>
      <c r="T811" s="13">
        <v>11.263999999999999</v>
      </c>
      <c r="U811" s="13">
        <v>3.9424000000000001</v>
      </c>
      <c r="V811" s="21">
        <f>Table10[[#This Row],[Profit]]/Table10[[#This Row],[Sales]]</f>
        <v>0.35000000000000003</v>
      </c>
    </row>
    <row r="812" spans="1:22" x14ac:dyDescent="0.2">
      <c r="A812">
        <v>811</v>
      </c>
      <c r="B812" t="s">
        <v>9419</v>
      </c>
      <c r="C812" s="1">
        <v>42533</v>
      </c>
      <c r="D812" s="22">
        <f>MONTH(Table10[[#This Row],[Order Date]])</f>
        <v>6</v>
      </c>
      <c r="E812" t="s">
        <v>6600</v>
      </c>
      <c r="F812" t="s">
        <v>6601</v>
      </c>
      <c r="G812" s="23" t="s">
        <v>41</v>
      </c>
      <c r="H812" s="23" t="s">
        <v>82</v>
      </c>
      <c r="I812" t="s">
        <v>4572</v>
      </c>
      <c r="J812" t="s">
        <v>92</v>
      </c>
      <c r="K812" s="22">
        <v>3</v>
      </c>
      <c r="L812" s="1">
        <v>42537</v>
      </c>
      <c r="M812" s="22">
        <f>Table10[[#This Row],[Ship Date]]-Table10[[#This Row],[Order Date]]</f>
        <v>4</v>
      </c>
      <c r="N812" t="s">
        <v>20</v>
      </c>
      <c r="O812" t="s">
        <v>23</v>
      </c>
      <c r="P812" t="s">
        <v>94</v>
      </c>
      <c r="Q812" t="s">
        <v>95</v>
      </c>
      <c r="R812" t="s">
        <v>165</v>
      </c>
      <c r="S812" s="33">
        <v>0.2</v>
      </c>
      <c r="T812" s="13">
        <v>15.552</v>
      </c>
      <c r="U812" s="13">
        <v>5.6375999999999999</v>
      </c>
      <c r="V812" s="21">
        <f>Table10[[#This Row],[Profit]]/Table10[[#This Row],[Sales]]</f>
        <v>0.36249999999999999</v>
      </c>
    </row>
    <row r="813" spans="1:22" x14ac:dyDescent="0.2">
      <c r="A813">
        <v>812</v>
      </c>
      <c r="B813" t="s">
        <v>9419</v>
      </c>
      <c r="C813" s="1">
        <v>42533</v>
      </c>
      <c r="D813" s="22">
        <f>MONTH(Table10[[#This Row],[Order Date]])</f>
        <v>6</v>
      </c>
      <c r="E813" t="s">
        <v>6537</v>
      </c>
      <c r="F813" t="s">
        <v>6538</v>
      </c>
      <c r="G813" s="23" t="s">
        <v>28</v>
      </c>
      <c r="H813" s="23" t="s">
        <v>32</v>
      </c>
      <c r="I813" t="s">
        <v>4572</v>
      </c>
      <c r="J813" t="s">
        <v>92</v>
      </c>
      <c r="K813" s="22">
        <v>2</v>
      </c>
      <c r="L813" s="1">
        <v>42537</v>
      </c>
      <c r="M813" s="22">
        <f>Table10[[#This Row],[Ship Date]]-Table10[[#This Row],[Order Date]]</f>
        <v>4</v>
      </c>
      <c r="N813" t="s">
        <v>20</v>
      </c>
      <c r="O813" t="s">
        <v>23</v>
      </c>
      <c r="P813" t="s">
        <v>94</v>
      </c>
      <c r="Q813" t="s">
        <v>95</v>
      </c>
      <c r="R813" t="s">
        <v>165</v>
      </c>
      <c r="S813" s="33">
        <v>0.3</v>
      </c>
      <c r="T813" s="13">
        <v>379.37200000000001</v>
      </c>
      <c r="U813" s="13">
        <v>-119.2312</v>
      </c>
      <c r="V813" s="21">
        <f>Table10[[#This Row],[Profit]]/Table10[[#This Row],[Sales]]</f>
        <v>-0.31428571428571428</v>
      </c>
    </row>
    <row r="814" spans="1:22" x14ac:dyDescent="0.2">
      <c r="A814">
        <v>813</v>
      </c>
      <c r="B814" t="s">
        <v>9419</v>
      </c>
      <c r="C814" s="1">
        <v>42533</v>
      </c>
      <c r="D814" s="22">
        <f>MONTH(Table10[[#This Row],[Order Date]])</f>
        <v>6</v>
      </c>
      <c r="E814" t="s">
        <v>4224</v>
      </c>
      <c r="F814" t="s">
        <v>2339</v>
      </c>
      <c r="G814" s="23" t="s">
        <v>41</v>
      </c>
      <c r="H814" s="23" t="s">
        <v>53</v>
      </c>
      <c r="I814" t="s">
        <v>4572</v>
      </c>
      <c r="J814" t="s">
        <v>92</v>
      </c>
      <c r="K814" s="22">
        <v>9</v>
      </c>
      <c r="L814" s="1">
        <v>42537</v>
      </c>
      <c r="M814" s="22">
        <f>Table10[[#This Row],[Ship Date]]-Table10[[#This Row],[Order Date]]</f>
        <v>4</v>
      </c>
      <c r="N814" t="s">
        <v>20</v>
      </c>
      <c r="O814" t="s">
        <v>23</v>
      </c>
      <c r="P814" t="s">
        <v>94</v>
      </c>
      <c r="Q814" t="s">
        <v>95</v>
      </c>
      <c r="R814" t="s">
        <v>165</v>
      </c>
      <c r="S814" s="33">
        <v>0.2</v>
      </c>
      <c r="T814" s="13">
        <v>67.536000000000001</v>
      </c>
      <c r="U814" s="13">
        <v>6.7535999999999996</v>
      </c>
      <c r="V814" s="21">
        <f>Table10[[#This Row],[Profit]]/Table10[[#This Row],[Sales]]</f>
        <v>9.9999999999999992E-2</v>
      </c>
    </row>
    <row r="815" spans="1:22" x14ac:dyDescent="0.2">
      <c r="A815">
        <v>814</v>
      </c>
      <c r="B815" t="s">
        <v>9419</v>
      </c>
      <c r="C815" s="1">
        <v>42533</v>
      </c>
      <c r="D815" s="22">
        <f>MONTH(Table10[[#This Row],[Order Date]])</f>
        <v>6</v>
      </c>
      <c r="E815" t="s">
        <v>159</v>
      </c>
      <c r="F815" t="s">
        <v>160</v>
      </c>
      <c r="G815" s="23" t="s">
        <v>41</v>
      </c>
      <c r="H815" s="23" t="s">
        <v>68</v>
      </c>
      <c r="I815" t="s">
        <v>4572</v>
      </c>
      <c r="J815" t="s">
        <v>92</v>
      </c>
      <c r="K815" s="22">
        <v>2</v>
      </c>
      <c r="L815" s="1">
        <v>42537</v>
      </c>
      <c r="M815" s="22">
        <f>Table10[[#This Row],[Ship Date]]-Table10[[#This Row],[Order Date]]</f>
        <v>4</v>
      </c>
      <c r="N815" t="s">
        <v>20</v>
      </c>
      <c r="O815" t="s">
        <v>23</v>
      </c>
      <c r="P815" t="s">
        <v>94</v>
      </c>
      <c r="Q815" t="s">
        <v>95</v>
      </c>
      <c r="R815" t="s">
        <v>165</v>
      </c>
      <c r="S815" s="33">
        <v>0.8</v>
      </c>
      <c r="T815" s="13">
        <v>1.524</v>
      </c>
      <c r="U815" s="13">
        <v>-2.6669999999999998</v>
      </c>
      <c r="V815" s="21">
        <f>Table10[[#This Row],[Profit]]/Table10[[#This Row],[Sales]]</f>
        <v>-1.7499999999999998</v>
      </c>
    </row>
    <row r="816" spans="1:22" x14ac:dyDescent="0.2">
      <c r="A816">
        <v>815</v>
      </c>
      <c r="B816" t="s">
        <v>6120</v>
      </c>
      <c r="C816" s="1">
        <v>42534</v>
      </c>
      <c r="D816" s="22">
        <f>MONTH(Table10[[#This Row],[Order Date]])</f>
        <v>6</v>
      </c>
      <c r="E816" t="s">
        <v>6029</v>
      </c>
      <c r="F816" t="s">
        <v>6030</v>
      </c>
      <c r="G816" s="23" t="s">
        <v>64</v>
      </c>
      <c r="H816" s="23" t="s">
        <v>65</v>
      </c>
      <c r="I816" t="s">
        <v>2465</v>
      </c>
      <c r="J816" t="s">
        <v>92</v>
      </c>
      <c r="K816" s="22">
        <v>3</v>
      </c>
      <c r="L816" s="1">
        <v>42536</v>
      </c>
      <c r="M816" s="22">
        <f>Table10[[#This Row],[Ship Date]]-Table10[[#This Row],[Order Date]]</f>
        <v>2</v>
      </c>
      <c r="N816" t="s">
        <v>20</v>
      </c>
      <c r="O816" t="s">
        <v>23</v>
      </c>
      <c r="P816" t="s">
        <v>212</v>
      </c>
      <c r="Q816" t="s">
        <v>95</v>
      </c>
      <c r="R816" t="s">
        <v>293</v>
      </c>
      <c r="S816" s="33">
        <v>0</v>
      </c>
      <c r="T816" s="13">
        <v>377.97</v>
      </c>
      <c r="U816" s="13">
        <v>94.492500000000007</v>
      </c>
      <c r="V816" s="21">
        <f>Table10[[#This Row],[Profit]]/Table10[[#This Row],[Sales]]</f>
        <v>0.25</v>
      </c>
    </row>
    <row r="817" spans="1:22" x14ac:dyDescent="0.2">
      <c r="A817">
        <v>816</v>
      </c>
      <c r="B817" t="s">
        <v>6517</v>
      </c>
      <c r="C817" s="1">
        <v>42534</v>
      </c>
      <c r="D817" s="22">
        <f>MONTH(Table10[[#This Row],[Order Date]])</f>
        <v>6</v>
      </c>
      <c r="E817" t="s">
        <v>626</v>
      </c>
      <c r="F817" t="s">
        <v>627</v>
      </c>
      <c r="G817" s="23" t="s">
        <v>41</v>
      </c>
      <c r="H817" s="23" t="s">
        <v>42</v>
      </c>
      <c r="I817" t="s">
        <v>1500</v>
      </c>
      <c r="J817" t="s">
        <v>22</v>
      </c>
      <c r="K817" s="22">
        <v>3</v>
      </c>
      <c r="L817" s="1">
        <v>42538</v>
      </c>
      <c r="M817" s="22">
        <f>Table10[[#This Row],[Ship Date]]-Table10[[#This Row],[Order Date]]</f>
        <v>4</v>
      </c>
      <c r="N817" t="s">
        <v>45</v>
      </c>
      <c r="O817" t="s">
        <v>23</v>
      </c>
      <c r="P817" t="s">
        <v>4001</v>
      </c>
      <c r="Q817" t="s">
        <v>95</v>
      </c>
      <c r="R817" t="s">
        <v>6518</v>
      </c>
      <c r="S817" s="33">
        <v>0</v>
      </c>
      <c r="T817" s="13">
        <v>18.899999999999999</v>
      </c>
      <c r="U817" s="13">
        <v>8.6940000000000008</v>
      </c>
      <c r="V817" s="21">
        <f>Table10[[#This Row],[Profit]]/Table10[[#This Row],[Sales]]</f>
        <v>0.46000000000000008</v>
      </c>
    </row>
    <row r="818" spans="1:22" x14ac:dyDescent="0.2">
      <c r="A818">
        <v>817</v>
      </c>
      <c r="B818" t="s">
        <v>8207</v>
      </c>
      <c r="C818" s="1">
        <v>42534</v>
      </c>
      <c r="D818" s="22">
        <f>MONTH(Table10[[#This Row],[Order Date]])</f>
        <v>6</v>
      </c>
      <c r="E818" t="s">
        <v>1851</v>
      </c>
      <c r="F818" t="s">
        <v>1852</v>
      </c>
      <c r="G818" s="23" t="s">
        <v>41</v>
      </c>
      <c r="H818" s="23" t="s">
        <v>68</v>
      </c>
      <c r="I818" t="s">
        <v>1662</v>
      </c>
      <c r="J818" t="s">
        <v>22</v>
      </c>
      <c r="K818" s="22">
        <v>2</v>
      </c>
      <c r="L818" s="1">
        <v>42537</v>
      </c>
      <c r="M818" s="22">
        <f>Table10[[#This Row],[Ship Date]]-Table10[[#This Row],[Order Date]]</f>
        <v>3</v>
      </c>
      <c r="N818" t="s">
        <v>20</v>
      </c>
      <c r="O818" t="s">
        <v>23</v>
      </c>
      <c r="P818" t="s">
        <v>238</v>
      </c>
      <c r="Q818" t="s">
        <v>133</v>
      </c>
      <c r="R818" t="s">
        <v>237</v>
      </c>
      <c r="S818" s="33">
        <v>0.2</v>
      </c>
      <c r="T818" s="13">
        <v>33.567999999999998</v>
      </c>
      <c r="U818" s="13">
        <v>11.748799999999999</v>
      </c>
      <c r="V818" s="21">
        <f>Table10[[#This Row],[Profit]]/Table10[[#This Row],[Sales]]</f>
        <v>0.35</v>
      </c>
    </row>
    <row r="819" spans="1:22" x14ac:dyDescent="0.2">
      <c r="A819">
        <v>818</v>
      </c>
      <c r="B819" t="s">
        <v>2840</v>
      </c>
      <c r="C819" s="1">
        <v>42535</v>
      </c>
      <c r="D819" s="22">
        <f>MONTH(Table10[[#This Row],[Order Date]])</f>
        <v>6</v>
      </c>
      <c r="E819" t="s">
        <v>2842</v>
      </c>
      <c r="F819" t="s">
        <v>2843</v>
      </c>
      <c r="G819" s="23" t="s">
        <v>41</v>
      </c>
      <c r="H819" s="23" t="s">
        <v>61</v>
      </c>
      <c r="I819" t="s">
        <v>2841</v>
      </c>
      <c r="J819" t="s">
        <v>92</v>
      </c>
      <c r="K819" s="22">
        <v>4</v>
      </c>
      <c r="L819" s="1">
        <v>42538</v>
      </c>
      <c r="M819" s="22">
        <f>Table10[[#This Row],[Ship Date]]-Table10[[#This Row],[Order Date]]</f>
        <v>3</v>
      </c>
      <c r="N819" t="s">
        <v>169</v>
      </c>
      <c r="O819" t="s">
        <v>23</v>
      </c>
      <c r="P819" t="s">
        <v>38</v>
      </c>
      <c r="Q819" t="s">
        <v>39</v>
      </c>
      <c r="R819" t="s">
        <v>114</v>
      </c>
      <c r="S819" s="33">
        <v>0</v>
      </c>
      <c r="T819" s="13">
        <v>7.04</v>
      </c>
      <c r="U819" s="13">
        <v>2.0415999999999999</v>
      </c>
      <c r="V819" s="21">
        <f>Table10[[#This Row],[Profit]]/Table10[[#This Row],[Sales]]</f>
        <v>0.28999999999999998</v>
      </c>
    </row>
    <row r="820" spans="1:22" x14ac:dyDescent="0.2">
      <c r="A820">
        <v>819</v>
      </c>
      <c r="B820" t="s">
        <v>2840</v>
      </c>
      <c r="C820" s="1">
        <v>42535</v>
      </c>
      <c r="D820" s="22">
        <f>MONTH(Table10[[#This Row],[Order Date]])</f>
        <v>6</v>
      </c>
      <c r="E820" t="s">
        <v>1376</v>
      </c>
      <c r="F820" t="s">
        <v>1377</v>
      </c>
      <c r="G820" s="23" t="s">
        <v>28</v>
      </c>
      <c r="H820" s="23" t="s">
        <v>58</v>
      </c>
      <c r="I820" t="s">
        <v>2841</v>
      </c>
      <c r="J820" t="s">
        <v>92</v>
      </c>
      <c r="K820" s="22">
        <v>3</v>
      </c>
      <c r="L820" s="1">
        <v>42538</v>
      </c>
      <c r="M820" s="22">
        <f>Table10[[#This Row],[Ship Date]]-Table10[[#This Row],[Order Date]]</f>
        <v>3</v>
      </c>
      <c r="N820" t="s">
        <v>169</v>
      </c>
      <c r="O820" t="s">
        <v>23</v>
      </c>
      <c r="P820" t="s">
        <v>38</v>
      </c>
      <c r="Q820" t="s">
        <v>39</v>
      </c>
      <c r="R820" t="s">
        <v>114</v>
      </c>
      <c r="S820" s="33">
        <v>0</v>
      </c>
      <c r="T820" s="13">
        <v>8.73</v>
      </c>
      <c r="U820" s="13">
        <v>4.1031000000000004</v>
      </c>
      <c r="V820" s="21">
        <f>Table10[[#This Row],[Profit]]/Table10[[#This Row],[Sales]]</f>
        <v>0.47000000000000003</v>
      </c>
    </row>
    <row r="821" spans="1:22" x14ac:dyDescent="0.2">
      <c r="A821">
        <v>820</v>
      </c>
      <c r="B821" t="s">
        <v>2840</v>
      </c>
      <c r="C821" s="1">
        <v>42535</v>
      </c>
      <c r="D821" s="22">
        <f>MONTH(Table10[[#This Row],[Order Date]])</f>
        <v>6</v>
      </c>
      <c r="E821" t="s">
        <v>2844</v>
      </c>
      <c r="F821" t="s">
        <v>2845</v>
      </c>
      <c r="G821" s="23" t="s">
        <v>64</v>
      </c>
      <c r="H821" s="23" t="s">
        <v>144</v>
      </c>
      <c r="I821" t="s">
        <v>2841</v>
      </c>
      <c r="J821" t="s">
        <v>92</v>
      </c>
      <c r="K821" s="22">
        <v>1</v>
      </c>
      <c r="L821" s="1">
        <v>42538</v>
      </c>
      <c r="M821" s="22">
        <f>Table10[[#This Row],[Ship Date]]-Table10[[#This Row],[Order Date]]</f>
        <v>3</v>
      </c>
      <c r="N821" t="s">
        <v>169</v>
      </c>
      <c r="O821" t="s">
        <v>23</v>
      </c>
      <c r="P821" t="s">
        <v>38</v>
      </c>
      <c r="Q821" t="s">
        <v>39</v>
      </c>
      <c r="R821" t="s">
        <v>114</v>
      </c>
      <c r="S821" s="33">
        <v>0</v>
      </c>
      <c r="T821" s="13">
        <v>29.29</v>
      </c>
      <c r="U821" s="13">
        <v>9.6656999999999993</v>
      </c>
      <c r="V821" s="21">
        <f>Table10[[#This Row],[Profit]]/Table10[[#This Row],[Sales]]</f>
        <v>0.32999999999999996</v>
      </c>
    </row>
    <row r="822" spans="1:22" x14ac:dyDescent="0.2">
      <c r="A822">
        <v>821</v>
      </c>
      <c r="B822" t="s">
        <v>2840</v>
      </c>
      <c r="C822" s="1">
        <v>42535</v>
      </c>
      <c r="D822" s="22">
        <f>MONTH(Table10[[#This Row],[Order Date]])</f>
        <v>6</v>
      </c>
      <c r="E822" t="s">
        <v>2846</v>
      </c>
      <c r="F822" t="s">
        <v>2847</v>
      </c>
      <c r="G822" s="23" t="s">
        <v>41</v>
      </c>
      <c r="H822" s="23" t="s">
        <v>61</v>
      </c>
      <c r="I822" t="s">
        <v>2841</v>
      </c>
      <c r="J822" t="s">
        <v>92</v>
      </c>
      <c r="K822" s="22">
        <v>3</v>
      </c>
      <c r="L822" s="1">
        <v>42538</v>
      </c>
      <c r="M822" s="22">
        <f>Table10[[#This Row],[Ship Date]]-Table10[[#This Row],[Order Date]]</f>
        <v>3</v>
      </c>
      <c r="N822" t="s">
        <v>169</v>
      </c>
      <c r="O822" t="s">
        <v>23</v>
      </c>
      <c r="P822" t="s">
        <v>38</v>
      </c>
      <c r="Q822" t="s">
        <v>39</v>
      </c>
      <c r="R822" t="s">
        <v>114</v>
      </c>
      <c r="S822" s="33">
        <v>0</v>
      </c>
      <c r="T822" s="13">
        <v>8.64</v>
      </c>
      <c r="U822" s="13">
        <v>2.5055999999999998</v>
      </c>
      <c r="V822" s="21">
        <f>Table10[[#This Row],[Profit]]/Table10[[#This Row],[Sales]]</f>
        <v>0.28999999999999998</v>
      </c>
    </row>
    <row r="823" spans="1:22" x14ac:dyDescent="0.2">
      <c r="A823">
        <v>822</v>
      </c>
      <c r="B823" t="s">
        <v>7470</v>
      </c>
      <c r="C823" s="1">
        <v>42535</v>
      </c>
      <c r="D823" s="22">
        <f>MONTH(Table10[[#This Row],[Order Date]])</f>
        <v>6</v>
      </c>
      <c r="E823" t="s">
        <v>6331</v>
      </c>
      <c r="F823" t="s">
        <v>6332</v>
      </c>
      <c r="G823" s="23" t="s">
        <v>28</v>
      </c>
      <c r="H823" s="23" t="s">
        <v>29</v>
      </c>
      <c r="I823" t="s">
        <v>7471</v>
      </c>
      <c r="J823" t="s">
        <v>92</v>
      </c>
      <c r="K823" s="22">
        <v>5</v>
      </c>
      <c r="L823" s="1">
        <v>42535</v>
      </c>
      <c r="M823" s="22">
        <f>Table10[[#This Row],[Ship Date]]-Table10[[#This Row],[Order Date]]</f>
        <v>0</v>
      </c>
      <c r="N823" t="s">
        <v>1141</v>
      </c>
      <c r="O823" t="s">
        <v>23</v>
      </c>
      <c r="P823" t="s">
        <v>38</v>
      </c>
      <c r="Q823" t="s">
        <v>39</v>
      </c>
      <c r="R823" t="s">
        <v>37</v>
      </c>
      <c r="S823" s="33">
        <v>0.15</v>
      </c>
      <c r="T823" s="13">
        <v>599.16499999999996</v>
      </c>
      <c r="U823" s="13">
        <v>35.244999999999997</v>
      </c>
      <c r="V823" s="21">
        <f>Table10[[#This Row],[Profit]]/Table10[[#This Row],[Sales]]</f>
        <v>5.8823529411764705E-2</v>
      </c>
    </row>
    <row r="824" spans="1:22" x14ac:dyDescent="0.2">
      <c r="A824">
        <v>823</v>
      </c>
      <c r="B824" t="s">
        <v>7777</v>
      </c>
      <c r="C824" s="1">
        <v>42535</v>
      </c>
      <c r="D824" s="22">
        <f>MONTH(Table10[[#This Row],[Order Date]])</f>
        <v>6</v>
      </c>
      <c r="E824" t="s">
        <v>7502</v>
      </c>
      <c r="F824" t="s">
        <v>7503</v>
      </c>
      <c r="G824" s="23" t="s">
        <v>28</v>
      </c>
      <c r="H824" s="23" t="s">
        <v>50</v>
      </c>
      <c r="I824" t="s">
        <v>1394</v>
      </c>
      <c r="J824" t="s">
        <v>36</v>
      </c>
      <c r="K824" s="22">
        <v>7</v>
      </c>
      <c r="L824" s="1">
        <v>42535</v>
      </c>
      <c r="M824" s="22">
        <f>Table10[[#This Row],[Ship Date]]-Table10[[#This Row],[Order Date]]</f>
        <v>0</v>
      </c>
      <c r="N824" t="s">
        <v>1141</v>
      </c>
      <c r="O824" t="s">
        <v>23</v>
      </c>
      <c r="P824" t="s">
        <v>38</v>
      </c>
      <c r="Q824" t="s">
        <v>39</v>
      </c>
      <c r="R824" t="s">
        <v>1666</v>
      </c>
      <c r="S824" s="33">
        <v>0.2</v>
      </c>
      <c r="T824" s="13">
        <v>1293.4880000000001</v>
      </c>
      <c r="U824" s="13">
        <v>80.843000000000004</v>
      </c>
      <c r="V824" s="21">
        <f>Table10[[#This Row],[Profit]]/Table10[[#This Row],[Sales]]</f>
        <v>6.25E-2</v>
      </c>
    </row>
    <row r="825" spans="1:22" x14ac:dyDescent="0.2">
      <c r="A825">
        <v>824</v>
      </c>
      <c r="B825" t="s">
        <v>8940</v>
      </c>
      <c r="C825" s="1">
        <v>42535</v>
      </c>
      <c r="D825" s="22">
        <f>MONTH(Table10[[#This Row],[Order Date]])</f>
        <v>6</v>
      </c>
      <c r="E825" t="s">
        <v>6758</v>
      </c>
      <c r="F825" t="s">
        <v>6759</v>
      </c>
      <c r="G825" s="23" t="s">
        <v>28</v>
      </c>
      <c r="H825" s="23" t="s">
        <v>50</v>
      </c>
      <c r="I825" t="s">
        <v>357</v>
      </c>
      <c r="J825" t="s">
        <v>36</v>
      </c>
      <c r="K825" s="22">
        <v>2</v>
      </c>
      <c r="L825" s="1">
        <v>42542</v>
      </c>
      <c r="M825" s="22">
        <f>Table10[[#This Row],[Ship Date]]-Table10[[#This Row],[Order Date]]</f>
        <v>7</v>
      </c>
      <c r="N825" t="s">
        <v>45</v>
      </c>
      <c r="O825" t="s">
        <v>23</v>
      </c>
      <c r="P825" t="s">
        <v>132</v>
      </c>
      <c r="Q825" t="s">
        <v>133</v>
      </c>
      <c r="R825" t="s">
        <v>131</v>
      </c>
      <c r="S825" s="33">
        <v>0.4</v>
      </c>
      <c r="T825" s="13">
        <v>337.17599999999999</v>
      </c>
      <c r="U825" s="13">
        <v>-118.0116</v>
      </c>
      <c r="V825" s="21">
        <f>Table10[[#This Row],[Profit]]/Table10[[#This Row],[Sales]]</f>
        <v>-0.35000000000000003</v>
      </c>
    </row>
    <row r="826" spans="1:22" x14ac:dyDescent="0.2">
      <c r="A826">
        <v>825</v>
      </c>
      <c r="B826" t="s">
        <v>8993</v>
      </c>
      <c r="C826" s="1">
        <v>42535</v>
      </c>
      <c r="D826" s="22">
        <f>MONTH(Table10[[#This Row],[Order Date]])</f>
        <v>6</v>
      </c>
      <c r="E826" t="s">
        <v>4251</v>
      </c>
      <c r="F826" t="s">
        <v>4252</v>
      </c>
      <c r="G826" s="23" t="s">
        <v>41</v>
      </c>
      <c r="H826" s="23" t="s">
        <v>68</v>
      </c>
      <c r="I826" t="s">
        <v>6180</v>
      </c>
      <c r="J826" t="s">
        <v>22</v>
      </c>
      <c r="K826" s="22">
        <v>4</v>
      </c>
      <c r="L826" s="1">
        <v>42538</v>
      </c>
      <c r="M826" s="22">
        <f>Table10[[#This Row],[Ship Date]]-Table10[[#This Row],[Order Date]]</f>
        <v>3</v>
      </c>
      <c r="N826" t="s">
        <v>169</v>
      </c>
      <c r="O826" t="s">
        <v>23</v>
      </c>
      <c r="P826" t="s">
        <v>48</v>
      </c>
      <c r="Q826" t="s">
        <v>26</v>
      </c>
      <c r="R826" t="s">
        <v>2567</v>
      </c>
      <c r="S826" s="33">
        <v>0.7</v>
      </c>
      <c r="T826" s="13">
        <v>39.936</v>
      </c>
      <c r="U826" s="13">
        <v>-26.623999999999999</v>
      </c>
      <c r="V826" s="21">
        <f>Table10[[#This Row],[Profit]]/Table10[[#This Row],[Sales]]</f>
        <v>-0.66666666666666663</v>
      </c>
    </row>
    <row r="827" spans="1:22" x14ac:dyDescent="0.2">
      <c r="A827">
        <v>826</v>
      </c>
      <c r="B827" t="s">
        <v>8993</v>
      </c>
      <c r="C827" s="1">
        <v>42535</v>
      </c>
      <c r="D827" s="22">
        <f>MONTH(Table10[[#This Row],[Order Date]])</f>
        <v>6</v>
      </c>
      <c r="E827" t="s">
        <v>6160</v>
      </c>
      <c r="F827" t="s">
        <v>6161</v>
      </c>
      <c r="G827" s="23" t="s">
        <v>64</v>
      </c>
      <c r="H827" s="23" t="s">
        <v>144</v>
      </c>
      <c r="I827" t="s">
        <v>6180</v>
      </c>
      <c r="J827" t="s">
        <v>22</v>
      </c>
      <c r="K827" s="22">
        <v>2</v>
      </c>
      <c r="L827" s="1">
        <v>42538</v>
      </c>
      <c r="M827" s="22">
        <f>Table10[[#This Row],[Ship Date]]-Table10[[#This Row],[Order Date]]</f>
        <v>3</v>
      </c>
      <c r="N827" t="s">
        <v>169</v>
      </c>
      <c r="O827" t="s">
        <v>23</v>
      </c>
      <c r="P827" t="s">
        <v>48</v>
      </c>
      <c r="Q827" t="s">
        <v>26</v>
      </c>
      <c r="R827" t="s">
        <v>2567</v>
      </c>
      <c r="S827" s="33">
        <v>0.2</v>
      </c>
      <c r="T827" s="13">
        <v>18.463999999999999</v>
      </c>
      <c r="U827" s="13">
        <v>2.3079999999999998</v>
      </c>
      <c r="V827" s="21">
        <f>Table10[[#This Row],[Profit]]/Table10[[#This Row],[Sales]]</f>
        <v>0.125</v>
      </c>
    </row>
    <row r="828" spans="1:22" x14ac:dyDescent="0.2">
      <c r="A828">
        <v>827</v>
      </c>
      <c r="B828" t="s">
        <v>9618</v>
      </c>
      <c r="C828" s="1">
        <v>42535</v>
      </c>
      <c r="D828" s="22">
        <f>MONTH(Table10[[#This Row],[Order Date]])</f>
        <v>6</v>
      </c>
      <c r="E828" t="s">
        <v>3081</v>
      </c>
      <c r="F828" t="s">
        <v>3082</v>
      </c>
      <c r="G828" s="23" t="s">
        <v>28</v>
      </c>
      <c r="H828" s="23" t="s">
        <v>50</v>
      </c>
      <c r="I828" t="s">
        <v>1887</v>
      </c>
      <c r="J828" t="s">
        <v>36</v>
      </c>
      <c r="K828" s="22">
        <v>7</v>
      </c>
      <c r="L828" s="1">
        <v>42539</v>
      </c>
      <c r="M828" s="22">
        <f>Table10[[#This Row],[Ship Date]]-Table10[[#This Row],[Order Date]]</f>
        <v>4</v>
      </c>
      <c r="N828" t="s">
        <v>45</v>
      </c>
      <c r="O828" t="s">
        <v>23</v>
      </c>
      <c r="P828" t="s">
        <v>87</v>
      </c>
      <c r="Q828" t="s">
        <v>39</v>
      </c>
      <c r="R828" t="s">
        <v>86</v>
      </c>
      <c r="S828" s="33">
        <v>0</v>
      </c>
      <c r="T828" s="13">
        <v>1115.17</v>
      </c>
      <c r="U828" s="13">
        <v>334.55099999999999</v>
      </c>
      <c r="V828" s="21">
        <f>Table10[[#This Row],[Profit]]/Table10[[#This Row],[Sales]]</f>
        <v>0.3</v>
      </c>
    </row>
    <row r="829" spans="1:22" x14ac:dyDescent="0.2">
      <c r="A829">
        <v>828</v>
      </c>
      <c r="B829" t="s">
        <v>7880</v>
      </c>
      <c r="C829" s="1">
        <v>42536</v>
      </c>
      <c r="D829" s="22">
        <f>MONTH(Table10[[#This Row],[Order Date]])</f>
        <v>6</v>
      </c>
      <c r="E829" t="s">
        <v>6972</v>
      </c>
      <c r="F829" t="s">
        <v>6973</v>
      </c>
      <c r="G829" s="23" t="s">
        <v>41</v>
      </c>
      <c r="H829" s="23" t="s">
        <v>82</v>
      </c>
      <c r="I829" t="s">
        <v>1546</v>
      </c>
      <c r="J829" t="s">
        <v>22</v>
      </c>
      <c r="K829" s="22">
        <v>7</v>
      </c>
      <c r="L829" s="1">
        <v>42539</v>
      </c>
      <c r="M829" s="22">
        <f>Table10[[#This Row],[Ship Date]]-Table10[[#This Row],[Order Date]]</f>
        <v>3</v>
      </c>
      <c r="N829" t="s">
        <v>169</v>
      </c>
      <c r="O829" t="s">
        <v>23</v>
      </c>
      <c r="P829" t="s">
        <v>94</v>
      </c>
      <c r="Q829" t="s">
        <v>95</v>
      </c>
      <c r="R829" t="s">
        <v>165</v>
      </c>
      <c r="S829" s="33">
        <v>0.2</v>
      </c>
      <c r="T829" s="13">
        <v>173.488</v>
      </c>
      <c r="U829" s="13">
        <v>54.215000000000003</v>
      </c>
      <c r="V829" s="21">
        <f>Table10[[#This Row],[Profit]]/Table10[[#This Row],[Sales]]</f>
        <v>0.3125</v>
      </c>
    </row>
    <row r="830" spans="1:22" x14ac:dyDescent="0.2">
      <c r="A830">
        <v>829</v>
      </c>
      <c r="B830" t="s">
        <v>6545</v>
      </c>
      <c r="C830" s="1">
        <v>42537</v>
      </c>
      <c r="D830" s="22">
        <f>MONTH(Table10[[#This Row],[Order Date]])</f>
        <v>6</v>
      </c>
      <c r="E830" t="s">
        <v>4649</v>
      </c>
      <c r="F830" t="s">
        <v>4650</v>
      </c>
      <c r="G830" s="23" t="s">
        <v>41</v>
      </c>
      <c r="H830" s="23" t="s">
        <v>82</v>
      </c>
      <c r="I830" t="s">
        <v>1655</v>
      </c>
      <c r="J830" t="s">
        <v>22</v>
      </c>
      <c r="K830" s="22">
        <v>5</v>
      </c>
      <c r="L830" s="1">
        <v>42539</v>
      </c>
      <c r="M830" s="22">
        <f>Table10[[#This Row],[Ship Date]]-Table10[[#This Row],[Order Date]]</f>
        <v>2</v>
      </c>
      <c r="N830" t="s">
        <v>20</v>
      </c>
      <c r="O830" t="s">
        <v>23</v>
      </c>
      <c r="P830" t="s">
        <v>38</v>
      </c>
      <c r="Q830" t="s">
        <v>39</v>
      </c>
      <c r="R830" t="s">
        <v>37</v>
      </c>
      <c r="S830" s="33">
        <v>0</v>
      </c>
      <c r="T830" s="13">
        <v>46.35</v>
      </c>
      <c r="U830" s="13">
        <v>21.784500000000001</v>
      </c>
      <c r="V830" s="21">
        <f>Table10[[#This Row],[Profit]]/Table10[[#This Row],[Sales]]</f>
        <v>0.47000000000000003</v>
      </c>
    </row>
    <row r="831" spans="1:22" x14ac:dyDescent="0.2">
      <c r="A831">
        <v>830</v>
      </c>
      <c r="B831" t="s">
        <v>9847</v>
      </c>
      <c r="C831" s="1">
        <v>42537</v>
      </c>
      <c r="D831" s="22">
        <f>MONTH(Table10[[#This Row],[Order Date]])</f>
        <v>6</v>
      </c>
      <c r="E831" t="s">
        <v>9848</v>
      </c>
      <c r="F831" t="s">
        <v>9849</v>
      </c>
      <c r="G831" s="23" t="s">
        <v>64</v>
      </c>
      <c r="H831" s="23" t="s">
        <v>602</v>
      </c>
      <c r="I831" t="s">
        <v>2291</v>
      </c>
      <c r="J831" t="s">
        <v>92</v>
      </c>
      <c r="K831" s="22">
        <v>1</v>
      </c>
      <c r="L831" s="1">
        <v>42540</v>
      </c>
      <c r="M831" s="22">
        <f>Table10[[#This Row],[Ship Date]]-Table10[[#This Row],[Order Date]]</f>
        <v>3</v>
      </c>
      <c r="N831" t="s">
        <v>20</v>
      </c>
      <c r="O831" t="s">
        <v>23</v>
      </c>
      <c r="P831" t="s">
        <v>299</v>
      </c>
      <c r="Q831" t="s">
        <v>26</v>
      </c>
      <c r="R831" t="s">
        <v>5570</v>
      </c>
      <c r="S831" s="33">
        <v>0.5</v>
      </c>
      <c r="T831" s="13">
        <v>91.474999999999994</v>
      </c>
      <c r="U831" s="13">
        <v>-1.8294999999999999</v>
      </c>
      <c r="V831" s="21">
        <f>Table10[[#This Row],[Profit]]/Table10[[#This Row],[Sales]]</f>
        <v>-0.02</v>
      </c>
    </row>
    <row r="832" spans="1:22" x14ac:dyDescent="0.2">
      <c r="A832">
        <v>831</v>
      </c>
      <c r="B832" t="s">
        <v>10025</v>
      </c>
      <c r="C832" s="1">
        <v>42537</v>
      </c>
      <c r="D832" s="22">
        <f>MONTH(Table10[[#This Row],[Order Date]])</f>
        <v>6</v>
      </c>
      <c r="E832" t="s">
        <v>3650</v>
      </c>
      <c r="F832" t="s">
        <v>3651</v>
      </c>
      <c r="G832" s="23" t="s">
        <v>41</v>
      </c>
      <c r="H832" s="23" t="s">
        <v>42</v>
      </c>
      <c r="I832" t="s">
        <v>2707</v>
      </c>
      <c r="J832" t="s">
        <v>22</v>
      </c>
      <c r="K832" s="22">
        <v>3</v>
      </c>
      <c r="L832" s="1">
        <v>42543</v>
      </c>
      <c r="M832" s="22">
        <f>Table10[[#This Row],[Ship Date]]-Table10[[#This Row],[Order Date]]</f>
        <v>6</v>
      </c>
      <c r="N832" t="s">
        <v>45</v>
      </c>
      <c r="O832" t="s">
        <v>23</v>
      </c>
      <c r="P832" t="s">
        <v>218</v>
      </c>
      <c r="Q832" t="s">
        <v>133</v>
      </c>
      <c r="R832" t="s">
        <v>536</v>
      </c>
      <c r="S832" s="33">
        <v>0</v>
      </c>
      <c r="T832" s="13">
        <v>9.4499999999999993</v>
      </c>
      <c r="U832" s="13">
        <v>4.5359999999999996</v>
      </c>
      <c r="V832" s="21">
        <f>Table10[[#This Row],[Profit]]/Table10[[#This Row],[Sales]]</f>
        <v>0.48</v>
      </c>
    </row>
    <row r="833" spans="1:22" x14ac:dyDescent="0.2">
      <c r="A833">
        <v>832</v>
      </c>
      <c r="B833" t="s">
        <v>244</v>
      </c>
      <c r="C833" s="1">
        <v>42538</v>
      </c>
      <c r="D833" s="22">
        <f>MONTH(Table10[[#This Row],[Order Date]])</f>
        <v>6</v>
      </c>
      <c r="E833" t="s">
        <v>247</v>
      </c>
      <c r="F833" t="s">
        <v>248</v>
      </c>
      <c r="G833" s="23" t="s">
        <v>41</v>
      </c>
      <c r="H833" s="23" t="s">
        <v>53</v>
      </c>
      <c r="I833" t="s">
        <v>245</v>
      </c>
      <c r="J833" t="s">
        <v>22</v>
      </c>
      <c r="K833" s="22">
        <v>6</v>
      </c>
      <c r="L833" s="1">
        <v>42539</v>
      </c>
      <c r="M833" s="22">
        <f>Table10[[#This Row],[Ship Date]]-Table10[[#This Row],[Order Date]]</f>
        <v>1</v>
      </c>
      <c r="N833" t="s">
        <v>169</v>
      </c>
      <c r="O833" t="s">
        <v>23</v>
      </c>
      <c r="P833" t="s">
        <v>238</v>
      </c>
      <c r="Q833" t="s">
        <v>133</v>
      </c>
      <c r="R833" t="s">
        <v>246</v>
      </c>
      <c r="S833" s="33">
        <v>0</v>
      </c>
      <c r="T833" s="13">
        <v>208.56</v>
      </c>
      <c r="U833" s="13">
        <v>52.14</v>
      </c>
      <c r="V833" s="21">
        <f>Table10[[#This Row],[Profit]]/Table10[[#This Row],[Sales]]</f>
        <v>0.25</v>
      </c>
    </row>
    <row r="834" spans="1:22" x14ac:dyDescent="0.2">
      <c r="A834">
        <v>833</v>
      </c>
      <c r="B834" t="s">
        <v>244</v>
      </c>
      <c r="C834" s="1">
        <v>42538</v>
      </c>
      <c r="D834" s="22">
        <f>MONTH(Table10[[#This Row],[Order Date]])</f>
        <v>6</v>
      </c>
      <c r="E834" t="s">
        <v>249</v>
      </c>
      <c r="F834" t="s">
        <v>250</v>
      </c>
      <c r="G834" s="23" t="s">
        <v>41</v>
      </c>
      <c r="H834" s="23" t="s">
        <v>82</v>
      </c>
      <c r="I834" t="s">
        <v>245</v>
      </c>
      <c r="J834" t="s">
        <v>22</v>
      </c>
      <c r="K834" s="22">
        <v>5</v>
      </c>
      <c r="L834" s="1">
        <v>42539</v>
      </c>
      <c r="M834" s="22">
        <f>Table10[[#This Row],[Ship Date]]-Table10[[#This Row],[Order Date]]</f>
        <v>1</v>
      </c>
      <c r="N834" t="s">
        <v>169</v>
      </c>
      <c r="O834" t="s">
        <v>23</v>
      </c>
      <c r="P834" t="s">
        <v>238</v>
      </c>
      <c r="Q834" t="s">
        <v>133</v>
      </c>
      <c r="R834" t="s">
        <v>246</v>
      </c>
      <c r="S834" s="33">
        <v>0</v>
      </c>
      <c r="T834" s="13">
        <v>32.4</v>
      </c>
      <c r="U834" s="13">
        <v>15.552</v>
      </c>
      <c r="V834" s="21">
        <f>Table10[[#This Row],[Profit]]/Table10[[#This Row],[Sales]]</f>
        <v>0.48</v>
      </c>
    </row>
    <row r="835" spans="1:22" x14ac:dyDescent="0.2">
      <c r="A835">
        <v>834</v>
      </c>
      <c r="B835" t="s">
        <v>244</v>
      </c>
      <c r="C835" s="1">
        <v>42538</v>
      </c>
      <c r="D835" s="22">
        <f>MONTH(Table10[[#This Row],[Order Date]])</f>
        <v>6</v>
      </c>
      <c r="E835" t="s">
        <v>251</v>
      </c>
      <c r="F835" t="s">
        <v>252</v>
      </c>
      <c r="G835" s="23" t="s">
        <v>28</v>
      </c>
      <c r="H835" s="23" t="s">
        <v>32</v>
      </c>
      <c r="I835" t="s">
        <v>245</v>
      </c>
      <c r="J835" t="s">
        <v>22</v>
      </c>
      <c r="K835" s="22">
        <v>5</v>
      </c>
      <c r="L835" s="1">
        <v>42539</v>
      </c>
      <c r="M835" s="22">
        <f>Table10[[#This Row],[Ship Date]]-Table10[[#This Row],[Order Date]]</f>
        <v>1</v>
      </c>
      <c r="N835" t="s">
        <v>169</v>
      </c>
      <c r="O835" t="s">
        <v>23</v>
      </c>
      <c r="P835" t="s">
        <v>238</v>
      </c>
      <c r="Q835" t="s">
        <v>133</v>
      </c>
      <c r="R835" t="s">
        <v>246</v>
      </c>
      <c r="S835" s="33">
        <v>0.1</v>
      </c>
      <c r="T835" s="13">
        <v>319.41000000000003</v>
      </c>
      <c r="U835" s="13">
        <v>7.0979999999999999</v>
      </c>
      <c r="V835" s="21">
        <f>Table10[[#This Row],[Profit]]/Table10[[#This Row],[Sales]]</f>
        <v>2.222222222222222E-2</v>
      </c>
    </row>
    <row r="836" spans="1:22" x14ac:dyDescent="0.2">
      <c r="A836">
        <v>835</v>
      </c>
      <c r="B836" t="s">
        <v>244</v>
      </c>
      <c r="C836" s="1">
        <v>42538</v>
      </c>
      <c r="D836" s="22">
        <f>MONTH(Table10[[#This Row],[Order Date]])</f>
        <v>6</v>
      </c>
      <c r="E836" t="s">
        <v>253</v>
      </c>
      <c r="F836" t="s">
        <v>254</v>
      </c>
      <c r="G836" s="23" t="s">
        <v>41</v>
      </c>
      <c r="H836" s="23" t="s">
        <v>82</v>
      </c>
      <c r="I836" t="s">
        <v>245</v>
      </c>
      <c r="J836" t="s">
        <v>22</v>
      </c>
      <c r="K836" s="22">
        <v>2</v>
      </c>
      <c r="L836" s="1">
        <v>42539</v>
      </c>
      <c r="M836" s="22">
        <f>Table10[[#This Row],[Ship Date]]-Table10[[#This Row],[Order Date]]</f>
        <v>1</v>
      </c>
      <c r="N836" t="s">
        <v>169</v>
      </c>
      <c r="O836" t="s">
        <v>23</v>
      </c>
      <c r="P836" t="s">
        <v>238</v>
      </c>
      <c r="Q836" t="s">
        <v>133</v>
      </c>
      <c r="R836" t="s">
        <v>246</v>
      </c>
      <c r="S836" s="33">
        <v>0</v>
      </c>
      <c r="T836" s="13">
        <v>14.56</v>
      </c>
      <c r="U836" s="13">
        <v>6.9888000000000003</v>
      </c>
      <c r="V836" s="21">
        <f>Table10[[#This Row],[Profit]]/Table10[[#This Row],[Sales]]</f>
        <v>0.48</v>
      </c>
    </row>
    <row r="837" spans="1:22" x14ac:dyDescent="0.2">
      <c r="A837">
        <v>836</v>
      </c>
      <c r="B837" t="s">
        <v>244</v>
      </c>
      <c r="C837" s="1">
        <v>42538</v>
      </c>
      <c r="D837" s="22">
        <f>MONTH(Table10[[#This Row],[Order Date]])</f>
        <v>6</v>
      </c>
      <c r="E837" t="s">
        <v>219</v>
      </c>
      <c r="F837" t="s">
        <v>220</v>
      </c>
      <c r="G837" s="23" t="s">
        <v>64</v>
      </c>
      <c r="H837" s="23" t="s">
        <v>144</v>
      </c>
      <c r="I837" t="s">
        <v>245</v>
      </c>
      <c r="J837" t="s">
        <v>22</v>
      </c>
      <c r="K837" s="22">
        <v>2</v>
      </c>
      <c r="L837" s="1">
        <v>42539</v>
      </c>
      <c r="M837" s="22">
        <f>Table10[[#This Row],[Ship Date]]-Table10[[#This Row],[Order Date]]</f>
        <v>1</v>
      </c>
      <c r="N837" t="s">
        <v>169</v>
      </c>
      <c r="O837" t="s">
        <v>23</v>
      </c>
      <c r="P837" t="s">
        <v>238</v>
      </c>
      <c r="Q837" t="s">
        <v>133</v>
      </c>
      <c r="R837" t="s">
        <v>246</v>
      </c>
      <c r="S837" s="33">
        <v>0</v>
      </c>
      <c r="T837" s="13">
        <v>30</v>
      </c>
      <c r="U837" s="13">
        <v>3.3</v>
      </c>
      <c r="V837" s="21">
        <f>Table10[[#This Row],[Profit]]/Table10[[#This Row],[Sales]]</f>
        <v>0.11</v>
      </c>
    </row>
    <row r="838" spans="1:22" x14ac:dyDescent="0.2">
      <c r="A838">
        <v>837</v>
      </c>
      <c r="B838" t="s">
        <v>244</v>
      </c>
      <c r="C838" s="1">
        <v>42538</v>
      </c>
      <c r="D838" s="22">
        <f>MONTH(Table10[[#This Row],[Order Date]])</f>
        <v>6</v>
      </c>
      <c r="E838" t="s">
        <v>255</v>
      </c>
      <c r="F838" t="s">
        <v>256</v>
      </c>
      <c r="G838" s="23" t="s">
        <v>41</v>
      </c>
      <c r="H838" s="23" t="s">
        <v>68</v>
      </c>
      <c r="I838" t="s">
        <v>245</v>
      </c>
      <c r="J838" t="s">
        <v>22</v>
      </c>
      <c r="K838" s="22">
        <v>4</v>
      </c>
      <c r="L838" s="1">
        <v>42539</v>
      </c>
      <c r="M838" s="22">
        <f>Table10[[#This Row],[Ship Date]]-Table10[[#This Row],[Order Date]]</f>
        <v>1</v>
      </c>
      <c r="N838" t="s">
        <v>169</v>
      </c>
      <c r="O838" t="s">
        <v>23</v>
      </c>
      <c r="P838" t="s">
        <v>238</v>
      </c>
      <c r="Q838" t="s">
        <v>133</v>
      </c>
      <c r="R838" t="s">
        <v>246</v>
      </c>
      <c r="S838" s="33">
        <v>0.2</v>
      </c>
      <c r="T838" s="13">
        <v>48.48</v>
      </c>
      <c r="U838" s="13">
        <v>16.361999999999998</v>
      </c>
      <c r="V838" s="21">
        <f>Table10[[#This Row],[Profit]]/Table10[[#This Row],[Sales]]</f>
        <v>0.33749999999999997</v>
      </c>
    </row>
    <row r="839" spans="1:22" x14ac:dyDescent="0.2">
      <c r="A839">
        <v>838</v>
      </c>
      <c r="B839" t="s">
        <v>244</v>
      </c>
      <c r="C839" s="1">
        <v>42538</v>
      </c>
      <c r="D839" s="22">
        <f>MONTH(Table10[[#This Row],[Order Date]])</f>
        <v>6</v>
      </c>
      <c r="E839" t="s">
        <v>257</v>
      </c>
      <c r="F839" t="s">
        <v>258</v>
      </c>
      <c r="G839" s="23" t="s">
        <v>41</v>
      </c>
      <c r="H839" s="23" t="s">
        <v>61</v>
      </c>
      <c r="I839" t="s">
        <v>245</v>
      </c>
      <c r="J839" t="s">
        <v>22</v>
      </c>
      <c r="K839" s="22">
        <v>1</v>
      </c>
      <c r="L839" s="1">
        <v>42539</v>
      </c>
      <c r="M839" s="22">
        <f>Table10[[#This Row],[Ship Date]]-Table10[[#This Row],[Order Date]]</f>
        <v>1</v>
      </c>
      <c r="N839" t="s">
        <v>169</v>
      </c>
      <c r="O839" t="s">
        <v>23</v>
      </c>
      <c r="P839" t="s">
        <v>238</v>
      </c>
      <c r="Q839" t="s">
        <v>133</v>
      </c>
      <c r="R839" t="s">
        <v>246</v>
      </c>
      <c r="S839" s="33">
        <v>0</v>
      </c>
      <c r="T839" s="13">
        <v>1.68</v>
      </c>
      <c r="U839" s="13">
        <v>0.84</v>
      </c>
      <c r="V839" s="21">
        <f>Table10[[#This Row],[Profit]]/Table10[[#This Row],[Sales]]</f>
        <v>0.5</v>
      </c>
    </row>
    <row r="840" spans="1:22" x14ac:dyDescent="0.2">
      <c r="A840">
        <v>839</v>
      </c>
      <c r="B840" t="s">
        <v>3627</v>
      </c>
      <c r="C840" s="1">
        <v>42538</v>
      </c>
      <c r="D840" s="22">
        <f>MONTH(Table10[[#This Row],[Order Date]])</f>
        <v>6</v>
      </c>
      <c r="E840" t="s">
        <v>3333</v>
      </c>
      <c r="F840" t="s">
        <v>3334</v>
      </c>
      <c r="G840" s="23" t="s">
        <v>41</v>
      </c>
      <c r="H840" s="23" t="s">
        <v>82</v>
      </c>
      <c r="I840" t="s">
        <v>3628</v>
      </c>
      <c r="J840" t="s">
        <v>22</v>
      </c>
      <c r="K840" s="22">
        <v>2</v>
      </c>
      <c r="L840" s="1">
        <v>42543</v>
      </c>
      <c r="M840" s="22">
        <f>Table10[[#This Row],[Ship Date]]-Table10[[#This Row],[Order Date]]</f>
        <v>5</v>
      </c>
      <c r="N840" t="s">
        <v>45</v>
      </c>
      <c r="O840" t="s">
        <v>23</v>
      </c>
      <c r="P840" t="s">
        <v>38</v>
      </c>
      <c r="Q840" t="s">
        <v>39</v>
      </c>
      <c r="R840" t="s">
        <v>836</v>
      </c>
      <c r="S840" s="33">
        <v>0</v>
      </c>
      <c r="T840" s="13">
        <v>111.96</v>
      </c>
      <c r="U840" s="13">
        <v>54.860399999999998</v>
      </c>
      <c r="V840" s="21">
        <f>Table10[[#This Row],[Profit]]/Table10[[#This Row],[Sales]]</f>
        <v>0.49</v>
      </c>
    </row>
    <row r="841" spans="1:22" x14ac:dyDescent="0.2">
      <c r="A841">
        <v>840</v>
      </c>
      <c r="B841" t="s">
        <v>6017</v>
      </c>
      <c r="C841" s="1">
        <v>42538</v>
      </c>
      <c r="D841" s="22">
        <f>MONTH(Table10[[#This Row],[Order Date]])</f>
        <v>6</v>
      </c>
      <c r="E841" t="s">
        <v>3607</v>
      </c>
      <c r="F841" t="s">
        <v>3608</v>
      </c>
      <c r="G841" s="23" t="s">
        <v>41</v>
      </c>
      <c r="H841" s="23" t="s">
        <v>53</v>
      </c>
      <c r="I841" t="s">
        <v>1834</v>
      </c>
      <c r="J841" t="s">
        <v>22</v>
      </c>
      <c r="K841" s="22">
        <v>3</v>
      </c>
      <c r="L841" s="1">
        <v>42541</v>
      </c>
      <c r="M841" s="22">
        <f>Table10[[#This Row],[Ship Date]]-Table10[[#This Row],[Order Date]]</f>
        <v>3</v>
      </c>
      <c r="N841" t="s">
        <v>20</v>
      </c>
      <c r="O841" t="s">
        <v>23</v>
      </c>
      <c r="P841" t="s">
        <v>238</v>
      </c>
      <c r="Q841" t="s">
        <v>133</v>
      </c>
      <c r="R841" t="s">
        <v>237</v>
      </c>
      <c r="S841" s="33">
        <v>0</v>
      </c>
      <c r="T841" s="13">
        <v>40.74</v>
      </c>
      <c r="U841" s="13">
        <v>0.40739999999999998</v>
      </c>
      <c r="V841" s="21">
        <f>Table10[[#This Row],[Profit]]/Table10[[#This Row],[Sales]]</f>
        <v>9.9999999999999985E-3</v>
      </c>
    </row>
    <row r="842" spans="1:22" x14ac:dyDescent="0.2">
      <c r="A842">
        <v>841</v>
      </c>
      <c r="B842" t="s">
        <v>8218</v>
      </c>
      <c r="C842" s="1">
        <v>42538</v>
      </c>
      <c r="D842" s="22">
        <f>MONTH(Table10[[#This Row],[Order Date]])</f>
        <v>6</v>
      </c>
      <c r="E842" t="s">
        <v>6331</v>
      </c>
      <c r="F842" t="s">
        <v>6332</v>
      </c>
      <c r="G842" s="23" t="s">
        <v>28</v>
      </c>
      <c r="H842" s="23" t="s">
        <v>29</v>
      </c>
      <c r="I842" t="s">
        <v>1211</v>
      </c>
      <c r="J842" t="s">
        <v>22</v>
      </c>
      <c r="K842" s="22">
        <v>2</v>
      </c>
      <c r="L842" s="1">
        <v>42540</v>
      </c>
      <c r="M842" s="22">
        <f>Table10[[#This Row],[Ship Date]]-Table10[[#This Row],[Order Date]]</f>
        <v>2</v>
      </c>
      <c r="N842" t="s">
        <v>169</v>
      </c>
      <c r="O842" t="s">
        <v>23</v>
      </c>
      <c r="P842" t="s">
        <v>38</v>
      </c>
      <c r="Q842" t="s">
        <v>39</v>
      </c>
      <c r="R842" t="s">
        <v>37</v>
      </c>
      <c r="S842" s="33">
        <v>0.15</v>
      </c>
      <c r="T842" s="13">
        <v>239.666</v>
      </c>
      <c r="U842" s="13">
        <v>14.098000000000001</v>
      </c>
      <c r="V842" s="21">
        <f>Table10[[#This Row],[Profit]]/Table10[[#This Row],[Sales]]</f>
        <v>5.8823529411764712E-2</v>
      </c>
    </row>
    <row r="843" spans="1:22" x14ac:dyDescent="0.2">
      <c r="A843">
        <v>842</v>
      </c>
      <c r="B843" t="s">
        <v>8218</v>
      </c>
      <c r="C843" s="1">
        <v>42538</v>
      </c>
      <c r="D843" s="22">
        <f>MONTH(Table10[[#This Row],[Order Date]])</f>
        <v>6</v>
      </c>
      <c r="E843" t="s">
        <v>4906</v>
      </c>
      <c r="F843" t="s">
        <v>4907</v>
      </c>
      <c r="G843" s="23" t="s">
        <v>41</v>
      </c>
      <c r="H843" s="23" t="s">
        <v>42</v>
      </c>
      <c r="I843" t="s">
        <v>1211</v>
      </c>
      <c r="J843" t="s">
        <v>22</v>
      </c>
      <c r="K843" s="22">
        <v>6</v>
      </c>
      <c r="L843" s="1">
        <v>42540</v>
      </c>
      <c r="M843" s="22">
        <f>Table10[[#This Row],[Ship Date]]-Table10[[#This Row],[Order Date]]</f>
        <v>2</v>
      </c>
      <c r="N843" t="s">
        <v>169</v>
      </c>
      <c r="O843" t="s">
        <v>23</v>
      </c>
      <c r="P843" t="s">
        <v>38</v>
      </c>
      <c r="Q843" t="s">
        <v>39</v>
      </c>
      <c r="R843" t="s">
        <v>37</v>
      </c>
      <c r="S843" s="33">
        <v>0</v>
      </c>
      <c r="T843" s="13">
        <v>22.5</v>
      </c>
      <c r="U843" s="13">
        <v>10.8</v>
      </c>
      <c r="V843" s="21">
        <f>Table10[[#This Row],[Profit]]/Table10[[#This Row],[Sales]]</f>
        <v>0.48000000000000004</v>
      </c>
    </row>
    <row r="844" spans="1:22" x14ac:dyDescent="0.2">
      <c r="A844">
        <v>843</v>
      </c>
      <c r="B844" t="s">
        <v>8218</v>
      </c>
      <c r="C844" s="1">
        <v>42538</v>
      </c>
      <c r="D844" s="22">
        <f>MONTH(Table10[[#This Row],[Order Date]])</f>
        <v>6</v>
      </c>
      <c r="E844" t="s">
        <v>7770</v>
      </c>
      <c r="F844" t="s">
        <v>7771</v>
      </c>
      <c r="G844" s="23" t="s">
        <v>41</v>
      </c>
      <c r="H844" s="23" t="s">
        <v>82</v>
      </c>
      <c r="I844" t="s">
        <v>1211</v>
      </c>
      <c r="J844" t="s">
        <v>22</v>
      </c>
      <c r="K844" s="22">
        <v>4</v>
      </c>
      <c r="L844" s="1">
        <v>42540</v>
      </c>
      <c r="M844" s="22">
        <f>Table10[[#This Row],[Ship Date]]-Table10[[#This Row],[Order Date]]</f>
        <v>2</v>
      </c>
      <c r="N844" t="s">
        <v>169</v>
      </c>
      <c r="O844" t="s">
        <v>23</v>
      </c>
      <c r="P844" t="s">
        <v>38</v>
      </c>
      <c r="Q844" t="s">
        <v>39</v>
      </c>
      <c r="R844" t="s">
        <v>37</v>
      </c>
      <c r="S844" s="33">
        <v>0</v>
      </c>
      <c r="T844" s="13">
        <v>219.84</v>
      </c>
      <c r="U844" s="13">
        <v>107.7216</v>
      </c>
      <c r="V844" s="21">
        <f>Table10[[#This Row],[Profit]]/Table10[[#This Row],[Sales]]</f>
        <v>0.49</v>
      </c>
    </row>
    <row r="845" spans="1:22" x14ac:dyDescent="0.2">
      <c r="A845">
        <v>844</v>
      </c>
      <c r="B845" t="s">
        <v>8743</v>
      </c>
      <c r="C845" s="1">
        <v>42538</v>
      </c>
      <c r="D845" s="22">
        <f>MONTH(Table10[[#This Row],[Order Date]])</f>
        <v>6</v>
      </c>
      <c r="E845" t="s">
        <v>4795</v>
      </c>
      <c r="F845" t="s">
        <v>4796</v>
      </c>
      <c r="G845" s="23" t="s">
        <v>28</v>
      </c>
      <c r="H845" s="23" t="s">
        <v>58</v>
      </c>
      <c r="I845" t="s">
        <v>500</v>
      </c>
      <c r="J845" t="s">
        <v>22</v>
      </c>
      <c r="K845" s="22">
        <v>3</v>
      </c>
      <c r="L845" s="1">
        <v>42540</v>
      </c>
      <c r="M845" s="22">
        <f>Table10[[#This Row],[Ship Date]]-Table10[[#This Row],[Order Date]]</f>
        <v>2</v>
      </c>
      <c r="N845" t="s">
        <v>169</v>
      </c>
      <c r="O845" t="s">
        <v>23</v>
      </c>
      <c r="P845" t="s">
        <v>405</v>
      </c>
      <c r="Q845" t="s">
        <v>39</v>
      </c>
      <c r="R845" t="s">
        <v>8744</v>
      </c>
      <c r="S845" s="33">
        <v>0.2</v>
      </c>
      <c r="T845" s="13">
        <v>266.35199999999998</v>
      </c>
      <c r="U845" s="13">
        <v>-13.317600000000001</v>
      </c>
      <c r="V845" s="21">
        <f>Table10[[#This Row],[Profit]]/Table10[[#This Row],[Sales]]</f>
        <v>-5.000000000000001E-2</v>
      </c>
    </row>
    <row r="846" spans="1:22" x14ac:dyDescent="0.2">
      <c r="A846">
        <v>845</v>
      </c>
      <c r="B846" t="s">
        <v>8743</v>
      </c>
      <c r="C846" s="1">
        <v>42538</v>
      </c>
      <c r="D846" s="22">
        <f>MONTH(Table10[[#This Row],[Order Date]])</f>
        <v>6</v>
      </c>
      <c r="E846" t="s">
        <v>1816</v>
      </c>
      <c r="F846" t="s">
        <v>1817</v>
      </c>
      <c r="G846" s="23" t="s">
        <v>28</v>
      </c>
      <c r="H846" s="23" t="s">
        <v>32</v>
      </c>
      <c r="I846" t="s">
        <v>500</v>
      </c>
      <c r="J846" t="s">
        <v>22</v>
      </c>
      <c r="K846" s="22">
        <v>4</v>
      </c>
      <c r="L846" s="1">
        <v>42540</v>
      </c>
      <c r="M846" s="22">
        <f>Table10[[#This Row],[Ship Date]]-Table10[[#This Row],[Order Date]]</f>
        <v>2</v>
      </c>
      <c r="N846" t="s">
        <v>169</v>
      </c>
      <c r="O846" t="s">
        <v>23</v>
      </c>
      <c r="P846" t="s">
        <v>405</v>
      </c>
      <c r="Q846" t="s">
        <v>39</v>
      </c>
      <c r="R846" t="s">
        <v>8744</v>
      </c>
      <c r="S846" s="33">
        <v>0.2</v>
      </c>
      <c r="T846" s="13">
        <v>483.13600000000002</v>
      </c>
      <c r="U846" s="13">
        <v>54.352800000000002</v>
      </c>
      <c r="V846" s="21">
        <f>Table10[[#This Row],[Profit]]/Table10[[#This Row],[Sales]]</f>
        <v>0.1125</v>
      </c>
    </row>
    <row r="847" spans="1:22" x14ac:dyDescent="0.2">
      <c r="A847">
        <v>846</v>
      </c>
      <c r="B847" t="s">
        <v>8861</v>
      </c>
      <c r="C847" s="1">
        <v>42538</v>
      </c>
      <c r="D847" s="22">
        <f>MONTH(Table10[[#This Row],[Order Date]])</f>
        <v>6</v>
      </c>
      <c r="E847" t="s">
        <v>5179</v>
      </c>
      <c r="F847" t="s">
        <v>5180</v>
      </c>
      <c r="G847" s="23" t="s">
        <v>41</v>
      </c>
      <c r="H847" s="23" t="s">
        <v>68</v>
      </c>
      <c r="I847" t="s">
        <v>2118</v>
      </c>
      <c r="J847" t="s">
        <v>36</v>
      </c>
      <c r="K847" s="22">
        <v>2</v>
      </c>
      <c r="L847" s="1">
        <v>42543</v>
      </c>
      <c r="M847" s="22">
        <f>Table10[[#This Row],[Ship Date]]-Table10[[#This Row],[Order Date]]</f>
        <v>5</v>
      </c>
      <c r="N847" t="s">
        <v>45</v>
      </c>
      <c r="O847" t="s">
        <v>23</v>
      </c>
      <c r="P847" t="s">
        <v>660</v>
      </c>
      <c r="Q847" t="s">
        <v>133</v>
      </c>
      <c r="R847" t="s">
        <v>6962</v>
      </c>
      <c r="S847" s="33">
        <v>0</v>
      </c>
      <c r="T847" s="13">
        <v>7.96</v>
      </c>
      <c r="U847" s="13">
        <v>3.7412000000000001</v>
      </c>
      <c r="V847" s="21">
        <f>Table10[[#This Row],[Profit]]/Table10[[#This Row],[Sales]]</f>
        <v>0.47000000000000003</v>
      </c>
    </row>
    <row r="848" spans="1:22" x14ac:dyDescent="0.2">
      <c r="A848">
        <v>847</v>
      </c>
      <c r="B848" t="s">
        <v>8861</v>
      </c>
      <c r="C848" s="1">
        <v>42538</v>
      </c>
      <c r="D848" s="22">
        <f>MONTH(Table10[[#This Row],[Order Date]])</f>
        <v>6</v>
      </c>
      <c r="E848" t="s">
        <v>2984</v>
      </c>
      <c r="F848" t="s">
        <v>2985</v>
      </c>
      <c r="G848" s="23" t="s">
        <v>64</v>
      </c>
      <c r="H848" s="23" t="s">
        <v>65</v>
      </c>
      <c r="I848" t="s">
        <v>2118</v>
      </c>
      <c r="J848" t="s">
        <v>36</v>
      </c>
      <c r="K848" s="22">
        <v>3</v>
      </c>
      <c r="L848" s="1">
        <v>42543</v>
      </c>
      <c r="M848" s="22">
        <f>Table10[[#This Row],[Ship Date]]-Table10[[#This Row],[Order Date]]</f>
        <v>5</v>
      </c>
      <c r="N848" t="s">
        <v>45</v>
      </c>
      <c r="O848" t="s">
        <v>23</v>
      </c>
      <c r="P848" t="s">
        <v>660</v>
      </c>
      <c r="Q848" t="s">
        <v>133</v>
      </c>
      <c r="R848" t="s">
        <v>6962</v>
      </c>
      <c r="S848" s="33">
        <v>0</v>
      </c>
      <c r="T848" s="13">
        <v>566.97</v>
      </c>
      <c r="U848" s="13">
        <v>153.08189999999999</v>
      </c>
      <c r="V848" s="21">
        <f>Table10[[#This Row],[Profit]]/Table10[[#This Row],[Sales]]</f>
        <v>0.26999999999999996</v>
      </c>
    </row>
    <row r="849" spans="1:22" x14ac:dyDescent="0.2">
      <c r="A849">
        <v>848</v>
      </c>
      <c r="B849" t="s">
        <v>8861</v>
      </c>
      <c r="C849" s="1">
        <v>42538</v>
      </c>
      <c r="D849" s="22">
        <f>MONTH(Table10[[#This Row],[Order Date]])</f>
        <v>6</v>
      </c>
      <c r="E849" t="s">
        <v>3279</v>
      </c>
      <c r="F849" t="s">
        <v>3280</v>
      </c>
      <c r="G849" s="23" t="s">
        <v>41</v>
      </c>
      <c r="H849" s="23" t="s">
        <v>61</v>
      </c>
      <c r="I849" t="s">
        <v>2118</v>
      </c>
      <c r="J849" t="s">
        <v>36</v>
      </c>
      <c r="K849" s="22">
        <v>3</v>
      </c>
      <c r="L849" s="1">
        <v>42543</v>
      </c>
      <c r="M849" s="22">
        <f>Table10[[#This Row],[Ship Date]]-Table10[[#This Row],[Order Date]]</f>
        <v>5</v>
      </c>
      <c r="N849" t="s">
        <v>45</v>
      </c>
      <c r="O849" t="s">
        <v>23</v>
      </c>
      <c r="P849" t="s">
        <v>660</v>
      </c>
      <c r="Q849" t="s">
        <v>133</v>
      </c>
      <c r="R849" t="s">
        <v>6962</v>
      </c>
      <c r="S849" s="33">
        <v>0</v>
      </c>
      <c r="T849" s="13">
        <v>9.84</v>
      </c>
      <c r="U849" s="13">
        <v>2.8536000000000001</v>
      </c>
      <c r="V849" s="21">
        <f>Table10[[#This Row],[Profit]]/Table10[[#This Row],[Sales]]</f>
        <v>0.29000000000000004</v>
      </c>
    </row>
    <row r="850" spans="1:22" x14ac:dyDescent="0.2">
      <c r="A850">
        <v>849</v>
      </c>
      <c r="B850" t="s">
        <v>9940</v>
      </c>
      <c r="C850" s="1">
        <v>42538</v>
      </c>
      <c r="D850" s="22">
        <f>MONTH(Table10[[#This Row],[Order Date]])</f>
        <v>6</v>
      </c>
      <c r="E850" t="s">
        <v>3551</v>
      </c>
      <c r="F850" t="s">
        <v>3552</v>
      </c>
      <c r="G850" s="23" t="s">
        <v>28</v>
      </c>
      <c r="H850" s="23" t="s">
        <v>50</v>
      </c>
      <c r="I850" t="s">
        <v>5370</v>
      </c>
      <c r="J850" t="s">
        <v>36</v>
      </c>
      <c r="K850" s="22">
        <v>3</v>
      </c>
      <c r="L850" s="1">
        <v>42544</v>
      </c>
      <c r="M850" s="22">
        <f>Table10[[#This Row],[Ship Date]]-Table10[[#This Row],[Order Date]]</f>
        <v>6</v>
      </c>
      <c r="N850" t="s">
        <v>45</v>
      </c>
      <c r="O850" t="s">
        <v>23</v>
      </c>
      <c r="P850" t="s">
        <v>238</v>
      </c>
      <c r="Q850" t="s">
        <v>133</v>
      </c>
      <c r="R850" t="s">
        <v>347</v>
      </c>
      <c r="S850" s="33">
        <v>0.4</v>
      </c>
      <c r="T850" s="13">
        <v>376.86599999999999</v>
      </c>
      <c r="U850" s="13">
        <v>-213.5574</v>
      </c>
      <c r="V850" s="21">
        <f>Table10[[#This Row],[Profit]]/Table10[[#This Row],[Sales]]</f>
        <v>-0.56666666666666665</v>
      </c>
    </row>
    <row r="851" spans="1:22" x14ac:dyDescent="0.2">
      <c r="A851">
        <v>850</v>
      </c>
      <c r="B851" t="s">
        <v>8361</v>
      </c>
      <c r="C851" s="1">
        <v>42539</v>
      </c>
      <c r="D851" s="22">
        <f>MONTH(Table10[[#This Row],[Order Date]])</f>
        <v>6</v>
      </c>
      <c r="E851" t="s">
        <v>6897</v>
      </c>
      <c r="F851" t="s">
        <v>6898</v>
      </c>
      <c r="G851" s="23" t="s">
        <v>41</v>
      </c>
      <c r="H851" s="23" t="s">
        <v>82</v>
      </c>
      <c r="I851" t="s">
        <v>4599</v>
      </c>
      <c r="J851" t="s">
        <v>22</v>
      </c>
      <c r="K851" s="22">
        <v>2</v>
      </c>
      <c r="L851" s="1">
        <v>42542</v>
      </c>
      <c r="M851" s="22">
        <f>Table10[[#This Row],[Ship Date]]-Table10[[#This Row],[Order Date]]</f>
        <v>3</v>
      </c>
      <c r="N851" t="s">
        <v>169</v>
      </c>
      <c r="O851" t="s">
        <v>23</v>
      </c>
      <c r="P851" t="s">
        <v>189</v>
      </c>
      <c r="Q851" t="s">
        <v>95</v>
      </c>
      <c r="R851" t="s">
        <v>7337</v>
      </c>
      <c r="S851" s="33">
        <v>0.2</v>
      </c>
      <c r="T851" s="13">
        <v>76.864000000000004</v>
      </c>
      <c r="U851" s="13">
        <v>26.9024</v>
      </c>
      <c r="V851" s="21">
        <f>Table10[[#This Row],[Profit]]/Table10[[#This Row],[Sales]]</f>
        <v>0.35</v>
      </c>
    </row>
    <row r="852" spans="1:22" x14ac:dyDescent="0.2">
      <c r="A852">
        <v>851</v>
      </c>
      <c r="B852" t="s">
        <v>9905</v>
      </c>
      <c r="C852" s="1">
        <v>42539</v>
      </c>
      <c r="D852" s="22">
        <f>MONTH(Table10[[#This Row],[Order Date]])</f>
        <v>6</v>
      </c>
      <c r="E852" t="s">
        <v>5889</v>
      </c>
      <c r="F852" t="s">
        <v>5890</v>
      </c>
      <c r="G852" s="23" t="s">
        <v>41</v>
      </c>
      <c r="H852" s="23" t="s">
        <v>82</v>
      </c>
      <c r="I852" t="s">
        <v>318</v>
      </c>
      <c r="J852" t="s">
        <v>36</v>
      </c>
      <c r="K852" s="22">
        <v>2</v>
      </c>
      <c r="L852" s="1">
        <v>42541</v>
      </c>
      <c r="M852" s="22">
        <f>Table10[[#This Row],[Ship Date]]-Table10[[#This Row],[Order Date]]</f>
        <v>2</v>
      </c>
      <c r="N852" t="s">
        <v>20</v>
      </c>
      <c r="O852" t="s">
        <v>23</v>
      </c>
      <c r="P852" t="s">
        <v>132</v>
      </c>
      <c r="Q852" t="s">
        <v>133</v>
      </c>
      <c r="R852" t="s">
        <v>131</v>
      </c>
      <c r="S852" s="33">
        <v>0.2</v>
      </c>
      <c r="T852" s="13">
        <v>6.8479999999999999</v>
      </c>
      <c r="U852" s="13">
        <v>2.14</v>
      </c>
      <c r="V852" s="21">
        <f>Table10[[#This Row],[Profit]]/Table10[[#This Row],[Sales]]</f>
        <v>0.3125</v>
      </c>
    </row>
    <row r="853" spans="1:22" x14ac:dyDescent="0.2">
      <c r="A853">
        <v>852</v>
      </c>
      <c r="B853" t="s">
        <v>9905</v>
      </c>
      <c r="C853" s="1">
        <v>42539</v>
      </c>
      <c r="D853" s="22">
        <f>MONTH(Table10[[#This Row],[Order Date]])</f>
        <v>6</v>
      </c>
      <c r="E853" t="s">
        <v>67</v>
      </c>
      <c r="F853" t="s">
        <v>69</v>
      </c>
      <c r="G853" s="23" t="s">
        <v>41</v>
      </c>
      <c r="H853" s="23" t="s">
        <v>68</v>
      </c>
      <c r="I853" t="s">
        <v>318</v>
      </c>
      <c r="J853" t="s">
        <v>36</v>
      </c>
      <c r="K853" s="22">
        <v>2</v>
      </c>
      <c r="L853" s="1">
        <v>42541</v>
      </c>
      <c r="M853" s="22">
        <f>Table10[[#This Row],[Ship Date]]-Table10[[#This Row],[Order Date]]</f>
        <v>2</v>
      </c>
      <c r="N853" t="s">
        <v>20</v>
      </c>
      <c r="O853" t="s">
        <v>23</v>
      </c>
      <c r="P853" t="s">
        <v>132</v>
      </c>
      <c r="Q853" t="s">
        <v>133</v>
      </c>
      <c r="R853" t="s">
        <v>131</v>
      </c>
      <c r="S853" s="33">
        <v>0.7</v>
      </c>
      <c r="T853" s="13">
        <v>4.6260000000000003</v>
      </c>
      <c r="U853" s="13">
        <v>-3.855</v>
      </c>
      <c r="V853" s="21">
        <f>Table10[[#This Row],[Profit]]/Table10[[#This Row],[Sales]]</f>
        <v>-0.83333333333333326</v>
      </c>
    </row>
    <row r="854" spans="1:22" x14ac:dyDescent="0.2">
      <c r="A854">
        <v>853</v>
      </c>
      <c r="B854" t="s">
        <v>9905</v>
      </c>
      <c r="C854" s="1">
        <v>42539</v>
      </c>
      <c r="D854" s="22">
        <f>MONTH(Table10[[#This Row],[Order Date]])</f>
        <v>6</v>
      </c>
      <c r="E854" t="s">
        <v>4037</v>
      </c>
      <c r="F854" t="s">
        <v>4038</v>
      </c>
      <c r="G854" s="23" t="s">
        <v>41</v>
      </c>
      <c r="H854" s="23" t="s">
        <v>71</v>
      </c>
      <c r="I854" t="s">
        <v>318</v>
      </c>
      <c r="J854" t="s">
        <v>36</v>
      </c>
      <c r="K854" s="22">
        <v>3</v>
      </c>
      <c r="L854" s="1">
        <v>42541</v>
      </c>
      <c r="M854" s="22">
        <f>Table10[[#This Row],[Ship Date]]-Table10[[#This Row],[Order Date]]</f>
        <v>2</v>
      </c>
      <c r="N854" t="s">
        <v>20</v>
      </c>
      <c r="O854" t="s">
        <v>23</v>
      </c>
      <c r="P854" t="s">
        <v>132</v>
      </c>
      <c r="Q854" t="s">
        <v>133</v>
      </c>
      <c r="R854" t="s">
        <v>131</v>
      </c>
      <c r="S854" s="33">
        <v>0.2</v>
      </c>
      <c r="T854" s="13">
        <v>453.6</v>
      </c>
      <c r="U854" s="13">
        <v>90.72</v>
      </c>
      <c r="V854" s="21">
        <f>Table10[[#This Row],[Profit]]/Table10[[#This Row],[Sales]]</f>
        <v>0.19999999999999998</v>
      </c>
    </row>
    <row r="855" spans="1:22" x14ac:dyDescent="0.2">
      <c r="A855">
        <v>854</v>
      </c>
      <c r="B855" t="s">
        <v>2518</v>
      </c>
      <c r="C855" s="1">
        <v>42540</v>
      </c>
      <c r="D855" s="22">
        <f>MONTH(Table10[[#This Row],[Order Date]])</f>
        <v>6</v>
      </c>
      <c r="E855" t="s">
        <v>2520</v>
      </c>
      <c r="F855" t="s">
        <v>2521</v>
      </c>
      <c r="G855" s="23" t="s">
        <v>41</v>
      </c>
      <c r="H855" s="23" t="s">
        <v>82</v>
      </c>
      <c r="I855" t="s">
        <v>2519</v>
      </c>
      <c r="J855" t="s">
        <v>36</v>
      </c>
      <c r="K855" s="22">
        <v>2</v>
      </c>
      <c r="L855" s="1">
        <v>42541</v>
      </c>
      <c r="M855" s="22">
        <f>Table10[[#This Row],[Ship Date]]-Table10[[#This Row],[Order Date]]</f>
        <v>1</v>
      </c>
      <c r="N855" t="s">
        <v>169</v>
      </c>
      <c r="O855" t="s">
        <v>23</v>
      </c>
      <c r="P855" t="s">
        <v>38</v>
      </c>
      <c r="Q855" t="s">
        <v>39</v>
      </c>
      <c r="R855" t="s">
        <v>114</v>
      </c>
      <c r="S855" s="33">
        <v>0</v>
      </c>
      <c r="T855" s="13">
        <v>17.12</v>
      </c>
      <c r="U855" s="13">
        <v>8.0464000000000002</v>
      </c>
      <c r="V855" s="21">
        <f>Table10[[#This Row],[Profit]]/Table10[[#This Row],[Sales]]</f>
        <v>0.47</v>
      </c>
    </row>
    <row r="856" spans="1:22" x14ac:dyDescent="0.2">
      <c r="A856">
        <v>855</v>
      </c>
      <c r="B856" t="s">
        <v>215</v>
      </c>
      <c r="C856" s="1">
        <v>42541</v>
      </c>
      <c r="D856" s="22">
        <f>MONTH(Table10[[#This Row],[Order Date]])</f>
        <v>6</v>
      </c>
      <c r="E856" t="s">
        <v>219</v>
      </c>
      <c r="F856" t="s">
        <v>220</v>
      </c>
      <c r="G856" s="23" t="s">
        <v>64</v>
      </c>
      <c r="H856" s="23" t="s">
        <v>144</v>
      </c>
      <c r="I856" t="s">
        <v>216</v>
      </c>
      <c r="J856" t="s">
        <v>22</v>
      </c>
      <c r="K856" s="22">
        <v>3</v>
      </c>
      <c r="L856" s="1">
        <v>42546</v>
      </c>
      <c r="M856" s="22">
        <f>Table10[[#This Row],[Ship Date]]-Table10[[#This Row],[Order Date]]</f>
        <v>5</v>
      </c>
      <c r="N856" t="s">
        <v>45</v>
      </c>
      <c r="O856" t="s">
        <v>23</v>
      </c>
      <c r="P856" t="s">
        <v>218</v>
      </c>
      <c r="Q856" t="s">
        <v>133</v>
      </c>
      <c r="R856" t="s">
        <v>217</v>
      </c>
      <c r="S856" s="33">
        <v>0</v>
      </c>
      <c r="T856" s="13">
        <v>45</v>
      </c>
      <c r="U856" s="13">
        <v>4.95</v>
      </c>
      <c r="V856" s="21">
        <f>Table10[[#This Row],[Profit]]/Table10[[#This Row],[Sales]]</f>
        <v>0.11</v>
      </c>
    </row>
    <row r="857" spans="1:22" x14ac:dyDescent="0.2">
      <c r="A857">
        <v>856</v>
      </c>
      <c r="B857" t="s">
        <v>215</v>
      </c>
      <c r="C857" s="1">
        <v>42541</v>
      </c>
      <c r="D857" s="22">
        <f>MONTH(Table10[[#This Row],[Order Date]])</f>
        <v>6</v>
      </c>
      <c r="E857" t="s">
        <v>221</v>
      </c>
      <c r="F857" t="s">
        <v>222</v>
      </c>
      <c r="G857" s="23" t="s">
        <v>64</v>
      </c>
      <c r="H857" s="23" t="s">
        <v>65</v>
      </c>
      <c r="I857" t="s">
        <v>216</v>
      </c>
      <c r="J857" t="s">
        <v>22</v>
      </c>
      <c r="K857" s="22">
        <v>2</v>
      </c>
      <c r="L857" s="1">
        <v>42546</v>
      </c>
      <c r="M857" s="22">
        <f>Table10[[#This Row],[Ship Date]]-Table10[[#This Row],[Order Date]]</f>
        <v>5</v>
      </c>
      <c r="N857" t="s">
        <v>45</v>
      </c>
      <c r="O857" t="s">
        <v>23</v>
      </c>
      <c r="P857" t="s">
        <v>218</v>
      </c>
      <c r="Q857" t="s">
        <v>133</v>
      </c>
      <c r="R857" t="s">
        <v>217</v>
      </c>
      <c r="S857" s="33">
        <v>0</v>
      </c>
      <c r="T857" s="13">
        <v>21.8</v>
      </c>
      <c r="U857" s="13">
        <v>6.1040000000000001</v>
      </c>
      <c r="V857" s="21">
        <f>Table10[[#This Row],[Profit]]/Table10[[#This Row],[Sales]]</f>
        <v>0.27999999999999997</v>
      </c>
    </row>
    <row r="858" spans="1:22" x14ac:dyDescent="0.2">
      <c r="A858">
        <v>857</v>
      </c>
      <c r="B858" t="s">
        <v>2323</v>
      </c>
      <c r="C858" s="1">
        <v>42541</v>
      </c>
      <c r="D858" s="22">
        <f>MONTH(Table10[[#This Row],[Order Date]])</f>
        <v>6</v>
      </c>
      <c r="E858" t="s">
        <v>2326</v>
      </c>
      <c r="F858" t="s">
        <v>2327</v>
      </c>
      <c r="G858" s="23" t="s">
        <v>41</v>
      </c>
      <c r="H858" s="23" t="s">
        <v>61</v>
      </c>
      <c r="I858" t="s">
        <v>2324</v>
      </c>
      <c r="J858" t="s">
        <v>36</v>
      </c>
      <c r="K858" s="22">
        <v>2</v>
      </c>
      <c r="L858" s="1">
        <v>42546</v>
      </c>
      <c r="M858" s="22">
        <f>Table10[[#This Row],[Ship Date]]-Table10[[#This Row],[Order Date]]</f>
        <v>5</v>
      </c>
      <c r="N858" t="s">
        <v>20</v>
      </c>
      <c r="O858" t="s">
        <v>23</v>
      </c>
      <c r="P858" t="s">
        <v>38</v>
      </c>
      <c r="Q858" t="s">
        <v>39</v>
      </c>
      <c r="R858" t="s">
        <v>2325</v>
      </c>
      <c r="S858" s="33">
        <v>0</v>
      </c>
      <c r="T858" s="13">
        <v>5.16</v>
      </c>
      <c r="U858" s="13">
        <v>1.3415999999999999</v>
      </c>
      <c r="V858" s="21">
        <f>Table10[[#This Row],[Profit]]/Table10[[#This Row],[Sales]]</f>
        <v>0.25999999999999995</v>
      </c>
    </row>
    <row r="859" spans="1:22" x14ac:dyDescent="0.2">
      <c r="A859">
        <v>858</v>
      </c>
      <c r="B859" t="s">
        <v>2323</v>
      </c>
      <c r="C859" s="1">
        <v>42541</v>
      </c>
      <c r="D859" s="22">
        <f>MONTH(Table10[[#This Row],[Order Date]])</f>
        <v>6</v>
      </c>
      <c r="E859" t="s">
        <v>2328</v>
      </c>
      <c r="F859" t="s">
        <v>2329</v>
      </c>
      <c r="G859" s="23" t="s">
        <v>41</v>
      </c>
      <c r="H859" s="23" t="s">
        <v>82</v>
      </c>
      <c r="I859" t="s">
        <v>2324</v>
      </c>
      <c r="J859" t="s">
        <v>36</v>
      </c>
      <c r="K859" s="22">
        <v>6</v>
      </c>
      <c r="L859" s="1">
        <v>42546</v>
      </c>
      <c r="M859" s="22">
        <f>Table10[[#This Row],[Ship Date]]-Table10[[#This Row],[Order Date]]</f>
        <v>5</v>
      </c>
      <c r="N859" t="s">
        <v>20</v>
      </c>
      <c r="O859" t="s">
        <v>23</v>
      </c>
      <c r="P859" t="s">
        <v>38</v>
      </c>
      <c r="Q859" t="s">
        <v>39</v>
      </c>
      <c r="R859" t="s">
        <v>2325</v>
      </c>
      <c r="S859" s="33">
        <v>0</v>
      </c>
      <c r="T859" s="13">
        <v>38.880000000000003</v>
      </c>
      <c r="U859" s="13">
        <v>18.662400000000002</v>
      </c>
      <c r="V859" s="21">
        <f>Table10[[#This Row],[Profit]]/Table10[[#This Row],[Sales]]</f>
        <v>0.48000000000000004</v>
      </c>
    </row>
    <row r="860" spans="1:22" x14ac:dyDescent="0.2">
      <c r="A860">
        <v>859</v>
      </c>
      <c r="B860" t="s">
        <v>2503</v>
      </c>
      <c r="C860" s="1">
        <v>42541</v>
      </c>
      <c r="D860" s="22">
        <f>MONTH(Table10[[#This Row],[Order Date]])</f>
        <v>6</v>
      </c>
      <c r="E860" t="s">
        <v>2505</v>
      </c>
      <c r="F860" t="s">
        <v>2506</v>
      </c>
      <c r="G860" s="23" t="s">
        <v>41</v>
      </c>
      <c r="H860" s="23" t="s">
        <v>82</v>
      </c>
      <c r="I860" t="s">
        <v>2504</v>
      </c>
      <c r="J860" t="s">
        <v>92</v>
      </c>
      <c r="K860" s="22">
        <v>8</v>
      </c>
      <c r="L860" s="1">
        <v>42545</v>
      </c>
      <c r="M860" s="22">
        <f>Table10[[#This Row],[Ship Date]]-Table10[[#This Row],[Order Date]]</f>
        <v>4</v>
      </c>
      <c r="N860" t="s">
        <v>45</v>
      </c>
      <c r="O860" t="s">
        <v>23</v>
      </c>
      <c r="P860" t="s">
        <v>132</v>
      </c>
      <c r="Q860" t="s">
        <v>133</v>
      </c>
      <c r="R860" t="s">
        <v>131</v>
      </c>
      <c r="S860" s="33">
        <v>0.2</v>
      </c>
      <c r="T860" s="13">
        <v>45.055999999999997</v>
      </c>
      <c r="U860" s="13">
        <v>15.2064</v>
      </c>
      <c r="V860" s="21">
        <f>Table10[[#This Row],[Profit]]/Table10[[#This Row],[Sales]]</f>
        <v>0.33750000000000002</v>
      </c>
    </row>
    <row r="861" spans="1:22" x14ac:dyDescent="0.2">
      <c r="A861">
        <v>860</v>
      </c>
      <c r="B861" t="s">
        <v>2503</v>
      </c>
      <c r="C861" s="1">
        <v>42541</v>
      </c>
      <c r="D861" s="22">
        <f>MONTH(Table10[[#This Row],[Order Date]])</f>
        <v>6</v>
      </c>
      <c r="E861" t="s">
        <v>2507</v>
      </c>
      <c r="F861" t="s">
        <v>2508</v>
      </c>
      <c r="G861" s="23" t="s">
        <v>41</v>
      </c>
      <c r="H861" s="23" t="s">
        <v>68</v>
      </c>
      <c r="I861" t="s">
        <v>2504</v>
      </c>
      <c r="J861" t="s">
        <v>92</v>
      </c>
      <c r="K861" s="22">
        <v>6</v>
      </c>
      <c r="L861" s="1">
        <v>42545</v>
      </c>
      <c r="M861" s="22">
        <f>Table10[[#This Row],[Ship Date]]-Table10[[#This Row],[Order Date]]</f>
        <v>4</v>
      </c>
      <c r="N861" t="s">
        <v>45</v>
      </c>
      <c r="O861" t="s">
        <v>23</v>
      </c>
      <c r="P861" t="s">
        <v>132</v>
      </c>
      <c r="Q861" t="s">
        <v>133</v>
      </c>
      <c r="R861" t="s">
        <v>131</v>
      </c>
      <c r="S861" s="33">
        <v>0.7</v>
      </c>
      <c r="T861" s="13">
        <v>29.718</v>
      </c>
      <c r="U861" s="13">
        <v>-21.793199999999999</v>
      </c>
      <c r="V861" s="21">
        <f>Table10[[#This Row],[Profit]]/Table10[[#This Row],[Sales]]</f>
        <v>-0.73333333333333328</v>
      </c>
    </row>
    <row r="862" spans="1:22" x14ac:dyDescent="0.2">
      <c r="A862">
        <v>861</v>
      </c>
      <c r="B862" t="s">
        <v>2503</v>
      </c>
      <c r="C862" s="1">
        <v>42541</v>
      </c>
      <c r="D862" s="22">
        <f>MONTH(Table10[[#This Row],[Order Date]])</f>
        <v>6</v>
      </c>
      <c r="E862" t="s">
        <v>2328</v>
      </c>
      <c r="F862" t="s">
        <v>2329</v>
      </c>
      <c r="G862" s="23" t="s">
        <v>41</v>
      </c>
      <c r="H862" s="23" t="s">
        <v>82</v>
      </c>
      <c r="I862" t="s">
        <v>2504</v>
      </c>
      <c r="J862" t="s">
        <v>92</v>
      </c>
      <c r="K862" s="22">
        <v>3</v>
      </c>
      <c r="L862" s="1">
        <v>42545</v>
      </c>
      <c r="M862" s="22">
        <f>Table10[[#This Row],[Ship Date]]-Table10[[#This Row],[Order Date]]</f>
        <v>4</v>
      </c>
      <c r="N862" t="s">
        <v>45</v>
      </c>
      <c r="O862" t="s">
        <v>23</v>
      </c>
      <c r="P862" t="s">
        <v>132</v>
      </c>
      <c r="Q862" t="s">
        <v>133</v>
      </c>
      <c r="R862" t="s">
        <v>131</v>
      </c>
      <c r="S862" s="33">
        <v>0.2</v>
      </c>
      <c r="T862" s="13">
        <v>15.552</v>
      </c>
      <c r="U862" s="13">
        <v>5.4432</v>
      </c>
      <c r="V862" s="21">
        <f>Table10[[#This Row],[Profit]]/Table10[[#This Row],[Sales]]</f>
        <v>0.35000000000000003</v>
      </c>
    </row>
    <row r="863" spans="1:22" x14ac:dyDescent="0.2">
      <c r="A863">
        <v>862</v>
      </c>
      <c r="B863" t="s">
        <v>2503</v>
      </c>
      <c r="C863" s="1">
        <v>42541</v>
      </c>
      <c r="D863" s="22">
        <f>MONTH(Table10[[#This Row],[Order Date]])</f>
        <v>6</v>
      </c>
      <c r="E863" t="s">
        <v>529</v>
      </c>
      <c r="F863" t="s">
        <v>530</v>
      </c>
      <c r="G863" s="23" t="s">
        <v>41</v>
      </c>
      <c r="H863" s="23" t="s">
        <v>71</v>
      </c>
      <c r="I863" t="s">
        <v>2504</v>
      </c>
      <c r="J863" t="s">
        <v>92</v>
      </c>
      <c r="K863" s="22">
        <v>2</v>
      </c>
      <c r="L863" s="1">
        <v>42545</v>
      </c>
      <c r="M863" s="22">
        <f>Table10[[#This Row],[Ship Date]]-Table10[[#This Row],[Order Date]]</f>
        <v>4</v>
      </c>
      <c r="N863" t="s">
        <v>45</v>
      </c>
      <c r="O863" t="s">
        <v>23</v>
      </c>
      <c r="P863" t="s">
        <v>132</v>
      </c>
      <c r="Q863" t="s">
        <v>133</v>
      </c>
      <c r="R863" t="s">
        <v>131</v>
      </c>
      <c r="S863" s="33">
        <v>0.2</v>
      </c>
      <c r="T863" s="13">
        <v>447.69600000000003</v>
      </c>
      <c r="U863" s="13">
        <v>33.577199999999998</v>
      </c>
      <c r="V863" s="21">
        <f>Table10[[#This Row],[Profit]]/Table10[[#This Row],[Sales]]</f>
        <v>7.4999999999999997E-2</v>
      </c>
    </row>
    <row r="864" spans="1:22" x14ac:dyDescent="0.2">
      <c r="A864">
        <v>863</v>
      </c>
      <c r="B864" t="s">
        <v>3196</v>
      </c>
      <c r="C864" s="1">
        <v>42541</v>
      </c>
      <c r="D864" s="22">
        <f>MONTH(Table10[[#This Row],[Order Date]])</f>
        <v>6</v>
      </c>
      <c r="E864" t="s">
        <v>1650</v>
      </c>
      <c r="F864" t="s">
        <v>1651</v>
      </c>
      <c r="G864" s="23" t="s">
        <v>41</v>
      </c>
      <c r="H864" s="23" t="s">
        <v>82</v>
      </c>
      <c r="I864" t="s">
        <v>868</v>
      </c>
      <c r="J864" t="s">
        <v>22</v>
      </c>
      <c r="K864" s="22">
        <v>7</v>
      </c>
      <c r="L864" s="1">
        <v>42542</v>
      </c>
      <c r="M864" s="22">
        <f>Table10[[#This Row],[Ship Date]]-Table10[[#This Row],[Order Date]]</f>
        <v>1</v>
      </c>
      <c r="N864" t="s">
        <v>169</v>
      </c>
      <c r="O864" t="s">
        <v>23</v>
      </c>
      <c r="P864" t="s">
        <v>38</v>
      </c>
      <c r="Q864" t="s">
        <v>39</v>
      </c>
      <c r="R864" t="s">
        <v>533</v>
      </c>
      <c r="S864" s="33">
        <v>0</v>
      </c>
      <c r="T864" s="13">
        <v>46.76</v>
      </c>
      <c r="U864" s="13">
        <v>22.444800000000001</v>
      </c>
      <c r="V864" s="21">
        <f>Table10[[#This Row],[Profit]]/Table10[[#This Row],[Sales]]</f>
        <v>0.48000000000000004</v>
      </c>
    </row>
    <row r="865" spans="1:22" x14ac:dyDescent="0.2">
      <c r="A865">
        <v>864</v>
      </c>
      <c r="B865" t="s">
        <v>3196</v>
      </c>
      <c r="C865" s="1">
        <v>42541</v>
      </c>
      <c r="D865" s="22">
        <f>MONTH(Table10[[#This Row],[Order Date]])</f>
        <v>6</v>
      </c>
      <c r="E865" t="s">
        <v>2683</v>
      </c>
      <c r="F865" t="s">
        <v>2684</v>
      </c>
      <c r="G865" s="23" t="s">
        <v>41</v>
      </c>
      <c r="H865" s="23" t="s">
        <v>68</v>
      </c>
      <c r="I865" t="s">
        <v>868</v>
      </c>
      <c r="J865" t="s">
        <v>22</v>
      </c>
      <c r="K865" s="22">
        <v>3</v>
      </c>
      <c r="L865" s="1">
        <v>42542</v>
      </c>
      <c r="M865" s="22">
        <f>Table10[[#This Row],[Ship Date]]-Table10[[#This Row],[Order Date]]</f>
        <v>1</v>
      </c>
      <c r="N865" t="s">
        <v>169</v>
      </c>
      <c r="O865" t="s">
        <v>23</v>
      </c>
      <c r="P865" t="s">
        <v>38</v>
      </c>
      <c r="Q865" t="s">
        <v>39</v>
      </c>
      <c r="R865" t="s">
        <v>533</v>
      </c>
      <c r="S865" s="33">
        <v>0.2</v>
      </c>
      <c r="T865" s="13">
        <v>17.712</v>
      </c>
      <c r="U865" s="13">
        <v>6.4206000000000003</v>
      </c>
      <c r="V865" s="21">
        <f>Table10[[#This Row],[Profit]]/Table10[[#This Row],[Sales]]</f>
        <v>0.36250000000000004</v>
      </c>
    </row>
    <row r="866" spans="1:22" x14ac:dyDescent="0.2">
      <c r="A866">
        <v>865</v>
      </c>
      <c r="B866" t="s">
        <v>3196</v>
      </c>
      <c r="C866" s="1">
        <v>42541</v>
      </c>
      <c r="D866" s="22">
        <f>MONTH(Table10[[#This Row],[Order Date]])</f>
        <v>6</v>
      </c>
      <c r="E866" t="s">
        <v>3197</v>
      </c>
      <c r="F866" t="s">
        <v>3198</v>
      </c>
      <c r="G866" s="23" t="s">
        <v>41</v>
      </c>
      <c r="H866" s="23" t="s">
        <v>71</v>
      </c>
      <c r="I866" t="s">
        <v>868</v>
      </c>
      <c r="J866" t="s">
        <v>22</v>
      </c>
      <c r="K866" s="22">
        <v>2</v>
      </c>
      <c r="L866" s="1">
        <v>42542</v>
      </c>
      <c r="M866" s="22">
        <f>Table10[[#This Row],[Ship Date]]-Table10[[#This Row],[Order Date]]</f>
        <v>1</v>
      </c>
      <c r="N866" t="s">
        <v>169</v>
      </c>
      <c r="O866" t="s">
        <v>23</v>
      </c>
      <c r="P866" t="s">
        <v>38</v>
      </c>
      <c r="Q866" t="s">
        <v>39</v>
      </c>
      <c r="R866" t="s">
        <v>533</v>
      </c>
      <c r="S866" s="33">
        <v>0</v>
      </c>
      <c r="T866" s="13">
        <v>21.78</v>
      </c>
      <c r="U866" s="13">
        <v>5.6627999999999998</v>
      </c>
      <c r="V866" s="21">
        <f>Table10[[#This Row],[Profit]]/Table10[[#This Row],[Sales]]</f>
        <v>0.25999999999999995</v>
      </c>
    </row>
    <row r="867" spans="1:22" x14ac:dyDescent="0.2">
      <c r="A867">
        <v>866</v>
      </c>
      <c r="B867" t="s">
        <v>3196</v>
      </c>
      <c r="C867" s="1">
        <v>42541</v>
      </c>
      <c r="D867" s="22">
        <f>MONTH(Table10[[#This Row],[Order Date]])</f>
        <v>6</v>
      </c>
      <c r="E867" t="s">
        <v>1383</v>
      </c>
      <c r="F867" t="s">
        <v>1384</v>
      </c>
      <c r="G867" s="23" t="s">
        <v>41</v>
      </c>
      <c r="H867" s="23" t="s">
        <v>53</v>
      </c>
      <c r="I867" t="s">
        <v>868</v>
      </c>
      <c r="J867" t="s">
        <v>22</v>
      </c>
      <c r="K867" s="22">
        <v>3</v>
      </c>
      <c r="L867" s="1">
        <v>42542</v>
      </c>
      <c r="M867" s="22">
        <f>Table10[[#This Row],[Ship Date]]-Table10[[#This Row],[Order Date]]</f>
        <v>1</v>
      </c>
      <c r="N867" t="s">
        <v>169</v>
      </c>
      <c r="O867" t="s">
        <v>23</v>
      </c>
      <c r="P867" t="s">
        <v>38</v>
      </c>
      <c r="Q867" t="s">
        <v>39</v>
      </c>
      <c r="R867" t="s">
        <v>533</v>
      </c>
      <c r="S867" s="33">
        <v>0</v>
      </c>
      <c r="T867" s="13">
        <v>161.94</v>
      </c>
      <c r="U867" s="13">
        <v>9.7164000000000001</v>
      </c>
      <c r="V867" s="21">
        <f>Table10[[#This Row],[Profit]]/Table10[[#This Row],[Sales]]</f>
        <v>6.0000000000000005E-2</v>
      </c>
    </row>
    <row r="868" spans="1:22" x14ac:dyDescent="0.2">
      <c r="A868">
        <v>867</v>
      </c>
      <c r="B868" t="s">
        <v>3196</v>
      </c>
      <c r="C868" s="1">
        <v>42541</v>
      </c>
      <c r="D868" s="22">
        <f>MONTH(Table10[[#This Row],[Order Date]])</f>
        <v>6</v>
      </c>
      <c r="E868" t="s">
        <v>3199</v>
      </c>
      <c r="F868" t="s">
        <v>3200</v>
      </c>
      <c r="G868" s="23" t="s">
        <v>28</v>
      </c>
      <c r="H868" s="23" t="s">
        <v>32</v>
      </c>
      <c r="I868" t="s">
        <v>868</v>
      </c>
      <c r="J868" t="s">
        <v>22</v>
      </c>
      <c r="K868" s="22">
        <v>2</v>
      </c>
      <c r="L868" s="1">
        <v>42542</v>
      </c>
      <c r="M868" s="22">
        <f>Table10[[#This Row],[Ship Date]]-Table10[[#This Row],[Order Date]]</f>
        <v>1</v>
      </c>
      <c r="N868" t="s">
        <v>169</v>
      </c>
      <c r="O868" t="s">
        <v>23</v>
      </c>
      <c r="P868" t="s">
        <v>38</v>
      </c>
      <c r="Q868" t="s">
        <v>39</v>
      </c>
      <c r="R868" t="s">
        <v>533</v>
      </c>
      <c r="S868" s="33">
        <v>0.2</v>
      </c>
      <c r="T868" s="13">
        <v>161.56800000000001</v>
      </c>
      <c r="U868" s="13">
        <v>-8.0784000000000002</v>
      </c>
      <c r="V868" s="21">
        <f>Table10[[#This Row],[Profit]]/Table10[[#This Row],[Sales]]</f>
        <v>-4.9999999999999996E-2</v>
      </c>
    </row>
    <row r="869" spans="1:22" x14ac:dyDescent="0.2">
      <c r="A869">
        <v>868</v>
      </c>
      <c r="B869" t="s">
        <v>4256</v>
      </c>
      <c r="C869" s="1">
        <v>42541</v>
      </c>
      <c r="D869" s="22">
        <f>MONTH(Table10[[#This Row],[Order Date]])</f>
        <v>6</v>
      </c>
      <c r="E869" t="s">
        <v>3525</v>
      </c>
      <c r="F869" t="s">
        <v>3526</v>
      </c>
      <c r="G869" s="23" t="s">
        <v>64</v>
      </c>
      <c r="H869" s="23" t="s">
        <v>144</v>
      </c>
      <c r="I869" t="s">
        <v>789</v>
      </c>
      <c r="J869" t="s">
        <v>36</v>
      </c>
      <c r="K869" s="22">
        <v>4</v>
      </c>
      <c r="L869" s="1">
        <v>42547</v>
      </c>
      <c r="M869" s="22">
        <f>Table10[[#This Row],[Ship Date]]-Table10[[#This Row],[Order Date]]</f>
        <v>6</v>
      </c>
      <c r="N869" t="s">
        <v>45</v>
      </c>
      <c r="O869" t="s">
        <v>23</v>
      </c>
      <c r="P869" t="s">
        <v>94</v>
      </c>
      <c r="Q869" t="s">
        <v>95</v>
      </c>
      <c r="R869" t="s">
        <v>3716</v>
      </c>
      <c r="S869" s="33">
        <v>0.2</v>
      </c>
      <c r="T869" s="13">
        <v>95.968000000000004</v>
      </c>
      <c r="U869" s="13">
        <v>26.391200000000001</v>
      </c>
      <c r="V869" s="21">
        <f>Table10[[#This Row],[Profit]]/Table10[[#This Row],[Sales]]</f>
        <v>0.27500000000000002</v>
      </c>
    </row>
    <row r="870" spans="1:22" x14ac:dyDescent="0.2">
      <c r="A870">
        <v>869</v>
      </c>
      <c r="B870" t="s">
        <v>4256</v>
      </c>
      <c r="C870" s="1">
        <v>42541</v>
      </c>
      <c r="D870" s="22">
        <f>MONTH(Table10[[#This Row],[Order Date]])</f>
        <v>6</v>
      </c>
      <c r="E870" t="s">
        <v>4046</v>
      </c>
      <c r="F870" t="s">
        <v>4047</v>
      </c>
      <c r="G870" s="23" t="s">
        <v>41</v>
      </c>
      <c r="H870" s="23" t="s">
        <v>82</v>
      </c>
      <c r="I870" t="s">
        <v>789</v>
      </c>
      <c r="J870" t="s">
        <v>36</v>
      </c>
      <c r="K870" s="22">
        <v>2</v>
      </c>
      <c r="L870" s="1">
        <v>42547</v>
      </c>
      <c r="M870" s="22">
        <f>Table10[[#This Row],[Ship Date]]-Table10[[#This Row],[Order Date]]</f>
        <v>6</v>
      </c>
      <c r="N870" t="s">
        <v>45</v>
      </c>
      <c r="O870" t="s">
        <v>23</v>
      </c>
      <c r="P870" t="s">
        <v>94</v>
      </c>
      <c r="Q870" t="s">
        <v>95</v>
      </c>
      <c r="R870" t="s">
        <v>3716</v>
      </c>
      <c r="S870" s="33">
        <v>0.2</v>
      </c>
      <c r="T870" s="13">
        <v>10.368</v>
      </c>
      <c r="U870" s="13">
        <v>3.6288</v>
      </c>
      <c r="V870" s="21">
        <f>Table10[[#This Row],[Profit]]/Table10[[#This Row],[Sales]]</f>
        <v>0.35</v>
      </c>
    </row>
    <row r="871" spans="1:22" x14ac:dyDescent="0.2">
      <c r="A871">
        <v>870</v>
      </c>
      <c r="B871" t="s">
        <v>8620</v>
      </c>
      <c r="C871" s="1">
        <v>42541</v>
      </c>
      <c r="D871" s="22">
        <f>MONTH(Table10[[#This Row],[Order Date]])</f>
        <v>6</v>
      </c>
      <c r="E871" t="s">
        <v>6948</v>
      </c>
      <c r="F871" t="s">
        <v>6949</v>
      </c>
      <c r="G871" s="23" t="s">
        <v>64</v>
      </c>
      <c r="H871" s="23" t="s">
        <v>144</v>
      </c>
      <c r="I871" t="s">
        <v>6619</v>
      </c>
      <c r="J871" t="s">
        <v>36</v>
      </c>
      <c r="K871" s="22">
        <v>1</v>
      </c>
      <c r="L871" s="1">
        <v>42546</v>
      </c>
      <c r="M871" s="22">
        <f>Table10[[#This Row],[Ship Date]]-Table10[[#This Row],[Order Date]]</f>
        <v>5</v>
      </c>
      <c r="N871" t="s">
        <v>45</v>
      </c>
      <c r="O871" t="s">
        <v>23</v>
      </c>
      <c r="P871" t="s">
        <v>573</v>
      </c>
      <c r="Q871" t="s">
        <v>95</v>
      </c>
      <c r="R871" t="s">
        <v>4295</v>
      </c>
      <c r="S871" s="33">
        <v>0</v>
      </c>
      <c r="T871" s="13">
        <v>6.9</v>
      </c>
      <c r="U871" s="13">
        <v>0.55200000000000005</v>
      </c>
      <c r="V871" s="21">
        <f>Table10[[#This Row],[Profit]]/Table10[[#This Row],[Sales]]</f>
        <v>0.08</v>
      </c>
    </row>
    <row r="872" spans="1:22" x14ac:dyDescent="0.2">
      <c r="A872">
        <v>871</v>
      </c>
      <c r="B872" t="s">
        <v>8620</v>
      </c>
      <c r="C872" s="1">
        <v>42541</v>
      </c>
      <c r="D872" s="22">
        <f>MONTH(Table10[[#This Row],[Order Date]])</f>
        <v>6</v>
      </c>
      <c r="E872" t="s">
        <v>3490</v>
      </c>
      <c r="F872" t="s">
        <v>5133</v>
      </c>
      <c r="G872" s="23" t="s">
        <v>28</v>
      </c>
      <c r="H872" s="23" t="s">
        <v>58</v>
      </c>
      <c r="I872" t="s">
        <v>6619</v>
      </c>
      <c r="J872" t="s">
        <v>36</v>
      </c>
      <c r="K872" s="22">
        <v>3</v>
      </c>
      <c r="L872" s="1">
        <v>42546</v>
      </c>
      <c r="M872" s="22">
        <f>Table10[[#This Row],[Ship Date]]-Table10[[#This Row],[Order Date]]</f>
        <v>5</v>
      </c>
      <c r="N872" t="s">
        <v>45</v>
      </c>
      <c r="O872" t="s">
        <v>23</v>
      </c>
      <c r="P872" t="s">
        <v>573</v>
      </c>
      <c r="Q872" t="s">
        <v>95</v>
      </c>
      <c r="R872" t="s">
        <v>4295</v>
      </c>
      <c r="S872" s="33">
        <v>0</v>
      </c>
      <c r="T872" s="13">
        <v>57.69</v>
      </c>
      <c r="U872" s="13">
        <v>23.652899999999999</v>
      </c>
      <c r="V872" s="21">
        <f>Table10[[#This Row],[Profit]]/Table10[[#This Row],[Sales]]</f>
        <v>0.41</v>
      </c>
    </row>
    <row r="873" spans="1:22" x14ac:dyDescent="0.2">
      <c r="A873">
        <v>872</v>
      </c>
      <c r="B873" t="s">
        <v>7320</v>
      </c>
      <c r="C873" s="1">
        <v>42542</v>
      </c>
      <c r="D873" s="22">
        <f>MONTH(Table10[[#This Row],[Order Date]])</f>
        <v>6</v>
      </c>
      <c r="E873" t="s">
        <v>4784</v>
      </c>
      <c r="F873" t="s">
        <v>4785</v>
      </c>
      <c r="G873" s="23" t="s">
        <v>41</v>
      </c>
      <c r="H873" s="23" t="s">
        <v>68</v>
      </c>
      <c r="I873" t="s">
        <v>4166</v>
      </c>
      <c r="J873" t="s">
        <v>22</v>
      </c>
      <c r="K873" s="22">
        <v>5</v>
      </c>
      <c r="L873" s="1">
        <v>42547</v>
      </c>
      <c r="M873" s="22">
        <f>Table10[[#This Row],[Ship Date]]-Table10[[#This Row],[Order Date]]</f>
        <v>5</v>
      </c>
      <c r="N873" t="s">
        <v>45</v>
      </c>
      <c r="O873" t="s">
        <v>23</v>
      </c>
      <c r="P873" t="s">
        <v>238</v>
      </c>
      <c r="Q873" t="s">
        <v>133</v>
      </c>
      <c r="R873" t="s">
        <v>237</v>
      </c>
      <c r="S873" s="33">
        <v>0.2</v>
      </c>
      <c r="T873" s="13">
        <v>36.56</v>
      </c>
      <c r="U873" s="13">
        <v>12.795999999999999</v>
      </c>
      <c r="V873" s="21">
        <f>Table10[[#This Row],[Profit]]/Table10[[#This Row],[Sales]]</f>
        <v>0.35</v>
      </c>
    </row>
    <row r="874" spans="1:22" x14ac:dyDescent="0.2">
      <c r="A874">
        <v>873</v>
      </c>
      <c r="B874" t="s">
        <v>7320</v>
      </c>
      <c r="C874" s="1">
        <v>42542</v>
      </c>
      <c r="D874" s="22">
        <f>MONTH(Table10[[#This Row],[Order Date]])</f>
        <v>6</v>
      </c>
      <c r="E874" t="s">
        <v>6098</v>
      </c>
      <c r="F874" t="s">
        <v>6099</v>
      </c>
      <c r="G874" s="23" t="s">
        <v>41</v>
      </c>
      <c r="H874" s="23" t="s">
        <v>68</v>
      </c>
      <c r="I874" t="s">
        <v>4166</v>
      </c>
      <c r="J874" t="s">
        <v>22</v>
      </c>
      <c r="K874" s="22">
        <v>6</v>
      </c>
      <c r="L874" s="1">
        <v>42547</v>
      </c>
      <c r="M874" s="22">
        <f>Table10[[#This Row],[Ship Date]]-Table10[[#This Row],[Order Date]]</f>
        <v>5</v>
      </c>
      <c r="N874" t="s">
        <v>45</v>
      </c>
      <c r="O874" t="s">
        <v>23</v>
      </c>
      <c r="P874" t="s">
        <v>238</v>
      </c>
      <c r="Q874" t="s">
        <v>133</v>
      </c>
      <c r="R874" t="s">
        <v>237</v>
      </c>
      <c r="S874" s="33">
        <v>0.2</v>
      </c>
      <c r="T874" s="13">
        <v>186.14400000000001</v>
      </c>
      <c r="U874" s="13">
        <v>60.4968</v>
      </c>
      <c r="V874" s="21">
        <f>Table10[[#This Row],[Profit]]/Table10[[#This Row],[Sales]]</f>
        <v>0.32500000000000001</v>
      </c>
    </row>
    <row r="875" spans="1:22" x14ac:dyDescent="0.2">
      <c r="A875">
        <v>874</v>
      </c>
      <c r="B875" t="s">
        <v>7320</v>
      </c>
      <c r="C875" s="1">
        <v>42542</v>
      </c>
      <c r="D875" s="22">
        <f>MONTH(Table10[[#This Row],[Order Date]])</f>
        <v>6</v>
      </c>
      <c r="E875" t="s">
        <v>2009</v>
      </c>
      <c r="F875" t="s">
        <v>2010</v>
      </c>
      <c r="G875" s="23" t="s">
        <v>28</v>
      </c>
      <c r="H875" s="23" t="s">
        <v>29</v>
      </c>
      <c r="I875" t="s">
        <v>4166</v>
      </c>
      <c r="J875" t="s">
        <v>22</v>
      </c>
      <c r="K875" s="22">
        <v>2</v>
      </c>
      <c r="L875" s="1">
        <v>42547</v>
      </c>
      <c r="M875" s="22">
        <f>Table10[[#This Row],[Ship Date]]-Table10[[#This Row],[Order Date]]</f>
        <v>5</v>
      </c>
      <c r="N875" t="s">
        <v>45</v>
      </c>
      <c r="O875" t="s">
        <v>23</v>
      </c>
      <c r="P875" t="s">
        <v>238</v>
      </c>
      <c r="Q875" t="s">
        <v>133</v>
      </c>
      <c r="R875" t="s">
        <v>237</v>
      </c>
      <c r="S875" s="33">
        <v>0.2</v>
      </c>
      <c r="T875" s="13">
        <v>353.56799999999998</v>
      </c>
      <c r="U875" s="13">
        <v>-44.195999999999998</v>
      </c>
      <c r="V875" s="21">
        <f>Table10[[#This Row],[Profit]]/Table10[[#This Row],[Sales]]</f>
        <v>-0.125</v>
      </c>
    </row>
    <row r="876" spans="1:22" x14ac:dyDescent="0.2">
      <c r="A876">
        <v>875</v>
      </c>
      <c r="B876" t="s">
        <v>9380</v>
      </c>
      <c r="C876" s="1">
        <v>42542</v>
      </c>
      <c r="D876" s="22">
        <f>MONTH(Table10[[#This Row],[Order Date]])</f>
        <v>6</v>
      </c>
      <c r="E876" t="s">
        <v>2788</v>
      </c>
      <c r="F876" t="s">
        <v>2789</v>
      </c>
      <c r="G876" s="23" t="s">
        <v>41</v>
      </c>
      <c r="H876" s="23" t="s">
        <v>68</v>
      </c>
      <c r="I876" t="s">
        <v>307</v>
      </c>
      <c r="J876" t="s">
        <v>36</v>
      </c>
      <c r="K876" s="22">
        <v>1</v>
      </c>
      <c r="L876" s="1">
        <v>42546</v>
      </c>
      <c r="M876" s="22">
        <f>Table10[[#This Row],[Ship Date]]-Table10[[#This Row],[Order Date]]</f>
        <v>4</v>
      </c>
      <c r="N876" t="s">
        <v>45</v>
      </c>
      <c r="O876" t="s">
        <v>23</v>
      </c>
      <c r="P876" t="s">
        <v>189</v>
      </c>
      <c r="Q876" t="s">
        <v>95</v>
      </c>
      <c r="R876" t="s">
        <v>271</v>
      </c>
      <c r="S876" s="33">
        <v>0.8</v>
      </c>
      <c r="T876" s="13">
        <v>0.83599999999999997</v>
      </c>
      <c r="U876" s="13">
        <v>-1.3375999999999999</v>
      </c>
      <c r="V876" s="21">
        <f>Table10[[#This Row],[Profit]]/Table10[[#This Row],[Sales]]</f>
        <v>-1.5999999999999999</v>
      </c>
    </row>
    <row r="877" spans="1:22" x14ac:dyDescent="0.2">
      <c r="A877">
        <v>876</v>
      </c>
      <c r="B877" t="s">
        <v>4411</v>
      </c>
      <c r="C877" s="1">
        <v>42544</v>
      </c>
      <c r="D877" s="22">
        <f>MONTH(Table10[[#This Row],[Order Date]])</f>
        <v>6</v>
      </c>
      <c r="E877" t="s">
        <v>1986</v>
      </c>
      <c r="F877" t="s">
        <v>1987</v>
      </c>
      <c r="G877" s="23" t="s">
        <v>41</v>
      </c>
      <c r="H877" s="23" t="s">
        <v>42</v>
      </c>
      <c r="I877" t="s">
        <v>85</v>
      </c>
      <c r="J877" t="s">
        <v>22</v>
      </c>
      <c r="K877" s="22">
        <v>4</v>
      </c>
      <c r="L877" s="1">
        <v>42549</v>
      </c>
      <c r="M877" s="22">
        <f>Table10[[#This Row],[Ship Date]]-Table10[[#This Row],[Order Date]]</f>
        <v>5</v>
      </c>
      <c r="N877" t="s">
        <v>45</v>
      </c>
      <c r="O877" t="s">
        <v>23</v>
      </c>
      <c r="P877" t="s">
        <v>238</v>
      </c>
      <c r="Q877" t="s">
        <v>133</v>
      </c>
      <c r="R877" t="s">
        <v>237</v>
      </c>
      <c r="S877" s="33">
        <v>0</v>
      </c>
      <c r="T877" s="13">
        <v>122.12</v>
      </c>
      <c r="U877" s="13">
        <v>56.175199999999997</v>
      </c>
      <c r="V877" s="21">
        <f>Table10[[#This Row],[Profit]]/Table10[[#This Row],[Sales]]</f>
        <v>0.45999999999999996</v>
      </c>
    </row>
    <row r="878" spans="1:22" x14ac:dyDescent="0.2">
      <c r="A878">
        <v>877</v>
      </c>
      <c r="B878" t="s">
        <v>4411</v>
      </c>
      <c r="C878" s="1">
        <v>42544</v>
      </c>
      <c r="D878" s="22">
        <f>MONTH(Table10[[#This Row],[Order Date]])</f>
        <v>6</v>
      </c>
      <c r="E878" t="s">
        <v>4412</v>
      </c>
      <c r="F878" t="s">
        <v>4413</v>
      </c>
      <c r="G878" s="23" t="s">
        <v>41</v>
      </c>
      <c r="H878" s="23" t="s">
        <v>42</v>
      </c>
      <c r="I878" t="s">
        <v>85</v>
      </c>
      <c r="J878" t="s">
        <v>22</v>
      </c>
      <c r="K878" s="22">
        <v>5</v>
      </c>
      <c r="L878" s="1">
        <v>42549</v>
      </c>
      <c r="M878" s="22">
        <f>Table10[[#This Row],[Ship Date]]-Table10[[#This Row],[Order Date]]</f>
        <v>5</v>
      </c>
      <c r="N878" t="s">
        <v>45</v>
      </c>
      <c r="O878" t="s">
        <v>23</v>
      </c>
      <c r="P878" t="s">
        <v>238</v>
      </c>
      <c r="Q878" t="s">
        <v>133</v>
      </c>
      <c r="R878" t="s">
        <v>237</v>
      </c>
      <c r="S878" s="33">
        <v>0</v>
      </c>
      <c r="T878" s="13">
        <v>18.45</v>
      </c>
      <c r="U878" s="13">
        <v>8.6715</v>
      </c>
      <c r="V878" s="21">
        <f>Table10[[#This Row],[Profit]]/Table10[[#This Row],[Sales]]</f>
        <v>0.47000000000000003</v>
      </c>
    </row>
    <row r="879" spans="1:22" x14ac:dyDescent="0.2">
      <c r="A879">
        <v>878</v>
      </c>
      <c r="B879" t="s">
        <v>4411</v>
      </c>
      <c r="C879" s="1">
        <v>42544</v>
      </c>
      <c r="D879" s="22">
        <f>MONTH(Table10[[#This Row],[Order Date]])</f>
        <v>6</v>
      </c>
      <c r="E879" t="s">
        <v>1364</v>
      </c>
      <c r="F879" t="s">
        <v>1365</v>
      </c>
      <c r="G879" s="23" t="s">
        <v>41</v>
      </c>
      <c r="H879" s="23" t="s">
        <v>53</v>
      </c>
      <c r="I879" t="s">
        <v>85</v>
      </c>
      <c r="J879" t="s">
        <v>22</v>
      </c>
      <c r="K879" s="22">
        <v>5</v>
      </c>
      <c r="L879" s="1">
        <v>42549</v>
      </c>
      <c r="M879" s="22">
        <f>Table10[[#This Row],[Ship Date]]-Table10[[#This Row],[Order Date]]</f>
        <v>5</v>
      </c>
      <c r="N879" t="s">
        <v>45</v>
      </c>
      <c r="O879" t="s">
        <v>23</v>
      </c>
      <c r="P879" t="s">
        <v>238</v>
      </c>
      <c r="Q879" t="s">
        <v>133</v>
      </c>
      <c r="R879" t="s">
        <v>237</v>
      </c>
      <c r="S879" s="33">
        <v>0</v>
      </c>
      <c r="T879" s="13">
        <v>324.89999999999998</v>
      </c>
      <c r="U879" s="13">
        <v>38.988</v>
      </c>
      <c r="V879" s="21">
        <f>Table10[[#This Row],[Profit]]/Table10[[#This Row],[Sales]]</f>
        <v>0.12000000000000001</v>
      </c>
    </row>
    <row r="880" spans="1:22" x14ac:dyDescent="0.2">
      <c r="A880">
        <v>879</v>
      </c>
      <c r="B880" t="s">
        <v>4411</v>
      </c>
      <c r="C880" s="1">
        <v>42544</v>
      </c>
      <c r="D880" s="22">
        <f>MONTH(Table10[[#This Row],[Order Date]])</f>
        <v>6</v>
      </c>
      <c r="E880" t="s">
        <v>4099</v>
      </c>
      <c r="F880" t="s">
        <v>4100</v>
      </c>
      <c r="G880" s="23" t="s">
        <v>41</v>
      </c>
      <c r="H880" s="23" t="s">
        <v>82</v>
      </c>
      <c r="I880" t="s">
        <v>85</v>
      </c>
      <c r="J880" t="s">
        <v>22</v>
      </c>
      <c r="K880" s="22">
        <v>3</v>
      </c>
      <c r="L880" s="1">
        <v>42549</v>
      </c>
      <c r="M880" s="22">
        <f>Table10[[#This Row],[Ship Date]]-Table10[[#This Row],[Order Date]]</f>
        <v>5</v>
      </c>
      <c r="N880" t="s">
        <v>45</v>
      </c>
      <c r="O880" t="s">
        <v>23</v>
      </c>
      <c r="P880" t="s">
        <v>238</v>
      </c>
      <c r="Q880" t="s">
        <v>133</v>
      </c>
      <c r="R880" t="s">
        <v>237</v>
      </c>
      <c r="S880" s="33">
        <v>0</v>
      </c>
      <c r="T880" s="13">
        <v>146.72999999999999</v>
      </c>
      <c r="U880" s="13">
        <v>68.963099999999997</v>
      </c>
      <c r="V880" s="21">
        <f>Table10[[#This Row],[Profit]]/Table10[[#This Row],[Sales]]</f>
        <v>0.47000000000000003</v>
      </c>
    </row>
    <row r="881" spans="1:22" x14ac:dyDescent="0.2">
      <c r="A881">
        <v>880</v>
      </c>
      <c r="B881" t="s">
        <v>4411</v>
      </c>
      <c r="C881" s="1">
        <v>42544</v>
      </c>
      <c r="D881" s="22">
        <f>MONTH(Table10[[#This Row],[Order Date]])</f>
        <v>6</v>
      </c>
      <c r="E881" t="s">
        <v>4414</v>
      </c>
      <c r="F881" t="s">
        <v>4415</v>
      </c>
      <c r="G881" s="23" t="s">
        <v>41</v>
      </c>
      <c r="H881" s="23" t="s">
        <v>240</v>
      </c>
      <c r="I881" t="s">
        <v>85</v>
      </c>
      <c r="J881" t="s">
        <v>22</v>
      </c>
      <c r="K881" s="22">
        <v>2</v>
      </c>
      <c r="L881" s="1">
        <v>42549</v>
      </c>
      <c r="M881" s="22">
        <f>Table10[[#This Row],[Ship Date]]-Table10[[#This Row],[Order Date]]</f>
        <v>5</v>
      </c>
      <c r="N881" t="s">
        <v>45</v>
      </c>
      <c r="O881" t="s">
        <v>23</v>
      </c>
      <c r="P881" t="s">
        <v>238</v>
      </c>
      <c r="Q881" t="s">
        <v>133</v>
      </c>
      <c r="R881" t="s">
        <v>237</v>
      </c>
      <c r="S881" s="33">
        <v>0</v>
      </c>
      <c r="T881" s="13">
        <v>3.96</v>
      </c>
      <c r="U881" s="13">
        <v>1.4652000000000001</v>
      </c>
      <c r="V881" s="21">
        <f>Table10[[#This Row],[Profit]]/Table10[[#This Row],[Sales]]</f>
        <v>0.37</v>
      </c>
    </row>
    <row r="882" spans="1:22" x14ac:dyDescent="0.2">
      <c r="A882">
        <v>881</v>
      </c>
      <c r="B882" t="s">
        <v>6357</v>
      </c>
      <c r="C882" s="1">
        <v>42544</v>
      </c>
      <c r="D882" s="22">
        <f>MONTH(Table10[[#This Row],[Order Date]])</f>
        <v>6</v>
      </c>
      <c r="E882" t="s">
        <v>5247</v>
      </c>
      <c r="F882" t="s">
        <v>5248</v>
      </c>
      <c r="G882" s="23" t="s">
        <v>41</v>
      </c>
      <c r="H882" s="23" t="s">
        <v>513</v>
      </c>
      <c r="I882" t="s">
        <v>6358</v>
      </c>
      <c r="J882" t="s">
        <v>22</v>
      </c>
      <c r="K882" s="22">
        <v>7</v>
      </c>
      <c r="L882" s="1">
        <v>42551</v>
      </c>
      <c r="M882" s="22">
        <f>Table10[[#This Row],[Ship Date]]-Table10[[#This Row],[Order Date]]</f>
        <v>7</v>
      </c>
      <c r="N882" t="s">
        <v>45</v>
      </c>
      <c r="O882" t="s">
        <v>23</v>
      </c>
      <c r="P882" t="s">
        <v>238</v>
      </c>
      <c r="Q882" t="s">
        <v>133</v>
      </c>
      <c r="R882" t="s">
        <v>3048</v>
      </c>
      <c r="S882" s="33">
        <v>0</v>
      </c>
      <c r="T882" s="13">
        <v>835.17</v>
      </c>
      <c r="U882" s="13">
        <v>16.703399999999998</v>
      </c>
      <c r="V882" s="21">
        <f>Table10[[#This Row],[Profit]]/Table10[[#This Row],[Sales]]</f>
        <v>0.02</v>
      </c>
    </row>
    <row r="883" spans="1:22" x14ac:dyDescent="0.2">
      <c r="A883">
        <v>882</v>
      </c>
      <c r="B883" t="s">
        <v>8405</v>
      </c>
      <c r="C883" s="1">
        <v>42544</v>
      </c>
      <c r="D883" s="22">
        <f>MONTH(Table10[[#This Row],[Order Date]])</f>
        <v>6</v>
      </c>
      <c r="E883" t="s">
        <v>4450</v>
      </c>
      <c r="F883" t="s">
        <v>4451</v>
      </c>
      <c r="G883" s="23" t="s">
        <v>41</v>
      </c>
      <c r="H883" s="23" t="s">
        <v>53</v>
      </c>
      <c r="I883" t="s">
        <v>587</v>
      </c>
      <c r="J883" t="s">
        <v>22</v>
      </c>
      <c r="K883" s="22">
        <v>4</v>
      </c>
      <c r="L883" s="1">
        <v>42546</v>
      </c>
      <c r="M883" s="22">
        <f>Table10[[#This Row],[Ship Date]]-Table10[[#This Row],[Order Date]]</f>
        <v>2</v>
      </c>
      <c r="N883" t="s">
        <v>20</v>
      </c>
      <c r="O883" t="s">
        <v>23</v>
      </c>
      <c r="P883" t="s">
        <v>38</v>
      </c>
      <c r="Q883" t="s">
        <v>39</v>
      </c>
      <c r="R883" t="s">
        <v>114</v>
      </c>
      <c r="S883" s="33">
        <v>0</v>
      </c>
      <c r="T883" s="13">
        <v>93.68</v>
      </c>
      <c r="U883" s="13">
        <v>25.293600000000001</v>
      </c>
      <c r="V883" s="21">
        <f>Table10[[#This Row],[Profit]]/Table10[[#This Row],[Sales]]</f>
        <v>0.27</v>
      </c>
    </row>
    <row r="884" spans="1:22" x14ac:dyDescent="0.2">
      <c r="A884">
        <v>883</v>
      </c>
      <c r="B884" t="s">
        <v>8405</v>
      </c>
      <c r="C884" s="1">
        <v>42544</v>
      </c>
      <c r="D884" s="22">
        <f>MONTH(Table10[[#This Row],[Order Date]])</f>
        <v>6</v>
      </c>
      <c r="E884" t="s">
        <v>1962</v>
      </c>
      <c r="F884" t="s">
        <v>1963</v>
      </c>
      <c r="G884" s="23" t="s">
        <v>41</v>
      </c>
      <c r="H884" s="23" t="s">
        <v>42</v>
      </c>
      <c r="I884" t="s">
        <v>587</v>
      </c>
      <c r="J884" t="s">
        <v>22</v>
      </c>
      <c r="K884" s="22">
        <v>3</v>
      </c>
      <c r="L884" s="1">
        <v>42546</v>
      </c>
      <c r="M884" s="22">
        <f>Table10[[#This Row],[Ship Date]]-Table10[[#This Row],[Order Date]]</f>
        <v>2</v>
      </c>
      <c r="N884" t="s">
        <v>20</v>
      </c>
      <c r="O884" t="s">
        <v>23</v>
      </c>
      <c r="P884" t="s">
        <v>38</v>
      </c>
      <c r="Q884" t="s">
        <v>39</v>
      </c>
      <c r="R884" t="s">
        <v>114</v>
      </c>
      <c r="S884" s="33">
        <v>0</v>
      </c>
      <c r="T884" s="13">
        <v>21.93</v>
      </c>
      <c r="U884" s="13">
        <v>10.3071</v>
      </c>
      <c r="V884" s="21">
        <f>Table10[[#This Row],[Profit]]/Table10[[#This Row],[Sales]]</f>
        <v>0.47000000000000003</v>
      </c>
    </row>
    <row r="885" spans="1:22" x14ac:dyDescent="0.2">
      <c r="A885">
        <v>884</v>
      </c>
      <c r="B885" t="s">
        <v>8405</v>
      </c>
      <c r="C885" s="1">
        <v>42544</v>
      </c>
      <c r="D885" s="22">
        <f>MONTH(Table10[[#This Row],[Order Date]])</f>
        <v>6</v>
      </c>
      <c r="E885" t="s">
        <v>1217</v>
      </c>
      <c r="F885" t="s">
        <v>1218</v>
      </c>
      <c r="G885" s="23" t="s">
        <v>64</v>
      </c>
      <c r="H885" s="23" t="s">
        <v>65</v>
      </c>
      <c r="I885" t="s">
        <v>587</v>
      </c>
      <c r="J885" t="s">
        <v>22</v>
      </c>
      <c r="K885" s="22">
        <v>7</v>
      </c>
      <c r="L885" s="1">
        <v>42546</v>
      </c>
      <c r="M885" s="22">
        <f>Table10[[#This Row],[Ship Date]]-Table10[[#This Row],[Order Date]]</f>
        <v>2</v>
      </c>
      <c r="N885" t="s">
        <v>20</v>
      </c>
      <c r="O885" t="s">
        <v>23</v>
      </c>
      <c r="P885" t="s">
        <v>38</v>
      </c>
      <c r="Q885" t="s">
        <v>39</v>
      </c>
      <c r="R885" t="s">
        <v>114</v>
      </c>
      <c r="S885" s="33">
        <v>0.2</v>
      </c>
      <c r="T885" s="13">
        <v>862.34400000000005</v>
      </c>
      <c r="U885" s="13">
        <v>97.0137</v>
      </c>
      <c r="V885" s="21">
        <f>Table10[[#This Row],[Profit]]/Table10[[#This Row],[Sales]]</f>
        <v>0.11249999999999999</v>
      </c>
    </row>
    <row r="886" spans="1:22" x14ac:dyDescent="0.2">
      <c r="A886">
        <v>885</v>
      </c>
      <c r="B886" t="s">
        <v>8405</v>
      </c>
      <c r="C886" s="1">
        <v>42544</v>
      </c>
      <c r="D886" s="22">
        <f>MONTH(Table10[[#This Row],[Order Date]])</f>
        <v>6</v>
      </c>
      <c r="E886" t="s">
        <v>2334</v>
      </c>
      <c r="F886" t="s">
        <v>2335</v>
      </c>
      <c r="G886" s="23" t="s">
        <v>41</v>
      </c>
      <c r="H886" s="23" t="s">
        <v>82</v>
      </c>
      <c r="I886" t="s">
        <v>587</v>
      </c>
      <c r="J886" t="s">
        <v>22</v>
      </c>
      <c r="K886" s="22">
        <v>1</v>
      </c>
      <c r="L886" s="1">
        <v>42546</v>
      </c>
      <c r="M886" s="22">
        <f>Table10[[#This Row],[Ship Date]]-Table10[[#This Row],[Order Date]]</f>
        <v>2</v>
      </c>
      <c r="N886" t="s">
        <v>20</v>
      </c>
      <c r="O886" t="s">
        <v>23</v>
      </c>
      <c r="P886" t="s">
        <v>38</v>
      </c>
      <c r="Q886" t="s">
        <v>39</v>
      </c>
      <c r="R886" t="s">
        <v>114</v>
      </c>
      <c r="S886" s="33">
        <v>0</v>
      </c>
      <c r="T886" s="13">
        <v>19.98</v>
      </c>
      <c r="U886" s="13">
        <v>9.3905999999999992</v>
      </c>
      <c r="V886" s="21">
        <f>Table10[[#This Row],[Profit]]/Table10[[#This Row],[Sales]]</f>
        <v>0.47</v>
      </c>
    </row>
    <row r="887" spans="1:22" x14ac:dyDescent="0.2">
      <c r="A887">
        <v>886</v>
      </c>
      <c r="B887" t="s">
        <v>8466</v>
      </c>
      <c r="C887" s="1">
        <v>42544</v>
      </c>
      <c r="D887" s="22">
        <f>MONTH(Table10[[#This Row],[Order Date]])</f>
        <v>6</v>
      </c>
      <c r="E887" t="s">
        <v>6645</v>
      </c>
      <c r="F887" t="s">
        <v>6646</v>
      </c>
      <c r="G887" s="23" t="s">
        <v>41</v>
      </c>
      <c r="H887" s="23" t="s">
        <v>42</v>
      </c>
      <c r="I887" t="s">
        <v>2377</v>
      </c>
      <c r="J887" t="s">
        <v>22</v>
      </c>
      <c r="K887" s="22">
        <v>7</v>
      </c>
      <c r="L887" s="1">
        <v>42548</v>
      </c>
      <c r="M887" s="22">
        <f>Table10[[#This Row],[Ship Date]]-Table10[[#This Row],[Order Date]]</f>
        <v>4</v>
      </c>
      <c r="N887" t="s">
        <v>20</v>
      </c>
      <c r="O887" t="s">
        <v>23</v>
      </c>
      <c r="P887" t="s">
        <v>238</v>
      </c>
      <c r="Q887" t="s">
        <v>133</v>
      </c>
      <c r="R887" t="s">
        <v>237</v>
      </c>
      <c r="S887" s="33">
        <v>0</v>
      </c>
      <c r="T887" s="13">
        <v>25.83</v>
      </c>
      <c r="U887" s="13">
        <v>12.1401</v>
      </c>
      <c r="V887" s="21">
        <f>Table10[[#This Row],[Profit]]/Table10[[#This Row],[Sales]]</f>
        <v>0.47000000000000003</v>
      </c>
    </row>
    <row r="888" spans="1:22" x14ac:dyDescent="0.2">
      <c r="A888">
        <v>887</v>
      </c>
      <c r="B888" t="s">
        <v>6010</v>
      </c>
      <c r="C888" s="1">
        <v>42545</v>
      </c>
      <c r="D888" s="22">
        <f>MONTH(Table10[[#This Row],[Order Date]])</f>
        <v>6</v>
      </c>
      <c r="E888" t="s">
        <v>5058</v>
      </c>
      <c r="F888" t="s">
        <v>5059</v>
      </c>
      <c r="G888" s="23" t="s">
        <v>64</v>
      </c>
      <c r="H888" s="23" t="s">
        <v>65</v>
      </c>
      <c r="I888" t="s">
        <v>1655</v>
      </c>
      <c r="J888" t="s">
        <v>22</v>
      </c>
      <c r="K888" s="22">
        <v>4</v>
      </c>
      <c r="L888" s="1">
        <v>42550</v>
      </c>
      <c r="M888" s="22">
        <f>Table10[[#This Row],[Ship Date]]-Table10[[#This Row],[Order Date]]</f>
        <v>5</v>
      </c>
      <c r="N888" t="s">
        <v>45</v>
      </c>
      <c r="O888" t="s">
        <v>23</v>
      </c>
      <c r="P888" t="s">
        <v>38</v>
      </c>
      <c r="Q888" t="s">
        <v>39</v>
      </c>
      <c r="R888" t="s">
        <v>836</v>
      </c>
      <c r="S888" s="33">
        <v>0.2</v>
      </c>
      <c r="T888" s="13">
        <v>38.24</v>
      </c>
      <c r="U888" s="13">
        <v>-9.56</v>
      </c>
      <c r="V888" s="21">
        <f>Table10[[#This Row],[Profit]]/Table10[[#This Row],[Sales]]</f>
        <v>-0.25</v>
      </c>
    </row>
    <row r="889" spans="1:22" x14ac:dyDescent="0.2">
      <c r="A889">
        <v>888</v>
      </c>
      <c r="B889" t="s">
        <v>6953</v>
      </c>
      <c r="C889" s="1">
        <v>42545</v>
      </c>
      <c r="D889" s="22">
        <f>MONTH(Table10[[#This Row],[Order Date]])</f>
        <v>6</v>
      </c>
      <c r="E889" t="s">
        <v>6954</v>
      </c>
      <c r="F889" t="s">
        <v>6955</v>
      </c>
      <c r="G889" s="23" t="s">
        <v>64</v>
      </c>
      <c r="H889" s="23" t="s">
        <v>65</v>
      </c>
      <c r="I889" t="s">
        <v>2425</v>
      </c>
      <c r="J889" t="s">
        <v>22</v>
      </c>
      <c r="K889" s="22">
        <v>9</v>
      </c>
      <c r="L889" s="1">
        <v>42551</v>
      </c>
      <c r="M889" s="22">
        <f>Table10[[#This Row],[Ship Date]]-Table10[[#This Row],[Order Date]]</f>
        <v>6</v>
      </c>
      <c r="N889" t="s">
        <v>45</v>
      </c>
      <c r="O889" t="s">
        <v>23</v>
      </c>
      <c r="P889" t="s">
        <v>226</v>
      </c>
      <c r="Q889" t="s">
        <v>95</v>
      </c>
      <c r="R889" t="s">
        <v>1294</v>
      </c>
      <c r="S889" s="33">
        <v>0</v>
      </c>
      <c r="T889" s="13">
        <v>440.91</v>
      </c>
      <c r="U889" s="13">
        <v>123.45480000000001</v>
      </c>
      <c r="V889" s="21">
        <f>Table10[[#This Row],[Profit]]/Table10[[#This Row],[Sales]]</f>
        <v>0.27999999999999997</v>
      </c>
    </row>
    <row r="890" spans="1:22" x14ac:dyDescent="0.2">
      <c r="A890">
        <v>889</v>
      </c>
      <c r="B890" t="s">
        <v>6960</v>
      </c>
      <c r="C890" s="1">
        <v>42545</v>
      </c>
      <c r="D890" s="22">
        <f>MONTH(Table10[[#This Row],[Order Date]])</f>
        <v>6</v>
      </c>
      <c r="E890" t="s">
        <v>3918</v>
      </c>
      <c r="F890" t="s">
        <v>3919</v>
      </c>
      <c r="G890" s="23" t="s">
        <v>41</v>
      </c>
      <c r="H890" s="23" t="s">
        <v>71</v>
      </c>
      <c r="I890" t="s">
        <v>5905</v>
      </c>
      <c r="J890" t="s">
        <v>36</v>
      </c>
      <c r="K890" s="22">
        <v>2</v>
      </c>
      <c r="L890" s="1">
        <v>42549</v>
      </c>
      <c r="M890" s="22">
        <f>Table10[[#This Row],[Ship Date]]-Table10[[#This Row],[Order Date]]</f>
        <v>4</v>
      </c>
      <c r="N890" t="s">
        <v>45</v>
      </c>
      <c r="O890" t="s">
        <v>23</v>
      </c>
      <c r="P890" t="s">
        <v>94</v>
      </c>
      <c r="Q890" t="s">
        <v>95</v>
      </c>
      <c r="R890" t="s">
        <v>165</v>
      </c>
      <c r="S890" s="33">
        <v>0.8</v>
      </c>
      <c r="T890" s="13">
        <v>8.7119999999999997</v>
      </c>
      <c r="U890" s="13">
        <v>-19.602</v>
      </c>
      <c r="V890" s="21">
        <f>Table10[[#This Row],[Profit]]/Table10[[#This Row],[Sales]]</f>
        <v>-2.25</v>
      </c>
    </row>
    <row r="891" spans="1:22" x14ac:dyDescent="0.2">
      <c r="A891">
        <v>890</v>
      </c>
      <c r="B891" t="s">
        <v>9681</v>
      </c>
      <c r="C891" s="1">
        <v>42545</v>
      </c>
      <c r="D891" s="22">
        <f>MONTH(Table10[[#This Row],[Order Date]])</f>
        <v>6</v>
      </c>
      <c r="E891" t="s">
        <v>9049</v>
      </c>
      <c r="F891" t="s">
        <v>9050</v>
      </c>
      <c r="G891" s="23" t="s">
        <v>64</v>
      </c>
      <c r="H891" s="23" t="s">
        <v>602</v>
      </c>
      <c r="I891" t="s">
        <v>593</v>
      </c>
      <c r="J891" t="s">
        <v>22</v>
      </c>
      <c r="K891" s="22">
        <v>4</v>
      </c>
      <c r="L891" s="1">
        <v>42547</v>
      </c>
      <c r="M891" s="22">
        <f>Table10[[#This Row],[Ship Date]]-Table10[[#This Row],[Order Date]]</f>
        <v>2</v>
      </c>
      <c r="N891" t="s">
        <v>20</v>
      </c>
      <c r="O891" t="s">
        <v>23</v>
      </c>
      <c r="P891" t="s">
        <v>38</v>
      </c>
      <c r="Q891" t="s">
        <v>39</v>
      </c>
      <c r="R891" t="s">
        <v>836</v>
      </c>
      <c r="S891" s="33">
        <v>0.2</v>
      </c>
      <c r="T891" s="13">
        <v>4476.8</v>
      </c>
      <c r="U891" s="13">
        <v>503.64</v>
      </c>
      <c r="V891" s="21">
        <f>Table10[[#This Row],[Profit]]/Table10[[#This Row],[Sales]]</f>
        <v>0.11249999999999999</v>
      </c>
    </row>
    <row r="892" spans="1:22" x14ac:dyDescent="0.2">
      <c r="A892">
        <v>891</v>
      </c>
      <c r="B892" t="s">
        <v>9681</v>
      </c>
      <c r="C892" s="1">
        <v>42545</v>
      </c>
      <c r="D892" s="22">
        <f>MONTH(Table10[[#This Row],[Order Date]])</f>
        <v>6</v>
      </c>
      <c r="E892" t="s">
        <v>3370</v>
      </c>
      <c r="F892" t="s">
        <v>3371</v>
      </c>
      <c r="G892" s="23" t="s">
        <v>41</v>
      </c>
      <c r="H892" s="23" t="s">
        <v>82</v>
      </c>
      <c r="I892" t="s">
        <v>593</v>
      </c>
      <c r="J892" t="s">
        <v>22</v>
      </c>
      <c r="K892" s="22">
        <v>1</v>
      </c>
      <c r="L892" s="1">
        <v>42547</v>
      </c>
      <c r="M892" s="22">
        <f>Table10[[#This Row],[Ship Date]]-Table10[[#This Row],[Order Date]]</f>
        <v>2</v>
      </c>
      <c r="N892" t="s">
        <v>20</v>
      </c>
      <c r="O892" t="s">
        <v>23</v>
      </c>
      <c r="P892" t="s">
        <v>38</v>
      </c>
      <c r="Q892" t="s">
        <v>39</v>
      </c>
      <c r="R892" t="s">
        <v>836</v>
      </c>
      <c r="S892" s="33">
        <v>0</v>
      </c>
      <c r="T892" s="13">
        <v>104.85</v>
      </c>
      <c r="U892" s="13">
        <v>50.328000000000003</v>
      </c>
      <c r="V892" s="21">
        <f>Table10[[#This Row],[Profit]]/Table10[[#This Row],[Sales]]</f>
        <v>0.48000000000000004</v>
      </c>
    </row>
    <row r="893" spans="1:22" x14ac:dyDescent="0.2">
      <c r="A893">
        <v>892</v>
      </c>
      <c r="B893" t="s">
        <v>9681</v>
      </c>
      <c r="C893" s="1">
        <v>42545</v>
      </c>
      <c r="D893" s="22">
        <f>MONTH(Table10[[#This Row],[Order Date]])</f>
        <v>6</v>
      </c>
      <c r="E893" t="s">
        <v>5291</v>
      </c>
      <c r="F893" t="s">
        <v>5292</v>
      </c>
      <c r="G893" s="23" t="s">
        <v>41</v>
      </c>
      <c r="H893" s="23" t="s">
        <v>71</v>
      </c>
      <c r="I893" t="s">
        <v>593</v>
      </c>
      <c r="J893" t="s">
        <v>22</v>
      </c>
      <c r="K893" s="22">
        <v>3</v>
      </c>
      <c r="L893" s="1">
        <v>42547</v>
      </c>
      <c r="M893" s="22">
        <f>Table10[[#This Row],[Ship Date]]-Table10[[#This Row],[Order Date]]</f>
        <v>2</v>
      </c>
      <c r="N893" t="s">
        <v>20</v>
      </c>
      <c r="O893" t="s">
        <v>23</v>
      </c>
      <c r="P893" t="s">
        <v>38</v>
      </c>
      <c r="Q893" t="s">
        <v>39</v>
      </c>
      <c r="R893" t="s">
        <v>836</v>
      </c>
      <c r="S893" s="33">
        <v>0</v>
      </c>
      <c r="T893" s="13">
        <v>241.44</v>
      </c>
      <c r="U893" s="13">
        <v>72.432000000000002</v>
      </c>
      <c r="V893" s="21">
        <f>Table10[[#This Row],[Profit]]/Table10[[#This Row],[Sales]]</f>
        <v>0.3</v>
      </c>
    </row>
    <row r="894" spans="1:22" x14ac:dyDescent="0.2">
      <c r="A894">
        <v>893</v>
      </c>
      <c r="B894" t="s">
        <v>4498</v>
      </c>
      <c r="C894" s="1">
        <v>42546</v>
      </c>
      <c r="D894" s="22">
        <f>MONTH(Table10[[#This Row],[Order Date]])</f>
        <v>6</v>
      </c>
      <c r="E894" t="s">
        <v>832</v>
      </c>
      <c r="F894" t="s">
        <v>833</v>
      </c>
      <c r="G894" s="23" t="s">
        <v>28</v>
      </c>
      <c r="H894" s="23" t="s">
        <v>32</v>
      </c>
      <c r="I894" t="s">
        <v>2763</v>
      </c>
      <c r="J894" t="s">
        <v>36</v>
      </c>
      <c r="K894" s="22">
        <v>3</v>
      </c>
      <c r="L894" s="1">
        <v>42550</v>
      </c>
      <c r="M894" s="22">
        <f>Table10[[#This Row],[Ship Date]]-Table10[[#This Row],[Order Date]]</f>
        <v>4</v>
      </c>
      <c r="N894" t="s">
        <v>45</v>
      </c>
      <c r="O894" t="s">
        <v>23</v>
      </c>
      <c r="P894" t="s">
        <v>132</v>
      </c>
      <c r="Q894" t="s">
        <v>133</v>
      </c>
      <c r="R894" t="s">
        <v>4499</v>
      </c>
      <c r="S894" s="33">
        <v>0.3</v>
      </c>
      <c r="T894" s="13">
        <v>422.05799999999999</v>
      </c>
      <c r="U894" s="13">
        <v>-18.088200000000001</v>
      </c>
      <c r="V894" s="21">
        <f>Table10[[#This Row],[Profit]]/Table10[[#This Row],[Sales]]</f>
        <v>-4.2857142857142858E-2</v>
      </c>
    </row>
    <row r="895" spans="1:22" x14ac:dyDescent="0.2">
      <c r="A895">
        <v>894</v>
      </c>
      <c r="B895" t="s">
        <v>4498</v>
      </c>
      <c r="C895" s="1">
        <v>42546</v>
      </c>
      <c r="D895" s="22">
        <f>MONTH(Table10[[#This Row],[Order Date]])</f>
        <v>6</v>
      </c>
      <c r="E895" t="s">
        <v>510</v>
      </c>
      <c r="F895" t="s">
        <v>511</v>
      </c>
      <c r="G895" s="23" t="s">
        <v>41</v>
      </c>
      <c r="H895" s="23" t="s">
        <v>68</v>
      </c>
      <c r="I895" t="s">
        <v>2763</v>
      </c>
      <c r="J895" t="s">
        <v>36</v>
      </c>
      <c r="K895" s="22">
        <v>4</v>
      </c>
      <c r="L895" s="1">
        <v>42550</v>
      </c>
      <c r="M895" s="22">
        <f>Table10[[#This Row],[Ship Date]]-Table10[[#This Row],[Order Date]]</f>
        <v>4</v>
      </c>
      <c r="N895" t="s">
        <v>45</v>
      </c>
      <c r="O895" t="s">
        <v>23</v>
      </c>
      <c r="P895" t="s">
        <v>132</v>
      </c>
      <c r="Q895" t="s">
        <v>133</v>
      </c>
      <c r="R895" t="s">
        <v>4499</v>
      </c>
      <c r="S895" s="33">
        <v>0.7</v>
      </c>
      <c r="T895" s="13">
        <v>38.088000000000001</v>
      </c>
      <c r="U895" s="13">
        <v>-27.9312</v>
      </c>
      <c r="V895" s="21">
        <f>Table10[[#This Row],[Profit]]/Table10[[#This Row],[Sales]]</f>
        <v>-0.73333333333333328</v>
      </c>
    </row>
    <row r="896" spans="1:22" x14ac:dyDescent="0.2">
      <c r="A896">
        <v>895</v>
      </c>
      <c r="B896" t="s">
        <v>4498</v>
      </c>
      <c r="C896" s="1">
        <v>42546</v>
      </c>
      <c r="D896" s="22">
        <f>MONTH(Table10[[#This Row],[Order Date]])</f>
        <v>6</v>
      </c>
      <c r="E896" t="s">
        <v>213</v>
      </c>
      <c r="F896" t="s">
        <v>214</v>
      </c>
      <c r="G896" s="23" t="s">
        <v>41</v>
      </c>
      <c r="H896" s="23" t="s">
        <v>53</v>
      </c>
      <c r="I896" t="s">
        <v>2763</v>
      </c>
      <c r="J896" t="s">
        <v>36</v>
      </c>
      <c r="K896" s="22">
        <v>6</v>
      </c>
      <c r="L896" s="1">
        <v>42550</v>
      </c>
      <c r="M896" s="22">
        <f>Table10[[#This Row],[Ship Date]]-Table10[[#This Row],[Order Date]]</f>
        <v>4</v>
      </c>
      <c r="N896" t="s">
        <v>45</v>
      </c>
      <c r="O896" t="s">
        <v>23</v>
      </c>
      <c r="P896" t="s">
        <v>132</v>
      </c>
      <c r="Q896" t="s">
        <v>133</v>
      </c>
      <c r="R896" t="s">
        <v>4499</v>
      </c>
      <c r="S896" s="33">
        <v>0.2</v>
      </c>
      <c r="T896" s="13">
        <v>254.352</v>
      </c>
      <c r="U896" s="13">
        <v>-50.870399999999997</v>
      </c>
      <c r="V896" s="21">
        <f>Table10[[#This Row],[Profit]]/Table10[[#This Row],[Sales]]</f>
        <v>-0.19999999999999998</v>
      </c>
    </row>
    <row r="897" spans="1:22" x14ac:dyDescent="0.2">
      <c r="A897">
        <v>896</v>
      </c>
      <c r="B897" t="s">
        <v>4551</v>
      </c>
      <c r="C897" s="1">
        <v>42546</v>
      </c>
      <c r="D897" s="22">
        <f>MONTH(Table10[[#This Row],[Order Date]])</f>
        <v>6</v>
      </c>
      <c r="E897" t="s">
        <v>4552</v>
      </c>
      <c r="F897" t="s">
        <v>4553</v>
      </c>
      <c r="G897" s="23" t="s">
        <v>41</v>
      </c>
      <c r="H897" s="23" t="s">
        <v>71</v>
      </c>
      <c r="I897" t="s">
        <v>1773</v>
      </c>
      <c r="J897" t="s">
        <v>22</v>
      </c>
      <c r="K897" s="22">
        <v>3</v>
      </c>
      <c r="L897" s="1">
        <v>42550</v>
      </c>
      <c r="M897" s="22">
        <f>Table10[[#This Row],[Ship Date]]-Table10[[#This Row],[Order Date]]</f>
        <v>4</v>
      </c>
      <c r="N897" t="s">
        <v>45</v>
      </c>
      <c r="O897" t="s">
        <v>23</v>
      </c>
      <c r="P897" t="s">
        <v>38</v>
      </c>
      <c r="Q897" t="s">
        <v>39</v>
      </c>
      <c r="R897" t="s">
        <v>37</v>
      </c>
      <c r="S897" s="33">
        <v>0</v>
      </c>
      <c r="T897" s="13">
        <v>60.81</v>
      </c>
      <c r="U897" s="13">
        <v>17.026800000000001</v>
      </c>
      <c r="V897" s="21">
        <f>Table10[[#This Row],[Profit]]/Table10[[#This Row],[Sales]]</f>
        <v>0.28000000000000003</v>
      </c>
    </row>
    <row r="898" spans="1:22" x14ac:dyDescent="0.2">
      <c r="A898">
        <v>897</v>
      </c>
      <c r="B898" t="s">
        <v>8697</v>
      </c>
      <c r="C898" s="1">
        <v>42546</v>
      </c>
      <c r="D898" s="22">
        <f>MONTH(Table10[[#This Row],[Order Date]])</f>
        <v>6</v>
      </c>
      <c r="E898" t="s">
        <v>272</v>
      </c>
      <c r="F898" t="s">
        <v>273</v>
      </c>
      <c r="G898" s="23" t="s">
        <v>28</v>
      </c>
      <c r="H898" s="23" t="s">
        <v>32</v>
      </c>
      <c r="I898" t="s">
        <v>717</v>
      </c>
      <c r="J898" t="s">
        <v>22</v>
      </c>
      <c r="K898" s="22">
        <v>2</v>
      </c>
      <c r="L898" s="1">
        <v>42548</v>
      </c>
      <c r="M898" s="22">
        <f>Table10[[#This Row],[Ship Date]]-Table10[[#This Row],[Order Date]]</f>
        <v>2</v>
      </c>
      <c r="N898" t="s">
        <v>20</v>
      </c>
      <c r="O898" t="s">
        <v>23</v>
      </c>
      <c r="P898" t="s">
        <v>94</v>
      </c>
      <c r="Q898" t="s">
        <v>95</v>
      </c>
      <c r="R898" t="s">
        <v>165</v>
      </c>
      <c r="S898" s="33">
        <v>0.3</v>
      </c>
      <c r="T898" s="13">
        <v>85.245999999999995</v>
      </c>
      <c r="U898" s="13">
        <v>-6.0890000000000004</v>
      </c>
      <c r="V898" s="21">
        <f>Table10[[#This Row],[Profit]]/Table10[[#This Row],[Sales]]</f>
        <v>-7.1428571428571438E-2</v>
      </c>
    </row>
    <row r="899" spans="1:22" x14ac:dyDescent="0.2">
      <c r="A899">
        <v>898</v>
      </c>
      <c r="B899" t="s">
        <v>8697</v>
      </c>
      <c r="C899" s="1">
        <v>42546</v>
      </c>
      <c r="D899" s="22">
        <f>MONTH(Table10[[#This Row],[Order Date]])</f>
        <v>6</v>
      </c>
      <c r="E899" t="s">
        <v>5909</v>
      </c>
      <c r="F899" t="s">
        <v>5910</v>
      </c>
      <c r="G899" s="23" t="s">
        <v>28</v>
      </c>
      <c r="H899" s="23" t="s">
        <v>58</v>
      </c>
      <c r="I899" t="s">
        <v>717</v>
      </c>
      <c r="J899" t="s">
        <v>22</v>
      </c>
      <c r="K899" s="22">
        <v>2</v>
      </c>
      <c r="L899" s="1">
        <v>42548</v>
      </c>
      <c r="M899" s="22">
        <f>Table10[[#This Row],[Ship Date]]-Table10[[#This Row],[Order Date]]</f>
        <v>2</v>
      </c>
      <c r="N899" t="s">
        <v>20</v>
      </c>
      <c r="O899" t="s">
        <v>23</v>
      </c>
      <c r="P899" t="s">
        <v>94</v>
      </c>
      <c r="Q899" t="s">
        <v>95</v>
      </c>
      <c r="R899" t="s">
        <v>165</v>
      </c>
      <c r="S899" s="33">
        <v>0.6</v>
      </c>
      <c r="T899" s="13">
        <v>32.712000000000003</v>
      </c>
      <c r="U899" s="13">
        <v>-26.169599999999999</v>
      </c>
      <c r="V899" s="21">
        <f>Table10[[#This Row],[Profit]]/Table10[[#This Row],[Sales]]</f>
        <v>-0.79999999999999993</v>
      </c>
    </row>
    <row r="900" spans="1:22" x14ac:dyDescent="0.2">
      <c r="A900">
        <v>899</v>
      </c>
      <c r="B900" t="s">
        <v>1460</v>
      </c>
      <c r="C900" s="1">
        <v>42547</v>
      </c>
      <c r="D900" s="22">
        <f>MONTH(Table10[[#This Row],[Order Date]])</f>
        <v>6</v>
      </c>
      <c r="E900" t="s">
        <v>1462</v>
      </c>
      <c r="F900" t="s">
        <v>1463</v>
      </c>
      <c r="G900" s="23" t="s">
        <v>41</v>
      </c>
      <c r="H900" s="23" t="s">
        <v>61</v>
      </c>
      <c r="I900" t="s">
        <v>1461</v>
      </c>
      <c r="J900" t="s">
        <v>36</v>
      </c>
      <c r="K900" s="22">
        <v>5</v>
      </c>
      <c r="L900" s="1">
        <v>42553</v>
      </c>
      <c r="M900" s="22">
        <f>Table10[[#This Row],[Ship Date]]-Table10[[#This Row],[Order Date]]</f>
        <v>6</v>
      </c>
      <c r="N900" t="s">
        <v>45</v>
      </c>
      <c r="O900" t="s">
        <v>23</v>
      </c>
      <c r="P900" t="s">
        <v>238</v>
      </c>
      <c r="Q900" t="s">
        <v>133</v>
      </c>
      <c r="R900" t="s">
        <v>237</v>
      </c>
      <c r="S900" s="33">
        <v>0</v>
      </c>
      <c r="T900" s="13">
        <v>14.7</v>
      </c>
      <c r="U900" s="13">
        <v>6.6150000000000002</v>
      </c>
      <c r="V900" s="21">
        <f>Table10[[#This Row],[Profit]]/Table10[[#This Row],[Sales]]</f>
        <v>0.45</v>
      </c>
    </row>
    <row r="901" spans="1:22" x14ac:dyDescent="0.2">
      <c r="A901">
        <v>900</v>
      </c>
      <c r="B901" t="s">
        <v>1460</v>
      </c>
      <c r="C901" s="1">
        <v>42547</v>
      </c>
      <c r="D901" s="22">
        <f>MONTH(Table10[[#This Row],[Order Date]])</f>
        <v>6</v>
      </c>
      <c r="E901" t="s">
        <v>1464</v>
      </c>
      <c r="F901" t="s">
        <v>1465</v>
      </c>
      <c r="G901" s="23" t="s">
        <v>41</v>
      </c>
      <c r="H901" s="23" t="s">
        <v>53</v>
      </c>
      <c r="I901" t="s">
        <v>1461</v>
      </c>
      <c r="J901" t="s">
        <v>36</v>
      </c>
      <c r="K901" s="22">
        <v>5</v>
      </c>
      <c r="L901" s="1">
        <v>42553</v>
      </c>
      <c r="M901" s="22">
        <f>Table10[[#This Row],[Ship Date]]-Table10[[#This Row],[Order Date]]</f>
        <v>6</v>
      </c>
      <c r="N901" t="s">
        <v>45</v>
      </c>
      <c r="O901" t="s">
        <v>23</v>
      </c>
      <c r="P901" t="s">
        <v>238</v>
      </c>
      <c r="Q901" t="s">
        <v>133</v>
      </c>
      <c r="R901" t="s">
        <v>237</v>
      </c>
      <c r="S901" s="33">
        <v>0</v>
      </c>
      <c r="T901" s="13">
        <v>704.25</v>
      </c>
      <c r="U901" s="13">
        <v>84.51</v>
      </c>
      <c r="V901" s="21">
        <f>Table10[[#This Row],[Profit]]/Table10[[#This Row],[Sales]]</f>
        <v>0.12000000000000001</v>
      </c>
    </row>
    <row r="902" spans="1:22" x14ac:dyDescent="0.2">
      <c r="A902">
        <v>901</v>
      </c>
      <c r="B902" t="s">
        <v>3159</v>
      </c>
      <c r="C902" s="1">
        <v>42547</v>
      </c>
      <c r="D902" s="22">
        <f>MONTH(Table10[[#This Row],[Order Date]])</f>
        <v>6</v>
      </c>
      <c r="E902" t="s">
        <v>1338</v>
      </c>
      <c r="F902" t="s">
        <v>1339</v>
      </c>
      <c r="G902" s="23" t="s">
        <v>41</v>
      </c>
      <c r="H902" s="23" t="s">
        <v>53</v>
      </c>
      <c r="I902" t="s">
        <v>3160</v>
      </c>
      <c r="J902" t="s">
        <v>22</v>
      </c>
      <c r="K902" s="22">
        <v>5</v>
      </c>
      <c r="L902" s="1">
        <v>42554</v>
      </c>
      <c r="M902" s="22">
        <f>Table10[[#This Row],[Ship Date]]-Table10[[#This Row],[Order Date]]</f>
        <v>7</v>
      </c>
      <c r="N902" t="s">
        <v>45</v>
      </c>
      <c r="O902" t="s">
        <v>23</v>
      </c>
      <c r="P902" t="s">
        <v>1235</v>
      </c>
      <c r="Q902" t="s">
        <v>133</v>
      </c>
      <c r="R902" t="s">
        <v>3161</v>
      </c>
      <c r="S902" s="33">
        <v>0</v>
      </c>
      <c r="T902" s="13">
        <v>14.9</v>
      </c>
      <c r="U902" s="13">
        <v>1.0429999999999999</v>
      </c>
      <c r="V902" s="21">
        <f>Table10[[#This Row],[Profit]]/Table10[[#This Row],[Sales]]</f>
        <v>6.9999999999999993E-2</v>
      </c>
    </row>
    <row r="903" spans="1:22" x14ac:dyDescent="0.2">
      <c r="A903">
        <v>902</v>
      </c>
      <c r="B903" t="s">
        <v>3862</v>
      </c>
      <c r="C903" s="1">
        <v>42547</v>
      </c>
      <c r="D903" s="22">
        <f>MONTH(Table10[[#This Row],[Order Date]])</f>
        <v>6</v>
      </c>
      <c r="E903" t="s">
        <v>3863</v>
      </c>
      <c r="F903" t="s">
        <v>3864</v>
      </c>
      <c r="G903" s="23" t="s">
        <v>64</v>
      </c>
      <c r="H903" s="23" t="s">
        <v>144</v>
      </c>
      <c r="I903" t="s">
        <v>3245</v>
      </c>
      <c r="J903" t="s">
        <v>92</v>
      </c>
      <c r="K903" s="22">
        <v>2</v>
      </c>
      <c r="L903" s="1">
        <v>42550</v>
      </c>
      <c r="M903" s="22">
        <f>Table10[[#This Row],[Ship Date]]-Table10[[#This Row],[Order Date]]</f>
        <v>3</v>
      </c>
      <c r="N903" t="s">
        <v>20</v>
      </c>
      <c r="O903" t="s">
        <v>23</v>
      </c>
      <c r="P903" t="s">
        <v>94</v>
      </c>
      <c r="Q903" t="s">
        <v>95</v>
      </c>
      <c r="R903" t="s">
        <v>3835</v>
      </c>
      <c r="S903" s="33">
        <v>0.2</v>
      </c>
      <c r="T903" s="13">
        <v>13.616</v>
      </c>
      <c r="U903" s="13">
        <v>3.5741999999999998</v>
      </c>
      <c r="V903" s="21">
        <f>Table10[[#This Row],[Profit]]/Table10[[#This Row],[Sales]]</f>
        <v>0.26250000000000001</v>
      </c>
    </row>
    <row r="904" spans="1:22" x14ac:dyDescent="0.2">
      <c r="A904">
        <v>903</v>
      </c>
      <c r="B904" t="s">
        <v>6368</v>
      </c>
      <c r="C904" s="1">
        <v>42547</v>
      </c>
      <c r="D904" s="22">
        <f>MONTH(Table10[[#This Row],[Order Date]])</f>
        <v>6</v>
      </c>
      <c r="E904" t="s">
        <v>4489</v>
      </c>
      <c r="F904" t="s">
        <v>4490</v>
      </c>
      <c r="G904" s="23" t="s">
        <v>28</v>
      </c>
      <c r="H904" s="23" t="s">
        <v>58</v>
      </c>
      <c r="I904" t="s">
        <v>326</v>
      </c>
      <c r="J904" t="s">
        <v>22</v>
      </c>
      <c r="K904" s="22">
        <v>3</v>
      </c>
      <c r="L904" s="1">
        <v>42554</v>
      </c>
      <c r="M904" s="22">
        <f>Table10[[#This Row],[Ship Date]]-Table10[[#This Row],[Order Date]]</f>
        <v>7</v>
      </c>
      <c r="N904" t="s">
        <v>45</v>
      </c>
      <c r="O904" t="s">
        <v>23</v>
      </c>
      <c r="P904" t="s">
        <v>38</v>
      </c>
      <c r="Q904" t="s">
        <v>39</v>
      </c>
      <c r="R904" t="s">
        <v>114</v>
      </c>
      <c r="S904" s="33">
        <v>0</v>
      </c>
      <c r="T904" s="13">
        <v>22.14</v>
      </c>
      <c r="U904" s="13">
        <v>6.4206000000000003</v>
      </c>
      <c r="V904" s="21">
        <f>Table10[[#This Row],[Profit]]/Table10[[#This Row],[Sales]]</f>
        <v>0.28999999999999998</v>
      </c>
    </row>
    <row r="905" spans="1:22" x14ac:dyDescent="0.2">
      <c r="A905">
        <v>904</v>
      </c>
      <c r="B905" t="s">
        <v>8158</v>
      </c>
      <c r="C905" s="1">
        <v>42547</v>
      </c>
      <c r="D905" s="22">
        <f>MONTH(Table10[[#This Row],[Order Date]])</f>
        <v>6</v>
      </c>
      <c r="E905" t="s">
        <v>566</v>
      </c>
      <c r="F905" t="s">
        <v>567</v>
      </c>
      <c r="G905" s="23" t="s">
        <v>41</v>
      </c>
      <c r="H905" s="23" t="s">
        <v>61</v>
      </c>
      <c r="I905" t="s">
        <v>8159</v>
      </c>
      <c r="J905" t="s">
        <v>36</v>
      </c>
      <c r="K905" s="22">
        <v>3</v>
      </c>
      <c r="L905" s="1">
        <v>42551</v>
      </c>
      <c r="M905" s="22">
        <f>Table10[[#This Row],[Ship Date]]-Table10[[#This Row],[Order Date]]</f>
        <v>4</v>
      </c>
      <c r="N905" t="s">
        <v>45</v>
      </c>
      <c r="O905" t="s">
        <v>23</v>
      </c>
      <c r="P905" t="s">
        <v>189</v>
      </c>
      <c r="Q905" t="s">
        <v>95</v>
      </c>
      <c r="R905" t="s">
        <v>271</v>
      </c>
      <c r="S905" s="33">
        <v>0.2</v>
      </c>
      <c r="T905" s="13">
        <v>5.3040000000000003</v>
      </c>
      <c r="U905" s="13">
        <v>0.46410000000000001</v>
      </c>
      <c r="V905" s="21">
        <f>Table10[[#This Row],[Profit]]/Table10[[#This Row],[Sales]]</f>
        <v>8.7499999999999994E-2</v>
      </c>
    </row>
    <row r="906" spans="1:22" x14ac:dyDescent="0.2">
      <c r="A906">
        <v>905</v>
      </c>
      <c r="B906" t="s">
        <v>9136</v>
      </c>
      <c r="C906" s="1">
        <v>42547</v>
      </c>
      <c r="D906" s="22">
        <f>MONTH(Table10[[#This Row],[Order Date]])</f>
        <v>6</v>
      </c>
      <c r="E906" t="s">
        <v>1532</v>
      </c>
      <c r="F906" t="s">
        <v>1533</v>
      </c>
      <c r="G906" s="23" t="s">
        <v>41</v>
      </c>
      <c r="H906" s="23" t="s">
        <v>82</v>
      </c>
      <c r="I906" t="s">
        <v>2779</v>
      </c>
      <c r="J906" t="s">
        <v>92</v>
      </c>
      <c r="K906" s="22">
        <v>9</v>
      </c>
      <c r="L906" s="1">
        <v>42547</v>
      </c>
      <c r="M906" s="22">
        <f>Table10[[#This Row],[Ship Date]]-Table10[[#This Row],[Order Date]]</f>
        <v>0</v>
      </c>
      <c r="N906" t="s">
        <v>1141</v>
      </c>
      <c r="O906" t="s">
        <v>23</v>
      </c>
      <c r="P906" t="s">
        <v>212</v>
      </c>
      <c r="Q906" t="s">
        <v>95</v>
      </c>
      <c r="R906" t="s">
        <v>501</v>
      </c>
      <c r="S906" s="33">
        <v>0</v>
      </c>
      <c r="T906" s="13">
        <v>368.91</v>
      </c>
      <c r="U906" s="13">
        <v>180.76589999999999</v>
      </c>
      <c r="V906" s="21">
        <f>Table10[[#This Row],[Profit]]/Table10[[#This Row],[Sales]]</f>
        <v>0.48999999999999994</v>
      </c>
    </row>
    <row r="907" spans="1:22" x14ac:dyDescent="0.2">
      <c r="A907">
        <v>906</v>
      </c>
      <c r="B907" t="s">
        <v>9136</v>
      </c>
      <c r="C907" s="1">
        <v>42547</v>
      </c>
      <c r="D907" s="22">
        <f>MONTH(Table10[[#This Row],[Order Date]])</f>
        <v>6</v>
      </c>
      <c r="E907" t="s">
        <v>1346</v>
      </c>
      <c r="F907" t="s">
        <v>1347</v>
      </c>
      <c r="G907" s="23" t="s">
        <v>41</v>
      </c>
      <c r="H907" s="23" t="s">
        <v>68</v>
      </c>
      <c r="I907" t="s">
        <v>2779</v>
      </c>
      <c r="J907" t="s">
        <v>92</v>
      </c>
      <c r="K907" s="22">
        <v>1</v>
      </c>
      <c r="L907" s="1">
        <v>42547</v>
      </c>
      <c r="M907" s="22">
        <f>Table10[[#This Row],[Ship Date]]-Table10[[#This Row],[Order Date]]</f>
        <v>0</v>
      </c>
      <c r="N907" t="s">
        <v>1141</v>
      </c>
      <c r="O907" t="s">
        <v>23</v>
      </c>
      <c r="P907" t="s">
        <v>212</v>
      </c>
      <c r="Q907" t="s">
        <v>95</v>
      </c>
      <c r="R907" t="s">
        <v>501</v>
      </c>
      <c r="S907" s="33">
        <v>0</v>
      </c>
      <c r="T907" s="13">
        <v>8.02</v>
      </c>
      <c r="U907" s="13">
        <v>3.7694000000000001</v>
      </c>
      <c r="V907" s="21">
        <f>Table10[[#This Row],[Profit]]/Table10[[#This Row],[Sales]]</f>
        <v>0.47000000000000003</v>
      </c>
    </row>
    <row r="908" spans="1:22" x14ac:dyDescent="0.2">
      <c r="A908">
        <v>907</v>
      </c>
      <c r="B908" t="s">
        <v>9136</v>
      </c>
      <c r="C908" s="1">
        <v>42547</v>
      </c>
      <c r="D908" s="22">
        <f>MONTH(Table10[[#This Row],[Order Date]])</f>
        <v>6</v>
      </c>
      <c r="E908" t="s">
        <v>4941</v>
      </c>
      <c r="F908" t="s">
        <v>4942</v>
      </c>
      <c r="G908" s="23" t="s">
        <v>41</v>
      </c>
      <c r="H908" s="23" t="s">
        <v>53</v>
      </c>
      <c r="I908" t="s">
        <v>2779</v>
      </c>
      <c r="J908" t="s">
        <v>92</v>
      </c>
      <c r="K908" s="22">
        <v>4</v>
      </c>
      <c r="L908" s="1">
        <v>42547</v>
      </c>
      <c r="M908" s="22">
        <f>Table10[[#This Row],[Ship Date]]-Table10[[#This Row],[Order Date]]</f>
        <v>0</v>
      </c>
      <c r="N908" t="s">
        <v>1141</v>
      </c>
      <c r="O908" t="s">
        <v>23</v>
      </c>
      <c r="P908" t="s">
        <v>212</v>
      </c>
      <c r="Q908" t="s">
        <v>95</v>
      </c>
      <c r="R908" t="s">
        <v>501</v>
      </c>
      <c r="S908" s="33">
        <v>0</v>
      </c>
      <c r="T908" s="13">
        <v>171.04</v>
      </c>
      <c r="U908" s="13">
        <v>44.470399999999998</v>
      </c>
      <c r="V908" s="21">
        <f>Table10[[#This Row],[Profit]]/Table10[[#This Row],[Sales]]</f>
        <v>0.26</v>
      </c>
    </row>
    <row r="909" spans="1:22" x14ac:dyDescent="0.2">
      <c r="A909">
        <v>908</v>
      </c>
      <c r="B909" t="s">
        <v>9400</v>
      </c>
      <c r="C909" s="1">
        <v>42547</v>
      </c>
      <c r="D909" s="22">
        <f>MONTH(Table10[[#This Row],[Order Date]])</f>
        <v>6</v>
      </c>
      <c r="E909" t="s">
        <v>1422</v>
      </c>
      <c r="F909" t="s">
        <v>1423</v>
      </c>
      <c r="G909" s="23" t="s">
        <v>41</v>
      </c>
      <c r="H909" s="23" t="s">
        <v>513</v>
      </c>
      <c r="I909" t="s">
        <v>2486</v>
      </c>
      <c r="J909" t="s">
        <v>36</v>
      </c>
      <c r="K909" s="22">
        <v>2</v>
      </c>
      <c r="L909" s="1">
        <v>42547</v>
      </c>
      <c r="M909" s="22">
        <f>Table10[[#This Row],[Ship Date]]-Table10[[#This Row],[Order Date]]</f>
        <v>0</v>
      </c>
      <c r="N909" t="s">
        <v>1141</v>
      </c>
      <c r="O909" t="s">
        <v>23</v>
      </c>
      <c r="P909" t="s">
        <v>38</v>
      </c>
      <c r="Q909" t="s">
        <v>39</v>
      </c>
      <c r="R909" t="s">
        <v>37</v>
      </c>
      <c r="S909" s="33">
        <v>0</v>
      </c>
      <c r="T909" s="13">
        <v>231.72</v>
      </c>
      <c r="U909" s="13">
        <v>11.586</v>
      </c>
      <c r="V909" s="21">
        <f>Table10[[#This Row],[Profit]]/Table10[[#This Row],[Sales]]</f>
        <v>0.05</v>
      </c>
    </row>
    <row r="910" spans="1:22" x14ac:dyDescent="0.2">
      <c r="A910">
        <v>909</v>
      </c>
      <c r="B910" t="s">
        <v>9400</v>
      </c>
      <c r="C910" s="1">
        <v>42547</v>
      </c>
      <c r="D910" s="22">
        <f>MONTH(Table10[[#This Row],[Order Date]])</f>
        <v>6</v>
      </c>
      <c r="E910" t="s">
        <v>1038</v>
      </c>
      <c r="F910" t="s">
        <v>1039</v>
      </c>
      <c r="G910" s="23" t="s">
        <v>41</v>
      </c>
      <c r="H910" s="23" t="s">
        <v>240</v>
      </c>
      <c r="I910" t="s">
        <v>2486</v>
      </c>
      <c r="J910" t="s">
        <v>36</v>
      </c>
      <c r="K910" s="22">
        <v>5</v>
      </c>
      <c r="L910" s="1">
        <v>42547</v>
      </c>
      <c r="M910" s="22">
        <f>Table10[[#This Row],[Ship Date]]-Table10[[#This Row],[Order Date]]</f>
        <v>0</v>
      </c>
      <c r="N910" t="s">
        <v>1141</v>
      </c>
      <c r="O910" t="s">
        <v>23</v>
      </c>
      <c r="P910" t="s">
        <v>38</v>
      </c>
      <c r="Q910" t="s">
        <v>39</v>
      </c>
      <c r="R910" t="s">
        <v>37</v>
      </c>
      <c r="S910" s="33">
        <v>0</v>
      </c>
      <c r="T910" s="13">
        <v>17.899999999999999</v>
      </c>
      <c r="U910" s="13">
        <v>8.9499999999999993</v>
      </c>
      <c r="V910" s="21">
        <f>Table10[[#This Row],[Profit]]/Table10[[#This Row],[Sales]]</f>
        <v>0.5</v>
      </c>
    </row>
    <row r="911" spans="1:22" x14ac:dyDescent="0.2">
      <c r="A911">
        <v>910</v>
      </c>
      <c r="B911" t="s">
        <v>9400</v>
      </c>
      <c r="C911" s="1">
        <v>42547</v>
      </c>
      <c r="D911" s="22">
        <f>MONTH(Table10[[#This Row],[Order Date]])</f>
        <v>6</v>
      </c>
      <c r="E911" t="s">
        <v>3123</v>
      </c>
      <c r="F911" t="s">
        <v>3124</v>
      </c>
      <c r="G911" s="23" t="s">
        <v>41</v>
      </c>
      <c r="H911" s="23" t="s">
        <v>82</v>
      </c>
      <c r="I911" t="s">
        <v>2486</v>
      </c>
      <c r="J911" t="s">
        <v>36</v>
      </c>
      <c r="K911" s="22">
        <v>2</v>
      </c>
      <c r="L911" s="1">
        <v>42547</v>
      </c>
      <c r="M911" s="22">
        <f>Table10[[#This Row],[Ship Date]]-Table10[[#This Row],[Order Date]]</f>
        <v>0</v>
      </c>
      <c r="N911" t="s">
        <v>1141</v>
      </c>
      <c r="O911" t="s">
        <v>23</v>
      </c>
      <c r="P911" t="s">
        <v>38</v>
      </c>
      <c r="Q911" t="s">
        <v>39</v>
      </c>
      <c r="R911" t="s">
        <v>37</v>
      </c>
      <c r="S911" s="33">
        <v>0</v>
      </c>
      <c r="T911" s="13">
        <v>12.48</v>
      </c>
      <c r="U911" s="13">
        <v>5.6159999999999997</v>
      </c>
      <c r="V911" s="21">
        <f>Table10[[#This Row],[Profit]]/Table10[[#This Row],[Sales]]</f>
        <v>0.44999999999999996</v>
      </c>
    </row>
    <row r="912" spans="1:22" x14ac:dyDescent="0.2">
      <c r="A912">
        <v>911</v>
      </c>
      <c r="B912" t="s">
        <v>9595</v>
      </c>
      <c r="C912" s="1">
        <v>42547</v>
      </c>
      <c r="D912" s="22">
        <f>MONTH(Table10[[#This Row],[Order Date]])</f>
        <v>6</v>
      </c>
      <c r="E912" t="s">
        <v>6997</v>
      </c>
      <c r="F912" t="s">
        <v>6998</v>
      </c>
      <c r="G912" s="23" t="s">
        <v>64</v>
      </c>
      <c r="H912" s="23" t="s">
        <v>144</v>
      </c>
      <c r="I912" t="s">
        <v>8221</v>
      </c>
      <c r="J912" t="s">
        <v>36</v>
      </c>
      <c r="K912" s="22">
        <v>3</v>
      </c>
      <c r="L912" s="1">
        <v>42553</v>
      </c>
      <c r="M912" s="22">
        <f>Table10[[#This Row],[Ship Date]]-Table10[[#This Row],[Order Date]]</f>
        <v>6</v>
      </c>
      <c r="N912" t="s">
        <v>45</v>
      </c>
      <c r="O912" t="s">
        <v>23</v>
      </c>
      <c r="P912" t="s">
        <v>238</v>
      </c>
      <c r="Q912" t="s">
        <v>133</v>
      </c>
      <c r="R912" t="s">
        <v>237</v>
      </c>
      <c r="S912" s="33">
        <v>0</v>
      </c>
      <c r="T912" s="13">
        <v>20.97</v>
      </c>
      <c r="U912" s="13">
        <v>9.0170999999999992</v>
      </c>
      <c r="V912" s="21">
        <f>Table10[[#This Row],[Profit]]/Table10[[#This Row],[Sales]]</f>
        <v>0.43</v>
      </c>
    </row>
    <row r="913" spans="1:22" x14ac:dyDescent="0.2">
      <c r="A913">
        <v>912</v>
      </c>
      <c r="B913" t="s">
        <v>9595</v>
      </c>
      <c r="C913" s="1">
        <v>42547</v>
      </c>
      <c r="D913" s="22">
        <f>MONTH(Table10[[#This Row],[Order Date]])</f>
        <v>6</v>
      </c>
      <c r="E913" t="s">
        <v>5600</v>
      </c>
      <c r="F913" t="s">
        <v>5601</v>
      </c>
      <c r="G913" s="23" t="s">
        <v>64</v>
      </c>
      <c r="H913" s="23" t="s">
        <v>144</v>
      </c>
      <c r="I913" t="s">
        <v>8221</v>
      </c>
      <c r="J913" t="s">
        <v>36</v>
      </c>
      <c r="K913" s="22">
        <v>4</v>
      </c>
      <c r="L913" s="1">
        <v>42553</v>
      </c>
      <c r="M913" s="22">
        <f>Table10[[#This Row],[Ship Date]]-Table10[[#This Row],[Order Date]]</f>
        <v>6</v>
      </c>
      <c r="N913" t="s">
        <v>45</v>
      </c>
      <c r="O913" t="s">
        <v>23</v>
      </c>
      <c r="P913" t="s">
        <v>238</v>
      </c>
      <c r="Q913" t="s">
        <v>133</v>
      </c>
      <c r="R913" t="s">
        <v>237</v>
      </c>
      <c r="S913" s="33">
        <v>0</v>
      </c>
      <c r="T913" s="13">
        <v>139.96</v>
      </c>
      <c r="U913" s="13">
        <v>9.7972000000000001</v>
      </c>
      <c r="V913" s="21">
        <f>Table10[[#This Row],[Profit]]/Table10[[#This Row],[Sales]]</f>
        <v>6.9999999999999993E-2</v>
      </c>
    </row>
    <row r="914" spans="1:22" x14ac:dyDescent="0.2">
      <c r="A914">
        <v>913</v>
      </c>
      <c r="B914" t="s">
        <v>9595</v>
      </c>
      <c r="C914" s="1">
        <v>42547</v>
      </c>
      <c r="D914" s="22">
        <f>MONTH(Table10[[#This Row],[Order Date]])</f>
        <v>6</v>
      </c>
      <c r="E914" t="s">
        <v>3387</v>
      </c>
      <c r="F914" t="s">
        <v>3388</v>
      </c>
      <c r="G914" s="23" t="s">
        <v>28</v>
      </c>
      <c r="H914" s="23" t="s">
        <v>58</v>
      </c>
      <c r="I914" t="s">
        <v>8221</v>
      </c>
      <c r="J914" t="s">
        <v>36</v>
      </c>
      <c r="K914" s="22">
        <v>3</v>
      </c>
      <c r="L914" s="1">
        <v>42553</v>
      </c>
      <c r="M914" s="22">
        <f>Table10[[#This Row],[Ship Date]]-Table10[[#This Row],[Order Date]]</f>
        <v>6</v>
      </c>
      <c r="N914" t="s">
        <v>45</v>
      </c>
      <c r="O914" t="s">
        <v>23</v>
      </c>
      <c r="P914" t="s">
        <v>238</v>
      </c>
      <c r="Q914" t="s">
        <v>133</v>
      </c>
      <c r="R914" t="s">
        <v>237</v>
      </c>
      <c r="S914" s="33">
        <v>0</v>
      </c>
      <c r="T914" s="13">
        <v>37.74</v>
      </c>
      <c r="U914" s="13">
        <v>12.8316</v>
      </c>
      <c r="V914" s="21">
        <f>Table10[[#This Row],[Profit]]/Table10[[#This Row],[Sales]]</f>
        <v>0.33999999999999997</v>
      </c>
    </row>
    <row r="915" spans="1:22" x14ac:dyDescent="0.2">
      <c r="A915">
        <v>914</v>
      </c>
      <c r="B915" t="s">
        <v>10043</v>
      </c>
      <c r="C915" s="1">
        <v>42547</v>
      </c>
      <c r="D915" s="22">
        <f>MONTH(Table10[[#This Row],[Order Date]])</f>
        <v>6</v>
      </c>
      <c r="E915" t="s">
        <v>6460</v>
      </c>
      <c r="F915" t="s">
        <v>6461</v>
      </c>
      <c r="G915" s="23" t="s">
        <v>64</v>
      </c>
      <c r="H915" s="23" t="s">
        <v>65</v>
      </c>
      <c r="I915" t="s">
        <v>3116</v>
      </c>
      <c r="J915" t="s">
        <v>22</v>
      </c>
      <c r="K915" s="22">
        <v>1</v>
      </c>
      <c r="L915" s="1">
        <v>42554</v>
      </c>
      <c r="M915" s="22">
        <f>Table10[[#This Row],[Ship Date]]-Table10[[#This Row],[Order Date]]</f>
        <v>7</v>
      </c>
      <c r="N915" t="s">
        <v>45</v>
      </c>
      <c r="O915" t="s">
        <v>23</v>
      </c>
      <c r="P915" t="s">
        <v>1125</v>
      </c>
      <c r="Q915" t="s">
        <v>26</v>
      </c>
      <c r="R915" t="s">
        <v>1537</v>
      </c>
      <c r="S915" s="33">
        <v>0</v>
      </c>
      <c r="T915" s="13">
        <v>135.94999999999999</v>
      </c>
      <c r="U915" s="13">
        <v>39.4255</v>
      </c>
      <c r="V915" s="21">
        <f>Table10[[#This Row],[Profit]]/Table10[[#This Row],[Sales]]</f>
        <v>0.29000000000000004</v>
      </c>
    </row>
    <row r="916" spans="1:22" x14ac:dyDescent="0.2">
      <c r="A916">
        <v>915</v>
      </c>
      <c r="B916" t="s">
        <v>5427</v>
      </c>
      <c r="C916" s="1">
        <v>42548</v>
      </c>
      <c r="D916" s="22">
        <f>MONTH(Table10[[#This Row],[Order Date]])</f>
        <v>6</v>
      </c>
      <c r="E916" t="s">
        <v>3751</v>
      </c>
      <c r="F916" t="s">
        <v>3752</v>
      </c>
      <c r="G916" s="23" t="s">
        <v>41</v>
      </c>
      <c r="H916" s="23" t="s">
        <v>82</v>
      </c>
      <c r="I916" t="s">
        <v>4080</v>
      </c>
      <c r="J916" t="s">
        <v>36</v>
      </c>
      <c r="K916" s="22">
        <v>7</v>
      </c>
      <c r="L916" s="1">
        <v>42552</v>
      </c>
      <c r="M916" s="22">
        <f>Table10[[#This Row],[Ship Date]]-Table10[[#This Row],[Order Date]]</f>
        <v>4</v>
      </c>
      <c r="N916" t="s">
        <v>45</v>
      </c>
      <c r="O916" t="s">
        <v>23</v>
      </c>
      <c r="P916" t="s">
        <v>189</v>
      </c>
      <c r="Q916" t="s">
        <v>95</v>
      </c>
      <c r="R916" t="s">
        <v>5428</v>
      </c>
      <c r="S916" s="33">
        <v>0.2</v>
      </c>
      <c r="T916" s="13">
        <v>37.463999999999999</v>
      </c>
      <c r="U916" s="13">
        <v>12.175800000000001</v>
      </c>
      <c r="V916" s="21">
        <f>Table10[[#This Row],[Profit]]/Table10[[#This Row],[Sales]]</f>
        <v>0.32500000000000001</v>
      </c>
    </row>
    <row r="917" spans="1:22" x14ac:dyDescent="0.2">
      <c r="A917">
        <v>916</v>
      </c>
      <c r="B917" t="s">
        <v>5427</v>
      </c>
      <c r="C917" s="1">
        <v>42548</v>
      </c>
      <c r="D917" s="22">
        <f>MONTH(Table10[[#This Row],[Order Date]])</f>
        <v>6</v>
      </c>
      <c r="E917" t="s">
        <v>4220</v>
      </c>
      <c r="F917" t="s">
        <v>4221</v>
      </c>
      <c r="G917" s="23" t="s">
        <v>28</v>
      </c>
      <c r="H917" s="23" t="s">
        <v>32</v>
      </c>
      <c r="I917" t="s">
        <v>4080</v>
      </c>
      <c r="J917" t="s">
        <v>36</v>
      </c>
      <c r="K917" s="22">
        <v>3</v>
      </c>
      <c r="L917" s="1">
        <v>42552</v>
      </c>
      <c r="M917" s="22">
        <f>Table10[[#This Row],[Ship Date]]-Table10[[#This Row],[Order Date]]</f>
        <v>4</v>
      </c>
      <c r="N917" t="s">
        <v>45</v>
      </c>
      <c r="O917" t="s">
        <v>23</v>
      </c>
      <c r="P917" t="s">
        <v>189</v>
      </c>
      <c r="Q917" t="s">
        <v>95</v>
      </c>
      <c r="R917" t="s">
        <v>5428</v>
      </c>
      <c r="S917" s="33">
        <v>0.3</v>
      </c>
      <c r="T917" s="13">
        <v>539.65800000000002</v>
      </c>
      <c r="U917" s="13">
        <v>-7.7093999999999996</v>
      </c>
      <c r="V917" s="21">
        <f>Table10[[#This Row],[Profit]]/Table10[[#This Row],[Sales]]</f>
        <v>-1.4285714285714285E-2</v>
      </c>
    </row>
    <row r="918" spans="1:22" x14ac:dyDescent="0.2">
      <c r="A918">
        <v>917</v>
      </c>
      <c r="B918" t="s">
        <v>7943</v>
      </c>
      <c r="C918" s="1">
        <v>42548</v>
      </c>
      <c r="D918" s="22">
        <f>MONTH(Table10[[#This Row],[Order Date]])</f>
        <v>6</v>
      </c>
      <c r="E918" t="s">
        <v>6029</v>
      </c>
      <c r="F918" t="s">
        <v>6030</v>
      </c>
      <c r="G918" s="23" t="s">
        <v>64</v>
      </c>
      <c r="H918" s="23" t="s">
        <v>65</v>
      </c>
      <c r="I918" t="s">
        <v>5364</v>
      </c>
      <c r="J918" t="s">
        <v>22</v>
      </c>
      <c r="K918" s="22">
        <v>2</v>
      </c>
      <c r="L918" s="1">
        <v>42550</v>
      </c>
      <c r="M918" s="22">
        <f>Table10[[#This Row],[Ship Date]]-Table10[[#This Row],[Order Date]]</f>
        <v>2</v>
      </c>
      <c r="N918" t="s">
        <v>20</v>
      </c>
      <c r="O918" t="s">
        <v>23</v>
      </c>
      <c r="P918" t="s">
        <v>38</v>
      </c>
      <c r="Q918" t="s">
        <v>39</v>
      </c>
      <c r="R918" t="s">
        <v>114</v>
      </c>
      <c r="S918" s="33">
        <v>0.2</v>
      </c>
      <c r="T918" s="13">
        <v>201.584</v>
      </c>
      <c r="U918" s="13">
        <v>12.599</v>
      </c>
      <c r="V918" s="21">
        <f>Table10[[#This Row],[Profit]]/Table10[[#This Row],[Sales]]</f>
        <v>6.25E-2</v>
      </c>
    </row>
    <row r="919" spans="1:22" x14ac:dyDescent="0.2">
      <c r="A919">
        <v>918</v>
      </c>
      <c r="B919" t="s">
        <v>6341</v>
      </c>
      <c r="C919" s="1">
        <v>42549</v>
      </c>
      <c r="D919" s="22">
        <f>MONTH(Table10[[#This Row],[Order Date]])</f>
        <v>6</v>
      </c>
      <c r="E919" t="s">
        <v>5696</v>
      </c>
      <c r="F919" t="s">
        <v>5697</v>
      </c>
      <c r="G919" s="23" t="s">
        <v>64</v>
      </c>
      <c r="H919" s="23" t="s">
        <v>65</v>
      </c>
      <c r="I919" t="s">
        <v>2098</v>
      </c>
      <c r="J919" t="s">
        <v>22</v>
      </c>
      <c r="K919" s="22">
        <v>3</v>
      </c>
      <c r="L919" s="1">
        <v>42553</v>
      </c>
      <c r="M919" s="22">
        <f>Table10[[#This Row],[Ship Date]]-Table10[[#This Row],[Order Date]]</f>
        <v>4</v>
      </c>
      <c r="N919" t="s">
        <v>20</v>
      </c>
      <c r="O919" t="s">
        <v>23</v>
      </c>
      <c r="P919" t="s">
        <v>189</v>
      </c>
      <c r="Q919" t="s">
        <v>95</v>
      </c>
      <c r="R919" t="s">
        <v>271</v>
      </c>
      <c r="S919" s="33">
        <v>0.2</v>
      </c>
      <c r="T919" s="13">
        <v>359.976</v>
      </c>
      <c r="U919" s="13">
        <v>35.997599999999998</v>
      </c>
      <c r="V919" s="21">
        <f>Table10[[#This Row],[Profit]]/Table10[[#This Row],[Sales]]</f>
        <v>9.9999999999999992E-2</v>
      </c>
    </row>
    <row r="920" spans="1:22" x14ac:dyDescent="0.2">
      <c r="A920">
        <v>919</v>
      </c>
      <c r="B920" t="s">
        <v>6662</v>
      </c>
      <c r="C920" s="1">
        <v>42549</v>
      </c>
      <c r="D920" s="22">
        <f>MONTH(Table10[[#This Row],[Order Date]])</f>
        <v>6</v>
      </c>
      <c r="E920" t="s">
        <v>1736</v>
      </c>
      <c r="F920" t="s">
        <v>1737</v>
      </c>
      <c r="G920" s="23" t="s">
        <v>41</v>
      </c>
      <c r="H920" s="23" t="s">
        <v>68</v>
      </c>
      <c r="I920" t="s">
        <v>2128</v>
      </c>
      <c r="J920" t="s">
        <v>36</v>
      </c>
      <c r="K920" s="22">
        <v>3</v>
      </c>
      <c r="L920" s="1">
        <v>42549</v>
      </c>
      <c r="M920" s="22">
        <f>Table10[[#This Row],[Ship Date]]-Table10[[#This Row],[Order Date]]</f>
        <v>0</v>
      </c>
      <c r="N920" t="s">
        <v>1141</v>
      </c>
      <c r="O920" t="s">
        <v>23</v>
      </c>
      <c r="P920" t="s">
        <v>38</v>
      </c>
      <c r="Q920" t="s">
        <v>39</v>
      </c>
      <c r="R920" t="s">
        <v>37</v>
      </c>
      <c r="S920" s="33">
        <v>0.2</v>
      </c>
      <c r="T920" s="13">
        <v>7.7519999999999998</v>
      </c>
      <c r="U920" s="13">
        <v>2.8100999999999998</v>
      </c>
      <c r="V920" s="21">
        <f>Table10[[#This Row],[Profit]]/Table10[[#This Row],[Sales]]</f>
        <v>0.36249999999999999</v>
      </c>
    </row>
    <row r="921" spans="1:22" x14ac:dyDescent="0.2">
      <c r="A921">
        <v>920</v>
      </c>
      <c r="B921" t="s">
        <v>6662</v>
      </c>
      <c r="C921" s="1">
        <v>42549</v>
      </c>
      <c r="D921" s="22">
        <f>MONTH(Table10[[#This Row],[Order Date]])</f>
        <v>6</v>
      </c>
      <c r="E921" t="s">
        <v>1060</v>
      </c>
      <c r="F921" t="s">
        <v>1061</v>
      </c>
      <c r="G921" s="23" t="s">
        <v>41</v>
      </c>
      <c r="H921" s="23" t="s">
        <v>68</v>
      </c>
      <c r="I921" t="s">
        <v>2128</v>
      </c>
      <c r="J921" t="s">
        <v>36</v>
      </c>
      <c r="K921" s="22">
        <v>2</v>
      </c>
      <c r="L921" s="1">
        <v>42549</v>
      </c>
      <c r="M921" s="22">
        <f>Table10[[#This Row],[Ship Date]]-Table10[[#This Row],[Order Date]]</f>
        <v>0</v>
      </c>
      <c r="N921" t="s">
        <v>1141</v>
      </c>
      <c r="O921" t="s">
        <v>23</v>
      </c>
      <c r="P921" t="s">
        <v>38</v>
      </c>
      <c r="Q921" t="s">
        <v>39</v>
      </c>
      <c r="R921" t="s">
        <v>37</v>
      </c>
      <c r="S921" s="33">
        <v>0.2</v>
      </c>
      <c r="T921" s="13">
        <v>33.567999999999998</v>
      </c>
      <c r="U921" s="13">
        <v>11.748799999999999</v>
      </c>
      <c r="V921" s="21">
        <f>Table10[[#This Row],[Profit]]/Table10[[#This Row],[Sales]]</f>
        <v>0.35</v>
      </c>
    </row>
    <row r="922" spans="1:22" x14ac:dyDescent="0.2">
      <c r="A922">
        <v>921</v>
      </c>
      <c r="B922" t="s">
        <v>8298</v>
      </c>
      <c r="C922" s="1">
        <v>42549</v>
      </c>
      <c r="D922" s="22">
        <f>MONTH(Table10[[#This Row],[Order Date]])</f>
        <v>6</v>
      </c>
      <c r="E922" t="s">
        <v>5896</v>
      </c>
      <c r="F922" t="s">
        <v>5897</v>
      </c>
      <c r="G922" s="23" t="s">
        <v>28</v>
      </c>
      <c r="H922" s="23" t="s">
        <v>32</v>
      </c>
      <c r="I922" t="s">
        <v>5455</v>
      </c>
      <c r="J922" t="s">
        <v>22</v>
      </c>
      <c r="K922" s="22">
        <v>2</v>
      </c>
      <c r="L922" s="1">
        <v>42551</v>
      </c>
      <c r="M922" s="22">
        <f>Table10[[#This Row],[Ship Date]]-Table10[[#This Row],[Order Date]]</f>
        <v>2</v>
      </c>
      <c r="N922" t="s">
        <v>20</v>
      </c>
      <c r="O922" t="s">
        <v>23</v>
      </c>
      <c r="P922" t="s">
        <v>695</v>
      </c>
      <c r="Q922" t="s">
        <v>133</v>
      </c>
      <c r="R922" t="s">
        <v>4273</v>
      </c>
      <c r="S922" s="33">
        <v>0</v>
      </c>
      <c r="T922" s="13">
        <v>121.96</v>
      </c>
      <c r="U922" s="13">
        <v>20.7332</v>
      </c>
      <c r="V922" s="21">
        <f>Table10[[#This Row],[Profit]]/Table10[[#This Row],[Sales]]</f>
        <v>0.17</v>
      </c>
    </row>
    <row r="923" spans="1:22" x14ac:dyDescent="0.2">
      <c r="A923">
        <v>922</v>
      </c>
      <c r="B923" t="s">
        <v>8298</v>
      </c>
      <c r="C923" s="1">
        <v>42549</v>
      </c>
      <c r="D923" s="22">
        <f>MONTH(Table10[[#This Row],[Order Date]])</f>
        <v>6</v>
      </c>
      <c r="E923" t="s">
        <v>5811</v>
      </c>
      <c r="F923" t="s">
        <v>5812</v>
      </c>
      <c r="G923" s="23" t="s">
        <v>41</v>
      </c>
      <c r="H923" s="23" t="s">
        <v>71</v>
      </c>
      <c r="I923" t="s">
        <v>5455</v>
      </c>
      <c r="J923" t="s">
        <v>22</v>
      </c>
      <c r="K923" s="22">
        <v>2</v>
      </c>
      <c r="L923" s="1">
        <v>42551</v>
      </c>
      <c r="M923" s="22">
        <f>Table10[[#This Row],[Ship Date]]-Table10[[#This Row],[Order Date]]</f>
        <v>2</v>
      </c>
      <c r="N923" t="s">
        <v>20</v>
      </c>
      <c r="O923" t="s">
        <v>23</v>
      </c>
      <c r="P923" t="s">
        <v>695</v>
      </c>
      <c r="Q923" t="s">
        <v>133</v>
      </c>
      <c r="R923" t="s">
        <v>4273</v>
      </c>
      <c r="S923" s="33">
        <v>0</v>
      </c>
      <c r="T923" s="13">
        <v>8.74</v>
      </c>
      <c r="U923" s="13">
        <v>2.2724000000000002</v>
      </c>
      <c r="V923" s="21">
        <f>Table10[[#This Row],[Profit]]/Table10[[#This Row],[Sales]]</f>
        <v>0.26</v>
      </c>
    </row>
    <row r="924" spans="1:22" x14ac:dyDescent="0.2">
      <c r="A924">
        <v>923</v>
      </c>
      <c r="B924" t="s">
        <v>8298</v>
      </c>
      <c r="C924" s="1">
        <v>42549</v>
      </c>
      <c r="D924" s="22">
        <f>MONTH(Table10[[#This Row],[Order Date]])</f>
        <v>6</v>
      </c>
      <c r="E924" t="s">
        <v>1169</v>
      </c>
      <c r="F924" t="s">
        <v>1170</v>
      </c>
      <c r="G924" s="23" t="s">
        <v>41</v>
      </c>
      <c r="H924" s="23" t="s">
        <v>82</v>
      </c>
      <c r="I924" t="s">
        <v>5455</v>
      </c>
      <c r="J924" t="s">
        <v>22</v>
      </c>
      <c r="K924" s="22">
        <v>2</v>
      </c>
      <c r="L924" s="1">
        <v>42551</v>
      </c>
      <c r="M924" s="22">
        <f>Table10[[#This Row],[Ship Date]]-Table10[[#This Row],[Order Date]]</f>
        <v>2</v>
      </c>
      <c r="N924" t="s">
        <v>20</v>
      </c>
      <c r="O924" t="s">
        <v>23</v>
      </c>
      <c r="P924" t="s">
        <v>695</v>
      </c>
      <c r="Q924" t="s">
        <v>133</v>
      </c>
      <c r="R924" t="s">
        <v>4273</v>
      </c>
      <c r="S924" s="33">
        <v>0</v>
      </c>
      <c r="T924" s="13">
        <v>61.96</v>
      </c>
      <c r="U924" s="13">
        <v>27.882000000000001</v>
      </c>
      <c r="V924" s="21">
        <f>Table10[[#This Row],[Profit]]/Table10[[#This Row],[Sales]]</f>
        <v>0.45</v>
      </c>
    </row>
    <row r="925" spans="1:22" x14ac:dyDescent="0.2">
      <c r="A925">
        <v>924</v>
      </c>
      <c r="B925" t="s">
        <v>8298</v>
      </c>
      <c r="C925" s="1">
        <v>42549</v>
      </c>
      <c r="D925" s="22">
        <f>MONTH(Table10[[#This Row],[Order Date]])</f>
        <v>6</v>
      </c>
      <c r="E925" t="s">
        <v>5179</v>
      </c>
      <c r="F925" t="s">
        <v>5180</v>
      </c>
      <c r="G925" s="23" t="s">
        <v>41</v>
      </c>
      <c r="H925" s="23" t="s">
        <v>68</v>
      </c>
      <c r="I925" t="s">
        <v>5455</v>
      </c>
      <c r="J925" t="s">
        <v>22</v>
      </c>
      <c r="K925" s="22">
        <v>2</v>
      </c>
      <c r="L925" s="1">
        <v>42551</v>
      </c>
      <c r="M925" s="22">
        <f>Table10[[#This Row],[Ship Date]]-Table10[[#This Row],[Order Date]]</f>
        <v>2</v>
      </c>
      <c r="N925" t="s">
        <v>20</v>
      </c>
      <c r="O925" t="s">
        <v>23</v>
      </c>
      <c r="P925" t="s">
        <v>695</v>
      </c>
      <c r="Q925" t="s">
        <v>133</v>
      </c>
      <c r="R925" t="s">
        <v>4273</v>
      </c>
      <c r="S925" s="33">
        <v>0</v>
      </c>
      <c r="T925" s="13">
        <v>7.96</v>
      </c>
      <c r="U925" s="13">
        <v>3.7412000000000001</v>
      </c>
      <c r="V925" s="21">
        <f>Table10[[#This Row],[Profit]]/Table10[[#This Row],[Sales]]</f>
        <v>0.47000000000000003</v>
      </c>
    </row>
    <row r="926" spans="1:22" x14ac:dyDescent="0.2">
      <c r="A926">
        <v>925</v>
      </c>
      <c r="B926" t="s">
        <v>8298</v>
      </c>
      <c r="C926" s="1">
        <v>42549</v>
      </c>
      <c r="D926" s="22">
        <f>MONTH(Table10[[#This Row],[Order Date]])</f>
        <v>6</v>
      </c>
      <c r="E926" t="s">
        <v>96</v>
      </c>
      <c r="F926" t="s">
        <v>97</v>
      </c>
      <c r="G926" s="23" t="s">
        <v>41</v>
      </c>
      <c r="H926" s="23" t="s">
        <v>71</v>
      </c>
      <c r="I926" t="s">
        <v>5455</v>
      </c>
      <c r="J926" t="s">
        <v>22</v>
      </c>
      <c r="K926" s="22">
        <v>4</v>
      </c>
      <c r="L926" s="1">
        <v>42551</v>
      </c>
      <c r="M926" s="22">
        <f>Table10[[#This Row],[Ship Date]]-Table10[[#This Row],[Order Date]]</f>
        <v>2</v>
      </c>
      <c r="N926" t="s">
        <v>20</v>
      </c>
      <c r="O926" t="s">
        <v>23</v>
      </c>
      <c r="P926" t="s">
        <v>695</v>
      </c>
      <c r="Q926" t="s">
        <v>133</v>
      </c>
      <c r="R926" t="s">
        <v>4273</v>
      </c>
      <c r="S926" s="33">
        <v>0</v>
      </c>
      <c r="T926" s="13">
        <v>275.24</v>
      </c>
      <c r="U926" s="13">
        <v>121.1056</v>
      </c>
      <c r="V926" s="21">
        <f>Table10[[#This Row],[Profit]]/Table10[[#This Row],[Sales]]</f>
        <v>0.43999999999999995</v>
      </c>
    </row>
    <row r="927" spans="1:22" x14ac:dyDescent="0.2">
      <c r="A927">
        <v>926</v>
      </c>
      <c r="B927" t="s">
        <v>4181</v>
      </c>
      <c r="C927" s="1">
        <v>42550</v>
      </c>
      <c r="D927" s="22">
        <f>MONTH(Table10[[#This Row],[Order Date]])</f>
        <v>6</v>
      </c>
      <c r="E927" t="s">
        <v>3126</v>
      </c>
      <c r="F927" t="s">
        <v>3127</v>
      </c>
      <c r="G927" s="23" t="s">
        <v>41</v>
      </c>
      <c r="H927" s="23" t="s">
        <v>53</v>
      </c>
      <c r="I927" t="s">
        <v>3528</v>
      </c>
      <c r="J927" t="s">
        <v>22</v>
      </c>
      <c r="K927" s="22">
        <v>6</v>
      </c>
      <c r="L927" s="1">
        <v>42554</v>
      </c>
      <c r="M927" s="22">
        <f>Table10[[#This Row],[Ship Date]]-Table10[[#This Row],[Order Date]]</f>
        <v>4</v>
      </c>
      <c r="N927" t="s">
        <v>20</v>
      </c>
      <c r="O927" t="s">
        <v>23</v>
      </c>
      <c r="P927" t="s">
        <v>342</v>
      </c>
      <c r="Q927" t="s">
        <v>26</v>
      </c>
      <c r="R927" t="s">
        <v>2271</v>
      </c>
      <c r="S927" s="33">
        <v>0</v>
      </c>
      <c r="T927" s="13">
        <v>191.88</v>
      </c>
      <c r="U927" s="13">
        <v>19.187999999999999</v>
      </c>
      <c r="V927" s="21">
        <f>Table10[[#This Row],[Profit]]/Table10[[#This Row],[Sales]]</f>
        <v>9.9999999999999992E-2</v>
      </c>
    </row>
    <row r="928" spans="1:22" x14ac:dyDescent="0.2">
      <c r="A928">
        <v>927</v>
      </c>
      <c r="B928" t="s">
        <v>9125</v>
      </c>
      <c r="C928" s="1">
        <v>42551</v>
      </c>
      <c r="D928" s="22">
        <f>MONTH(Table10[[#This Row],[Order Date]])</f>
        <v>6</v>
      </c>
      <c r="E928" t="s">
        <v>1287</v>
      </c>
      <c r="F928" t="s">
        <v>1288</v>
      </c>
      <c r="G928" s="23" t="s">
        <v>41</v>
      </c>
      <c r="H928" s="23" t="s">
        <v>61</v>
      </c>
      <c r="I928" t="s">
        <v>475</v>
      </c>
      <c r="J928" t="s">
        <v>22</v>
      </c>
      <c r="K928" s="22">
        <v>3</v>
      </c>
      <c r="L928" s="1">
        <v>42553</v>
      </c>
      <c r="M928" s="22">
        <f>Table10[[#This Row],[Ship Date]]-Table10[[#This Row],[Order Date]]</f>
        <v>2</v>
      </c>
      <c r="N928" t="s">
        <v>20</v>
      </c>
      <c r="O928" t="s">
        <v>23</v>
      </c>
      <c r="P928" t="s">
        <v>1125</v>
      </c>
      <c r="Q928" t="s">
        <v>26</v>
      </c>
      <c r="R928" t="s">
        <v>6751</v>
      </c>
      <c r="S928" s="33">
        <v>0</v>
      </c>
      <c r="T928" s="13">
        <v>35.97</v>
      </c>
      <c r="U928" s="13">
        <v>9.7119</v>
      </c>
      <c r="V928" s="21">
        <f>Table10[[#This Row],[Profit]]/Table10[[#This Row],[Sales]]</f>
        <v>0.27</v>
      </c>
    </row>
    <row r="929" spans="1:22" x14ac:dyDescent="0.2">
      <c r="A929">
        <v>928</v>
      </c>
      <c r="B929" t="s">
        <v>9125</v>
      </c>
      <c r="C929" s="1">
        <v>42551</v>
      </c>
      <c r="D929" s="22">
        <f>MONTH(Table10[[#This Row],[Order Date]])</f>
        <v>6</v>
      </c>
      <c r="E929" t="s">
        <v>750</v>
      </c>
      <c r="F929" t="s">
        <v>751</v>
      </c>
      <c r="G929" s="23" t="s">
        <v>28</v>
      </c>
      <c r="H929" s="23" t="s">
        <v>29</v>
      </c>
      <c r="I929" t="s">
        <v>475</v>
      </c>
      <c r="J929" t="s">
        <v>22</v>
      </c>
      <c r="K929" s="22">
        <v>7</v>
      </c>
      <c r="L929" s="1">
        <v>42553</v>
      </c>
      <c r="M929" s="22">
        <f>Table10[[#This Row],[Ship Date]]-Table10[[#This Row],[Order Date]]</f>
        <v>2</v>
      </c>
      <c r="N929" t="s">
        <v>20</v>
      </c>
      <c r="O929" t="s">
        <v>23</v>
      </c>
      <c r="P929" t="s">
        <v>1125</v>
      </c>
      <c r="Q929" t="s">
        <v>26</v>
      </c>
      <c r="R929" t="s">
        <v>6751</v>
      </c>
      <c r="S929" s="33">
        <v>0</v>
      </c>
      <c r="T929" s="13">
        <v>1266.8599999999999</v>
      </c>
      <c r="U929" s="13">
        <v>291.37779999999998</v>
      </c>
      <c r="V929" s="21">
        <f>Table10[[#This Row],[Profit]]/Table10[[#This Row],[Sales]]</f>
        <v>0.23</v>
      </c>
    </row>
    <row r="930" spans="1:22" x14ac:dyDescent="0.2">
      <c r="A930">
        <v>929</v>
      </c>
      <c r="B930" t="s">
        <v>9510</v>
      </c>
      <c r="C930" s="1">
        <v>42551</v>
      </c>
      <c r="D930" s="22">
        <f>MONTH(Table10[[#This Row],[Order Date]])</f>
        <v>6</v>
      </c>
      <c r="E930" t="s">
        <v>3664</v>
      </c>
      <c r="F930" t="s">
        <v>3665</v>
      </c>
      <c r="G930" s="23" t="s">
        <v>64</v>
      </c>
      <c r="H930" s="23" t="s">
        <v>144</v>
      </c>
      <c r="I930" t="s">
        <v>4438</v>
      </c>
      <c r="J930" t="s">
        <v>92</v>
      </c>
      <c r="K930" s="22">
        <v>7</v>
      </c>
      <c r="L930" s="1">
        <v>42554</v>
      </c>
      <c r="M930" s="22">
        <f>Table10[[#This Row],[Ship Date]]-Table10[[#This Row],[Order Date]]</f>
        <v>3</v>
      </c>
      <c r="N930" t="s">
        <v>20</v>
      </c>
      <c r="O930" t="s">
        <v>23</v>
      </c>
      <c r="P930" t="s">
        <v>189</v>
      </c>
      <c r="Q930" t="s">
        <v>95</v>
      </c>
      <c r="R930" t="s">
        <v>404</v>
      </c>
      <c r="S930" s="33">
        <v>0.2</v>
      </c>
      <c r="T930" s="13">
        <v>50.12</v>
      </c>
      <c r="U930" s="13">
        <v>-0.62649999999999995</v>
      </c>
      <c r="V930" s="21">
        <f>Table10[[#This Row],[Profit]]/Table10[[#This Row],[Sales]]</f>
        <v>-1.2499999999999999E-2</v>
      </c>
    </row>
    <row r="931" spans="1:22" x14ac:dyDescent="0.2">
      <c r="A931">
        <v>930</v>
      </c>
      <c r="B931" t="s">
        <v>6541</v>
      </c>
      <c r="C931" s="1">
        <v>42552</v>
      </c>
      <c r="D931" s="22">
        <f>MONTH(Table10[[#This Row],[Order Date]])</f>
        <v>7</v>
      </c>
      <c r="E931" t="s">
        <v>119</v>
      </c>
      <c r="F931" t="s">
        <v>120</v>
      </c>
      <c r="G931" s="23" t="s">
        <v>41</v>
      </c>
      <c r="H931" s="23" t="s">
        <v>68</v>
      </c>
      <c r="I931" t="s">
        <v>2054</v>
      </c>
      <c r="J931" t="s">
        <v>22</v>
      </c>
      <c r="K931" s="22">
        <v>2</v>
      </c>
      <c r="L931" s="1">
        <v>42552</v>
      </c>
      <c r="M931" s="22">
        <f>Table10[[#This Row],[Ship Date]]-Table10[[#This Row],[Order Date]]</f>
        <v>0</v>
      </c>
      <c r="N931" t="s">
        <v>1141</v>
      </c>
      <c r="O931" t="s">
        <v>23</v>
      </c>
      <c r="P931" t="s">
        <v>342</v>
      </c>
      <c r="Q931" t="s">
        <v>26</v>
      </c>
      <c r="R931" t="s">
        <v>341</v>
      </c>
      <c r="S931" s="33">
        <v>0</v>
      </c>
      <c r="T931" s="13">
        <v>14.2</v>
      </c>
      <c r="U931" s="13">
        <v>6.532</v>
      </c>
      <c r="V931" s="21">
        <f>Table10[[#This Row],[Profit]]/Table10[[#This Row],[Sales]]</f>
        <v>0.46</v>
      </c>
    </row>
    <row r="932" spans="1:22" x14ac:dyDescent="0.2">
      <c r="A932">
        <v>931</v>
      </c>
      <c r="B932" t="s">
        <v>6541</v>
      </c>
      <c r="C932" s="1">
        <v>42552</v>
      </c>
      <c r="D932" s="22">
        <f>MONTH(Table10[[#This Row],[Order Date]])</f>
        <v>7</v>
      </c>
      <c r="E932" t="s">
        <v>2539</v>
      </c>
      <c r="F932" t="s">
        <v>2540</v>
      </c>
      <c r="G932" s="23" t="s">
        <v>41</v>
      </c>
      <c r="H932" s="23" t="s">
        <v>82</v>
      </c>
      <c r="I932" t="s">
        <v>2054</v>
      </c>
      <c r="J932" t="s">
        <v>22</v>
      </c>
      <c r="K932" s="22">
        <v>2</v>
      </c>
      <c r="L932" s="1">
        <v>42552</v>
      </c>
      <c r="M932" s="22">
        <f>Table10[[#This Row],[Ship Date]]-Table10[[#This Row],[Order Date]]</f>
        <v>0</v>
      </c>
      <c r="N932" t="s">
        <v>1141</v>
      </c>
      <c r="O932" t="s">
        <v>23</v>
      </c>
      <c r="P932" t="s">
        <v>342</v>
      </c>
      <c r="Q932" t="s">
        <v>26</v>
      </c>
      <c r="R932" t="s">
        <v>341</v>
      </c>
      <c r="S932" s="33">
        <v>0</v>
      </c>
      <c r="T932" s="13">
        <v>12.96</v>
      </c>
      <c r="U932" s="13">
        <v>6.2207999999999997</v>
      </c>
      <c r="V932" s="21">
        <f>Table10[[#This Row],[Profit]]/Table10[[#This Row],[Sales]]</f>
        <v>0.47999999999999993</v>
      </c>
    </row>
    <row r="933" spans="1:22" x14ac:dyDescent="0.2">
      <c r="A933">
        <v>932</v>
      </c>
      <c r="B933" t="s">
        <v>6541</v>
      </c>
      <c r="C933" s="1">
        <v>42552</v>
      </c>
      <c r="D933" s="22">
        <f>MONTH(Table10[[#This Row],[Order Date]])</f>
        <v>7</v>
      </c>
      <c r="E933" t="s">
        <v>2422</v>
      </c>
      <c r="F933" t="s">
        <v>2423</v>
      </c>
      <c r="G933" s="23" t="s">
        <v>41</v>
      </c>
      <c r="H933" s="23" t="s">
        <v>68</v>
      </c>
      <c r="I933" t="s">
        <v>2054</v>
      </c>
      <c r="J933" t="s">
        <v>22</v>
      </c>
      <c r="K933" s="22">
        <v>2</v>
      </c>
      <c r="L933" s="1">
        <v>42552</v>
      </c>
      <c r="M933" s="22">
        <f>Table10[[#This Row],[Ship Date]]-Table10[[#This Row],[Order Date]]</f>
        <v>0</v>
      </c>
      <c r="N933" t="s">
        <v>1141</v>
      </c>
      <c r="O933" t="s">
        <v>23</v>
      </c>
      <c r="P933" t="s">
        <v>342</v>
      </c>
      <c r="Q933" t="s">
        <v>26</v>
      </c>
      <c r="R933" t="s">
        <v>341</v>
      </c>
      <c r="S933" s="33">
        <v>0</v>
      </c>
      <c r="T933" s="13">
        <v>58.34</v>
      </c>
      <c r="U933" s="13">
        <v>28.0032</v>
      </c>
      <c r="V933" s="21">
        <f>Table10[[#This Row],[Profit]]/Table10[[#This Row],[Sales]]</f>
        <v>0.48</v>
      </c>
    </row>
    <row r="934" spans="1:22" x14ac:dyDescent="0.2">
      <c r="A934">
        <v>933</v>
      </c>
      <c r="B934" t="s">
        <v>8719</v>
      </c>
      <c r="C934" s="1">
        <v>42552</v>
      </c>
      <c r="D934" s="22">
        <f>MONTH(Table10[[#This Row],[Order Date]])</f>
        <v>7</v>
      </c>
      <c r="E934" t="s">
        <v>4820</v>
      </c>
      <c r="F934" t="s">
        <v>4821</v>
      </c>
      <c r="G934" s="23" t="s">
        <v>64</v>
      </c>
      <c r="H934" s="23" t="s">
        <v>1075</v>
      </c>
      <c r="I934" t="s">
        <v>5475</v>
      </c>
      <c r="J934" t="s">
        <v>92</v>
      </c>
      <c r="K934" s="22">
        <v>5</v>
      </c>
      <c r="L934" s="1">
        <v>42554</v>
      </c>
      <c r="M934" s="22">
        <f>Table10[[#This Row],[Ship Date]]-Table10[[#This Row],[Order Date]]</f>
        <v>2</v>
      </c>
      <c r="N934" t="s">
        <v>169</v>
      </c>
      <c r="O934" t="s">
        <v>23</v>
      </c>
      <c r="P934" t="s">
        <v>109</v>
      </c>
      <c r="Q934" t="s">
        <v>39</v>
      </c>
      <c r="R934" t="s">
        <v>7127</v>
      </c>
      <c r="S934" s="33">
        <v>0</v>
      </c>
      <c r="T934" s="13">
        <v>1499.95</v>
      </c>
      <c r="U934" s="13">
        <v>449.98500000000001</v>
      </c>
      <c r="V934" s="21">
        <f>Table10[[#This Row],[Profit]]/Table10[[#This Row],[Sales]]</f>
        <v>0.3</v>
      </c>
    </row>
    <row r="935" spans="1:22" x14ac:dyDescent="0.2">
      <c r="A935">
        <v>934</v>
      </c>
      <c r="B935" t="s">
        <v>9522</v>
      </c>
      <c r="C935" s="1">
        <v>42552</v>
      </c>
      <c r="D935" s="22">
        <f>MONTH(Table10[[#This Row],[Order Date]])</f>
        <v>7</v>
      </c>
      <c r="E935" t="s">
        <v>3204</v>
      </c>
      <c r="F935" t="s">
        <v>3205</v>
      </c>
      <c r="G935" s="23" t="s">
        <v>41</v>
      </c>
      <c r="H935" s="23" t="s">
        <v>42</v>
      </c>
      <c r="I935" t="s">
        <v>6007</v>
      </c>
      <c r="J935" t="s">
        <v>92</v>
      </c>
      <c r="K935" s="22">
        <v>1</v>
      </c>
      <c r="L935" s="1">
        <v>42552</v>
      </c>
      <c r="M935" s="22">
        <f>Table10[[#This Row],[Ship Date]]-Table10[[#This Row],[Order Date]]</f>
        <v>0</v>
      </c>
      <c r="N935" t="s">
        <v>1141</v>
      </c>
      <c r="O935" t="s">
        <v>23</v>
      </c>
      <c r="P935" t="s">
        <v>238</v>
      </c>
      <c r="Q935" t="s">
        <v>133</v>
      </c>
      <c r="R935" t="s">
        <v>237</v>
      </c>
      <c r="S935" s="33">
        <v>0</v>
      </c>
      <c r="T935" s="13">
        <v>30.53</v>
      </c>
      <c r="U935" s="13">
        <v>14.043799999999999</v>
      </c>
      <c r="V935" s="21">
        <f>Table10[[#This Row],[Profit]]/Table10[[#This Row],[Sales]]</f>
        <v>0.45999999999999996</v>
      </c>
    </row>
    <row r="936" spans="1:22" x14ac:dyDescent="0.2">
      <c r="A936">
        <v>935</v>
      </c>
      <c r="B936" t="s">
        <v>9522</v>
      </c>
      <c r="C936" s="1">
        <v>42552</v>
      </c>
      <c r="D936" s="22">
        <f>MONTH(Table10[[#This Row],[Order Date]])</f>
        <v>7</v>
      </c>
      <c r="E936" t="s">
        <v>5091</v>
      </c>
      <c r="F936" t="s">
        <v>5092</v>
      </c>
      <c r="G936" s="23" t="s">
        <v>64</v>
      </c>
      <c r="H936" s="23" t="s">
        <v>144</v>
      </c>
      <c r="I936" t="s">
        <v>6007</v>
      </c>
      <c r="J936" t="s">
        <v>92</v>
      </c>
      <c r="K936" s="22">
        <v>3</v>
      </c>
      <c r="L936" s="1">
        <v>42552</v>
      </c>
      <c r="M936" s="22">
        <f>Table10[[#This Row],[Ship Date]]-Table10[[#This Row],[Order Date]]</f>
        <v>0</v>
      </c>
      <c r="N936" t="s">
        <v>1141</v>
      </c>
      <c r="O936" t="s">
        <v>23</v>
      </c>
      <c r="P936" t="s">
        <v>238</v>
      </c>
      <c r="Q936" t="s">
        <v>133</v>
      </c>
      <c r="R936" t="s">
        <v>237</v>
      </c>
      <c r="S936" s="33">
        <v>0</v>
      </c>
      <c r="T936" s="13">
        <v>30.84</v>
      </c>
      <c r="U936" s="13">
        <v>6.1680000000000001</v>
      </c>
      <c r="V936" s="21">
        <f>Table10[[#This Row],[Profit]]/Table10[[#This Row],[Sales]]</f>
        <v>0.2</v>
      </c>
    </row>
    <row r="937" spans="1:22" x14ac:dyDescent="0.2">
      <c r="A937">
        <v>936</v>
      </c>
      <c r="B937" t="s">
        <v>9522</v>
      </c>
      <c r="C937" s="1">
        <v>42552</v>
      </c>
      <c r="D937" s="22">
        <f>MONTH(Table10[[#This Row],[Order Date]])</f>
        <v>7</v>
      </c>
      <c r="E937" t="s">
        <v>558</v>
      </c>
      <c r="F937" t="s">
        <v>559</v>
      </c>
      <c r="G937" s="23" t="s">
        <v>41</v>
      </c>
      <c r="H937" s="23" t="s">
        <v>82</v>
      </c>
      <c r="I937" t="s">
        <v>6007</v>
      </c>
      <c r="J937" t="s">
        <v>92</v>
      </c>
      <c r="K937" s="22">
        <v>9</v>
      </c>
      <c r="L937" s="1">
        <v>42552</v>
      </c>
      <c r="M937" s="22">
        <f>Table10[[#This Row],[Ship Date]]-Table10[[#This Row],[Order Date]]</f>
        <v>0</v>
      </c>
      <c r="N937" t="s">
        <v>1141</v>
      </c>
      <c r="O937" t="s">
        <v>23</v>
      </c>
      <c r="P937" t="s">
        <v>238</v>
      </c>
      <c r="Q937" t="s">
        <v>133</v>
      </c>
      <c r="R937" t="s">
        <v>237</v>
      </c>
      <c r="S937" s="33">
        <v>0</v>
      </c>
      <c r="T937" s="13">
        <v>75.06</v>
      </c>
      <c r="U937" s="13">
        <v>33.777000000000001</v>
      </c>
      <c r="V937" s="21">
        <f>Table10[[#This Row],[Profit]]/Table10[[#This Row],[Sales]]</f>
        <v>0.45</v>
      </c>
    </row>
    <row r="938" spans="1:22" x14ac:dyDescent="0.2">
      <c r="A938">
        <v>937</v>
      </c>
      <c r="B938" t="s">
        <v>10031</v>
      </c>
      <c r="C938" s="1">
        <v>42552</v>
      </c>
      <c r="D938" s="22">
        <f>MONTH(Table10[[#This Row],[Order Date]])</f>
        <v>7</v>
      </c>
      <c r="E938" t="s">
        <v>2563</v>
      </c>
      <c r="F938" t="s">
        <v>2564</v>
      </c>
      <c r="G938" s="23" t="s">
        <v>41</v>
      </c>
      <c r="H938" s="23" t="s">
        <v>68</v>
      </c>
      <c r="I938" t="s">
        <v>943</v>
      </c>
      <c r="J938" t="s">
        <v>92</v>
      </c>
      <c r="K938" s="22">
        <v>1</v>
      </c>
      <c r="L938" s="1">
        <v>42553</v>
      </c>
      <c r="M938" s="22">
        <f>Table10[[#This Row],[Ship Date]]-Table10[[#This Row],[Order Date]]</f>
        <v>1</v>
      </c>
      <c r="N938" t="s">
        <v>169</v>
      </c>
      <c r="O938" t="s">
        <v>23</v>
      </c>
      <c r="P938" t="s">
        <v>87</v>
      </c>
      <c r="Q938" t="s">
        <v>39</v>
      </c>
      <c r="R938" t="s">
        <v>86</v>
      </c>
      <c r="S938" s="33">
        <v>0.2</v>
      </c>
      <c r="T938" s="13">
        <v>2.496</v>
      </c>
      <c r="U938" s="13">
        <v>0.90480000000000005</v>
      </c>
      <c r="V938" s="21">
        <f>Table10[[#This Row],[Profit]]/Table10[[#This Row],[Sales]]</f>
        <v>0.36250000000000004</v>
      </c>
    </row>
    <row r="939" spans="1:22" x14ac:dyDescent="0.2">
      <c r="A939">
        <v>938</v>
      </c>
      <c r="B939" t="s">
        <v>2936</v>
      </c>
      <c r="C939" s="1">
        <v>42553</v>
      </c>
      <c r="D939" s="22">
        <f>MONTH(Table10[[#This Row],[Order Date]])</f>
        <v>7</v>
      </c>
      <c r="E939" t="s">
        <v>2937</v>
      </c>
      <c r="F939" t="s">
        <v>2938</v>
      </c>
      <c r="G939" s="23" t="s">
        <v>28</v>
      </c>
      <c r="H939" s="23" t="s">
        <v>32</v>
      </c>
      <c r="I939" t="s">
        <v>2430</v>
      </c>
      <c r="J939" t="s">
        <v>36</v>
      </c>
      <c r="K939" s="22">
        <v>1</v>
      </c>
      <c r="L939" s="1">
        <v>42558</v>
      </c>
      <c r="M939" s="22">
        <f>Table10[[#This Row],[Ship Date]]-Table10[[#This Row],[Order Date]]</f>
        <v>5</v>
      </c>
      <c r="N939" t="s">
        <v>20</v>
      </c>
      <c r="O939" t="s">
        <v>23</v>
      </c>
      <c r="P939" t="s">
        <v>38</v>
      </c>
      <c r="Q939" t="s">
        <v>39</v>
      </c>
      <c r="R939" t="s">
        <v>37</v>
      </c>
      <c r="S939" s="33">
        <v>0.2</v>
      </c>
      <c r="T939" s="13">
        <v>195.184</v>
      </c>
      <c r="U939" s="13">
        <v>19.5184</v>
      </c>
      <c r="V939" s="21">
        <f>Table10[[#This Row],[Profit]]/Table10[[#This Row],[Sales]]</f>
        <v>0.1</v>
      </c>
    </row>
    <row r="940" spans="1:22" x14ac:dyDescent="0.2">
      <c r="A940">
        <v>939</v>
      </c>
      <c r="B940" t="s">
        <v>9183</v>
      </c>
      <c r="C940" s="1">
        <v>42553</v>
      </c>
      <c r="D940" s="22">
        <f>MONTH(Table10[[#This Row],[Order Date]])</f>
        <v>7</v>
      </c>
      <c r="E940" t="s">
        <v>9184</v>
      </c>
      <c r="F940" t="s">
        <v>9185</v>
      </c>
      <c r="G940" s="23" t="s">
        <v>41</v>
      </c>
      <c r="H940" s="23" t="s">
        <v>61</v>
      </c>
      <c r="I940" t="s">
        <v>2542</v>
      </c>
      <c r="J940" t="s">
        <v>22</v>
      </c>
      <c r="K940" s="22">
        <v>2</v>
      </c>
      <c r="L940" s="1">
        <v>42559</v>
      </c>
      <c r="M940" s="22">
        <f>Table10[[#This Row],[Ship Date]]-Table10[[#This Row],[Order Date]]</f>
        <v>6</v>
      </c>
      <c r="N940" t="s">
        <v>45</v>
      </c>
      <c r="O940" t="s">
        <v>23</v>
      </c>
      <c r="P940" t="s">
        <v>285</v>
      </c>
      <c r="Q940" t="s">
        <v>26</v>
      </c>
      <c r="R940" t="s">
        <v>997</v>
      </c>
      <c r="S940" s="33">
        <v>0</v>
      </c>
      <c r="T940" s="13">
        <v>7.7</v>
      </c>
      <c r="U940" s="13">
        <v>3.157</v>
      </c>
      <c r="V940" s="21">
        <f>Table10[[#This Row],[Profit]]/Table10[[#This Row],[Sales]]</f>
        <v>0.41</v>
      </c>
    </row>
    <row r="941" spans="1:22" x14ac:dyDescent="0.2">
      <c r="A941">
        <v>940</v>
      </c>
      <c r="B941" t="s">
        <v>9448</v>
      </c>
      <c r="C941" s="1">
        <v>42553</v>
      </c>
      <c r="D941" s="22">
        <f>MONTH(Table10[[#This Row],[Order Date]])</f>
        <v>7</v>
      </c>
      <c r="E941" t="s">
        <v>2272</v>
      </c>
      <c r="F941" t="s">
        <v>2273</v>
      </c>
      <c r="G941" s="23" t="s">
        <v>28</v>
      </c>
      <c r="H941" s="23" t="s">
        <v>32</v>
      </c>
      <c r="I941" t="s">
        <v>789</v>
      </c>
      <c r="J941" t="s">
        <v>36</v>
      </c>
      <c r="K941" s="22">
        <v>5</v>
      </c>
      <c r="L941" s="1">
        <v>42554</v>
      </c>
      <c r="M941" s="22">
        <f>Table10[[#This Row],[Ship Date]]-Table10[[#This Row],[Order Date]]</f>
        <v>1</v>
      </c>
      <c r="N941" t="s">
        <v>169</v>
      </c>
      <c r="O941" t="s">
        <v>23</v>
      </c>
      <c r="P941" t="s">
        <v>94</v>
      </c>
      <c r="Q941" t="s">
        <v>95</v>
      </c>
      <c r="R941" t="s">
        <v>1488</v>
      </c>
      <c r="S941" s="33">
        <v>0.3</v>
      </c>
      <c r="T941" s="13">
        <v>528.42999999999995</v>
      </c>
      <c r="U941" s="13">
        <v>0</v>
      </c>
      <c r="V941" s="21">
        <f>Table10[[#This Row],[Profit]]/Table10[[#This Row],[Sales]]</f>
        <v>0</v>
      </c>
    </row>
    <row r="942" spans="1:22" x14ac:dyDescent="0.2">
      <c r="A942">
        <v>941</v>
      </c>
      <c r="B942" t="s">
        <v>9448</v>
      </c>
      <c r="C942" s="1">
        <v>42553</v>
      </c>
      <c r="D942" s="22">
        <f>MONTH(Table10[[#This Row],[Order Date]])</f>
        <v>7</v>
      </c>
      <c r="E942" t="s">
        <v>5357</v>
      </c>
      <c r="F942" t="s">
        <v>5358</v>
      </c>
      <c r="G942" s="23" t="s">
        <v>41</v>
      </c>
      <c r="H942" s="23" t="s">
        <v>82</v>
      </c>
      <c r="I942" t="s">
        <v>789</v>
      </c>
      <c r="J942" t="s">
        <v>36</v>
      </c>
      <c r="K942" s="22">
        <v>8</v>
      </c>
      <c r="L942" s="1">
        <v>42554</v>
      </c>
      <c r="M942" s="22">
        <f>Table10[[#This Row],[Ship Date]]-Table10[[#This Row],[Order Date]]</f>
        <v>1</v>
      </c>
      <c r="N942" t="s">
        <v>169</v>
      </c>
      <c r="O942" t="s">
        <v>23</v>
      </c>
      <c r="P942" t="s">
        <v>94</v>
      </c>
      <c r="Q942" t="s">
        <v>95</v>
      </c>
      <c r="R942" t="s">
        <v>1488</v>
      </c>
      <c r="S942" s="33">
        <v>0.2</v>
      </c>
      <c r="T942" s="13">
        <v>41.472000000000001</v>
      </c>
      <c r="U942" s="13">
        <v>14.5152</v>
      </c>
      <c r="V942" s="21">
        <f>Table10[[#This Row],[Profit]]/Table10[[#This Row],[Sales]]</f>
        <v>0.35</v>
      </c>
    </row>
    <row r="943" spans="1:22" x14ac:dyDescent="0.2">
      <c r="A943">
        <v>942</v>
      </c>
      <c r="B943" t="s">
        <v>6036</v>
      </c>
      <c r="C943" s="1">
        <v>42554</v>
      </c>
      <c r="D943" s="22">
        <f>MONTH(Table10[[#This Row],[Order Date]])</f>
        <v>7</v>
      </c>
      <c r="E943" t="s">
        <v>6037</v>
      </c>
      <c r="F943" t="s">
        <v>6038</v>
      </c>
      <c r="G943" s="23" t="s">
        <v>41</v>
      </c>
      <c r="H943" s="23" t="s">
        <v>82</v>
      </c>
      <c r="I943" t="s">
        <v>1151</v>
      </c>
      <c r="J943" t="s">
        <v>22</v>
      </c>
      <c r="K943" s="22">
        <v>2</v>
      </c>
      <c r="L943" s="1">
        <v>42557</v>
      </c>
      <c r="M943" s="22">
        <f>Table10[[#This Row],[Ship Date]]-Table10[[#This Row],[Order Date]]</f>
        <v>3</v>
      </c>
      <c r="N943" t="s">
        <v>169</v>
      </c>
      <c r="O943" t="s">
        <v>23</v>
      </c>
      <c r="P943" t="s">
        <v>38</v>
      </c>
      <c r="Q943" t="s">
        <v>39</v>
      </c>
      <c r="R943" t="s">
        <v>37</v>
      </c>
      <c r="S943" s="33">
        <v>0</v>
      </c>
      <c r="T943" s="13">
        <v>12.96</v>
      </c>
      <c r="U943" s="13">
        <v>6.2207999999999997</v>
      </c>
      <c r="V943" s="21">
        <f>Table10[[#This Row],[Profit]]/Table10[[#This Row],[Sales]]</f>
        <v>0.47999999999999993</v>
      </c>
    </row>
    <row r="944" spans="1:22" x14ac:dyDescent="0.2">
      <c r="A944">
        <v>943</v>
      </c>
      <c r="B944" t="s">
        <v>6036</v>
      </c>
      <c r="C944" s="1">
        <v>42554</v>
      </c>
      <c r="D944" s="22">
        <f>MONTH(Table10[[#This Row],[Order Date]])</f>
        <v>7</v>
      </c>
      <c r="E944" t="s">
        <v>3791</v>
      </c>
      <c r="F944" t="s">
        <v>3792</v>
      </c>
      <c r="G944" s="23" t="s">
        <v>41</v>
      </c>
      <c r="H944" s="23" t="s">
        <v>240</v>
      </c>
      <c r="I944" t="s">
        <v>1151</v>
      </c>
      <c r="J944" t="s">
        <v>22</v>
      </c>
      <c r="K944" s="22">
        <v>2</v>
      </c>
      <c r="L944" s="1">
        <v>42557</v>
      </c>
      <c r="M944" s="22">
        <f>Table10[[#This Row],[Ship Date]]-Table10[[#This Row],[Order Date]]</f>
        <v>3</v>
      </c>
      <c r="N944" t="s">
        <v>169</v>
      </c>
      <c r="O944" t="s">
        <v>23</v>
      </c>
      <c r="P944" t="s">
        <v>38</v>
      </c>
      <c r="Q944" t="s">
        <v>39</v>
      </c>
      <c r="R944" t="s">
        <v>37</v>
      </c>
      <c r="S944" s="33">
        <v>0</v>
      </c>
      <c r="T944" s="13">
        <v>3.96</v>
      </c>
      <c r="U944" s="13">
        <v>7.9200000000000007E-2</v>
      </c>
      <c r="V944" s="21">
        <f>Table10[[#This Row],[Profit]]/Table10[[#This Row],[Sales]]</f>
        <v>0.02</v>
      </c>
    </row>
    <row r="945" spans="1:22" x14ac:dyDescent="0.2">
      <c r="A945">
        <v>944</v>
      </c>
      <c r="B945" t="s">
        <v>9024</v>
      </c>
      <c r="C945" s="1">
        <v>42554</v>
      </c>
      <c r="D945" s="22">
        <f>MONTH(Table10[[#This Row],[Order Date]])</f>
        <v>7</v>
      </c>
      <c r="E945" t="s">
        <v>7317</v>
      </c>
      <c r="F945" t="s">
        <v>7318</v>
      </c>
      <c r="G945" s="23" t="s">
        <v>41</v>
      </c>
      <c r="H945" s="23" t="s">
        <v>71</v>
      </c>
      <c r="I945" t="s">
        <v>1201</v>
      </c>
      <c r="J945" t="s">
        <v>36</v>
      </c>
      <c r="K945" s="22">
        <v>7</v>
      </c>
      <c r="L945" s="1">
        <v>42558</v>
      </c>
      <c r="M945" s="22">
        <f>Table10[[#This Row],[Ship Date]]-Table10[[#This Row],[Order Date]]</f>
        <v>4</v>
      </c>
      <c r="N945" t="s">
        <v>45</v>
      </c>
      <c r="O945" t="s">
        <v>23</v>
      </c>
      <c r="P945" t="s">
        <v>238</v>
      </c>
      <c r="Q945" t="s">
        <v>133</v>
      </c>
      <c r="R945" t="s">
        <v>237</v>
      </c>
      <c r="S945" s="33">
        <v>0</v>
      </c>
      <c r="T945" s="13">
        <v>706.86</v>
      </c>
      <c r="U945" s="13">
        <v>197.92080000000001</v>
      </c>
      <c r="V945" s="21">
        <f>Table10[[#This Row],[Profit]]/Table10[[#This Row],[Sales]]</f>
        <v>0.28000000000000003</v>
      </c>
    </row>
    <row r="946" spans="1:22" x14ac:dyDescent="0.2">
      <c r="A946">
        <v>945</v>
      </c>
      <c r="B946" t="s">
        <v>10042</v>
      </c>
      <c r="C946" s="1">
        <v>42554</v>
      </c>
      <c r="D946" s="22">
        <f>MONTH(Table10[[#This Row],[Order Date]])</f>
        <v>7</v>
      </c>
      <c r="E946" t="s">
        <v>3826</v>
      </c>
      <c r="F946" t="s">
        <v>3827</v>
      </c>
      <c r="G946" s="23" t="s">
        <v>41</v>
      </c>
      <c r="H946" s="23" t="s">
        <v>82</v>
      </c>
      <c r="I946" t="s">
        <v>3909</v>
      </c>
      <c r="J946" t="s">
        <v>36</v>
      </c>
      <c r="K946" s="22">
        <v>5</v>
      </c>
      <c r="L946" s="1">
        <v>42554</v>
      </c>
      <c r="M946" s="22">
        <f>Table10[[#This Row],[Ship Date]]-Table10[[#This Row],[Order Date]]</f>
        <v>0</v>
      </c>
      <c r="N946" t="s">
        <v>1141</v>
      </c>
      <c r="O946" t="s">
        <v>23</v>
      </c>
      <c r="P946" t="s">
        <v>132</v>
      </c>
      <c r="Q946" t="s">
        <v>133</v>
      </c>
      <c r="R946" t="s">
        <v>131</v>
      </c>
      <c r="S946" s="33">
        <v>0.2</v>
      </c>
      <c r="T946" s="13">
        <v>123.92</v>
      </c>
      <c r="U946" s="13">
        <v>38.725000000000001</v>
      </c>
      <c r="V946" s="21">
        <f>Table10[[#This Row],[Profit]]/Table10[[#This Row],[Sales]]</f>
        <v>0.3125</v>
      </c>
    </row>
    <row r="947" spans="1:22" x14ac:dyDescent="0.2">
      <c r="A947">
        <v>946</v>
      </c>
      <c r="B947" t="s">
        <v>6771</v>
      </c>
      <c r="C947" s="1">
        <v>42555</v>
      </c>
      <c r="D947" s="22">
        <f>MONTH(Table10[[#This Row],[Order Date]])</f>
        <v>7</v>
      </c>
      <c r="E947" t="s">
        <v>1824</v>
      </c>
      <c r="F947" t="s">
        <v>1825</v>
      </c>
      <c r="G947" s="23" t="s">
        <v>28</v>
      </c>
      <c r="H947" s="23" t="s">
        <v>58</v>
      </c>
      <c r="I947" t="s">
        <v>6432</v>
      </c>
      <c r="J947" t="s">
        <v>22</v>
      </c>
      <c r="K947" s="22">
        <v>5</v>
      </c>
      <c r="L947" s="1">
        <v>42557</v>
      </c>
      <c r="M947" s="22">
        <f>Table10[[#This Row],[Ship Date]]-Table10[[#This Row],[Order Date]]</f>
        <v>2</v>
      </c>
      <c r="N947" t="s">
        <v>169</v>
      </c>
      <c r="O947" t="s">
        <v>23</v>
      </c>
      <c r="P947" t="s">
        <v>38</v>
      </c>
      <c r="Q947" t="s">
        <v>39</v>
      </c>
      <c r="R947" t="s">
        <v>114</v>
      </c>
      <c r="S947" s="33">
        <v>0</v>
      </c>
      <c r="T947" s="13">
        <v>25.4</v>
      </c>
      <c r="U947" s="13">
        <v>8.6359999999999992</v>
      </c>
      <c r="V947" s="21">
        <f>Table10[[#This Row],[Profit]]/Table10[[#This Row],[Sales]]</f>
        <v>0.33999999999999997</v>
      </c>
    </row>
    <row r="948" spans="1:22" x14ac:dyDescent="0.2">
      <c r="A948">
        <v>947</v>
      </c>
      <c r="B948" t="s">
        <v>6771</v>
      </c>
      <c r="C948" s="1">
        <v>42555</v>
      </c>
      <c r="D948" s="22">
        <f>MONTH(Table10[[#This Row],[Order Date]])</f>
        <v>7</v>
      </c>
      <c r="E948" t="s">
        <v>6772</v>
      </c>
      <c r="F948" t="s">
        <v>6773</v>
      </c>
      <c r="G948" s="23" t="s">
        <v>41</v>
      </c>
      <c r="H948" s="23" t="s">
        <v>155</v>
      </c>
      <c r="I948" t="s">
        <v>6432</v>
      </c>
      <c r="J948" t="s">
        <v>22</v>
      </c>
      <c r="K948" s="22">
        <v>2</v>
      </c>
      <c r="L948" s="1">
        <v>42557</v>
      </c>
      <c r="M948" s="22">
        <f>Table10[[#This Row],[Ship Date]]-Table10[[#This Row],[Order Date]]</f>
        <v>2</v>
      </c>
      <c r="N948" t="s">
        <v>169</v>
      </c>
      <c r="O948" t="s">
        <v>23</v>
      </c>
      <c r="P948" t="s">
        <v>38</v>
      </c>
      <c r="Q948" t="s">
        <v>39</v>
      </c>
      <c r="R948" t="s">
        <v>114</v>
      </c>
      <c r="S948" s="33">
        <v>0</v>
      </c>
      <c r="T948" s="13">
        <v>43.96</v>
      </c>
      <c r="U948" s="13">
        <v>20.661200000000001</v>
      </c>
      <c r="V948" s="21">
        <f>Table10[[#This Row],[Profit]]/Table10[[#This Row],[Sales]]</f>
        <v>0.47000000000000003</v>
      </c>
    </row>
    <row r="949" spans="1:22" x14ac:dyDescent="0.2">
      <c r="A949">
        <v>948</v>
      </c>
      <c r="B949" t="s">
        <v>6771</v>
      </c>
      <c r="C949" s="1">
        <v>42555</v>
      </c>
      <c r="D949" s="22">
        <f>MONTH(Table10[[#This Row],[Order Date]])</f>
        <v>7</v>
      </c>
      <c r="E949" t="s">
        <v>2722</v>
      </c>
      <c r="F949" t="s">
        <v>2723</v>
      </c>
      <c r="G949" s="23" t="s">
        <v>28</v>
      </c>
      <c r="H949" s="23" t="s">
        <v>29</v>
      </c>
      <c r="I949" t="s">
        <v>6432</v>
      </c>
      <c r="J949" t="s">
        <v>22</v>
      </c>
      <c r="K949" s="22">
        <v>5</v>
      </c>
      <c r="L949" s="1">
        <v>42557</v>
      </c>
      <c r="M949" s="22">
        <f>Table10[[#This Row],[Ship Date]]-Table10[[#This Row],[Order Date]]</f>
        <v>2</v>
      </c>
      <c r="N949" t="s">
        <v>169</v>
      </c>
      <c r="O949" t="s">
        <v>23</v>
      </c>
      <c r="P949" t="s">
        <v>38</v>
      </c>
      <c r="Q949" t="s">
        <v>39</v>
      </c>
      <c r="R949" t="s">
        <v>114</v>
      </c>
      <c r="S949" s="33">
        <v>0.15</v>
      </c>
      <c r="T949" s="13">
        <v>1279.165</v>
      </c>
      <c r="U949" s="13">
        <v>225.73500000000001</v>
      </c>
      <c r="V949" s="21">
        <f>Table10[[#This Row],[Profit]]/Table10[[#This Row],[Sales]]</f>
        <v>0.17647058823529413</v>
      </c>
    </row>
    <row r="950" spans="1:22" x14ac:dyDescent="0.2">
      <c r="A950">
        <v>949</v>
      </c>
      <c r="B950" t="s">
        <v>6771</v>
      </c>
      <c r="C950" s="1">
        <v>42555</v>
      </c>
      <c r="D950" s="22">
        <f>MONTH(Table10[[#This Row],[Order Date]])</f>
        <v>7</v>
      </c>
      <c r="E950" t="s">
        <v>2404</v>
      </c>
      <c r="F950" t="s">
        <v>2405</v>
      </c>
      <c r="G950" s="23" t="s">
        <v>41</v>
      </c>
      <c r="H950" s="23" t="s">
        <v>53</v>
      </c>
      <c r="I950" t="s">
        <v>6432</v>
      </c>
      <c r="J950" t="s">
        <v>22</v>
      </c>
      <c r="K950" s="22">
        <v>4</v>
      </c>
      <c r="L950" s="1">
        <v>42557</v>
      </c>
      <c r="M950" s="22">
        <f>Table10[[#This Row],[Ship Date]]-Table10[[#This Row],[Order Date]]</f>
        <v>2</v>
      </c>
      <c r="N950" t="s">
        <v>169</v>
      </c>
      <c r="O950" t="s">
        <v>23</v>
      </c>
      <c r="P950" t="s">
        <v>38</v>
      </c>
      <c r="Q950" t="s">
        <v>39</v>
      </c>
      <c r="R950" t="s">
        <v>114</v>
      </c>
      <c r="S950" s="33">
        <v>0</v>
      </c>
      <c r="T950" s="13">
        <v>27.92</v>
      </c>
      <c r="U950" s="13">
        <v>0.55840000000000001</v>
      </c>
      <c r="V950" s="21">
        <f>Table10[[#This Row],[Profit]]/Table10[[#This Row],[Sales]]</f>
        <v>0.02</v>
      </c>
    </row>
    <row r="951" spans="1:22" x14ac:dyDescent="0.2">
      <c r="A951">
        <v>950</v>
      </c>
      <c r="B951" t="s">
        <v>7815</v>
      </c>
      <c r="C951" s="1">
        <v>42555</v>
      </c>
      <c r="D951" s="22">
        <f>MONTH(Table10[[#This Row],[Order Date]])</f>
        <v>7</v>
      </c>
      <c r="E951" t="s">
        <v>1824</v>
      </c>
      <c r="F951" t="s">
        <v>1825</v>
      </c>
      <c r="G951" s="23" t="s">
        <v>28</v>
      </c>
      <c r="H951" s="23" t="s">
        <v>58</v>
      </c>
      <c r="I951" t="s">
        <v>391</v>
      </c>
      <c r="J951" t="s">
        <v>92</v>
      </c>
      <c r="K951" s="22">
        <v>5</v>
      </c>
      <c r="L951" s="1">
        <v>42555</v>
      </c>
      <c r="M951" s="22">
        <f>Table10[[#This Row],[Ship Date]]-Table10[[#This Row],[Order Date]]</f>
        <v>0</v>
      </c>
      <c r="N951" t="s">
        <v>1141</v>
      </c>
      <c r="O951" t="s">
        <v>23</v>
      </c>
      <c r="P951" t="s">
        <v>87</v>
      </c>
      <c r="Q951" t="s">
        <v>39</v>
      </c>
      <c r="R951" t="s">
        <v>86</v>
      </c>
      <c r="S951" s="33">
        <v>0</v>
      </c>
      <c r="T951" s="13">
        <v>25.4</v>
      </c>
      <c r="U951" s="13">
        <v>8.6359999999999992</v>
      </c>
      <c r="V951" s="21">
        <f>Table10[[#This Row],[Profit]]/Table10[[#This Row],[Sales]]</f>
        <v>0.33999999999999997</v>
      </c>
    </row>
    <row r="952" spans="1:22" x14ac:dyDescent="0.2">
      <c r="A952">
        <v>951</v>
      </c>
      <c r="B952" t="s">
        <v>7815</v>
      </c>
      <c r="C952" s="1">
        <v>42555</v>
      </c>
      <c r="D952" s="22">
        <f>MONTH(Table10[[#This Row],[Order Date]])</f>
        <v>7</v>
      </c>
      <c r="E952" t="s">
        <v>4232</v>
      </c>
      <c r="F952" t="s">
        <v>4233</v>
      </c>
      <c r="G952" s="23" t="s">
        <v>64</v>
      </c>
      <c r="H952" s="23" t="s">
        <v>65</v>
      </c>
      <c r="I952" t="s">
        <v>391</v>
      </c>
      <c r="J952" t="s">
        <v>92</v>
      </c>
      <c r="K952" s="22">
        <v>3</v>
      </c>
      <c r="L952" s="1">
        <v>42555</v>
      </c>
      <c r="M952" s="22">
        <f>Table10[[#This Row],[Ship Date]]-Table10[[#This Row],[Order Date]]</f>
        <v>0</v>
      </c>
      <c r="N952" t="s">
        <v>1141</v>
      </c>
      <c r="O952" t="s">
        <v>23</v>
      </c>
      <c r="P952" t="s">
        <v>87</v>
      </c>
      <c r="Q952" t="s">
        <v>39</v>
      </c>
      <c r="R952" t="s">
        <v>86</v>
      </c>
      <c r="S952" s="33">
        <v>0.2</v>
      </c>
      <c r="T952" s="13">
        <v>177.48</v>
      </c>
      <c r="U952" s="13">
        <v>19.9665</v>
      </c>
      <c r="V952" s="21">
        <f>Table10[[#This Row],[Profit]]/Table10[[#This Row],[Sales]]</f>
        <v>0.1125</v>
      </c>
    </row>
    <row r="953" spans="1:22" x14ac:dyDescent="0.2">
      <c r="A953">
        <v>952</v>
      </c>
      <c r="B953" t="s">
        <v>7815</v>
      </c>
      <c r="C953" s="1">
        <v>42555</v>
      </c>
      <c r="D953" s="22">
        <f>MONTH(Table10[[#This Row],[Order Date]])</f>
        <v>7</v>
      </c>
      <c r="E953" t="s">
        <v>3434</v>
      </c>
      <c r="F953" t="s">
        <v>3435</v>
      </c>
      <c r="G953" s="23" t="s">
        <v>64</v>
      </c>
      <c r="H953" s="23" t="s">
        <v>65</v>
      </c>
      <c r="I953" t="s">
        <v>391</v>
      </c>
      <c r="J953" t="s">
        <v>92</v>
      </c>
      <c r="K953" s="22">
        <v>3</v>
      </c>
      <c r="L953" s="1">
        <v>42555</v>
      </c>
      <c r="M953" s="22">
        <f>Table10[[#This Row],[Ship Date]]-Table10[[#This Row],[Order Date]]</f>
        <v>0</v>
      </c>
      <c r="N953" t="s">
        <v>1141</v>
      </c>
      <c r="O953" t="s">
        <v>23</v>
      </c>
      <c r="P953" t="s">
        <v>87</v>
      </c>
      <c r="Q953" t="s">
        <v>39</v>
      </c>
      <c r="R953" t="s">
        <v>86</v>
      </c>
      <c r="S953" s="33">
        <v>0.2</v>
      </c>
      <c r="T953" s="13">
        <v>71.975999999999999</v>
      </c>
      <c r="U953" s="13">
        <v>8.9969999999999999</v>
      </c>
      <c r="V953" s="21">
        <f>Table10[[#This Row],[Profit]]/Table10[[#This Row],[Sales]]</f>
        <v>0.125</v>
      </c>
    </row>
    <row r="954" spans="1:22" x14ac:dyDescent="0.2">
      <c r="A954">
        <v>953</v>
      </c>
      <c r="B954" t="s">
        <v>2048</v>
      </c>
      <c r="C954" s="1">
        <v>42558</v>
      </c>
      <c r="D954" s="22">
        <f>MONTH(Table10[[#This Row],[Order Date]])</f>
        <v>7</v>
      </c>
      <c r="E954" t="s">
        <v>2051</v>
      </c>
      <c r="F954" t="s">
        <v>2052</v>
      </c>
      <c r="G954" s="23" t="s">
        <v>41</v>
      </c>
      <c r="H954" s="23" t="s">
        <v>513</v>
      </c>
      <c r="I954" t="s">
        <v>2049</v>
      </c>
      <c r="J954" t="s">
        <v>36</v>
      </c>
      <c r="K954" s="22">
        <v>7</v>
      </c>
      <c r="L954" s="1">
        <v>42563</v>
      </c>
      <c r="M954" s="22">
        <f>Table10[[#This Row],[Ship Date]]-Table10[[#This Row],[Order Date]]</f>
        <v>5</v>
      </c>
      <c r="N954" t="s">
        <v>45</v>
      </c>
      <c r="O954" t="s">
        <v>23</v>
      </c>
      <c r="P954" t="s">
        <v>48</v>
      </c>
      <c r="Q954" t="s">
        <v>26</v>
      </c>
      <c r="R954" t="s">
        <v>2050</v>
      </c>
      <c r="S954" s="33">
        <v>0.2</v>
      </c>
      <c r="T954" s="13">
        <v>45.584000000000003</v>
      </c>
      <c r="U954" s="13">
        <v>5.1281999999999996</v>
      </c>
      <c r="V954" s="21">
        <f>Table10[[#This Row],[Profit]]/Table10[[#This Row],[Sales]]</f>
        <v>0.11249999999999999</v>
      </c>
    </row>
    <row r="955" spans="1:22" x14ac:dyDescent="0.2">
      <c r="A955">
        <v>954</v>
      </c>
      <c r="B955" t="s">
        <v>4005</v>
      </c>
      <c r="C955" s="1">
        <v>42558</v>
      </c>
      <c r="D955" s="22">
        <f>MONTH(Table10[[#This Row],[Order Date]])</f>
        <v>7</v>
      </c>
      <c r="E955" t="s">
        <v>1659</v>
      </c>
      <c r="F955" t="s">
        <v>1660</v>
      </c>
      <c r="G955" s="23" t="s">
        <v>28</v>
      </c>
      <c r="H955" s="23" t="s">
        <v>58</v>
      </c>
      <c r="I955" t="s">
        <v>3946</v>
      </c>
      <c r="J955" t="s">
        <v>22</v>
      </c>
      <c r="K955" s="22">
        <v>5</v>
      </c>
      <c r="L955" s="1">
        <v>42562</v>
      </c>
      <c r="M955" s="22">
        <f>Table10[[#This Row],[Ship Date]]-Table10[[#This Row],[Order Date]]</f>
        <v>4</v>
      </c>
      <c r="N955" t="s">
        <v>45</v>
      </c>
      <c r="O955" t="s">
        <v>23</v>
      </c>
      <c r="P955" t="s">
        <v>38</v>
      </c>
      <c r="Q955" t="s">
        <v>39</v>
      </c>
      <c r="R955" t="s">
        <v>557</v>
      </c>
      <c r="S955" s="33">
        <v>0</v>
      </c>
      <c r="T955" s="13">
        <v>215.65</v>
      </c>
      <c r="U955" s="13">
        <v>73.320999999999998</v>
      </c>
      <c r="V955" s="21">
        <f>Table10[[#This Row],[Profit]]/Table10[[#This Row],[Sales]]</f>
        <v>0.33999999999999997</v>
      </c>
    </row>
    <row r="956" spans="1:22" x14ac:dyDescent="0.2">
      <c r="A956">
        <v>955</v>
      </c>
      <c r="B956" t="s">
        <v>4800</v>
      </c>
      <c r="C956" s="1">
        <v>42558</v>
      </c>
      <c r="D956" s="22">
        <f>MONTH(Table10[[#This Row],[Order Date]])</f>
        <v>7</v>
      </c>
      <c r="E956" t="s">
        <v>4090</v>
      </c>
      <c r="F956" t="s">
        <v>4091</v>
      </c>
      <c r="G956" s="23" t="s">
        <v>28</v>
      </c>
      <c r="H956" s="23" t="s">
        <v>58</v>
      </c>
      <c r="I956" t="s">
        <v>2120</v>
      </c>
      <c r="J956" t="s">
        <v>36</v>
      </c>
      <c r="K956" s="22">
        <v>8</v>
      </c>
      <c r="L956" s="1">
        <v>42562</v>
      </c>
      <c r="M956" s="22">
        <f>Table10[[#This Row],[Ship Date]]-Table10[[#This Row],[Order Date]]</f>
        <v>4</v>
      </c>
      <c r="N956" t="s">
        <v>20</v>
      </c>
      <c r="O956" t="s">
        <v>23</v>
      </c>
      <c r="P956" t="s">
        <v>189</v>
      </c>
      <c r="Q956" t="s">
        <v>95</v>
      </c>
      <c r="R956" t="s">
        <v>404</v>
      </c>
      <c r="S956" s="33">
        <v>0.6</v>
      </c>
      <c r="T956" s="13">
        <v>60.287999999999997</v>
      </c>
      <c r="U956" s="13">
        <v>-27.1296</v>
      </c>
      <c r="V956" s="21">
        <f>Table10[[#This Row],[Profit]]/Table10[[#This Row],[Sales]]</f>
        <v>-0.45</v>
      </c>
    </row>
    <row r="957" spans="1:22" x14ac:dyDescent="0.2">
      <c r="A957">
        <v>956</v>
      </c>
      <c r="B957" t="s">
        <v>4800</v>
      </c>
      <c r="C957" s="1">
        <v>42558</v>
      </c>
      <c r="D957" s="22">
        <f>MONTH(Table10[[#This Row],[Order Date]])</f>
        <v>7</v>
      </c>
      <c r="E957" t="s">
        <v>4801</v>
      </c>
      <c r="F957" t="s">
        <v>4802</v>
      </c>
      <c r="G957" s="23" t="s">
        <v>41</v>
      </c>
      <c r="H957" s="23" t="s">
        <v>240</v>
      </c>
      <c r="I957" t="s">
        <v>2120</v>
      </c>
      <c r="J957" t="s">
        <v>36</v>
      </c>
      <c r="K957" s="22">
        <v>1</v>
      </c>
      <c r="L957" s="1">
        <v>42562</v>
      </c>
      <c r="M957" s="22">
        <f>Table10[[#This Row],[Ship Date]]-Table10[[#This Row],[Order Date]]</f>
        <v>4</v>
      </c>
      <c r="N957" t="s">
        <v>20</v>
      </c>
      <c r="O957" t="s">
        <v>23</v>
      </c>
      <c r="P957" t="s">
        <v>189</v>
      </c>
      <c r="Q957" t="s">
        <v>95</v>
      </c>
      <c r="R957" t="s">
        <v>404</v>
      </c>
      <c r="S957" s="33">
        <v>0.2</v>
      </c>
      <c r="T957" s="13">
        <v>2.6320000000000001</v>
      </c>
      <c r="U957" s="13">
        <v>0.82250000000000001</v>
      </c>
      <c r="V957" s="21">
        <f>Table10[[#This Row],[Profit]]/Table10[[#This Row],[Sales]]</f>
        <v>0.3125</v>
      </c>
    </row>
    <row r="958" spans="1:22" x14ac:dyDescent="0.2">
      <c r="A958">
        <v>957</v>
      </c>
      <c r="B958" t="s">
        <v>4800</v>
      </c>
      <c r="C958" s="1">
        <v>42558</v>
      </c>
      <c r="D958" s="22">
        <f>MONTH(Table10[[#This Row],[Order Date]])</f>
        <v>7</v>
      </c>
      <c r="E958" t="s">
        <v>3979</v>
      </c>
      <c r="F958" t="s">
        <v>3980</v>
      </c>
      <c r="G958" s="23" t="s">
        <v>41</v>
      </c>
      <c r="H958" s="23" t="s">
        <v>82</v>
      </c>
      <c r="I958" t="s">
        <v>2120</v>
      </c>
      <c r="J958" t="s">
        <v>36</v>
      </c>
      <c r="K958" s="22">
        <v>9</v>
      </c>
      <c r="L958" s="1">
        <v>42562</v>
      </c>
      <c r="M958" s="22">
        <f>Table10[[#This Row],[Ship Date]]-Table10[[#This Row],[Order Date]]</f>
        <v>4</v>
      </c>
      <c r="N958" t="s">
        <v>20</v>
      </c>
      <c r="O958" t="s">
        <v>23</v>
      </c>
      <c r="P958" t="s">
        <v>189</v>
      </c>
      <c r="Q958" t="s">
        <v>95</v>
      </c>
      <c r="R958" t="s">
        <v>404</v>
      </c>
      <c r="S958" s="33">
        <v>0.2</v>
      </c>
      <c r="T958" s="13">
        <v>23.687999999999999</v>
      </c>
      <c r="U958" s="13">
        <v>7.6985999999999999</v>
      </c>
      <c r="V958" s="21">
        <f>Table10[[#This Row],[Profit]]/Table10[[#This Row],[Sales]]</f>
        <v>0.32500000000000001</v>
      </c>
    </row>
    <row r="959" spans="1:22" x14ac:dyDescent="0.2">
      <c r="A959">
        <v>958</v>
      </c>
      <c r="B959" t="s">
        <v>4800</v>
      </c>
      <c r="C959" s="1">
        <v>42558</v>
      </c>
      <c r="D959" s="22">
        <f>MONTH(Table10[[#This Row],[Order Date]])</f>
        <v>7</v>
      </c>
      <c r="E959" t="s">
        <v>1132</v>
      </c>
      <c r="F959" t="s">
        <v>1133</v>
      </c>
      <c r="G959" s="23" t="s">
        <v>28</v>
      </c>
      <c r="H959" s="23" t="s">
        <v>32</v>
      </c>
      <c r="I959" t="s">
        <v>2120</v>
      </c>
      <c r="J959" t="s">
        <v>36</v>
      </c>
      <c r="K959" s="22">
        <v>2</v>
      </c>
      <c r="L959" s="1">
        <v>42562</v>
      </c>
      <c r="M959" s="22">
        <f>Table10[[#This Row],[Ship Date]]-Table10[[#This Row],[Order Date]]</f>
        <v>4</v>
      </c>
      <c r="N959" t="s">
        <v>20</v>
      </c>
      <c r="O959" t="s">
        <v>23</v>
      </c>
      <c r="P959" t="s">
        <v>189</v>
      </c>
      <c r="Q959" t="s">
        <v>95</v>
      </c>
      <c r="R959" t="s">
        <v>404</v>
      </c>
      <c r="S959" s="33">
        <v>0.3</v>
      </c>
      <c r="T959" s="13">
        <v>253.37200000000001</v>
      </c>
      <c r="U959" s="13">
        <v>-14.478400000000001</v>
      </c>
      <c r="V959" s="21">
        <f>Table10[[#This Row],[Profit]]/Table10[[#This Row],[Sales]]</f>
        <v>-5.7142857142857141E-2</v>
      </c>
    </row>
    <row r="960" spans="1:22" x14ac:dyDescent="0.2">
      <c r="A960">
        <v>959</v>
      </c>
      <c r="B960" t="s">
        <v>6393</v>
      </c>
      <c r="C960" s="1">
        <v>42558</v>
      </c>
      <c r="D960" s="22">
        <f>MONTH(Table10[[#This Row],[Order Date]])</f>
        <v>7</v>
      </c>
      <c r="E960" t="s">
        <v>233</v>
      </c>
      <c r="F960" t="s">
        <v>234</v>
      </c>
      <c r="G960" s="23" t="s">
        <v>28</v>
      </c>
      <c r="H960" s="23" t="s">
        <v>32</v>
      </c>
      <c r="I960" t="s">
        <v>5384</v>
      </c>
      <c r="J960" t="s">
        <v>22</v>
      </c>
      <c r="K960" s="22">
        <v>4</v>
      </c>
      <c r="L960" s="1">
        <v>42560</v>
      </c>
      <c r="M960" s="22">
        <f>Table10[[#This Row],[Ship Date]]-Table10[[#This Row],[Order Date]]</f>
        <v>2</v>
      </c>
      <c r="N960" t="s">
        <v>20</v>
      </c>
      <c r="O960" t="s">
        <v>23</v>
      </c>
      <c r="P960" t="s">
        <v>38</v>
      </c>
      <c r="Q960" t="s">
        <v>39</v>
      </c>
      <c r="R960" t="s">
        <v>37</v>
      </c>
      <c r="S960" s="33">
        <v>0.2</v>
      </c>
      <c r="T960" s="13">
        <v>287.96800000000002</v>
      </c>
      <c r="U960" s="13">
        <v>-3.5996000000000001</v>
      </c>
      <c r="V960" s="21">
        <f>Table10[[#This Row],[Profit]]/Table10[[#This Row],[Sales]]</f>
        <v>-1.2499999999999999E-2</v>
      </c>
    </row>
    <row r="961" spans="1:22" x14ac:dyDescent="0.2">
      <c r="A961">
        <v>960</v>
      </c>
      <c r="B961" t="s">
        <v>6393</v>
      </c>
      <c r="C961" s="1">
        <v>42558</v>
      </c>
      <c r="D961" s="22">
        <f>MONTH(Table10[[#This Row],[Order Date]])</f>
        <v>7</v>
      </c>
      <c r="E961" t="s">
        <v>4678</v>
      </c>
      <c r="F961" t="s">
        <v>4679</v>
      </c>
      <c r="G961" s="23" t="s">
        <v>64</v>
      </c>
      <c r="H961" s="23" t="s">
        <v>1075</v>
      </c>
      <c r="I961" t="s">
        <v>5384</v>
      </c>
      <c r="J961" t="s">
        <v>22</v>
      </c>
      <c r="K961" s="22">
        <v>5</v>
      </c>
      <c r="L961" s="1">
        <v>42560</v>
      </c>
      <c r="M961" s="22">
        <f>Table10[[#This Row],[Ship Date]]-Table10[[#This Row],[Order Date]]</f>
        <v>2</v>
      </c>
      <c r="N961" t="s">
        <v>20</v>
      </c>
      <c r="O961" t="s">
        <v>23</v>
      </c>
      <c r="P961" t="s">
        <v>38</v>
      </c>
      <c r="Q961" t="s">
        <v>39</v>
      </c>
      <c r="R961" t="s">
        <v>37</v>
      </c>
      <c r="S961" s="33">
        <v>0.2</v>
      </c>
      <c r="T961" s="13">
        <v>2799.96</v>
      </c>
      <c r="U961" s="13">
        <v>944.98649999999998</v>
      </c>
      <c r="V961" s="21">
        <f>Table10[[#This Row],[Profit]]/Table10[[#This Row],[Sales]]</f>
        <v>0.33749999999999997</v>
      </c>
    </row>
    <row r="962" spans="1:22" x14ac:dyDescent="0.2">
      <c r="A962">
        <v>961</v>
      </c>
      <c r="B962" t="s">
        <v>6393</v>
      </c>
      <c r="C962" s="1">
        <v>42558</v>
      </c>
      <c r="D962" s="22">
        <f>MONTH(Table10[[#This Row],[Order Date]])</f>
        <v>7</v>
      </c>
      <c r="E962" t="s">
        <v>5349</v>
      </c>
      <c r="F962" t="s">
        <v>5350</v>
      </c>
      <c r="G962" s="23" t="s">
        <v>41</v>
      </c>
      <c r="H962" s="23" t="s">
        <v>82</v>
      </c>
      <c r="I962" t="s">
        <v>5384</v>
      </c>
      <c r="J962" t="s">
        <v>22</v>
      </c>
      <c r="K962" s="22">
        <v>1</v>
      </c>
      <c r="L962" s="1">
        <v>42560</v>
      </c>
      <c r="M962" s="22">
        <f>Table10[[#This Row],[Ship Date]]-Table10[[#This Row],[Order Date]]</f>
        <v>2</v>
      </c>
      <c r="N962" t="s">
        <v>20</v>
      </c>
      <c r="O962" t="s">
        <v>23</v>
      </c>
      <c r="P962" t="s">
        <v>38</v>
      </c>
      <c r="Q962" t="s">
        <v>39</v>
      </c>
      <c r="R962" t="s">
        <v>37</v>
      </c>
      <c r="S962" s="33">
        <v>0</v>
      </c>
      <c r="T962" s="13">
        <v>48.94</v>
      </c>
      <c r="U962" s="13">
        <v>24.47</v>
      </c>
      <c r="V962" s="21">
        <f>Table10[[#This Row],[Profit]]/Table10[[#This Row],[Sales]]</f>
        <v>0.5</v>
      </c>
    </row>
    <row r="963" spans="1:22" x14ac:dyDescent="0.2">
      <c r="A963">
        <v>962</v>
      </c>
      <c r="B963" t="s">
        <v>8167</v>
      </c>
      <c r="C963" s="1">
        <v>42558</v>
      </c>
      <c r="D963" s="22">
        <f>MONTH(Table10[[#This Row],[Order Date]])</f>
        <v>7</v>
      </c>
      <c r="E963" t="s">
        <v>6450</v>
      </c>
      <c r="F963" t="s">
        <v>6451</v>
      </c>
      <c r="G963" s="23" t="s">
        <v>41</v>
      </c>
      <c r="H963" s="23" t="s">
        <v>42</v>
      </c>
      <c r="I963" t="s">
        <v>2793</v>
      </c>
      <c r="J963" t="s">
        <v>92</v>
      </c>
      <c r="K963" s="22">
        <v>2</v>
      </c>
      <c r="L963" s="1">
        <v>42564</v>
      </c>
      <c r="M963" s="22">
        <f>Table10[[#This Row],[Ship Date]]-Table10[[#This Row],[Order Date]]</f>
        <v>6</v>
      </c>
      <c r="N963" t="s">
        <v>45</v>
      </c>
      <c r="O963" t="s">
        <v>23</v>
      </c>
      <c r="P963" t="s">
        <v>132</v>
      </c>
      <c r="Q963" t="s">
        <v>133</v>
      </c>
      <c r="R963" t="s">
        <v>131</v>
      </c>
      <c r="S963" s="33">
        <v>0.2</v>
      </c>
      <c r="T963" s="13">
        <v>10.08</v>
      </c>
      <c r="U963" s="13">
        <v>3.2759999999999998</v>
      </c>
      <c r="V963" s="21">
        <f>Table10[[#This Row],[Profit]]/Table10[[#This Row],[Sales]]</f>
        <v>0.32499999999999996</v>
      </c>
    </row>
    <row r="964" spans="1:22" x14ac:dyDescent="0.2">
      <c r="A964">
        <v>963</v>
      </c>
      <c r="B964" t="s">
        <v>8167</v>
      </c>
      <c r="C964" s="1">
        <v>42558</v>
      </c>
      <c r="D964" s="22">
        <f>MONTH(Table10[[#This Row],[Order Date]])</f>
        <v>7</v>
      </c>
      <c r="E964" t="s">
        <v>3337</v>
      </c>
      <c r="F964" t="s">
        <v>3338</v>
      </c>
      <c r="G964" s="23" t="s">
        <v>64</v>
      </c>
      <c r="H964" s="23" t="s">
        <v>65</v>
      </c>
      <c r="I964" t="s">
        <v>2793</v>
      </c>
      <c r="J964" t="s">
        <v>92</v>
      </c>
      <c r="K964" s="22">
        <v>1</v>
      </c>
      <c r="L964" s="1">
        <v>42564</v>
      </c>
      <c r="M964" s="22">
        <f>Table10[[#This Row],[Ship Date]]-Table10[[#This Row],[Order Date]]</f>
        <v>6</v>
      </c>
      <c r="N964" t="s">
        <v>45</v>
      </c>
      <c r="O964" t="s">
        <v>23</v>
      </c>
      <c r="P964" t="s">
        <v>132</v>
      </c>
      <c r="Q964" t="s">
        <v>133</v>
      </c>
      <c r="R964" t="s">
        <v>131</v>
      </c>
      <c r="S964" s="33">
        <v>0.4</v>
      </c>
      <c r="T964" s="13">
        <v>59.994</v>
      </c>
      <c r="U964" s="13">
        <v>-12.998699999999999</v>
      </c>
      <c r="V964" s="21">
        <f>Table10[[#This Row],[Profit]]/Table10[[#This Row],[Sales]]</f>
        <v>-0.21666666666666665</v>
      </c>
    </row>
    <row r="965" spans="1:22" x14ac:dyDescent="0.2">
      <c r="A965">
        <v>964</v>
      </c>
      <c r="B965" t="s">
        <v>8167</v>
      </c>
      <c r="C965" s="1">
        <v>42558</v>
      </c>
      <c r="D965" s="22">
        <f>MONTH(Table10[[#This Row],[Order Date]])</f>
        <v>7</v>
      </c>
      <c r="E965" t="s">
        <v>159</v>
      </c>
      <c r="F965" t="s">
        <v>160</v>
      </c>
      <c r="G965" s="23" t="s">
        <v>41</v>
      </c>
      <c r="H965" s="23" t="s">
        <v>68</v>
      </c>
      <c r="I965" t="s">
        <v>2793</v>
      </c>
      <c r="J965" t="s">
        <v>92</v>
      </c>
      <c r="K965" s="22">
        <v>5</v>
      </c>
      <c r="L965" s="1">
        <v>42564</v>
      </c>
      <c r="M965" s="22">
        <f>Table10[[#This Row],[Ship Date]]-Table10[[#This Row],[Order Date]]</f>
        <v>6</v>
      </c>
      <c r="N965" t="s">
        <v>45</v>
      </c>
      <c r="O965" t="s">
        <v>23</v>
      </c>
      <c r="P965" t="s">
        <v>132</v>
      </c>
      <c r="Q965" t="s">
        <v>133</v>
      </c>
      <c r="R965" t="s">
        <v>131</v>
      </c>
      <c r="S965" s="33">
        <v>0.7</v>
      </c>
      <c r="T965" s="13">
        <v>5.7149999999999999</v>
      </c>
      <c r="U965" s="13">
        <v>-4.7625000000000002</v>
      </c>
      <c r="V965" s="21">
        <f>Table10[[#This Row],[Profit]]/Table10[[#This Row],[Sales]]</f>
        <v>-0.83333333333333337</v>
      </c>
    </row>
    <row r="966" spans="1:22" x14ac:dyDescent="0.2">
      <c r="A966">
        <v>965</v>
      </c>
      <c r="B966" t="s">
        <v>8167</v>
      </c>
      <c r="C966" s="1">
        <v>42558</v>
      </c>
      <c r="D966" s="22">
        <f>MONTH(Table10[[#This Row],[Order Date]])</f>
        <v>7</v>
      </c>
      <c r="E966" t="s">
        <v>5043</v>
      </c>
      <c r="F966" t="s">
        <v>5044</v>
      </c>
      <c r="G966" s="23" t="s">
        <v>41</v>
      </c>
      <c r="H966" s="23" t="s">
        <v>68</v>
      </c>
      <c r="I966" t="s">
        <v>2793</v>
      </c>
      <c r="J966" t="s">
        <v>92</v>
      </c>
      <c r="K966" s="22">
        <v>5</v>
      </c>
      <c r="L966" s="1">
        <v>42564</v>
      </c>
      <c r="M966" s="22">
        <f>Table10[[#This Row],[Ship Date]]-Table10[[#This Row],[Order Date]]</f>
        <v>6</v>
      </c>
      <c r="N966" t="s">
        <v>45</v>
      </c>
      <c r="O966" t="s">
        <v>23</v>
      </c>
      <c r="P966" t="s">
        <v>132</v>
      </c>
      <c r="Q966" t="s">
        <v>133</v>
      </c>
      <c r="R966" t="s">
        <v>131</v>
      </c>
      <c r="S966" s="33">
        <v>0.7</v>
      </c>
      <c r="T966" s="13">
        <v>9.42</v>
      </c>
      <c r="U966" s="13">
        <v>-7.85</v>
      </c>
      <c r="V966" s="21">
        <f>Table10[[#This Row],[Profit]]/Table10[[#This Row],[Sales]]</f>
        <v>-0.83333333333333326</v>
      </c>
    </row>
    <row r="967" spans="1:22" x14ac:dyDescent="0.2">
      <c r="A967">
        <v>966</v>
      </c>
      <c r="B967" t="s">
        <v>9460</v>
      </c>
      <c r="C967" s="1">
        <v>42558</v>
      </c>
      <c r="D967" s="22">
        <f>MONTH(Table10[[#This Row],[Order Date]])</f>
        <v>7</v>
      </c>
      <c r="E967" t="s">
        <v>1679</v>
      </c>
      <c r="F967" t="s">
        <v>1680</v>
      </c>
      <c r="G967" s="23" t="s">
        <v>41</v>
      </c>
      <c r="H967" s="23" t="s">
        <v>82</v>
      </c>
      <c r="I967" t="s">
        <v>593</v>
      </c>
      <c r="J967" t="s">
        <v>22</v>
      </c>
      <c r="K967" s="22">
        <v>2</v>
      </c>
      <c r="L967" s="1">
        <v>42564</v>
      </c>
      <c r="M967" s="22">
        <f>Table10[[#This Row],[Ship Date]]-Table10[[#This Row],[Order Date]]</f>
        <v>6</v>
      </c>
      <c r="N967" t="s">
        <v>45</v>
      </c>
      <c r="O967" t="s">
        <v>23</v>
      </c>
      <c r="P967" t="s">
        <v>109</v>
      </c>
      <c r="Q967" t="s">
        <v>39</v>
      </c>
      <c r="R967" t="s">
        <v>138</v>
      </c>
      <c r="S967" s="33">
        <v>0</v>
      </c>
      <c r="T967" s="13">
        <v>12.96</v>
      </c>
      <c r="U967" s="13">
        <v>6.2207999999999997</v>
      </c>
      <c r="V967" s="21">
        <f>Table10[[#This Row],[Profit]]/Table10[[#This Row],[Sales]]</f>
        <v>0.47999999999999993</v>
      </c>
    </row>
    <row r="968" spans="1:22" x14ac:dyDescent="0.2">
      <c r="A968">
        <v>967</v>
      </c>
      <c r="B968" t="s">
        <v>9460</v>
      </c>
      <c r="C968" s="1">
        <v>42558</v>
      </c>
      <c r="D968" s="22">
        <f>MONTH(Table10[[#This Row],[Order Date]])</f>
        <v>7</v>
      </c>
      <c r="E968" t="s">
        <v>4431</v>
      </c>
      <c r="F968" t="s">
        <v>4432</v>
      </c>
      <c r="G968" s="23" t="s">
        <v>41</v>
      </c>
      <c r="H968" s="23" t="s">
        <v>61</v>
      </c>
      <c r="I968" t="s">
        <v>593</v>
      </c>
      <c r="J968" t="s">
        <v>22</v>
      </c>
      <c r="K968" s="22">
        <v>2</v>
      </c>
      <c r="L968" s="1">
        <v>42564</v>
      </c>
      <c r="M968" s="22">
        <f>Table10[[#This Row],[Ship Date]]-Table10[[#This Row],[Order Date]]</f>
        <v>6</v>
      </c>
      <c r="N968" t="s">
        <v>45</v>
      </c>
      <c r="O968" t="s">
        <v>23</v>
      </c>
      <c r="P968" t="s">
        <v>109</v>
      </c>
      <c r="Q968" t="s">
        <v>39</v>
      </c>
      <c r="R968" t="s">
        <v>138</v>
      </c>
      <c r="S968" s="33">
        <v>0</v>
      </c>
      <c r="T968" s="13">
        <v>45.98</v>
      </c>
      <c r="U968" s="13">
        <v>12.8744</v>
      </c>
      <c r="V968" s="21">
        <f>Table10[[#This Row],[Profit]]/Table10[[#This Row],[Sales]]</f>
        <v>0.28000000000000003</v>
      </c>
    </row>
    <row r="969" spans="1:22" x14ac:dyDescent="0.2">
      <c r="A969">
        <v>968</v>
      </c>
      <c r="B969" t="s">
        <v>4225</v>
      </c>
      <c r="C969" s="1">
        <v>42559</v>
      </c>
      <c r="D969" s="22">
        <f>MONTH(Table10[[#This Row],[Order Date]])</f>
        <v>7</v>
      </c>
      <c r="E969" t="s">
        <v>4227</v>
      </c>
      <c r="F969" t="s">
        <v>4228</v>
      </c>
      <c r="G969" s="23" t="s">
        <v>64</v>
      </c>
      <c r="H969" s="23" t="s">
        <v>65</v>
      </c>
      <c r="I969" t="s">
        <v>4226</v>
      </c>
      <c r="J969" t="s">
        <v>36</v>
      </c>
      <c r="K969" s="22">
        <v>9</v>
      </c>
      <c r="L969" s="1">
        <v>42561</v>
      </c>
      <c r="M969" s="22">
        <f>Table10[[#This Row],[Ship Date]]-Table10[[#This Row],[Order Date]]</f>
        <v>2</v>
      </c>
      <c r="N969" t="s">
        <v>20</v>
      </c>
      <c r="O969" t="s">
        <v>23</v>
      </c>
      <c r="P969" t="s">
        <v>94</v>
      </c>
      <c r="Q969" t="s">
        <v>95</v>
      </c>
      <c r="R969" t="s">
        <v>997</v>
      </c>
      <c r="S969" s="33">
        <v>0.2</v>
      </c>
      <c r="T969" s="13">
        <v>863.64</v>
      </c>
      <c r="U969" s="13">
        <v>107.955</v>
      </c>
      <c r="V969" s="21">
        <f>Table10[[#This Row],[Profit]]/Table10[[#This Row],[Sales]]</f>
        <v>0.125</v>
      </c>
    </row>
    <row r="970" spans="1:22" x14ac:dyDescent="0.2">
      <c r="A970">
        <v>969</v>
      </c>
      <c r="B970" t="s">
        <v>4225</v>
      </c>
      <c r="C970" s="1">
        <v>42559</v>
      </c>
      <c r="D970" s="22">
        <f>MONTH(Table10[[#This Row],[Order Date]])</f>
        <v>7</v>
      </c>
      <c r="E970" t="s">
        <v>1381</v>
      </c>
      <c r="F970" t="s">
        <v>1382</v>
      </c>
      <c r="G970" s="23" t="s">
        <v>41</v>
      </c>
      <c r="H970" s="23" t="s">
        <v>61</v>
      </c>
      <c r="I970" t="s">
        <v>4226</v>
      </c>
      <c r="J970" t="s">
        <v>36</v>
      </c>
      <c r="K970" s="22">
        <v>3</v>
      </c>
      <c r="L970" s="1">
        <v>42561</v>
      </c>
      <c r="M970" s="22">
        <f>Table10[[#This Row],[Ship Date]]-Table10[[#This Row],[Order Date]]</f>
        <v>2</v>
      </c>
      <c r="N970" t="s">
        <v>20</v>
      </c>
      <c r="O970" t="s">
        <v>23</v>
      </c>
      <c r="P970" t="s">
        <v>94</v>
      </c>
      <c r="Q970" t="s">
        <v>95</v>
      </c>
      <c r="R970" t="s">
        <v>997</v>
      </c>
      <c r="S970" s="33">
        <v>0.2</v>
      </c>
      <c r="T970" s="13">
        <v>47.616</v>
      </c>
      <c r="U970" s="13">
        <v>3.5712000000000002</v>
      </c>
      <c r="V970" s="21">
        <f>Table10[[#This Row],[Profit]]/Table10[[#This Row],[Sales]]</f>
        <v>7.4999999999999997E-2</v>
      </c>
    </row>
    <row r="971" spans="1:22" x14ac:dyDescent="0.2">
      <c r="A971">
        <v>970</v>
      </c>
      <c r="B971" t="s">
        <v>4248</v>
      </c>
      <c r="C971" s="1">
        <v>42559</v>
      </c>
      <c r="D971" s="22">
        <f>MONTH(Table10[[#This Row],[Order Date]])</f>
        <v>7</v>
      </c>
      <c r="E971" t="s">
        <v>4251</v>
      </c>
      <c r="F971" t="s">
        <v>4252</v>
      </c>
      <c r="G971" s="23" t="s">
        <v>41</v>
      </c>
      <c r="H971" s="23" t="s">
        <v>68</v>
      </c>
      <c r="I971" t="s">
        <v>4249</v>
      </c>
      <c r="J971" t="s">
        <v>22</v>
      </c>
      <c r="K971" s="22">
        <v>2</v>
      </c>
      <c r="L971" s="1">
        <v>42563</v>
      </c>
      <c r="M971" s="22">
        <f>Table10[[#This Row],[Ship Date]]-Table10[[#This Row],[Order Date]]</f>
        <v>4</v>
      </c>
      <c r="N971" t="s">
        <v>45</v>
      </c>
      <c r="O971" t="s">
        <v>23</v>
      </c>
      <c r="P971" t="s">
        <v>405</v>
      </c>
      <c r="Q971" t="s">
        <v>39</v>
      </c>
      <c r="R971" t="s">
        <v>4250</v>
      </c>
      <c r="S971" s="33">
        <v>0.7</v>
      </c>
      <c r="T971" s="13">
        <v>19.968</v>
      </c>
      <c r="U971" s="13">
        <v>-13.311999999999999</v>
      </c>
      <c r="V971" s="21">
        <f>Table10[[#This Row],[Profit]]/Table10[[#This Row],[Sales]]</f>
        <v>-0.66666666666666663</v>
      </c>
    </row>
    <row r="972" spans="1:22" x14ac:dyDescent="0.2">
      <c r="A972">
        <v>971</v>
      </c>
      <c r="B972" t="s">
        <v>4248</v>
      </c>
      <c r="C972" s="1">
        <v>42559</v>
      </c>
      <c r="D972" s="22">
        <f>MONTH(Table10[[#This Row],[Order Date]])</f>
        <v>7</v>
      </c>
      <c r="E972" t="s">
        <v>4253</v>
      </c>
      <c r="F972" t="s">
        <v>4254</v>
      </c>
      <c r="G972" s="23" t="s">
        <v>41</v>
      </c>
      <c r="H972" s="23" t="s">
        <v>53</v>
      </c>
      <c r="I972" t="s">
        <v>4249</v>
      </c>
      <c r="J972" t="s">
        <v>22</v>
      </c>
      <c r="K972" s="22">
        <v>7</v>
      </c>
      <c r="L972" s="1">
        <v>42563</v>
      </c>
      <c r="M972" s="22">
        <f>Table10[[#This Row],[Ship Date]]-Table10[[#This Row],[Order Date]]</f>
        <v>4</v>
      </c>
      <c r="N972" t="s">
        <v>45</v>
      </c>
      <c r="O972" t="s">
        <v>23</v>
      </c>
      <c r="P972" t="s">
        <v>405</v>
      </c>
      <c r="Q972" t="s">
        <v>39</v>
      </c>
      <c r="R972" t="s">
        <v>4250</v>
      </c>
      <c r="S972" s="33">
        <v>0.2</v>
      </c>
      <c r="T972" s="13">
        <v>33.488</v>
      </c>
      <c r="U972" s="13">
        <v>-1.2558</v>
      </c>
      <c r="V972" s="21">
        <f>Table10[[#This Row],[Profit]]/Table10[[#This Row],[Sales]]</f>
        <v>-3.7499999999999999E-2</v>
      </c>
    </row>
    <row r="973" spans="1:22" x14ac:dyDescent="0.2">
      <c r="A973">
        <v>972</v>
      </c>
      <c r="B973" t="s">
        <v>4248</v>
      </c>
      <c r="C973" s="1">
        <v>42559</v>
      </c>
      <c r="D973" s="22">
        <f>MONTH(Table10[[#This Row],[Order Date]])</f>
        <v>7</v>
      </c>
      <c r="E973" t="s">
        <v>141</v>
      </c>
      <c r="F973" t="s">
        <v>142</v>
      </c>
      <c r="G973" s="23" t="s">
        <v>41</v>
      </c>
      <c r="H973" s="23" t="s">
        <v>68</v>
      </c>
      <c r="I973" t="s">
        <v>4249</v>
      </c>
      <c r="J973" t="s">
        <v>22</v>
      </c>
      <c r="K973" s="22">
        <v>4</v>
      </c>
      <c r="L973" s="1">
        <v>42563</v>
      </c>
      <c r="M973" s="22">
        <f>Table10[[#This Row],[Ship Date]]-Table10[[#This Row],[Order Date]]</f>
        <v>4</v>
      </c>
      <c r="N973" t="s">
        <v>45</v>
      </c>
      <c r="O973" t="s">
        <v>23</v>
      </c>
      <c r="P973" t="s">
        <v>405</v>
      </c>
      <c r="Q973" t="s">
        <v>39</v>
      </c>
      <c r="R973" t="s">
        <v>4250</v>
      </c>
      <c r="S973" s="33">
        <v>0.7</v>
      </c>
      <c r="T973" s="13">
        <v>8.7360000000000007</v>
      </c>
      <c r="U973" s="13">
        <v>-6.1151999999999997</v>
      </c>
      <c r="V973" s="21">
        <f>Table10[[#This Row],[Profit]]/Table10[[#This Row],[Sales]]</f>
        <v>-0.7</v>
      </c>
    </row>
    <row r="974" spans="1:22" x14ac:dyDescent="0.2">
      <c r="A974">
        <v>973</v>
      </c>
      <c r="B974" t="s">
        <v>4248</v>
      </c>
      <c r="C974" s="1">
        <v>42559</v>
      </c>
      <c r="D974" s="22">
        <f>MONTH(Table10[[#This Row],[Order Date]])</f>
        <v>7</v>
      </c>
      <c r="E974" t="s">
        <v>606</v>
      </c>
      <c r="F974" t="s">
        <v>607</v>
      </c>
      <c r="G974" s="23" t="s">
        <v>28</v>
      </c>
      <c r="H974" s="23" t="s">
        <v>32</v>
      </c>
      <c r="I974" t="s">
        <v>4249</v>
      </c>
      <c r="J974" t="s">
        <v>22</v>
      </c>
      <c r="K974" s="22">
        <v>3</v>
      </c>
      <c r="L974" s="1">
        <v>42563</v>
      </c>
      <c r="M974" s="22">
        <f>Table10[[#This Row],[Ship Date]]-Table10[[#This Row],[Order Date]]</f>
        <v>4</v>
      </c>
      <c r="N974" t="s">
        <v>45</v>
      </c>
      <c r="O974" t="s">
        <v>23</v>
      </c>
      <c r="P974" t="s">
        <v>405</v>
      </c>
      <c r="Q974" t="s">
        <v>39</v>
      </c>
      <c r="R974" t="s">
        <v>4250</v>
      </c>
      <c r="S974" s="33">
        <v>0.2</v>
      </c>
      <c r="T974" s="13">
        <v>662.88</v>
      </c>
      <c r="U974" s="13">
        <v>74.573999999999998</v>
      </c>
      <c r="V974" s="21">
        <f>Table10[[#This Row],[Profit]]/Table10[[#This Row],[Sales]]</f>
        <v>0.1125</v>
      </c>
    </row>
    <row r="975" spans="1:22" x14ac:dyDescent="0.2">
      <c r="A975">
        <v>974</v>
      </c>
      <c r="B975" t="s">
        <v>5783</v>
      </c>
      <c r="C975" s="1">
        <v>42559</v>
      </c>
      <c r="D975" s="22">
        <f>MONTH(Table10[[#This Row],[Order Date]])</f>
        <v>7</v>
      </c>
      <c r="E975" t="s">
        <v>849</v>
      </c>
      <c r="F975" t="s">
        <v>850</v>
      </c>
      <c r="G975" s="23" t="s">
        <v>64</v>
      </c>
      <c r="H975" s="23" t="s">
        <v>65</v>
      </c>
      <c r="I975" t="s">
        <v>3114</v>
      </c>
      <c r="J975" t="s">
        <v>22</v>
      </c>
      <c r="K975" s="22">
        <v>1</v>
      </c>
      <c r="L975" s="1">
        <v>42565</v>
      </c>
      <c r="M975" s="22">
        <f>Table10[[#This Row],[Ship Date]]-Table10[[#This Row],[Order Date]]</f>
        <v>6</v>
      </c>
      <c r="N975" t="s">
        <v>45</v>
      </c>
      <c r="O975" t="s">
        <v>23</v>
      </c>
      <c r="P975" t="s">
        <v>87</v>
      </c>
      <c r="Q975" t="s">
        <v>39</v>
      </c>
      <c r="R975" t="s">
        <v>86</v>
      </c>
      <c r="S975" s="33">
        <v>0.2</v>
      </c>
      <c r="T975" s="13">
        <v>107.98399999999999</v>
      </c>
      <c r="U975" s="13">
        <v>9.4486000000000008</v>
      </c>
      <c r="V975" s="21">
        <f>Table10[[#This Row],[Profit]]/Table10[[#This Row],[Sales]]</f>
        <v>8.7500000000000008E-2</v>
      </c>
    </row>
    <row r="976" spans="1:22" x14ac:dyDescent="0.2">
      <c r="A976">
        <v>975</v>
      </c>
      <c r="B976" t="s">
        <v>5783</v>
      </c>
      <c r="C976" s="1">
        <v>42559</v>
      </c>
      <c r="D976" s="22">
        <f>MONTH(Table10[[#This Row],[Order Date]])</f>
        <v>7</v>
      </c>
      <c r="E976" t="s">
        <v>4384</v>
      </c>
      <c r="F976" t="s">
        <v>4385</v>
      </c>
      <c r="G976" s="23" t="s">
        <v>41</v>
      </c>
      <c r="H976" s="23" t="s">
        <v>68</v>
      </c>
      <c r="I976" t="s">
        <v>3114</v>
      </c>
      <c r="J976" t="s">
        <v>22</v>
      </c>
      <c r="K976" s="22">
        <v>3</v>
      </c>
      <c r="L976" s="1">
        <v>42565</v>
      </c>
      <c r="M976" s="22">
        <f>Table10[[#This Row],[Ship Date]]-Table10[[#This Row],[Order Date]]</f>
        <v>6</v>
      </c>
      <c r="N976" t="s">
        <v>45</v>
      </c>
      <c r="O976" t="s">
        <v>23</v>
      </c>
      <c r="P976" t="s">
        <v>87</v>
      </c>
      <c r="Q976" t="s">
        <v>39</v>
      </c>
      <c r="R976" t="s">
        <v>86</v>
      </c>
      <c r="S976" s="33">
        <v>0.2</v>
      </c>
      <c r="T976" s="13">
        <v>19.295999999999999</v>
      </c>
      <c r="U976" s="13">
        <v>6.03</v>
      </c>
      <c r="V976" s="21">
        <f>Table10[[#This Row],[Profit]]/Table10[[#This Row],[Sales]]</f>
        <v>0.3125</v>
      </c>
    </row>
    <row r="977" spans="1:22" x14ac:dyDescent="0.2">
      <c r="A977">
        <v>976</v>
      </c>
      <c r="B977" t="s">
        <v>6246</v>
      </c>
      <c r="C977" s="1">
        <v>42559</v>
      </c>
      <c r="D977" s="22">
        <f>MONTH(Table10[[#This Row],[Order Date]])</f>
        <v>7</v>
      </c>
      <c r="E977" t="s">
        <v>4118</v>
      </c>
      <c r="F977" t="s">
        <v>4119</v>
      </c>
      <c r="G977" s="23" t="s">
        <v>64</v>
      </c>
      <c r="H977" s="23" t="s">
        <v>65</v>
      </c>
      <c r="I977" t="s">
        <v>113</v>
      </c>
      <c r="J977" t="s">
        <v>22</v>
      </c>
      <c r="K977" s="22">
        <v>5</v>
      </c>
      <c r="L977" s="1">
        <v>42559</v>
      </c>
      <c r="M977" s="22">
        <f>Table10[[#This Row],[Ship Date]]-Table10[[#This Row],[Order Date]]</f>
        <v>0</v>
      </c>
      <c r="N977" t="s">
        <v>1141</v>
      </c>
      <c r="O977" t="s">
        <v>23</v>
      </c>
      <c r="P977" t="s">
        <v>48</v>
      </c>
      <c r="Q977" t="s">
        <v>26</v>
      </c>
      <c r="R977" t="s">
        <v>1345</v>
      </c>
      <c r="S977" s="33">
        <v>0.2</v>
      </c>
      <c r="T977" s="13">
        <v>823.96</v>
      </c>
      <c r="U977" s="13">
        <v>51.497500000000002</v>
      </c>
      <c r="V977" s="21">
        <f>Table10[[#This Row],[Profit]]/Table10[[#This Row],[Sales]]</f>
        <v>6.25E-2</v>
      </c>
    </row>
    <row r="978" spans="1:22" x14ac:dyDescent="0.2">
      <c r="A978">
        <v>977</v>
      </c>
      <c r="B978" t="s">
        <v>6246</v>
      </c>
      <c r="C978" s="1">
        <v>42559</v>
      </c>
      <c r="D978" s="22">
        <f>MONTH(Table10[[#This Row],[Order Date]])</f>
        <v>7</v>
      </c>
      <c r="E978" t="s">
        <v>446</v>
      </c>
      <c r="F978" t="s">
        <v>447</v>
      </c>
      <c r="G978" s="23" t="s">
        <v>41</v>
      </c>
      <c r="H978" s="23" t="s">
        <v>82</v>
      </c>
      <c r="I978" t="s">
        <v>113</v>
      </c>
      <c r="J978" t="s">
        <v>22</v>
      </c>
      <c r="K978" s="22">
        <v>2</v>
      </c>
      <c r="L978" s="1">
        <v>42559</v>
      </c>
      <c r="M978" s="22">
        <f>Table10[[#This Row],[Ship Date]]-Table10[[#This Row],[Order Date]]</f>
        <v>0</v>
      </c>
      <c r="N978" t="s">
        <v>1141</v>
      </c>
      <c r="O978" t="s">
        <v>23</v>
      </c>
      <c r="P978" t="s">
        <v>48</v>
      </c>
      <c r="Q978" t="s">
        <v>26</v>
      </c>
      <c r="R978" t="s">
        <v>1345</v>
      </c>
      <c r="S978" s="33">
        <v>0.2</v>
      </c>
      <c r="T978" s="13">
        <v>15.984</v>
      </c>
      <c r="U978" s="13">
        <v>4.9950000000000001</v>
      </c>
      <c r="V978" s="21">
        <f>Table10[[#This Row],[Profit]]/Table10[[#This Row],[Sales]]</f>
        <v>0.3125</v>
      </c>
    </row>
    <row r="979" spans="1:22" x14ac:dyDescent="0.2">
      <c r="A979">
        <v>978</v>
      </c>
      <c r="B979" t="s">
        <v>8779</v>
      </c>
      <c r="C979" s="1">
        <v>42559</v>
      </c>
      <c r="D979" s="22">
        <f>MONTH(Table10[[#This Row],[Order Date]])</f>
        <v>7</v>
      </c>
      <c r="E979" t="s">
        <v>2514</v>
      </c>
      <c r="F979" t="s">
        <v>2515</v>
      </c>
      <c r="G979" s="23" t="s">
        <v>41</v>
      </c>
      <c r="H979" s="23" t="s">
        <v>82</v>
      </c>
      <c r="I979" t="s">
        <v>7529</v>
      </c>
      <c r="J979" t="s">
        <v>36</v>
      </c>
      <c r="K979" s="22">
        <v>2</v>
      </c>
      <c r="L979" s="1">
        <v>42563</v>
      </c>
      <c r="M979" s="22">
        <f>Table10[[#This Row],[Ship Date]]-Table10[[#This Row],[Order Date]]</f>
        <v>4</v>
      </c>
      <c r="N979" t="s">
        <v>45</v>
      </c>
      <c r="O979" t="s">
        <v>23</v>
      </c>
      <c r="P979" t="s">
        <v>1235</v>
      </c>
      <c r="Q979" t="s">
        <v>133</v>
      </c>
      <c r="R979" t="s">
        <v>3161</v>
      </c>
      <c r="S979" s="33">
        <v>0</v>
      </c>
      <c r="T979" s="13">
        <v>12.96</v>
      </c>
      <c r="U979" s="13">
        <v>6.2207999999999997</v>
      </c>
      <c r="V979" s="21">
        <f>Table10[[#This Row],[Profit]]/Table10[[#This Row],[Sales]]</f>
        <v>0.47999999999999993</v>
      </c>
    </row>
    <row r="980" spans="1:22" x14ac:dyDescent="0.2">
      <c r="A980">
        <v>979</v>
      </c>
      <c r="B980" t="s">
        <v>3380</v>
      </c>
      <c r="C980" s="1">
        <v>42560</v>
      </c>
      <c r="D980" s="22">
        <f>MONTH(Table10[[#This Row],[Order Date]])</f>
        <v>7</v>
      </c>
      <c r="E980" t="s">
        <v>2160</v>
      </c>
      <c r="F980" t="s">
        <v>2161</v>
      </c>
      <c r="G980" s="23" t="s">
        <v>28</v>
      </c>
      <c r="H980" s="23" t="s">
        <v>32</v>
      </c>
      <c r="I980" t="s">
        <v>516</v>
      </c>
      <c r="J980" t="s">
        <v>36</v>
      </c>
      <c r="K980" s="22">
        <v>2</v>
      </c>
      <c r="L980" s="1">
        <v>42564</v>
      </c>
      <c r="M980" s="22">
        <f>Table10[[#This Row],[Ship Date]]-Table10[[#This Row],[Order Date]]</f>
        <v>4</v>
      </c>
      <c r="N980" t="s">
        <v>45</v>
      </c>
      <c r="O980" t="s">
        <v>23</v>
      </c>
      <c r="P980" t="s">
        <v>238</v>
      </c>
      <c r="Q980" t="s">
        <v>133</v>
      </c>
      <c r="R980" t="s">
        <v>237</v>
      </c>
      <c r="S980" s="33">
        <v>0.1</v>
      </c>
      <c r="T980" s="13">
        <v>408.00599999999997</v>
      </c>
      <c r="U980" s="13">
        <v>72.534400000000005</v>
      </c>
      <c r="V980" s="21">
        <f>Table10[[#This Row],[Profit]]/Table10[[#This Row],[Sales]]</f>
        <v>0.17777777777777781</v>
      </c>
    </row>
    <row r="981" spans="1:22" x14ac:dyDescent="0.2">
      <c r="A981">
        <v>980</v>
      </c>
      <c r="B981" t="s">
        <v>3380</v>
      </c>
      <c r="C981" s="1">
        <v>42560</v>
      </c>
      <c r="D981" s="22">
        <f>MONTH(Table10[[#This Row],[Order Date]])</f>
        <v>7</v>
      </c>
      <c r="E981" t="s">
        <v>1644</v>
      </c>
      <c r="F981" t="s">
        <v>1645</v>
      </c>
      <c r="G981" s="23" t="s">
        <v>28</v>
      </c>
      <c r="H981" s="23" t="s">
        <v>58</v>
      </c>
      <c r="I981" t="s">
        <v>516</v>
      </c>
      <c r="J981" t="s">
        <v>36</v>
      </c>
      <c r="K981" s="22">
        <v>4</v>
      </c>
      <c r="L981" s="1">
        <v>42564</v>
      </c>
      <c r="M981" s="22">
        <f>Table10[[#This Row],[Ship Date]]-Table10[[#This Row],[Order Date]]</f>
        <v>4</v>
      </c>
      <c r="N981" t="s">
        <v>45</v>
      </c>
      <c r="O981" t="s">
        <v>23</v>
      </c>
      <c r="P981" t="s">
        <v>238</v>
      </c>
      <c r="Q981" t="s">
        <v>133</v>
      </c>
      <c r="R981" t="s">
        <v>237</v>
      </c>
      <c r="S981" s="33">
        <v>0</v>
      </c>
      <c r="T981" s="13">
        <v>165.28</v>
      </c>
      <c r="U981" s="13">
        <v>14.8752</v>
      </c>
      <c r="V981" s="21">
        <f>Table10[[#This Row],[Profit]]/Table10[[#This Row],[Sales]]</f>
        <v>0.09</v>
      </c>
    </row>
    <row r="982" spans="1:22" x14ac:dyDescent="0.2">
      <c r="A982">
        <v>981</v>
      </c>
      <c r="B982" t="s">
        <v>1611</v>
      </c>
      <c r="C982" s="1">
        <v>42561</v>
      </c>
      <c r="D982" s="22">
        <f>MONTH(Table10[[#This Row],[Order Date]])</f>
        <v>7</v>
      </c>
      <c r="E982" t="s">
        <v>1614</v>
      </c>
      <c r="F982" t="s">
        <v>1615</v>
      </c>
      <c r="G982" s="23" t="s">
        <v>41</v>
      </c>
      <c r="H982" s="23" t="s">
        <v>53</v>
      </c>
      <c r="I982" t="s">
        <v>1612</v>
      </c>
      <c r="J982" t="s">
        <v>22</v>
      </c>
      <c r="K982" s="22">
        <v>2</v>
      </c>
      <c r="L982" s="1">
        <v>42567</v>
      </c>
      <c r="M982" s="22">
        <f>Table10[[#This Row],[Ship Date]]-Table10[[#This Row],[Order Date]]</f>
        <v>6</v>
      </c>
      <c r="N982" t="s">
        <v>45</v>
      </c>
      <c r="O982" t="s">
        <v>23</v>
      </c>
      <c r="P982" t="s">
        <v>277</v>
      </c>
      <c r="Q982" t="s">
        <v>39</v>
      </c>
      <c r="R982" t="s">
        <v>1613</v>
      </c>
      <c r="S982" s="33">
        <v>0.2</v>
      </c>
      <c r="T982" s="13">
        <v>16.768000000000001</v>
      </c>
      <c r="U982" s="13">
        <v>1.4672000000000001</v>
      </c>
      <c r="V982" s="21">
        <f>Table10[[#This Row],[Profit]]/Table10[[#This Row],[Sales]]</f>
        <v>8.7499999999999994E-2</v>
      </c>
    </row>
    <row r="983" spans="1:22" x14ac:dyDescent="0.2">
      <c r="A983">
        <v>982</v>
      </c>
      <c r="B983" t="s">
        <v>3916</v>
      </c>
      <c r="C983" s="1">
        <v>42561</v>
      </c>
      <c r="D983" s="22">
        <f>MONTH(Table10[[#This Row],[Order Date]])</f>
        <v>7</v>
      </c>
      <c r="E983" t="s">
        <v>1464</v>
      </c>
      <c r="F983" t="s">
        <v>1465</v>
      </c>
      <c r="G983" s="23" t="s">
        <v>41</v>
      </c>
      <c r="H983" s="23" t="s">
        <v>53</v>
      </c>
      <c r="I983" t="s">
        <v>831</v>
      </c>
      <c r="J983" t="s">
        <v>22</v>
      </c>
      <c r="K983" s="22">
        <v>3</v>
      </c>
      <c r="L983" s="1">
        <v>42565</v>
      </c>
      <c r="M983" s="22">
        <f>Table10[[#This Row],[Ship Date]]-Table10[[#This Row],[Order Date]]</f>
        <v>4</v>
      </c>
      <c r="N983" t="s">
        <v>45</v>
      </c>
      <c r="O983" t="s">
        <v>23</v>
      </c>
      <c r="P983" t="s">
        <v>94</v>
      </c>
      <c r="Q983" t="s">
        <v>95</v>
      </c>
      <c r="R983" t="s">
        <v>718</v>
      </c>
      <c r="S983" s="33">
        <v>0.2</v>
      </c>
      <c r="T983" s="13">
        <v>338.04</v>
      </c>
      <c r="U983" s="13">
        <v>-33.804000000000002</v>
      </c>
      <c r="V983" s="21">
        <f>Table10[[#This Row],[Profit]]/Table10[[#This Row],[Sales]]</f>
        <v>-0.1</v>
      </c>
    </row>
    <row r="984" spans="1:22" x14ac:dyDescent="0.2">
      <c r="A984">
        <v>983</v>
      </c>
      <c r="B984" t="s">
        <v>3916</v>
      </c>
      <c r="C984" s="1">
        <v>42561</v>
      </c>
      <c r="D984" s="22">
        <f>MONTH(Table10[[#This Row],[Order Date]])</f>
        <v>7</v>
      </c>
      <c r="E984" t="s">
        <v>993</v>
      </c>
      <c r="F984" t="s">
        <v>994</v>
      </c>
      <c r="G984" s="23" t="s">
        <v>41</v>
      </c>
      <c r="H984" s="23" t="s">
        <v>61</v>
      </c>
      <c r="I984" t="s">
        <v>831</v>
      </c>
      <c r="J984" t="s">
        <v>22</v>
      </c>
      <c r="K984" s="22">
        <v>4</v>
      </c>
      <c r="L984" s="1">
        <v>42565</v>
      </c>
      <c r="M984" s="22">
        <f>Table10[[#This Row],[Ship Date]]-Table10[[#This Row],[Order Date]]</f>
        <v>4</v>
      </c>
      <c r="N984" t="s">
        <v>45</v>
      </c>
      <c r="O984" t="s">
        <v>23</v>
      </c>
      <c r="P984" t="s">
        <v>94</v>
      </c>
      <c r="Q984" t="s">
        <v>95</v>
      </c>
      <c r="R984" t="s">
        <v>718</v>
      </c>
      <c r="S984" s="33">
        <v>0.2</v>
      </c>
      <c r="T984" s="13">
        <v>154.24</v>
      </c>
      <c r="U984" s="13">
        <v>17.352</v>
      </c>
      <c r="V984" s="21">
        <f>Table10[[#This Row],[Profit]]/Table10[[#This Row],[Sales]]</f>
        <v>0.11249999999999999</v>
      </c>
    </row>
    <row r="985" spans="1:22" x14ac:dyDescent="0.2">
      <c r="A985">
        <v>984</v>
      </c>
      <c r="B985" t="s">
        <v>7052</v>
      </c>
      <c r="C985" s="1">
        <v>42561</v>
      </c>
      <c r="D985" s="22">
        <f>MONTH(Table10[[#This Row],[Order Date]])</f>
        <v>7</v>
      </c>
      <c r="E985" t="s">
        <v>1526</v>
      </c>
      <c r="F985" t="s">
        <v>1527</v>
      </c>
      <c r="G985" s="23" t="s">
        <v>41</v>
      </c>
      <c r="H985" s="23" t="s">
        <v>68</v>
      </c>
      <c r="I985" t="s">
        <v>943</v>
      </c>
      <c r="J985" t="s">
        <v>92</v>
      </c>
      <c r="K985" s="22">
        <v>6</v>
      </c>
      <c r="L985" s="1">
        <v>42562</v>
      </c>
      <c r="M985" s="22">
        <f>Table10[[#This Row],[Ship Date]]-Table10[[#This Row],[Order Date]]</f>
        <v>1</v>
      </c>
      <c r="N985" t="s">
        <v>1141</v>
      </c>
      <c r="O985" t="s">
        <v>23</v>
      </c>
      <c r="P985" t="s">
        <v>277</v>
      </c>
      <c r="Q985" t="s">
        <v>39</v>
      </c>
      <c r="R985" t="s">
        <v>7053</v>
      </c>
      <c r="S985" s="33">
        <v>0.7</v>
      </c>
      <c r="T985" s="13">
        <v>44.856000000000002</v>
      </c>
      <c r="U985" s="13">
        <v>-35.884799999999998</v>
      </c>
      <c r="V985" s="21">
        <f>Table10[[#This Row],[Profit]]/Table10[[#This Row],[Sales]]</f>
        <v>-0.79999999999999993</v>
      </c>
    </row>
    <row r="986" spans="1:22" x14ac:dyDescent="0.2">
      <c r="A986">
        <v>985</v>
      </c>
      <c r="B986" t="s">
        <v>8586</v>
      </c>
      <c r="C986" s="1">
        <v>42561</v>
      </c>
      <c r="D986" s="22">
        <f>MONTH(Table10[[#This Row],[Order Date]])</f>
        <v>7</v>
      </c>
      <c r="E986" t="s">
        <v>8587</v>
      </c>
      <c r="F986" t="s">
        <v>8588</v>
      </c>
      <c r="G986" s="23" t="s">
        <v>64</v>
      </c>
      <c r="H986" s="23" t="s">
        <v>602</v>
      </c>
      <c r="I986" t="s">
        <v>789</v>
      </c>
      <c r="J986" t="s">
        <v>36</v>
      </c>
      <c r="K986" s="22">
        <v>3</v>
      </c>
      <c r="L986" s="1">
        <v>42561</v>
      </c>
      <c r="M986" s="22">
        <f>Table10[[#This Row],[Ship Date]]-Table10[[#This Row],[Order Date]]</f>
        <v>0</v>
      </c>
      <c r="N986" t="s">
        <v>1141</v>
      </c>
      <c r="O986" t="s">
        <v>23</v>
      </c>
      <c r="P986" t="s">
        <v>132</v>
      </c>
      <c r="Q986" t="s">
        <v>133</v>
      </c>
      <c r="R986" t="s">
        <v>131</v>
      </c>
      <c r="S986" s="33">
        <v>0.7</v>
      </c>
      <c r="T986" s="13">
        <v>341.99099999999999</v>
      </c>
      <c r="U986" s="13">
        <v>-319.19159999999999</v>
      </c>
      <c r="V986" s="21">
        <f>Table10[[#This Row],[Profit]]/Table10[[#This Row],[Sales]]</f>
        <v>-0.93333333333333335</v>
      </c>
    </row>
    <row r="987" spans="1:22" x14ac:dyDescent="0.2">
      <c r="A987">
        <v>986</v>
      </c>
      <c r="B987" t="s">
        <v>1455</v>
      </c>
      <c r="C987" s="1">
        <v>42563</v>
      </c>
      <c r="D987" s="22">
        <f>MONTH(Table10[[#This Row],[Order Date]])</f>
        <v>7</v>
      </c>
      <c r="E987" t="s">
        <v>1456</v>
      </c>
      <c r="F987" t="s">
        <v>1457</v>
      </c>
      <c r="G987" s="23" t="s">
        <v>64</v>
      </c>
      <c r="H987" s="23" t="s">
        <v>65</v>
      </c>
      <c r="I987" t="s">
        <v>893</v>
      </c>
      <c r="J987" t="s">
        <v>36</v>
      </c>
      <c r="K987" s="22">
        <v>6</v>
      </c>
      <c r="L987" s="1">
        <v>42570</v>
      </c>
      <c r="M987" s="22">
        <f>Table10[[#This Row],[Ship Date]]-Table10[[#This Row],[Order Date]]</f>
        <v>7</v>
      </c>
      <c r="N987" t="s">
        <v>45</v>
      </c>
      <c r="O987" t="s">
        <v>23</v>
      </c>
      <c r="P987" t="s">
        <v>38</v>
      </c>
      <c r="Q987" t="s">
        <v>39</v>
      </c>
      <c r="R987" t="s">
        <v>37</v>
      </c>
      <c r="S987" s="33">
        <v>0.2</v>
      </c>
      <c r="T987" s="13">
        <v>95.76</v>
      </c>
      <c r="U987" s="13">
        <v>7.1820000000000004</v>
      </c>
      <c r="V987" s="21">
        <f>Table10[[#This Row],[Profit]]/Table10[[#This Row],[Sales]]</f>
        <v>7.4999999999999997E-2</v>
      </c>
    </row>
    <row r="988" spans="1:22" x14ac:dyDescent="0.2">
      <c r="A988">
        <v>987</v>
      </c>
      <c r="B988" t="s">
        <v>1634</v>
      </c>
      <c r="C988" s="1">
        <v>42565</v>
      </c>
      <c r="D988" s="22">
        <f>MONTH(Table10[[#This Row],[Order Date]])</f>
        <v>7</v>
      </c>
      <c r="E988" t="s">
        <v>1635</v>
      </c>
      <c r="F988" t="s">
        <v>1636</v>
      </c>
      <c r="G988" s="23" t="s">
        <v>64</v>
      </c>
      <c r="H988" s="23" t="s">
        <v>65</v>
      </c>
      <c r="I988" t="s">
        <v>197</v>
      </c>
      <c r="J988" t="s">
        <v>36</v>
      </c>
      <c r="K988" s="22">
        <v>8</v>
      </c>
      <c r="L988" s="1">
        <v>42568</v>
      </c>
      <c r="M988" s="22">
        <f>Table10[[#This Row],[Ship Date]]-Table10[[#This Row],[Order Date]]</f>
        <v>3</v>
      </c>
      <c r="N988" t="s">
        <v>169</v>
      </c>
      <c r="O988" t="s">
        <v>23</v>
      </c>
      <c r="P988" t="s">
        <v>277</v>
      </c>
      <c r="Q988" t="s">
        <v>39</v>
      </c>
      <c r="R988" t="s">
        <v>1159</v>
      </c>
      <c r="S988" s="33">
        <v>0.2</v>
      </c>
      <c r="T988" s="13">
        <v>380.86399999999998</v>
      </c>
      <c r="U988" s="13">
        <v>38.086399999999998</v>
      </c>
      <c r="V988" s="21">
        <f>Table10[[#This Row],[Profit]]/Table10[[#This Row],[Sales]]</f>
        <v>0.1</v>
      </c>
    </row>
    <row r="989" spans="1:22" x14ac:dyDescent="0.2">
      <c r="A989">
        <v>988</v>
      </c>
      <c r="B989" t="s">
        <v>1762</v>
      </c>
      <c r="C989" s="1">
        <v>42565</v>
      </c>
      <c r="D989" s="22">
        <f>MONTH(Table10[[#This Row],[Order Date]])</f>
        <v>7</v>
      </c>
      <c r="E989" t="s">
        <v>1764</v>
      </c>
      <c r="F989" t="s">
        <v>1765</v>
      </c>
      <c r="G989" s="23" t="s">
        <v>41</v>
      </c>
      <c r="H989" s="23" t="s">
        <v>513</v>
      </c>
      <c r="I989" t="s">
        <v>1763</v>
      </c>
      <c r="J989" t="s">
        <v>22</v>
      </c>
      <c r="K989" s="22">
        <v>2</v>
      </c>
      <c r="L989" s="1">
        <v>42567</v>
      </c>
      <c r="M989" s="22">
        <f>Table10[[#This Row],[Ship Date]]-Table10[[#This Row],[Order Date]]</f>
        <v>2</v>
      </c>
      <c r="N989" t="s">
        <v>169</v>
      </c>
      <c r="O989" t="s">
        <v>23</v>
      </c>
      <c r="P989" t="s">
        <v>132</v>
      </c>
      <c r="Q989" t="s">
        <v>133</v>
      </c>
      <c r="R989" t="s">
        <v>131</v>
      </c>
      <c r="S989" s="33">
        <v>0.2</v>
      </c>
      <c r="T989" s="13">
        <v>11.632</v>
      </c>
      <c r="U989" s="13">
        <v>1.0178</v>
      </c>
      <c r="V989" s="21">
        <f>Table10[[#This Row],[Profit]]/Table10[[#This Row],[Sales]]</f>
        <v>8.7500000000000008E-2</v>
      </c>
    </row>
    <row r="990" spans="1:22" x14ac:dyDescent="0.2">
      <c r="A990">
        <v>989</v>
      </c>
      <c r="B990" t="s">
        <v>3019</v>
      </c>
      <c r="C990" s="1">
        <v>42565</v>
      </c>
      <c r="D990" s="22">
        <f>MONTH(Table10[[#This Row],[Order Date]])</f>
        <v>7</v>
      </c>
      <c r="E990" t="s">
        <v>2066</v>
      </c>
      <c r="F990" t="s">
        <v>2067</v>
      </c>
      <c r="G990" s="23" t="s">
        <v>41</v>
      </c>
      <c r="H990" s="23" t="s">
        <v>53</v>
      </c>
      <c r="I990" t="s">
        <v>3020</v>
      </c>
      <c r="J990" t="s">
        <v>36</v>
      </c>
      <c r="K990" s="22">
        <v>1</v>
      </c>
      <c r="L990" s="1">
        <v>42569</v>
      </c>
      <c r="M990" s="22">
        <f>Table10[[#This Row],[Ship Date]]-Table10[[#This Row],[Order Date]]</f>
        <v>4</v>
      </c>
      <c r="N990" t="s">
        <v>20</v>
      </c>
      <c r="O990" t="s">
        <v>23</v>
      </c>
      <c r="P990" t="s">
        <v>238</v>
      </c>
      <c r="Q990" t="s">
        <v>133</v>
      </c>
      <c r="R990" t="s">
        <v>237</v>
      </c>
      <c r="S990" s="33">
        <v>0</v>
      </c>
      <c r="T990" s="13">
        <v>11.21</v>
      </c>
      <c r="U990" s="13">
        <v>3.363</v>
      </c>
      <c r="V990" s="21">
        <f>Table10[[#This Row],[Profit]]/Table10[[#This Row],[Sales]]</f>
        <v>0.3</v>
      </c>
    </row>
    <row r="991" spans="1:22" x14ac:dyDescent="0.2">
      <c r="A991">
        <v>990</v>
      </c>
      <c r="B991" t="s">
        <v>3019</v>
      </c>
      <c r="C991" s="1">
        <v>42565</v>
      </c>
      <c r="D991" s="22">
        <f>MONTH(Table10[[#This Row],[Order Date]])</f>
        <v>7</v>
      </c>
      <c r="E991" t="s">
        <v>1108</v>
      </c>
      <c r="F991" t="s">
        <v>1109</v>
      </c>
      <c r="G991" s="23" t="s">
        <v>41</v>
      </c>
      <c r="H991" s="23" t="s">
        <v>68</v>
      </c>
      <c r="I991" t="s">
        <v>3020</v>
      </c>
      <c r="J991" t="s">
        <v>36</v>
      </c>
      <c r="K991" s="22">
        <v>3</v>
      </c>
      <c r="L991" s="1">
        <v>42569</v>
      </c>
      <c r="M991" s="22">
        <f>Table10[[#This Row],[Ship Date]]-Table10[[#This Row],[Order Date]]</f>
        <v>4</v>
      </c>
      <c r="N991" t="s">
        <v>20</v>
      </c>
      <c r="O991" t="s">
        <v>23</v>
      </c>
      <c r="P991" t="s">
        <v>238</v>
      </c>
      <c r="Q991" t="s">
        <v>133</v>
      </c>
      <c r="R991" t="s">
        <v>237</v>
      </c>
      <c r="S991" s="33">
        <v>0.2</v>
      </c>
      <c r="T991" s="13">
        <v>9.1440000000000001</v>
      </c>
      <c r="U991" s="13">
        <v>3.2004000000000001</v>
      </c>
      <c r="V991" s="21">
        <f>Table10[[#This Row],[Profit]]/Table10[[#This Row],[Sales]]</f>
        <v>0.35000000000000003</v>
      </c>
    </row>
    <row r="992" spans="1:22" x14ac:dyDescent="0.2">
      <c r="A992">
        <v>991</v>
      </c>
      <c r="B992" t="s">
        <v>3019</v>
      </c>
      <c r="C992" s="1">
        <v>42565</v>
      </c>
      <c r="D992" s="22">
        <f>MONTH(Table10[[#This Row],[Order Date]])</f>
        <v>7</v>
      </c>
      <c r="E992" t="s">
        <v>508</v>
      </c>
      <c r="F992" t="s">
        <v>509</v>
      </c>
      <c r="G992" s="23" t="s">
        <v>41</v>
      </c>
      <c r="H992" s="23" t="s">
        <v>240</v>
      </c>
      <c r="I992" t="s">
        <v>3020</v>
      </c>
      <c r="J992" t="s">
        <v>36</v>
      </c>
      <c r="K992" s="22">
        <v>7</v>
      </c>
      <c r="L992" s="1">
        <v>42569</v>
      </c>
      <c r="M992" s="22">
        <f>Table10[[#This Row],[Ship Date]]-Table10[[#This Row],[Order Date]]</f>
        <v>4</v>
      </c>
      <c r="N992" t="s">
        <v>20</v>
      </c>
      <c r="O992" t="s">
        <v>23</v>
      </c>
      <c r="P992" t="s">
        <v>238</v>
      </c>
      <c r="Q992" t="s">
        <v>133</v>
      </c>
      <c r="R992" t="s">
        <v>237</v>
      </c>
      <c r="S992" s="33">
        <v>0</v>
      </c>
      <c r="T992" s="13">
        <v>14.07</v>
      </c>
      <c r="U992" s="13">
        <v>6.8943000000000003</v>
      </c>
      <c r="V992" s="21">
        <f>Table10[[#This Row],[Profit]]/Table10[[#This Row],[Sales]]</f>
        <v>0.49</v>
      </c>
    </row>
    <row r="993" spans="1:22" x14ac:dyDescent="0.2">
      <c r="A993">
        <v>992</v>
      </c>
      <c r="B993" t="s">
        <v>3019</v>
      </c>
      <c r="C993" s="1">
        <v>42565</v>
      </c>
      <c r="D993" s="22">
        <f>MONTH(Table10[[#This Row],[Order Date]])</f>
        <v>7</v>
      </c>
      <c r="E993" t="s">
        <v>3021</v>
      </c>
      <c r="F993" t="s">
        <v>3022</v>
      </c>
      <c r="G993" s="23" t="s">
        <v>41</v>
      </c>
      <c r="H993" s="23" t="s">
        <v>61</v>
      </c>
      <c r="I993" t="s">
        <v>3020</v>
      </c>
      <c r="J993" t="s">
        <v>36</v>
      </c>
      <c r="K993" s="22">
        <v>7</v>
      </c>
      <c r="L993" s="1">
        <v>42569</v>
      </c>
      <c r="M993" s="22">
        <f>Table10[[#This Row],[Ship Date]]-Table10[[#This Row],[Order Date]]</f>
        <v>4</v>
      </c>
      <c r="N993" t="s">
        <v>20</v>
      </c>
      <c r="O993" t="s">
        <v>23</v>
      </c>
      <c r="P993" t="s">
        <v>238</v>
      </c>
      <c r="Q993" t="s">
        <v>133</v>
      </c>
      <c r="R993" t="s">
        <v>237</v>
      </c>
      <c r="S993" s="33">
        <v>0</v>
      </c>
      <c r="T993" s="13">
        <v>41.86</v>
      </c>
      <c r="U993" s="13">
        <v>10.465</v>
      </c>
      <c r="V993" s="21">
        <f>Table10[[#This Row],[Profit]]/Table10[[#This Row],[Sales]]</f>
        <v>0.25</v>
      </c>
    </row>
    <row r="994" spans="1:22" x14ac:dyDescent="0.2">
      <c r="A994">
        <v>993</v>
      </c>
      <c r="B994" t="s">
        <v>3019</v>
      </c>
      <c r="C994" s="1">
        <v>42565</v>
      </c>
      <c r="D994" s="22">
        <f>MONTH(Table10[[#This Row],[Order Date]])</f>
        <v>7</v>
      </c>
      <c r="E994" t="s">
        <v>3023</v>
      </c>
      <c r="F994" t="s">
        <v>3024</v>
      </c>
      <c r="G994" s="23" t="s">
        <v>41</v>
      </c>
      <c r="H994" s="23" t="s">
        <v>68</v>
      </c>
      <c r="I994" t="s">
        <v>3020</v>
      </c>
      <c r="J994" t="s">
        <v>36</v>
      </c>
      <c r="K994" s="22">
        <v>2</v>
      </c>
      <c r="L994" s="1">
        <v>42569</v>
      </c>
      <c r="M994" s="22">
        <f>Table10[[#This Row],[Ship Date]]-Table10[[#This Row],[Order Date]]</f>
        <v>4</v>
      </c>
      <c r="N994" t="s">
        <v>20</v>
      </c>
      <c r="O994" t="s">
        <v>23</v>
      </c>
      <c r="P994" t="s">
        <v>238</v>
      </c>
      <c r="Q994" t="s">
        <v>133</v>
      </c>
      <c r="R994" t="s">
        <v>237</v>
      </c>
      <c r="S994" s="33">
        <v>0.2</v>
      </c>
      <c r="T994" s="13">
        <v>8.5440000000000005</v>
      </c>
      <c r="U994" s="13">
        <v>2.8835999999999999</v>
      </c>
      <c r="V994" s="21">
        <f>Table10[[#This Row],[Profit]]/Table10[[#This Row],[Sales]]</f>
        <v>0.33749999999999997</v>
      </c>
    </row>
    <row r="995" spans="1:22" x14ac:dyDescent="0.2">
      <c r="A995">
        <v>994</v>
      </c>
      <c r="B995" t="s">
        <v>3019</v>
      </c>
      <c r="C995" s="1">
        <v>42565</v>
      </c>
      <c r="D995" s="22">
        <f>MONTH(Table10[[#This Row],[Order Date]])</f>
        <v>7</v>
      </c>
      <c r="E995" t="s">
        <v>750</v>
      </c>
      <c r="F995" t="s">
        <v>751</v>
      </c>
      <c r="G995" s="23" t="s">
        <v>28</v>
      </c>
      <c r="H995" s="23" t="s">
        <v>29</v>
      </c>
      <c r="I995" t="s">
        <v>3020</v>
      </c>
      <c r="J995" t="s">
        <v>36</v>
      </c>
      <c r="K995" s="22">
        <v>4</v>
      </c>
      <c r="L995" s="1">
        <v>42569</v>
      </c>
      <c r="M995" s="22">
        <f>Table10[[#This Row],[Ship Date]]-Table10[[#This Row],[Order Date]]</f>
        <v>4</v>
      </c>
      <c r="N995" t="s">
        <v>20</v>
      </c>
      <c r="O995" t="s">
        <v>23</v>
      </c>
      <c r="P995" t="s">
        <v>238</v>
      </c>
      <c r="Q995" t="s">
        <v>133</v>
      </c>
      <c r="R995" t="s">
        <v>237</v>
      </c>
      <c r="S995" s="33">
        <v>0.2</v>
      </c>
      <c r="T995" s="13">
        <v>579.13599999999997</v>
      </c>
      <c r="U995" s="13">
        <v>21.717600000000001</v>
      </c>
      <c r="V995" s="21">
        <f>Table10[[#This Row],[Profit]]/Table10[[#This Row],[Sales]]</f>
        <v>3.7500000000000006E-2</v>
      </c>
    </row>
    <row r="996" spans="1:22" x14ac:dyDescent="0.2">
      <c r="A996">
        <v>995</v>
      </c>
      <c r="B996" t="s">
        <v>3193</v>
      </c>
      <c r="C996" s="1">
        <v>42565</v>
      </c>
      <c r="D996" s="22">
        <f>MONTH(Table10[[#This Row],[Order Date]])</f>
        <v>7</v>
      </c>
      <c r="E996" t="s">
        <v>3194</v>
      </c>
      <c r="F996" t="s">
        <v>3195</v>
      </c>
      <c r="G996" s="23" t="s">
        <v>64</v>
      </c>
      <c r="H996" s="23" t="s">
        <v>65</v>
      </c>
      <c r="I996" t="s">
        <v>2165</v>
      </c>
      <c r="J996" t="s">
        <v>22</v>
      </c>
      <c r="K996" s="22">
        <v>7</v>
      </c>
      <c r="L996" s="1">
        <v>42567</v>
      </c>
      <c r="M996" s="22">
        <f>Table10[[#This Row],[Ship Date]]-Table10[[#This Row],[Order Date]]</f>
        <v>2</v>
      </c>
      <c r="N996" t="s">
        <v>20</v>
      </c>
      <c r="O996" t="s">
        <v>23</v>
      </c>
      <c r="P996" t="s">
        <v>94</v>
      </c>
      <c r="Q996" t="s">
        <v>95</v>
      </c>
      <c r="R996" t="s">
        <v>165</v>
      </c>
      <c r="S996" s="33">
        <v>0.2</v>
      </c>
      <c r="T996" s="13">
        <v>419.94400000000002</v>
      </c>
      <c r="U996" s="13">
        <v>52.493000000000002</v>
      </c>
      <c r="V996" s="21">
        <f>Table10[[#This Row],[Profit]]/Table10[[#This Row],[Sales]]</f>
        <v>0.125</v>
      </c>
    </row>
    <row r="997" spans="1:22" x14ac:dyDescent="0.2">
      <c r="A997">
        <v>996</v>
      </c>
      <c r="B997" t="s">
        <v>4511</v>
      </c>
      <c r="C997" s="1">
        <v>42565</v>
      </c>
      <c r="D997" s="22">
        <f>MONTH(Table10[[#This Row],[Order Date]])</f>
        <v>7</v>
      </c>
      <c r="E997" t="s">
        <v>2083</v>
      </c>
      <c r="F997" t="s">
        <v>2084</v>
      </c>
      <c r="G997" s="23" t="s">
        <v>41</v>
      </c>
      <c r="H997" s="23" t="s">
        <v>68</v>
      </c>
      <c r="I997" t="s">
        <v>846</v>
      </c>
      <c r="J997" t="s">
        <v>36</v>
      </c>
      <c r="K997" s="22">
        <v>2</v>
      </c>
      <c r="L997" s="1">
        <v>42569</v>
      </c>
      <c r="M997" s="22">
        <f>Table10[[#This Row],[Ship Date]]-Table10[[#This Row],[Order Date]]</f>
        <v>4</v>
      </c>
      <c r="N997" t="s">
        <v>45</v>
      </c>
      <c r="O997" t="s">
        <v>23</v>
      </c>
      <c r="P997" t="s">
        <v>238</v>
      </c>
      <c r="Q997" t="s">
        <v>133</v>
      </c>
      <c r="R997" t="s">
        <v>237</v>
      </c>
      <c r="S997" s="33">
        <v>0.2</v>
      </c>
      <c r="T997" s="13">
        <v>14.16</v>
      </c>
      <c r="U997" s="13">
        <v>5.133</v>
      </c>
      <c r="V997" s="21">
        <f>Table10[[#This Row],[Profit]]/Table10[[#This Row],[Sales]]</f>
        <v>0.36249999999999999</v>
      </c>
    </row>
    <row r="998" spans="1:22" x14ac:dyDescent="0.2">
      <c r="A998">
        <v>997</v>
      </c>
      <c r="B998" t="s">
        <v>4548</v>
      </c>
      <c r="C998" s="1">
        <v>42565</v>
      </c>
      <c r="D998" s="22">
        <f>MONTH(Table10[[#This Row],[Order Date]])</f>
        <v>7</v>
      </c>
      <c r="E998" t="s">
        <v>655</v>
      </c>
      <c r="F998" t="s">
        <v>656</v>
      </c>
      <c r="G998" s="23" t="s">
        <v>64</v>
      </c>
      <c r="H998" s="23" t="s">
        <v>144</v>
      </c>
      <c r="I998" t="s">
        <v>4549</v>
      </c>
      <c r="J998" t="s">
        <v>22</v>
      </c>
      <c r="K998" s="22">
        <v>2</v>
      </c>
      <c r="L998" s="1">
        <v>42565</v>
      </c>
      <c r="M998" s="22">
        <f>Table10[[#This Row],[Ship Date]]-Table10[[#This Row],[Order Date]]</f>
        <v>0</v>
      </c>
      <c r="N998" t="s">
        <v>1141</v>
      </c>
      <c r="O998" t="s">
        <v>23</v>
      </c>
      <c r="P998" t="s">
        <v>320</v>
      </c>
      <c r="Q998" t="s">
        <v>26</v>
      </c>
      <c r="R998" t="s">
        <v>1488</v>
      </c>
      <c r="S998" s="33">
        <v>0</v>
      </c>
      <c r="T998" s="13">
        <v>29</v>
      </c>
      <c r="U998" s="13">
        <v>7.25</v>
      </c>
      <c r="V998" s="21">
        <f>Table10[[#This Row],[Profit]]/Table10[[#This Row],[Sales]]</f>
        <v>0.25</v>
      </c>
    </row>
    <row r="999" spans="1:22" x14ac:dyDescent="0.2">
      <c r="A999">
        <v>998</v>
      </c>
      <c r="B999" t="s">
        <v>6950</v>
      </c>
      <c r="C999" s="1">
        <v>42565</v>
      </c>
      <c r="D999" s="22">
        <f>MONTH(Table10[[#This Row],[Order Date]])</f>
        <v>7</v>
      </c>
      <c r="E999" t="s">
        <v>4801</v>
      </c>
      <c r="F999" t="s">
        <v>4802</v>
      </c>
      <c r="G999" s="23" t="s">
        <v>41</v>
      </c>
      <c r="H999" s="23" t="s">
        <v>240</v>
      </c>
      <c r="I999" t="s">
        <v>5596</v>
      </c>
      <c r="J999" t="s">
        <v>22</v>
      </c>
      <c r="K999" s="22">
        <v>9</v>
      </c>
      <c r="L999" s="1">
        <v>42569</v>
      </c>
      <c r="M999" s="22">
        <f>Table10[[#This Row],[Ship Date]]-Table10[[#This Row],[Order Date]]</f>
        <v>4</v>
      </c>
      <c r="N999" t="s">
        <v>20</v>
      </c>
      <c r="O999" t="s">
        <v>23</v>
      </c>
      <c r="P999" t="s">
        <v>238</v>
      </c>
      <c r="Q999" t="s">
        <v>133</v>
      </c>
      <c r="R999" t="s">
        <v>1380</v>
      </c>
      <c r="S999" s="33">
        <v>0</v>
      </c>
      <c r="T999" s="13">
        <v>29.61</v>
      </c>
      <c r="U999" s="13">
        <v>13.3245</v>
      </c>
      <c r="V999" s="21">
        <f>Table10[[#This Row],[Profit]]/Table10[[#This Row],[Sales]]</f>
        <v>0.45</v>
      </c>
    </row>
    <row r="1000" spans="1:22" x14ac:dyDescent="0.2">
      <c r="A1000">
        <v>999</v>
      </c>
      <c r="B1000" t="s">
        <v>8242</v>
      </c>
      <c r="C1000" s="1">
        <v>42565</v>
      </c>
      <c r="D1000" s="22">
        <f>MONTH(Table10[[#This Row],[Order Date]])</f>
        <v>7</v>
      </c>
      <c r="E1000" t="s">
        <v>7770</v>
      </c>
      <c r="F1000" t="s">
        <v>7771</v>
      </c>
      <c r="G1000" s="23" t="s">
        <v>41</v>
      </c>
      <c r="H1000" s="23" t="s">
        <v>82</v>
      </c>
      <c r="I1000" t="s">
        <v>2658</v>
      </c>
      <c r="J1000" t="s">
        <v>22</v>
      </c>
      <c r="K1000" s="22">
        <v>5</v>
      </c>
      <c r="L1000" s="1">
        <v>42569</v>
      </c>
      <c r="M1000" s="22">
        <f>Table10[[#This Row],[Ship Date]]-Table10[[#This Row],[Order Date]]</f>
        <v>4</v>
      </c>
      <c r="N1000" t="s">
        <v>20</v>
      </c>
      <c r="O1000" t="s">
        <v>23</v>
      </c>
      <c r="P1000" t="s">
        <v>94</v>
      </c>
      <c r="Q1000" t="s">
        <v>95</v>
      </c>
      <c r="R1000" t="s">
        <v>3463</v>
      </c>
      <c r="S1000" s="33">
        <v>0.2</v>
      </c>
      <c r="T1000" s="13">
        <v>219.84</v>
      </c>
      <c r="U1000" s="13">
        <v>79.691999999999993</v>
      </c>
      <c r="V1000" s="21">
        <f>Table10[[#This Row],[Profit]]/Table10[[#This Row],[Sales]]</f>
        <v>0.36249999999999999</v>
      </c>
    </row>
    <row r="1001" spans="1:22" x14ac:dyDescent="0.2">
      <c r="A1001">
        <v>1000</v>
      </c>
      <c r="B1001" t="s">
        <v>8431</v>
      </c>
      <c r="C1001" s="1">
        <v>42565</v>
      </c>
      <c r="D1001" s="22">
        <f>MONTH(Table10[[#This Row],[Order Date]])</f>
        <v>7</v>
      </c>
      <c r="E1001" t="s">
        <v>4903</v>
      </c>
      <c r="F1001" t="s">
        <v>4904</v>
      </c>
      <c r="G1001" s="23" t="s">
        <v>41</v>
      </c>
      <c r="H1001" s="23" t="s">
        <v>68</v>
      </c>
      <c r="I1001" t="s">
        <v>8432</v>
      </c>
      <c r="J1001" t="s">
        <v>22</v>
      </c>
      <c r="K1001" s="22">
        <v>5</v>
      </c>
      <c r="L1001" s="1">
        <v>42570</v>
      </c>
      <c r="M1001" s="22">
        <f>Table10[[#This Row],[Ship Date]]-Table10[[#This Row],[Order Date]]</f>
        <v>5</v>
      </c>
      <c r="N1001" t="s">
        <v>45</v>
      </c>
      <c r="O1001" t="s">
        <v>23</v>
      </c>
      <c r="P1001" t="s">
        <v>1125</v>
      </c>
      <c r="Q1001" t="s">
        <v>26</v>
      </c>
      <c r="R1001" t="s">
        <v>440</v>
      </c>
      <c r="S1001" s="33">
        <v>0</v>
      </c>
      <c r="T1001" s="13">
        <v>36.4</v>
      </c>
      <c r="U1001" s="13">
        <v>17.108000000000001</v>
      </c>
      <c r="V1001" s="21">
        <f>Table10[[#This Row],[Profit]]/Table10[[#This Row],[Sales]]</f>
        <v>0.47000000000000003</v>
      </c>
    </row>
    <row r="1002" spans="1:22" x14ac:dyDescent="0.2">
      <c r="A1002">
        <v>1001</v>
      </c>
      <c r="B1002" t="s">
        <v>8431</v>
      </c>
      <c r="C1002" s="1">
        <v>42565</v>
      </c>
      <c r="D1002" s="22">
        <f>MONTH(Table10[[#This Row],[Order Date]])</f>
        <v>7</v>
      </c>
      <c r="E1002" t="s">
        <v>152</v>
      </c>
      <c r="F1002" t="s">
        <v>153</v>
      </c>
      <c r="G1002" s="23" t="s">
        <v>28</v>
      </c>
      <c r="H1002" s="23" t="s">
        <v>58</v>
      </c>
      <c r="I1002" t="s">
        <v>8432</v>
      </c>
      <c r="J1002" t="s">
        <v>22</v>
      </c>
      <c r="K1002" s="22">
        <v>1</v>
      </c>
      <c r="L1002" s="1">
        <v>42570</v>
      </c>
      <c r="M1002" s="22">
        <f>Table10[[#This Row],[Ship Date]]-Table10[[#This Row],[Order Date]]</f>
        <v>5</v>
      </c>
      <c r="N1002" t="s">
        <v>45</v>
      </c>
      <c r="O1002" t="s">
        <v>23</v>
      </c>
      <c r="P1002" t="s">
        <v>1125</v>
      </c>
      <c r="Q1002" t="s">
        <v>26</v>
      </c>
      <c r="R1002" t="s">
        <v>440</v>
      </c>
      <c r="S1002" s="33">
        <v>0</v>
      </c>
      <c r="T1002" s="13">
        <v>51.75</v>
      </c>
      <c r="U1002" s="13">
        <v>15.525</v>
      </c>
      <c r="V1002" s="21">
        <f>Table10[[#This Row],[Profit]]/Table10[[#This Row],[Sales]]</f>
        <v>0.3</v>
      </c>
    </row>
    <row r="1003" spans="1:22" x14ac:dyDescent="0.2">
      <c r="A1003">
        <v>1002</v>
      </c>
      <c r="B1003" t="s">
        <v>8580</v>
      </c>
      <c r="C1003" s="1">
        <v>42565</v>
      </c>
      <c r="D1003" s="22">
        <f>MONTH(Table10[[#This Row],[Order Date]])</f>
        <v>7</v>
      </c>
      <c r="E1003" t="s">
        <v>190</v>
      </c>
      <c r="F1003" t="s">
        <v>191</v>
      </c>
      <c r="G1003" s="23" t="s">
        <v>64</v>
      </c>
      <c r="H1003" s="23" t="s">
        <v>65</v>
      </c>
      <c r="I1003" t="s">
        <v>1379</v>
      </c>
      <c r="J1003" t="s">
        <v>22</v>
      </c>
      <c r="K1003" s="22">
        <v>3</v>
      </c>
      <c r="L1003" s="1">
        <v>42569</v>
      </c>
      <c r="M1003" s="22">
        <f>Table10[[#This Row],[Ship Date]]-Table10[[#This Row],[Order Date]]</f>
        <v>4</v>
      </c>
      <c r="N1003" t="s">
        <v>45</v>
      </c>
      <c r="O1003" t="s">
        <v>23</v>
      </c>
      <c r="P1003" t="s">
        <v>38</v>
      </c>
      <c r="Q1003" t="s">
        <v>39</v>
      </c>
      <c r="R1003" t="s">
        <v>114</v>
      </c>
      <c r="S1003" s="33">
        <v>0.2</v>
      </c>
      <c r="T1003" s="13">
        <v>110.376</v>
      </c>
      <c r="U1003" s="13">
        <v>12.417299999999999</v>
      </c>
      <c r="V1003" s="21">
        <f>Table10[[#This Row],[Profit]]/Table10[[#This Row],[Sales]]</f>
        <v>0.11249999999999999</v>
      </c>
    </row>
    <row r="1004" spans="1:22" x14ac:dyDescent="0.2">
      <c r="A1004">
        <v>1003</v>
      </c>
      <c r="B1004" t="s">
        <v>8580</v>
      </c>
      <c r="C1004" s="1">
        <v>42565</v>
      </c>
      <c r="D1004" s="22">
        <f>MONTH(Table10[[#This Row],[Order Date]])</f>
        <v>7</v>
      </c>
      <c r="E1004" t="s">
        <v>6718</v>
      </c>
      <c r="F1004" t="s">
        <v>6719</v>
      </c>
      <c r="G1004" s="23" t="s">
        <v>41</v>
      </c>
      <c r="H1004" s="23" t="s">
        <v>71</v>
      </c>
      <c r="I1004" t="s">
        <v>1379</v>
      </c>
      <c r="J1004" t="s">
        <v>22</v>
      </c>
      <c r="K1004" s="22">
        <v>7</v>
      </c>
      <c r="L1004" s="1">
        <v>42569</v>
      </c>
      <c r="M1004" s="22">
        <f>Table10[[#This Row],[Ship Date]]-Table10[[#This Row],[Order Date]]</f>
        <v>4</v>
      </c>
      <c r="N1004" t="s">
        <v>45</v>
      </c>
      <c r="O1004" t="s">
        <v>23</v>
      </c>
      <c r="P1004" t="s">
        <v>38</v>
      </c>
      <c r="Q1004" t="s">
        <v>39</v>
      </c>
      <c r="R1004" t="s">
        <v>114</v>
      </c>
      <c r="S1004" s="33">
        <v>0</v>
      </c>
      <c r="T1004" s="13">
        <v>151.62</v>
      </c>
      <c r="U1004" s="13">
        <v>50.034599999999998</v>
      </c>
      <c r="V1004" s="21">
        <f>Table10[[#This Row],[Profit]]/Table10[[#This Row],[Sales]]</f>
        <v>0.32999999999999996</v>
      </c>
    </row>
    <row r="1005" spans="1:22" x14ac:dyDescent="0.2">
      <c r="A1005">
        <v>1004</v>
      </c>
      <c r="B1005" t="s">
        <v>8580</v>
      </c>
      <c r="C1005" s="1">
        <v>42565</v>
      </c>
      <c r="D1005" s="22">
        <f>MONTH(Table10[[#This Row],[Order Date]])</f>
        <v>7</v>
      </c>
      <c r="E1005" t="s">
        <v>1519</v>
      </c>
      <c r="F1005" t="s">
        <v>1520</v>
      </c>
      <c r="G1005" s="23" t="s">
        <v>28</v>
      </c>
      <c r="H1005" s="23" t="s">
        <v>58</v>
      </c>
      <c r="I1005" t="s">
        <v>1379</v>
      </c>
      <c r="J1005" t="s">
        <v>22</v>
      </c>
      <c r="K1005" s="22">
        <v>4</v>
      </c>
      <c r="L1005" s="1">
        <v>42569</v>
      </c>
      <c r="M1005" s="22">
        <f>Table10[[#This Row],[Ship Date]]-Table10[[#This Row],[Order Date]]</f>
        <v>4</v>
      </c>
      <c r="N1005" t="s">
        <v>45</v>
      </c>
      <c r="O1005" t="s">
        <v>23</v>
      </c>
      <c r="P1005" t="s">
        <v>38</v>
      </c>
      <c r="Q1005" t="s">
        <v>39</v>
      </c>
      <c r="R1005" t="s">
        <v>114</v>
      </c>
      <c r="S1005" s="33">
        <v>0</v>
      </c>
      <c r="T1005" s="13">
        <v>30.8</v>
      </c>
      <c r="U1005" s="13">
        <v>10.164</v>
      </c>
      <c r="V1005" s="21">
        <f>Table10[[#This Row],[Profit]]/Table10[[#This Row],[Sales]]</f>
        <v>0.32999999999999996</v>
      </c>
    </row>
    <row r="1006" spans="1:22" x14ac:dyDescent="0.2">
      <c r="A1006">
        <v>1005</v>
      </c>
      <c r="B1006" t="s">
        <v>4621</v>
      </c>
      <c r="C1006" s="1">
        <v>42566</v>
      </c>
      <c r="D1006" s="22">
        <f>MONTH(Table10[[#This Row],[Order Date]])</f>
        <v>7</v>
      </c>
      <c r="E1006" t="s">
        <v>4622</v>
      </c>
      <c r="F1006" t="s">
        <v>4623</v>
      </c>
      <c r="G1006" s="23" t="s">
        <v>41</v>
      </c>
      <c r="H1006" s="23" t="s">
        <v>513</v>
      </c>
      <c r="I1006" t="s">
        <v>4343</v>
      </c>
      <c r="J1006" t="s">
        <v>92</v>
      </c>
      <c r="K1006" s="22">
        <v>5</v>
      </c>
      <c r="L1006" s="1">
        <v>42572</v>
      </c>
      <c r="M1006" s="22">
        <f>Table10[[#This Row],[Ship Date]]-Table10[[#This Row],[Order Date]]</f>
        <v>6</v>
      </c>
      <c r="N1006" t="s">
        <v>45</v>
      </c>
      <c r="O1006" t="s">
        <v>23</v>
      </c>
      <c r="P1006" t="s">
        <v>109</v>
      </c>
      <c r="Q1006" t="s">
        <v>39</v>
      </c>
      <c r="R1006" t="s">
        <v>3326</v>
      </c>
      <c r="S1006" s="33">
        <v>0</v>
      </c>
      <c r="T1006" s="13">
        <v>44.4</v>
      </c>
      <c r="U1006" s="13">
        <v>12.432</v>
      </c>
      <c r="V1006" s="21">
        <f>Table10[[#This Row],[Profit]]/Table10[[#This Row],[Sales]]</f>
        <v>0.28000000000000003</v>
      </c>
    </row>
    <row r="1007" spans="1:22" x14ac:dyDescent="0.2">
      <c r="A1007">
        <v>1006</v>
      </c>
      <c r="B1007" t="s">
        <v>8969</v>
      </c>
      <c r="C1007" s="1">
        <v>42566</v>
      </c>
      <c r="D1007" s="22">
        <f>MONTH(Table10[[#This Row],[Order Date]])</f>
        <v>7</v>
      </c>
      <c r="E1007" t="s">
        <v>1291</v>
      </c>
      <c r="F1007" t="s">
        <v>1292</v>
      </c>
      <c r="G1007" s="23" t="s">
        <v>28</v>
      </c>
      <c r="H1007" s="23" t="s">
        <v>32</v>
      </c>
      <c r="I1007" t="s">
        <v>3447</v>
      </c>
      <c r="J1007" t="s">
        <v>36</v>
      </c>
      <c r="K1007" s="22">
        <v>3</v>
      </c>
      <c r="L1007" s="1">
        <v>42571</v>
      </c>
      <c r="M1007" s="22">
        <f>Table10[[#This Row],[Ship Date]]-Table10[[#This Row],[Order Date]]</f>
        <v>5</v>
      </c>
      <c r="N1007" t="s">
        <v>45</v>
      </c>
      <c r="O1007" t="s">
        <v>23</v>
      </c>
      <c r="P1007" t="s">
        <v>374</v>
      </c>
      <c r="Q1007" t="s">
        <v>39</v>
      </c>
      <c r="R1007" t="s">
        <v>373</v>
      </c>
      <c r="S1007" s="33">
        <v>0.2</v>
      </c>
      <c r="T1007" s="13">
        <v>230.28</v>
      </c>
      <c r="U1007" s="13">
        <v>23.027999999999999</v>
      </c>
      <c r="V1007" s="21">
        <f>Table10[[#This Row],[Profit]]/Table10[[#This Row],[Sales]]</f>
        <v>9.9999999999999992E-2</v>
      </c>
    </row>
    <row r="1008" spans="1:22" x14ac:dyDescent="0.2">
      <c r="A1008">
        <v>1007</v>
      </c>
      <c r="B1008" t="s">
        <v>8969</v>
      </c>
      <c r="C1008" s="1">
        <v>42566</v>
      </c>
      <c r="D1008" s="22">
        <f>MONTH(Table10[[#This Row],[Order Date]])</f>
        <v>7</v>
      </c>
      <c r="E1008" t="s">
        <v>3294</v>
      </c>
      <c r="F1008" t="s">
        <v>3295</v>
      </c>
      <c r="G1008" s="23" t="s">
        <v>41</v>
      </c>
      <c r="H1008" s="23" t="s">
        <v>82</v>
      </c>
      <c r="I1008" t="s">
        <v>3447</v>
      </c>
      <c r="J1008" t="s">
        <v>36</v>
      </c>
      <c r="K1008" s="22">
        <v>5</v>
      </c>
      <c r="L1008" s="1">
        <v>42571</v>
      </c>
      <c r="M1008" s="22">
        <f>Table10[[#This Row],[Ship Date]]-Table10[[#This Row],[Order Date]]</f>
        <v>5</v>
      </c>
      <c r="N1008" t="s">
        <v>45</v>
      </c>
      <c r="O1008" t="s">
        <v>23</v>
      </c>
      <c r="P1008" t="s">
        <v>374</v>
      </c>
      <c r="Q1008" t="s">
        <v>39</v>
      </c>
      <c r="R1008" t="s">
        <v>373</v>
      </c>
      <c r="S1008" s="33">
        <v>0.2</v>
      </c>
      <c r="T1008" s="13">
        <v>105.52</v>
      </c>
      <c r="U1008" s="13">
        <v>34.293999999999997</v>
      </c>
      <c r="V1008" s="21">
        <f>Table10[[#This Row],[Profit]]/Table10[[#This Row],[Sales]]</f>
        <v>0.32499999999999996</v>
      </c>
    </row>
    <row r="1009" spans="1:22" x14ac:dyDescent="0.2">
      <c r="A1009">
        <v>1008</v>
      </c>
      <c r="B1009" t="s">
        <v>667</v>
      </c>
      <c r="C1009" s="1">
        <v>42567</v>
      </c>
      <c r="D1009" s="22">
        <f>MONTH(Table10[[#This Row],[Order Date]])</f>
        <v>7</v>
      </c>
      <c r="E1009" t="s">
        <v>670</v>
      </c>
      <c r="F1009" t="s">
        <v>671</v>
      </c>
      <c r="G1009" s="23" t="s">
        <v>41</v>
      </c>
      <c r="H1009" s="23" t="s">
        <v>53</v>
      </c>
      <c r="I1009" t="s">
        <v>668</v>
      </c>
      <c r="J1009" t="s">
        <v>36</v>
      </c>
      <c r="K1009" s="22">
        <v>3</v>
      </c>
      <c r="L1009" s="1">
        <v>42573</v>
      </c>
      <c r="M1009" s="22">
        <f>Table10[[#This Row],[Ship Date]]-Table10[[#This Row],[Order Date]]</f>
        <v>6</v>
      </c>
      <c r="N1009" t="s">
        <v>45</v>
      </c>
      <c r="O1009" t="s">
        <v>23</v>
      </c>
      <c r="P1009" t="s">
        <v>94</v>
      </c>
      <c r="Q1009" t="s">
        <v>95</v>
      </c>
      <c r="R1009" t="s">
        <v>669</v>
      </c>
      <c r="S1009" s="33">
        <v>0.2</v>
      </c>
      <c r="T1009" s="13">
        <v>37.223999999999997</v>
      </c>
      <c r="U1009" s="13">
        <v>3.7223999999999999</v>
      </c>
      <c r="V1009" s="21">
        <f>Table10[[#This Row],[Profit]]/Table10[[#This Row],[Sales]]</f>
        <v>0.1</v>
      </c>
    </row>
    <row r="1010" spans="1:22" x14ac:dyDescent="0.2">
      <c r="A1010">
        <v>1009</v>
      </c>
      <c r="B1010" t="s">
        <v>667</v>
      </c>
      <c r="C1010" s="1">
        <v>42567</v>
      </c>
      <c r="D1010" s="22">
        <f>MONTH(Table10[[#This Row],[Order Date]])</f>
        <v>7</v>
      </c>
      <c r="E1010" t="s">
        <v>558</v>
      </c>
      <c r="F1010" t="s">
        <v>559</v>
      </c>
      <c r="G1010" s="23" t="s">
        <v>41</v>
      </c>
      <c r="H1010" s="23" t="s">
        <v>82</v>
      </c>
      <c r="I1010" t="s">
        <v>668</v>
      </c>
      <c r="J1010" t="s">
        <v>36</v>
      </c>
      <c r="K1010" s="22">
        <v>3</v>
      </c>
      <c r="L1010" s="1">
        <v>42573</v>
      </c>
      <c r="M1010" s="22">
        <f>Table10[[#This Row],[Ship Date]]-Table10[[#This Row],[Order Date]]</f>
        <v>6</v>
      </c>
      <c r="N1010" t="s">
        <v>45</v>
      </c>
      <c r="O1010" t="s">
        <v>23</v>
      </c>
      <c r="P1010" t="s">
        <v>94</v>
      </c>
      <c r="Q1010" t="s">
        <v>95</v>
      </c>
      <c r="R1010" t="s">
        <v>669</v>
      </c>
      <c r="S1010" s="33">
        <v>0.2</v>
      </c>
      <c r="T1010" s="13">
        <v>20.015999999999998</v>
      </c>
      <c r="U1010" s="13">
        <v>6.2549999999999999</v>
      </c>
      <c r="V1010" s="21">
        <f>Table10[[#This Row],[Profit]]/Table10[[#This Row],[Sales]]</f>
        <v>0.3125</v>
      </c>
    </row>
    <row r="1011" spans="1:22" x14ac:dyDescent="0.2">
      <c r="A1011">
        <v>1010</v>
      </c>
      <c r="B1011" t="s">
        <v>1766</v>
      </c>
      <c r="C1011" s="1">
        <v>42567</v>
      </c>
      <c r="D1011" s="22">
        <f>MONTH(Table10[[#This Row],[Order Date]])</f>
        <v>7</v>
      </c>
      <c r="E1011" t="s">
        <v>1768</v>
      </c>
      <c r="F1011" t="s">
        <v>1769</v>
      </c>
      <c r="G1011" s="23" t="s">
        <v>64</v>
      </c>
      <c r="H1011" s="23" t="s">
        <v>65</v>
      </c>
      <c r="I1011" t="s">
        <v>1767</v>
      </c>
      <c r="J1011" t="s">
        <v>22</v>
      </c>
      <c r="K1011" s="22">
        <v>3</v>
      </c>
      <c r="L1011" s="1">
        <v>42572</v>
      </c>
      <c r="M1011" s="22">
        <f>Table10[[#This Row],[Ship Date]]-Table10[[#This Row],[Order Date]]</f>
        <v>5</v>
      </c>
      <c r="N1011" t="s">
        <v>45</v>
      </c>
      <c r="O1011" t="s">
        <v>23</v>
      </c>
      <c r="P1011" t="s">
        <v>132</v>
      </c>
      <c r="Q1011" t="s">
        <v>133</v>
      </c>
      <c r="R1011" t="s">
        <v>131</v>
      </c>
      <c r="S1011" s="33">
        <v>0.4</v>
      </c>
      <c r="T1011" s="13">
        <v>143.982</v>
      </c>
      <c r="U1011" s="13">
        <v>-28.796399999999998</v>
      </c>
      <c r="V1011" s="21">
        <f>Table10[[#This Row],[Profit]]/Table10[[#This Row],[Sales]]</f>
        <v>-0.19999999999999998</v>
      </c>
    </row>
    <row r="1012" spans="1:22" x14ac:dyDescent="0.2">
      <c r="A1012">
        <v>1011</v>
      </c>
      <c r="B1012" t="s">
        <v>1766</v>
      </c>
      <c r="C1012" s="1">
        <v>42567</v>
      </c>
      <c r="D1012" s="22">
        <f>MONTH(Table10[[#This Row],[Order Date]])</f>
        <v>7</v>
      </c>
      <c r="E1012" t="s">
        <v>1770</v>
      </c>
      <c r="F1012" t="s">
        <v>1771</v>
      </c>
      <c r="G1012" s="23" t="s">
        <v>64</v>
      </c>
      <c r="H1012" s="23" t="s">
        <v>65</v>
      </c>
      <c r="I1012" t="s">
        <v>1767</v>
      </c>
      <c r="J1012" t="s">
        <v>22</v>
      </c>
      <c r="K1012" s="22">
        <v>4</v>
      </c>
      <c r="L1012" s="1">
        <v>42572</v>
      </c>
      <c r="M1012" s="22">
        <f>Table10[[#This Row],[Ship Date]]-Table10[[#This Row],[Order Date]]</f>
        <v>5</v>
      </c>
      <c r="N1012" t="s">
        <v>45</v>
      </c>
      <c r="O1012" t="s">
        <v>23</v>
      </c>
      <c r="P1012" t="s">
        <v>132</v>
      </c>
      <c r="Q1012" t="s">
        <v>133</v>
      </c>
      <c r="R1012" t="s">
        <v>131</v>
      </c>
      <c r="S1012" s="33">
        <v>0.4</v>
      </c>
      <c r="T1012" s="13">
        <v>494.37599999999998</v>
      </c>
      <c r="U1012" s="13">
        <v>-115.3544</v>
      </c>
      <c r="V1012" s="21">
        <f>Table10[[#This Row],[Profit]]/Table10[[#This Row],[Sales]]</f>
        <v>-0.23333333333333334</v>
      </c>
    </row>
    <row r="1013" spans="1:22" x14ac:dyDescent="0.2">
      <c r="A1013">
        <v>1012</v>
      </c>
      <c r="B1013" t="s">
        <v>1766</v>
      </c>
      <c r="C1013" s="1">
        <v>42567</v>
      </c>
      <c r="D1013" s="22">
        <f>MONTH(Table10[[#This Row],[Order Date]])</f>
        <v>7</v>
      </c>
      <c r="E1013" t="s">
        <v>1722</v>
      </c>
      <c r="F1013" t="s">
        <v>1723</v>
      </c>
      <c r="G1013" s="23" t="s">
        <v>41</v>
      </c>
      <c r="H1013" s="23" t="s">
        <v>513</v>
      </c>
      <c r="I1013" t="s">
        <v>1767</v>
      </c>
      <c r="J1013" t="s">
        <v>22</v>
      </c>
      <c r="K1013" s="22">
        <v>2</v>
      </c>
      <c r="L1013" s="1">
        <v>42572</v>
      </c>
      <c r="M1013" s="22">
        <f>Table10[[#This Row],[Ship Date]]-Table10[[#This Row],[Order Date]]</f>
        <v>5</v>
      </c>
      <c r="N1013" t="s">
        <v>45</v>
      </c>
      <c r="O1013" t="s">
        <v>23</v>
      </c>
      <c r="P1013" t="s">
        <v>132</v>
      </c>
      <c r="Q1013" t="s">
        <v>133</v>
      </c>
      <c r="R1013" t="s">
        <v>131</v>
      </c>
      <c r="S1013" s="33">
        <v>0.2</v>
      </c>
      <c r="T1013" s="13">
        <v>5.84</v>
      </c>
      <c r="U1013" s="13">
        <v>0.73</v>
      </c>
      <c r="V1013" s="21">
        <f>Table10[[#This Row],[Profit]]/Table10[[#This Row],[Sales]]</f>
        <v>0.125</v>
      </c>
    </row>
    <row r="1014" spans="1:22" x14ac:dyDescent="0.2">
      <c r="A1014">
        <v>1013</v>
      </c>
      <c r="B1014" t="s">
        <v>5874</v>
      </c>
      <c r="C1014" s="1">
        <v>42567</v>
      </c>
      <c r="D1014" s="22">
        <f>MONTH(Table10[[#This Row],[Order Date]])</f>
        <v>7</v>
      </c>
      <c r="E1014" t="s">
        <v>2543</v>
      </c>
      <c r="F1014" t="s">
        <v>814</v>
      </c>
      <c r="G1014" s="23" t="s">
        <v>28</v>
      </c>
      <c r="H1014" s="23" t="s">
        <v>58</v>
      </c>
      <c r="I1014" t="s">
        <v>3447</v>
      </c>
      <c r="J1014" t="s">
        <v>36</v>
      </c>
      <c r="K1014" s="22">
        <v>3</v>
      </c>
      <c r="L1014" s="1">
        <v>42569</v>
      </c>
      <c r="M1014" s="22">
        <f>Table10[[#This Row],[Ship Date]]-Table10[[#This Row],[Order Date]]</f>
        <v>2</v>
      </c>
      <c r="N1014" t="s">
        <v>20</v>
      </c>
      <c r="O1014" t="s">
        <v>23</v>
      </c>
      <c r="P1014" t="s">
        <v>94</v>
      </c>
      <c r="Q1014" t="s">
        <v>95</v>
      </c>
      <c r="R1014" t="s">
        <v>165</v>
      </c>
      <c r="S1014" s="33">
        <v>0.6</v>
      </c>
      <c r="T1014" s="13">
        <v>9.5519999999999996</v>
      </c>
      <c r="U1014" s="13">
        <v>-3.8208000000000002</v>
      </c>
      <c r="V1014" s="21">
        <f>Table10[[#This Row],[Profit]]/Table10[[#This Row],[Sales]]</f>
        <v>-0.4</v>
      </c>
    </row>
    <row r="1015" spans="1:22" x14ac:dyDescent="0.2">
      <c r="A1015">
        <v>1014</v>
      </c>
      <c r="B1015" t="s">
        <v>8435</v>
      </c>
      <c r="C1015" s="1">
        <v>42567</v>
      </c>
      <c r="D1015" s="22">
        <f>MONTH(Table10[[#This Row],[Order Date]])</f>
        <v>7</v>
      </c>
      <c r="E1015" t="s">
        <v>154</v>
      </c>
      <c r="F1015" t="s">
        <v>156</v>
      </c>
      <c r="G1015" s="23" t="s">
        <v>41</v>
      </c>
      <c r="H1015" s="23" t="s">
        <v>155</v>
      </c>
      <c r="I1015" t="s">
        <v>516</v>
      </c>
      <c r="J1015" t="s">
        <v>36</v>
      </c>
      <c r="K1015" s="22">
        <v>5</v>
      </c>
      <c r="L1015" s="1">
        <v>42571</v>
      </c>
      <c r="M1015" s="22">
        <f>Table10[[#This Row],[Ship Date]]-Table10[[#This Row],[Order Date]]</f>
        <v>4</v>
      </c>
      <c r="N1015" t="s">
        <v>20</v>
      </c>
      <c r="O1015" t="s">
        <v>23</v>
      </c>
      <c r="P1015" t="s">
        <v>342</v>
      </c>
      <c r="Q1015" t="s">
        <v>26</v>
      </c>
      <c r="R1015" t="s">
        <v>341</v>
      </c>
      <c r="S1015" s="33">
        <v>0</v>
      </c>
      <c r="T1015" s="13">
        <v>10.199999999999999</v>
      </c>
      <c r="U1015" s="13">
        <v>4.7939999999999996</v>
      </c>
      <c r="V1015" s="21">
        <f>Table10[[#This Row],[Profit]]/Table10[[#This Row],[Sales]]</f>
        <v>0.47</v>
      </c>
    </row>
    <row r="1016" spans="1:22" x14ac:dyDescent="0.2">
      <c r="A1016">
        <v>1015</v>
      </c>
      <c r="B1016" t="s">
        <v>8435</v>
      </c>
      <c r="C1016" s="1">
        <v>42567</v>
      </c>
      <c r="D1016" s="22">
        <f>MONTH(Table10[[#This Row],[Order Date]])</f>
        <v>7</v>
      </c>
      <c r="E1016" t="s">
        <v>5445</v>
      </c>
      <c r="F1016" t="s">
        <v>5446</v>
      </c>
      <c r="G1016" s="23" t="s">
        <v>41</v>
      </c>
      <c r="H1016" s="23" t="s">
        <v>61</v>
      </c>
      <c r="I1016" t="s">
        <v>516</v>
      </c>
      <c r="J1016" t="s">
        <v>36</v>
      </c>
      <c r="K1016" s="22">
        <v>3</v>
      </c>
      <c r="L1016" s="1">
        <v>42571</v>
      </c>
      <c r="M1016" s="22">
        <f>Table10[[#This Row],[Ship Date]]-Table10[[#This Row],[Order Date]]</f>
        <v>4</v>
      </c>
      <c r="N1016" t="s">
        <v>20</v>
      </c>
      <c r="O1016" t="s">
        <v>23</v>
      </c>
      <c r="P1016" t="s">
        <v>342</v>
      </c>
      <c r="Q1016" t="s">
        <v>26</v>
      </c>
      <c r="R1016" t="s">
        <v>341</v>
      </c>
      <c r="S1016" s="33">
        <v>0</v>
      </c>
      <c r="T1016" s="13">
        <v>22.32</v>
      </c>
      <c r="U1016" s="13">
        <v>5.58</v>
      </c>
      <c r="V1016" s="21">
        <f>Table10[[#This Row],[Profit]]/Table10[[#This Row],[Sales]]</f>
        <v>0.25</v>
      </c>
    </row>
    <row r="1017" spans="1:22" x14ac:dyDescent="0.2">
      <c r="A1017">
        <v>1016</v>
      </c>
      <c r="B1017" t="s">
        <v>8435</v>
      </c>
      <c r="C1017" s="1">
        <v>42567</v>
      </c>
      <c r="D1017" s="22">
        <f>MONTH(Table10[[#This Row],[Order Date]])</f>
        <v>7</v>
      </c>
      <c r="E1017" t="s">
        <v>1857</v>
      </c>
      <c r="F1017" t="s">
        <v>1858</v>
      </c>
      <c r="G1017" s="23" t="s">
        <v>41</v>
      </c>
      <c r="H1017" s="23" t="s">
        <v>68</v>
      </c>
      <c r="I1017" t="s">
        <v>516</v>
      </c>
      <c r="J1017" t="s">
        <v>36</v>
      </c>
      <c r="K1017" s="22">
        <v>5</v>
      </c>
      <c r="L1017" s="1">
        <v>42571</v>
      </c>
      <c r="M1017" s="22">
        <f>Table10[[#This Row],[Ship Date]]-Table10[[#This Row],[Order Date]]</f>
        <v>4</v>
      </c>
      <c r="N1017" t="s">
        <v>20</v>
      </c>
      <c r="O1017" t="s">
        <v>23</v>
      </c>
      <c r="P1017" t="s">
        <v>342</v>
      </c>
      <c r="Q1017" t="s">
        <v>26</v>
      </c>
      <c r="R1017" t="s">
        <v>341</v>
      </c>
      <c r="S1017" s="33">
        <v>0</v>
      </c>
      <c r="T1017" s="13">
        <v>24.1</v>
      </c>
      <c r="U1017" s="13">
        <v>11.086</v>
      </c>
      <c r="V1017" s="21">
        <f>Table10[[#This Row],[Profit]]/Table10[[#This Row],[Sales]]</f>
        <v>0.45999999999999996</v>
      </c>
    </row>
    <row r="1018" spans="1:22" x14ac:dyDescent="0.2">
      <c r="A1018">
        <v>1017</v>
      </c>
      <c r="B1018" t="s">
        <v>8435</v>
      </c>
      <c r="C1018" s="1">
        <v>42567</v>
      </c>
      <c r="D1018" s="22">
        <f>MONTH(Table10[[#This Row],[Order Date]])</f>
        <v>7</v>
      </c>
      <c r="E1018" t="s">
        <v>4730</v>
      </c>
      <c r="F1018" t="s">
        <v>4731</v>
      </c>
      <c r="G1018" s="23" t="s">
        <v>64</v>
      </c>
      <c r="H1018" s="23" t="s">
        <v>144</v>
      </c>
      <c r="I1018" t="s">
        <v>516</v>
      </c>
      <c r="J1018" t="s">
        <v>36</v>
      </c>
      <c r="K1018" s="22">
        <v>2</v>
      </c>
      <c r="L1018" s="1">
        <v>42571</v>
      </c>
      <c r="M1018" s="22">
        <f>Table10[[#This Row],[Ship Date]]-Table10[[#This Row],[Order Date]]</f>
        <v>4</v>
      </c>
      <c r="N1018" t="s">
        <v>20</v>
      </c>
      <c r="O1018" t="s">
        <v>23</v>
      </c>
      <c r="P1018" t="s">
        <v>342</v>
      </c>
      <c r="Q1018" t="s">
        <v>26</v>
      </c>
      <c r="R1018" t="s">
        <v>341</v>
      </c>
      <c r="S1018" s="33">
        <v>0</v>
      </c>
      <c r="T1018" s="13">
        <v>75.98</v>
      </c>
      <c r="U1018" s="13">
        <v>18.235199999999999</v>
      </c>
      <c r="V1018" s="21">
        <f>Table10[[#This Row],[Profit]]/Table10[[#This Row],[Sales]]</f>
        <v>0.23999999999999996</v>
      </c>
    </row>
    <row r="1019" spans="1:22" x14ac:dyDescent="0.2">
      <c r="A1019">
        <v>1018</v>
      </c>
      <c r="B1019" t="s">
        <v>8435</v>
      </c>
      <c r="C1019" s="1">
        <v>42567</v>
      </c>
      <c r="D1019" s="22">
        <f>MONTH(Table10[[#This Row],[Order Date]])</f>
        <v>7</v>
      </c>
      <c r="E1019" t="s">
        <v>1736</v>
      </c>
      <c r="F1019" t="s">
        <v>1737</v>
      </c>
      <c r="G1019" s="23" t="s">
        <v>41</v>
      </c>
      <c r="H1019" s="23" t="s">
        <v>68</v>
      </c>
      <c r="I1019" t="s">
        <v>516</v>
      </c>
      <c r="J1019" t="s">
        <v>36</v>
      </c>
      <c r="K1019" s="22">
        <v>2</v>
      </c>
      <c r="L1019" s="1">
        <v>42571</v>
      </c>
      <c r="M1019" s="22">
        <f>Table10[[#This Row],[Ship Date]]-Table10[[#This Row],[Order Date]]</f>
        <v>4</v>
      </c>
      <c r="N1019" t="s">
        <v>20</v>
      </c>
      <c r="O1019" t="s">
        <v>23</v>
      </c>
      <c r="P1019" t="s">
        <v>342</v>
      </c>
      <c r="Q1019" t="s">
        <v>26</v>
      </c>
      <c r="R1019" t="s">
        <v>341</v>
      </c>
      <c r="S1019" s="33">
        <v>0</v>
      </c>
      <c r="T1019" s="13">
        <v>6.46</v>
      </c>
      <c r="U1019" s="13">
        <v>3.1654</v>
      </c>
      <c r="V1019" s="21">
        <f>Table10[[#This Row],[Profit]]/Table10[[#This Row],[Sales]]</f>
        <v>0.49</v>
      </c>
    </row>
    <row r="1020" spans="1:22" x14ac:dyDescent="0.2">
      <c r="A1020">
        <v>1019</v>
      </c>
      <c r="B1020" t="s">
        <v>8435</v>
      </c>
      <c r="C1020" s="1">
        <v>42567</v>
      </c>
      <c r="D1020" s="22">
        <f>MONTH(Table10[[#This Row],[Order Date]])</f>
        <v>7</v>
      </c>
      <c r="E1020" t="s">
        <v>6343</v>
      </c>
      <c r="F1020" t="s">
        <v>6344</v>
      </c>
      <c r="G1020" s="23" t="s">
        <v>41</v>
      </c>
      <c r="H1020" s="23" t="s">
        <v>82</v>
      </c>
      <c r="I1020" t="s">
        <v>516</v>
      </c>
      <c r="J1020" t="s">
        <v>36</v>
      </c>
      <c r="K1020" s="22">
        <v>9</v>
      </c>
      <c r="L1020" s="1">
        <v>42571</v>
      </c>
      <c r="M1020" s="22">
        <f>Table10[[#This Row],[Ship Date]]-Table10[[#This Row],[Order Date]]</f>
        <v>4</v>
      </c>
      <c r="N1020" t="s">
        <v>20</v>
      </c>
      <c r="O1020" t="s">
        <v>23</v>
      </c>
      <c r="P1020" t="s">
        <v>342</v>
      </c>
      <c r="Q1020" t="s">
        <v>26</v>
      </c>
      <c r="R1020" t="s">
        <v>341</v>
      </c>
      <c r="S1020" s="33">
        <v>0</v>
      </c>
      <c r="T1020" s="13">
        <v>60.12</v>
      </c>
      <c r="U1020" s="13">
        <v>28.857600000000001</v>
      </c>
      <c r="V1020" s="21">
        <f>Table10[[#This Row],[Profit]]/Table10[[#This Row],[Sales]]</f>
        <v>0.48000000000000004</v>
      </c>
    </row>
    <row r="1021" spans="1:22" x14ac:dyDescent="0.2">
      <c r="A1021">
        <v>1020</v>
      </c>
      <c r="B1021" t="s">
        <v>192</v>
      </c>
      <c r="C1021" s="1">
        <v>42568</v>
      </c>
      <c r="D1021" s="22">
        <f>MONTH(Table10[[#This Row],[Order Date]])</f>
        <v>7</v>
      </c>
      <c r="E1021" t="s">
        <v>194</v>
      </c>
      <c r="F1021" t="s">
        <v>195</v>
      </c>
      <c r="G1021" s="23" t="s">
        <v>41</v>
      </c>
      <c r="H1021" s="23" t="s">
        <v>53</v>
      </c>
      <c r="I1021" t="s">
        <v>193</v>
      </c>
      <c r="J1021" t="s">
        <v>36</v>
      </c>
      <c r="K1021" s="22">
        <v>2</v>
      </c>
      <c r="L1021" s="1">
        <v>42573</v>
      </c>
      <c r="M1021" s="22">
        <f>Table10[[#This Row],[Ship Date]]-Table10[[#This Row],[Order Date]]</f>
        <v>5</v>
      </c>
      <c r="N1021" t="s">
        <v>45</v>
      </c>
      <c r="O1021" t="s">
        <v>23</v>
      </c>
      <c r="P1021" t="s">
        <v>38</v>
      </c>
      <c r="Q1021" t="s">
        <v>39</v>
      </c>
      <c r="R1021" t="s">
        <v>37</v>
      </c>
      <c r="S1021" s="33">
        <v>0</v>
      </c>
      <c r="T1021" s="13">
        <v>77.88</v>
      </c>
      <c r="U1021" s="13">
        <v>3.8940000000000001</v>
      </c>
      <c r="V1021" s="21">
        <f>Table10[[#This Row],[Profit]]/Table10[[#This Row],[Sales]]</f>
        <v>0.05</v>
      </c>
    </row>
    <row r="1022" spans="1:22" x14ac:dyDescent="0.2">
      <c r="A1022">
        <v>1021</v>
      </c>
      <c r="B1022" t="s">
        <v>4364</v>
      </c>
      <c r="C1022" s="1">
        <v>42568</v>
      </c>
      <c r="D1022" s="22">
        <f>MONTH(Table10[[#This Row],[Order Date]])</f>
        <v>7</v>
      </c>
      <c r="E1022" t="s">
        <v>2483</v>
      </c>
      <c r="F1022" t="s">
        <v>2484</v>
      </c>
      <c r="G1022" s="23" t="s">
        <v>41</v>
      </c>
      <c r="H1022" s="23" t="s">
        <v>71</v>
      </c>
      <c r="I1022" t="s">
        <v>4365</v>
      </c>
      <c r="J1022" t="s">
        <v>36</v>
      </c>
      <c r="K1022" s="22">
        <v>2</v>
      </c>
      <c r="L1022" s="1">
        <v>42572</v>
      </c>
      <c r="M1022" s="22">
        <f>Table10[[#This Row],[Ship Date]]-Table10[[#This Row],[Order Date]]</f>
        <v>4</v>
      </c>
      <c r="N1022" t="s">
        <v>45</v>
      </c>
      <c r="O1022" t="s">
        <v>23</v>
      </c>
      <c r="P1022" t="s">
        <v>695</v>
      </c>
      <c r="Q1022" t="s">
        <v>133</v>
      </c>
      <c r="R1022" t="s">
        <v>4366</v>
      </c>
      <c r="S1022" s="33">
        <v>0</v>
      </c>
      <c r="T1022" s="13">
        <v>162.63999999999999</v>
      </c>
      <c r="U1022" s="13">
        <v>45.539200000000001</v>
      </c>
      <c r="V1022" s="21">
        <f>Table10[[#This Row],[Profit]]/Table10[[#This Row],[Sales]]</f>
        <v>0.28000000000000003</v>
      </c>
    </row>
    <row r="1023" spans="1:22" x14ac:dyDescent="0.2">
      <c r="A1023">
        <v>1022</v>
      </c>
      <c r="B1023" t="s">
        <v>4364</v>
      </c>
      <c r="C1023" s="1">
        <v>42568</v>
      </c>
      <c r="D1023" s="22">
        <f>MONTH(Table10[[#This Row],[Order Date]])</f>
        <v>7</v>
      </c>
      <c r="E1023" t="s">
        <v>923</v>
      </c>
      <c r="F1023" t="s">
        <v>924</v>
      </c>
      <c r="G1023" s="23" t="s">
        <v>64</v>
      </c>
      <c r="H1023" s="23" t="s">
        <v>65</v>
      </c>
      <c r="I1023" t="s">
        <v>4365</v>
      </c>
      <c r="J1023" t="s">
        <v>36</v>
      </c>
      <c r="K1023" s="22">
        <v>3</v>
      </c>
      <c r="L1023" s="1">
        <v>42572</v>
      </c>
      <c r="M1023" s="22">
        <f>Table10[[#This Row],[Ship Date]]-Table10[[#This Row],[Order Date]]</f>
        <v>4</v>
      </c>
      <c r="N1023" t="s">
        <v>45</v>
      </c>
      <c r="O1023" t="s">
        <v>23</v>
      </c>
      <c r="P1023" t="s">
        <v>695</v>
      </c>
      <c r="Q1023" t="s">
        <v>133</v>
      </c>
      <c r="R1023" t="s">
        <v>4366</v>
      </c>
      <c r="S1023" s="33">
        <v>0</v>
      </c>
      <c r="T1023" s="13">
        <v>597</v>
      </c>
      <c r="U1023" s="13">
        <v>280.58999999999997</v>
      </c>
      <c r="V1023" s="21">
        <f>Table10[[#This Row],[Profit]]/Table10[[#This Row],[Sales]]</f>
        <v>0.47</v>
      </c>
    </row>
    <row r="1024" spans="1:22" x14ac:dyDescent="0.2">
      <c r="A1024">
        <v>1023</v>
      </c>
      <c r="B1024" t="s">
        <v>4364</v>
      </c>
      <c r="C1024" s="1">
        <v>42568</v>
      </c>
      <c r="D1024" s="22">
        <f>MONTH(Table10[[#This Row],[Order Date]])</f>
        <v>7</v>
      </c>
      <c r="E1024" t="s">
        <v>1439</v>
      </c>
      <c r="F1024" t="s">
        <v>1440</v>
      </c>
      <c r="G1024" s="23" t="s">
        <v>41</v>
      </c>
      <c r="H1024" s="23" t="s">
        <v>82</v>
      </c>
      <c r="I1024" t="s">
        <v>4365</v>
      </c>
      <c r="J1024" t="s">
        <v>36</v>
      </c>
      <c r="K1024" s="22">
        <v>1</v>
      </c>
      <c r="L1024" s="1">
        <v>42572</v>
      </c>
      <c r="M1024" s="22">
        <f>Table10[[#This Row],[Ship Date]]-Table10[[#This Row],[Order Date]]</f>
        <v>4</v>
      </c>
      <c r="N1024" t="s">
        <v>45</v>
      </c>
      <c r="O1024" t="s">
        <v>23</v>
      </c>
      <c r="P1024" t="s">
        <v>695</v>
      </c>
      <c r="Q1024" t="s">
        <v>133</v>
      </c>
      <c r="R1024" t="s">
        <v>4366</v>
      </c>
      <c r="S1024" s="33">
        <v>0</v>
      </c>
      <c r="T1024" s="13">
        <v>55.48</v>
      </c>
      <c r="U1024" s="13">
        <v>26.630400000000002</v>
      </c>
      <c r="V1024" s="21">
        <f>Table10[[#This Row],[Profit]]/Table10[[#This Row],[Sales]]</f>
        <v>0.48000000000000004</v>
      </c>
    </row>
    <row r="1025" spans="1:22" x14ac:dyDescent="0.2">
      <c r="A1025">
        <v>1024</v>
      </c>
      <c r="B1025" t="s">
        <v>5644</v>
      </c>
      <c r="C1025" s="1">
        <v>42568</v>
      </c>
      <c r="D1025" s="22">
        <f>MONTH(Table10[[#This Row],[Order Date]])</f>
        <v>7</v>
      </c>
      <c r="E1025" t="s">
        <v>5645</v>
      </c>
      <c r="F1025" t="s">
        <v>5646</v>
      </c>
      <c r="G1025" s="23" t="s">
        <v>41</v>
      </c>
      <c r="H1025" s="23" t="s">
        <v>82</v>
      </c>
      <c r="I1025" t="s">
        <v>78</v>
      </c>
      <c r="J1025" t="s">
        <v>22</v>
      </c>
      <c r="K1025" s="22">
        <v>3</v>
      </c>
      <c r="L1025" s="1">
        <v>42573</v>
      </c>
      <c r="M1025" s="22">
        <f>Table10[[#This Row],[Ship Date]]-Table10[[#This Row],[Order Date]]</f>
        <v>5</v>
      </c>
      <c r="N1025" t="s">
        <v>45</v>
      </c>
      <c r="O1025" t="s">
        <v>23</v>
      </c>
      <c r="P1025" t="s">
        <v>528</v>
      </c>
      <c r="Q1025" t="s">
        <v>95</v>
      </c>
      <c r="R1025" t="s">
        <v>284</v>
      </c>
      <c r="S1025" s="33">
        <v>0</v>
      </c>
      <c r="T1025" s="13">
        <v>21.93</v>
      </c>
      <c r="U1025" s="13">
        <v>10.0878</v>
      </c>
      <c r="V1025" s="21">
        <f>Table10[[#This Row],[Profit]]/Table10[[#This Row],[Sales]]</f>
        <v>0.45999999999999996</v>
      </c>
    </row>
    <row r="1026" spans="1:22" x14ac:dyDescent="0.2">
      <c r="A1026">
        <v>1025</v>
      </c>
      <c r="B1026" t="s">
        <v>5644</v>
      </c>
      <c r="C1026" s="1">
        <v>42568</v>
      </c>
      <c r="D1026" s="22">
        <f>MONTH(Table10[[#This Row],[Order Date]])</f>
        <v>7</v>
      </c>
      <c r="E1026" t="s">
        <v>2995</v>
      </c>
      <c r="F1026" t="s">
        <v>2996</v>
      </c>
      <c r="G1026" s="23" t="s">
        <v>41</v>
      </c>
      <c r="H1026" s="23" t="s">
        <v>53</v>
      </c>
      <c r="I1026" t="s">
        <v>78</v>
      </c>
      <c r="J1026" t="s">
        <v>22</v>
      </c>
      <c r="K1026" s="22">
        <v>3</v>
      </c>
      <c r="L1026" s="1">
        <v>42573</v>
      </c>
      <c r="M1026" s="22">
        <f>Table10[[#This Row],[Ship Date]]-Table10[[#This Row],[Order Date]]</f>
        <v>5</v>
      </c>
      <c r="N1026" t="s">
        <v>45</v>
      </c>
      <c r="O1026" t="s">
        <v>23</v>
      </c>
      <c r="P1026" t="s">
        <v>528</v>
      </c>
      <c r="Q1026" t="s">
        <v>95</v>
      </c>
      <c r="R1026" t="s">
        <v>284</v>
      </c>
      <c r="S1026" s="33">
        <v>0</v>
      </c>
      <c r="T1026" s="13">
        <v>242.94</v>
      </c>
      <c r="U1026" s="13">
        <v>4.8587999999999996</v>
      </c>
      <c r="V1026" s="21">
        <f>Table10[[#This Row],[Profit]]/Table10[[#This Row],[Sales]]</f>
        <v>1.9999999999999997E-2</v>
      </c>
    </row>
    <row r="1027" spans="1:22" x14ac:dyDescent="0.2">
      <c r="A1027">
        <v>1026</v>
      </c>
      <c r="B1027" t="s">
        <v>5644</v>
      </c>
      <c r="C1027" s="1">
        <v>42568</v>
      </c>
      <c r="D1027" s="22">
        <f>MONTH(Table10[[#This Row],[Order Date]])</f>
        <v>7</v>
      </c>
      <c r="E1027" t="s">
        <v>2851</v>
      </c>
      <c r="F1027" t="s">
        <v>2852</v>
      </c>
      <c r="G1027" s="23" t="s">
        <v>41</v>
      </c>
      <c r="H1027" s="23" t="s">
        <v>82</v>
      </c>
      <c r="I1027" t="s">
        <v>78</v>
      </c>
      <c r="J1027" t="s">
        <v>22</v>
      </c>
      <c r="K1027" s="22">
        <v>1</v>
      </c>
      <c r="L1027" s="1">
        <v>42573</v>
      </c>
      <c r="M1027" s="22">
        <f>Table10[[#This Row],[Ship Date]]-Table10[[#This Row],[Order Date]]</f>
        <v>5</v>
      </c>
      <c r="N1027" t="s">
        <v>45</v>
      </c>
      <c r="O1027" t="s">
        <v>23</v>
      </c>
      <c r="P1027" t="s">
        <v>528</v>
      </c>
      <c r="Q1027" t="s">
        <v>95</v>
      </c>
      <c r="R1027" t="s">
        <v>284</v>
      </c>
      <c r="S1027" s="33">
        <v>0</v>
      </c>
      <c r="T1027" s="13">
        <v>7.64</v>
      </c>
      <c r="U1027" s="13">
        <v>3.7435999999999998</v>
      </c>
      <c r="V1027" s="21">
        <f>Table10[[#This Row],[Profit]]/Table10[[#This Row],[Sales]]</f>
        <v>0.49</v>
      </c>
    </row>
    <row r="1028" spans="1:22" x14ac:dyDescent="0.2">
      <c r="A1028">
        <v>1027</v>
      </c>
      <c r="B1028" t="s">
        <v>5644</v>
      </c>
      <c r="C1028" s="1">
        <v>42568</v>
      </c>
      <c r="D1028" s="22">
        <f>MONTH(Table10[[#This Row],[Order Date]])</f>
        <v>7</v>
      </c>
      <c r="E1028" t="s">
        <v>1875</v>
      </c>
      <c r="F1028" t="s">
        <v>1876</v>
      </c>
      <c r="G1028" s="23" t="s">
        <v>41</v>
      </c>
      <c r="H1028" s="23" t="s">
        <v>82</v>
      </c>
      <c r="I1028" t="s">
        <v>78</v>
      </c>
      <c r="J1028" t="s">
        <v>22</v>
      </c>
      <c r="K1028" s="22">
        <v>8</v>
      </c>
      <c r="L1028" s="1">
        <v>42573</v>
      </c>
      <c r="M1028" s="22">
        <f>Table10[[#This Row],[Ship Date]]-Table10[[#This Row],[Order Date]]</f>
        <v>5</v>
      </c>
      <c r="N1028" t="s">
        <v>45</v>
      </c>
      <c r="O1028" t="s">
        <v>23</v>
      </c>
      <c r="P1028" t="s">
        <v>528</v>
      </c>
      <c r="Q1028" t="s">
        <v>95</v>
      </c>
      <c r="R1028" t="s">
        <v>284</v>
      </c>
      <c r="S1028" s="33">
        <v>0</v>
      </c>
      <c r="T1028" s="13">
        <v>51.84</v>
      </c>
      <c r="U1028" s="13">
        <v>25.401599999999998</v>
      </c>
      <c r="V1028" s="21">
        <f>Table10[[#This Row],[Profit]]/Table10[[#This Row],[Sales]]</f>
        <v>0.48999999999999994</v>
      </c>
    </row>
    <row r="1029" spans="1:22" x14ac:dyDescent="0.2">
      <c r="A1029">
        <v>1028</v>
      </c>
      <c r="B1029" t="s">
        <v>5644</v>
      </c>
      <c r="C1029" s="1">
        <v>42568</v>
      </c>
      <c r="D1029" s="22">
        <f>MONTH(Table10[[#This Row],[Order Date]])</f>
        <v>7</v>
      </c>
      <c r="E1029" t="s">
        <v>4435</v>
      </c>
      <c r="F1029" t="s">
        <v>4436</v>
      </c>
      <c r="G1029" s="23" t="s">
        <v>41</v>
      </c>
      <c r="H1029" s="23" t="s">
        <v>53</v>
      </c>
      <c r="I1029" t="s">
        <v>78</v>
      </c>
      <c r="J1029" t="s">
        <v>22</v>
      </c>
      <c r="K1029" s="22">
        <v>1</v>
      </c>
      <c r="L1029" s="1">
        <v>42573</v>
      </c>
      <c r="M1029" s="22">
        <f>Table10[[#This Row],[Ship Date]]-Table10[[#This Row],[Order Date]]</f>
        <v>5</v>
      </c>
      <c r="N1029" t="s">
        <v>45</v>
      </c>
      <c r="O1029" t="s">
        <v>23</v>
      </c>
      <c r="P1029" t="s">
        <v>528</v>
      </c>
      <c r="Q1029" t="s">
        <v>95</v>
      </c>
      <c r="R1029" t="s">
        <v>284</v>
      </c>
      <c r="S1029" s="33">
        <v>0</v>
      </c>
      <c r="T1029" s="13">
        <v>265.17</v>
      </c>
      <c r="U1029" s="13">
        <v>47.730600000000003</v>
      </c>
      <c r="V1029" s="21">
        <f>Table10[[#This Row],[Profit]]/Table10[[#This Row],[Sales]]</f>
        <v>0.18</v>
      </c>
    </row>
    <row r="1030" spans="1:22" x14ac:dyDescent="0.2">
      <c r="A1030">
        <v>1029</v>
      </c>
      <c r="B1030" t="s">
        <v>8027</v>
      </c>
      <c r="C1030" s="1">
        <v>42568</v>
      </c>
      <c r="D1030" s="22">
        <f>MONTH(Table10[[#This Row],[Order Date]])</f>
        <v>7</v>
      </c>
      <c r="E1030" t="s">
        <v>5060</v>
      </c>
      <c r="F1030" t="s">
        <v>5061</v>
      </c>
      <c r="G1030" s="23" t="s">
        <v>28</v>
      </c>
      <c r="H1030" s="23" t="s">
        <v>58</v>
      </c>
      <c r="I1030" t="s">
        <v>4593</v>
      </c>
      <c r="J1030" t="s">
        <v>22</v>
      </c>
      <c r="K1030" s="22">
        <v>3</v>
      </c>
      <c r="L1030" s="1">
        <v>42573</v>
      </c>
      <c r="M1030" s="22">
        <f>Table10[[#This Row],[Ship Date]]-Table10[[#This Row],[Order Date]]</f>
        <v>5</v>
      </c>
      <c r="N1030" t="s">
        <v>20</v>
      </c>
      <c r="O1030" t="s">
        <v>23</v>
      </c>
      <c r="P1030" t="s">
        <v>87</v>
      </c>
      <c r="Q1030" t="s">
        <v>39</v>
      </c>
      <c r="R1030" t="s">
        <v>86</v>
      </c>
      <c r="S1030" s="33">
        <v>0</v>
      </c>
      <c r="T1030" s="13">
        <v>12.42</v>
      </c>
      <c r="U1030" s="13">
        <v>4.4711999999999996</v>
      </c>
      <c r="V1030" s="21">
        <f>Table10[[#This Row],[Profit]]/Table10[[#This Row],[Sales]]</f>
        <v>0.36</v>
      </c>
    </row>
    <row r="1031" spans="1:22" x14ac:dyDescent="0.2">
      <c r="A1031">
        <v>1030</v>
      </c>
      <c r="B1031" t="s">
        <v>8027</v>
      </c>
      <c r="C1031" s="1">
        <v>42568</v>
      </c>
      <c r="D1031" s="22">
        <f>MONTH(Table10[[#This Row],[Order Date]])</f>
        <v>7</v>
      </c>
      <c r="E1031" t="s">
        <v>8028</v>
      </c>
      <c r="F1031" t="s">
        <v>8029</v>
      </c>
      <c r="G1031" s="23" t="s">
        <v>64</v>
      </c>
      <c r="H1031" s="23" t="s">
        <v>144</v>
      </c>
      <c r="I1031" t="s">
        <v>4593</v>
      </c>
      <c r="J1031" t="s">
        <v>22</v>
      </c>
      <c r="K1031" s="22">
        <v>3</v>
      </c>
      <c r="L1031" s="1">
        <v>42573</v>
      </c>
      <c r="M1031" s="22">
        <f>Table10[[#This Row],[Ship Date]]-Table10[[#This Row],[Order Date]]</f>
        <v>5</v>
      </c>
      <c r="N1031" t="s">
        <v>20</v>
      </c>
      <c r="O1031" t="s">
        <v>23</v>
      </c>
      <c r="P1031" t="s">
        <v>87</v>
      </c>
      <c r="Q1031" t="s">
        <v>39</v>
      </c>
      <c r="R1031" t="s">
        <v>86</v>
      </c>
      <c r="S1031" s="33">
        <v>0</v>
      </c>
      <c r="T1031" s="13">
        <v>428.4</v>
      </c>
      <c r="U1031" s="13">
        <v>89.963999999999999</v>
      </c>
      <c r="V1031" s="21">
        <f>Table10[[#This Row],[Profit]]/Table10[[#This Row],[Sales]]</f>
        <v>0.21000000000000002</v>
      </c>
    </row>
    <row r="1032" spans="1:22" x14ac:dyDescent="0.2">
      <c r="A1032">
        <v>1031</v>
      </c>
      <c r="B1032" t="s">
        <v>8027</v>
      </c>
      <c r="C1032" s="1">
        <v>42568</v>
      </c>
      <c r="D1032" s="22">
        <f>MONTH(Table10[[#This Row],[Order Date]])</f>
        <v>7</v>
      </c>
      <c r="E1032" t="s">
        <v>6278</v>
      </c>
      <c r="F1032" t="s">
        <v>6279</v>
      </c>
      <c r="G1032" s="23" t="s">
        <v>28</v>
      </c>
      <c r="H1032" s="23" t="s">
        <v>58</v>
      </c>
      <c r="I1032" t="s">
        <v>4593</v>
      </c>
      <c r="J1032" t="s">
        <v>22</v>
      </c>
      <c r="K1032" s="22">
        <v>5</v>
      </c>
      <c r="L1032" s="1">
        <v>42573</v>
      </c>
      <c r="M1032" s="22">
        <f>Table10[[#This Row],[Ship Date]]-Table10[[#This Row],[Order Date]]</f>
        <v>5</v>
      </c>
      <c r="N1032" t="s">
        <v>20</v>
      </c>
      <c r="O1032" t="s">
        <v>23</v>
      </c>
      <c r="P1032" t="s">
        <v>87</v>
      </c>
      <c r="Q1032" t="s">
        <v>39</v>
      </c>
      <c r="R1032" t="s">
        <v>86</v>
      </c>
      <c r="S1032" s="33">
        <v>0</v>
      </c>
      <c r="T1032" s="13">
        <v>24.75</v>
      </c>
      <c r="U1032" s="13">
        <v>10.89</v>
      </c>
      <c r="V1032" s="21">
        <f>Table10[[#This Row],[Profit]]/Table10[[#This Row],[Sales]]</f>
        <v>0.44</v>
      </c>
    </row>
    <row r="1033" spans="1:22" x14ac:dyDescent="0.2">
      <c r="A1033">
        <v>1032</v>
      </c>
      <c r="B1033" t="s">
        <v>8027</v>
      </c>
      <c r="C1033" s="1">
        <v>42568</v>
      </c>
      <c r="D1033" s="22">
        <f>MONTH(Table10[[#This Row],[Order Date]])</f>
        <v>7</v>
      </c>
      <c r="E1033" t="s">
        <v>1058</v>
      </c>
      <c r="F1033" t="s">
        <v>1059</v>
      </c>
      <c r="G1033" s="23" t="s">
        <v>41</v>
      </c>
      <c r="H1033" s="23" t="s">
        <v>42</v>
      </c>
      <c r="I1033" t="s">
        <v>4593</v>
      </c>
      <c r="J1033" t="s">
        <v>22</v>
      </c>
      <c r="K1033" s="22">
        <v>7</v>
      </c>
      <c r="L1033" s="1">
        <v>42573</v>
      </c>
      <c r="M1033" s="22">
        <f>Table10[[#This Row],[Ship Date]]-Table10[[#This Row],[Order Date]]</f>
        <v>5</v>
      </c>
      <c r="N1033" t="s">
        <v>20</v>
      </c>
      <c r="O1033" t="s">
        <v>23</v>
      </c>
      <c r="P1033" t="s">
        <v>87</v>
      </c>
      <c r="Q1033" t="s">
        <v>39</v>
      </c>
      <c r="R1033" t="s">
        <v>86</v>
      </c>
      <c r="S1033" s="33">
        <v>0</v>
      </c>
      <c r="T1033" s="13">
        <v>87.71</v>
      </c>
      <c r="U1033" s="13">
        <v>41.223700000000001</v>
      </c>
      <c r="V1033" s="21">
        <f>Table10[[#This Row],[Profit]]/Table10[[#This Row],[Sales]]</f>
        <v>0.47000000000000003</v>
      </c>
    </row>
    <row r="1034" spans="1:22" x14ac:dyDescent="0.2">
      <c r="A1034">
        <v>1033</v>
      </c>
      <c r="B1034" t="s">
        <v>8027</v>
      </c>
      <c r="C1034" s="1">
        <v>42568</v>
      </c>
      <c r="D1034" s="22">
        <f>MONTH(Table10[[#This Row],[Order Date]])</f>
        <v>7</v>
      </c>
      <c r="E1034" t="s">
        <v>247</v>
      </c>
      <c r="F1034" t="s">
        <v>248</v>
      </c>
      <c r="G1034" s="23" t="s">
        <v>41</v>
      </c>
      <c r="H1034" s="23" t="s">
        <v>53</v>
      </c>
      <c r="I1034" t="s">
        <v>4593</v>
      </c>
      <c r="J1034" t="s">
        <v>22</v>
      </c>
      <c r="K1034" s="22">
        <v>2</v>
      </c>
      <c r="L1034" s="1">
        <v>42573</v>
      </c>
      <c r="M1034" s="22">
        <f>Table10[[#This Row],[Ship Date]]-Table10[[#This Row],[Order Date]]</f>
        <v>5</v>
      </c>
      <c r="N1034" t="s">
        <v>20</v>
      </c>
      <c r="O1034" t="s">
        <v>23</v>
      </c>
      <c r="P1034" t="s">
        <v>87</v>
      </c>
      <c r="Q1034" t="s">
        <v>39</v>
      </c>
      <c r="R1034" t="s">
        <v>86</v>
      </c>
      <c r="S1034" s="33">
        <v>0</v>
      </c>
      <c r="T1034" s="13">
        <v>69.52</v>
      </c>
      <c r="U1034" s="13">
        <v>17.38</v>
      </c>
      <c r="V1034" s="21">
        <f>Table10[[#This Row],[Profit]]/Table10[[#This Row],[Sales]]</f>
        <v>0.25</v>
      </c>
    </row>
    <row r="1035" spans="1:22" x14ac:dyDescent="0.2">
      <c r="A1035">
        <v>1034</v>
      </c>
      <c r="B1035" t="s">
        <v>8027</v>
      </c>
      <c r="C1035" s="1">
        <v>42568</v>
      </c>
      <c r="D1035" s="22">
        <f>MONTH(Table10[[#This Row],[Order Date]])</f>
        <v>7</v>
      </c>
      <c r="E1035" t="s">
        <v>2691</v>
      </c>
      <c r="F1035" t="s">
        <v>2692</v>
      </c>
      <c r="G1035" s="23" t="s">
        <v>64</v>
      </c>
      <c r="H1035" s="23" t="s">
        <v>65</v>
      </c>
      <c r="I1035" t="s">
        <v>4593</v>
      </c>
      <c r="J1035" t="s">
        <v>22</v>
      </c>
      <c r="K1035" s="22">
        <v>2</v>
      </c>
      <c r="L1035" s="1">
        <v>42573</v>
      </c>
      <c r="M1035" s="22">
        <f>Table10[[#This Row],[Ship Date]]-Table10[[#This Row],[Order Date]]</f>
        <v>5</v>
      </c>
      <c r="N1035" t="s">
        <v>20</v>
      </c>
      <c r="O1035" t="s">
        <v>23</v>
      </c>
      <c r="P1035" t="s">
        <v>87</v>
      </c>
      <c r="Q1035" t="s">
        <v>39</v>
      </c>
      <c r="R1035" t="s">
        <v>86</v>
      </c>
      <c r="S1035" s="33">
        <v>0.2</v>
      </c>
      <c r="T1035" s="13">
        <v>20.783999999999999</v>
      </c>
      <c r="U1035" s="13">
        <v>-4.6764000000000001</v>
      </c>
      <c r="V1035" s="21">
        <f>Table10[[#This Row],[Profit]]/Table10[[#This Row],[Sales]]</f>
        <v>-0.22500000000000001</v>
      </c>
    </row>
    <row r="1036" spans="1:22" x14ac:dyDescent="0.2">
      <c r="A1036">
        <v>1035</v>
      </c>
      <c r="B1036" t="s">
        <v>8027</v>
      </c>
      <c r="C1036" s="1">
        <v>42568</v>
      </c>
      <c r="D1036" s="22">
        <f>MONTH(Table10[[#This Row],[Order Date]])</f>
        <v>7</v>
      </c>
      <c r="E1036" t="s">
        <v>3323</v>
      </c>
      <c r="F1036" t="s">
        <v>3324</v>
      </c>
      <c r="G1036" s="23" t="s">
        <v>41</v>
      </c>
      <c r="H1036" s="23" t="s">
        <v>68</v>
      </c>
      <c r="I1036" t="s">
        <v>4593</v>
      </c>
      <c r="J1036" t="s">
        <v>22</v>
      </c>
      <c r="K1036" s="22">
        <v>3</v>
      </c>
      <c r="L1036" s="1">
        <v>42573</v>
      </c>
      <c r="M1036" s="22">
        <f>Table10[[#This Row],[Ship Date]]-Table10[[#This Row],[Order Date]]</f>
        <v>5</v>
      </c>
      <c r="N1036" t="s">
        <v>20</v>
      </c>
      <c r="O1036" t="s">
        <v>23</v>
      </c>
      <c r="P1036" t="s">
        <v>87</v>
      </c>
      <c r="Q1036" t="s">
        <v>39</v>
      </c>
      <c r="R1036" t="s">
        <v>86</v>
      </c>
      <c r="S1036" s="33">
        <v>0.2</v>
      </c>
      <c r="T1036" s="13">
        <v>12.816000000000001</v>
      </c>
      <c r="U1036" s="13">
        <v>4.1651999999999996</v>
      </c>
      <c r="V1036" s="21">
        <f>Table10[[#This Row],[Profit]]/Table10[[#This Row],[Sales]]</f>
        <v>0.32499999999999996</v>
      </c>
    </row>
    <row r="1037" spans="1:22" x14ac:dyDescent="0.2">
      <c r="A1037">
        <v>1036</v>
      </c>
      <c r="B1037" t="s">
        <v>8917</v>
      </c>
      <c r="C1037" s="1">
        <v>42568</v>
      </c>
      <c r="D1037" s="22">
        <f>MONTH(Table10[[#This Row],[Order Date]])</f>
        <v>7</v>
      </c>
      <c r="E1037" t="s">
        <v>70</v>
      </c>
      <c r="F1037" t="s">
        <v>72</v>
      </c>
      <c r="G1037" s="23" t="s">
        <v>41</v>
      </c>
      <c r="H1037" s="23" t="s">
        <v>71</v>
      </c>
      <c r="I1037" t="s">
        <v>1827</v>
      </c>
      <c r="J1037" t="s">
        <v>22</v>
      </c>
      <c r="K1037" s="22">
        <v>2</v>
      </c>
      <c r="L1037" s="1">
        <v>42573</v>
      </c>
      <c r="M1037" s="22">
        <f>Table10[[#This Row],[Ship Date]]-Table10[[#This Row],[Order Date]]</f>
        <v>5</v>
      </c>
      <c r="N1037" t="s">
        <v>45</v>
      </c>
      <c r="O1037" t="s">
        <v>23</v>
      </c>
      <c r="P1037" t="s">
        <v>238</v>
      </c>
      <c r="Q1037" t="s">
        <v>133</v>
      </c>
      <c r="R1037" t="s">
        <v>237</v>
      </c>
      <c r="S1037" s="33">
        <v>0</v>
      </c>
      <c r="T1037" s="13">
        <v>45.96</v>
      </c>
      <c r="U1037" s="13">
        <v>13.788</v>
      </c>
      <c r="V1037" s="21">
        <f>Table10[[#This Row],[Profit]]/Table10[[#This Row],[Sales]]</f>
        <v>0.3</v>
      </c>
    </row>
    <row r="1038" spans="1:22" x14ac:dyDescent="0.2">
      <c r="A1038">
        <v>1037</v>
      </c>
      <c r="B1038" t="s">
        <v>3014</v>
      </c>
      <c r="C1038" s="1">
        <v>42569</v>
      </c>
      <c r="D1038" s="22">
        <f>MONTH(Table10[[#This Row],[Order Date]])</f>
        <v>7</v>
      </c>
      <c r="E1038" t="s">
        <v>2160</v>
      </c>
      <c r="F1038" t="s">
        <v>2161</v>
      </c>
      <c r="G1038" s="23" t="s">
        <v>28</v>
      </c>
      <c r="H1038" s="23" t="s">
        <v>32</v>
      </c>
      <c r="I1038" t="s">
        <v>2361</v>
      </c>
      <c r="J1038" t="s">
        <v>36</v>
      </c>
      <c r="K1038" s="22">
        <v>3</v>
      </c>
      <c r="L1038" s="1">
        <v>42575</v>
      </c>
      <c r="M1038" s="22">
        <f>Table10[[#This Row],[Ship Date]]-Table10[[#This Row],[Order Date]]</f>
        <v>6</v>
      </c>
      <c r="N1038" t="s">
        <v>45</v>
      </c>
      <c r="O1038" t="s">
        <v>23</v>
      </c>
      <c r="P1038" t="s">
        <v>405</v>
      </c>
      <c r="Q1038" t="s">
        <v>39</v>
      </c>
      <c r="R1038" t="s">
        <v>711</v>
      </c>
      <c r="S1038" s="33">
        <v>0.2</v>
      </c>
      <c r="T1038" s="13">
        <v>544.00800000000004</v>
      </c>
      <c r="U1038" s="13">
        <v>40.800600000000003</v>
      </c>
      <c r="V1038" s="21">
        <f>Table10[[#This Row],[Profit]]/Table10[[#This Row],[Sales]]</f>
        <v>7.4999999999999997E-2</v>
      </c>
    </row>
    <row r="1039" spans="1:22" x14ac:dyDescent="0.2">
      <c r="A1039">
        <v>1038</v>
      </c>
      <c r="B1039" t="s">
        <v>3014</v>
      </c>
      <c r="C1039" s="1">
        <v>42569</v>
      </c>
      <c r="D1039" s="22">
        <f>MONTH(Table10[[#This Row],[Order Date]])</f>
        <v>7</v>
      </c>
      <c r="E1039" t="s">
        <v>921</v>
      </c>
      <c r="F1039" t="s">
        <v>922</v>
      </c>
      <c r="G1039" s="23" t="s">
        <v>41</v>
      </c>
      <c r="H1039" s="23" t="s">
        <v>68</v>
      </c>
      <c r="I1039" t="s">
        <v>2361</v>
      </c>
      <c r="J1039" t="s">
        <v>36</v>
      </c>
      <c r="K1039" s="22">
        <v>3</v>
      </c>
      <c r="L1039" s="1">
        <v>42575</v>
      </c>
      <c r="M1039" s="22">
        <f>Table10[[#This Row],[Ship Date]]-Table10[[#This Row],[Order Date]]</f>
        <v>6</v>
      </c>
      <c r="N1039" t="s">
        <v>45</v>
      </c>
      <c r="O1039" t="s">
        <v>23</v>
      </c>
      <c r="P1039" t="s">
        <v>405</v>
      </c>
      <c r="Q1039" t="s">
        <v>39</v>
      </c>
      <c r="R1039" t="s">
        <v>711</v>
      </c>
      <c r="S1039" s="33">
        <v>0.7</v>
      </c>
      <c r="T1039" s="13">
        <v>1.8720000000000001</v>
      </c>
      <c r="U1039" s="13">
        <v>-1.4352</v>
      </c>
      <c r="V1039" s="21">
        <f>Table10[[#This Row],[Profit]]/Table10[[#This Row],[Sales]]</f>
        <v>-0.76666666666666661</v>
      </c>
    </row>
    <row r="1040" spans="1:22" x14ac:dyDescent="0.2">
      <c r="A1040">
        <v>1039</v>
      </c>
      <c r="B1040" t="s">
        <v>3014</v>
      </c>
      <c r="C1040" s="1">
        <v>42569</v>
      </c>
      <c r="D1040" s="22">
        <f>MONTH(Table10[[#This Row],[Order Date]])</f>
        <v>7</v>
      </c>
      <c r="E1040" t="s">
        <v>1406</v>
      </c>
      <c r="F1040" t="s">
        <v>1407</v>
      </c>
      <c r="G1040" s="23" t="s">
        <v>28</v>
      </c>
      <c r="H1040" s="23" t="s">
        <v>32</v>
      </c>
      <c r="I1040" t="s">
        <v>2361</v>
      </c>
      <c r="J1040" t="s">
        <v>36</v>
      </c>
      <c r="K1040" s="22">
        <v>3</v>
      </c>
      <c r="L1040" s="1">
        <v>42575</v>
      </c>
      <c r="M1040" s="22">
        <f>Table10[[#This Row],[Ship Date]]-Table10[[#This Row],[Order Date]]</f>
        <v>6</v>
      </c>
      <c r="N1040" t="s">
        <v>45</v>
      </c>
      <c r="O1040" t="s">
        <v>23</v>
      </c>
      <c r="P1040" t="s">
        <v>405</v>
      </c>
      <c r="Q1040" t="s">
        <v>39</v>
      </c>
      <c r="R1040" t="s">
        <v>711</v>
      </c>
      <c r="S1040" s="33">
        <v>0.2</v>
      </c>
      <c r="T1040" s="13">
        <v>854.35199999999998</v>
      </c>
      <c r="U1040" s="13">
        <v>10.679399999999999</v>
      </c>
      <c r="V1040" s="21">
        <f>Table10[[#This Row],[Profit]]/Table10[[#This Row],[Sales]]</f>
        <v>1.2499999999999999E-2</v>
      </c>
    </row>
    <row r="1041" spans="1:22" x14ac:dyDescent="0.2">
      <c r="A1041">
        <v>1040</v>
      </c>
      <c r="B1041" t="s">
        <v>3014</v>
      </c>
      <c r="C1041" s="1">
        <v>42569</v>
      </c>
      <c r="D1041" s="22">
        <f>MONTH(Table10[[#This Row],[Order Date]])</f>
        <v>7</v>
      </c>
      <c r="E1041" t="s">
        <v>3015</v>
      </c>
      <c r="F1041" t="s">
        <v>3016</v>
      </c>
      <c r="G1041" s="23" t="s">
        <v>41</v>
      </c>
      <c r="H1041" s="23" t="s">
        <v>53</v>
      </c>
      <c r="I1041" t="s">
        <v>2361</v>
      </c>
      <c r="J1041" t="s">
        <v>36</v>
      </c>
      <c r="K1041" s="22">
        <v>2</v>
      </c>
      <c r="L1041" s="1">
        <v>42575</v>
      </c>
      <c r="M1041" s="22">
        <f>Table10[[#This Row],[Ship Date]]-Table10[[#This Row],[Order Date]]</f>
        <v>6</v>
      </c>
      <c r="N1041" t="s">
        <v>45</v>
      </c>
      <c r="O1041" t="s">
        <v>23</v>
      </c>
      <c r="P1041" t="s">
        <v>405</v>
      </c>
      <c r="Q1041" t="s">
        <v>39</v>
      </c>
      <c r="R1041" t="s">
        <v>711</v>
      </c>
      <c r="S1041" s="33">
        <v>0.2</v>
      </c>
      <c r="T1041" s="13">
        <v>593.56799999999998</v>
      </c>
      <c r="U1041" s="13">
        <v>0</v>
      </c>
      <c r="V1041" s="21">
        <f>Table10[[#This Row],[Profit]]/Table10[[#This Row],[Sales]]</f>
        <v>0</v>
      </c>
    </row>
    <row r="1042" spans="1:22" x14ac:dyDescent="0.2">
      <c r="A1042">
        <v>1041</v>
      </c>
      <c r="B1042" t="s">
        <v>3014</v>
      </c>
      <c r="C1042" s="1">
        <v>42569</v>
      </c>
      <c r="D1042" s="22">
        <f>MONTH(Table10[[#This Row],[Order Date]])</f>
        <v>7</v>
      </c>
      <c r="E1042" t="s">
        <v>1464</v>
      </c>
      <c r="F1042" t="s">
        <v>1465</v>
      </c>
      <c r="G1042" s="23" t="s">
        <v>41</v>
      </c>
      <c r="H1042" s="23" t="s">
        <v>53</v>
      </c>
      <c r="I1042" t="s">
        <v>2361</v>
      </c>
      <c r="J1042" t="s">
        <v>36</v>
      </c>
      <c r="K1042" s="22">
        <v>3</v>
      </c>
      <c r="L1042" s="1">
        <v>42575</v>
      </c>
      <c r="M1042" s="22">
        <f>Table10[[#This Row],[Ship Date]]-Table10[[#This Row],[Order Date]]</f>
        <v>6</v>
      </c>
      <c r="N1042" t="s">
        <v>45</v>
      </c>
      <c r="O1042" t="s">
        <v>23</v>
      </c>
      <c r="P1042" t="s">
        <v>405</v>
      </c>
      <c r="Q1042" t="s">
        <v>39</v>
      </c>
      <c r="R1042" t="s">
        <v>711</v>
      </c>
      <c r="S1042" s="33">
        <v>0.2</v>
      </c>
      <c r="T1042" s="13">
        <v>338.04</v>
      </c>
      <c r="U1042" s="13">
        <v>-33.804000000000002</v>
      </c>
      <c r="V1042" s="21">
        <f>Table10[[#This Row],[Profit]]/Table10[[#This Row],[Sales]]</f>
        <v>-0.1</v>
      </c>
    </row>
    <row r="1043" spans="1:22" x14ac:dyDescent="0.2">
      <c r="A1043">
        <v>1042</v>
      </c>
      <c r="B1043" t="s">
        <v>4079</v>
      </c>
      <c r="C1043" s="1">
        <v>42569</v>
      </c>
      <c r="D1043" s="22">
        <f>MONTH(Table10[[#This Row],[Order Date]])</f>
        <v>7</v>
      </c>
      <c r="E1043" t="s">
        <v>4082</v>
      </c>
      <c r="F1043" t="s">
        <v>4083</v>
      </c>
      <c r="G1043" s="23" t="s">
        <v>28</v>
      </c>
      <c r="H1043" s="23" t="s">
        <v>32</v>
      </c>
      <c r="I1043" t="s">
        <v>4080</v>
      </c>
      <c r="J1043" t="s">
        <v>36</v>
      </c>
      <c r="K1043" s="22">
        <v>1</v>
      </c>
      <c r="L1043" s="1">
        <v>42574</v>
      </c>
      <c r="M1043" s="22">
        <f>Table10[[#This Row],[Ship Date]]-Table10[[#This Row],[Order Date]]</f>
        <v>5</v>
      </c>
      <c r="N1043" t="s">
        <v>45</v>
      </c>
      <c r="O1043" t="s">
        <v>23</v>
      </c>
      <c r="P1043" t="s">
        <v>25</v>
      </c>
      <c r="Q1043" t="s">
        <v>26</v>
      </c>
      <c r="R1043" t="s">
        <v>4081</v>
      </c>
      <c r="S1043" s="33">
        <v>0</v>
      </c>
      <c r="T1043" s="13">
        <v>140.81</v>
      </c>
      <c r="U1043" s="13">
        <v>39.4268</v>
      </c>
      <c r="V1043" s="21">
        <f>Table10[[#This Row],[Profit]]/Table10[[#This Row],[Sales]]</f>
        <v>0.27999999999999997</v>
      </c>
    </row>
    <row r="1044" spans="1:22" x14ac:dyDescent="0.2">
      <c r="A1044">
        <v>1043</v>
      </c>
      <c r="B1044" t="s">
        <v>6117</v>
      </c>
      <c r="C1044" s="1">
        <v>42569</v>
      </c>
      <c r="D1044" s="22">
        <f>MONTH(Table10[[#This Row],[Order Date]])</f>
        <v>7</v>
      </c>
      <c r="E1044" t="s">
        <v>6118</v>
      </c>
      <c r="F1044" t="s">
        <v>6119</v>
      </c>
      <c r="G1044" s="23" t="s">
        <v>41</v>
      </c>
      <c r="H1044" s="23" t="s">
        <v>513</v>
      </c>
      <c r="I1044" t="s">
        <v>5661</v>
      </c>
      <c r="J1044" t="s">
        <v>36</v>
      </c>
      <c r="K1044" s="22">
        <v>5</v>
      </c>
      <c r="L1044" s="1">
        <v>42574</v>
      </c>
      <c r="M1044" s="22">
        <f>Table10[[#This Row],[Ship Date]]-Table10[[#This Row],[Order Date]]</f>
        <v>5</v>
      </c>
      <c r="N1044" t="s">
        <v>45</v>
      </c>
      <c r="O1044" t="s">
        <v>23</v>
      </c>
      <c r="P1044" t="s">
        <v>277</v>
      </c>
      <c r="Q1044" t="s">
        <v>39</v>
      </c>
      <c r="R1044" t="s">
        <v>3477</v>
      </c>
      <c r="S1044" s="33">
        <v>0.2</v>
      </c>
      <c r="T1044" s="13">
        <v>33.799999999999997</v>
      </c>
      <c r="U1044" s="13">
        <v>4.2249999999999996</v>
      </c>
      <c r="V1044" s="21">
        <f>Table10[[#This Row],[Profit]]/Table10[[#This Row],[Sales]]</f>
        <v>0.125</v>
      </c>
    </row>
    <row r="1045" spans="1:22" x14ac:dyDescent="0.2">
      <c r="A1045">
        <v>1044</v>
      </c>
      <c r="B1045" t="s">
        <v>6982</v>
      </c>
      <c r="C1045" s="1">
        <v>42569</v>
      </c>
      <c r="D1045" s="22">
        <f>MONTH(Table10[[#This Row],[Order Date]])</f>
        <v>7</v>
      </c>
      <c r="E1045" t="s">
        <v>6983</v>
      </c>
      <c r="F1045" t="s">
        <v>6984</v>
      </c>
      <c r="G1045" s="23" t="s">
        <v>64</v>
      </c>
      <c r="H1045" s="23" t="s">
        <v>144</v>
      </c>
      <c r="I1045" t="s">
        <v>4719</v>
      </c>
      <c r="J1045" t="s">
        <v>22</v>
      </c>
      <c r="K1045" s="22">
        <v>3</v>
      </c>
      <c r="L1045" s="1">
        <v>42574</v>
      </c>
      <c r="M1045" s="22">
        <f>Table10[[#This Row],[Ship Date]]-Table10[[#This Row],[Order Date]]</f>
        <v>5</v>
      </c>
      <c r="N1045" t="s">
        <v>20</v>
      </c>
      <c r="O1045" t="s">
        <v>23</v>
      </c>
      <c r="P1045" t="s">
        <v>94</v>
      </c>
      <c r="Q1045" t="s">
        <v>95</v>
      </c>
      <c r="R1045" t="s">
        <v>718</v>
      </c>
      <c r="S1045" s="33">
        <v>0.2</v>
      </c>
      <c r="T1045" s="13">
        <v>15.576000000000001</v>
      </c>
      <c r="U1045" s="13">
        <v>3.3098999999999998</v>
      </c>
      <c r="V1045" s="21">
        <f>Table10[[#This Row],[Profit]]/Table10[[#This Row],[Sales]]</f>
        <v>0.21249999999999999</v>
      </c>
    </row>
    <row r="1046" spans="1:22" x14ac:dyDescent="0.2">
      <c r="A1046">
        <v>1045</v>
      </c>
      <c r="B1046" t="s">
        <v>8360</v>
      </c>
      <c r="C1046" s="1">
        <v>42569</v>
      </c>
      <c r="D1046" s="22">
        <f>MONTH(Table10[[#This Row],[Order Date]])</f>
        <v>7</v>
      </c>
      <c r="E1046" t="s">
        <v>1480</v>
      </c>
      <c r="F1046" t="s">
        <v>1481</v>
      </c>
      <c r="G1046" s="23" t="s">
        <v>64</v>
      </c>
      <c r="H1046" s="23" t="s">
        <v>65</v>
      </c>
      <c r="I1046" t="s">
        <v>571</v>
      </c>
      <c r="J1046" t="s">
        <v>22</v>
      </c>
      <c r="K1046" s="22">
        <v>1</v>
      </c>
      <c r="L1046" s="1">
        <v>42573</v>
      </c>
      <c r="M1046" s="22">
        <f>Table10[[#This Row],[Ship Date]]-Table10[[#This Row],[Order Date]]</f>
        <v>4</v>
      </c>
      <c r="N1046" t="s">
        <v>45</v>
      </c>
      <c r="O1046" t="s">
        <v>23</v>
      </c>
      <c r="P1046" t="s">
        <v>277</v>
      </c>
      <c r="Q1046" t="s">
        <v>39</v>
      </c>
      <c r="R1046" t="s">
        <v>481</v>
      </c>
      <c r="S1046" s="33">
        <v>0.2</v>
      </c>
      <c r="T1046" s="13">
        <v>55.991999999999997</v>
      </c>
      <c r="U1046" s="13">
        <v>3.4994999999999998</v>
      </c>
      <c r="V1046" s="21">
        <f>Table10[[#This Row],[Profit]]/Table10[[#This Row],[Sales]]</f>
        <v>6.25E-2</v>
      </c>
    </row>
    <row r="1047" spans="1:22" x14ac:dyDescent="0.2">
      <c r="A1047">
        <v>1046</v>
      </c>
      <c r="B1047" t="s">
        <v>9073</v>
      </c>
      <c r="C1047" s="1">
        <v>42569</v>
      </c>
      <c r="D1047" s="22">
        <f>MONTH(Table10[[#This Row],[Order Date]])</f>
        <v>7</v>
      </c>
      <c r="E1047" t="s">
        <v>2842</v>
      </c>
      <c r="F1047" t="s">
        <v>2843</v>
      </c>
      <c r="G1047" s="23" t="s">
        <v>41</v>
      </c>
      <c r="H1047" s="23" t="s">
        <v>61</v>
      </c>
      <c r="I1047" t="s">
        <v>565</v>
      </c>
      <c r="J1047" t="s">
        <v>92</v>
      </c>
      <c r="K1047" s="22">
        <v>8</v>
      </c>
      <c r="L1047" s="1">
        <v>42573</v>
      </c>
      <c r="M1047" s="22">
        <f>Table10[[#This Row],[Ship Date]]-Table10[[#This Row],[Order Date]]</f>
        <v>4</v>
      </c>
      <c r="N1047" t="s">
        <v>45</v>
      </c>
      <c r="O1047" t="s">
        <v>23</v>
      </c>
      <c r="P1047" t="s">
        <v>132</v>
      </c>
      <c r="Q1047" t="s">
        <v>133</v>
      </c>
      <c r="R1047" t="s">
        <v>131</v>
      </c>
      <c r="S1047" s="33">
        <v>0.2</v>
      </c>
      <c r="T1047" s="13">
        <v>11.263999999999999</v>
      </c>
      <c r="U1047" s="13">
        <v>1.2672000000000001</v>
      </c>
      <c r="V1047" s="21">
        <f>Table10[[#This Row],[Profit]]/Table10[[#This Row],[Sales]]</f>
        <v>0.11250000000000002</v>
      </c>
    </row>
    <row r="1048" spans="1:22" x14ac:dyDescent="0.2">
      <c r="A1048">
        <v>1047</v>
      </c>
      <c r="B1048" t="s">
        <v>9073</v>
      </c>
      <c r="C1048" s="1">
        <v>42569</v>
      </c>
      <c r="D1048" s="22">
        <f>MONTH(Table10[[#This Row],[Order Date]])</f>
        <v>7</v>
      </c>
      <c r="E1048" t="s">
        <v>2894</v>
      </c>
      <c r="F1048" t="s">
        <v>2895</v>
      </c>
      <c r="G1048" s="23" t="s">
        <v>41</v>
      </c>
      <c r="H1048" s="23" t="s">
        <v>53</v>
      </c>
      <c r="I1048" t="s">
        <v>565</v>
      </c>
      <c r="J1048" t="s">
        <v>92</v>
      </c>
      <c r="K1048" s="22">
        <v>10</v>
      </c>
      <c r="L1048" s="1">
        <v>42573</v>
      </c>
      <c r="M1048" s="22">
        <f>Table10[[#This Row],[Ship Date]]-Table10[[#This Row],[Order Date]]</f>
        <v>4</v>
      </c>
      <c r="N1048" t="s">
        <v>45</v>
      </c>
      <c r="O1048" t="s">
        <v>23</v>
      </c>
      <c r="P1048" t="s">
        <v>132</v>
      </c>
      <c r="Q1048" t="s">
        <v>133</v>
      </c>
      <c r="R1048" t="s">
        <v>131</v>
      </c>
      <c r="S1048" s="33">
        <v>0.2</v>
      </c>
      <c r="T1048" s="13">
        <v>284.08</v>
      </c>
      <c r="U1048" s="13">
        <v>24.856999999999999</v>
      </c>
      <c r="V1048" s="21">
        <f>Table10[[#This Row],[Profit]]/Table10[[#This Row],[Sales]]</f>
        <v>8.7500000000000008E-2</v>
      </c>
    </row>
    <row r="1049" spans="1:22" x14ac:dyDescent="0.2">
      <c r="A1049">
        <v>1048</v>
      </c>
      <c r="B1049" t="s">
        <v>9073</v>
      </c>
      <c r="C1049" s="1">
        <v>42569</v>
      </c>
      <c r="D1049" s="22">
        <f>MONTH(Table10[[#This Row],[Order Date]])</f>
        <v>7</v>
      </c>
      <c r="E1049" t="s">
        <v>2087</v>
      </c>
      <c r="F1049" t="s">
        <v>2088</v>
      </c>
      <c r="G1049" s="23" t="s">
        <v>41</v>
      </c>
      <c r="H1049" s="23" t="s">
        <v>82</v>
      </c>
      <c r="I1049" t="s">
        <v>565</v>
      </c>
      <c r="J1049" t="s">
        <v>92</v>
      </c>
      <c r="K1049" s="22">
        <v>4</v>
      </c>
      <c r="L1049" s="1">
        <v>42573</v>
      </c>
      <c r="M1049" s="22">
        <f>Table10[[#This Row],[Ship Date]]-Table10[[#This Row],[Order Date]]</f>
        <v>4</v>
      </c>
      <c r="N1049" t="s">
        <v>45</v>
      </c>
      <c r="O1049" t="s">
        <v>23</v>
      </c>
      <c r="P1049" t="s">
        <v>132</v>
      </c>
      <c r="Q1049" t="s">
        <v>133</v>
      </c>
      <c r="R1049" t="s">
        <v>131</v>
      </c>
      <c r="S1049" s="33">
        <v>0.2</v>
      </c>
      <c r="T1049" s="13">
        <v>18.495999999999999</v>
      </c>
      <c r="U1049" s="13">
        <v>6.7047999999999996</v>
      </c>
      <c r="V1049" s="21">
        <f>Table10[[#This Row],[Profit]]/Table10[[#This Row],[Sales]]</f>
        <v>0.36249999999999999</v>
      </c>
    </row>
    <row r="1050" spans="1:22" x14ac:dyDescent="0.2">
      <c r="A1050">
        <v>1049</v>
      </c>
      <c r="B1050" t="s">
        <v>7842</v>
      </c>
      <c r="C1050" s="1">
        <v>42570</v>
      </c>
      <c r="D1050" s="22">
        <f>MONTH(Table10[[#This Row],[Order Date]])</f>
        <v>7</v>
      </c>
      <c r="E1050" t="s">
        <v>5335</v>
      </c>
      <c r="F1050" t="s">
        <v>5336</v>
      </c>
      <c r="G1050" s="23" t="s">
        <v>28</v>
      </c>
      <c r="H1050" s="23" t="s">
        <v>58</v>
      </c>
      <c r="I1050" t="s">
        <v>4316</v>
      </c>
      <c r="J1050" t="s">
        <v>22</v>
      </c>
      <c r="K1050" s="22">
        <v>6</v>
      </c>
      <c r="L1050" s="1">
        <v>42576</v>
      </c>
      <c r="M1050" s="22">
        <f>Table10[[#This Row],[Ship Date]]-Table10[[#This Row],[Order Date]]</f>
        <v>6</v>
      </c>
      <c r="N1050" t="s">
        <v>45</v>
      </c>
      <c r="O1050" t="s">
        <v>23</v>
      </c>
      <c r="P1050" t="s">
        <v>1315</v>
      </c>
      <c r="Q1050" t="s">
        <v>26</v>
      </c>
      <c r="R1050" t="s">
        <v>6877</v>
      </c>
      <c r="S1050" s="33">
        <v>0</v>
      </c>
      <c r="T1050" s="13">
        <v>185.58</v>
      </c>
      <c r="U1050" s="13">
        <v>76.087800000000001</v>
      </c>
      <c r="V1050" s="21">
        <f>Table10[[#This Row],[Profit]]/Table10[[#This Row],[Sales]]</f>
        <v>0.41</v>
      </c>
    </row>
    <row r="1051" spans="1:22" x14ac:dyDescent="0.2">
      <c r="A1051">
        <v>1050</v>
      </c>
      <c r="B1051" t="s">
        <v>7842</v>
      </c>
      <c r="C1051" s="1">
        <v>42570</v>
      </c>
      <c r="D1051" s="22">
        <f>MONTH(Table10[[#This Row],[Order Date]])</f>
        <v>7</v>
      </c>
      <c r="E1051" t="s">
        <v>6098</v>
      </c>
      <c r="F1051" t="s">
        <v>6099</v>
      </c>
      <c r="G1051" s="23" t="s">
        <v>41</v>
      </c>
      <c r="H1051" s="23" t="s">
        <v>68</v>
      </c>
      <c r="I1051" t="s">
        <v>4316</v>
      </c>
      <c r="J1051" t="s">
        <v>22</v>
      </c>
      <c r="K1051" s="22">
        <v>2</v>
      </c>
      <c r="L1051" s="1">
        <v>42576</v>
      </c>
      <c r="M1051" s="22">
        <f>Table10[[#This Row],[Ship Date]]-Table10[[#This Row],[Order Date]]</f>
        <v>6</v>
      </c>
      <c r="N1051" t="s">
        <v>45</v>
      </c>
      <c r="O1051" t="s">
        <v>23</v>
      </c>
      <c r="P1051" t="s">
        <v>1315</v>
      </c>
      <c r="Q1051" t="s">
        <v>26</v>
      </c>
      <c r="R1051" t="s">
        <v>6877</v>
      </c>
      <c r="S1051" s="33">
        <v>0</v>
      </c>
      <c r="T1051" s="13">
        <v>77.56</v>
      </c>
      <c r="U1051" s="13">
        <v>35.677599999999998</v>
      </c>
      <c r="V1051" s="21">
        <f>Table10[[#This Row],[Profit]]/Table10[[#This Row],[Sales]]</f>
        <v>0.45999999999999996</v>
      </c>
    </row>
    <row r="1052" spans="1:22" x14ac:dyDescent="0.2">
      <c r="A1052">
        <v>1051</v>
      </c>
      <c r="B1052" t="s">
        <v>7842</v>
      </c>
      <c r="C1052" s="1">
        <v>42570</v>
      </c>
      <c r="D1052" s="22">
        <f>MONTH(Table10[[#This Row],[Order Date]])</f>
        <v>7</v>
      </c>
      <c r="E1052" t="s">
        <v>780</v>
      </c>
      <c r="F1052" t="s">
        <v>781</v>
      </c>
      <c r="G1052" s="23" t="s">
        <v>41</v>
      </c>
      <c r="H1052" s="23" t="s">
        <v>53</v>
      </c>
      <c r="I1052" t="s">
        <v>4316</v>
      </c>
      <c r="J1052" t="s">
        <v>22</v>
      </c>
      <c r="K1052" s="22">
        <v>4</v>
      </c>
      <c r="L1052" s="1">
        <v>42576</v>
      </c>
      <c r="M1052" s="22">
        <f>Table10[[#This Row],[Ship Date]]-Table10[[#This Row],[Order Date]]</f>
        <v>6</v>
      </c>
      <c r="N1052" t="s">
        <v>45</v>
      </c>
      <c r="O1052" t="s">
        <v>23</v>
      </c>
      <c r="P1052" t="s">
        <v>1315</v>
      </c>
      <c r="Q1052" t="s">
        <v>26</v>
      </c>
      <c r="R1052" t="s">
        <v>6877</v>
      </c>
      <c r="S1052" s="33">
        <v>0</v>
      </c>
      <c r="T1052" s="13">
        <v>87.92</v>
      </c>
      <c r="U1052" s="13">
        <v>0.87919999999999998</v>
      </c>
      <c r="V1052" s="21">
        <f>Table10[[#This Row],[Profit]]/Table10[[#This Row],[Sales]]</f>
        <v>0.01</v>
      </c>
    </row>
    <row r="1053" spans="1:22" x14ac:dyDescent="0.2">
      <c r="A1053">
        <v>1052</v>
      </c>
      <c r="B1053" t="s">
        <v>7842</v>
      </c>
      <c r="C1053" s="1">
        <v>42570</v>
      </c>
      <c r="D1053" s="22">
        <f>MONTH(Table10[[#This Row],[Order Date]])</f>
        <v>7</v>
      </c>
      <c r="E1053" t="s">
        <v>5840</v>
      </c>
      <c r="F1053" t="s">
        <v>5841</v>
      </c>
      <c r="G1053" s="23" t="s">
        <v>41</v>
      </c>
      <c r="H1053" s="23" t="s">
        <v>82</v>
      </c>
      <c r="I1053" t="s">
        <v>4316</v>
      </c>
      <c r="J1053" t="s">
        <v>22</v>
      </c>
      <c r="K1053" s="22">
        <v>6</v>
      </c>
      <c r="L1053" s="1">
        <v>42576</v>
      </c>
      <c r="M1053" s="22">
        <f>Table10[[#This Row],[Ship Date]]-Table10[[#This Row],[Order Date]]</f>
        <v>6</v>
      </c>
      <c r="N1053" t="s">
        <v>45</v>
      </c>
      <c r="O1053" t="s">
        <v>23</v>
      </c>
      <c r="P1053" t="s">
        <v>1315</v>
      </c>
      <c r="Q1053" t="s">
        <v>26</v>
      </c>
      <c r="R1053" t="s">
        <v>6877</v>
      </c>
      <c r="S1053" s="33">
        <v>0</v>
      </c>
      <c r="T1053" s="13">
        <v>245.94</v>
      </c>
      <c r="U1053" s="13">
        <v>120.5106</v>
      </c>
      <c r="V1053" s="21">
        <f>Table10[[#This Row],[Profit]]/Table10[[#This Row],[Sales]]</f>
        <v>0.49</v>
      </c>
    </row>
    <row r="1054" spans="1:22" x14ac:dyDescent="0.2">
      <c r="A1054">
        <v>1053</v>
      </c>
      <c r="B1054" t="s">
        <v>7842</v>
      </c>
      <c r="C1054" s="1">
        <v>42570</v>
      </c>
      <c r="D1054" s="22">
        <f>MONTH(Table10[[#This Row],[Order Date]])</f>
        <v>7</v>
      </c>
      <c r="E1054" t="s">
        <v>1648</v>
      </c>
      <c r="F1054" t="s">
        <v>1649</v>
      </c>
      <c r="G1054" s="23" t="s">
        <v>41</v>
      </c>
      <c r="H1054" s="23" t="s">
        <v>68</v>
      </c>
      <c r="I1054" t="s">
        <v>4316</v>
      </c>
      <c r="J1054" t="s">
        <v>22</v>
      </c>
      <c r="K1054" s="22">
        <v>1</v>
      </c>
      <c r="L1054" s="1">
        <v>42576</v>
      </c>
      <c r="M1054" s="22">
        <f>Table10[[#This Row],[Ship Date]]-Table10[[#This Row],[Order Date]]</f>
        <v>6</v>
      </c>
      <c r="N1054" t="s">
        <v>45</v>
      </c>
      <c r="O1054" t="s">
        <v>23</v>
      </c>
      <c r="P1054" t="s">
        <v>1315</v>
      </c>
      <c r="Q1054" t="s">
        <v>26</v>
      </c>
      <c r="R1054" t="s">
        <v>6877</v>
      </c>
      <c r="S1054" s="33">
        <v>0</v>
      </c>
      <c r="T1054" s="13">
        <v>8.6</v>
      </c>
      <c r="U1054" s="13">
        <v>4.0419999999999998</v>
      </c>
      <c r="V1054" s="21">
        <f>Table10[[#This Row],[Profit]]/Table10[[#This Row],[Sales]]</f>
        <v>0.47</v>
      </c>
    </row>
    <row r="1055" spans="1:22" x14ac:dyDescent="0.2">
      <c r="A1055">
        <v>1054</v>
      </c>
      <c r="B1055" t="s">
        <v>7842</v>
      </c>
      <c r="C1055" s="1">
        <v>42570</v>
      </c>
      <c r="D1055" s="22">
        <f>MONTH(Table10[[#This Row],[Order Date]])</f>
        <v>7</v>
      </c>
      <c r="E1055" t="s">
        <v>6752</v>
      </c>
      <c r="F1055" t="s">
        <v>6753</v>
      </c>
      <c r="G1055" s="23" t="s">
        <v>28</v>
      </c>
      <c r="H1055" s="23" t="s">
        <v>29</v>
      </c>
      <c r="I1055" t="s">
        <v>4316</v>
      </c>
      <c r="J1055" t="s">
        <v>22</v>
      </c>
      <c r="K1055" s="22">
        <v>5</v>
      </c>
      <c r="L1055" s="1">
        <v>42576</v>
      </c>
      <c r="M1055" s="22">
        <f>Table10[[#This Row],[Ship Date]]-Table10[[#This Row],[Order Date]]</f>
        <v>6</v>
      </c>
      <c r="N1055" t="s">
        <v>45</v>
      </c>
      <c r="O1055" t="s">
        <v>23</v>
      </c>
      <c r="P1055" t="s">
        <v>1315</v>
      </c>
      <c r="Q1055" t="s">
        <v>26</v>
      </c>
      <c r="R1055" t="s">
        <v>6877</v>
      </c>
      <c r="S1055" s="33">
        <v>0</v>
      </c>
      <c r="T1055" s="13">
        <v>504.9</v>
      </c>
      <c r="U1055" s="13">
        <v>126.22499999999999</v>
      </c>
      <c r="V1055" s="21">
        <f>Table10[[#This Row],[Profit]]/Table10[[#This Row],[Sales]]</f>
        <v>0.25</v>
      </c>
    </row>
    <row r="1056" spans="1:22" x14ac:dyDescent="0.2">
      <c r="A1056">
        <v>1055</v>
      </c>
      <c r="B1056" t="s">
        <v>8613</v>
      </c>
      <c r="C1056" s="1">
        <v>42570</v>
      </c>
      <c r="D1056" s="22">
        <f>MONTH(Table10[[#This Row],[Order Date]])</f>
        <v>7</v>
      </c>
      <c r="E1056" t="s">
        <v>8407</v>
      </c>
      <c r="F1056" t="s">
        <v>8408</v>
      </c>
      <c r="G1056" s="23" t="s">
        <v>64</v>
      </c>
      <c r="H1056" s="23" t="s">
        <v>65</v>
      </c>
      <c r="I1056" t="s">
        <v>3186</v>
      </c>
      <c r="J1056" t="s">
        <v>92</v>
      </c>
      <c r="K1056" s="22">
        <v>2</v>
      </c>
      <c r="L1056" s="1">
        <v>42572</v>
      </c>
      <c r="M1056" s="22">
        <f>Table10[[#This Row],[Ship Date]]-Table10[[#This Row],[Order Date]]</f>
        <v>2</v>
      </c>
      <c r="N1056" t="s">
        <v>169</v>
      </c>
      <c r="O1056" t="s">
        <v>23</v>
      </c>
      <c r="P1056" t="s">
        <v>38</v>
      </c>
      <c r="Q1056" t="s">
        <v>39</v>
      </c>
      <c r="R1056" t="s">
        <v>114</v>
      </c>
      <c r="S1056" s="33">
        <v>0.2</v>
      </c>
      <c r="T1056" s="13">
        <v>35.984000000000002</v>
      </c>
      <c r="U1056" s="13">
        <v>4.4980000000000002</v>
      </c>
      <c r="V1056" s="21">
        <f>Table10[[#This Row],[Profit]]/Table10[[#This Row],[Sales]]</f>
        <v>0.125</v>
      </c>
    </row>
    <row r="1057" spans="1:22" x14ac:dyDescent="0.2">
      <c r="A1057">
        <v>1056</v>
      </c>
      <c r="B1057" t="s">
        <v>8613</v>
      </c>
      <c r="C1057" s="1">
        <v>42570</v>
      </c>
      <c r="D1057" s="22">
        <f>MONTH(Table10[[#This Row],[Order Date]])</f>
        <v>7</v>
      </c>
      <c r="E1057" t="s">
        <v>4726</v>
      </c>
      <c r="F1057" t="s">
        <v>4727</v>
      </c>
      <c r="G1057" s="23" t="s">
        <v>64</v>
      </c>
      <c r="H1057" s="23" t="s">
        <v>144</v>
      </c>
      <c r="I1057" t="s">
        <v>3186</v>
      </c>
      <c r="J1057" t="s">
        <v>92</v>
      </c>
      <c r="K1057" s="22">
        <v>3</v>
      </c>
      <c r="L1057" s="1">
        <v>42572</v>
      </c>
      <c r="M1057" s="22">
        <f>Table10[[#This Row],[Ship Date]]-Table10[[#This Row],[Order Date]]</f>
        <v>2</v>
      </c>
      <c r="N1057" t="s">
        <v>169</v>
      </c>
      <c r="O1057" t="s">
        <v>23</v>
      </c>
      <c r="P1057" t="s">
        <v>38</v>
      </c>
      <c r="Q1057" t="s">
        <v>39</v>
      </c>
      <c r="R1057" t="s">
        <v>114</v>
      </c>
      <c r="S1057" s="33">
        <v>0</v>
      </c>
      <c r="T1057" s="13">
        <v>389.97</v>
      </c>
      <c r="U1057" s="13">
        <v>132.5898</v>
      </c>
      <c r="V1057" s="21">
        <f>Table10[[#This Row],[Profit]]/Table10[[#This Row],[Sales]]</f>
        <v>0.33999999999999997</v>
      </c>
    </row>
    <row r="1058" spans="1:22" x14ac:dyDescent="0.2">
      <c r="A1058">
        <v>1057</v>
      </c>
      <c r="B1058" t="s">
        <v>8990</v>
      </c>
      <c r="C1058" s="1">
        <v>42571</v>
      </c>
      <c r="D1058" s="22">
        <f>MONTH(Table10[[#This Row],[Order Date]])</f>
        <v>7</v>
      </c>
      <c r="E1058" t="s">
        <v>2859</v>
      </c>
      <c r="F1058" t="s">
        <v>2860</v>
      </c>
      <c r="G1058" s="23" t="s">
        <v>64</v>
      </c>
      <c r="H1058" s="23" t="s">
        <v>65</v>
      </c>
      <c r="I1058" t="s">
        <v>2236</v>
      </c>
      <c r="J1058" t="s">
        <v>22</v>
      </c>
      <c r="K1058" s="22">
        <v>5</v>
      </c>
      <c r="L1058" s="1">
        <v>42574</v>
      </c>
      <c r="M1058" s="22">
        <f>Table10[[#This Row],[Ship Date]]-Table10[[#This Row],[Order Date]]</f>
        <v>3</v>
      </c>
      <c r="N1058" t="s">
        <v>20</v>
      </c>
      <c r="O1058" t="s">
        <v>23</v>
      </c>
      <c r="P1058" t="s">
        <v>238</v>
      </c>
      <c r="Q1058" t="s">
        <v>133</v>
      </c>
      <c r="R1058" t="s">
        <v>1037</v>
      </c>
      <c r="S1058" s="33">
        <v>0</v>
      </c>
      <c r="T1058" s="13">
        <v>89.95</v>
      </c>
      <c r="U1058" s="13">
        <v>43.176000000000002</v>
      </c>
      <c r="V1058" s="21">
        <f>Table10[[#This Row],[Profit]]/Table10[[#This Row],[Sales]]</f>
        <v>0.48</v>
      </c>
    </row>
    <row r="1059" spans="1:22" x14ac:dyDescent="0.2">
      <c r="A1059">
        <v>1058</v>
      </c>
      <c r="B1059" t="s">
        <v>4391</v>
      </c>
      <c r="C1059" s="1">
        <v>42572</v>
      </c>
      <c r="D1059" s="22">
        <f>MONTH(Table10[[#This Row],[Order Date]])</f>
        <v>7</v>
      </c>
      <c r="E1059" t="s">
        <v>2149</v>
      </c>
      <c r="F1059" t="s">
        <v>2150</v>
      </c>
      <c r="G1059" s="23" t="s">
        <v>41</v>
      </c>
      <c r="H1059" s="23" t="s">
        <v>68</v>
      </c>
      <c r="I1059" t="s">
        <v>4392</v>
      </c>
      <c r="J1059" t="s">
        <v>36</v>
      </c>
      <c r="K1059" s="22">
        <v>1</v>
      </c>
      <c r="L1059" s="1">
        <v>42574</v>
      </c>
      <c r="M1059" s="22">
        <f>Table10[[#This Row],[Ship Date]]-Table10[[#This Row],[Order Date]]</f>
        <v>2</v>
      </c>
      <c r="N1059" t="s">
        <v>20</v>
      </c>
      <c r="O1059" t="s">
        <v>23</v>
      </c>
      <c r="P1059" t="s">
        <v>132</v>
      </c>
      <c r="Q1059" t="s">
        <v>133</v>
      </c>
      <c r="R1059" t="s">
        <v>131</v>
      </c>
      <c r="S1059" s="33">
        <v>0.7</v>
      </c>
      <c r="T1059" s="13">
        <v>1.9410000000000001</v>
      </c>
      <c r="U1059" s="13">
        <v>-1.294</v>
      </c>
      <c r="V1059" s="21">
        <f>Table10[[#This Row],[Profit]]/Table10[[#This Row],[Sales]]</f>
        <v>-0.66666666666666663</v>
      </c>
    </row>
    <row r="1060" spans="1:22" x14ac:dyDescent="0.2">
      <c r="A1060">
        <v>1059</v>
      </c>
      <c r="B1060" t="s">
        <v>7646</v>
      </c>
      <c r="C1060" s="1">
        <v>42572</v>
      </c>
      <c r="D1060" s="22">
        <f>MONTH(Table10[[#This Row],[Order Date]])</f>
        <v>7</v>
      </c>
      <c r="E1060" t="s">
        <v>7647</v>
      </c>
      <c r="F1060" t="s">
        <v>7648</v>
      </c>
      <c r="G1060" s="23" t="s">
        <v>41</v>
      </c>
      <c r="H1060" s="23" t="s">
        <v>61</v>
      </c>
      <c r="I1060" t="s">
        <v>5632</v>
      </c>
      <c r="J1060" t="s">
        <v>36</v>
      </c>
      <c r="K1060" s="22">
        <v>2</v>
      </c>
      <c r="L1060" s="1">
        <v>42572</v>
      </c>
      <c r="M1060" s="22">
        <f>Table10[[#This Row],[Ship Date]]-Table10[[#This Row],[Order Date]]</f>
        <v>0</v>
      </c>
      <c r="N1060" t="s">
        <v>1141</v>
      </c>
      <c r="O1060" t="s">
        <v>23</v>
      </c>
      <c r="P1060" t="s">
        <v>441</v>
      </c>
      <c r="Q1060" t="s">
        <v>133</v>
      </c>
      <c r="R1060" t="s">
        <v>536</v>
      </c>
      <c r="S1060" s="33">
        <v>0.2</v>
      </c>
      <c r="T1060" s="13">
        <v>18.655999999999999</v>
      </c>
      <c r="U1060" s="13">
        <v>1.3992</v>
      </c>
      <c r="V1060" s="21">
        <f>Table10[[#This Row],[Profit]]/Table10[[#This Row],[Sales]]</f>
        <v>7.5000000000000011E-2</v>
      </c>
    </row>
    <row r="1061" spans="1:22" x14ac:dyDescent="0.2">
      <c r="A1061">
        <v>1060</v>
      </c>
      <c r="B1061" t="s">
        <v>7646</v>
      </c>
      <c r="C1061" s="1">
        <v>42572</v>
      </c>
      <c r="D1061" s="22">
        <f>MONTH(Table10[[#This Row],[Order Date]])</f>
        <v>7</v>
      </c>
      <c r="E1061" t="s">
        <v>3808</v>
      </c>
      <c r="F1061" t="s">
        <v>3809</v>
      </c>
      <c r="G1061" s="23" t="s">
        <v>41</v>
      </c>
      <c r="H1061" s="23" t="s">
        <v>68</v>
      </c>
      <c r="I1061" t="s">
        <v>5632</v>
      </c>
      <c r="J1061" t="s">
        <v>36</v>
      </c>
      <c r="K1061" s="22">
        <v>7</v>
      </c>
      <c r="L1061" s="1">
        <v>42572</v>
      </c>
      <c r="M1061" s="22">
        <f>Table10[[#This Row],[Ship Date]]-Table10[[#This Row],[Order Date]]</f>
        <v>0</v>
      </c>
      <c r="N1061" t="s">
        <v>1141</v>
      </c>
      <c r="O1061" t="s">
        <v>23</v>
      </c>
      <c r="P1061" t="s">
        <v>441</v>
      </c>
      <c r="Q1061" t="s">
        <v>133</v>
      </c>
      <c r="R1061" t="s">
        <v>536</v>
      </c>
      <c r="S1061" s="33">
        <v>0.7</v>
      </c>
      <c r="T1061" s="13">
        <v>11.087999999999999</v>
      </c>
      <c r="U1061" s="13">
        <v>-8.1311999999999998</v>
      </c>
      <c r="V1061" s="21">
        <f>Table10[[#This Row],[Profit]]/Table10[[#This Row],[Sales]]</f>
        <v>-0.73333333333333339</v>
      </c>
    </row>
    <row r="1062" spans="1:22" x14ac:dyDescent="0.2">
      <c r="A1062">
        <v>1061</v>
      </c>
      <c r="B1062" t="s">
        <v>7646</v>
      </c>
      <c r="C1062" s="1">
        <v>42572</v>
      </c>
      <c r="D1062" s="22">
        <f>MONTH(Table10[[#This Row],[Order Date]])</f>
        <v>7</v>
      </c>
      <c r="E1062" t="s">
        <v>824</v>
      </c>
      <c r="F1062" t="s">
        <v>825</v>
      </c>
      <c r="G1062" s="23" t="s">
        <v>41</v>
      </c>
      <c r="H1062" s="23" t="s">
        <v>53</v>
      </c>
      <c r="I1062" t="s">
        <v>5632</v>
      </c>
      <c r="J1062" t="s">
        <v>36</v>
      </c>
      <c r="K1062" s="22">
        <v>1</v>
      </c>
      <c r="L1062" s="1">
        <v>42572</v>
      </c>
      <c r="M1062" s="22">
        <f>Table10[[#This Row],[Ship Date]]-Table10[[#This Row],[Order Date]]</f>
        <v>0</v>
      </c>
      <c r="N1062" t="s">
        <v>1141</v>
      </c>
      <c r="O1062" t="s">
        <v>23</v>
      </c>
      <c r="P1062" t="s">
        <v>441</v>
      </c>
      <c r="Q1062" t="s">
        <v>133</v>
      </c>
      <c r="R1062" t="s">
        <v>536</v>
      </c>
      <c r="S1062" s="33">
        <v>0.2</v>
      </c>
      <c r="T1062" s="13">
        <v>66.688000000000002</v>
      </c>
      <c r="U1062" s="13">
        <v>4.1680000000000001</v>
      </c>
      <c r="V1062" s="21">
        <f>Table10[[#This Row],[Profit]]/Table10[[#This Row],[Sales]]</f>
        <v>6.25E-2</v>
      </c>
    </row>
    <row r="1063" spans="1:22" x14ac:dyDescent="0.2">
      <c r="A1063">
        <v>1062</v>
      </c>
      <c r="B1063" t="s">
        <v>7646</v>
      </c>
      <c r="C1063" s="1">
        <v>42572</v>
      </c>
      <c r="D1063" s="22">
        <f>MONTH(Table10[[#This Row],[Order Date]])</f>
        <v>7</v>
      </c>
      <c r="E1063" t="s">
        <v>2833</v>
      </c>
      <c r="F1063" t="s">
        <v>2834</v>
      </c>
      <c r="G1063" s="23" t="s">
        <v>41</v>
      </c>
      <c r="H1063" s="23" t="s">
        <v>53</v>
      </c>
      <c r="I1063" t="s">
        <v>5632</v>
      </c>
      <c r="J1063" t="s">
        <v>36</v>
      </c>
      <c r="K1063" s="22">
        <v>2</v>
      </c>
      <c r="L1063" s="1">
        <v>42572</v>
      </c>
      <c r="M1063" s="22">
        <f>Table10[[#This Row],[Ship Date]]-Table10[[#This Row],[Order Date]]</f>
        <v>0</v>
      </c>
      <c r="N1063" t="s">
        <v>1141</v>
      </c>
      <c r="O1063" t="s">
        <v>23</v>
      </c>
      <c r="P1063" t="s">
        <v>441</v>
      </c>
      <c r="Q1063" t="s">
        <v>133</v>
      </c>
      <c r="R1063" t="s">
        <v>536</v>
      </c>
      <c r="S1063" s="33">
        <v>0.2</v>
      </c>
      <c r="T1063" s="13">
        <v>99.488</v>
      </c>
      <c r="U1063" s="13">
        <v>8.7051999999999996</v>
      </c>
      <c r="V1063" s="21">
        <f>Table10[[#This Row],[Profit]]/Table10[[#This Row],[Sales]]</f>
        <v>8.7499999999999994E-2</v>
      </c>
    </row>
    <row r="1064" spans="1:22" x14ac:dyDescent="0.2">
      <c r="A1064">
        <v>1063</v>
      </c>
      <c r="B1064" t="s">
        <v>7749</v>
      </c>
      <c r="C1064" s="1">
        <v>42572</v>
      </c>
      <c r="D1064" s="22">
        <f>MONTH(Table10[[#This Row],[Order Date]])</f>
        <v>7</v>
      </c>
      <c r="E1064" t="s">
        <v>3274</v>
      </c>
      <c r="F1064" t="s">
        <v>3275</v>
      </c>
      <c r="G1064" s="23" t="s">
        <v>41</v>
      </c>
      <c r="H1064" s="23" t="s">
        <v>42</v>
      </c>
      <c r="I1064" t="s">
        <v>3286</v>
      </c>
      <c r="J1064" t="s">
        <v>22</v>
      </c>
      <c r="K1064" s="22">
        <v>3</v>
      </c>
      <c r="L1064" s="1">
        <v>42577</v>
      </c>
      <c r="M1064" s="22">
        <f>Table10[[#This Row],[Ship Date]]-Table10[[#This Row],[Order Date]]</f>
        <v>5</v>
      </c>
      <c r="N1064" t="s">
        <v>45</v>
      </c>
      <c r="O1064" t="s">
        <v>23</v>
      </c>
      <c r="P1064" t="s">
        <v>80</v>
      </c>
      <c r="Q1064" t="s">
        <v>26</v>
      </c>
      <c r="R1064" t="s">
        <v>79</v>
      </c>
      <c r="S1064" s="33">
        <v>0.2</v>
      </c>
      <c r="T1064" s="13">
        <v>6.2640000000000002</v>
      </c>
      <c r="U1064" s="13">
        <v>2.0358000000000001</v>
      </c>
      <c r="V1064" s="21">
        <f>Table10[[#This Row],[Profit]]/Table10[[#This Row],[Sales]]</f>
        <v>0.32500000000000001</v>
      </c>
    </row>
    <row r="1065" spans="1:22" x14ac:dyDescent="0.2">
      <c r="A1065">
        <v>1064</v>
      </c>
      <c r="B1065" t="s">
        <v>7749</v>
      </c>
      <c r="C1065" s="1">
        <v>42572</v>
      </c>
      <c r="D1065" s="22">
        <f>MONTH(Table10[[#This Row],[Order Date]])</f>
        <v>7</v>
      </c>
      <c r="E1065" t="s">
        <v>3300</v>
      </c>
      <c r="F1065" t="s">
        <v>3301</v>
      </c>
      <c r="G1065" s="23" t="s">
        <v>28</v>
      </c>
      <c r="H1065" s="23" t="s">
        <v>32</v>
      </c>
      <c r="I1065" t="s">
        <v>3286</v>
      </c>
      <c r="J1065" t="s">
        <v>22</v>
      </c>
      <c r="K1065" s="22">
        <v>5</v>
      </c>
      <c r="L1065" s="1">
        <v>42577</v>
      </c>
      <c r="M1065" s="22">
        <f>Table10[[#This Row],[Ship Date]]-Table10[[#This Row],[Order Date]]</f>
        <v>5</v>
      </c>
      <c r="N1065" t="s">
        <v>45</v>
      </c>
      <c r="O1065" t="s">
        <v>23</v>
      </c>
      <c r="P1065" t="s">
        <v>80</v>
      </c>
      <c r="Q1065" t="s">
        <v>26</v>
      </c>
      <c r="R1065" t="s">
        <v>79</v>
      </c>
      <c r="S1065" s="33">
        <v>0.2</v>
      </c>
      <c r="T1065" s="13">
        <v>363.92</v>
      </c>
      <c r="U1065" s="13">
        <v>0</v>
      </c>
      <c r="V1065" s="21">
        <f>Table10[[#This Row],[Profit]]/Table10[[#This Row],[Sales]]</f>
        <v>0</v>
      </c>
    </row>
    <row r="1066" spans="1:22" x14ac:dyDescent="0.2">
      <c r="A1066">
        <v>1065</v>
      </c>
      <c r="B1066" t="s">
        <v>8187</v>
      </c>
      <c r="C1066" s="1">
        <v>42572</v>
      </c>
      <c r="D1066" s="22">
        <f>MONTH(Table10[[#This Row],[Order Date]])</f>
        <v>7</v>
      </c>
      <c r="E1066" t="s">
        <v>3351</v>
      </c>
      <c r="F1066" t="s">
        <v>3352</v>
      </c>
      <c r="G1066" s="23" t="s">
        <v>41</v>
      </c>
      <c r="H1066" s="23" t="s">
        <v>155</v>
      </c>
      <c r="I1066" t="s">
        <v>3402</v>
      </c>
      <c r="J1066" t="s">
        <v>36</v>
      </c>
      <c r="K1066" s="22">
        <v>5</v>
      </c>
      <c r="L1066" s="1">
        <v>42577</v>
      </c>
      <c r="M1066" s="22">
        <f>Table10[[#This Row],[Ship Date]]-Table10[[#This Row],[Order Date]]</f>
        <v>5</v>
      </c>
      <c r="N1066" t="s">
        <v>45</v>
      </c>
      <c r="O1066" t="s">
        <v>23</v>
      </c>
      <c r="P1066" t="s">
        <v>38</v>
      </c>
      <c r="Q1066" t="s">
        <v>39</v>
      </c>
      <c r="R1066" t="s">
        <v>501</v>
      </c>
      <c r="S1066" s="33">
        <v>0</v>
      </c>
      <c r="T1066" s="13">
        <v>419.9</v>
      </c>
      <c r="U1066" s="13">
        <v>197.35300000000001</v>
      </c>
      <c r="V1066" s="21">
        <f>Table10[[#This Row],[Profit]]/Table10[[#This Row],[Sales]]</f>
        <v>0.47000000000000003</v>
      </c>
    </row>
    <row r="1067" spans="1:22" x14ac:dyDescent="0.2">
      <c r="A1067">
        <v>1066</v>
      </c>
      <c r="B1067" t="s">
        <v>8187</v>
      </c>
      <c r="C1067" s="1">
        <v>42572</v>
      </c>
      <c r="D1067" s="22">
        <f>MONTH(Table10[[#This Row],[Order Date]])</f>
        <v>7</v>
      </c>
      <c r="E1067" t="s">
        <v>1273</v>
      </c>
      <c r="F1067" t="s">
        <v>1274</v>
      </c>
      <c r="G1067" s="23" t="s">
        <v>41</v>
      </c>
      <c r="H1067" s="23" t="s">
        <v>42</v>
      </c>
      <c r="I1067" t="s">
        <v>3402</v>
      </c>
      <c r="J1067" t="s">
        <v>36</v>
      </c>
      <c r="K1067" s="22">
        <v>1</v>
      </c>
      <c r="L1067" s="1">
        <v>42577</v>
      </c>
      <c r="M1067" s="22">
        <f>Table10[[#This Row],[Ship Date]]-Table10[[#This Row],[Order Date]]</f>
        <v>5</v>
      </c>
      <c r="N1067" t="s">
        <v>45</v>
      </c>
      <c r="O1067" t="s">
        <v>23</v>
      </c>
      <c r="P1067" t="s">
        <v>38</v>
      </c>
      <c r="Q1067" t="s">
        <v>39</v>
      </c>
      <c r="R1067" t="s">
        <v>501</v>
      </c>
      <c r="S1067" s="33">
        <v>0</v>
      </c>
      <c r="T1067" s="13">
        <v>3.15</v>
      </c>
      <c r="U1067" s="13">
        <v>1.512</v>
      </c>
      <c r="V1067" s="21">
        <f>Table10[[#This Row],[Profit]]/Table10[[#This Row],[Sales]]</f>
        <v>0.48000000000000004</v>
      </c>
    </row>
    <row r="1068" spans="1:22" x14ac:dyDescent="0.2">
      <c r="A1068">
        <v>1067</v>
      </c>
      <c r="B1068" t="s">
        <v>2867</v>
      </c>
      <c r="C1068" s="1">
        <v>42573</v>
      </c>
      <c r="D1068" s="22">
        <f>MONTH(Table10[[#This Row],[Order Date]])</f>
        <v>7</v>
      </c>
      <c r="E1068" t="s">
        <v>1273</v>
      </c>
      <c r="F1068" t="s">
        <v>1274</v>
      </c>
      <c r="G1068" s="23" t="s">
        <v>41</v>
      </c>
      <c r="H1068" s="23" t="s">
        <v>42</v>
      </c>
      <c r="I1068" t="s">
        <v>2868</v>
      </c>
      <c r="J1068" t="s">
        <v>36</v>
      </c>
      <c r="K1068" s="22">
        <v>2</v>
      </c>
      <c r="L1068" s="1">
        <v>42575</v>
      </c>
      <c r="M1068" s="22">
        <f>Table10[[#This Row],[Ship Date]]-Table10[[#This Row],[Order Date]]</f>
        <v>2</v>
      </c>
      <c r="N1068" t="s">
        <v>20</v>
      </c>
      <c r="O1068" t="s">
        <v>23</v>
      </c>
      <c r="P1068" t="s">
        <v>38</v>
      </c>
      <c r="Q1068" t="s">
        <v>39</v>
      </c>
      <c r="R1068" t="s">
        <v>114</v>
      </c>
      <c r="S1068" s="33">
        <v>0</v>
      </c>
      <c r="T1068" s="13">
        <v>6.3</v>
      </c>
      <c r="U1068" s="13">
        <v>3.024</v>
      </c>
      <c r="V1068" s="21">
        <f>Table10[[#This Row],[Profit]]/Table10[[#This Row],[Sales]]</f>
        <v>0.48000000000000004</v>
      </c>
    </row>
    <row r="1069" spans="1:22" x14ac:dyDescent="0.2">
      <c r="A1069">
        <v>1068</v>
      </c>
      <c r="B1069" t="s">
        <v>3580</v>
      </c>
      <c r="C1069" s="1">
        <v>42573</v>
      </c>
      <c r="D1069" s="22">
        <f>MONTH(Table10[[#This Row],[Order Date]])</f>
        <v>7</v>
      </c>
      <c r="E1069" t="s">
        <v>3582</v>
      </c>
      <c r="F1069" t="s">
        <v>3583</v>
      </c>
      <c r="G1069" s="23" t="s">
        <v>41</v>
      </c>
      <c r="H1069" s="23" t="s">
        <v>61</v>
      </c>
      <c r="I1069" t="s">
        <v>1285</v>
      </c>
      <c r="J1069" t="s">
        <v>22</v>
      </c>
      <c r="K1069" s="22">
        <v>2</v>
      </c>
      <c r="L1069" s="1">
        <v>42578</v>
      </c>
      <c r="M1069" s="22">
        <f>Table10[[#This Row],[Ship Date]]-Table10[[#This Row],[Order Date]]</f>
        <v>5</v>
      </c>
      <c r="N1069" t="s">
        <v>45</v>
      </c>
      <c r="O1069" t="s">
        <v>23</v>
      </c>
      <c r="P1069" t="s">
        <v>132</v>
      </c>
      <c r="Q1069" t="s">
        <v>133</v>
      </c>
      <c r="R1069" t="s">
        <v>3581</v>
      </c>
      <c r="S1069" s="33">
        <v>0.2</v>
      </c>
      <c r="T1069" s="13">
        <v>4.16</v>
      </c>
      <c r="U1069" s="13">
        <v>0.36399999999999999</v>
      </c>
      <c r="V1069" s="21">
        <f>Table10[[#This Row],[Profit]]/Table10[[#This Row],[Sales]]</f>
        <v>8.7499999999999994E-2</v>
      </c>
    </row>
    <row r="1070" spans="1:22" x14ac:dyDescent="0.2">
      <c r="A1070">
        <v>1069</v>
      </c>
      <c r="B1070" t="s">
        <v>3580</v>
      </c>
      <c r="C1070" s="1">
        <v>42573</v>
      </c>
      <c r="D1070" s="22">
        <f>MONTH(Table10[[#This Row],[Order Date]])</f>
        <v>7</v>
      </c>
      <c r="E1070" t="s">
        <v>3584</v>
      </c>
      <c r="F1070" t="s">
        <v>3585</v>
      </c>
      <c r="G1070" s="23" t="s">
        <v>28</v>
      </c>
      <c r="H1070" s="23" t="s">
        <v>58</v>
      </c>
      <c r="I1070" t="s">
        <v>1285</v>
      </c>
      <c r="J1070" t="s">
        <v>22</v>
      </c>
      <c r="K1070" s="22">
        <v>2</v>
      </c>
      <c r="L1070" s="1">
        <v>42578</v>
      </c>
      <c r="M1070" s="22">
        <f>Table10[[#This Row],[Ship Date]]-Table10[[#This Row],[Order Date]]</f>
        <v>5</v>
      </c>
      <c r="N1070" t="s">
        <v>45</v>
      </c>
      <c r="O1070" t="s">
        <v>23</v>
      </c>
      <c r="P1070" t="s">
        <v>132</v>
      </c>
      <c r="Q1070" t="s">
        <v>133</v>
      </c>
      <c r="R1070" t="s">
        <v>3581</v>
      </c>
      <c r="S1070" s="33">
        <v>0.2</v>
      </c>
      <c r="T1070" s="13">
        <v>11.648</v>
      </c>
      <c r="U1070" s="13">
        <v>3.3488000000000002</v>
      </c>
      <c r="V1070" s="21">
        <f>Table10[[#This Row],[Profit]]/Table10[[#This Row],[Sales]]</f>
        <v>0.28750000000000003</v>
      </c>
    </row>
    <row r="1071" spans="1:22" x14ac:dyDescent="0.2">
      <c r="A1071">
        <v>1070</v>
      </c>
      <c r="B1071" t="s">
        <v>6764</v>
      </c>
      <c r="C1071" s="1">
        <v>42573</v>
      </c>
      <c r="D1071" s="22">
        <f>MONTH(Table10[[#This Row],[Order Date]])</f>
        <v>7</v>
      </c>
      <c r="E1071" t="s">
        <v>3418</v>
      </c>
      <c r="F1071" t="s">
        <v>3419</v>
      </c>
      <c r="G1071" s="23" t="s">
        <v>64</v>
      </c>
      <c r="H1071" s="23" t="s">
        <v>144</v>
      </c>
      <c r="I1071" t="s">
        <v>4593</v>
      </c>
      <c r="J1071" t="s">
        <v>22</v>
      </c>
      <c r="K1071" s="22">
        <v>1</v>
      </c>
      <c r="L1071" s="1">
        <v>42577</v>
      </c>
      <c r="M1071" s="22">
        <f>Table10[[#This Row],[Ship Date]]-Table10[[#This Row],[Order Date]]</f>
        <v>4</v>
      </c>
      <c r="N1071" t="s">
        <v>45</v>
      </c>
      <c r="O1071" t="s">
        <v>23</v>
      </c>
      <c r="P1071" t="s">
        <v>212</v>
      </c>
      <c r="Q1071" t="s">
        <v>95</v>
      </c>
      <c r="R1071" t="s">
        <v>211</v>
      </c>
      <c r="S1071" s="33">
        <v>0</v>
      </c>
      <c r="T1071" s="13">
        <v>109.95</v>
      </c>
      <c r="U1071" s="13">
        <v>36.283499999999997</v>
      </c>
      <c r="V1071" s="21">
        <f>Table10[[#This Row],[Profit]]/Table10[[#This Row],[Sales]]</f>
        <v>0.32999999999999996</v>
      </c>
    </row>
    <row r="1072" spans="1:22" x14ac:dyDescent="0.2">
      <c r="A1072">
        <v>1071</v>
      </c>
      <c r="B1072" t="s">
        <v>6764</v>
      </c>
      <c r="C1072" s="1">
        <v>42573</v>
      </c>
      <c r="D1072" s="22">
        <f>MONTH(Table10[[#This Row],[Order Date]])</f>
        <v>7</v>
      </c>
      <c r="E1072" t="s">
        <v>6765</v>
      </c>
      <c r="F1072" t="s">
        <v>6766</v>
      </c>
      <c r="G1072" s="23" t="s">
        <v>41</v>
      </c>
      <c r="H1072" s="23" t="s">
        <v>53</v>
      </c>
      <c r="I1072" t="s">
        <v>4593</v>
      </c>
      <c r="J1072" t="s">
        <v>22</v>
      </c>
      <c r="K1072" s="22">
        <v>5</v>
      </c>
      <c r="L1072" s="1">
        <v>42577</v>
      </c>
      <c r="M1072" s="22">
        <f>Table10[[#This Row],[Ship Date]]-Table10[[#This Row],[Order Date]]</f>
        <v>4</v>
      </c>
      <c r="N1072" t="s">
        <v>45</v>
      </c>
      <c r="O1072" t="s">
        <v>23</v>
      </c>
      <c r="P1072" t="s">
        <v>212</v>
      </c>
      <c r="Q1072" t="s">
        <v>95</v>
      </c>
      <c r="R1072" t="s">
        <v>211</v>
      </c>
      <c r="S1072" s="33">
        <v>0</v>
      </c>
      <c r="T1072" s="13">
        <v>965.85</v>
      </c>
      <c r="U1072" s="13">
        <v>135.21899999999999</v>
      </c>
      <c r="V1072" s="21">
        <f>Table10[[#This Row],[Profit]]/Table10[[#This Row],[Sales]]</f>
        <v>0.13999999999999999</v>
      </c>
    </row>
    <row r="1073" spans="1:22" x14ac:dyDescent="0.2">
      <c r="A1073">
        <v>1072</v>
      </c>
      <c r="B1073" t="s">
        <v>6764</v>
      </c>
      <c r="C1073" s="1">
        <v>42573</v>
      </c>
      <c r="D1073" s="22">
        <f>MONTH(Table10[[#This Row],[Order Date]])</f>
        <v>7</v>
      </c>
      <c r="E1073" t="s">
        <v>6767</v>
      </c>
      <c r="F1073" t="s">
        <v>6768</v>
      </c>
      <c r="G1073" s="23" t="s">
        <v>41</v>
      </c>
      <c r="H1073" s="23" t="s">
        <v>61</v>
      </c>
      <c r="I1073" t="s">
        <v>4593</v>
      </c>
      <c r="J1073" t="s">
        <v>22</v>
      </c>
      <c r="K1073" s="22">
        <v>5</v>
      </c>
      <c r="L1073" s="1">
        <v>42577</v>
      </c>
      <c r="M1073" s="22">
        <f>Table10[[#This Row],[Ship Date]]-Table10[[#This Row],[Order Date]]</f>
        <v>4</v>
      </c>
      <c r="N1073" t="s">
        <v>45</v>
      </c>
      <c r="O1073" t="s">
        <v>23</v>
      </c>
      <c r="P1073" t="s">
        <v>212</v>
      </c>
      <c r="Q1073" t="s">
        <v>95</v>
      </c>
      <c r="R1073" t="s">
        <v>211</v>
      </c>
      <c r="S1073" s="33">
        <v>0</v>
      </c>
      <c r="T1073" s="13">
        <v>29.2</v>
      </c>
      <c r="U1073" s="13">
        <v>10.512</v>
      </c>
      <c r="V1073" s="21">
        <f>Table10[[#This Row],[Profit]]/Table10[[#This Row],[Sales]]</f>
        <v>0.36000000000000004</v>
      </c>
    </row>
    <row r="1074" spans="1:22" x14ac:dyDescent="0.2">
      <c r="A1074">
        <v>1073</v>
      </c>
      <c r="B1074" t="s">
        <v>6764</v>
      </c>
      <c r="C1074" s="1">
        <v>42573</v>
      </c>
      <c r="D1074" s="22">
        <f>MONTH(Table10[[#This Row],[Order Date]])</f>
        <v>7</v>
      </c>
      <c r="E1074" t="s">
        <v>3506</v>
      </c>
      <c r="F1074" t="s">
        <v>3507</v>
      </c>
      <c r="G1074" s="23" t="s">
        <v>41</v>
      </c>
      <c r="H1074" s="23" t="s">
        <v>82</v>
      </c>
      <c r="I1074" t="s">
        <v>4593</v>
      </c>
      <c r="J1074" t="s">
        <v>22</v>
      </c>
      <c r="K1074" s="22">
        <v>5</v>
      </c>
      <c r="L1074" s="1">
        <v>42577</v>
      </c>
      <c r="M1074" s="22">
        <f>Table10[[#This Row],[Ship Date]]-Table10[[#This Row],[Order Date]]</f>
        <v>4</v>
      </c>
      <c r="N1074" t="s">
        <v>45</v>
      </c>
      <c r="O1074" t="s">
        <v>23</v>
      </c>
      <c r="P1074" t="s">
        <v>212</v>
      </c>
      <c r="Q1074" t="s">
        <v>95</v>
      </c>
      <c r="R1074" t="s">
        <v>211</v>
      </c>
      <c r="S1074" s="33">
        <v>0</v>
      </c>
      <c r="T1074" s="13">
        <v>32.4</v>
      </c>
      <c r="U1074" s="13">
        <v>15.552</v>
      </c>
      <c r="V1074" s="21">
        <f>Table10[[#This Row],[Profit]]/Table10[[#This Row],[Sales]]</f>
        <v>0.48</v>
      </c>
    </row>
    <row r="1075" spans="1:22" x14ac:dyDescent="0.2">
      <c r="A1075">
        <v>1074</v>
      </c>
      <c r="B1075" t="s">
        <v>7495</v>
      </c>
      <c r="C1075" s="1">
        <v>42573</v>
      </c>
      <c r="D1075" s="22">
        <f>MONTH(Table10[[#This Row],[Order Date]])</f>
        <v>7</v>
      </c>
      <c r="E1075" t="s">
        <v>2089</v>
      </c>
      <c r="F1075" t="s">
        <v>2090</v>
      </c>
      <c r="G1075" s="23" t="s">
        <v>41</v>
      </c>
      <c r="H1075" s="23" t="s">
        <v>513</v>
      </c>
      <c r="I1075" t="s">
        <v>4736</v>
      </c>
      <c r="J1075" t="s">
        <v>92</v>
      </c>
      <c r="K1075" s="22">
        <v>5</v>
      </c>
      <c r="L1075" s="1">
        <v>42580</v>
      </c>
      <c r="M1075" s="22">
        <f>Table10[[#This Row],[Ship Date]]-Table10[[#This Row],[Order Date]]</f>
        <v>7</v>
      </c>
      <c r="N1075" t="s">
        <v>45</v>
      </c>
      <c r="O1075" t="s">
        <v>23</v>
      </c>
      <c r="P1075" t="s">
        <v>1229</v>
      </c>
      <c r="Q1075" t="s">
        <v>39</v>
      </c>
      <c r="R1075" t="s">
        <v>4860</v>
      </c>
      <c r="S1075" s="33">
        <v>0</v>
      </c>
      <c r="T1075" s="13">
        <v>86.2</v>
      </c>
      <c r="U1075" s="13">
        <v>24.998000000000001</v>
      </c>
      <c r="V1075" s="21">
        <f>Table10[[#This Row],[Profit]]/Table10[[#This Row],[Sales]]</f>
        <v>0.28999999999999998</v>
      </c>
    </row>
    <row r="1076" spans="1:22" x14ac:dyDescent="0.2">
      <c r="A1076">
        <v>1075</v>
      </c>
      <c r="B1076" t="s">
        <v>9439</v>
      </c>
      <c r="C1076" s="1">
        <v>42573</v>
      </c>
      <c r="D1076" s="22">
        <f>MONTH(Table10[[#This Row],[Order Date]])</f>
        <v>7</v>
      </c>
      <c r="E1076" t="s">
        <v>1884</v>
      </c>
      <c r="F1076" t="s">
        <v>1885</v>
      </c>
      <c r="G1076" s="23" t="s">
        <v>41</v>
      </c>
      <c r="H1076" s="23" t="s">
        <v>71</v>
      </c>
      <c r="I1076" t="s">
        <v>6154</v>
      </c>
      <c r="J1076" t="s">
        <v>36</v>
      </c>
      <c r="K1076" s="22">
        <v>2</v>
      </c>
      <c r="L1076" s="1">
        <v>42577</v>
      </c>
      <c r="M1076" s="22">
        <f>Table10[[#This Row],[Ship Date]]-Table10[[#This Row],[Order Date]]</f>
        <v>4</v>
      </c>
      <c r="N1076" t="s">
        <v>45</v>
      </c>
      <c r="O1076" t="s">
        <v>23</v>
      </c>
      <c r="P1076" t="s">
        <v>2408</v>
      </c>
      <c r="Q1076" t="s">
        <v>133</v>
      </c>
      <c r="R1076" t="s">
        <v>341</v>
      </c>
      <c r="S1076" s="33">
        <v>0</v>
      </c>
      <c r="T1076" s="13">
        <v>37.68</v>
      </c>
      <c r="U1076" s="13">
        <v>10.5504</v>
      </c>
      <c r="V1076" s="21">
        <f>Table10[[#This Row],[Profit]]/Table10[[#This Row],[Sales]]</f>
        <v>0.27999999999999997</v>
      </c>
    </row>
    <row r="1077" spans="1:22" x14ac:dyDescent="0.2">
      <c r="A1077">
        <v>1076</v>
      </c>
      <c r="B1077" t="s">
        <v>9439</v>
      </c>
      <c r="C1077" s="1">
        <v>42573</v>
      </c>
      <c r="D1077" s="22">
        <f>MONTH(Table10[[#This Row],[Order Date]])</f>
        <v>7</v>
      </c>
      <c r="E1077" t="s">
        <v>933</v>
      </c>
      <c r="F1077" t="s">
        <v>934</v>
      </c>
      <c r="G1077" s="23" t="s">
        <v>41</v>
      </c>
      <c r="H1077" s="23" t="s">
        <v>82</v>
      </c>
      <c r="I1077" t="s">
        <v>6154</v>
      </c>
      <c r="J1077" t="s">
        <v>36</v>
      </c>
      <c r="K1077" s="22">
        <v>8</v>
      </c>
      <c r="L1077" s="1">
        <v>42577</v>
      </c>
      <c r="M1077" s="22">
        <f>Table10[[#This Row],[Ship Date]]-Table10[[#This Row],[Order Date]]</f>
        <v>4</v>
      </c>
      <c r="N1077" t="s">
        <v>45</v>
      </c>
      <c r="O1077" t="s">
        <v>23</v>
      </c>
      <c r="P1077" t="s">
        <v>2408</v>
      </c>
      <c r="Q1077" t="s">
        <v>133</v>
      </c>
      <c r="R1077" t="s">
        <v>341</v>
      </c>
      <c r="S1077" s="33">
        <v>0</v>
      </c>
      <c r="T1077" s="13">
        <v>51.84</v>
      </c>
      <c r="U1077" s="13">
        <v>24.883199999999999</v>
      </c>
      <c r="V1077" s="21">
        <f>Table10[[#This Row],[Profit]]/Table10[[#This Row],[Sales]]</f>
        <v>0.47999999999999993</v>
      </c>
    </row>
    <row r="1078" spans="1:22" x14ac:dyDescent="0.2">
      <c r="A1078">
        <v>1077</v>
      </c>
      <c r="B1078" t="s">
        <v>9439</v>
      </c>
      <c r="C1078" s="1">
        <v>42573</v>
      </c>
      <c r="D1078" s="22">
        <f>MONTH(Table10[[#This Row],[Order Date]])</f>
        <v>7</v>
      </c>
      <c r="E1078" t="s">
        <v>2218</v>
      </c>
      <c r="F1078" t="s">
        <v>2219</v>
      </c>
      <c r="G1078" s="23" t="s">
        <v>28</v>
      </c>
      <c r="H1078" s="23" t="s">
        <v>58</v>
      </c>
      <c r="I1078" t="s">
        <v>6154</v>
      </c>
      <c r="J1078" t="s">
        <v>36</v>
      </c>
      <c r="K1078" s="22">
        <v>3</v>
      </c>
      <c r="L1078" s="1">
        <v>42577</v>
      </c>
      <c r="M1078" s="22">
        <f>Table10[[#This Row],[Ship Date]]-Table10[[#This Row],[Order Date]]</f>
        <v>4</v>
      </c>
      <c r="N1078" t="s">
        <v>45</v>
      </c>
      <c r="O1078" t="s">
        <v>23</v>
      </c>
      <c r="P1078" t="s">
        <v>2408</v>
      </c>
      <c r="Q1078" t="s">
        <v>133</v>
      </c>
      <c r="R1078" t="s">
        <v>341</v>
      </c>
      <c r="S1078" s="33">
        <v>0</v>
      </c>
      <c r="T1078" s="13">
        <v>27.42</v>
      </c>
      <c r="U1078" s="13">
        <v>9.3228000000000009</v>
      </c>
      <c r="V1078" s="21">
        <f>Table10[[#This Row],[Profit]]/Table10[[#This Row],[Sales]]</f>
        <v>0.34</v>
      </c>
    </row>
    <row r="1079" spans="1:22" x14ac:dyDescent="0.2">
      <c r="A1079">
        <v>1078</v>
      </c>
      <c r="B1079" t="s">
        <v>9439</v>
      </c>
      <c r="C1079" s="1">
        <v>42573</v>
      </c>
      <c r="D1079" s="22">
        <f>MONTH(Table10[[#This Row],[Order Date]])</f>
        <v>7</v>
      </c>
      <c r="E1079" t="s">
        <v>2585</v>
      </c>
      <c r="F1079" t="s">
        <v>2586</v>
      </c>
      <c r="G1079" s="23" t="s">
        <v>41</v>
      </c>
      <c r="H1079" s="23" t="s">
        <v>68</v>
      </c>
      <c r="I1079" t="s">
        <v>6154</v>
      </c>
      <c r="J1079" t="s">
        <v>36</v>
      </c>
      <c r="K1079" s="22">
        <v>3</v>
      </c>
      <c r="L1079" s="1">
        <v>42577</v>
      </c>
      <c r="M1079" s="22">
        <f>Table10[[#This Row],[Ship Date]]-Table10[[#This Row],[Order Date]]</f>
        <v>4</v>
      </c>
      <c r="N1079" t="s">
        <v>45</v>
      </c>
      <c r="O1079" t="s">
        <v>23</v>
      </c>
      <c r="P1079" t="s">
        <v>2408</v>
      </c>
      <c r="Q1079" t="s">
        <v>133</v>
      </c>
      <c r="R1079" t="s">
        <v>341</v>
      </c>
      <c r="S1079" s="33">
        <v>0</v>
      </c>
      <c r="T1079" s="13">
        <v>5.4</v>
      </c>
      <c r="U1079" s="13">
        <v>2.5920000000000001</v>
      </c>
      <c r="V1079" s="21">
        <f>Table10[[#This Row],[Profit]]/Table10[[#This Row],[Sales]]</f>
        <v>0.48</v>
      </c>
    </row>
    <row r="1080" spans="1:22" x14ac:dyDescent="0.2">
      <c r="A1080">
        <v>1079</v>
      </c>
      <c r="B1080" t="s">
        <v>2280</v>
      </c>
      <c r="C1080" s="1">
        <v>42574</v>
      </c>
      <c r="D1080" s="22">
        <f>MONTH(Table10[[#This Row],[Order Date]])</f>
        <v>7</v>
      </c>
      <c r="E1080" t="s">
        <v>2281</v>
      </c>
      <c r="F1080" t="s">
        <v>2282</v>
      </c>
      <c r="G1080" s="23" t="s">
        <v>41</v>
      </c>
      <c r="H1080" s="23" t="s">
        <v>61</v>
      </c>
      <c r="I1080" t="s">
        <v>623</v>
      </c>
      <c r="J1080" t="s">
        <v>36</v>
      </c>
      <c r="K1080" s="22">
        <v>2</v>
      </c>
      <c r="L1080" s="1">
        <v>42578</v>
      </c>
      <c r="M1080" s="22">
        <f>Table10[[#This Row],[Ship Date]]-Table10[[#This Row],[Order Date]]</f>
        <v>4</v>
      </c>
      <c r="N1080" t="s">
        <v>45</v>
      </c>
      <c r="O1080" t="s">
        <v>23</v>
      </c>
      <c r="P1080" t="s">
        <v>48</v>
      </c>
      <c r="Q1080" t="s">
        <v>26</v>
      </c>
      <c r="R1080" t="s">
        <v>793</v>
      </c>
      <c r="S1080" s="33">
        <v>0.2</v>
      </c>
      <c r="T1080" s="13">
        <v>35.216000000000001</v>
      </c>
      <c r="U1080" s="13">
        <v>2.6412</v>
      </c>
      <c r="V1080" s="21">
        <f>Table10[[#This Row],[Profit]]/Table10[[#This Row],[Sales]]</f>
        <v>7.4999999999999997E-2</v>
      </c>
    </row>
    <row r="1081" spans="1:22" x14ac:dyDescent="0.2">
      <c r="A1081">
        <v>1080</v>
      </c>
      <c r="B1081" t="s">
        <v>2280</v>
      </c>
      <c r="C1081" s="1">
        <v>42574</v>
      </c>
      <c r="D1081" s="22">
        <f>MONTH(Table10[[#This Row],[Order Date]])</f>
        <v>7</v>
      </c>
      <c r="E1081" t="s">
        <v>2283</v>
      </c>
      <c r="F1081" t="s">
        <v>2284</v>
      </c>
      <c r="G1081" s="23" t="s">
        <v>41</v>
      </c>
      <c r="H1081" s="23" t="s">
        <v>71</v>
      </c>
      <c r="I1081" t="s">
        <v>623</v>
      </c>
      <c r="J1081" t="s">
        <v>36</v>
      </c>
      <c r="K1081" s="22">
        <v>2</v>
      </c>
      <c r="L1081" s="1">
        <v>42578</v>
      </c>
      <c r="M1081" s="22">
        <f>Table10[[#This Row],[Ship Date]]-Table10[[#This Row],[Order Date]]</f>
        <v>4</v>
      </c>
      <c r="N1081" t="s">
        <v>45</v>
      </c>
      <c r="O1081" t="s">
        <v>23</v>
      </c>
      <c r="P1081" t="s">
        <v>48</v>
      </c>
      <c r="Q1081" t="s">
        <v>26</v>
      </c>
      <c r="R1081" t="s">
        <v>793</v>
      </c>
      <c r="S1081" s="33">
        <v>0.2</v>
      </c>
      <c r="T1081" s="13">
        <v>23.696000000000002</v>
      </c>
      <c r="U1081" s="13">
        <v>6.5164</v>
      </c>
      <c r="V1081" s="21">
        <f>Table10[[#This Row],[Profit]]/Table10[[#This Row],[Sales]]</f>
        <v>0.27499999999999997</v>
      </c>
    </row>
    <row r="1082" spans="1:22" x14ac:dyDescent="0.2">
      <c r="A1082">
        <v>1081</v>
      </c>
      <c r="B1082" t="s">
        <v>2280</v>
      </c>
      <c r="C1082" s="1">
        <v>42574</v>
      </c>
      <c r="D1082" s="22">
        <f>MONTH(Table10[[#This Row],[Order Date]])</f>
        <v>7</v>
      </c>
      <c r="E1082" t="s">
        <v>2285</v>
      </c>
      <c r="F1082" t="s">
        <v>2286</v>
      </c>
      <c r="G1082" s="23" t="s">
        <v>64</v>
      </c>
      <c r="H1082" s="23" t="s">
        <v>602</v>
      </c>
      <c r="I1082" t="s">
        <v>623</v>
      </c>
      <c r="J1082" t="s">
        <v>36</v>
      </c>
      <c r="K1082" s="22">
        <v>1</v>
      </c>
      <c r="L1082" s="1">
        <v>42578</v>
      </c>
      <c r="M1082" s="22">
        <f>Table10[[#This Row],[Ship Date]]-Table10[[#This Row],[Order Date]]</f>
        <v>4</v>
      </c>
      <c r="N1082" t="s">
        <v>45</v>
      </c>
      <c r="O1082" t="s">
        <v>23</v>
      </c>
      <c r="P1082" t="s">
        <v>48</v>
      </c>
      <c r="Q1082" t="s">
        <v>26</v>
      </c>
      <c r="R1082" t="s">
        <v>793</v>
      </c>
      <c r="S1082" s="33">
        <v>0.5</v>
      </c>
      <c r="T1082" s="13">
        <v>265.47500000000002</v>
      </c>
      <c r="U1082" s="13">
        <v>-111.4995</v>
      </c>
      <c r="V1082" s="21">
        <f>Table10[[#This Row],[Profit]]/Table10[[#This Row],[Sales]]</f>
        <v>-0.41999999999999993</v>
      </c>
    </row>
    <row r="1083" spans="1:22" x14ac:dyDescent="0.2">
      <c r="A1083">
        <v>1082</v>
      </c>
      <c r="B1083" t="s">
        <v>6603</v>
      </c>
      <c r="C1083" s="1">
        <v>42574</v>
      </c>
      <c r="D1083" s="22">
        <f>MONTH(Table10[[#This Row],[Order Date]])</f>
        <v>7</v>
      </c>
      <c r="E1083" t="s">
        <v>5134</v>
      </c>
      <c r="F1083" t="s">
        <v>5135</v>
      </c>
      <c r="G1083" s="23" t="s">
        <v>41</v>
      </c>
      <c r="H1083" s="23" t="s">
        <v>68</v>
      </c>
      <c r="I1083" t="s">
        <v>6604</v>
      </c>
      <c r="J1083" t="s">
        <v>92</v>
      </c>
      <c r="K1083" s="22">
        <v>4</v>
      </c>
      <c r="L1083" s="1">
        <v>42578</v>
      </c>
      <c r="M1083" s="22">
        <f>Table10[[#This Row],[Ship Date]]-Table10[[#This Row],[Order Date]]</f>
        <v>4</v>
      </c>
      <c r="N1083" t="s">
        <v>45</v>
      </c>
      <c r="O1083" t="s">
        <v>23</v>
      </c>
      <c r="P1083" t="s">
        <v>189</v>
      </c>
      <c r="Q1083" t="s">
        <v>95</v>
      </c>
      <c r="R1083" t="s">
        <v>2731</v>
      </c>
      <c r="S1083" s="33">
        <v>0.8</v>
      </c>
      <c r="T1083" s="13">
        <v>11.416</v>
      </c>
      <c r="U1083" s="13">
        <v>-18.836400000000001</v>
      </c>
      <c r="V1083" s="21">
        <f>Table10[[#This Row],[Profit]]/Table10[[#This Row],[Sales]]</f>
        <v>-1.6500000000000001</v>
      </c>
    </row>
    <row r="1084" spans="1:22" x14ac:dyDescent="0.2">
      <c r="A1084">
        <v>1083</v>
      </c>
      <c r="B1084" t="s">
        <v>8497</v>
      </c>
      <c r="C1084" s="1">
        <v>42574</v>
      </c>
      <c r="D1084" s="22">
        <f>MONTH(Table10[[#This Row],[Order Date]])</f>
        <v>7</v>
      </c>
      <c r="E1084" t="s">
        <v>5578</v>
      </c>
      <c r="F1084" t="s">
        <v>5579</v>
      </c>
      <c r="G1084" s="23" t="s">
        <v>41</v>
      </c>
      <c r="H1084" s="23" t="s">
        <v>61</v>
      </c>
      <c r="I1084" t="s">
        <v>1767</v>
      </c>
      <c r="J1084" t="s">
        <v>22</v>
      </c>
      <c r="K1084" s="22">
        <v>2</v>
      </c>
      <c r="L1084" s="1">
        <v>42579</v>
      </c>
      <c r="M1084" s="22">
        <f>Table10[[#This Row],[Ship Date]]-Table10[[#This Row],[Order Date]]</f>
        <v>5</v>
      </c>
      <c r="N1084" t="s">
        <v>45</v>
      </c>
      <c r="O1084" t="s">
        <v>23</v>
      </c>
      <c r="P1084" t="s">
        <v>94</v>
      </c>
      <c r="Q1084" t="s">
        <v>95</v>
      </c>
      <c r="R1084" t="s">
        <v>6556</v>
      </c>
      <c r="S1084" s="33">
        <v>0.2</v>
      </c>
      <c r="T1084" s="13">
        <v>4.4480000000000004</v>
      </c>
      <c r="U1084" s="13">
        <v>0.33360000000000001</v>
      </c>
      <c r="V1084" s="21">
        <f>Table10[[#This Row],[Profit]]/Table10[[#This Row],[Sales]]</f>
        <v>7.4999999999999997E-2</v>
      </c>
    </row>
    <row r="1085" spans="1:22" x14ac:dyDescent="0.2">
      <c r="A1085">
        <v>1084</v>
      </c>
      <c r="B1085" t="s">
        <v>8497</v>
      </c>
      <c r="C1085" s="1">
        <v>42574</v>
      </c>
      <c r="D1085" s="22">
        <f>MONTH(Table10[[#This Row],[Order Date]])</f>
        <v>7</v>
      </c>
      <c r="E1085" t="s">
        <v>3926</v>
      </c>
      <c r="F1085" t="s">
        <v>3927</v>
      </c>
      <c r="G1085" s="23" t="s">
        <v>41</v>
      </c>
      <c r="H1085" s="23" t="s">
        <v>82</v>
      </c>
      <c r="I1085" t="s">
        <v>1767</v>
      </c>
      <c r="J1085" t="s">
        <v>22</v>
      </c>
      <c r="K1085" s="22">
        <v>1</v>
      </c>
      <c r="L1085" s="1">
        <v>42579</v>
      </c>
      <c r="M1085" s="22">
        <f>Table10[[#This Row],[Ship Date]]-Table10[[#This Row],[Order Date]]</f>
        <v>5</v>
      </c>
      <c r="N1085" t="s">
        <v>45</v>
      </c>
      <c r="O1085" t="s">
        <v>23</v>
      </c>
      <c r="P1085" t="s">
        <v>94</v>
      </c>
      <c r="Q1085" t="s">
        <v>95</v>
      </c>
      <c r="R1085" t="s">
        <v>6556</v>
      </c>
      <c r="S1085" s="33">
        <v>0.2</v>
      </c>
      <c r="T1085" s="13">
        <v>5.1840000000000002</v>
      </c>
      <c r="U1085" s="13">
        <v>1.8144</v>
      </c>
      <c r="V1085" s="21">
        <f>Table10[[#This Row],[Profit]]/Table10[[#This Row],[Sales]]</f>
        <v>0.35</v>
      </c>
    </row>
    <row r="1086" spans="1:22" x14ac:dyDescent="0.2">
      <c r="A1086">
        <v>1085</v>
      </c>
      <c r="B1086" t="s">
        <v>8497</v>
      </c>
      <c r="C1086" s="1">
        <v>42574</v>
      </c>
      <c r="D1086" s="22">
        <f>MONTH(Table10[[#This Row],[Order Date]])</f>
        <v>7</v>
      </c>
      <c r="E1086" t="s">
        <v>1385</v>
      </c>
      <c r="F1086" t="s">
        <v>1386</v>
      </c>
      <c r="G1086" s="23" t="s">
        <v>41</v>
      </c>
      <c r="H1086" s="23" t="s">
        <v>61</v>
      </c>
      <c r="I1086" t="s">
        <v>1767</v>
      </c>
      <c r="J1086" t="s">
        <v>22</v>
      </c>
      <c r="K1086" s="22">
        <v>5</v>
      </c>
      <c r="L1086" s="1">
        <v>42579</v>
      </c>
      <c r="M1086" s="22">
        <f>Table10[[#This Row],[Ship Date]]-Table10[[#This Row],[Order Date]]</f>
        <v>5</v>
      </c>
      <c r="N1086" t="s">
        <v>45</v>
      </c>
      <c r="O1086" t="s">
        <v>23</v>
      </c>
      <c r="P1086" t="s">
        <v>94</v>
      </c>
      <c r="Q1086" t="s">
        <v>95</v>
      </c>
      <c r="R1086" t="s">
        <v>6556</v>
      </c>
      <c r="S1086" s="33">
        <v>0.2</v>
      </c>
      <c r="T1086" s="13">
        <v>175.92</v>
      </c>
      <c r="U1086" s="13">
        <v>15.393000000000001</v>
      </c>
      <c r="V1086" s="21">
        <f>Table10[[#This Row],[Profit]]/Table10[[#This Row],[Sales]]</f>
        <v>8.7500000000000008E-2</v>
      </c>
    </row>
    <row r="1087" spans="1:22" x14ac:dyDescent="0.2">
      <c r="A1087">
        <v>1086</v>
      </c>
      <c r="B1087" t="s">
        <v>8497</v>
      </c>
      <c r="C1087" s="1">
        <v>42574</v>
      </c>
      <c r="D1087" s="22">
        <f>MONTH(Table10[[#This Row],[Order Date]])</f>
        <v>7</v>
      </c>
      <c r="E1087" t="s">
        <v>3421</v>
      </c>
      <c r="F1087" t="s">
        <v>1073</v>
      </c>
      <c r="G1087" s="23" t="s">
        <v>41</v>
      </c>
      <c r="H1087" s="23" t="s">
        <v>68</v>
      </c>
      <c r="I1087" t="s">
        <v>1767</v>
      </c>
      <c r="J1087" t="s">
        <v>22</v>
      </c>
      <c r="K1087" s="22">
        <v>4</v>
      </c>
      <c r="L1087" s="1">
        <v>42579</v>
      </c>
      <c r="M1087" s="22">
        <f>Table10[[#This Row],[Ship Date]]-Table10[[#This Row],[Order Date]]</f>
        <v>5</v>
      </c>
      <c r="N1087" t="s">
        <v>45</v>
      </c>
      <c r="O1087" t="s">
        <v>23</v>
      </c>
      <c r="P1087" t="s">
        <v>94</v>
      </c>
      <c r="Q1087" t="s">
        <v>95</v>
      </c>
      <c r="R1087" t="s">
        <v>6556</v>
      </c>
      <c r="S1087" s="33">
        <v>0.8</v>
      </c>
      <c r="T1087" s="13">
        <v>4.7519999999999998</v>
      </c>
      <c r="U1087" s="13">
        <v>-8.3160000000000007</v>
      </c>
      <c r="V1087" s="21">
        <f>Table10[[#This Row],[Profit]]/Table10[[#This Row],[Sales]]</f>
        <v>-1.7500000000000002</v>
      </c>
    </row>
    <row r="1088" spans="1:22" x14ac:dyDescent="0.2">
      <c r="A1088">
        <v>1087</v>
      </c>
      <c r="B1088" t="s">
        <v>8497</v>
      </c>
      <c r="C1088" s="1">
        <v>42574</v>
      </c>
      <c r="D1088" s="22">
        <f>MONTH(Table10[[#This Row],[Order Date]])</f>
        <v>7</v>
      </c>
      <c r="E1088" t="s">
        <v>3719</v>
      </c>
      <c r="F1088" t="s">
        <v>3720</v>
      </c>
      <c r="G1088" s="23" t="s">
        <v>41</v>
      </c>
      <c r="H1088" s="23" t="s">
        <v>513</v>
      </c>
      <c r="I1088" t="s">
        <v>1767</v>
      </c>
      <c r="J1088" t="s">
        <v>22</v>
      </c>
      <c r="K1088" s="22">
        <v>2</v>
      </c>
      <c r="L1088" s="1">
        <v>42579</v>
      </c>
      <c r="M1088" s="22">
        <f>Table10[[#This Row],[Ship Date]]-Table10[[#This Row],[Order Date]]</f>
        <v>5</v>
      </c>
      <c r="N1088" t="s">
        <v>45</v>
      </c>
      <c r="O1088" t="s">
        <v>23</v>
      </c>
      <c r="P1088" t="s">
        <v>94</v>
      </c>
      <c r="Q1088" t="s">
        <v>95</v>
      </c>
      <c r="R1088" t="s">
        <v>6556</v>
      </c>
      <c r="S1088" s="33">
        <v>0.2</v>
      </c>
      <c r="T1088" s="13">
        <v>13.343999999999999</v>
      </c>
      <c r="U1088" s="13">
        <v>1.0007999999999999</v>
      </c>
      <c r="V1088" s="21">
        <f>Table10[[#This Row],[Profit]]/Table10[[#This Row],[Sales]]</f>
        <v>7.4999999999999997E-2</v>
      </c>
    </row>
    <row r="1089" spans="1:22" x14ac:dyDescent="0.2">
      <c r="A1089">
        <v>1088</v>
      </c>
      <c r="B1089" t="s">
        <v>9410</v>
      </c>
      <c r="C1089" s="1">
        <v>42574</v>
      </c>
      <c r="D1089" s="22">
        <f>MONTH(Table10[[#This Row],[Order Date]])</f>
        <v>7</v>
      </c>
      <c r="E1089" t="s">
        <v>7753</v>
      </c>
      <c r="F1089" t="s">
        <v>7754</v>
      </c>
      <c r="G1089" s="23" t="s">
        <v>64</v>
      </c>
      <c r="H1089" s="23" t="s">
        <v>65</v>
      </c>
      <c r="I1089" t="s">
        <v>4534</v>
      </c>
      <c r="J1089" t="s">
        <v>22</v>
      </c>
      <c r="K1089" s="22">
        <v>8</v>
      </c>
      <c r="L1089" s="1">
        <v>42577</v>
      </c>
      <c r="M1089" s="22">
        <f>Table10[[#This Row],[Ship Date]]-Table10[[#This Row],[Order Date]]</f>
        <v>3</v>
      </c>
      <c r="N1089" t="s">
        <v>169</v>
      </c>
      <c r="O1089" t="s">
        <v>23</v>
      </c>
      <c r="P1089" t="s">
        <v>94</v>
      </c>
      <c r="Q1089" t="s">
        <v>95</v>
      </c>
      <c r="R1089" t="s">
        <v>165</v>
      </c>
      <c r="S1089" s="33">
        <v>0.2</v>
      </c>
      <c r="T1089" s="13">
        <v>115.136</v>
      </c>
      <c r="U1089" s="13">
        <v>11.5136</v>
      </c>
      <c r="V1089" s="21">
        <f>Table10[[#This Row],[Profit]]/Table10[[#This Row],[Sales]]</f>
        <v>0.1</v>
      </c>
    </row>
    <row r="1090" spans="1:22" x14ac:dyDescent="0.2">
      <c r="A1090">
        <v>1089</v>
      </c>
      <c r="B1090" t="s">
        <v>8303</v>
      </c>
      <c r="C1090" s="1">
        <v>42575</v>
      </c>
      <c r="D1090" s="22">
        <f>MONTH(Table10[[#This Row],[Order Date]])</f>
        <v>7</v>
      </c>
      <c r="E1090" t="s">
        <v>3087</v>
      </c>
      <c r="F1090" t="s">
        <v>3088</v>
      </c>
      <c r="G1090" s="23" t="s">
        <v>28</v>
      </c>
      <c r="H1090" s="23" t="s">
        <v>32</v>
      </c>
      <c r="I1090" t="s">
        <v>6088</v>
      </c>
      <c r="J1090" t="s">
        <v>36</v>
      </c>
      <c r="K1090" s="22">
        <v>2</v>
      </c>
      <c r="L1090" s="1">
        <v>42577</v>
      </c>
      <c r="M1090" s="22">
        <f>Table10[[#This Row],[Ship Date]]-Table10[[#This Row],[Order Date]]</f>
        <v>2</v>
      </c>
      <c r="N1090" t="s">
        <v>20</v>
      </c>
      <c r="O1090" t="s">
        <v>23</v>
      </c>
      <c r="P1090" t="s">
        <v>238</v>
      </c>
      <c r="Q1090" t="s">
        <v>133</v>
      </c>
      <c r="R1090" t="s">
        <v>237</v>
      </c>
      <c r="S1090" s="33">
        <v>0.1</v>
      </c>
      <c r="T1090" s="13">
        <v>253.76400000000001</v>
      </c>
      <c r="U1090" s="13">
        <v>31.015599999999999</v>
      </c>
      <c r="V1090" s="21">
        <f>Table10[[#This Row],[Profit]]/Table10[[#This Row],[Sales]]</f>
        <v>0.12222222222222222</v>
      </c>
    </row>
    <row r="1091" spans="1:22" x14ac:dyDescent="0.2">
      <c r="A1091">
        <v>1090</v>
      </c>
      <c r="B1091" t="s">
        <v>9429</v>
      </c>
      <c r="C1091" s="1">
        <v>42575</v>
      </c>
      <c r="D1091" s="22">
        <f>MONTH(Table10[[#This Row],[Order Date]])</f>
        <v>7</v>
      </c>
      <c r="E1091" t="s">
        <v>3733</v>
      </c>
      <c r="F1091" t="s">
        <v>3734</v>
      </c>
      <c r="G1091" s="23" t="s">
        <v>41</v>
      </c>
      <c r="H1091" s="23" t="s">
        <v>61</v>
      </c>
      <c r="I1091" t="s">
        <v>3761</v>
      </c>
      <c r="J1091" t="s">
        <v>22</v>
      </c>
      <c r="K1091" s="22">
        <v>5</v>
      </c>
      <c r="L1091" s="1">
        <v>42576</v>
      </c>
      <c r="M1091" s="22">
        <f>Table10[[#This Row],[Ship Date]]-Table10[[#This Row],[Order Date]]</f>
        <v>1</v>
      </c>
      <c r="N1091" t="s">
        <v>169</v>
      </c>
      <c r="O1091" t="s">
        <v>23</v>
      </c>
      <c r="P1091" t="s">
        <v>650</v>
      </c>
      <c r="Q1091" t="s">
        <v>26</v>
      </c>
      <c r="R1091" t="s">
        <v>3766</v>
      </c>
      <c r="S1091" s="33">
        <v>0</v>
      </c>
      <c r="T1091" s="13">
        <v>73.2</v>
      </c>
      <c r="U1091" s="13">
        <v>21.228000000000002</v>
      </c>
      <c r="V1091" s="21">
        <f>Table10[[#This Row],[Profit]]/Table10[[#This Row],[Sales]]</f>
        <v>0.29000000000000004</v>
      </c>
    </row>
    <row r="1092" spans="1:22" x14ac:dyDescent="0.2">
      <c r="A1092">
        <v>1091</v>
      </c>
      <c r="B1092" t="s">
        <v>1513</v>
      </c>
      <c r="C1092" s="1">
        <v>42576</v>
      </c>
      <c r="D1092" s="22">
        <f>MONTH(Table10[[#This Row],[Order Date]])</f>
        <v>7</v>
      </c>
      <c r="E1092" t="s">
        <v>1515</v>
      </c>
      <c r="F1092" t="s">
        <v>1516</v>
      </c>
      <c r="G1092" s="23" t="s">
        <v>41</v>
      </c>
      <c r="H1092" s="23" t="s">
        <v>68</v>
      </c>
      <c r="I1092" t="s">
        <v>1402</v>
      </c>
      <c r="J1092" t="s">
        <v>22</v>
      </c>
      <c r="K1092" s="22">
        <v>8</v>
      </c>
      <c r="L1092" s="1">
        <v>42582</v>
      </c>
      <c r="M1092" s="22">
        <f>Table10[[#This Row],[Ship Date]]-Table10[[#This Row],[Order Date]]</f>
        <v>6</v>
      </c>
      <c r="N1092" t="s">
        <v>45</v>
      </c>
      <c r="O1092" t="s">
        <v>23</v>
      </c>
      <c r="P1092" t="s">
        <v>38</v>
      </c>
      <c r="Q1092" t="s">
        <v>39</v>
      </c>
      <c r="R1092" t="s">
        <v>1514</v>
      </c>
      <c r="S1092" s="33">
        <v>0.2</v>
      </c>
      <c r="T1092" s="13">
        <v>119.616</v>
      </c>
      <c r="U1092" s="13">
        <v>40.370399999999997</v>
      </c>
      <c r="V1092" s="21">
        <f>Table10[[#This Row],[Profit]]/Table10[[#This Row],[Sales]]</f>
        <v>0.33749999999999997</v>
      </c>
    </row>
    <row r="1093" spans="1:22" x14ac:dyDescent="0.2">
      <c r="A1093">
        <v>1092</v>
      </c>
      <c r="B1093" t="s">
        <v>1513</v>
      </c>
      <c r="C1093" s="1">
        <v>42576</v>
      </c>
      <c r="D1093" s="22">
        <f>MONTH(Table10[[#This Row],[Order Date]])</f>
        <v>7</v>
      </c>
      <c r="E1093" t="s">
        <v>1517</v>
      </c>
      <c r="F1093" t="s">
        <v>1518</v>
      </c>
      <c r="G1093" s="23" t="s">
        <v>28</v>
      </c>
      <c r="H1093" s="23" t="s">
        <v>58</v>
      </c>
      <c r="I1093" t="s">
        <v>1402</v>
      </c>
      <c r="J1093" t="s">
        <v>22</v>
      </c>
      <c r="K1093" s="22">
        <v>4</v>
      </c>
      <c r="L1093" s="1">
        <v>42582</v>
      </c>
      <c r="M1093" s="22">
        <f>Table10[[#This Row],[Ship Date]]-Table10[[#This Row],[Order Date]]</f>
        <v>6</v>
      </c>
      <c r="N1093" t="s">
        <v>45</v>
      </c>
      <c r="O1093" t="s">
        <v>23</v>
      </c>
      <c r="P1093" t="s">
        <v>38</v>
      </c>
      <c r="Q1093" t="s">
        <v>39</v>
      </c>
      <c r="R1093" t="s">
        <v>1514</v>
      </c>
      <c r="S1093" s="33">
        <v>0</v>
      </c>
      <c r="T1093" s="13">
        <v>255.76</v>
      </c>
      <c r="U1093" s="13">
        <v>81.843199999999996</v>
      </c>
      <c r="V1093" s="21">
        <f>Table10[[#This Row],[Profit]]/Table10[[#This Row],[Sales]]</f>
        <v>0.32</v>
      </c>
    </row>
    <row r="1094" spans="1:22" x14ac:dyDescent="0.2">
      <c r="A1094">
        <v>1093</v>
      </c>
      <c r="B1094" t="s">
        <v>1513</v>
      </c>
      <c r="C1094" s="1">
        <v>42576</v>
      </c>
      <c r="D1094" s="22">
        <f>MONTH(Table10[[#This Row],[Order Date]])</f>
        <v>7</v>
      </c>
      <c r="E1094" t="s">
        <v>1029</v>
      </c>
      <c r="F1094" t="s">
        <v>1030</v>
      </c>
      <c r="G1094" s="23" t="s">
        <v>28</v>
      </c>
      <c r="H1094" s="23" t="s">
        <v>32</v>
      </c>
      <c r="I1094" t="s">
        <v>1402</v>
      </c>
      <c r="J1094" t="s">
        <v>22</v>
      </c>
      <c r="K1094" s="22">
        <v>2</v>
      </c>
      <c r="L1094" s="1">
        <v>42582</v>
      </c>
      <c r="M1094" s="22">
        <f>Table10[[#This Row],[Ship Date]]-Table10[[#This Row],[Order Date]]</f>
        <v>6</v>
      </c>
      <c r="N1094" t="s">
        <v>45</v>
      </c>
      <c r="O1094" t="s">
        <v>23</v>
      </c>
      <c r="P1094" t="s">
        <v>38</v>
      </c>
      <c r="Q1094" t="s">
        <v>39</v>
      </c>
      <c r="R1094" t="s">
        <v>1514</v>
      </c>
      <c r="S1094" s="33">
        <v>0.2</v>
      </c>
      <c r="T1094" s="13">
        <v>241.56800000000001</v>
      </c>
      <c r="U1094" s="13">
        <v>18.117599999999999</v>
      </c>
      <c r="V1094" s="21">
        <f>Table10[[#This Row],[Profit]]/Table10[[#This Row],[Sales]]</f>
        <v>7.4999999999999997E-2</v>
      </c>
    </row>
    <row r="1095" spans="1:22" x14ac:dyDescent="0.2">
      <c r="A1095">
        <v>1094</v>
      </c>
      <c r="B1095" t="s">
        <v>1513</v>
      </c>
      <c r="C1095" s="1">
        <v>42576</v>
      </c>
      <c r="D1095" s="22">
        <f>MONTH(Table10[[#This Row],[Order Date]])</f>
        <v>7</v>
      </c>
      <c r="E1095" t="s">
        <v>1519</v>
      </c>
      <c r="F1095" t="s">
        <v>1520</v>
      </c>
      <c r="G1095" s="23" t="s">
        <v>28</v>
      </c>
      <c r="H1095" s="23" t="s">
        <v>58</v>
      </c>
      <c r="I1095" t="s">
        <v>1402</v>
      </c>
      <c r="J1095" t="s">
        <v>22</v>
      </c>
      <c r="K1095" s="22">
        <v>9</v>
      </c>
      <c r="L1095" s="1">
        <v>42582</v>
      </c>
      <c r="M1095" s="22">
        <f>Table10[[#This Row],[Ship Date]]-Table10[[#This Row],[Order Date]]</f>
        <v>6</v>
      </c>
      <c r="N1095" t="s">
        <v>45</v>
      </c>
      <c r="O1095" t="s">
        <v>23</v>
      </c>
      <c r="P1095" t="s">
        <v>38</v>
      </c>
      <c r="Q1095" t="s">
        <v>39</v>
      </c>
      <c r="R1095" t="s">
        <v>1514</v>
      </c>
      <c r="S1095" s="33">
        <v>0</v>
      </c>
      <c r="T1095" s="13">
        <v>69.3</v>
      </c>
      <c r="U1095" s="13">
        <v>22.869</v>
      </c>
      <c r="V1095" s="21">
        <f>Table10[[#This Row],[Profit]]/Table10[[#This Row],[Sales]]</f>
        <v>0.33</v>
      </c>
    </row>
    <row r="1096" spans="1:22" x14ac:dyDescent="0.2">
      <c r="A1096">
        <v>1095</v>
      </c>
      <c r="B1096" t="s">
        <v>4299</v>
      </c>
      <c r="C1096" s="1">
        <v>42576</v>
      </c>
      <c r="D1096" s="22">
        <f>MONTH(Table10[[#This Row],[Order Date]])</f>
        <v>7</v>
      </c>
      <c r="E1096" t="s">
        <v>1074</v>
      </c>
      <c r="F1096" t="s">
        <v>1076</v>
      </c>
      <c r="G1096" s="23" t="s">
        <v>64</v>
      </c>
      <c r="H1096" s="23" t="s">
        <v>1075</v>
      </c>
      <c r="I1096" t="s">
        <v>4300</v>
      </c>
      <c r="J1096" t="s">
        <v>22</v>
      </c>
      <c r="K1096" s="22">
        <v>4</v>
      </c>
      <c r="L1096" s="1">
        <v>42578</v>
      </c>
      <c r="M1096" s="22">
        <f>Table10[[#This Row],[Ship Date]]-Table10[[#This Row],[Order Date]]</f>
        <v>2</v>
      </c>
      <c r="N1096" t="s">
        <v>169</v>
      </c>
      <c r="O1096" t="s">
        <v>23</v>
      </c>
      <c r="P1096" t="s">
        <v>441</v>
      </c>
      <c r="Q1096" t="s">
        <v>133</v>
      </c>
      <c r="R1096" t="s">
        <v>440</v>
      </c>
      <c r="S1096" s="33">
        <v>0.4</v>
      </c>
      <c r="T1096" s="13">
        <v>1439.9760000000001</v>
      </c>
      <c r="U1096" s="13">
        <v>191.99680000000001</v>
      </c>
      <c r="V1096" s="21">
        <f>Table10[[#This Row],[Profit]]/Table10[[#This Row],[Sales]]</f>
        <v>0.13333333333333333</v>
      </c>
    </row>
    <row r="1097" spans="1:22" x14ac:dyDescent="0.2">
      <c r="A1097">
        <v>1096</v>
      </c>
      <c r="B1097" t="s">
        <v>4513</v>
      </c>
      <c r="C1097" s="1">
        <v>42576</v>
      </c>
      <c r="D1097" s="22">
        <f>MONTH(Table10[[#This Row],[Order Date]])</f>
        <v>7</v>
      </c>
      <c r="E1097" t="s">
        <v>1038</v>
      </c>
      <c r="F1097" t="s">
        <v>1039</v>
      </c>
      <c r="G1097" s="23" t="s">
        <v>41</v>
      </c>
      <c r="H1097" s="23" t="s">
        <v>240</v>
      </c>
      <c r="I1097" t="s">
        <v>3297</v>
      </c>
      <c r="J1097" t="s">
        <v>22</v>
      </c>
      <c r="K1097" s="22">
        <v>6</v>
      </c>
      <c r="L1097" s="1">
        <v>42578</v>
      </c>
      <c r="M1097" s="22">
        <f>Table10[[#This Row],[Ship Date]]-Table10[[#This Row],[Order Date]]</f>
        <v>2</v>
      </c>
      <c r="N1097" t="s">
        <v>20</v>
      </c>
      <c r="O1097" t="s">
        <v>23</v>
      </c>
      <c r="P1097" t="s">
        <v>38</v>
      </c>
      <c r="Q1097" t="s">
        <v>39</v>
      </c>
      <c r="R1097" t="s">
        <v>37</v>
      </c>
      <c r="S1097" s="33">
        <v>0</v>
      </c>
      <c r="T1097" s="13">
        <v>21.48</v>
      </c>
      <c r="U1097" s="13">
        <v>10.74</v>
      </c>
      <c r="V1097" s="21">
        <f>Table10[[#This Row],[Profit]]/Table10[[#This Row],[Sales]]</f>
        <v>0.5</v>
      </c>
    </row>
    <row r="1098" spans="1:22" x14ac:dyDescent="0.2">
      <c r="A1098">
        <v>1097</v>
      </c>
      <c r="B1098" t="s">
        <v>5539</v>
      </c>
      <c r="C1098" s="1">
        <v>42576</v>
      </c>
      <c r="D1098" s="22">
        <f>MONTH(Table10[[#This Row],[Order Date]])</f>
        <v>7</v>
      </c>
      <c r="E1098" t="s">
        <v>4751</v>
      </c>
      <c r="F1098" t="s">
        <v>4752</v>
      </c>
      <c r="G1098" s="23" t="s">
        <v>41</v>
      </c>
      <c r="H1098" s="23" t="s">
        <v>71</v>
      </c>
      <c r="I1098" t="s">
        <v>5159</v>
      </c>
      <c r="J1098" t="s">
        <v>36</v>
      </c>
      <c r="K1098" s="22">
        <v>5</v>
      </c>
      <c r="L1098" s="1">
        <v>42580</v>
      </c>
      <c r="M1098" s="22">
        <f>Table10[[#This Row],[Ship Date]]-Table10[[#This Row],[Order Date]]</f>
        <v>4</v>
      </c>
      <c r="N1098" t="s">
        <v>45</v>
      </c>
      <c r="O1098" t="s">
        <v>23</v>
      </c>
      <c r="P1098" t="s">
        <v>441</v>
      </c>
      <c r="Q1098" t="s">
        <v>133</v>
      </c>
      <c r="R1098" t="s">
        <v>2496</v>
      </c>
      <c r="S1098" s="33">
        <v>0.2</v>
      </c>
      <c r="T1098" s="13">
        <v>243.88</v>
      </c>
      <c r="U1098" s="13">
        <v>27.436499999999999</v>
      </c>
      <c r="V1098" s="21">
        <f>Table10[[#This Row],[Profit]]/Table10[[#This Row],[Sales]]</f>
        <v>0.1125</v>
      </c>
    </row>
    <row r="1099" spans="1:22" x14ac:dyDescent="0.2">
      <c r="A1099">
        <v>1098</v>
      </c>
      <c r="B1099" t="s">
        <v>5642</v>
      </c>
      <c r="C1099" s="1">
        <v>42576</v>
      </c>
      <c r="D1099" s="22">
        <f>MONTH(Table10[[#This Row],[Order Date]])</f>
        <v>7</v>
      </c>
      <c r="E1099" t="s">
        <v>1786</v>
      </c>
      <c r="F1099" t="s">
        <v>1787</v>
      </c>
      <c r="G1099" s="23" t="s">
        <v>41</v>
      </c>
      <c r="H1099" s="23" t="s">
        <v>42</v>
      </c>
      <c r="I1099" t="s">
        <v>1330</v>
      </c>
      <c r="J1099" t="s">
        <v>36</v>
      </c>
      <c r="K1099" s="22">
        <v>4</v>
      </c>
      <c r="L1099" s="1">
        <v>42580</v>
      </c>
      <c r="M1099" s="22">
        <f>Table10[[#This Row],[Ship Date]]-Table10[[#This Row],[Order Date]]</f>
        <v>4</v>
      </c>
      <c r="N1099" t="s">
        <v>45</v>
      </c>
      <c r="O1099" t="s">
        <v>23</v>
      </c>
      <c r="P1099" t="s">
        <v>94</v>
      </c>
      <c r="Q1099" t="s">
        <v>95</v>
      </c>
      <c r="R1099" t="s">
        <v>165</v>
      </c>
      <c r="S1099" s="33">
        <v>0.2</v>
      </c>
      <c r="T1099" s="13">
        <v>15.712</v>
      </c>
      <c r="U1099" s="13">
        <v>5.6955999999999998</v>
      </c>
      <c r="V1099" s="21">
        <f>Table10[[#This Row],[Profit]]/Table10[[#This Row],[Sales]]</f>
        <v>0.36249999999999999</v>
      </c>
    </row>
    <row r="1100" spans="1:22" x14ac:dyDescent="0.2">
      <c r="A1100">
        <v>1099</v>
      </c>
      <c r="B1100" t="s">
        <v>6050</v>
      </c>
      <c r="C1100" s="1">
        <v>42576</v>
      </c>
      <c r="D1100" s="22">
        <f>MONTH(Table10[[#This Row],[Order Date]])</f>
        <v>7</v>
      </c>
      <c r="E1100" t="s">
        <v>6051</v>
      </c>
      <c r="F1100" t="s">
        <v>6052</v>
      </c>
      <c r="G1100" s="23" t="s">
        <v>41</v>
      </c>
      <c r="H1100" s="23" t="s">
        <v>53</v>
      </c>
      <c r="I1100" t="s">
        <v>2644</v>
      </c>
      <c r="J1100" t="s">
        <v>22</v>
      </c>
      <c r="K1100" s="22">
        <v>1</v>
      </c>
      <c r="L1100" s="1">
        <v>42580</v>
      </c>
      <c r="M1100" s="22">
        <f>Table10[[#This Row],[Ship Date]]-Table10[[#This Row],[Order Date]]</f>
        <v>4</v>
      </c>
      <c r="N1100" t="s">
        <v>45</v>
      </c>
      <c r="O1100" t="s">
        <v>23</v>
      </c>
      <c r="P1100" t="s">
        <v>1315</v>
      </c>
      <c r="Q1100" t="s">
        <v>26</v>
      </c>
      <c r="R1100" t="s">
        <v>293</v>
      </c>
      <c r="S1100" s="33">
        <v>0</v>
      </c>
      <c r="T1100" s="13">
        <v>7.89</v>
      </c>
      <c r="U1100" s="13">
        <v>0.31559999999999999</v>
      </c>
      <c r="V1100" s="21">
        <f>Table10[[#This Row],[Profit]]/Table10[[#This Row],[Sales]]</f>
        <v>0.04</v>
      </c>
    </row>
    <row r="1101" spans="1:22" x14ac:dyDescent="0.2">
      <c r="A1101">
        <v>1100</v>
      </c>
      <c r="B1101" t="s">
        <v>6050</v>
      </c>
      <c r="C1101" s="1">
        <v>42576</v>
      </c>
      <c r="D1101" s="22">
        <f>MONTH(Table10[[#This Row],[Order Date]])</f>
        <v>7</v>
      </c>
      <c r="E1101" t="s">
        <v>5162</v>
      </c>
      <c r="F1101" t="s">
        <v>5163</v>
      </c>
      <c r="G1101" s="23" t="s">
        <v>41</v>
      </c>
      <c r="H1101" s="23" t="s">
        <v>82</v>
      </c>
      <c r="I1101" t="s">
        <v>2644</v>
      </c>
      <c r="J1101" t="s">
        <v>22</v>
      </c>
      <c r="K1101" s="22">
        <v>5</v>
      </c>
      <c r="L1101" s="1">
        <v>42580</v>
      </c>
      <c r="M1101" s="22">
        <f>Table10[[#This Row],[Ship Date]]-Table10[[#This Row],[Order Date]]</f>
        <v>4</v>
      </c>
      <c r="N1101" t="s">
        <v>45</v>
      </c>
      <c r="O1101" t="s">
        <v>23</v>
      </c>
      <c r="P1101" t="s">
        <v>1315</v>
      </c>
      <c r="Q1101" t="s">
        <v>26</v>
      </c>
      <c r="R1101" t="s">
        <v>293</v>
      </c>
      <c r="S1101" s="33">
        <v>0</v>
      </c>
      <c r="T1101" s="13">
        <v>65.5</v>
      </c>
      <c r="U1101" s="13">
        <v>32.094999999999999</v>
      </c>
      <c r="V1101" s="21">
        <f>Table10[[#This Row],[Profit]]/Table10[[#This Row],[Sales]]</f>
        <v>0.49</v>
      </c>
    </row>
    <row r="1102" spans="1:22" x14ac:dyDescent="0.2">
      <c r="A1102">
        <v>1101</v>
      </c>
      <c r="B1102" t="s">
        <v>6050</v>
      </c>
      <c r="C1102" s="1">
        <v>42576</v>
      </c>
      <c r="D1102" s="22">
        <f>MONTH(Table10[[#This Row],[Order Date]])</f>
        <v>7</v>
      </c>
      <c r="E1102" t="s">
        <v>1173</v>
      </c>
      <c r="F1102" t="s">
        <v>1174</v>
      </c>
      <c r="G1102" s="23" t="s">
        <v>28</v>
      </c>
      <c r="H1102" s="23" t="s">
        <v>50</v>
      </c>
      <c r="I1102" t="s">
        <v>2644</v>
      </c>
      <c r="J1102" t="s">
        <v>22</v>
      </c>
      <c r="K1102" s="22">
        <v>8</v>
      </c>
      <c r="L1102" s="1">
        <v>42580</v>
      </c>
      <c r="M1102" s="22">
        <f>Table10[[#This Row],[Ship Date]]-Table10[[#This Row],[Order Date]]</f>
        <v>4</v>
      </c>
      <c r="N1102" t="s">
        <v>45</v>
      </c>
      <c r="O1102" t="s">
        <v>23</v>
      </c>
      <c r="P1102" t="s">
        <v>1315</v>
      </c>
      <c r="Q1102" t="s">
        <v>26</v>
      </c>
      <c r="R1102" t="s">
        <v>293</v>
      </c>
      <c r="S1102" s="33">
        <v>0</v>
      </c>
      <c r="T1102" s="13">
        <v>2430.08</v>
      </c>
      <c r="U1102" s="13">
        <v>388.81279999999998</v>
      </c>
      <c r="V1102" s="21">
        <f>Table10[[#This Row],[Profit]]/Table10[[#This Row],[Sales]]</f>
        <v>0.16</v>
      </c>
    </row>
    <row r="1103" spans="1:22" x14ac:dyDescent="0.2">
      <c r="A1103">
        <v>1102</v>
      </c>
      <c r="B1103" t="s">
        <v>7332</v>
      </c>
      <c r="C1103" s="1">
        <v>42576</v>
      </c>
      <c r="D1103" s="22">
        <f>MONTH(Table10[[#This Row],[Order Date]])</f>
        <v>7</v>
      </c>
      <c r="E1103" t="s">
        <v>2970</v>
      </c>
      <c r="F1103" t="s">
        <v>2971</v>
      </c>
      <c r="G1103" s="23" t="s">
        <v>41</v>
      </c>
      <c r="H1103" s="23" t="s">
        <v>68</v>
      </c>
      <c r="I1103" t="s">
        <v>3366</v>
      </c>
      <c r="J1103" t="s">
        <v>92</v>
      </c>
      <c r="K1103" s="22">
        <v>1</v>
      </c>
      <c r="L1103" s="1">
        <v>42577</v>
      </c>
      <c r="M1103" s="22">
        <f>Table10[[#This Row],[Ship Date]]-Table10[[#This Row],[Order Date]]</f>
        <v>1</v>
      </c>
      <c r="N1103" t="s">
        <v>169</v>
      </c>
      <c r="O1103" t="s">
        <v>23</v>
      </c>
      <c r="P1103" t="s">
        <v>285</v>
      </c>
      <c r="Q1103" t="s">
        <v>26</v>
      </c>
      <c r="R1103" t="s">
        <v>997</v>
      </c>
      <c r="S1103" s="33">
        <v>0</v>
      </c>
      <c r="T1103" s="13">
        <v>10.44</v>
      </c>
      <c r="U1103" s="13">
        <v>4.8023999999999996</v>
      </c>
      <c r="V1103" s="21">
        <f>Table10[[#This Row],[Profit]]/Table10[[#This Row],[Sales]]</f>
        <v>0.45999999999999996</v>
      </c>
    </row>
    <row r="1104" spans="1:22" x14ac:dyDescent="0.2">
      <c r="A1104">
        <v>1103</v>
      </c>
      <c r="B1104" t="s">
        <v>7492</v>
      </c>
      <c r="C1104" s="1">
        <v>42576</v>
      </c>
      <c r="D1104" s="22">
        <f>MONTH(Table10[[#This Row],[Order Date]])</f>
        <v>7</v>
      </c>
      <c r="E1104" t="s">
        <v>4465</v>
      </c>
      <c r="F1104" t="s">
        <v>4466</v>
      </c>
      <c r="G1104" s="23" t="s">
        <v>41</v>
      </c>
      <c r="H1104" s="23" t="s">
        <v>155</v>
      </c>
      <c r="I1104" t="s">
        <v>2457</v>
      </c>
      <c r="J1104" t="s">
        <v>92</v>
      </c>
      <c r="K1104" s="22">
        <v>1</v>
      </c>
      <c r="L1104" s="1">
        <v>42580</v>
      </c>
      <c r="M1104" s="22">
        <f>Table10[[#This Row],[Ship Date]]-Table10[[#This Row],[Order Date]]</f>
        <v>4</v>
      </c>
      <c r="N1104" t="s">
        <v>45</v>
      </c>
      <c r="O1104" t="s">
        <v>23</v>
      </c>
      <c r="P1104" t="s">
        <v>94</v>
      </c>
      <c r="Q1104" t="s">
        <v>95</v>
      </c>
      <c r="R1104" t="s">
        <v>165</v>
      </c>
      <c r="S1104" s="33">
        <v>0.2</v>
      </c>
      <c r="T1104" s="13">
        <v>20.936</v>
      </c>
      <c r="U1104" s="13">
        <v>7.0659000000000001</v>
      </c>
      <c r="V1104" s="21">
        <f>Table10[[#This Row],[Profit]]/Table10[[#This Row],[Sales]]</f>
        <v>0.33750000000000002</v>
      </c>
    </row>
    <row r="1105" spans="1:22" x14ac:dyDescent="0.2">
      <c r="A1105">
        <v>1104</v>
      </c>
      <c r="B1105" t="s">
        <v>9165</v>
      </c>
      <c r="C1105" s="1">
        <v>42576</v>
      </c>
      <c r="D1105" s="22">
        <f>MONTH(Table10[[#This Row],[Order Date]])</f>
        <v>7</v>
      </c>
      <c r="E1105" t="s">
        <v>3574</v>
      </c>
      <c r="F1105" t="s">
        <v>3575</v>
      </c>
      <c r="G1105" s="23" t="s">
        <v>41</v>
      </c>
      <c r="H1105" s="23" t="s">
        <v>61</v>
      </c>
      <c r="I1105" t="s">
        <v>4721</v>
      </c>
      <c r="J1105" t="s">
        <v>92</v>
      </c>
      <c r="K1105" s="22">
        <v>9</v>
      </c>
      <c r="L1105" s="1">
        <v>42576</v>
      </c>
      <c r="M1105" s="22">
        <f>Table10[[#This Row],[Ship Date]]-Table10[[#This Row],[Order Date]]</f>
        <v>0</v>
      </c>
      <c r="N1105" t="s">
        <v>1141</v>
      </c>
      <c r="O1105" t="s">
        <v>23</v>
      </c>
      <c r="P1105" t="s">
        <v>38</v>
      </c>
      <c r="Q1105" t="s">
        <v>39</v>
      </c>
      <c r="R1105" t="s">
        <v>114</v>
      </c>
      <c r="S1105" s="33">
        <v>0</v>
      </c>
      <c r="T1105" s="13">
        <v>37.17</v>
      </c>
      <c r="U1105" s="13">
        <v>11.151</v>
      </c>
      <c r="V1105" s="21">
        <f>Table10[[#This Row],[Profit]]/Table10[[#This Row],[Sales]]</f>
        <v>0.3</v>
      </c>
    </row>
    <row r="1106" spans="1:22" x14ac:dyDescent="0.2">
      <c r="A1106">
        <v>1105</v>
      </c>
      <c r="B1106" t="s">
        <v>10094</v>
      </c>
      <c r="C1106" s="1">
        <v>42576</v>
      </c>
      <c r="D1106" s="22">
        <f>MONTH(Table10[[#This Row],[Order Date]])</f>
        <v>7</v>
      </c>
      <c r="E1106" t="s">
        <v>5949</v>
      </c>
      <c r="F1106" t="s">
        <v>5950</v>
      </c>
      <c r="G1106" s="23" t="s">
        <v>41</v>
      </c>
      <c r="H1106" s="23" t="s">
        <v>82</v>
      </c>
      <c r="I1106" t="s">
        <v>518</v>
      </c>
      <c r="J1106" t="s">
        <v>36</v>
      </c>
      <c r="K1106" s="22">
        <v>2</v>
      </c>
      <c r="L1106" s="1">
        <v>42579</v>
      </c>
      <c r="M1106" s="22">
        <f>Table10[[#This Row],[Ship Date]]-Table10[[#This Row],[Order Date]]</f>
        <v>3</v>
      </c>
      <c r="N1106" t="s">
        <v>20</v>
      </c>
      <c r="O1106" t="s">
        <v>23</v>
      </c>
      <c r="P1106" t="s">
        <v>103</v>
      </c>
      <c r="Q1106" t="s">
        <v>95</v>
      </c>
      <c r="R1106" t="s">
        <v>2242</v>
      </c>
      <c r="S1106" s="33">
        <v>0</v>
      </c>
      <c r="T1106" s="13">
        <v>20.62</v>
      </c>
      <c r="U1106" s="13">
        <v>9.6913999999999998</v>
      </c>
      <c r="V1106" s="21">
        <f>Table10[[#This Row],[Profit]]/Table10[[#This Row],[Sales]]</f>
        <v>0.47</v>
      </c>
    </row>
    <row r="1107" spans="1:22" x14ac:dyDescent="0.2">
      <c r="A1107">
        <v>1106</v>
      </c>
      <c r="B1107" t="s">
        <v>10094</v>
      </c>
      <c r="C1107" s="1">
        <v>42576</v>
      </c>
      <c r="D1107" s="22">
        <f>MONTH(Table10[[#This Row],[Order Date]])</f>
        <v>7</v>
      </c>
      <c r="E1107" t="s">
        <v>3214</v>
      </c>
      <c r="F1107" t="s">
        <v>3215</v>
      </c>
      <c r="G1107" s="23" t="s">
        <v>64</v>
      </c>
      <c r="H1107" s="23" t="s">
        <v>144</v>
      </c>
      <c r="I1107" t="s">
        <v>518</v>
      </c>
      <c r="J1107" t="s">
        <v>36</v>
      </c>
      <c r="K1107" s="22">
        <v>7</v>
      </c>
      <c r="L1107" s="1">
        <v>42579</v>
      </c>
      <c r="M1107" s="22">
        <f>Table10[[#This Row],[Ship Date]]-Table10[[#This Row],[Order Date]]</f>
        <v>3</v>
      </c>
      <c r="N1107" t="s">
        <v>20</v>
      </c>
      <c r="O1107" t="s">
        <v>23</v>
      </c>
      <c r="P1107" t="s">
        <v>103</v>
      </c>
      <c r="Q1107" t="s">
        <v>95</v>
      </c>
      <c r="R1107" t="s">
        <v>2242</v>
      </c>
      <c r="S1107" s="33">
        <v>0</v>
      </c>
      <c r="T1107" s="13">
        <v>124.25</v>
      </c>
      <c r="U1107" s="13">
        <v>48.457500000000003</v>
      </c>
      <c r="V1107" s="21">
        <f>Table10[[#This Row],[Profit]]/Table10[[#This Row],[Sales]]</f>
        <v>0.39</v>
      </c>
    </row>
    <row r="1108" spans="1:22" x14ac:dyDescent="0.2">
      <c r="A1108">
        <v>1107</v>
      </c>
      <c r="B1108" t="s">
        <v>10094</v>
      </c>
      <c r="C1108" s="1">
        <v>42576</v>
      </c>
      <c r="D1108" s="22">
        <f>MONTH(Table10[[#This Row],[Order Date]])</f>
        <v>7</v>
      </c>
      <c r="E1108" t="s">
        <v>1635</v>
      </c>
      <c r="F1108" t="s">
        <v>1636</v>
      </c>
      <c r="G1108" s="23" t="s">
        <v>64</v>
      </c>
      <c r="H1108" s="23" t="s">
        <v>65</v>
      </c>
      <c r="I1108" t="s">
        <v>518</v>
      </c>
      <c r="J1108" t="s">
        <v>36</v>
      </c>
      <c r="K1108" s="22">
        <v>5</v>
      </c>
      <c r="L1108" s="1">
        <v>42579</v>
      </c>
      <c r="M1108" s="22">
        <f>Table10[[#This Row],[Ship Date]]-Table10[[#This Row],[Order Date]]</f>
        <v>3</v>
      </c>
      <c r="N1108" t="s">
        <v>20</v>
      </c>
      <c r="O1108" t="s">
        <v>23</v>
      </c>
      <c r="P1108" t="s">
        <v>103</v>
      </c>
      <c r="Q1108" t="s">
        <v>95</v>
      </c>
      <c r="R1108" t="s">
        <v>2242</v>
      </c>
      <c r="S1108" s="33">
        <v>0</v>
      </c>
      <c r="T1108" s="13">
        <v>297.55</v>
      </c>
      <c r="U1108" s="13">
        <v>83.313999999999993</v>
      </c>
      <c r="V1108" s="21">
        <f>Table10[[#This Row],[Profit]]/Table10[[#This Row],[Sales]]</f>
        <v>0.27999999999999997</v>
      </c>
    </row>
    <row r="1109" spans="1:22" x14ac:dyDescent="0.2">
      <c r="A1109">
        <v>1108</v>
      </c>
      <c r="B1109" t="s">
        <v>10094</v>
      </c>
      <c r="C1109" s="1">
        <v>42576</v>
      </c>
      <c r="D1109" s="22">
        <f>MONTH(Table10[[#This Row],[Order Date]])</f>
        <v>7</v>
      </c>
      <c r="E1109" t="s">
        <v>7198</v>
      </c>
      <c r="F1109" t="s">
        <v>7199</v>
      </c>
      <c r="G1109" s="23" t="s">
        <v>28</v>
      </c>
      <c r="H1109" s="23" t="s">
        <v>32</v>
      </c>
      <c r="I1109" t="s">
        <v>518</v>
      </c>
      <c r="J1109" t="s">
        <v>36</v>
      </c>
      <c r="K1109" s="22">
        <v>4</v>
      </c>
      <c r="L1109" s="1">
        <v>42579</v>
      </c>
      <c r="M1109" s="22">
        <f>Table10[[#This Row],[Ship Date]]-Table10[[#This Row],[Order Date]]</f>
        <v>3</v>
      </c>
      <c r="N1109" t="s">
        <v>20</v>
      </c>
      <c r="O1109" t="s">
        <v>23</v>
      </c>
      <c r="P1109" t="s">
        <v>103</v>
      </c>
      <c r="Q1109" t="s">
        <v>95</v>
      </c>
      <c r="R1109" t="s">
        <v>2242</v>
      </c>
      <c r="S1109" s="33">
        <v>0</v>
      </c>
      <c r="T1109" s="13">
        <v>403.56</v>
      </c>
      <c r="U1109" s="13">
        <v>96.854399999999998</v>
      </c>
      <c r="V1109" s="21">
        <f>Table10[[#This Row],[Profit]]/Table10[[#This Row],[Sales]]</f>
        <v>0.24</v>
      </c>
    </row>
    <row r="1110" spans="1:22" x14ac:dyDescent="0.2">
      <c r="A1110">
        <v>1109</v>
      </c>
      <c r="B1110" t="s">
        <v>10094</v>
      </c>
      <c r="C1110" s="1">
        <v>42576</v>
      </c>
      <c r="D1110" s="22">
        <f>MONTH(Table10[[#This Row],[Order Date]])</f>
        <v>7</v>
      </c>
      <c r="E1110" t="s">
        <v>1007</v>
      </c>
      <c r="F1110" t="s">
        <v>1008</v>
      </c>
      <c r="G1110" s="23" t="s">
        <v>28</v>
      </c>
      <c r="H1110" s="23" t="s">
        <v>58</v>
      </c>
      <c r="I1110" t="s">
        <v>518</v>
      </c>
      <c r="J1110" t="s">
        <v>36</v>
      </c>
      <c r="K1110" s="22">
        <v>5</v>
      </c>
      <c r="L1110" s="1">
        <v>42579</v>
      </c>
      <c r="M1110" s="22">
        <f>Table10[[#This Row],[Ship Date]]-Table10[[#This Row],[Order Date]]</f>
        <v>3</v>
      </c>
      <c r="N1110" t="s">
        <v>20</v>
      </c>
      <c r="O1110" t="s">
        <v>23</v>
      </c>
      <c r="P1110" t="s">
        <v>103</v>
      </c>
      <c r="Q1110" t="s">
        <v>95</v>
      </c>
      <c r="R1110" t="s">
        <v>2242</v>
      </c>
      <c r="S1110" s="33">
        <v>0</v>
      </c>
      <c r="T1110" s="13">
        <v>95.2</v>
      </c>
      <c r="U1110" s="13">
        <v>27.608000000000001</v>
      </c>
      <c r="V1110" s="21">
        <f>Table10[[#This Row],[Profit]]/Table10[[#This Row],[Sales]]</f>
        <v>0.28999999999999998</v>
      </c>
    </row>
    <row r="1111" spans="1:22" x14ac:dyDescent="0.2">
      <c r="A1111">
        <v>1110</v>
      </c>
      <c r="B1111" t="s">
        <v>7656</v>
      </c>
      <c r="C1111" s="1">
        <v>42579</v>
      </c>
      <c r="D1111" s="22">
        <f>MONTH(Table10[[#This Row],[Order Date]])</f>
        <v>7</v>
      </c>
      <c r="E1111" t="s">
        <v>2915</v>
      </c>
      <c r="F1111" t="s">
        <v>498</v>
      </c>
      <c r="G1111" s="23" t="s">
        <v>41</v>
      </c>
      <c r="H1111" s="23" t="s">
        <v>240</v>
      </c>
      <c r="I1111" t="s">
        <v>5225</v>
      </c>
      <c r="J1111" t="s">
        <v>92</v>
      </c>
      <c r="K1111" s="22">
        <v>7</v>
      </c>
      <c r="L1111" s="1">
        <v>42585</v>
      </c>
      <c r="M1111" s="22">
        <f>Table10[[#This Row],[Ship Date]]-Table10[[#This Row],[Order Date]]</f>
        <v>6</v>
      </c>
      <c r="N1111" t="s">
        <v>45</v>
      </c>
      <c r="O1111" t="s">
        <v>23</v>
      </c>
      <c r="P1111" t="s">
        <v>212</v>
      </c>
      <c r="Q1111" t="s">
        <v>95</v>
      </c>
      <c r="R1111" t="s">
        <v>7657</v>
      </c>
      <c r="S1111" s="33">
        <v>0</v>
      </c>
      <c r="T1111" s="13">
        <v>20.440000000000001</v>
      </c>
      <c r="U1111" s="13">
        <v>9.1980000000000004</v>
      </c>
      <c r="V1111" s="21">
        <f>Table10[[#This Row],[Profit]]/Table10[[#This Row],[Sales]]</f>
        <v>0.45</v>
      </c>
    </row>
    <row r="1112" spans="1:22" x14ac:dyDescent="0.2">
      <c r="A1112">
        <v>1111</v>
      </c>
      <c r="B1112" t="s">
        <v>7656</v>
      </c>
      <c r="C1112" s="1">
        <v>42579</v>
      </c>
      <c r="D1112" s="22">
        <f>MONTH(Table10[[#This Row],[Order Date]])</f>
        <v>7</v>
      </c>
      <c r="E1112" t="s">
        <v>1776</v>
      </c>
      <c r="F1112" t="s">
        <v>1777</v>
      </c>
      <c r="G1112" s="23" t="s">
        <v>41</v>
      </c>
      <c r="H1112" s="23" t="s">
        <v>82</v>
      </c>
      <c r="I1112" t="s">
        <v>5225</v>
      </c>
      <c r="J1112" t="s">
        <v>92</v>
      </c>
      <c r="K1112" s="22">
        <v>2</v>
      </c>
      <c r="L1112" s="1">
        <v>42585</v>
      </c>
      <c r="M1112" s="22">
        <f>Table10[[#This Row],[Ship Date]]-Table10[[#This Row],[Order Date]]</f>
        <v>6</v>
      </c>
      <c r="N1112" t="s">
        <v>45</v>
      </c>
      <c r="O1112" t="s">
        <v>23</v>
      </c>
      <c r="P1112" t="s">
        <v>212</v>
      </c>
      <c r="Q1112" t="s">
        <v>95</v>
      </c>
      <c r="R1112" t="s">
        <v>7657</v>
      </c>
      <c r="S1112" s="33">
        <v>0</v>
      </c>
      <c r="T1112" s="13">
        <v>109.92</v>
      </c>
      <c r="U1112" s="13">
        <v>53.860799999999998</v>
      </c>
      <c r="V1112" s="21">
        <f>Table10[[#This Row],[Profit]]/Table10[[#This Row],[Sales]]</f>
        <v>0.49</v>
      </c>
    </row>
    <row r="1113" spans="1:22" x14ac:dyDescent="0.2">
      <c r="A1113">
        <v>1112</v>
      </c>
      <c r="B1113" t="s">
        <v>8404</v>
      </c>
      <c r="C1113" s="1">
        <v>42579</v>
      </c>
      <c r="D1113" s="22">
        <f>MONTH(Table10[[#This Row],[Order Date]])</f>
        <v>7</v>
      </c>
      <c r="E1113" t="s">
        <v>7371</v>
      </c>
      <c r="F1113" t="s">
        <v>7372</v>
      </c>
      <c r="G1113" s="23" t="s">
        <v>41</v>
      </c>
      <c r="H1113" s="23" t="s">
        <v>42</v>
      </c>
      <c r="I1113" t="s">
        <v>6418</v>
      </c>
      <c r="J1113" t="s">
        <v>22</v>
      </c>
      <c r="K1113" s="22">
        <v>3</v>
      </c>
      <c r="L1113" s="1">
        <v>42585</v>
      </c>
      <c r="M1113" s="22">
        <f>Table10[[#This Row],[Ship Date]]-Table10[[#This Row],[Order Date]]</f>
        <v>6</v>
      </c>
      <c r="N1113" t="s">
        <v>45</v>
      </c>
      <c r="O1113" t="s">
        <v>23</v>
      </c>
      <c r="P1113" t="s">
        <v>38</v>
      </c>
      <c r="Q1113" t="s">
        <v>39</v>
      </c>
      <c r="R1113" t="s">
        <v>37</v>
      </c>
      <c r="S1113" s="33">
        <v>0</v>
      </c>
      <c r="T1113" s="13">
        <v>18.899999999999999</v>
      </c>
      <c r="U1113" s="13">
        <v>8.6940000000000008</v>
      </c>
      <c r="V1113" s="21">
        <f>Table10[[#This Row],[Profit]]/Table10[[#This Row],[Sales]]</f>
        <v>0.46000000000000008</v>
      </c>
    </row>
    <row r="1114" spans="1:22" x14ac:dyDescent="0.2">
      <c r="A1114">
        <v>1113</v>
      </c>
      <c r="B1114" t="s">
        <v>9367</v>
      </c>
      <c r="C1114" s="1">
        <v>42579</v>
      </c>
      <c r="D1114" s="22">
        <f>MONTH(Table10[[#This Row],[Order Date]])</f>
        <v>7</v>
      </c>
      <c r="E1114" t="s">
        <v>2166</v>
      </c>
      <c r="F1114" t="s">
        <v>2167</v>
      </c>
      <c r="G1114" s="23" t="s">
        <v>28</v>
      </c>
      <c r="H1114" s="23" t="s">
        <v>29</v>
      </c>
      <c r="I1114" t="s">
        <v>1674</v>
      </c>
      <c r="J1114" t="s">
        <v>22</v>
      </c>
      <c r="K1114" s="22">
        <v>5</v>
      </c>
      <c r="L1114" s="1">
        <v>42580</v>
      </c>
      <c r="M1114" s="22">
        <f>Table10[[#This Row],[Ship Date]]-Table10[[#This Row],[Order Date]]</f>
        <v>1</v>
      </c>
      <c r="N1114" t="s">
        <v>169</v>
      </c>
      <c r="O1114" t="s">
        <v>23</v>
      </c>
      <c r="P1114" t="s">
        <v>132</v>
      </c>
      <c r="Q1114" t="s">
        <v>133</v>
      </c>
      <c r="R1114" t="s">
        <v>7344</v>
      </c>
      <c r="S1114" s="33">
        <v>0.5</v>
      </c>
      <c r="T1114" s="13">
        <v>177.45</v>
      </c>
      <c r="U1114" s="13">
        <v>-78.078000000000003</v>
      </c>
      <c r="V1114" s="21">
        <f>Table10[[#This Row],[Profit]]/Table10[[#This Row],[Sales]]</f>
        <v>-0.44000000000000006</v>
      </c>
    </row>
    <row r="1115" spans="1:22" x14ac:dyDescent="0.2">
      <c r="A1115">
        <v>1114</v>
      </c>
      <c r="B1115" t="s">
        <v>9367</v>
      </c>
      <c r="C1115" s="1">
        <v>42579</v>
      </c>
      <c r="D1115" s="22">
        <f>MONTH(Table10[[#This Row],[Order Date]])</f>
        <v>7</v>
      </c>
      <c r="E1115" t="s">
        <v>2370</v>
      </c>
      <c r="F1115" t="s">
        <v>2371</v>
      </c>
      <c r="G1115" s="23" t="s">
        <v>41</v>
      </c>
      <c r="H1115" s="23" t="s">
        <v>68</v>
      </c>
      <c r="I1115" t="s">
        <v>1674</v>
      </c>
      <c r="J1115" t="s">
        <v>22</v>
      </c>
      <c r="K1115" s="22">
        <v>6</v>
      </c>
      <c r="L1115" s="1">
        <v>42580</v>
      </c>
      <c r="M1115" s="22">
        <f>Table10[[#This Row],[Ship Date]]-Table10[[#This Row],[Order Date]]</f>
        <v>1</v>
      </c>
      <c r="N1115" t="s">
        <v>169</v>
      </c>
      <c r="O1115" t="s">
        <v>23</v>
      </c>
      <c r="P1115" t="s">
        <v>132</v>
      </c>
      <c r="Q1115" t="s">
        <v>133</v>
      </c>
      <c r="R1115" t="s">
        <v>7344</v>
      </c>
      <c r="S1115" s="33">
        <v>0.7</v>
      </c>
      <c r="T1115" s="13">
        <v>1369.7639999999999</v>
      </c>
      <c r="U1115" s="13">
        <v>-913.17600000000004</v>
      </c>
      <c r="V1115" s="21">
        <f>Table10[[#This Row],[Profit]]/Table10[[#This Row],[Sales]]</f>
        <v>-0.66666666666666674</v>
      </c>
    </row>
    <row r="1116" spans="1:22" x14ac:dyDescent="0.2">
      <c r="A1116">
        <v>1115</v>
      </c>
      <c r="B1116" t="s">
        <v>9367</v>
      </c>
      <c r="C1116" s="1">
        <v>42579</v>
      </c>
      <c r="D1116" s="22">
        <f>MONTH(Table10[[#This Row],[Order Date]])</f>
        <v>7</v>
      </c>
      <c r="E1116" t="s">
        <v>6891</v>
      </c>
      <c r="F1116" t="s">
        <v>6892</v>
      </c>
      <c r="G1116" s="23" t="s">
        <v>41</v>
      </c>
      <c r="H1116" s="23" t="s">
        <v>71</v>
      </c>
      <c r="I1116" t="s">
        <v>1674</v>
      </c>
      <c r="J1116" t="s">
        <v>22</v>
      </c>
      <c r="K1116" s="22">
        <v>3</v>
      </c>
      <c r="L1116" s="1">
        <v>42580</v>
      </c>
      <c r="M1116" s="22">
        <f>Table10[[#This Row],[Ship Date]]-Table10[[#This Row],[Order Date]]</f>
        <v>1</v>
      </c>
      <c r="N1116" t="s">
        <v>169</v>
      </c>
      <c r="O1116" t="s">
        <v>23</v>
      </c>
      <c r="P1116" t="s">
        <v>132</v>
      </c>
      <c r="Q1116" t="s">
        <v>133</v>
      </c>
      <c r="R1116" t="s">
        <v>7344</v>
      </c>
      <c r="S1116" s="33">
        <v>0.2</v>
      </c>
      <c r="T1116" s="13">
        <v>9.48</v>
      </c>
      <c r="U1116" s="13">
        <v>0.71099999999999997</v>
      </c>
      <c r="V1116" s="21">
        <f>Table10[[#This Row],[Profit]]/Table10[[#This Row],[Sales]]</f>
        <v>7.4999999999999997E-2</v>
      </c>
    </row>
    <row r="1117" spans="1:22" x14ac:dyDescent="0.2">
      <c r="A1117">
        <v>1116</v>
      </c>
      <c r="B1117" t="s">
        <v>9932</v>
      </c>
      <c r="C1117" s="1">
        <v>42579</v>
      </c>
      <c r="D1117" s="22">
        <f>MONTH(Table10[[#This Row],[Order Date]])</f>
        <v>7</v>
      </c>
      <c r="E1117" t="s">
        <v>3063</v>
      </c>
      <c r="F1117" t="s">
        <v>3064</v>
      </c>
      <c r="G1117" s="23" t="s">
        <v>28</v>
      </c>
      <c r="H1117" s="23" t="s">
        <v>58</v>
      </c>
      <c r="I1117" t="s">
        <v>4633</v>
      </c>
      <c r="J1117" t="s">
        <v>92</v>
      </c>
      <c r="K1117" s="22">
        <v>5</v>
      </c>
      <c r="L1117" s="1">
        <v>42583</v>
      </c>
      <c r="M1117" s="22">
        <f>Table10[[#This Row],[Ship Date]]-Table10[[#This Row],[Order Date]]</f>
        <v>4</v>
      </c>
      <c r="N1117" t="s">
        <v>45</v>
      </c>
      <c r="O1117" t="s">
        <v>23</v>
      </c>
      <c r="P1117" t="s">
        <v>94</v>
      </c>
      <c r="Q1117" t="s">
        <v>95</v>
      </c>
      <c r="R1117" t="s">
        <v>533</v>
      </c>
      <c r="S1117" s="33">
        <v>0.6</v>
      </c>
      <c r="T1117" s="13">
        <v>24.7</v>
      </c>
      <c r="U1117" s="13">
        <v>-9.8800000000000008</v>
      </c>
      <c r="V1117" s="21">
        <f>Table10[[#This Row],[Profit]]/Table10[[#This Row],[Sales]]</f>
        <v>-0.4</v>
      </c>
    </row>
    <row r="1118" spans="1:22" x14ac:dyDescent="0.2">
      <c r="A1118">
        <v>1117</v>
      </c>
      <c r="B1118" t="s">
        <v>9932</v>
      </c>
      <c r="C1118" s="1">
        <v>42579</v>
      </c>
      <c r="D1118" s="22">
        <f>MONTH(Table10[[#This Row],[Order Date]])</f>
        <v>7</v>
      </c>
      <c r="E1118" t="s">
        <v>8566</v>
      </c>
      <c r="F1118" t="s">
        <v>8567</v>
      </c>
      <c r="G1118" s="23" t="s">
        <v>28</v>
      </c>
      <c r="H1118" s="23" t="s">
        <v>58</v>
      </c>
      <c r="I1118" t="s">
        <v>4633</v>
      </c>
      <c r="J1118" t="s">
        <v>92</v>
      </c>
      <c r="K1118" s="22">
        <v>5</v>
      </c>
      <c r="L1118" s="1">
        <v>42583</v>
      </c>
      <c r="M1118" s="22">
        <f>Table10[[#This Row],[Ship Date]]-Table10[[#This Row],[Order Date]]</f>
        <v>4</v>
      </c>
      <c r="N1118" t="s">
        <v>45</v>
      </c>
      <c r="O1118" t="s">
        <v>23</v>
      </c>
      <c r="P1118" t="s">
        <v>94</v>
      </c>
      <c r="Q1118" t="s">
        <v>95</v>
      </c>
      <c r="R1118" t="s">
        <v>533</v>
      </c>
      <c r="S1118" s="33">
        <v>0.6</v>
      </c>
      <c r="T1118" s="13">
        <v>302.72000000000003</v>
      </c>
      <c r="U1118" s="13">
        <v>-378.4</v>
      </c>
      <c r="V1118" s="21">
        <f>Table10[[#This Row],[Profit]]/Table10[[#This Row],[Sales]]</f>
        <v>-1.2499999999999998</v>
      </c>
    </row>
    <row r="1119" spans="1:22" x14ac:dyDescent="0.2">
      <c r="A1119">
        <v>1118</v>
      </c>
      <c r="B1119" t="s">
        <v>5933</v>
      </c>
      <c r="C1119" s="1">
        <v>42580</v>
      </c>
      <c r="D1119" s="22">
        <f>MONTH(Table10[[#This Row],[Order Date]])</f>
        <v>7</v>
      </c>
      <c r="E1119" t="s">
        <v>213</v>
      </c>
      <c r="F1119" t="s">
        <v>214</v>
      </c>
      <c r="G1119" s="23" t="s">
        <v>41</v>
      </c>
      <c r="H1119" s="23" t="s">
        <v>53</v>
      </c>
      <c r="I1119" t="s">
        <v>5934</v>
      </c>
      <c r="J1119" t="s">
        <v>36</v>
      </c>
      <c r="K1119" s="22">
        <v>2</v>
      </c>
      <c r="L1119" s="1">
        <v>42584</v>
      </c>
      <c r="M1119" s="22">
        <f>Table10[[#This Row],[Ship Date]]-Table10[[#This Row],[Order Date]]</f>
        <v>4</v>
      </c>
      <c r="N1119" t="s">
        <v>45</v>
      </c>
      <c r="O1119" t="s">
        <v>23</v>
      </c>
      <c r="P1119" t="s">
        <v>132</v>
      </c>
      <c r="Q1119" t="s">
        <v>133</v>
      </c>
      <c r="R1119" t="s">
        <v>131</v>
      </c>
      <c r="S1119" s="33">
        <v>0.2</v>
      </c>
      <c r="T1119" s="13">
        <v>84.784000000000006</v>
      </c>
      <c r="U1119" s="13">
        <v>-16.956800000000001</v>
      </c>
      <c r="V1119" s="21">
        <f>Table10[[#This Row],[Profit]]/Table10[[#This Row],[Sales]]</f>
        <v>-0.2</v>
      </c>
    </row>
    <row r="1120" spans="1:22" x14ac:dyDescent="0.2">
      <c r="A1120">
        <v>1119</v>
      </c>
      <c r="B1120" t="s">
        <v>7090</v>
      </c>
      <c r="C1120" s="1">
        <v>42580</v>
      </c>
      <c r="D1120" s="22">
        <f>MONTH(Table10[[#This Row],[Order Date]])</f>
        <v>7</v>
      </c>
      <c r="E1120" t="s">
        <v>7025</v>
      </c>
      <c r="F1120" t="s">
        <v>7026</v>
      </c>
      <c r="G1120" s="23" t="s">
        <v>41</v>
      </c>
      <c r="H1120" s="23" t="s">
        <v>68</v>
      </c>
      <c r="I1120" t="s">
        <v>4890</v>
      </c>
      <c r="J1120" t="s">
        <v>22</v>
      </c>
      <c r="K1120" s="22">
        <v>3</v>
      </c>
      <c r="L1120" s="1">
        <v>42582</v>
      </c>
      <c r="M1120" s="22">
        <f>Table10[[#This Row],[Ship Date]]-Table10[[#This Row],[Order Date]]</f>
        <v>2</v>
      </c>
      <c r="N1120" t="s">
        <v>169</v>
      </c>
      <c r="O1120" t="s">
        <v>23</v>
      </c>
      <c r="P1120" t="s">
        <v>48</v>
      </c>
      <c r="Q1120" t="s">
        <v>26</v>
      </c>
      <c r="R1120" t="s">
        <v>7091</v>
      </c>
      <c r="S1120" s="33">
        <v>0.7</v>
      </c>
      <c r="T1120" s="13">
        <v>2.214</v>
      </c>
      <c r="U1120" s="13">
        <v>-1.476</v>
      </c>
      <c r="V1120" s="21">
        <f>Table10[[#This Row],[Profit]]/Table10[[#This Row],[Sales]]</f>
        <v>-0.66666666666666663</v>
      </c>
    </row>
    <row r="1121" spans="1:22" x14ac:dyDescent="0.2">
      <c r="A1121">
        <v>1120</v>
      </c>
      <c r="B1121" t="s">
        <v>9378</v>
      </c>
      <c r="C1121" s="1">
        <v>42580</v>
      </c>
      <c r="D1121" s="22">
        <f>MONTH(Table10[[#This Row],[Order Date]])</f>
        <v>7</v>
      </c>
      <c r="E1121" t="s">
        <v>2462</v>
      </c>
      <c r="F1121" t="s">
        <v>2463</v>
      </c>
      <c r="G1121" s="23" t="s">
        <v>41</v>
      </c>
      <c r="H1121" s="23" t="s">
        <v>53</v>
      </c>
      <c r="I1121" t="s">
        <v>5262</v>
      </c>
      <c r="J1121" t="s">
        <v>22</v>
      </c>
      <c r="K1121" s="22">
        <v>5</v>
      </c>
      <c r="L1121" s="1">
        <v>42585</v>
      </c>
      <c r="M1121" s="22">
        <f>Table10[[#This Row],[Ship Date]]-Table10[[#This Row],[Order Date]]</f>
        <v>5</v>
      </c>
      <c r="N1121" t="s">
        <v>45</v>
      </c>
      <c r="O1121" t="s">
        <v>23</v>
      </c>
      <c r="P1121" t="s">
        <v>80</v>
      </c>
      <c r="Q1121" t="s">
        <v>26</v>
      </c>
      <c r="R1121" t="s">
        <v>414</v>
      </c>
      <c r="S1121" s="33">
        <v>0.2</v>
      </c>
      <c r="T1121" s="13">
        <v>704.76</v>
      </c>
      <c r="U1121" s="13">
        <v>26.4285</v>
      </c>
      <c r="V1121" s="21">
        <f>Table10[[#This Row],[Profit]]/Table10[[#This Row],[Sales]]</f>
        <v>3.7499999999999999E-2</v>
      </c>
    </row>
    <row r="1122" spans="1:22" x14ac:dyDescent="0.2">
      <c r="A1122">
        <v>1121</v>
      </c>
      <c r="B1122" t="s">
        <v>9378</v>
      </c>
      <c r="C1122" s="1">
        <v>42580</v>
      </c>
      <c r="D1122" s="22">
        <f>MONTH(Table10[[#This Row],[Order Date]])</f>
        <v>7</v>
      </c>
      <c r="E1122" t="s">
        <v>1618</v>
      </c>
      <c r="F1122" t="s">
        <v>1619</v>
      </c>
      <c r="G1122" s="23" t="s">
        <v>41</v>
      </c>
      <c r="H1122" s="23" t="s">
        <v>68</v>
      </c>
      <c r="I1122" t="s">
        <v>5262</v>
      </c>
      <c r="J1122" t="s">
        <v>22</v>
      </c>
      <c r="K1122" s="22">
        <v>3</v>
      </c>
      <c r="L1122" s="1">
        <v>42585</v>
      </c>
      <c r="M1122" s="22">
        <f>Table10[[#This Row],[Ship Date]]-Table10[[#This Row],[Order Date]]</f>
        <v>5</v>
      </c>
      <c r="N1122" t="s">
        <v>45</v>
      </c>
      <c r="O1122" t="s">
        <v>23</v>
      </c>
      <c r="P1122" t="s">
        <v>80</v>
      </c>
      <c r="Q1122" t="s">
        <v>26</v>
      </c>
      <c r="R1122" t="s">
        <v>414</v>
      </c>
      <c r="S1122" s="33">
        <v>0.7</v>
      </c>
      <c r="T1122" s="13">
        <v>27.396000000000001</v>
      </c>
      <c r="U1122" s="13">
        <v>-20.090399999999999</v>
      </c>
      <c r="V1122" s="21">
        <f>Table10[[#This Row],[Profit]]/Table10[[#This Row],[Sales]]</f>
        <v>-0.73333333333333328</v>
      </c>
    </row>
    <row r="1123" spans="1:22" x14ac:dyDescent="0.2">
      <c r="A1123">
        <v>1122</v>
      </c>
      <c r="B1123" t="s">
        <v>4537</v>
      </c>
      <c r="C1123" s="1">
        <v>42581</v>
      </c>
      <c r="D1123" s="22">
        <f>MONTH(Table10[[#This Row],[Order Date]])</f>
        <v>7</v>
      </c>
      <c r="E1123" t="s">
        <v>3818</v>
      </c>
      <c r="F1123" t="s">
        <v>3819</v>
      </c>
      <c r="G1123" s="23" t="s">
        <v>41</v>
      </c>
      <c r="H1123" s="23" t="s">
        <v>68</v>
      </c>
      <c r="I1123" t="s">
        <v>487</v>
      </c>
      <c r="J1123" t="s">
        <v>92</v>
      </c>
      <c r="K1123" s="22">
        <v>3</v>
      </c>
      <c r="L1123" s="1">
        <v>42586</v>
      </c>
      <c r="M1123" s="22">
        <f>Table10[[#This Row],[Ship Date]]-Table10[[#This Row],[Order Date]]</f>
        <v>5</v>
      </c>
      <c r="N1123" t="s">
        <v>45</v>
      </c>
      <c r="O1123" t="s">
        <v>23</v>
      </c>
      <c r="P1123" t="s">
        <v>94</v>
      </c>
      <c r="Q1123" t="s">
        <v>95</v>
      </c>
      <c r="R1123" t="s">
        <v>165</v>
      </c>
      <c r="S1123" s="33">
        <v>0.8</v>
      </c>
      <c r="T1123" s="13">
        <v>9.2639999999999993</v>
      </c>
      <c r="U1123" s="13">
        <v>-13.896000000000001</v>
      </c>
      <c r="V1123" s="21">
        <f>Table10[[#This Row],[Profit]]/Table10[[#This Row],[Sales]]</f>
        <v>-1.5000000000000002</v>
      </c>
    </row>
    <row r="1124" spans="1:22" x14ac:dyDescent="0.2">
      <c r="A1124">
        <v>1123</v>
      </c>
      <c r="B1124" t="s">
        <v>8710</v>
      </c>
      <c r="C1124" s="1">
        <v>42581</v>
      </c>
      <c r="D1124" s="22">
        <f>MONTH(Table10[[#This Row],[Order Date]])</f>
        <v>7</v>
      </c>
      <c r="E1124" t="s">
        <v>5098</v>
      </c>
      <c r="F1124" t="s">
        <v>5099</v>
      </c>
      <c r="G1124" s="23" t="s">
        <v>41</v>
      </c>
      <c r="H1124" s="23" t="s">
        <v>42</v>
      </c>
      <c r="I1124" t="s">
        <v>2542</v>
      </c>
      <c r="J1124" t="s">
        <v>22</v>
      </c>
      <c r="K1124" s="22">
        <v>4</v>
      </c>
      <c r="L1124" s="1">
        <v>42586</v>
      </c>
      <c r="M1124" s="22">
        <f>Table10[[#This Row],[Ship Date]]-Table10[[#This Row],[Order Date]]</f>
        <v>5</v>
      </c>
      <c r="N1124" t="s">
        <v>45</v>
      </c>
      <c r="O1124" t="s">
        <v>23</v>
      </c>
      <c r="P1124" t="s">
        <v>189</v>
      </c>
      <c r="Q1124" t="s">
        <v>95</v>
      </c>
      <c r="R1124" t="s">
        <v>271</v>
      </c>
      <c r="S1124" s="33">
        <v>0.2</v>
      </c>
      <c r="T1124" s="13">
        <v>9.2479999999999993</v>
      </c>
      <c r="U1124" s="13">
        <v>3.1212</v>
      </c>
      <c r="V1124" s="21">
        <f>Table10[[#This Row],[Profit]]/Table10[[#This Row],[Sales]]</f>
        <v>0.33750000000000002</v>
      </c>
    </row>
    <row r="1125" spans="1:22" x14ac:dyDescent="0.2">
      <c r="A1125">
        <v>1124</v>
      </c>
      <c r="B1125" t="s">
        <v>8710</v>
      </c>
      <c r="C1125" s="1">
        <v>42581</v>
      </c>
      <c r="D1125" s="22">
        <f>MONTH(Table10[[#This Row],[Order Date]])</f>
        <v>7</v>
      </c>
      <c r="E1125" t="s">
        <v>1667</v>
      </c>
      <c r="F1125" t="s">
        <v>1668</v>
      </c>
      <c r="G1125" s="23" t="s">
        <v>41</v>
      </c>
      <c r="H1125" s="23" t="s">
        <v>53</v>
      </c>
      <c r="I1125" t="s">
        <v>2542</v>
      </c>
      <c r="J1125" t="s">
        <v>22</v>
      </c>
      <c r="K1125" s="22">
        <v>2</v>
      </c>
      <c r="L1125" s="1">
        <v>42586</v>
      </c>
      <c r="M1125" s="22">
        <f>Table10[[#This Row],[Ship Date]]-Table10[[#This Row],[Order Date]]</f>
        <v>5</v>
      </c>
      <c r="N1125" t="s">
        <v>45</v>
      </c>
      <c r="O1125" t="s">
        <v>23</v>
      </c>
      <c r="P1125" t="s">
        <v>189</v>
      </c>
      <c r="Q1125" t="s">
        <v>95</v>
      </c>
      <c r="R1125" t="s">
        <v>271</v>
      </c>
      <c r="S1125" s="33">
        <v>0.2</v>
      </c>
      <c r="T1125" s="13">
        <v>1036.624</v>
      </c>
      <c r="U1125" s="13">
        <v>51.831200000000003</v>
      </c>
      <c r="V1125" s="21">
        <f>Table10[[#This Row],[Profit]]/Table10[[#This Row],[Sales]]</f>
        <v>0.05</v>
      </c>
    </row>
    <row r="1126" spans="1:22" x14ac:dyDescent="0.2">
      <c r="A1126">
        <v>1125</v>
      </c>
      <c r="B1126" t="s">
        <v>8951</v>
      </c>
      <c r="C1126" s="1">
        <v>42581</v>
      </c>
      <c r="D1126" s="22">
        <f>MONTH(Table10[[#This Row],[Order Date]])</f>
        <v>7</v>
      </c>
      <c r="E1126" t="s">
        <v>2913</v>
      </c>
      <c r="F1126" t="s">
        <v>2914</v>
      </c>
      <c r="G1126" s="23" t="s">
        <v>41</v>
      </c>
      <c r="H1126" s="23" t="s">
        <v>71</v>
      </c>
      <c r="I1126" t="s">
        <v>2472</v>
      </c>
      <c r="J1126" t="s">
        <v>36</v>
      </c>
      <c r="K1126" s="22">
        <v>2</v>
      </c>
      <c r="L1126" s="1">
        <v>42584</v>
      </c>
      <c r="M1126" s="22">
        <f>Table10[[#This Row],[Ship Date]]-Table10[[#This Row],[Order Date]]</f>
        <v>3</v>
      </c>
      <c r="N1126" t="s">
        <v>169</v>
      </c>
      <c r="O1126" t="s">
        <v>23</v>
      </c>
      <c r="P1126" t="s">
        <v>38</v>
      </c>
      <c r="Q1126" t="s">
        <v>39</v>
      </c>
      <c r="R1126" t="s">
        <v>114</v>
      </c>
      <c r="S1126" s="33">
        <v>0</v>
      </c>
      <c r="T1126" s="13">
        <v>715.64</v>
      </c>
      <c r="U1126" s="13">
        <v>178.91</v>
      </c>
      <c r="V1126" s="21">
        <f>Table10[[#This Row],[Profit]]/Table10[[#This Row],[Sales]]</f>
        <v>0.25</v>
      </c>
    </row>
    <row r="1127" spans="1:22" x14ac:dyDescent="0.2">
      <c r="A1127">
        <v>1126</v>
      </c>
      <c r="B1127" t="s">
        <v>6944</v>
      </c>
      <c r="C1127" s="1">
        <v>42582</v>
      </c>
      <c r="D1127" s="22">
        <f>MONTH(Table10[[#This Row],[Order Date]])</f>
        <v>7</v>
      </c>
      <c r="E1127" t="s">
        <v>4077</v>
      </c>
      <c r="F1127" t="s">
        <v>4078</v>
      </c>
      <c r="G1127" s="23" t="s">
        <v>41</v>
      </c>
      <c r="H1127" s="23" t="s">
        <v>71</v>
      </c>
      <c r="I1127" t="s">
        <v>808</v>
      </c>
      <c r="J1127" t="s">
        <v>22</v>
      </c>
      <c r="K1127" s="22">
        <v>4</v>
      </c>
      <c r="L1127" s="1">
        <v>42588</v>
      </c>
      <c r="M1127" s="22">
        <f>Table10[[#This Row],[Ship Date]]-Table10[[#This Row],[Order Date]]</f>
        <v>6</v>
      </c>
      <c r="N1127" t="s">
        <v>45</v>
      </c>
      <c r="O1127" t="s">
        <v>23</v>
      </c>
      <c r="P1127" t="s">
        <v>212</v>
      </c>
      <c r="Q1127" t="s">
        <v>95</v>
      </c>
      <c r="R1127" t="s">
        <v>775</v>
      </c>
      <c r="S1127" s="33">
        <v>0.1</v>
      </c>
      <c r="T1127" s="13">
        <v>283.14</v>
      </c>
      <c r="U1127" s="13">
        <v>72.358000000000004</v>
      </c>
      <c r="V1127" s="21">
        <f>Table10[[#This Row],[Profit]]/Table10[[#This Row],[Sales]]</f>
        <v>0.25555555555555559</v>
      </c>
    </row>
    <row r="1128" spans="1:22" x14ac:dyDescent="0.2">
      <c r="A1128">
        <v>1127</v>
      </c>
      <c r="B1128" t="s">
        <v>6944</v>
      </c>
      <c r="C1128" s="1">
        <v>42582</v>
      </c>
      <c r="D1128" s="22">
        <f>MONTH(Table10[[#This Row],[Order Date]])</f>
        <v>7</v>
      </c>
      <c r="E1128" t="s">
        <v>1916</v>
      </c>
      <c r="F1128" t="s">
        <v>1917</v>
      </c>
      <c r="G1128" s="23" t="s">
        <v>64</v>
      </c>
      <c r="H1128" s="23" t="s">
        <v>65</v>
      </c>
      <c r="I1128" t="s">
        <v>808</v>
      </c>
      <c r="J1128" t="s">
        <v>22</v>
      </c>
      <c r="K1128" s="22">
        <v>4</v>
      </c>
      <c r="L1128" s="1">
        <v>42588</v>
      </c>
      <c r="M1128" s="22">
        <f>Table10[[#This Row],[Ship Date]]-Table10[[#This Row],[Order Date]]</f>
        <v>6</v>
      </c>
      <c r="N1128" t="s">
        <v>45</v>
      </c>
      <c r="O1128" t="s">
        <v>23</v>
      </c>
      <c r="P1128" t="s">
        <v>212</v>
      </c>
      <c r="Q1128" t="s">
        <v>95</v>
      </c>
      <c r="R1128" t="s">
        <v>775</v>
      </c>
      <c r="S1128" s="33">
        <v>0</v>
      </c>
      <c r="T1128" s="13">
        <v>635.96</v>
      </c>
      <c r="U1128" s="13">
        <v>165.34960000000001</v>
      </c>
      <c r="V1128" s="21">
        <f>Table10[[#This Row],[Profit]]/Table10[[#This Row],[Sales]]</f>
        <v>0.26</v>
      </c>
    </row>
    <row r="1129" spans="1:22" x14ac:dyDescent="0.2">
      <c r="A1129">
        <v>1128</v>
      </c>
      <c r="B1129" t="s">
        <v>6944</v>
      </c>
      <c r="C1129" s="1">
        <v>42582</v>
      </c>
      <c r="D1129" s="22">
        <f>MONTH(Table10[[#This Row],[Order Date]])</f>
        <v>7</v>
      </c>
      <c r="E1129" t="s">
        <v>4576</v>
      </c>
      <c r="F1129" t="s">
        <v>4577</v>
      </c>
      <c r="G1129" s="23" t="s">
        <v>64</v>
      </c>
      <c r="H1129" s="23" t="s">
        <v>65</v>
      </c>
      <c r="I1129" t="s">
        <v>808</v>
      </c>
      <c r="J1129" t="s">
        <v>22</v>
      </c>
      <c r="K1129" s="22">
        <v>1</v>
      </c>
      <c r="L1129" s="1">
        <v>42588</v>
      </c>
      <c r="M1129" s="22">
        <f>Table10[[#This Row],[Ship Date]]-Table10[[#This Row],[Order Date]]</f>
        <v>6</v>
      </c>
      <c r="N1129" t="s">
        <v>45</v>
      </c>
      <c r="O1129" t="s">
        <v>23</v>
      </c>
      <c r="P1129" t="s">
        <v>212</v>
      </c>
      <c r="Q1129" t="s">
        <v>95</v>
      </c>
      <c r="R1129" t="s">
        <v>775</v>
      </c>
      <c r="S1129" s="33">
        <v>0</v>
      </c>
      <c r="T1129" s="13">
        <v>118.99</v>
      </c>
      <c r="U1129" s="13">
        <v>33.3172</v>
      </c>
      <c r="V1129" s="21">
        <f>Table10[[#This Row],[Profit]]/Table10[[#This Row],[Sales]]</f>
        <v>0.28000000000000003</v>
      </c>
    </row>
    <row r="1130" spans="1:22" x14ac:dyDescent="0.2">
      <c r="A1130">
        <v>1129</v>
      </c>
      <c r="B1130" t="s">
        <v>6944</v>
      </c>
      <c r="C1130" s="1">
        <v>42582</v>
      </c>
      <c r="D1130" s="22">
        <f>MONTH(Table10[[#This Row],[Order Date]])</f>
        <v>7</v>
      </c>
      <c r="E1130" t="s">
        <v>959</v>
      </c>
      <c r="F1130" t="s">
        <v>960</v>
      </c>
      <c r="G1130" s="23" t="s">
        <v>28</v>
      </c>
      <c r="H1130" s="23" t="s">
        <v>58</v>
      </c>
      <c r="I1130" t="s">
        <v>808</v>
      </c>
      <c r="J1130" t="s">
        <v>22</v>
      </c>
      <c r="K1130" s="22">
        <v>3</v>
      </c>
      <c r="L1130" s="1">
        <v>42588</v>
      </c>
      <c r="M1130" s="22">
        <f>Table10[[#This Row],[Ship Date]]-Table10[[#This Row],[Order Date]]</f>
        <v>6</v>
      </c>
      <c r="N1130" t="s">
        <v>45</v>
      </c>
      <c r="O1130" t="s">
        <v>23</v>
      </c>
      <c r="P1130" t="s">
        <v>212</v>
      </c>
      <c r="Q1130" t="s">
        <v>95</v>
      </c>
      <c r="R1130" t="s">
        <v>775</v>
      </c>
      <c r="S1130" s="33">
        <v>0</v>
      </c>
      <c r="T1130" s="13">
        <v>272.94</v>
      </c>
      <c r="U1130" s="13">
        <v>30.023399999999999</v>
      </c>
      <c r="V1130" s="21">
        <f>Table10[[#This Row],[Profit]]/Table10[[#This Row],[Sales]]</f>
        <v>0.11</v>
      </c>
    </row>
    <row r="1131" spans="1:22" x14ac:dyDescent="0.2">
      <c r="A1131">
        <v>1130</v>
      </c>
      <c r="B1131" t="s">
        <v>9089</v>
      </c>
      <c r="C1131" s="1">
        <v>42582</v>
      </c>
      <c r="D1131" s="22">
        <f>MONTH(Table10[[#This Row],[Order Date]])</f>
        <v>7</v>
      </c>
      <c r="E1131" t="s">
        <v>1998</v>
      </c>
      <c r="F1131" t="s">
        <v>1999</v>
      </c>
      <c r="G1131" s="23" t="s">
        <v>28</v>
      </c>
      <c r="H1131" s="23" t="s">
        <v>50</v>
      </c>
      <c r="I1131" t="s">
        <v>5937</v>
      </c>
      <c r="J1131" t="s">
        <v>36</v>
      </c>
      <c r="K1131" s="22">
        <v>7</v>
      </c>
      <c r="L1131" s="1">
        <v>42587</v>
      </c>
      <c r="M1131" s="22">
        <f>Table10[[#This Row],[Ship Date]]-Table10[[#This Row],[Order Date]]</f>
        <v>5</v>
      </c>
      <c r="N1131" t="s">
        <v>45</v>
      </c>
      <c r="O1131" t="s">
        <v>23</v>
      </c>
      <c r="P1131" t="s">
        <v>38</v>
      </c>
      <c r="Q1131" t="s">
        <v>39</v>
      </c>
      <c r="R1131" t="s">
        <v>114</v>
      </c>
      <c r="S1131" s="33">
        <v>0.2</v>
      </c>
      <c r="T1131" s="13">
        <v>863.12800000000004</v>
      </c>
      <c r="U1131" s="13">
        <v>-32.3673</v>
      </c>
      <c r="V1131" s="21">
        <f>Table10[[#This Row],[Profit]]/Table10[[#This Row],[Sales]]</f>
        <v>-3.7499999999999999E-2</v>
      </c>
    </row>
    <row r="1132" spans="1:22" x14ac:dyDescent="0.2">
      <c r="A1132">
        <v>1131</v>
      </c>
      <c r="B1132" t="s">
        <v>8511</v>
      </c>
      <c r="C1132" s="1">
        <v>42583</v>
      </c>
      <c r="D1132" s="22">
        <f>MONTH(Table10[[#This Row],[Order Date]])</f>
        <v>8</v>
      </c>
      <c r="E1132" t="s">
        <v>166</v>
      </c>
      <c r="F1132" t="s">
        <v>167</v>
      </c>
      <c r="G1132" s="23" t="s">
        <v>41</v>
      </c>
      <c r="H1132" s="23" t="s">
        <v>82</v>
      </c>
      <c r="I1132" t="s">
        <v>6555</v>
      </c>
      <c r="J1132" t="s">
        <v>36</v>
      </c>
      <c r="K1132" s="22">
        <v>2</v>
      </c>
      <c r="L1132" s="1">
        <v>42587</v>
      </c>
      <c r="M1132" s="22">
        <f>Table10[[#This Row],[Ship Date]]-Table10[[#This Row],[Order Date]]</f>
        <v>4</v>
      </c>
      <c r="N1132" t="s">
        <v>20</v>
      </c>
      <c r="O1132" t="s">
        <v>23</v>
      </c>
      <c r="P1132" t="s">
        <v>94</v>
      </c>
      <c r="Q1132" t="s">
        <v>95</v>
      </c>
      <c r="R1132" t="s">
        <v>1430</v>
      </c>
      <c r="S1132" s="33">
        <v>0.2</v>
      </c>
      <c r="T1132" s="13">
        <v>19.648</v>
      </c>
      <c r="U1132" s="13">
        <v>6.6311999999999998</v>
      </c>
      <c r="V1132" s="21">
        <f>Table10[[#This Row],[Profit]]/Table10[[#This Row],[Sales]]</f>
        <v>0.33749999999999997</v>
      </c>
    </row>
    <row r="1133" spans="1:22" x14ac:dyDescent="0.2">
      <c r="A1133">
        <v>1132</v>
      </c>
      <c r="B1133" t="s">
        <v>8879</v>
      </c>
      <c r="C1133" s="1">
        <v>42583</v>
      </c>
      <c r="D1133" s="22">
        <f>MONTH(Table10[[#This Row],[Order Date]])</f>
        <v>8</v>
      </c>
      <c r="E1133" t="s">
        <v>4060</v>
      </c>
      <c r="F1133" t="s">
        <v>4061</v>
      </c>
      <c r="G1133" s="23" t="s">
        <v>64</v>
      </c>
      <c r="H1133" s="23" t="s">
        <v>65</v>
      </c>
      <c r="I1133" t="s">
        <v>1012</v>
      </c>
      <c r="J1133" t="s">
        <v>36</v>
      </c>
      <c r="K1133" s="22">
        <v>2</v>
      </c>
      <c r="L1133" s="1">
        <v>42583</v>
      </c>
      <c r="M1133" s="22">
        <f>Table10[[#This Row],[Ship Date]]-Table10[[#This Row],[Order Date]]</f>
        <v>0</v>
      </c>
      <c r="N1133" t="s">
        <v>1141</v>
      </c>
      <c r="O1133" t="s">
        <v>23</v>
      </c>
      <c r="P1133" t="s">
        <v>38</v>
      </c>
      <c r="Q1133" t="s">
        <v>39</v>
      </c>
      <c r="R1133" t="s">
        <v>2513</v>
      </c>
      <c r="S1133" s="33">
        <v>0.2</v>
      </c>
      <c r="T1133" s="13">
        <v>1039.7280000000001</v>
      </c>
      <c r="U1133" s="13">
        <v>90.976200000000006</v>
      </c>
      <c r="V1133" s="21">
        <f>Table10[[#This Row],[Profit]]/Table10[[#This Row],[Sales]]</f>
        <v>8.7499999999999994E-2</v>
      </c>
    </row>
    <row r="1134" spans="1:22" x14ac:dyDescent="0.2">
      <c r="A1134">
        <v>1133</v>
      </c>
      <c r="B1134" t="s">
        <v>8879</v>
      </c>
      <c r="C1134" s="1">
        <v>42583</v>
      </c>
      <c r="D1134" s="22">
        <f>MONTH(Table10[[#This Row],[Order Date]])</f>
        <v>8</v>
      </c>
      <c r="E1134" t="s">
        <v>70</v>
      </c>
      <c r="F1134" t="s">
        <v>72</v>
      </c>
      <c r="G1134" s="23" t="s">
        <v>41</v>
      </c>
      <c r="H1134" s="23" t="s">
        <v>71</v>
      </c>
      <c r="I1134" t="s">
        <v>1012</v>
      </c>
      <c r="J1134" t="s">
        <v>36</v>
      </c>
      <c r="K1134" s="22">
        <v>2</v>
      </c>
      <c r="L1134" s="1">
        <v>42583</v>
      </c>
      <c r="M1134" s="22">
        <f>Table10[[#This Row],[Ship Date]]-Table10[[#This Row],[Order Date]]</f>
        <v>0</v>
      </c>
      <c r="N1134" t="s">
        <v>1141</v>
      </c>
      <c r="O1134" t="s">
        <v>23</v>
      </c>
      <c r="P1134" t="s">
        <v>38</v>
      </c>
      <c r="Q1134" t="s">
        <v>39</v>
      </c>
      <c r="R1134" t="s">
        <v>2513</v>
      </c>
      <c r="S1134" s="33">
        <v>0</v>
      </c>
      <c r="T1134" s="13">
        <v>45.96</v>
      </c>
      <c r="U1134" s="13">
        <v>13.788</v>
      </c>
      <c r="V1134" s="21">
        <f>Table10[[#This Row],[Profit]]/Table10[[#This Row],[Sales]]</f>
        <v>0.3</v>
      </c>
    </row>
    <row r="1135" spans="1:22" x14ac:dyDescent="0.2">
      <c r="A1135">
        <v>1134</v>
      </c>
      <c r="B1135" t="s">
        <v>9675</v>
      </c>
      <c r="C1135" s="1">
        <v>42583</v>
      </c>
      <c r="D1135" s="22">
        <f>MONTH(Table10[[#This Row],[Order Date]])</f>
        <v>8</v>
      </c>
      <c r="E1135" t="s">
        <v>1517</v>
      </c>
      <c r="F1135" t="s">
        <v>7389</v>
      </c>
      <c r="G1135" s="23" t="s">
        <v>28</v>
      </c>
      <c r="H1135" s="23" t="s">
        <v>58</v>
      </c>
      <c r="I1135" t="s">
        <v>6418</v>
      </c>
      <c r="J1135" t="s">
        <v>22</v>
      </c>
      <c r="K1135" s="22">
        <v>2</v>
      </c>
      <c r="L1135" s="1">
        <v>42585</v>
      </c>
      <c r="M1135" s="22">
        <f>Table10[[#This Row],[Ship Date]]-Table10[[#This Row],[Order Date]]</f>
        <v>2</v>
      </c>
      <c r="N1135" t="s">
        <v>20</v>
      </c>
      <c r="O1135" t="s">
        <v>23</v>
      </c>
      <c r="P1135" t="s">
        <v>132</v>
      </c>
      <c r="Q1135" t="s">
        <v>133</v>
      </c>
      <c r="R1135" t="s">
        <v>131</v>
      </c>
      <c r="S1135" s="33">
        <v>0.2</v>
      </c>
      <c r="T1135" s="13">
        <v>19.312000000000001</v>
      </c>
      <c r="U1135" s="13">
        <v>3.1381999999999999</v>
      </c>
      <c r="V1135" s="21">
        <f>Table10[[#This Row],[Profit]]/Table10[[#This Row],[Sales]]</f>
        <v>0.16249999999999998</v>
      </c>
    </row>
    <row r="1136" spans="1:22" x14ac:dyDescent="0.2">
      <c r="A1136">
        <v>1135</v>
      </c>
      <c r="B1136" t="s">
        <v>7333</v>
      </c>
      <c r="C1136" s="1">
        <v>42584</v>
      </c>
      <c r="D1136" s="22">
        <f>MONTH(Table10[[#This Row],[Order Date]])</f>
        <v>8</v>
      </c>
      <c r="E1136" t="s">
        <v>7334</v>
      </c>
      <c r="F1136" t="s">
        <v>7335</v>
      </c>
      <c r="G1136" s="23" t="s">
        <v>28</v>
      </c>
      <c r="H1136" s="23" t="s">
        <v>50</v>
      </c>
      <c r="I1136" t="s">
        <v>2120</v>
      </c>
      <c r="J1136" t="s">
        <v>36</v>
      </c>
      <c r="K1136" s="22">
        <v>2</v>
      </c>
      <c r="L1136" s="1">
        <v>42586</v>
      </c>
      <c r="M1136" s="22">
        <f>Table10[[#This Row],[Ship Date]]-Table10[[#This Row],[Order Date]]</f>
        <v>2</v>
      </c>
      <c r="N1136" t="s">
        <v>20</v>
      </c>
      <c r="O1136" t="s">
        <v>23</v>
      </c>
      <c r="P1136" t="s">
        <v>38</v>
      </c>
      <c r="Q1136" t="s">
        <v>39</v>
      </c>
      <c r="R1136" t="s">
        <v>37</v>
      </c>
      <c r="S1136" s="33">
        <v>0.2</v>
      </c>
      <c r="T1136" s="13">
        <v>136.464</v>
      </c>
      <c r="U1136" s="13">
        <v>15.3522</v>
      </c>
      <c r="V1136" s="21">
        <f>Table10[[#This Row],[Profit]]/Table10[[#This Row],[Sales]]</f>
        <v>0.1125</v>
      </c>
    </row>
    <row r="1137" spans="1:22" x14ac:dyDescent="0.2">
      <c r="A1137">
        <v>1136</v>
      </c>
      <c r="B1137" t="s">
        <v>7333</v>
      </c>
      <c r="C1137" s="1">
        <v>42584</v>
      </c>
      <c r="D1137" s="22">
        <f>MONTH(Table10[[#This Row],[Order Date]])</f>
        <v>8</v>
      </c>
      <c r="E1137" t="s">
        <v>728</v>
      </c>
      <c r="F1137" t="s">
        <v>729</v>
      </c>
      <c r="G1137" s="23" t="s">
        <v>64</v>
      </c>
      <c r="H1137" s="23" t="s">
        <v>65</v>
      </c>
      <c r="I1137" t="s">
        <v>2120</v>
      </c>
      <c r="J1137" t="s">
        <v>36</v>
      </c>
      <c r="K1137" s="22">
        <v>3</v>
      </c>
      <c r="L1137" s="1">
        <v>42586</v>
      </c>
      <c r="M1137" s="22">
        <f>Table10[[#This Row],[Ship Date]]-Table10[[#This Row],[Order Date]]</f>
        <v>2</v>
      </c>
      <c r="N1137" t="s">
        <v>20</v>
      </c>
      <c r="O1137" t="s">
        <v>23</v>
      </c>
      <c r="P1137" t="s">
        <v>38</v>
      </c>
      <c r="Q1137" t="s">
        <v>39</v>
      </c>
      <c r="R1137" t="s">
        <v>37</v>
      </c>
      <c r="S1137" s="33">
        <v>0.2</v>
      </c>
      <c r="T1137" s="13">
        <v>333.57600000000002</v>
      </c>
      <c r="U1137" s="13">
        <v>33.357599999999998</v>
      </c>
      <c r="V1137" s="21">
        <f>Table10[[#This Row],[Profit]]/Table10[[#This Row],[Sales]]</f>
        <v>9.9999999999999992E-2</v>
      </c>
    </row>
    <row r="1138" spans="1:22" x14ac:dyDescent="0.2">
      <c r="A1138">
        <v>1137</v>
      </c>
      <c r="B1138" t="s">
        <v>7333</v>
      </c>
      <c r="C1138" s="1">
        <v>42584</v>
      </c>
      <c r="D1138" s="22">
        <f>MONTH(Table10[[#This Row],[Order Date]])</f>
        <v>8</v>
      </c>
      <c r="E1138" t="s">
        <v>1574</v>
      </c>
      <c r="F1138" t="s">
        <v>1575</v>
      </c>
      <c r="G1138" s="23" t="s">
        <v>41</v>
      </c>
      <c r="H1138" s="23" t="s">
        <v>68</v>
      </c>
      <c r="I1138" t="s">
        <v>2120</v>
      </c>
      <c r="J1138" t="s">
        <v>36</v>
      </c>
      <c r="K1138" s="22">
        <v>2</v>
      </c>
      <c r="L1138" s="1">
        <v>42586</v>
      </c>
      <c r="M1138" s="22">
        <f>Table10[[#This Row],[Ship Date]]-Table10[[#This Row],[Order Date]]</f>
        <v>2</v>
      </c>
      <c r="N1138" t="s">
        <v>20</v>
      </c>
      <c r="O1138" t="s">
        <v>23</v>
      </c>
      <c r="P1138" t="s">
        <v>38</v>
      </c>
      <c r="Q1138" t="s">
        <v>39</v>
      </c>
      <c r="R1138" t="s">
        <v>37</v>
      </c>
      <c r="S1138" s="33">
        <v>0.2</v>
      </c>
      <c r="T1138" s="13">
        <v>12.544</v>
      </c>
      <c r="U1138" s="13">
        <v>4.7039999999999997</v>
      </c>
      <c r="V1138" s="21">
        <f>Table10[[#This Row],[Profit]]/Table10[[#This Row],[Sales]]</f>
        <v>0.37499999999999994</v>
      </c>
    </row>
    <row r="1139" spans="1:22" x14ac:dyDescent="0.2">
      <c r="A1139">
        <v>1138</v>
      </c>
      <c r="B1139" t="s">
        <v>7949</v>
      </c>
      <c r="C1139" s="1">
        <v>42585</v>
      </c>
      <c r="D1139" s="22">
        <f>MONTH(Table10[[#This Row],[Order Date]])</f>
        <v>8</v>
      </c>
      <c r="E1139" t="s">
        <v>448</v>
      </c>
      <c r="F1139" t="s">
        <v>449</v>
      </c>
      <c r="G1139" s="23" t="s">
        <v>41</v>
      </c>
      <c r="H1139" s="23" t="s">
        <v>155</v>
      </c>
      <c r="I1139" t="s">
        <v>6701</v>
      </c>
      <c r="J1139" t="s">
        <v>22</v>
      </c>
      <c r="K1139" s="22">
        <v>3</v>
      </c>
      <c r="L1139" s="1">
        <v>42587</v>
      </c>
      <c r="M1139" s="22">
        <f>Table10[[#This Row],[Ship Date]]-Table10[[#This Row],[Order Date]]</f>
        <v>2</v>
      </c>
      <c r="N1139" t="s">
        <v>20</v>
      </c>
      <c r="O1139" t="s">
        <v>23</v>
      </c>
      <c r="P1139" t="s">
        <v>573</v>
      </c>
      <c r="Q1139" t="s">
        <v>95</v>
      </c>
      <c r="R1139" t="s">
        <v>4017</v>
      </c>
      <c r="S1139" s="33">
        <v>0</v>
      </c>
      <c r="T1139" s="13">
        <v>81.540000000000006</v>
      </c>
      <c r="U1139" s="13">
        <v>38.323799999999999</v>
      </c>
      <c r="V1139" s="21">
        <f>Table10[[#This Row],[Profit]]/Table10[[#This Row],[Sales]]</f>
        <v>0.47</v>
      </c>
    </row>
    <row r="1140" spans="1:22" x14ac:dyDescent="0.2">
      <c r="A1140">
        <v>1139</v>
      </c>
      <c r="B1140" t="s">
        <v>7949</v>
      </c>
      <c r="C1140" s="1">
        <v>42585</v>
      </c>
      <c r="D1140" s="22">
        <f>MONTH(Table10[[#This Row],[Order Date]])</f>
        <v>8</v>
      </c>
      <c r="E1140" t="s">
        <v>7950</v>
      </c>
      <c r="F1140" t="s">
        <v>7951</v>
      </c>
      <c r="G1140" s="23" t="s">
        <v>64</v>
      </c>
      <c r="H1140" s="23" t="s">
        <v>144</v>
      </c>
      <c r="I1140" t="s">
        <v>6701</v>
      </c>
      <c r="J1140" t="s">
        <v>22</v>
      </c>
      <c r="K1140" s="22">
        <v>12</v>
      </c>
      <c r="L1140" s="1">
        <v>42587</v>
      </c>
      <c r="M1140" s="22">
        <f>Table10[[#This Row],[Ship Date]]-Table10[[#This Row],[Order Date]]</f>
        <v>2</v>
      </c>
      <c r="N1140" t="s">
        <v>20</v>
      </c>
      <c r="O1140" t="s">
        <v>23</v>
      </c>
      <c r="P1140" t="s">
        <v>573</v>
      </c>
      <c r="Q1140" t="s">
        <v>95</v>
      </c>
      <c r="R1140" t="s">
        <v>4017</v>
      </c>
      <c r="S1140" s="33">
        <v>0</v>
      </c>
      <c r="T1140" s="13">
        <v>167.28</v>
      </c>
      <c r="U1140" s="13">
        <v>23.4192</v>
      </c>
      <c r="V1140" s="21">
        <f>Table10[[#This Row],[Profit]]/Table10[[#This Row],[Sales]]</f>
        <v>0.13999999999999999</v>
      </c>
    </row>
    <row r="1141" spans="1:22" x14ac:dyDescent="0.2">
      <c r="A1141">
        <v>1140</v>
      </c>
      <c r="B1141" t="s">
        <v>3955</v>
      </c>
      <c r="C1141" s="1">
        <v>42586</v>
      </c>
      <c r="D1141" s="22">
        <f>MONTH(Table10[[#This Row],[Order Date]])</f>
        <v>8</v>
      </c>
      <c r="E1141" t="s">
        <v>1241</v>
      </c>
      <c r="F1141" t="s">
        <v>1242</v>
      </c>
      <c r="G1141" s="23" t="s">
        <v>41</v>
      </c>
      <c r="H1141" s="23" t="s">
        <v>513</v>
      </c>
      <c r="I1141" t="s">
        <v>3956</v>
      </c>
      <c r="J1141" t="s">
        <v>92</v>
      </c>
      <c r="K1141" s="22">
        <v>2</v>
      </c>
      <c r="L1141" s="1">
        <v>42590</v>
      </c>
      <c r="M1141" s="22">
        <f>Table10[[#This Row],[Ship Date]]-Table10[[#This Row],[Order Date]]</f>
        <v>4</v>
      </c>
      <c r="N1141" t="s">
        <v>45</v>
      </c>
      <c r="O1141" t="s">
        <v>23</v>
      </c>
      <c r="P1141" t="s">
        <v>285</v>
      </c>
      <c r="Q1141" t="s">
        <v>26</v>
      </c>
      <c r="R1141" t="s">
        <v>3838</v>
      </c>
      <c r="S1141" s="33">
        <v>0</v>
      </c>
      <c r="T1141" s="13">
        <v>35.06</v>
      </c>
      <c r="U1141" s="13">
        <v>10.518000000000001</v>
      </c>
      <c r="V1141" s="21">
        <f>Table10[[#This Row],[Profit]]/Table10[[#This Row],[Sales]]</f>
        <v>0.3</v>
      </c>
    </row>
    <row r="1142" spans="1:22" x14ac:dyDescent="0.2">
      <c r="A1142">
        <v>1141</v>
      </c>
      <c r="B1142" t="s">
        <v>3955</v>
      </c>
      <c r="C1142" s="1">
        <v>42586</v>
      </c>
      <c r="D1142" s="22">
        <f>MONTH(Table10[[#This Row],[Order Date]])</f>
        <v>8</v>
      </c>
      <c r="E1142" t="s">
        <v>2123</v>
      </c>
      <c r="F1142" t="s">
        <v>2124</v>
      </c>
      <c r="G1142" s="23" t="s">
        <v>41</v>
      </c>
      <c r="H1142" s="23" t="s">
        <v>42</v>
      </c>
      <c r="I1142" t="s">
        <v>3956</v>
      </c>
      <c r="J1142" t="s">
        <v>92</v>
      </c>
      <c r="K1142" s="22">
        <v>1</v>
      </c>
      <c r="L1142" s="1">
        <v>42590</v>
      </c>
      <c r="M1142" s="22">
        <f>Table10[[#This Row],[Ship Date]]-Table10[[#This Row],[Order Date]]</f>
        <v>4</v>
      </c>
      <c r="N1142" t="s">
        <v>45</v>
      </c>
      <c r="O1142" t="s">
        <v>23</v>
      </c>
      <c r="P1142" t="s">
        <v>285</v>
      </c>
      <c r="Q1142" t="s">
        <v>26</v>
      </c>
      <c r="R1142" t="s">
        <v>3838</v>
      </c>
      <c r="S1142" s="33">
        <v>0</v>
      </c>
      <c r="T1142" s="13">
        <v>4.13</v>
      </c>
      <c r="U1142" s="13">
        <v>1.8997999999999999</v>
      </c>
      <c r="V1142" s="21">
        <f>Table10[[#This Row],[Profit]]/Table10[[#This Row],[Sales]]</f>
        <v>0.46</v>
      </c>
    </row>
    <row r="1143" spans="1:22" x14ac:dyDescent="0.2">
      <c r="A1143">
        <v>1142</v>
      </c>
      <c r="B1143" t="s">
        <v>3955</v>
      </c>
      <c r="C1143" s="1">
        <v>42586</v>
      </c>
      <c r="D1143" s="22">
        <f>MONTH(Table10[[#This Row],[Order Date]])</f>
        <v>8</v>
      </c>
      <c r="E1143" t="s">
        <v>3957</v>
      </c>
      <c r="F1143" t="s">
        <v>3958</v>
      </c>
      <c r="G1143" s="23" t="s">
        <v>28</v>
      </c>
      <c r="H1143" s="23" t="s">
        <v>58</v>
      </c>
      <c r="I1143" t="s">
        <v>3956</v>
      </c>
      <c r="J1143" t="s">
        <v>92</v>
      </c>
      <c r="K1143" s="22">
        <v>9</v>
      </c>
      <c r="L1143" s="1">
        <v>42590</v>
      </c>
      <c r="M1143" s="22">
        <f>Table10[[#This Row],[Ship Date]]-Table10[[#This Row],[Order Date]]</f>
        <v>4</v>
      </c>
      <c r="N1143" t="s">
        <v>45</v>
      </c>
      <c r="O1143" t="s">
        <v>23</v>
      </c>
      <c r="P1143" t="s">
        <v>285</v>
      </c>
      <c r="Q1143" t="s">
        <v>26</v>
      </c>
      <c r="R1143" t="s">
        <v>3838</v>
      </c>
      <c r="S1143" s="33">
        <v>0</v>
      </c>
      <c r="T1143" s="13">
        <v>109.8</v>
      </c>
      <c r="U1143" s="13">
        <v>46.116</v>
      </c>
      <c r="V1143" s="21">
        <f>Table10[[#This Row],[Profit]]/Table10[[#This Row],[Sales]]</f>
        <v>0.42</v>
      </c>
    </row>
    <row r="1144" spans="1:22" x14ac:dyDescent="0.2">
      <c r="A1144">
        <v>1143</v>
      </c>
      <c r="B1144" t="s">
        <v>3955</v>
      </c>
      <c r="C1144" s="1">
        <v>42586</v>
      </c>
      <c r="D1144" s="22">
        <f>MONTH(Table10[[#This Row],[Order Date]])</f>
        <v>8</v>
      </c>
      <c r="E1144" t="s">
        <v>3959</v>
      </c>
      <c r="F1144" t="s">
        <v>3960</v>
      </c>
      <c r="G1144" s="23" t="s">
        <v>41</v>
      </c>
      <c r="H1144" s="23" t="s">
        <v>42</v>
      </c>
      <c r="I1144" t="s">
        <v>3956</v>
      </c>
      <c r="J1144" t="s">
        <v>92</v>
      </c>
      <c r="K1144" s="22">
        <v>2</v>
      </c>
      <c r="L1144" s="1">
        <v>42590</v>
      </c>
      <c r="M1144" s="22">
        <f>Table10[[#This Row],[Ship Date]]-Table10[[#This Row],[Order Date]]</f>
        <v>4</v>
      </c>
      <c r="N1144" t="s">
        <v>45</v>
      </c>
      <c r="O1144" t="s">
        <v>23</v>
      </c>
      <c r="P1144" t="s">
        <v>285</v>
      </c>
      <c r="Q1144" t="s">
        <v>26</v>
      </c>
      <c r="R1144" t="s">
        <v>3838</v>
      </c>
      <c r="S1144" s="33">
        <v>0</v>
      </c>
      <c r="T1144" s="13">
        <v>9.82</v>
      </c>
      <c r="U1144" s="13">
        <v>4.8117999999999999</v>
      </c>
      <c r="V1144" s="21">
        <f>Table10[[#This Row],[Profit]]/Table10[[#This Row],[Sales]]</f>
        <v>0.49</v>
      </c>
    </row>
    <row r="1145" spans="1:22" x14ac:dyDescent="0.2">
      <c r="A1145">
        <v>1144</v>
      </c>
      <c r="B1145" t="s">
        <v>5178</v>
      </c>
      <c r="C1145" s="1">
        <v>42586</v>
      </c>
      <c r="D1145" s="22">
        <f>MONTH(Table10[[#This Row],[Order Date]])</f>
        <v>8</v>
      </c>
      <c r="E1145" t="s">
        <v>5179</v>
      </c>
      <c r="F1145" t="s">
        <v>5180</v>
      </c>
      <c r="G1145" s="23" t="s">
        <v>41</v>
      </c>
      <c r="H1145" s="23" t="s">
        <v>68</v>
      </c>
      <c r="I1145" t="s">
        <v>1965</v>
      </c>
      <c r="J1145" t="s">
        <v>22</v>
      </c>
      <c r="K1145" s="22">
        <v>5</v>
      </c>
      <c r="L1145" s="1">
        <v>42587</v>
      </c>
      <c r="M1145" s="22">
        <f>Table10[[#This Row],[Ship Date]]-Table10[[#This Row],[Order Date]]</f>
        <v>1</v>
      </c>
      <c r="N1145" t="s">
        <v>169</v>
      </c>
      <c r="O1145" t="s">
        <v>23</v>
      </c>
      <c r="P1145" t="s">
        <v>189</v>
      </c>
      <c r="Q1145" t="s">
        <v>95</v>
      </c>
      <c r="R1145" t="s">
        <v>1223</v>
      </c>
      <c r="S1145" s="33">
        <v>0.8</v>
      </c>
      <c r="T1145" s="13">
        <v>3.98</v>
      </c>
      <c r="U1145" s="13">
        <v>-6.5670000000000002</v>
      </c>
      <c r="V1145" s="21">
        <f>Table10[[#This Row],[Profit]]/Table10[[#This Row],[Sales]]</f>
        <v>-1.6500000000000001</v>
      </c>
    </row>
    <row r="1146" spans="1:22" x14ac:dyDescent="0.2">
      <c r="A1146">
        <v>1145</v>
      </c>
      <c r="B1146" t="s">
        <v>6473</v>
      </c>
      <c r="C1146" s="1">
        <v>42586</v>
      </c>
      <c r="D1146" s="22">
        <f>MONTH(Table10[[#This Row],[Order Date]])</f>
        <v>8</v>
      </c>
      <c r="E1146" t="s">
        <v>63</v>
      </c>
      <c r="F1146" t="s">
        <v>66</v>
      </c>
      <c r="G1146" s="23" t="s">
        <v>64</v>
      </c>
      <c r="H1146" s="23" t="s">
        <v>65</v>
      </c>
      <c r="I1146" t="s">
        <v>187</v>
      </c>
      <c r="J1146" t="s">
        <v>36</v>
      </c>
      <c r="K1146" s="22">
        <v>2</v>
      </c>
      <c r="L1146" s="1">
        <v>42588</v>
      </c>
      <c r="M1146" s="22">
        <f>Table10[[#This Row],[Ship Date]]-Table10[[#This Row],[Order Date]]</f>
        <v>2</v>
      </c>
      <c r="N1146" t="s">
        <v>20</v>
      </c>
      <c r="O1146" t="s">
        <v>23</v>
      </c>
      <c r="P1146" t="s">
        <v>38</v>
      </c>
      <c r="Q1146" t="s">
        <v>39</v>
      </c>
      <c r="R1146" t="s">
        <v>4790</v>
      </c>
      <c r="S1146" s="33">
        <v>0.2</v>
      </c>
      <c r="T1146" s="13">
        <v>302.38400000000001</v>
      </c>
      <c r="U1146" s="13">
        <v>30.238399999999999</v>
      </c>
      <c r="V1146" s="21">
        <f>Table10[[#This Row],[Profit]]/Table10[[#This Row],[Sales]]</f>
        <v>9.9999999999999992E-2</v>
      </c>
    </row>
    <row r="1147" spans="1:22" x14ac:dyDescent="0.2">
      <c r="A1147">
        <v>1146</v>
      </c>
      <c r="B1147" t="s">
        <v>6473</v>
      </c>
      <c r="C1147" s="1">
        <v>42586</v>
      </c>
      <c r="D1147" s="22">
        <f>MONTH(Table10[[#This Row],[Order Date]])</f>
        <v>8</v>
      </c>
      <c r="E1147" t="s">
        <v>207</v>
      </c>
      <c r="F1147" t="s">
        <v>208</v>
      </c>
      <c r="G1147" s="23" t="s">
        <v>41</v>
      </c>
      <c r="H1147" s="23" t="s">
        <v>68</v>
      </c>
      <c r="I1147" t="s">
        <v>187</v>
      </c>
      <c r="J1147" t="s">
        <v>36</v>
      </c>
      <c r="K1147" s="22">
        <v>3</v>
      </c>
      <c r="L1147" s="1">
        <v>42588</v>
      </c>
      <c r="M1147" s="22">
        <f>Table10[[#This Row],[Ship Date]]-Table10[[#This Row],[Order Date]]</f>
        <v>2</v>
      </c>
      <c r="N1147" t="s">
        <v>20</v>
      </c>
      <c r="O1147" t="s">
        <v>23</v>
      </c>
      <c r="P1147" t="s">
        <v>38</v>
      </c>
      <c r="Q1147" t="s">
        <v>39</v>
      </c>
      <c r="R1147" t="s">
        <v>4790</v>
      </c>
      <c r="S1147" s="33">
        <v>0.2</v>
      </c>
      <c r="T1147" s="13">
        <v>20.952000000000002</v>
      </c>
      <c r="U1147" s="13">
        <v>7.0712999999999999</v>
      </c>
      <c r="V1147" s="21">
        <f>Table10[[#This Row],[Profit]]/Table10[[#This Row],[Sales]]</f>
        <v>0.33749999999999997</v>
      </c>
    </row>
    <row r="1148" spans="1:22" x14ac:dyDescent="0.2">
      <c r="A1148">
        <v>1147</v>
      </c>
      <c r="B1148" t="s">
        <v>6473</v>
      </c>
      <c r="C1148" s="1">
        <v>42586</v>
      </c>
      <c r="D1148" s="22">
        <f>MONTH(Table10[[#This Row],[Order Date]])</f>
        <v>8</v>
      </c>
      <c r="E1148" t="s">
        <v>700</v>
      </c>
      <c r="F1148" t="s">
        <v>701</v>
      </c>
      <c r="G1148" s="23" t="s">
        <v>41</v>
      </c>
      <c r="H1148" s="23" t="s">
        <v>68</v>
      </c>
      <c r="I1148" t="s">
        <v>187</v>
      </c>
      <c r="J1148" t="s">
        <v>36</v>
      </c>
      <c r="K1148" s="22">
        <v>3</v>
      </c>
      <c r="L1148" s="1">
        <v>42588</v>
      </c>
      <c r="M1148" s="22">
        <f>Table10[[#This Row],[Ship Date]]-Table10[[#This Row],[Order Date]]</f>
        <v>2</v>
      </c>
      <c r="N1148" t="s">
        <v>20</v>
      </c>
      <c r="O1148" t="s">
        <v>23</v>
      </c>
      <c r="P1148" t="s">
        <v>38</v>
      </c>
      <c r="Q1148" t="s">
        <v>39</v>
      </c>
      <c r="R1148" t="s">
        <v>4790</v>
      </c>
      <c r="S1148" s="33">
        <v>0.2</v>
      </c>
      <c r="T1148" s="13">
        <v>11.784000000000001</v>
      </c>
      <c r="U1148" s="13">
        <v>3.9771000000000001</v>
      </c>
      <c r="V1148" s="21">
        <f>Table10[[#This Row],[Profit]]/Table10[[#This Row],[Sales]]</f>
        <v>0.33749999999999997</v>
      </c>
    </row>
    <row r="1149" spans="1:22" x14ac:dyDescent="0.2">
      <c r="A1149">
        <v>1148</v>
      </c>
      <c r="B1149" t="s">
        <v>9871</v>
      </c>
      <c r="C1149" s="1">
        <v>42587</v>
      </c>
      <c r="D1149" s="22">
        <f>MONTH(Table10[[#This Row],[Order Date]])</f>
        <v>8</v>
      </c>
      <c r="E1149" t="s">
        <v>4569</v>
      </c>
      <c r="F1149" t="s">
        <v>4570</v>
      </c>
      <c r="G1149" s="23" t="s">
        <v>41</v>
      </c>
      <c r="H1149" s="23" t="s">
        <v>61</v>
      </c>
      <c r="I1149" t="s">
        <v>6154</v>
      </c>
      <c r="J1149" t="s">
        <v>36</v>
      </c>
      <c r="K1149" s="22">
        <v>7</v>
      </c>
      <c r="L1149" s="1">
        <v>42593</v>
      </c>
      <c r="M1149" s="22">
        <f>Table10[[#This Row],[Ship Date]]-Table10[[#This Row],[Order Date]]</f>
        <v>6</v>
      </c>
      <c r="N1149" t="s">
        <v>45</v>
      </c>
      <c r="O1149" t="s">
        <v>23</v>
      </c>
      <c r="P1149" t="s">
        <v>320</v>
      </c>
      <c r="Q1149" t="s">
        <v>26</v>
      </c>
      <c r="R1149" t="s">
        <v>1488</v>
      </c>
      <c r="S1149" s="33">
        <v>0</v>
      </c>
      <c r="T1149" s="13">
        <v>197.05</v>
      </c>
      <c r="U1149" s="13">
        <v>59.115000000000002</v>
      </c>
      <c r="V1149" s="21">
        <f>Table10[[#This Row],[Profit]]/Table10[[#This Row],[Sales]]</f>
        <v>0.3</v>
      </c>
    </row>
    <row r="1150" spans="1:22" x14ac:dyDescent="0.2">
      <c r="A1150">
        <v>1149</v>
      </c>
      <c r="B1150" t="s">
        <v>5936</v>
      </c>
      <c r="C1150" s="1">
        <v>42588</v>
      </c>
      <c r="D1150" s="22">
        <f>MONTH(Table10[[#This Row],[Order Date]])</f>
        <v>8</v>
      </c>
      <c r="E1150" t="s">
        <v>930</v>
      </c>
      <c r="F1150" t="s">
        <v>167</v>
      </c>
      <c r="G1150" s="23" t="s">
        <v>41</v>
      </c>
      <c r="H1150" s="23" t="s">
        <v>82</v>
      </c>
      <c r="I1150" t="s">
        <v>5937</v>
      </c>
      <c r="J1150" t="s">
        <v>36</v>
      </c>
      <c r="K1150" s="22">
        <v>2</v>
      </c>
      <c r="L1150" s="1">
        <v>42589</v>
      </c>
      <c r="M1150" s="22">
        <f>Table10[[#This Row],[Ship Date]]-Table10[[#This Row],[Order Date]]</f>
        <v>1</v>
      </c>
      <c r="N1150" t="s">
        <v>169</v>
      </c>
      <c r="O1150" t="s">
        <v>23</v>
      </c>
      <c r="P1150" t="s">
        <v>238</v>
      </c>
      <c r="Q1150" t="s">
        <v>133</v>
      </c>
      <c r="R1150" t="s">
        <v>237</v>
      </c>
      <c r="S1150" s="33">
        <v>0</v>
      </c>
      <c r="T1150" s="13">
        <v>70.88</v>
      </c>
      <c r="U1150" s="13">
        <v>33.313600000000001</v>
      </c>
      <c r="V1150" s="21">
        <f>Table10[[#This Row],[Profit]]/Table10[[#This Row],[Sales]]</f>
        <v>0.47000000000000003</v>
      </c>
    </row>
    <row r="1151" spans="1:22" x14ac:dyDescent="0.2">
      <c r="A1151">
        <v>1150</v>
      </c>
      <c r="B1151" t="s">
        <v>7818</v>
      </c>
      <c r="C1151" s="1">
        <v>42588</v>
      </c>
      <c r="D1151" s="22">
        <f>MONTH(Table10[[#This Row],[Order Date]])</f>
        <v>8</v>
      </c>
      <c r="E1151" t="s">
        <v>735</v>
      </c>
      <c r="F1151" t="s">
        <v>736</v>
      </c>
      <c r="G1151" s="23" t="s">
        <v>64</v>
      </c>
      <c r="H1151" s="23" t="s">
        <v>65</v>
      </c>
      <c r="I1151" t="s">
        <v>2650</v>
      </c>
      <c r="J1151" t="s">
        <v>22</v>
      </c>
      <c r="K1151" s="22">
        <v>4</v>
      </c>
      <c r="L1151" s="1">
        <v>42595</v>
      </c>
      <c r="M1151" s="22">
        <f>Table10[[#This Row],[Ship Date]]-Table10[[#This Row],[Order Date]]</f>
        <v>7</v>
      </c>
      <c r="N1151" t="s">
        <v>45</v>
      </c>
      <c r="O1151" t="s">
        <v>23</v>
      </c>
      <c r="P1151" t="s">
        <v>38</v>
      </c>
      <c r="Q1151" t="s">
        <v>39</v>
      </c>
      <c r="R1151" t="s">
        <v>37</v>
      </c>
      <c r="S1151" s="33">
        <v>0.2</v>
      </c>
      <c r="T1151" s="13">
        <v>211.16800000000001</v>
      </c>
      <c r="U1151" s="13">
        <v>18.4772</v>
      </c>
      <c r="V1151" s="21">
        <f>Table10[[#This Row],[Profit]]/Table10[[#This Row],[Sales]]</f>
        <v>8.7499999999999994E-2</v>
      </c>
    </row>
    <row r="1152" spans="1:22" x14ac:dyDescent="0.2">
      <c r="A1152">
        <v>1151</v>
      </c>
      <c r="B1152" t="s">
        <v>9882</v>
      </c>
      <c r="C1152" s="1">
        <v>42588</v>
      </c>
      <c r="D1152" s="22">
        <f>MONTH(Table10[[#This Row],[Order Date]])</f>
        <v>8</v>
      </c>
      <c r="E1152" t="s">
        <v>1118</v>
      </c>
      <c r="F1152" t="s">
        <v>1119</v>
      </c>
      <c r="G1152" s="23" t="s">
        <v>41</v>
      </c>
      <c r="H1152" s="23" t="s">
        <v>61</v>
      </c>
      <c r="I1152" t="s">
        <v>1638</v>
      </c>
      <c r="J1152" t="s">
        <v>22</v>
      </c>
      <c r="K1152" s="22">
        <v>9</v>
      </c>
      <c r="L1152" s="1">
        <v>42593</v>
      </c>
      <c r="M1152" s="22">
        <f>Table10[[#This Row],[Ship Date]]-Table10[[#This Row],[Order Date]]</f>
        <v>5</v>
      </c>
      <c r="N1152" t="s">
        <v>45</v>
      </c>
      <c r="O1152" t="s">
        <v>23</v>
      </c>
      <c r="P1152" t="s">
        <v>238</v>
      </c>
      <c r="Q1152" t="s">
        <v>133</v>
      </c>
      <c r="R1152" t="s">
        <v>237</v>
      </c>
      <c r="S1152" s="33">
        <v>0</v>
      </c>
      <c r="T1152" s="13">
        <v>38.340000000000003</v>
      </c>
      <c r="U1152" s="13">
        <v>15.7194</v>
      </c>
      <c r="V1152" s="21">
        <f>Table10[[#This Row],[Profit]]/Table10[[#This Row],[Sales]]</f>
        <v>0.41</v>
      </c>
    </row>
    <row r="1153" spans="1:22" x14ac:dyDescent="0.2">
      <c r="A1153">
        <v>1152</v>
      </c>
      <c r="B1153" t="s">
        <v>8202</v>
      </c>
      <c r="C1153" s="1">
        <v>42589</v>
      </c>
      <c r="D1153" s="22">
        <f>MONTH(Table10[[#This Row],[Order Date]])</f>
        <v>8</v>
      </c>
      <c r="E1153" t="s">
        <v>2070</v>
      </c>
      <c r="F1153" t="s">
        <v>2071</v>
      </c>
      <c r="G1153" s="23" t="s">
        <v>64</v>
      </c>
      <c r="H1153" s="23" t="s">
        <v>144</v>
      </c>
      <c r="I1153" t="s">
        <v>492</v>
      </c>
      <c r="J1153" t="s">
        <v>36</v>
      </c>
      <c r="K1153" s="22">
        <v>3</v>
      </c>
      <c r="L1153" s="1">
        <v>42593</v>
      </c>
      <c r="M1153" s="22">
        <f>Table10[[#This Row],[Ship Date]]-Table10[[#This Row],[Order Date]]</f>
        <v>4</v>
      </c>
      <c r="N1153" t="s">
        <v>45</v>
      </c>
      <c r="O1153" t="s">
        <v>23</v>
      </c>
      <c r="P1153" t="s">
        <v>87</v>
      </c>
      <c r="Q1153" t="s">
        <v>39</v>
      </c>
      <c r="R1153" t="s">
        <v>2230</v>
      </c>
      <c r="S1153" s="33">
        <v>0</v>
      </c>
      <c r="T1153" s="13">
        <v>179.97</v>
      </c>
      <c r="U1153" s="13">
        <v>86.385599999999997</v>
      </c>
      <c r="V1153" s="21">
        <f>Table10[[#This Row],[Profit]]/Table10[[#This Row],[Sales]]</f>
        <v>0.48</v>
      </c>
    </row>
    <row r="1154" spans="1:22" x14ac:dyDescent="0.2">
      <c r="A1154">
        <v>1153</v>
      </c>
      <c r="B1154" t="s">
        <v>4006</v>
      </c>
      <c r="C1154" s="1">
        <v>42590</v>
      </c>
      <c r="D1154" s="22">
        <f>MONTH(Table10[[#This Row],[Order Date]])</f>
        <v>8</v>
      </c>
      <c r="E1154" t="s">
        <v>763</v>
      </c>
      <c r="F1154" t="s">
        <v>764</v>
      </c>
      <c r="G1154" s="23" t="s">
        <v>41</v>
      </c>
      <c r="H1154" s="23" t="s">
        <v>240</v>
      </c>
      <c r="I1154" t="s">
        <v>4007</v>
      </c>
      <c r="J1154" t="s">
        <v>22</v>
      </c>
      <c r="K1154" s="22">
        <v>4</v>
      </c>
      <c r="L1154" s="1">
        <v>42592</v>
      </c>
      <c r="M1154" s="22">
        <f>Table10[[#This Row],[Ship Date]]-Table10[[#This Row],[Order Date]]</f>
        <v>2</v>
      </c>
      <c r="N1154" t="s">
        <v>20</v>
      </c>
      <c r="O1154" t="s">
        <v>23</v>
      </c>
      <c r="P1154" t="s">
        <v>94</v>
      </c>
      <c r="Q1154" t="s">
        <v>95</v>
      </c>
      <c r="R1154" t="s">
        <v>718</v>
      </c>
      <c r="S1154" s="33">
        <v>0.2</v>
      </c>
      <c r="T1154" s="13">
        <v>11.167999999999999</v>
      </c>
      <c r="U1154" s="13">
        <v>3.6295999999999999</v>
      </c>
      <c r="V1154" s="21">
        <f>Table10[[#This Row],[Profit]]/Table10[[#This Row],[Sales]]</f>
        <v>0.32500000000000001</v>
      </c>
    </row>
    <row r="1155" spans="1:22" x14ac:dyDescent="0.2">
      <c r="A1155">
        <v>1154</v>
      </c>
      <c r="B1155" t="s">
        <v>4006</v>
      </c>
      <c r="C1155" s="1">
        <v>42590</v>
      </c>
      <c r="D1155" s="22">
        <f>MONTH(Table10[[#This Row],[Order Date]])</f>
        <v>8</v>
      </c>
      <c r="E1155" t="s">
        <v>4008</v>
      </c>
      <c r="F1155" t="s">
        <v>4009</v>
      </c>
      <c r="G1155" s="23" t="s">
        <v>41</v>
      </c>
      <c r="H1155" s="23" t="s">
        <v>82</v>
      </c>
      <c r="I1155" t="s">
        <v>4007</v>
      </c>
      <c r="J1155" t="s">
        <v>22</v>
      </c>
      <c r="K1155" s="22">
        <v>3</v>
      </c>
      <c r="L1155" s="1">
        <v>42592</v>
      </c>
      <c r="M1155" s="22">
        <f>Table10[[#This Row],[Ship Date]]-Table10[[#This Row],[Order Date]]</f>
        <v>2</v>
      </c>
      <c r="N1155" t="s">
        <v>20</v>
      </c>
      <c r="O1155" t="s">
        <v>23</v>
      </c>
      <c r="P1155" t="s">
        <v>94</v>
      </c>
      <c r="Q1155" t="s">
        <v>95</v>
      </c>
      <c r="R1155" t="s">
        <v>718</v>
      </c>
      <c r="S1155" s="33">
        <v>0.2</v>
      </c>
      <c r="T1155" s="13">
        <v>53.951999999999998</v>
      </c>
      <c r="U1155" s="13">
        <v>17.534400000000002</v>
      </c>
      <c r="V1155" s="21">
        <f>Table10[[#This Row],[Profit]]/Table10[[#This Row],[Sales]]</f>
        <v>0.32500000000000007</v>
      </c>
    </row>
    <row r="1156" spans="1:22" x14ac:dyDescent="0.2">
      <c r="A1156">
        <v>1155</v>
      </c>
      <c r="B1156" t="s">
        <v>5724</v>
      </c>
      <c r="C1156" s="1">
        <v>42590</v>
      </c>
      <c r="D1156" s="22">
        <f>MONTH(Table10[[#This Row],[Order Date]])</f>
        <v>8</v>
      </c>
      <c r="E1156" t="s">
        <v>5725</v>
      </c>
      <c r="F1156" t="s">
        <v>5726</v>
      </c>
      <c r="G1156" s="23" t="s">
        <v>41</v>
      </c>
      <c r="H1156" s="23" t="s">
        <v>240</v>
      </c>
      <c r="I1156" t="s">
        <v>3522</v>
      </c>
      <c r="J1156" t="s">
        <v>92</v>
      </c>
      <c r="K1156" s="22">
        <v>3</v>
      </c>
      <c r="L1156" s="1">
        <v>42595</v>
      </c>
      <c r="M1156" s="22">
        <f>Table10[[#This Row],[Ship Date]]-Table10[[#This Row],[Order Date]]</f>
        <v>5</v>
      </c>
      <c r="N1156" t="s">
        <v>45</v>
      </c>
      <c r="O1156" t="s">
        <v>23</v>
      </c>
      <c r="P1156" t="s">
        <v>1315</v>
      </c>
      <c r="Q1156" t="s">
        <v>26</v>
      </c>
      <c r="R1156" t="s">
        <v>293</v>
      </c>
      <c r="S1156" s="33">
        <v>0</v>
      </c>
      <c r="T1156" s="13">
        <v>23.34</v>
      </c>
      <c r="U1156" s="13">
        <v>0.2334</v>
      </c>
      <c r="V1156" s="21">
        <f>Table10[[#This Row],[Profit]]/Table10[[#This Row],[Sales]]</f>
        <v>0.01</v>
      </c>
    </row>
    <row r="1157" spans="1:22" x14ac:dyDescent="0.2">
      <c r="A1157">
        <v>1156</v>
      </c>
      <c r="B1157" t="s">
        <v>5985</v>
      </c>
      <c r="C1157" s="1">
        <v>42590</v>
      </c>
      <c r="D1157" s="22">
        <f>MONTH(Table10[[#This Row],[Order Date]])</f>
        <v>8</v>
      </c>
      <c r="E1157" t="s">
        <v>2934</v>
      </c>
      <c r="F1157" t="s">
        <v>2935</v>
      </c>
      <c r="G1157" s="23" t="s">
        <v>28</v>
      </c>
      <c r="H1157" s="23" t="s">
        <v>50</v>
      </c>
      <c r="I1157" t="s">
        <v>2982</v>
      </c>
      <c r="J1157" t="s">
        <v>92</v>
      </c>
      <c r="K1157" s="22">
        <v>2</v>
      </c>
      <c r="L1157" s="1">
        <v>42597</v>
      </c>
      <c r="M1157" s="22">
        <f>Table10[[#This Row],[Ship Date]]-Table10[[#This Row],[Order Date]]</f>
        <v>7</v>
      </c>
      <c r="N1157" t="s">
        <v>45</v>
      </c>
      <c r="O1157" t="s">
        <v>23</v>
      </c>
      <c r="P1157" t="s">
        <v>38</v>
      </c>
      <c r="Q1157" t="s">
        <v>39</v>
      </c>
      <c r="R1157" t="s">
        <v>37</v>
      </c>
      <c r="S1157" s="33">
        <v>0.2</v>
      </c>
      <c r="T1157" s="13">
        <v>513.024</v>
      </c>
      <c r="U1157" s="13">
        <v>12.8256</v>
      </c>
      <c r="V1157" s="21">
        <f>Table10[[#This Row],[Profit]]/Table10[[#This Row],[Sales]]</f>
        <v>2.4999999999999998E-2</v>
      </c>
    </row>
    <row r="1158" spans="1:22" x14ac:dyDescent="0.2">
      <c r="A1158">
        <v>1157</v>
      </c>
      <c r="B1158" t="s">
        <v>5985</v>
      </c>
      <c r="C1158" s="1">
        <v>42590</v>
      </c>
      <c r="D1158" s="22">
        <f>MONTH(Table10[[#This Row],[Order Date]])</f>
        <v>8</v>
      </c>
      <c r="E1158" t="s">
        <v>2483</v>
      </c>
      <c r="F1158" t="s">
        <v>2484</v>
      </c>
      <c r="G1158" s="23" t="s">
        <v>41</v>
      </c>
      <c r="H1158" s="23" t="s">
        <v>71</v>
      </c>
      <c r="I1158" t="s">
        <v>2982</v>
      </c>
      <c r="J1158" t="s">
        <v>92</v>
      </c>
      <c r="K1158" s="22">
        <v>6</v>
      </c>
      <c r="L1158" s="1">
        <v>42597</v>
      </c>
      <c r="M1158" s="22">
        <f>Table10[[#This Row],[Ship Date]]-Table10[[#This Row],[Order Date]]</f>
        <v>7</v>
      </c>
      <c r="N1158" t="s">
        <v>45</v>
      </c>
      <c r="O1158" t="s">
        <v>23</v>
      </c>
      <c r="P1158" t="s">
        <v>38</v>
      </c>
      <c r="Q1158" t="s">
        <v>39</v>
      </c>
      <c r="R1158" t="s">
        <v>37</v>
      </c>
      <c r="S1158" s="33">
        <v>0</v>
      </c>
      <c r="T1158" s="13">
        <v>487.92</v>
      </c>
      <c r="U1158" s="13">
        <v>136.61760000000001</v>
      </c>
      <c r="V1158" s="21">
        <f>Table10[[#This Row],[Profit]]/Table10[[#This Row],[Sales]]</f>
        <v>0.28000000000000003</v>
      </c>
    </row>
    <row r="1159" spans="1:22" x14ac:dyDescent="0.2">
      <c r="A1159">
        <v>1158</v>
      </c>
      <c r="B1159" t="s">
        <v>5985</v>
      </c>
      <c r="C1159" s="1">
        <v>42590</v>
      </c>
      <c r="D1159" s="22">
        <f>MONTH(Table10[[#This Row],[Order Date]])</f>
        <v>8</v>
      </c>
      <c r="E1159" t="s">
        <v>1108</v>
      </c>
      <c r="F1159" t="s">
        <v>1109</v>
      </c>
      <c r="G1159" s="23" t="s">
        <v>41</v>
      </c>
      <c r="H1159" s="23" t="s">
        <v>68</v>
      </c>
      <c r="I1159" t="s">
        <v>2982</v>
      </c>
      <c r="J1159" t="s">
        <v>92</v>
      </c>
      <c r="K1159" s="22">
        <v>5</v>
      </c>
      <c r="L1159" s="1">
        <v>42597</v>
      </c>
      <c r="M1159" s="22">
        <f>Table10[[#This Row],[Ship Date]]-Table10[[#This Row],[Order Date]]</f>
        <v>7</v>
      </c>
      <c r="N1159" t="s">
        <v>45</v>
      </c>
      <c r="O1159" t="s">
        <v>23</v>
      </c>
      <c r="P1159" t="s">
        <v>38</v>
      </c>
      <c r="Q1159" t="s">
        <v>39</v>
      </c>
      <c r="R1159" t="s">
        <v>37</v>
      </c>
      <c r="S1159" s="33">
        <v>0.2</v>
      </c>
      <c r="T1159" s="13">
        <v>15.24</v>
      </c>
      <c r="U1159" s="13">
        <v>5.3339999999999996</v>
      </c>
      <c r="V1159" s="21">
        <f>Table10[[#This Row],[Profit]]/Table10[[#This Row],[Sales]]</f>
        <v>0.35</v>
      </c>
    </row>
    <row r="1160" spans="1:22" x14ac:dyDescent="0.2">
      <c r="A1160">
        <v>1159</v>
      </c>
      <c r="B1160" t="s">
        <v>7345</v>
      </c>
      <c r="C1160" s="1">
        <v>42590</v>
      </c>
      <c r="D1160" s="22">
        <f>MONTH(Table10[[#This Row],[Order Date]])</f>
        <v>8</v>
      </c>
      <c r="E1160" t="s">
        <v>5344</v>
      </c>
      <c r="F1160" t="s">
        <v>5345</v>
      </c>
      <c r="G1160" s="23" t="s">
        <v>41</v>
      </c>
      <c r="H1160" s="23" t="s">
        <v>82</v>
      </c>
      <c r="I1160" t="s">
        <v>1729</v>
      </c>
      <c r="J1160" t="s">
        <v>22</v>
      </c>
      <c r="K1160" s="22">
        <v>2</v>
      </c>
      <c r="L1160" s="1">
        <v>42596</v>
      </c>
      <c r="M1160" s="22">
        <f>Table10[[#This Row],[Ship Date]]-Table10[[#This Row],[Order Date]]</f>
        <v>6</v>
      </c>
      <c r="N1160" t="s">
        <v>45</v>
      </c>
      <c r="O1160" t="s">
        <v>23</v>
      </c>
      <c r="P1160" t="s">
        <v>573</v>
      </c>
      <c r="Q1160" t="s">
        <v>95</v>
      </c>
      <c r="R1160" t="s">
        <v>4295</v>
      </c>
      <c r="S1160" s="33">
        <v>0</v>
      </c>
      <c r="T1160" s="13">
        <v>10.56</v>
      </c>
      <c r="U1160" s="13">
        <v>4.7519999999999998</v>
      </c>
      <c r="V1160" s="21">
        <f>Table10[[#This Row],[Profit]]/Table10[[#This Row],[Sales]]</f>
        <v>0.44999999999999996</v>
      </c>
    </row>
    <row r="1161" spans="1:22" x14ac:dyDescent="0.2">
      <c r="A1161">
        <v>1160</v>
      </c>
      <c r="B1161" t="s">
        <v>5998</v>
      </c>
      <c r="C1161" s="1">
        <v>42591</v>
      </c>
      <c r="D1161" s="22">
        <f>MONTH(Table10[[#This Row],[Order Date]])</f>
        <v>8</v>
      </c>
      <c r="E1161" t="s">
        <v>3513</v>
      </c>
      <c r="F1161" t="s">
        <v>3514</v>
      </c>
      <c r="G1161" s="23" t="s">
        <v>41</v>
      </c>
      <c r="H1161" s="23" t="s">
        <v>82</v>
      </c>
      <c r="I1161" t="s">
        <v>532</v>
      </c>
      <c r="J1161" t="s">
        <v>22</v>
      </c>
      <c r="K1161" s="22">
        <v>9</v>
      </c>
      <c r="L1161" s="1">
        <v>42594</v>
      </c>
      <c r="M1161" s="22">
        <f>Table10[[#This Row],[Ship Date]]-Table10[[#This Row],[Order Date]]</f>
        <v>3</v>
      </c>
      <c r="N1161" t="s">
        <v>169</v>
      </c>
      <c r="O1161" t="s">
        <v>23</v>
      </c>
      <c r="P1161" t="s">
        <v>80</v>
      </c>
      <c r="Q1161" t="s">
        <v>26</v>
      </c>
      <c r="R1161" t="s">
        <v>1509</v>
      </c>
      <c r="S1161" s="33">
        <v>0.2</v>
      </c>
      <c r="T1161" s="13">
        <v>30.815999999999999</v>
      </c>
      <c r="U1161" s="13">
        <v>9.6300000000000008</v>
      </c>
      <c r="V1161" s="21">
        <f>Table10[[#This Row],[Profit]]/Table10[[#This Row],[Sales]]</f>
        <v>0.31250000000000006</v>
      </c>
    </row>
    <row r="1162" spans="1:22" x14ac:dyDescent="0.2">
      <c r="A1162">
        <v>1161</v>
      </c>
      <c r="B1162" t="s">
        <v>5998</v>
      </c>
      <c r="C1162" s="1">
        <v>42591</v>
      </c>
      <c r="D1162" s="22">
        <f>MONTH(Table10[[#This Row],[Order Date]])</f>
        <v>8</v>
      </c>
      <c r="E1162" t="s">
        <v>5598</v>
      </c>
      <c r="F1162" t="s">
        <v>5599</v>
      </c>
      <c r="G1162" s="23" t="s">
        <v>64</v>
      </c>
      <c r="H1162" s="23" t="s">
        <v>65</v>
      </c>
      <c r="I1162" t="s">
        <v>532</v>
      </c>
      <c r="J1162" t="s">
        <v>22</v>
      </c>
      <c r="K1162" s="22">
        <v>2</v>
      </c>
      <c r="L1162" s="1">
        <v>42594</v>
      </c>
      <c r="M1162" s="22">
        <f>Table10[[#This Row],[Ship Date]]-Table10[[#This Row],[Order Date]]</f>
        <v>3</v>
      </c>
      <c r="N1162" t="s">
        <v>169</v>
      </c>
      <c r="O1162" t="s">
        <v>23</v>
      </c>
      <c r="P1162" t="s">
        <v>80</v>
      </c>
      <c r="Q1162" t="s">
        <v>26</v>
      </c>
      <c r="R1162" t="s">
        <v>1509</v>
      </c>
      <c r="S1162" s="33">
        <v>0.2</v>
      </c>
      <c r="T1162" s="13">
        <v>44.783999999999999</v>
      </c>
      <c r="U1162" s="13">
        <v>4.4783999999999997</v>
      </c>
      <c r="V1162" s="21">
        <f>Table10[[#This Row],[Profit]]/Table10[[#This Row],[Sales]]</f>
        <v>9.9999999999999992E-2</v>
      </c>
    </row>
    <row r="1163" spans="1:22" x14ac:dyDescent="0.2">
      <c r="A1163">
        <v>1162</v>
      </c>
      <c r="B1163" t="s">
        <v>5998</v>
      </c>
      <c r="C1163" s="1">
        <v>42591</v>
      </c>
      <c r="D1163" s="22">
        <f>MONTH(Table10[[#This Row],[Order Date]])</f>
        <v>8</v>
      </c>
      <c r="E1163" t="s">
        <v>610</v>
      </c>
      <c r="F1163" t="s">
        <v>611</v>
      </c>
      <c r="G1163" s="23" t="s">
        <v>41</v>
      </c>
      <c r="H1163" s="23" t="s">
        <v>71</v>
      </c>
      <c r="I1163" t="s">
        <v>532</v>
      </c>
      <c r="J1163" t="s">
        <v>22</v>
      </c>
      <c r="K1163" s="22">
        <v>4</v>
      </c>
      <c r="L1163" s="1">
        <v>42594</v>
      </c>
      <c r="M1163" s="22">
        <f>Table10[[#This Row],[Ship Date]]-Table10[[#This Row],[Order Date]]</f>
        <v>3</v>
      </c>
      <c r="N1163" t="s">
        <v>169</v>
      </c>
      <c r="O1163" t="s">
        <v>23</v>
      </c>
      <c r="P1163" t="s">
        <v>80</v>
      </c>
      <c r="Q1163" t="s">
        <v>26</v>
      </c>
      <c r="R1163" t="s">
        <v>1509</v>
      </c>
      <c r="S1163" s="33">
        <v>0.2</v>
      </c>
      <c r="T1163" s="13">
        <v>569.53599999999994</v>
      </c>
      <c r="U1163" s="13">
        <v>64.072800000000001</v>
      </c>
      <c r="V1163" s="21">
        <f>Table10[[#This Row],[Profit]]/Table10[[#This Row],[Sales]]</f>
        <v>0.11250000000000002</v>
      </c>
    </row>
    <row r="1164" spans="1:22" x14ac:dyDescent="0.2">
      <c r="A1164">
        <v>1163</v>
      </c>
      <c r="B1164" t="s">
        <v>9678</v>
      </c>
      <c r="C1164" s="1">
        <v>42591</v>
      </c>
      <c r="D1164" s="22">
        <f>MONTH(Table10[[#This Row],[Order Date]])</f>
        <v>8</v>
      </c>
      <c r="E1164" t="s">
        <v>1081</v>
      </c>
      <c r="F1164" t="s">
        <v>1082</v>
      </c>
      <c r="G1164" s="23" t="s">
        <v>41</v>
      </c>
      <c r="H1164" s="23" t="s">
        <v>68</v>
      </c>
      <c r="I1164" t="s">
        <v>5686</v>
      </c>
      <c r="J1164" t="s">
        <v>92</v>
      </c>
      <c r="K1164" s="22">
        <v>3</v>
      </c>
      <c r="L1164" s="1">
        <v>42596</v>
      </c>
      <c r="M1164" s="22">
        <f>Table10[[#This Row],[Ship Date]]-Table10[[#This Row],[Order Date]]</f>
        <v>5</v>
      </c>
      <c r="N1164" t="s">
        <v>45</v>
      </c>
      <c r="O1164" t="s">
        <v>23</v>
      </c>
      <c r="P1164" t="s">
        <v>299</v>
      </c>
      <c r="Q1164" t="s">
        <v>26</v>
      </c>
      <c r="R1164" t="s">
        <v>7988</v>
      </c>
      <c r="S1164" s="33">
        <v>0.7</v>
      </c>
      <c r="T1164" s="13">
        <v>4.3380000000000001</v>
      </c>
      <c r="U1164" s="13">
        <v>-3.0366</v>
      </c>
      <c r="V1164" s="21">
        <f>Table10[[#This Row],[Profit]]/Table10[[#This Row],[Sales]]</f>
        <v>-0.7</v>
      </c>
    </row>
    <row r="1165" spans="1:22" x14ac:dyDescent="0.2">
      <c r="A1165">
        <v>1164</v>
      </c>
      <c r="B1165" t="s">
        <v>9678</v>
      </c>
      <c r="C1165" s="1">
        <v>42591</v>
      </c>
      <c r="D1165" s="22">
        <f>MONTH(Table10[[#This Row],[Order Date]])</f>
        <v>8</v>
      </c>
      <c r="E1165" t="s">
        <v>2551</v>
      </c>
      <c r="F1165" t="s">
        <v>2552</v>
      </c>
      <c r="G1165" s="23" t="s">
        <v>41</v>
      </c>
      <c r="H1165" s="23" t="s">
        <v>68</v>
      </c>
      <c r="I1165" t="s">
        <v>5686</v>
      </c>
      <c r="J1165" t="s">
        <v>92</v>
      </c>
      <c r="K1165" s="22">
        <v>5</v>
      </c>
      <c r="L1165" s="1">
        <v>42596</v>
      </c>
      <c r="M1165" s="22">
        <f>Table10[[#This Row],[Ship Date]]-Table10[[#This Row],[Order Date]]</f>
        <v>5</v>
      </c>
      <c r="N1165" t="s">
        <v>45</v>
      </c>
      <c r="O1165" t="s">
        <v>23</v>
      </c>
      <c r="P1165" t="s">
        <v>299</v>
      </c>
      <c r="Q1165" t="s">
        <v>26</v>
      </c>
      <c r="R1165" t="s">
        <v>7988</v>
      </c>
      <c r="S1165" s="33">
        <v>0.7</v>
      </c>
      <c r="T1165" s="13">
        <v>11.88</v>
      </c>
      <c r="U1165" s="13">
        <v>-7.92</v>
      </c>
      <c r="V1165" s="21">
        <f>Table10[[#This Row],[Profit]]/Table10[[#This Row],[Sales]]</f>
        <v>-0.66666666666666663</v>
      </c>
    </row>
    <row r="1166" spans="1:22" x14ac:dyDescent="0.2">
      <c r="A1166">
        <v>1165</v>
      </c>
      <c r="B1166" t="s">
        <v>9164</v>
      </c>
      <c r="C1166" s="1">
        <v>42593</v>
      </c>
      <c r="D1166" s="22">
        <f>MONTH(Table10[[#This Row],[Order Date]])</f>
        <v>8</v>
      </c>
      <c r="E1166" t="s">
        <v>2328</v>
      </c>
      <c r="F1166" t="s">
        <v>2329</v>
      </c>
      <c r="G1166" s="23" t="s">
        <v>41</v>
      </c>
      <c r="H1166" s="23" t="s">
        <v>82</v>
      </c>
      <c r="I1166" t="s">
        <v>1475</v>
      </c>
      <c r="J1166" t="s">
        <v>92</v>
      </c>
      <c r="K1166" s="22">
        <v>5</v>
      </c>
      <c r="L1166" s="1">
        <v>42598</v>
      </c>
      <c r="M1166" s="22">
        <f>Table10[[#This Row],[Ship Date]]-Table10[[#This Row],[Order Date]]</f>
        <v>5</v>
      </c>
      <c r="N1166" t="s">
        <v>45</v>
      </c>
      <c r="O1166" t="s">
        <v>23</v>
      </c>
      <c r="P1166" t="s">
        <v>573</v>
      </c>
      <c r="Q1166" t="s">
        <v>95</v>
      </c>
      <c r="R1166" t="s">
        <v>4017</v>
      </c>
      <c r="S1166" s="33">
        <v>0</v>
      </c>
      <c r="T1166" s="13">
        <v>32.4</v>
      </c>
      <c r="U1166" s="13">
        <v>15.552</v>
      </c>
      <c r="V1166" s="21">
        <f>Table10[[#This Row],[Profit]]/Table10[[#This Row],[Sales]]</f>
        <v>0.48</v>
      </c>
    </row>
    <row r="1167" spans="1:22" x14ac:dyDescent="0.2">
      <c r="A1167">
        <v>1166</v>
      </c>
      <c r="B1167" t="s">
        <v>9164</v>
      </c>
      <c r="C1167" s="1">
        <v>42593</v>
      </c>
      <c r="D1167" s="22">
        <f>MONTH(Table10[[#This Row],[Order Date]])</f>
        <v>8</v>
      </c>
      <c r="E1167" t="s">
        <v>1951</v>
      </c>
      <c r="F1167" t="s">
        <v>1952</v>
      </c>
      <c r="G1167" s="23" t="s">
        <v>41</v>
      </c>
      <c r="H1167" s="23" t="s">
        <v>68</v>
      </c>
      <c r="I1167" t="s">
        <v>1475</v>
      </c>
      <c r="J1167" t="s">
        <v>92</v>
      </c>
      <c r="K1167" s="22">
        <v>7</v>
      </c>
      <c r="L1167" s="1">
        <v>42598</v>
      </c>
      <c r="M1167" s="22">
        <f>Table10[[#This Row],[Ship Date]]-Table10[[#This Row],[Order Date]]</f>
        <v>5</v>
      </c>
      <c r="N1167" t="s">
        <v>45</v>
      </c>
      <c r="O1167" t="s">
        <v>23</v>
      </c>
      <c r="P1167" t="s">
        <v>573</v>
      </c>
      <c r="Q1167" t="s">
        <v>95</v>
      </c>
      <c r="R1167" t="s">
        <v>4017</v>
      </c>
      <c r="S1167" s="33">
        <v>0</v>
      </c>
      <c r="T1167" s="13">
        <v>41.86</v>
      </c>
      <c r="U1167" s="13">
        <v>19.255600000000001</v>
      </c>
      <c r="V1167" s="21">
        <f>Table10[[#This Row],[Profit]]/Table10[[#This Row],[Sales]]</f>
        <v>0.46</v>
      </c>
    </row>
    <row r="1168" spans="1:22" x14ac:dyDescent="0.2">
      <c r="A1168">
        <v>1167</v>
      </c>
      <c r="B1168" t="s">
        <v>9164</v>
      </c>
      <c r="C1168" s="1">
        <v>42593</v>
      </c>
      <c r="D1168" s="22">
        <f>MONTH(Table10[[#This Row],[Order Date]])</f>
        <v>8</v>
      </c>
      <c r="E1168" t="s">
        <v>6098</v>
      </c>
      <c r="F1168" t="s">
        <v>6099</v>
      </c>
      <c r="G1168" s="23" t="s">
        <v>41</v>
      </c>
      <c r="H1168" s="23" t="s">
        <v>68</v>
      </c>
      <c r="I1168" t="s">
        <v>1475</v>
      </c>
      <c r="J1168" t="s">
        <v>92</v>
      </c>
      <c r="K1168" s="22">
        <v>2</v>
      </c>
      <c r="L1168" s="1">
        <v>42598</v>
      </c>
      <c r="M1168" s="22">
        <f>Table10[[#This Row],[Ship Date]]-Table10[[#This Row],[Order Date]]</f>
        <v>5</v>
      </c>
      <c r="N1168" t="s">
        <v>45</v>
      </c>
      <c r="O1168" t="s">
        <v>23</v>
      </c>
      <c r="P1168" t="s">
        <v>573</v>
      </c>
      <c r="Q1168" t="s">
        <v>95</v>
      </c>
      <c r="R1168" t="s">
        <v>4017</v>
      </c>
      <c r="S1168" s="33">
        <v>0</v>
      </c>
      <c r="T1168" s="13">
        <v>77.56</v>
      </c>
      <c r="U1168" s="13">
        <v>35.677599999999998</v>
      </c>
      <c r="V1168" s="21">
        <f>Table10[[#This Row],[Profit]]/Table10[[#This Row],[Sales]]</f>
        <v>0.45999999999999996</v>
      </c>
    </row>
    <row r="1169" spans="1:22" x14ac:dyDescent="0.2">
      <c r="A1169">
        <v>1168</v>
      </c>
      <c r="B1169" t="s">
        <v>2810</v>
      </c>
      <c r="C1169" s="1">
        <v>42594</v>
      </c>
      <c r="D1169" s="22">
        <f>MONTH(Table10[[#This Row],[Order Date]])</f>
        <v>8</v>
      </c>
      <c r="E1169" t="s">
        <v>2811</v>
      </c>
      <c r="F1169" t="s">
        <v>2812</v>
      </c>
      <c r="G1169" s="23" t="s">
        <v>41</v>
      </c>
      <c r="H1169" s="23" t="s">
        <v>82</v>
      </c>
      <c r="I1169" t="s">
        <v>403</v>
      </c>
      <c r="J1169" t="s">
        <v>22</v>
      </c>
      <c r="K1169" s="22">
        <v>1</v>
      </c>
      <c r="L1169" s="1">
        <v>42594</v>
      </c>
      <c r="M1169" s="22">
        <f>Table10[[#This Row],[Ship Date]]-Table10[[#This Row],[Order Date]]</f>
        <v>0</v>
      </c>
      <c r="N1169" t="s">
        <v>1141</v>
      </c>
      <c r="O1169" t="s">
        <v>23</v>
      </c>
      <c r="P1169" t="s">
        <v>433</v>
      </c>
      <c r="Q1169" t="s">
        <v>95</v>
      </c>
      <c r="R1169" t="s">
        <v>1216</v>
      </c>
      <c r="S1169" s="33">
        <v>0</v>
      </c>
      <c r="T1169" s="13">
        <v>6.48</v>
      </c>
      <c r="U1169" s="13">
        <v>3.1103999999999998</v>
      </c>
      <c r="V1169" s="21">
        <f>Table10[[#This Row],[Profit]]/Table10[[#This Row],[Sales]]</f>
        <v>0.47999999999999993</v>
      </c>
    </row>
    <row r="1170" spans="1:22" x14ac:dyDescent="0.2">
      <c r="A1170">
        <v>1169</v>
      </c>
      <c r="B1170" t="s">
        <v>5049</v>
      </c>
      <c r="C1170" s="1">
        <v>42594</v>
      </c>
      <c r="D1170" s="22">
        <f>MONTH(Table10[[#This Row],[Order Date]])</f>
        <v>8</v>
      </c>
      <c r="E1170" t="s">
        <v>4658</v>
      </c>
      <c r="F1170" t="s">
        <v>4659</v>
      </c>
      <c r="G1170" s="23" t="s">
        <v>64</v>
      </c>
      <c r="H1170" s="23" t="s">
        <v>144</v>
      </c>
      <c r="I1170" t="s">
        <v>5050</v>
      </c>
      <c r="J1170" t="s">
        <v>22</v>
      </c>
      <c r="K1170" s="22">
        <v>7</v>
      </c>
      <c r="L1170" s="1">
        <v>42597</v>
      </c>
      <c r="M1170" s="22">
        <f>Table10[[#This Row],[Ship Date]]-Table10[[#This Row],[Order Date]]</f>
        <v>3</v>
      </c>
      <c r="N1170" t="s">
        <v>20</v>
      </c>
      <c r="O1170" t="s">
        <v>23</v>
      </c>
      <c r="P1170" t="s">
        <v>94</v>
      </c>
      <c r="Q1170" t="s">
        <v>95</v>
      </c>
      <c r="R1170" t="s">
        <v>3716</v>
      </c>
      <c r="S1170" s="33">
        <v>0.2</v>
      </c>
      <c r="T1170" s="13">
        <v>1399.944</v>
      </c>
      <c r="U1170" s="13">
        <v>52.497900000000001</v>
      </c>
      <c r="V1170" s="21">
        <f>Table10[[#This Row],[Profit]]/Table10[[#This Row],[Sales]]</f>
        <v>3.7499999999999999E-2</v>
      </c>
    </row>
    <row r="1171" spans="1:22" x14ac:dyDescent="0.2">
      <c r="A1171">
        <v>1170</v>
      </c>
      <c r="B1171" t="s">
        <v>6926</v>
      </c>
      <c r="C1171" s="1">
        <v>42594</v>
      </c>
      <c r="D1171" s="22">
        <f>MONTH(Table10[[#This Row],[Order Date]])</f>
        <v>8</v>
      </c>
      <c r="E1171" t="s">
        <v>1403</v>
      </c>
      <c r="F1171" t="s">
        <v>1404</v>
      </c>
      <c r="G1171" s="23" t="s">
        <v>28</v>
      </c>
      <c r="H1171" s="23" t="s">
        <v>32</v>
      </c>
      <c r="I1171" t="s">
        <v>4721</v>
      </c>
      <c r="J1171" t="s">
        <v>92</v>
      </c>
      <c r="K1171" s="22">
        <v>2</v>
      </c>
      <c r="L1171" s="1">
        <v>42598</v>
      </c>
      <c r="M1171" s="22">
        <f>Table10[[#This Row],[Ship Date]]-Table10[[#This Row],[Order Date]]</f>
        <v>4</v>
      </c>
      <c r="N1171" t="s">
        <v>45</v>
      </c>
      <c r="O1171" t="s">
        <v>23</v>
      </c>
      <c r="P1171" t="s">
        <v>238</v>
      </c>
      <c r="Q1171" t="s">
        <v>133</v>
      </c>
      <c r="R1171" t="s">
        <v>237</v>
      </c>
      <c r="S1171" s="33">
        <v>0.1</v>
      </c>
      <c r="T1171" s="13">
        <v>145.76400000000001</v>
      </c>
      <c r="U1171" s="13">
        <v>-8.0980000000000008</v>
      </c>
      <c r="V1171" s="21">
        <f>Table10[[#This Row],[Profit]]/Table10[[#This Row],[Sales]]</f>
        <v>-5.5555555555555559E-2</v>
      </c>
    </row>
    <row r="1172" spans="1:22" x14ac:dyDescent="0.2">
      <c r="A1172">
        <v>1171</v>
      </c>
      <c r="B1172" t="s">
        <v>9071</v>
      </c>
      <c r="C1172" s="1">
        <v>42594</v>
      </c>
      <c r="D1172" s="22">
        <f>MONTH(Table10[[#This Row],[Order Date]])</f>
        <v>8</v>
      </c>
      <c r="E1172" t="s">
        <v>978</v>
      </c>
      <c r="F1172" t="s">
        <v>979</v>
      </c>
      <c r="G1172" s="23" t="s">
        <v>28</v>
      </c>
      <c r="H1172" s="23" t="s">
        <v>50</v>
      </c>
      <c r="I1172" t="s">
        <v>5885</v>
      </c>
      <c r="J1172" t="s">
        <v>36</v>
      </c>
      <c r="K1172" s="22">
        <v>7</v>
      </c>
      <c r="L1172" s="1">
        <v>42598</v>
      </c>
      <c r="M1172" s="22">
        <f>Table10[[#This Row],[Ship Date]]-Table10[[#This Row],[Order Date]]</f>
        <v>4</v>
      </c>
      <c r="N1172" t="s">
        <v>45</v>
      </c>
      <c r="O1172" t="s">
        <v>23</v>
      </c>
      <c r="P1172" t="s">
        <v>48</v>
      </c>
      <c r="Q1172" t="s">
        <v>26</v>
      </c>
      <c r="R1172" t="s">
        <v>1587</v>
      </c>
      <c r="S1172" s="33">
        <v>0.45</v>
      </c>
      <c r="T1172" s="13">
        <v>562.29250000000002</v>
      </c>
      <c r="U1172" s="13">
        <v>-255.58750000000001</v>
      </c>
      <c r="V1172" s="21">
        <f>Table10[[#This Row],[Profit]]/Table10[[#This Row],[Sales]]</f>
        <v>-0.45454545454545453</v>
      </c>
    </row>
    <row r="1173" spans="1:22" x14ac:dyDescent="0.2">
      <c r="A1173">
        <v>1172</v>
      </c>
      <c r="B1173" t="s">
        <v>9812</v>
      </c>
      <c r="C1173" s="1">
        <v>42594</v>
      </c>
      <c r="D1173" s="22">
        <f>MONTH(Table10[[#This Row],[Order Date]])</f>
        <v>8</v>
      </c>
      <c r="E1173" t="s">
        <v>2112</v>
      </c>
      <c r="F1173" t="s">
        <v>2113</v>
      </c>
      <c r="G1173" s="23" t="s">
        <v>28</v>
      </c>
      <c r="H1173" s="23" t="s">
        <v>50</v>
      </c>
      <c r="I1173" t="s">
        <v>3079</v>
      </c>
      <c r="J1173" t="s">
        <v>22</v>
      </c>
      <c r="K1173" s="22">
        <v>2</v>
      </c>
      <c r="L1173" s="1">
        <v>42599</v>
      </c>
      <c r="M1173" s="22">
        <f>Table10[[#This Row],[Ship Date]]-Table10[[#This Row],[Order Date]]</f>
        <v>5</v>
      </c>
      <c r="N1173" t="s">
        <v>20</v>
      </c>
      <c r="O1173" t="s">
        <v>23</v>
      </c>
      <c r="P1173" t="s">
        <v>238</v>
      </c>
      <c r="Q1173" t="s">
        <v>133</v>
      </c>
      <c r="R1173" t="s">
        <v>237</v>
      </c>
      <c r="S1173" s="33">
        <v>0.4</v>
      </c>
      <c r="T1173" s="13">
        <v>209.148</v>
      </c>
      <c r="U1173" s="13">
        <v>-66.230199999999996</v>
      </c>
      <c r="V1173" s="21">
        <f>Table10[[#This Row],[Profit]]/Table10[[#This Row],[Sales]]</f>
        <v>-0.31666666666666665</v>
      </c>
    </row>
    <row r="1174" spans="1:22" x14ac:dyDescent="0.2">
      <c r="A1174">
        <v>1173</v>
      </c>
      <c r="B1174" t="s">
        <v>9812</v>
      </c>
      <c r="C1174" s="1">
        <v>42594</v>
      </c>
      <c r="D1174" s="22">
        <f>MONTH(Table10[[#This Row],[Order Date]])</f>
        <v>8</v>
      </c>
      <c r="E1174" t="s">
        <v>4435</v>
      </c>
      <c r="F1174" t="s">
        <v>4436</v>
      </c>
      <c r="G1174" s="23" t="s">
        <v>41</v>
      </c>
      <c r="H1174" s="23" t="s">
        <v>53</v>
      </c>
      <c r="I1174" t="s">
        <v>3079</v>
      </c>
      <c r="J1174" t="s">
        <v>22</v>
      </c>
      <c r="K1174" s="22">
        <v>6</v>
      </c>
      <c r="L1174" s="1">
        <v>42599</v>
      </c>
      <c r="M1174" s="22">
        <f>Table10[[#This Row],[Ship Date]]-Table10[[#This Row],[Order Date]]</f>
        <v>5</v>
      </c>
      <c r="N1174" t="s">
        <v>20</v>
      </c>
      <c r="O1174" t="s">
        <v>23</v>
      </c>
      <c r="P1174" t="s">
        <v>238</v>
      </c>
      <c r="Q1174" t="s">
        <v>133</v>
      </c>
      <c r="R1174" t="s">
        <v>237</v>
      </c>
      <c r="S1174" s="33">
        <v>0</v>
      </c>
      <c r="T1174" s="13">
        <v>1591.02</v>
      </c>
      <c r="U1174" s="13">
        <v>286.3836</v>
      </c>
      <c r="V1174" s="21">
        <f>Table10[[#This Row],[Profit]]/Table10[[#This Row],[Sales]]</f>
        <v>0.18</v>
      </c>
    </row>
    <row r="1175" spans="1:22" x14ac:dyDescent="0.2">
      <c r="A1175">
        <v>1174</v>
      </c>
      <c r="B1175" t="s">
        <v>10008</v>
      </c>
      <c r="C1175" s="1">
        <v>42594</v>
      </c>
      <c r="D1175" s="22">
        <f>MONTH(Table10[[#This Row],[Order Date]])</f>
        <v>8</v>
      </c>
      <c r="E1175" t="s">
        <v>7647</v>
      </c>
      <c r="F1175" t="s">
        <v>7648</v>
      </c>
      <c r="G1175" s="23" t="s">
        <v>41</v>
      </c>
      <c r="H1175" s="23" t="s">
        <v>61</v>
      </c>
      <c r="I1175" t="s">
        <v>3617</v>
      </c>
      <c r="J1175" t="s">
        <v>92</v>
      </c>
      <c r="K1175" s="22">
        <v>4</v>
      </c>
      <c r="L1175" s="1">
        <v>42596</v>
      </c>
      <c r="M1175" s="22">
        <f>Table10[[#This Row],[Ship Date]]-Table10[[#This Row],[Order Date]]</f>
        <v>2</v>
      </c>
      <c r="N1175" t="s">
        <v>20</v>
      </c>
      <c r="O1175" t="s">
        <v>23</v>
      </c>
      <c r="P1175" t="s">
        <v>132</v>
      </c>
      <c r="Q1175" t="s">
        <v>133</v>
      </c>
      <c r="R1175" t="s">
        <v>131</v>
      </c>
      <c r="S1175" s="33">
        <v>0.2</v>
      </c>
      <c r="T1175" s="13">
        <v>37.311999999999998</v>
      </c>
      <c r="U1175" s="13">
        <v>2.7984</v>
      </c>
      <c r="V1175" s="21">
        <f>Table10[[#This Row],[Profit]]/Table10[[#This Row],[Sales]]</f>
        <v>7.5000000000000011E-2</v>
      </c>
    </row>
    <row r="1176" spans="1:22" x14ac:dyDescent="0.2">
      <c r="A1176">
        <v>1175</v>
      </c>
      <c r="B1176" t="s">
        <v>3929</v>
      </c>
      <c r="C1176" s="1">
        <v>42595</v>
      </c>
      <c r="D1176" s="22">
        <f>MONTH(Table10[[#This Row],[Order Date]])</f>
        <v>8</v>
      </c>
      <c r="E1176" t="s">
        <v>2074</v>
      </c>
      <c r="F1176" t="s">
        <v>2075</v>
      </c>
      <c r="G1176" s="23" t="s">
        <v>41</v>
      </c>
      <c r="H1176" s="23" t="s">
        <v>68</v>
      </c>
      <c r="I1176" t="s">
        <v>1471</v>
      </c>
      <c r="J1176" t="s">
        <v>22</v>
      </c>
      <c r="K1176" s="22">
        <v>8</v>
      </c>
      <c r="L1176" s="1">
        <v>42599</v>
      </c>
      <c r="M1176" s="22">
        <f>Table10[[#This Row],[Ship Date]]-Table10[[#This Row],[Order Date]]</f>
        <v>4</v>
      </c>
      <c r="N1176" t="s">
        <v>20</v>
      </c>
      <c r="O1176" t="s">
        <v>23</v>
      </c>
      <c r="P1176" t="s">
        <v>80</v>
      </c>
      <c r="Q1176" t="s">
        <v>26</v>
      </c>
      <c r="R1176" t="s">
        <v>1345</v>
      </c>
      <c r="S1176" s="33">
        <v>0.7</v>
      </c>
      <c r="T1176" s="13">
        <v>11.231999999999999</v>
      </c>
      <c r="U1176" s="13">
        <v>-8.2368000000000006</v>
      </c>
      <c r="V1176" s="21">
        <f>Table10[[#This Row],[Profit]]/Table10[[#This Row],[Sales]]</f>
        <v>-0.73333333333333339</v>
      </c>
    </row>
    <row r="1177" spans="1:22" x14ac:dyDescent="0.2">
      <c r="A1177">
        <v>1176</v>
      </c>
      <c r="B1177" t="s">
        <v>3929</v>
      </c>
      <c r="C1177" s="1">
        <v>42595</v>
      </c>
      <c r="D1177" s="22">
        <f>MONTH(Table10[[#This Row],[Order Date]])</f>
        <v>8</v>
      </c>
      <c r="E1177" t="s">
        <v>3930</v>
      </c>
      <c r="F1177" t="s">
        <v>167</v>
      </c>
      <c r="G1177" s="23" t="s">
        <v>41</v>
      </c>
      <c r="H1177" s="23" t="s">
        <v>82</v>
      </c>
      <c r="I1177" t="s">
        <v>1471</v>
      </c>
      <c r="J1177" t="s">
        <v>22</v>
      </c>
      <c r="K1177" s="22">
        <v>3</v>
      </c>
      <c r="L1177" s="1">
        <v>42599</v>
      </c>
      <c r="M1177" s="22">
        <f>Table10[[#This Row],[Ship Date]]-Table10[[#This Row],[Order Date]]</f>
        <v>4</v>
      </c>
      <c r="N1177" t="s">
        <v>20</v>
      </c>
      <c r="O1177" t="s">
        <v>23</v>
      </c>
      <c r="P1177" t="s">
        <v>80</v>
      </c>
      <c r="Q1177" t="s">
        <v>26</v>
      </c>
      <c r="R1177" t="s">
        <v>1345</v>
      </c>
      <c r="S1177" s="33">
        <v>0.2</v>
      </c>
      <c r="T1177" s="13">
        <v>10.272</v>
      </c>
      <c r="U1177" s="13">
        <v>3.21</v>
      </c>
      <c r="V1177" s="21">
        <f>Table10[[#This Row],[Profit]]/Table10[[#This Row],[Sales]]</f>
        <v>0.3125</v>
      </c>
    </row>
    <row r="1178" spans="1:22" x14ac:dyDescent="0.2">
      <c r="A1178">
        <v>1177</v>
      </c>
      <c r="B1178" t="s">
        <v>6194</v>
      </c>
      <c r="C1178" s="1">
        <v>42595</v>
      </c>
      <c r="D1178" s="22">
        <f>MONTH(Table10[[#This Row],[Order Date]])</f>
        <v>8</v>
      </c>
      <c r="E1178" t="s">
        <v>1478</v>
      </c>
      <c r="F1178" t="s">
        <v>1479</v>
      </c>
      <c r="G1178" s="23" t="s">
        <v>28</v>
      </c>
      <c r="H1178" s="23" t="s">
        <v>29</v>
      </c>
      <c r="I1178" t="s">
        <v>2763</v>
      </c>
      <c r="J1178" t="s">
        <v>36</v>
      </c>
      <c r="K1178" s="22">
        <v>2</v>
      </c>
      <c r="L1178" s="1">
        <v>42600</v>
      </c>
      <c r="M1178" s="22">
        <f>Table10[[#This Row],[Ship Date]]-Table10[[#This Row],[Order Date]]</f>
        <v>5</v>
      </c>
      <c r="N1178" t="s">
        <v>20</v>
      </c>
      <c r="O1178" t="s">
        <v>23</v>
      </c>
      <c r="P1178" t="s">
        <v>103</v>
      </c>
      <c r="Q1178" t="s">
        <v>95</v>
      </c>
      <c r="R1178" t="s">
        <v>6195</v>
      </c>
      <c r="S1178" s="33">
        <v>0</v>
      </c>
      <c r="T1178" s="13">
        <v>241.96</v>
      </c>
      <c r="U1178" s="13">
        <v>24.196000000000002</v>
      </c>
      <c r="V1178" s="21">
        <f>Table10[[#This Row],[Profit]]/Table10[[#This Row],[Sales]]</f>
        <v>0.1</v>
      </c>
    </row>
    <row r="1179" spans="1:22" x14ac:dyDescent="0.2">
      <c r="A1179">
        <v>1178</v>
      </c>
      <c r="B1179" t="s">
        <v>6194</v>
      </c>
      <c r="C1179" s="1">
        <v>42595</v>
      </c>
      <c r="D1179" s="22">
        <f>MONTH(Table10[[#This Row],[Order Date]])</f>
        <v>8</v>
      </c>
      <c r="E1179" t="s">
        <v>2750</v>
      </c>
      <c r="F1179" t="s">
        <v>2751</v>
      </c>
      <c r="G1179" s="23" t="s">
        <v>41</v>
      </c>
      <c r="H1179" s="23" t="s">
        <v>68</v>
      </c>
      <c r="I1179" t="s">
        <v>2763</v>
      </c>
      <c r="J1179" t="s">
        <v>36</v>
      </c>
      <c r="K1179" s="22">
        <v>3</v>
      </c>
      <c r="L1179" s="1">
        <v>42600</v>
      </c>
      <c r="M1179" s="22">
        <f>Table10[[#This Row],[Ship Date]]-Table10[[#This Row],[Order Date]]</f>
        <v>5</v>
      </c>
      <c r="N1179" t="s">
        <v>20</v>
      </c>
      <c r="O1179" t="s">
        <v>23</v>
      </c>
      <c r="P1179" t="s">
        <v>103</v>
      </c>
      <c r="Q1179" t="s">
        <v>95</v>
      </c>
      <c r="R1179" t="s">
        <v>6195</v>
      </c>
      <c r="S1179" s="33">
        <v>0</v>
      </c>
      <c r="T1179" s="13">
        <v>8.52</v>
      </c>
      <c r="U1179" s="13">
        <v>4.1748000000000003</v>
      </c>
      <c r="V1179" s="21">
        <f>Table10[[#This Row],[Profit]]/Table10[[#This Row],[Sales]]</f>
        <v>0.49000000000000005</v>
      </c>
    </row>
    <row r="1180" spans="1:22" x14ac:dyDescent="0.2">
      <c r="A1180">
        <v>1179</v>
      </c>
      <c r="B1180" t="s">
        <v>7857</v>
      </c>
      <c r="C1180" s="1">
        <v>42595</v>
      </c>
      <c r="D1180" s="22">
        <f>MONTH(Table10[[#This Row],[Order Date]])</f>
        <v>8</v>
      </c>
      <c r="E1180" t="s">
        <v>4690</v>
      </c>
      <c r="F1180" t="s">
        <v>1262</v>
      </c>
      <c r="G1180" s="23" t="s">
        <v>41</v>
      </c>
      <c r="H1180" s="23" t="s">
        <v>71</v>
      </c>
      <c r="I1180" t="s">
        <v>5155</v>
      </c>
      <c r="J1180" t="s">
        <v>22</v>
      </c>
      <c r="K1180" s="22">
        <v>2</v>
      </c>
      <c r="L1180" s="1">
        <v>42595</v>
      </c>
      <c r="M1180" s="22">
        <f>Table10[[#This Row],[Ship Date]]-Table10[[#This Row],[Order Date]]</f>
        <v>0</v>
      </c>
      <c r="N1180" t="s">
        <v>1141</v>
      </c>
      <c r="O1180" t="s">
        <v>23</v>
      </c>
      <c r="P1180" t="s">
        <v>650</v>
      </c>
      <c r="Q1180" t="s">
        <v>26</v>
      </c>
      <c r="R1180" t="s">
        <v>7858</v>
      </c>
      <c r="S1180" s="33">
        <v>0</v>
      </c>
      <c r="T1180" s="13">
        <v>17.34</v>
      </c>
      <c r="U1180" s="13">
        <v>4.6818</v>
      </c>
      <c r="V1180" s="21">
        <f>Table10[[#This Row],[Profit]]/Table10[[#This Row],[Sales]]</f>
        <v>0.27</v>
      </c>
    </row>
    <row r="1181" spans="1:22" x14ac:dyDescent="0.2">
      <c r="A1181">
        <v>1180</v>
      </c>
      <c r="B1181" t="s">
        <v>7857</v>
      </c>
      <c r="C1181" s="1">
        <v>42595</v>
      </c>
      <c r="D1181" s="22">
        <f>MONTH(Table10[[#This Row],[Order Date]])</f>
        <v>8</v>
      </c>
      <c r="E1181" t="s">
        <v>1249</v>
      </c>
      <c r="F1181" t="s">
        <v>1250</v>
      </c>
      <c r="G1181" s="23" t="s">
        <v>64</v>
      </c>
      <c r="H1181" s="23" t="s">
        <v>144</v>
      </c>
      <c r="I1181" t="s">
        <v>5155</v>
      </c>
      <c r="J1181" t="s">
        <v>22</v>
      </c>
      <c r="K1181" s="22">
        <v>2</v>
      </c>
      <c r="L1181" s="1">
        <v>42595</v>
      </c>
      <c r="M1181" s="22">
        <f>Table10[[#This Row],[Ship Date]]-Table10[[#This Row],[Order Date]]</f>
        <v>0</v>
      </c>
      <c r="N1181" t="s">
        <v>1141</v>
      </c>
      <c r="O1181" t="s">
        <v>23</v>
      </c>
      <c r="P1181" t="s">
        <v>650</v>
      </c>
      <c r="Q1181" t="s">
        <v>26</v>
      </c>
      <c r="R1181" t="s">
        <v>7858</v>
      </c>
      <c r="S1181" s="33">
        <v>0</v>
      </c>
      <c r="T1181" s="13">
        <v>71.98</v>
      </c>
      <c r="U1181" s="13">
        <v>15.1158</v>
      </c>
      <c r="V1181" s="21">
        <f>Table10[[#This Row],[Profit]]/Table10[[#This Row],[Sales]]</f>
        <v>0.21</v>
      </c>
    </row>
    <row r="1182" spans="1:22" x14ac:dyDescent="0.2">
      <c r="A1182">
        <v>1181</v>
      </c>
      <c r="B1182" t="s">
        <v>8965</v>
      </c>
      <c r="C1182" s="1">
        <v>42595</v>
      </c>
      <c r="D1182" s="22">
        <f>MONTH(Table10[[#This Row],[Order Date]])</f>
        <v>8</v>
      </c>
      <c r="E1182" t="s">
        <v>323</v>
      </c>
      <c r="F1182" t="s">
        <v>324</v>
      </c>
      <c r="G1182" s="23" t="s">
        <v>41</v>
      </c>
      <c r="H1182" s="23" t="s">
        <v>68</v>
      </c>
      <c r="I1182" t="s">
        <v>1260</v>
      </c>
      <c r="J1182" t="s">
        <v>22</v>
      </c>
      <c r="K1182" s="22">
        <v>4</v>
      </c>
      <c r="L1182" s="1">
        <v>42598</v>
      </c>
      <c r="M1182" s="22">
        <f>Table10[[#This Row],[Ship Date]]-Table10[[#This Row],[Order Date]]</f>
        <v>3</v>
      </c>
      <c r="N1182" t="s">
        <v>169</v>
      </c>
      <c r="O1182" t="s">
        <v>23</v>
      </c>
      <c r="P1182" t="s">
        <v>285</v>
      </c>
      <c r="Q1182" t="s">
        <v>26</v>
      </c>
      <c r="R1182" t="s">
        <v>284</v>
      </c>
      <c r="S1182" s="33">
        <v>0</v>
      </c>
      <c r="T1182" s="13">
        <v>22.32</v>
      </c>
      <c r="U1182" s="13">
        <v>10.7136</v>
      </c>
      <c r="V1182" s="21">
        <f>Table10[[#This Row],[Profit]]/Table10[[#This Row],[Sales]]</f>
        <v>0.48</v>
      </c>
    </row>
    <row r="1183" spans="1:22" x14ac:dyDescent="0.2">
      <c r="A1183">
        <v>1182</v>
      </c>
      <c r="B1183" t="s">
        <v>8965</v>
      </c>
      <c r="C1183" s="1">
        <v>42595</v>
      </c>
      <c r="D1183" s="22">
        <f>MONTH(Table10[[#This Row],[Order Date]])</f>
        <v>8</v>
      </c>
      <c r="E1183" t="s">
        <v>1476</v>
      </c>
      <c r="F1183" t="s">
        <v>1477</v>
      </c>
      <c r="G1183" s="23" t="s">
        <v>41</v>
      </c>
      <c r="H1183" s="23" t="s">
        <v>42</v>
      </c>
      <c r="I1183" t="s">
        <v>1260</v>
      </c>
      <c r="J1183" t="s">
        <v>22</v>
      </c>
      <c r="K1183" s="22">
        <v>7</v>
      </c>
      <c r="L1183" s="1">
        <v>42598</v>
      </c>
      <c r="M1183" s="22">
        <f>Table10[[#This Row],[Ship Date]]-Table10[[#This Row],[Order Date]]</f>
        <v>3</v>
      </c>
      <c r="N1183" t="s">
        <v>169</v>
      </c>
      <c r="O1183" t="s">
        <v>23</v>
      </c>
      <c r="P1183" t="s">
        <v>285</v>
      </c>
      <c r="Q1183" t="s">
        <v>26</v>
      </c>
      <c r="R1183" t="s">
        <v>284</v>
      </c>
      <c r="S1183" s="33">
        <v>0</v>
      </c>
      <c r="T1183" s="13">
        <v>103.6</v>
      </c>
      <c r="U1183" s="13">
        <v>51.8</v>
      </c>
      <c r="V1183" s="21">
        <f>Table10[[#This Row],[Profit]]/Table10[[#This Row],[Sales]]</f>
        <v>0.5</v>
      </c>
    </row>
    <row r="1184" spans="1:22" x14ac:dyDescent="0.2">
      <c r="A1184">
        <v>1183</v>
      </c>
      <c r="B1184" t="s">
        <v>9505</v>
      </c>
      <c r="C1184" s="1">
        <v>42595</v>
      </c>
      <c r="D1184" s="22">
        <f>MONTH(Table10[[#This Row],[Order Date]])</f>
        <v>8</v>
      </c>
      <c r="E1184" t="s">
        <v>1422</v>
      </c>
      <c r="F1184" t="s">
        <v>1423</v>
      </c>
      <c r="G1184" s="23" t="s">
        <v>41</v>
      </c>
      <c r="H1184" s="23" t="s">
        <v>513</v>
      </c>
      <c r="I1184" t="s">
        <v>4353</v>
      </c>
      <c r="J1184" t="s">
        <v>22</v>
      </c>
      <c r="K1184" s="22">
        <v>2</v>
      </c>
      <c r="L1184" s="1">
        <v>42601</v>
      </c>
      <c r="M1184" s="22">
        <f>Table10[[#This Row],[Ship Date]]-Table10[[#This Row],[Order Date]]</f>
        <v>6</v>
      </c>
      <c r="N1184" t="s">
        <v>45</v>
      </c>
      <c r="O1184" t="s">
        <v>23</v>
      </c>
      <c r="P1184" t="s">
        <v>94</v>
      </c>
      <c r="Q1184" t="s">
        <v>95</v>
      </c>
      <c r="R1184" t="s">
        <v>3463</v>
      </c>
      <c r="S1184" s="33">
        <v>0.2</v>
      </c>
      <c r="T1184" s="13">
        <v>185.376</v>
      </c>
      <c r="U1184" s="13">
        <v>-34.758000000000003</v>
      </c>
      <c r="V1184" s="21">
        <f>Table10[[#This Row],[Profit]]/Table10[[#This Row],[Sales]]</f>
        <v>-0.1875</v>
      </c>
    </row>
    <row r="1185" spans="1:22" x14ac:dyDescent="0.2">
      <c r="A1185">
        <v>1184</v>
      </c>
      <c r="B1185" t="s">
        <v>9505</v>
      </c>
      <c r="C1185" s="1">
        <v>42595</v>
      </c>
      <c r="D1185" s="22">
        <f>MONTH(Table10[[#This Row],[Order Date]])</f>
        <v>8</v>
      </c>
      <c r="E1185" t="s">
        <v>4317</v>
      </c>
      <c r="F1185" t="s">
        <v>4318</v>
      </c>
      <c r="G1185" s="23" t="s">
        <v>41</v>
      </c>
      <c r="H1185" s="23" t="s">
        <v>71</v>
      </c>
      <c r="I1185" t="s">
        <v>4353</v>
      </c>
      <c r="J1185" t="s">
        <v>22</v>
      </c>
      <c r="K1185" s="22">
        <v>1</v>
      </c>
      <c r="L1185" s="1">
        <v>42601</v>
      </c>
      <c r="M1185" s="22">
        <f>Table10[[#This Row],[Ship Date]]-Table10[[#This Row],[Order Date]]</f>
        <v>6</v>
      </c>
      <c r="N1185" t="s">
        <v>45</v>
      </c>
      <c r="O1185" t="s">
        <v>23</v>
      </c>
      <c r="P1185" t="s">
        <v>94</v>
      </c>
      <c r="Q1185" t="s">
        <v>95</v>
      </c>
      <c r="R1185" t="s">
        <v>3463</v>
      </c>
      <c r="S1185" s="33">
        <v>0.8</v>
      </c>
      <c r="T1185" s="13">
        <v>58.923999999999999</v>
      </c>
      <c r="U1185" s="13">
        <v>-153.20240000000001</v>
      </c>
      <c r="V1185" s="21">
        <f>Table10[[#This Row],[Profit]]/Table10[[#This Row],[Sales]]</f>
        <v>-2.6</v>
      </c>
    </row>
    <row r="1186" spans="1:22" x14ac:dyDescent="0.2">
      <c r="A1186">
        <v>1185</v>
      </c>
      <c r="B1186" t="s">
        <v>7429</v>
      </c>
      <c r="C1186" s="1">
        <v>42596</v>
      </c>
      <c r="D1186" s="22">
        <f>MONTH(Table10[[#This Row],[Order Date]])</f>
        <v>8</v>
      </c>
      <c r="E1186" t="s">
        <v>4527</v>
      </c>
      <c r="F1186" t="s">
        <v>4528</v>
      </c>
      <c r="G1186" s="23" t="s">
        <v>41</v>
      </c>
      <c r="H1186" s="23" t="s">
        <v>82</v>
      </c>
      <c r="I1186" t="s">
        <v>7230</v>
      </c>
      <c r="J1186" t="s">
        <v>22</v>
      </c>
      <c r="K1186" s="22">
        <v>3</v>
      </c>
      <c r="L1186" s="1">
        <v>42600</v>
      </c>
      <c r="M1186" s="22">
        <f>Table10[[#This Row],[Ship Date]]-Table10[[#This Row],[Order Date]]</f>
        <v>4</v>
      </c>
      <c r="N1186" t="s">
        <v>45</v>
      </c>
      <c r="O1186" t="s">
        <v>23</v>
      </c>
      <c r="P1186" t="s">
        <v>38</v>
      </c>
      <c r="Q1186" t="s">
        <v>39</v>
      </c>
      <c r="R1186" t="s">
        <v>37</v>
      </c>
      <c r="S1186" s="33">
        <v>0</v>
      </c>
      <c r="T1186" s="13">
        <v>15.54</v>
      </c>
      <c r="U1186" s="13">
        <v>7.6146000000000003</v>
      </c>
      <c r="V1186" s="21">
        <f>Table10[[#This Row],[Profit]]/Table10[[#This Row],[Sales]]</f>
        <v>0.49000000000000005</v>
      </c>
    </row>
    <row r="1187" spans="1:22" x14ac:dyDescent="0.2">
      <c r="A1187">
        <v>1186</v>
      </c>
      <c r="B1187" t="s">
        <v>7429</v>
      </c>
      <c r="C1187" s="1">
        <v>42596</v>
      </c>
      <c r="D1187" s="22">
        <f>MONTH(Table10[[#This Row],[Order Date]])</f>
        <v>8</v>
      </c>
      <c r="E1187" t="s">
        <v>7430</v>
      </c>
      <c r="F1187" t="s">
        <v>7431</v>
      </c>
      <c r="G1187" s="23" t="s">
        <v>64</v>
      </c>
      <c r="H1187" s="23" t="s">
        <v>602</v>
      </c>
      <c r="I1187" t="s">
        <v>7230</v>
      </c>
      <c r="J1187" t="s">
        <v>22</v>
      </c>
      <c r="K1187" s="22">
        <v>6</v>
      </c>
      <c r="L1187" s="1">
        <v>42600</v>
      </c>
      <c r="M1187" s="22">
        <f>Table10[[#This Row],[Ship Date]]-Table10[[#This Row],[Order Date]]</f>
        <v>4</v>
      </c>
      <c r="N1187" t="s">
        <v>45</v>
      </c>
      <c r="O1187" t="s">
        <v>23</v>
      </c>
      <c r="P1187" t="s">
        <v>38</v>
      </c>
      <c r="Q1187" t="s">
        <v>39</v>
      </c>
      <c r="R1187" t="s">
        <v>37</v>
      </c>
      <c r="S1187" s="33">
        <v>0.2</v>
      </c>
      <c r="T1187" s="13">
        <v>105.55200000000001</v>
      </c>
      <c r="U1187" s="13">
        <v>35.623800000000003</v>
      </c>
      <c r="V1187" s="21">
        <f>Table10[[#This Row],[Profit]]/Table10[[#This Row],[Sales]]</f>
        <v>0.33750000000000002</v>
      </c>
    </row>
    <row r="1188" spans="1:22" x14ac:dyDescent="0.2">
      <c r="A1188">
        <v>1187</v>
      </c>
      <c r="B1188" t="s">
        <v>8483</v>
      </c>
      <c r="C1188" s="1">
        <v>42596</v>
      </c>
      <c r="D1188" s="22">
        <f>MONTH(Table10[[#This Row],[Order Date]])</f>
        <v>8</v>
      </c>
      <c r="E1188" t="s">
        <v>6037</v>
      </c>
      <c r="F1188" t="s">
        <v>6038</v>
      </c>
      <c r="G1188" s="23" t="s">
        <v>41</v>
      </c>
      <c r="H1188" s="23" t="s">
        <v>82</v>
      </c>
      <c r="I1188" t="s">
        <v>2256</v>
      </c>
      <c r="J1188" t="s">
        <v>22</v>
      </c>
      <c r="K1188" s="22">
        <v>3</v>
      </c>
      <c r="L1188" s="1">
        <v>42598</v>
      </c>
      <c r="M1188" s="22">
        <f>Table10[[#This Row],[Ship Date]]-Table10[[#This Row],[Order Date]]</f>
        <v>2</v>
      </c>
      <c r="N1188" t="s">
        <v>169</v>
      </c>
      <c r="O1188" t="s">
        <v>23</v>
      </c>
      <c r="P1188" t="s">
        <v>299</v>
      </c>
      <c r="Q1188" t="s">
        <v>26</v>
      </c>
      <c r="R1188" t="s">
        <v>5035</v>
      </c>
      <c r="S1188" s="33">
        <v>0.2</v>
      </c>
      <c r="T1188" s="13">
        <v>15.552</v>
      </c>
      <c r="U1188" s="13">
        <v>5.4432</v>
      </c>
      <c r="V1188" s="21">
        <f>Table10[[#This Row],[Profit]]/Table10[[#This Row],[Sales]]</f>
        <v>0.35000000000000003</v>
      </c>
    </row>
    <row r="1189" spans="1:22" x14ac:dyDescent="0.2">
      <c r="A1189">
        <v>1188</v>
      </c>
      <c r="B1189" t="s">
        <v>9402</v>
      </c>
      <c r="C1189" s="1">
        <v>42596</v>
      </c>
      <c r="D1189" s="22">
        <f>MONTH(Table10[[#This Row],[Order Date]])</f>
        <v>8</v>
      </c>
      <c r="E1189" t="s">
        <v>3523</v>
      </c>
      <c r="F1189" t="s">
        <v>3524</v>
      </c>
      <c r="G1189" s="23" t="s">
        <v>64</v>
      </c>
      <c r="H1189" s="23" t="s">
        <v>65</v>
      </c>
      <c r="I1189" t="s">
        <v>556</v>
      </c>
      <c r="J1189" t="s">
        <v>36</v>
      </c>
      <c r="K1189" s="22">
        <v>2</v>
      </c>
      <c r="L1189" s="1">
        <v>42600</v>
      </c>
      <c r="M1189" s="22">
        <f>Table10[[#This Row],[Ship Date]]-Table10[[#This Row],[Order Date]]</f>
        <v>4</v>
      </c>
      <c r="N1189" t="s">
        <v>45</v>
      </c>
      <c r="O1189" t="s">
        <v>23</v>
      </c>
      <c r="P1189" t="s">
        <v>441</v>
      </c>
      <c r="Q1189" t="s">
        <v>133</v>
      </c>
      <c r="R1189" t="s">
        <v>706</v>
      </c>
      <c r="S1189" s="33">
        <v>0.4</v>
      </c>
      <c r="T1189" s="13">
        <v>259.89600000000002</v>
      </c>
      <c r="U1189" s="13">
        <v>-56.3108</v>
      </c>
      <c r="V1189" s="21">
        <f>Table10[[#This Row],[Profit]]/Table10[[#This Row],[Sales]]</f>
        <v>-0.21666666666666665</v>
      </c>
    </row>
    <row r="1190" spans="1:22" x14ac:dyDescent="0.2">
      <c r="A1190">
        <v>1189</v>
      </c>
      <c r="B1190" t="s">
        <v>9402</v>
      </c>
      <c r="C1190" s="1">
        <v>42596</v>
      </c>
      <c r="D1190" s="22">
        <f>MONTH(Table10[[#This Row],[Order Date]])</f>
        <v>8</v>
      </c>
      <c r="E1190" t="s">
        <v>2189</v>
      </c>
      <c r="F1190" t="s">
        <v>2624</v>
      </c>
      <c r="G1190" s="23" t="s">
        <v>64</v>
      </c>
      <c r="H1190" s="23" t="s">
        <v>65</v>
      </c>
      <c r="I1190" t="s">
        <v>556</v>
      </c>
      <c r="J1190" t="s">
        <v>36</v>
      </c>
      <c r="K1190" s="22">
        <v>2</v>
      </c>
      <c r="L1190" s="1">
        <v>42600</v>
      </c>
      <c r="M1190" s="22">
        <f>Table10[[#This Row],[Ship Date]]-Table10[[#This Row],[Order Date]]</f>
        <v>4</v>
      </c>
      <c r="N1190" t="s">
        <v>45</v>
      </c>
      <c r="O1190" t="s">
        <v>23</v>
      </c>
      <c r="P1190" t="s">
        <v>441</v>
      </c>
      <c r="Q1190" t="s">
        <v>133</v>
      </c>
      <c r="R1190" t="s">
        <v>706</v>
      </c>
      <c r="S1190" s="33">
        <v>0.4</v>
      </c>
      <c r="T1190" s="13">
        <v>247.18799999999999</v>
      </c>
      <c r="U1190" s="13">
        <v>-49.437600000000003</v>
      </c>
      <c r="V1190" s="21">
        <f>Table10[[#This Row],[Profit]]/Table10[[#This Row],[Sales]]</f>
        <v>-0.2</v>
      </c>
    </row>
    <row r="1191" spans="1:22" x14ac:dyDescent="0.2">
      <c r="A1191">
        <v>1190</v>
      </c>
      <c r="B1191" t="s">
        <v>9402</v>
      </c>
      <c r="C1191" s="1">
        <v>42596</v>
      </c>
      <c r="D1191" s="22">
        <f>MONTH(Table10[[#This Row],[Order Date]])</f>
        <v>8</v>
      </c>
      <c r="E1191" t="s">
        <v>5739</v>
      </c>
      <c r="F1191" t="s">
        <v>5740</v>
      </c>
      <c r="G1191" s="23" t="s">
        <v>64</v>
      </c>
      <c r="H1191" s="23" t="s">
        <v>144</v>
      </c>
      <c r="I1191" t="s">
        <v>556</v>
      </c>
      <c r="J1191" t="s">
        <v>36</v>
      </c>
      <c r="K1191" s="22">
        <v>5</v>
      </c>
      <c r="L1191" s="1">
        <v>42600</v>
      </c>
      <c r="M1191" s="22">
        <f>Table10[[#This Row],[Ship Date]]-Table10[[#This Row],[Order Date]]</f>
        <v>4</v>
      </c>
      <c r="N1191" t="s">
        <v>45</v>
      </c>
      <c r="O1191" t="s">
        <v>23</v>
      </c>
      <c r="P1191" t="s">
        <v>441</v>
      </c>
      <c r="Q1191" t="s">
        <v>133</v>
      </c>
      <c r="R1191" t="s">
        <v>706</v>
      </c>
      <c r="S1191" s="33">
        <v>0.2</v>
      </c>
      <c r="T1191" s="13">
        <v>279.95999999999998</v>
      </c>
      <c r="U1191" s="13">
        <v>48.993000000000002</v>
      </c>
      <c r="V1191" s="21">
        <f>Table10[[#This Row],[Profit]]/Table10[[#This Row],[Sales]]</f>
        <v>0.17500000000000002</v>
      </c>
    </row>
    <row r="1192" spans="1:22" x14ac:dyDescent="0.2">
      <c r="A1192">
        <v>1191</v>
      </c>
      <c r="B1192" t="s">
        <v>1849</v>
      </c>
      <c r="C1192" s="1">
        <v>42597</v>
      </c>
      <c r="D1192" s="22">
        <f>MONTH(Table10[[#This Row],[Order Date]])</f>
        <v>8</v>
      </c>
      <c r="E1192" t="s">
        <v>1851</v>
      </c>
      <c r="F1192" t="s">
        <v>1852</v>
      </c>
      <c r="G1192" s="23" t="s">
        <v>41</v>
      </c>
      <c r="H1192" s="23" t="s">
        <v>68</v>
      </c>
      <c r="I1192" t="s">
        <v>1850</v>
      </c>
      <c r="J1192" t="s">
        <v>22</v>
      </c>
      <c r="K1192" s="22">
        <v>3</v>
      </c>
      <c r="L1192" s="1">
        <v>42603</v>
      </c>
      <c r="M1192" s="22">
        <f>Table10[[#This Row],[Ship Date]]-Table10[[#This Row],[Order Date]]</f>
        <v>6</v>
      </c>
      <c r="N1192" t="s">
        <v>45</v>
      </c>
      <c r="O1192" t="s">
        <v>23</v>
      </c>
      <c r="P1192" t="s">
        <v>405</v>
      </c>
      <c r="Q1192" t="s">
        <v>39</v>
      </c>
      <c r="R1192" t="s">
        <v>404</v>
      </c>
      <c r="S1192" s="33">
        <v>0.7</v>
      </c>
      <c r="T1192" s="13">
        <v>18.882000000000001</v>
      </c>
      <c r="U1192" s="13">
        <v>-13.8468</v>
      </c>
      <c r="V1192" s="21">
        <f>Table10[[#This Row],[Profit]]/Table10[[#This Row],[Sales]]</f>
        <v>-0.73333333333333328</v>
      </c>
    </row>
    <row r="1193" spans="1:22" x14ac:dyDescent="0.2">
      <c r="A1193">
        <v>1192</v>
      </c>
      <c r="B1193" t="s">
        <v>1849</v>
      </c>
      <c r="C1193" s="1">
        <v>42597</v>
      </c>
      <c r="D1193" s="22">
        <f>MONTH(Table10[[#This Row],[Order Date]])</f>
        <v>8</v>
      </c>
      <c r="E1193" t="s">
        <v>1853</v>
      </c>
      <c r="F1193" t="s">
        <v>1854</v>
      </c>
      <c r="G1193" s="23" t="s">
        <v>41</v>
      </c>
      <c r="H1193" s="23" t="s">
        <v>71</v>
      </c>
      <c r="I1193" t="s">
        <v>1850</v>
      </c>
      <c r="J1193" t="s">
        <v>22</v>
      </c>
      <c r="K1193" s="22">
        <v>3</v>
      </c>
      <c r="L1193" s="1">
        <v>42603</v>
      </c>
      <c r="M1193" s="22">
        <f>Table10[[#This Row],[Ship Date]]-Table10[[#This Row],[Order Date]]</f>
        <v>6</v>
      </c>
      <c r="N1193" t="s">
        <v>45</v>
      </c>
      <c r="O1193" t="s">
        <v>23</v>
      </c>
      <c r="P1193" t="s">
        <v>405</v>
      </c>
      <c r="Q1193" t="s">
        <v>39</v>
      </c>
      <c r="R1193" t="s">
        <v>404</v>
      </c>
      <c r="S1193" s="33">
        <v>0.2</v>
      </c>
      <c r="T1193" s="13">
        <v>122.328</v>
      </c>
      <c r="U1193" s="13">
        <v>12.232799999999999</v>
      </c>
      <c r="V1193" s="21">
        <f>Table10[[#This Row],[Profit]]/Table10[[#This Row],[Sales]]</f>
        <v>9.9999999999999992E-2</v>
      </c>
    </row>
    <row r="1194" spans="1:22" x14ac:dyDescent="0.2">
      <c r="A1194">
        <v>1193</v>
      </c>
      <c r="B1194" t="s">
        <v>2813</v>
      </c>
      <c r="C1194" s="1">
        <v>42597</v>
      </c>
      <c r="D1194" s="22">
        <f>MONTH(Table10[[#This Row],[Order Date]])</f>
        <v>8</v>
      </c>
      <c r="E1194" t="s">
        <v>653</v>
      </c>
      <c r="F1194" t="s">
        <v>654</v>
      </c>
      <c r="G1194" s="23" t="s">
        <v>64</v>
      </c>
      <c r="H1194" s="23" t="s">
        <v>65</v>
      </c>
      <c r="I1194" t="s">
        <v>2814</v>
      </c>
      <c r="J1194" t="s">
        <v>36</v>
      </c>
      <c r="K1194" s="22">
        <v>3</v>
      </c>
      <c r="L1194" s="1">
        <v>42602</v>
      </c>
      <c r="M1194" s="22">
        <f>Table10[[#This Row],[Ship Date]]-Table10[[#This Row],[Order Date]]</f>
        <v>5</v>
      </c>
      <c r="N1194" t="s">
        <v>20</v>
      </c>
      <c r="O1194" t="s">
        <v>23</v>
      </c>
      <c r="P1194" t="s">
        <v>38</v>
      </c>
      <c r="Q1194" t="s">
        <v>39</v>
      </c>
      <c r="R1194" t="s">
        <v>2815</v>
      </c>
      <c r="S1194" s="33">
        <v>0.2</v>
      </c>
      <c r="T1194" s="13">
        <v>71.975999999999999</v>
      </c>
      <c r="U1194" s="13">
        <v>7.1976000000000004</v>
      </c>
      <c r="V1194" s="21">
        <f>Table10[[#This Row],[Profit]]/Table10[[#This Row],[Sales]]</f>
        <v>0.1</v>
      </c>
    </row>
    <row r="1195" spans="1:22" x14ac:dyDescent="0.2">
      <c r="A1195">
        <v>1194</v>
      </c>
      <c r="B1195" t="s">
        <v>2813</v>
      </c>
      <c r="C1195" s="1">
        <v>42597</v>
      </c>
      <c r="D1195" s="22">
        <f>MONTH(Table10[[#This Row],[Order Date]])</f>
        <v>8</v>
      </c>
      <c r="E1195" t="s">
        <v>2816</v>
      </c>
      <c r="F1195" t="s">
        <v>2817</v>
      </c>
      <c r="G1195" s="23" t="s">
        <v>41</v>
      </c>
      <c r="H1195" s="23" t="s">
        <v>42</v>
      </c>
      <c r="I1195" t="s">
        <v>2814</v>
      </c>
      <c r="J1195" t="s">
        <v>36</v>
      </c>
      <c r="K1195" s="22">
        <v>1</v>
      </c>
      <c r="L1195" s="1">
        <v>42602</v>
      </c>
      <c r="M1195" s="22">
        <f>Table10[[#This Row],[Ship Date]]-Table10[[#This Row],[Order Date]]</f>
        <v>5</v>
      </c>
      <c r="N1195" t="s">
        <v>20</v>
      </c>
      <c r="O1195" t="s">
        <v>23</v>
      </c>
      <c r="P1195" t="s">
        <v>38</v>
      </c>
      <c r="Q1195" t="s">
        <v>39</v>
      </c>
      <c r="R1195" t="s">
        <v>2815</v>
      </c>
      <c r="S1195" s="33">
        <v>0</v>
      </c>
      <c r="T1195" s="13">
        <v>3.15</v>
      </c>
      <c r="U1195" s="13">
        <v>1.512</v>
      </c>
      <c r="V1195" s="21">
        <f>Table10[[#This Row],[Profit]]/Table10[[#This Row],[Sales]]</f>
        <v>0.48000000000000004</v>
      </c>
    </row>
    <row r="1196" spans="1:22" x14ac:dyDescent="0.2">
      <c r="A1196">
        <v>1195</v>
      </c>
      <c r="B1196" t="s">
        <v>5020</v>
      </c>
      <c r="C1196" s="1">
        <v>42597</v>
      </c>
      <c r="D1196" s="22">
        <f>MONTH(Table10[[#This Row],[Order Date]])</f>
        <v>8</v>
      </c>
      <c r="E1196" t="s">
        <v>5022</v>
      </c>
      <c r="F1196" t="s">
        <v>5023</v>
      </c>
      <c r="G1196" s="23" t="s">
        <v>64</v>
      </c>
      <c r="H1196" s="23" t="s">
        <v>65</v>
      </c>
      <c r="I1196" t="s">
        <v>4141</v>
      </c>
      <c r="J1196" t="s">
        <v>22</v>
      </c>
      <c r="K1196" s="22">
        <v>7</v>
      </c>
      <c r="L1196" s="1">
        <v>42602</v>
      </c>
      <c r="M1196" s="22">
        <f>Table10[[#This Row],[Ship Date]]-Table10[[#This Row],[Order Date]]</f>
        <v>5</v>
      </c>
      <c r="N1196" t="s">
        <v>45</v>
      </c>
      <c r="O1196" t="s">
        <v>23</v>
      </c>
      <c r="P1196" t="s">
        <v>48</v>
      </c>
      <c r="Q1196" t="s">
        <v>26</v>
      </c>
      <c r="R1196" t="s">
        <v>5021</v>
      </c>
      <c r="S1196" s="33">
        <v>0.2</v>
      </c>
      <c r="T1196" s="13">
        <v>705.54399999999998</v>
      </c>
      <c r="U1196" s="13">
        <v>70.554400000000001</v>
      </c>
      <c r="V1196" s="21">
        <f>Table10[[#This Row],[Profit]]/Table10[[#This Row],[Sales]]</f>
        <v>0.1</v>
      </c>
    </row>
    <row r="1197" spans="1:22" x14ac:dyDescent="0.2">
      <c r="A1197">
        <v>1196</v>
      </c>
      <c r="B1197" t="s">
        <v>5383</v>
      </c>
      <c r="C1197" s="1">
        <v>42597</v>
      </c>
      <c r="D1197" s="22">
        <f>MONTH(Table10[[#This Row],[Order Date]])</f>
        <v>8</v>
      </c>
      <c r="E1197" t="s">
        <v>4082</v>
      </c>
      <c r="F1197" t="s">
        <v>4083</v>
      </c>
      <c r="G1197" s="23" t="s">
        <v>28</v>
      </c>
      <c r="H1197" s="23" t="s">
        <v>32</v>
      </c>
      <c r="I1197" t="s">
        <v>5384</v>
      </c>
      <c r="J1197" t="s">
        <v>22</v>
      </c>
      <c r="K1197" s="22">
        <v>2</v>
      </c>
      <c r="L1197" s="1">
        <v>42599</v>
      </c>
      <c r="M1197" s="22">
        <f>Table10[[#This Row],[Ship Date]]-Table10[[#This Row],[Order Date]]</f>
        <v>2</v>
      </c>
      <c r="N1197" t="s">
        <v>20</v>
      </c>
      <c r="O1197" t="s">
        <v>23</v>
      </c>
      <c r="P1197" t="s">
        <v>80</v>
      </c>
      <c r="Q1197" t="s">
        <v>26</v>
      </c>
      <c r="R1197" t="s">
        <v>1509</v>
      </c>
      <c r="S1197" s="33">
        <v>0.2</v>
      </c>
      <c r="T1197" s="13">
        <v>225.29599999999999</v>
      </c>
      <c r="U1197" s="13">
        <v>22.529599999999999</v>
      </c>
      <c r="V1197" s="21">
        <f>Table10[[#This Row],[Profit]]/Table10[[#This Row],[Sales]]</f>
        <v>9.9999999999999992E-2</v>
      </c>
    </row>
    <row r="1198" spans="1:22" x14ac:dyDescent="0.2">
      <c r="A1198">
        <v>1197</v>
      </c>
      <c r="B1198" t="s">
        <v>9519</v>
      </c>
      <c r="C1198" s="1">
        <v>42597</v>
      </c>
      <c r="D1198" s="22">
        <f>MONTH(Table10[[#This Row],[Order Date]])</f>
        <v>8</v>
      </c>
      <c r="E1198" t="s">
        <v>1971</v>
      </c>
      <c r="F1198" t="s">
        <v>1972</v>
      </c>
      <c r="G1198" s="23" t="s">
        <v>28</v>
      </c>
      <c r="H1198" s="23" t="s">
        <v>58</v>
      </c>
      <c r="I1198" t="s">
        <v>1655</v>
      </c>
      <c r="J1198" t="s">
        <v>22</v>
      </c>
      <c r="K1198" s="22">
        <v>3</v>
      </c>
      <c r="L1198" s="1">
        <v>42604</v>
      </c>
      <c r="M1198" s="22">
        <f>Table10[[#This Row],[Ship Date]]-Table10[[#This Row],[Order Date]]</f>
        <v>7</v>
      </c>
      <c r="N1198" t="s">
        <v>45</v>
      </c>
      <c r="O1198" t="s">
        <v>23</v>
      </c>
      <c r="P1198" t="s">
        <v>38</v>
      </c>
      <c r="Q1198" t="s">
        <v>39</v>
      </c>
      <c r="R1198" t="s">
        <v>37</v>
      </c>
      <c r="S1198" s="33">
        <v>0</v>
      </c>
      <c r="T1198" s="13">
        <v>312.02999999999997</v>
      </c>
      <c r="U1198" s="13">
        <v>43.684199999999997</v>
      </c>
      <c r="V1198" s="21">
        <f>Table10[[#This Row],[Profit]]/Table10[[#This Row],[Sales]]</f>
        <v>0.14000000000000001</v>
      </c>
    </row>
    <row r="1199" spans="1:22" x14ac:dyDescent="0.2">
      <c r="A1199">
        <v>1198</v>
      </c>
      <c r="B1199" t="s">
        <v>9519</v>
      </c>
      <c r="C1199" s="1">
        <v>42597</v>
      </c>
      <c r="D1199" s="22">
        <f>MONTH(Table10[[#This Row],[Order Date]])</f>
        <v>8</v>
      </c>
      <c r="E1199" t="s">
        <v>4253</v>
      </c>
      <c r="F1199" t="s">
        <v>4254</v>
      </c>
      <c r="G1199" s="23" t="s">
        <v>41</v>
      </c>
      <c r="H1199" s="23" t="s">
        <v>53</v>
      </c>
      <c r="I1199" t="s">
        <v>1655</v>
      </c>
      <c r="J1199" t="s">
        <v>22</v>
      </c>
      <c r="K1199" s="22">
        <v>3</v>
      </c>
      <c r="L1199" s="1">
        <v>42604</v>
      </c>
      <c r="M1199" s="22">
        <f>Table10[[#This Row],[Ship Date]]-Table10[[#This Row],[Order Date]]</f>
        <v>7</v>
      </c>
      <c r="N1199" t="s">
        <v>45</v>
      </c>
      <c r="O1199" t="s">
        <v>23</v>
      </c>
      <c r="P1199" t="s">
        <v>38</v>
      </c>
      <c r="Q1199" t="s">
        <v>39</v>
      </c>
      <c r="R1199" t="s">
        <v>37</v>
      </c>
      <c r="S1199" s="33">
        <v>0</v>
      </c>
      <c r="T1199" s="13">
        <v>17.940000000000001</v>
      </c>
      <c r="U1199" s="13">
        <v>3.0497999999999998</v>
      </c>
      <c r="V1199" s="21">
        <f>Table10[[#This Row],[Profit]]/Table10[[#This Row],[Sales]]</f>
        <v>0.16999999999999998</v>
      </c>
    </row>
    <row r="1200" spans="1:22" x14ac:dyDescent="0.2">
      <c r="A1200">
        <v>1199</v>
      </c>
      <c r="B1200" t="s">
        <v>9519</v>
      </c>
      <c r="C1200" s="1">
        <v>42597</v>
      </c>
      <c r="D1200" s="22">
        <f>MONTH(Table10[[#This Row],[Order Date]])</f>
        <v>8</v>
      </c>
      <c r="E1200" t="s">
        <v>1064</v>
      </c>
      <c r="F1200" t="s">
        <v>1065</v>
      </c>
      <c r="G1200" s="23" t="s">
        <v>64</v>
      </c>
      <c r="H1200" s="23" t="s">
        <v>65</v>
      </c>
      <c r="I1200" t="s">
        <v>1655</v>
      </c>
      <c r="J1200" t="s">
        <v>22</v>
      </c>
      <c r="K1200" s="22">
        <v>3</v>
      </c>
      <c r="L1200" s="1">
        <v>42604</v>
      </c>
      <c r="M1200" s="22">
        <f>Table10[[#This Row],[Ship Date]]-Table10[[#This Row],[Order Date]]</f>
        <v>7</v>
      </c>
      <c r="N1200" t="s">
        <v>45</v>
      </c>
      <c r="O1200" t="s">
        <v>23</v>
      </c>
      <c r="P1200" t="s">
        <v>38</v>
      </c>
      <c r="Q1200" t="s">
        <v>39</v>
      </c>
      <c r="R1200" t="s">
        <v>37</v>
      </c>
      <c r="S1200" s="33">
        <v>0.2</v>
      </c>
      <c r="T1200" s="13">
        <v>165.6</v>
      </c>
      <c r="U1200" s="13">
        <v>10.35</v>
      </c>
      <c r="V1200" s="21">
        <f>Table10[[#This Row],[Profit]]/Table10[[#This Row],[Sales]]</f>
        <v>6.25E-2</v>
      </c>
    </row>
    <row r="1201" spans="1:22" x14ac:dyDescent="0.2">
      <c r="A1201">
        <v>1200</v>
      </c>
      <c r="B1201" t="s">
        <v>9519</v>
      </c>
      <c r="C1201" s="1">
        <v>42597</v>
      </c>
      <c r="D1201" s="22">
        <f>MONTH(Table10[[#This Row],[Order Date]])</f>
        <v>8</v>
      </c>
      <c r="E1201" t="s">
        <v>3264</v>
      </c>
      <c r="F1201" t="s">
        <v>3265</v>
      </c>
      <c r="G1201" s="23" t="s">
        <v>41</v>
      </c>
      <c r="H1201" s="23" t="s">
        <v>82</v>
      </c>
      <c r="I1201" t="s">
        <v>1655</v>
      </c>
      <c r="J1201" t="s">
        <v>22</v>
      </c>
      <c r="K1201" s="22">
        <v>4</v>
      </c>
      <c r="L1201" s="1">
        <v>42604</v>
      </c>
      <c r="M1201" s="22">
        <f>Table10[[#This Row],[Ship Date]]-Table10[[#This Row],[Order Date]]</f>
        <v>7</v>
      </c>
      <c r="N1201" t="s">
        <v>45</v>
      </c>
      <c r="O1201" t="s">
        <v>23</v>
      </c>
      <c r="P1201" t="s">
        <v>38</v>
      </c>
      <c r="Q1201" t="s">
        <v>39</v>
      </c>
      <c r="R1201" t="s">
        <v>37</v>
      </c>
      <c r="S1201" s="33">
        <v>0</v>
      </c>
      <c r="T1201" s="13">
        <v>37.520000000000003</v>
      </c>
      <c r="U1201" s="13">
        <v>18.009599999999999</v>
      </c>
      <c r="V1201" s="21">
        <f>Table10[[#This Row],[Profit]]/Table10[[#This Row],[Sales]]</f>
        <v>0.47999999999999993</v>
      </c>
    </row>
    <row r="1202" spans="1:22" x14ac:dyDescent="0.2">
      <c r="A1202">
        <v>1201</v>
      </c>
      <c r="B1202" t="s">
        <v>5146</v>
      </c>
      <c r="C1202" s="1">
        <v>42598</v>
      </c>
      <c r="D1202" s="22">
        <f>MONTH(Table10[[#This Row],[Order Date]])</f>
        <v>8</v>
      </c>
      <c r="E1202" t="s">
        <v>521</v>
      </c>
      <c r="F1202" t="s">
        <v>522</v>
      </c>
      <c r="G1202" s="23" t="s">
        <v>41</v>
      </c>
      <c r="H1202" s="23" t="s">
        <v>155</v>
      </c>
      <c r="I1202" t="s">
        <v>101</v>
      </c>
      <c r="J1202" t="s">
        <v>22</v>
      </c>
      <c r="K1202" s="22">
        <v>3</v>
      </c>
      <c r="L1202" s="1">
        <v>42602</v>
      </c>
      <c r="M1202" s="22">
        <f>Table10[[#This Row],[Ship Date]]-Table10[[#This Row],[Order Date]]</f>
        <v>4</v>
      </c>
      <c r="N1202" t="s">
        <v>45</v>
      </c>
      <c r="O1202" t="s">
        <v>23</v>
      </c>
      <c r="P1202" t="s">
        <v>38</v>
      </c>
      <c r="Q1202" t="s">
        <v>39</v>
      </c>
      <c r="R1202" t="s">
        <v>114</v>
      </c>
      <c r="S1202" s="33">
        <v>0</v>
      </c>
      <c r="T1202" s="13">
        <v>10.86</v>
      </c>
      <c r="U1202" s="13">
        <v>5.1041999999999996</v>
      </c>
      <c r="V1202" s="21">
        <f>Table10[[#This Row],[Profit]]/Table10[[#This Row],[Sales]]</f>
        <v>0.47</v>
      </c>
    </row>
    <row r="1203" spans="1:22" x14ac:dyDescent="0.2">
      <c r="A1203">
        <v>1202</v>
      </c>
      <c r="B1203" t="s">
        <v>7931</v>
      </c>
      <c r="C1203" s="1">
        <v>42598</v>
      </c>
      <c r="D1203" s="22">
        <f>MONTH(Table10[[#This Row],[Order Date]])</f>
        <v>8</v>
      </c>
      <c r="E1203" t="s">
        <v>5865</v>
      </c>
      <c r="F1203" t="s">
        <v>5866</v>
      </c>
      <c r="G1203" s="23" t="s">
        <v>28</v>
      </c>
      <c r="H1203" s="23" t="s">
        <v>50</v>
      </c>
      <c r="I1203" t="s">
        <v>7932</v>
      </c>
      <c r="J1203" t="s">
        <v>36</v>
      </c>
      <c r="K1203" s="22">
        <v>2</v>
      </c>
      <c r="L1203" s="1">
        <v>42601</v>
      </c>
      <c r="M1203" s="22">
        <f>Table10[[#This Row],[Ship Date]]-Table10[[#This Row],[Order Date]]</f>
        <v>3</v>
      </c>
      <c r="N1203" t="s">
        <v>169</v>
      </c>
      <c r="O1203" t="s">
        <v>23</v>
      </c>
      <c r="P1203" t="s">
        <v>38</v>
      </c>
      <c r="Q1203" t="s">
        <v>39</v>
      </c>
      <c r="R1203" t="s">
        <v>37</v>
      </c>
      <c r="S1203" s="33">
        <v>0.2</v>
      </c>
      <c r="T1203" s="13">
        <v>161.28</v>
      </c>
      <c r="U1203" s="13">
        <v>12.096</v>
      </c>
      <c r="V1203" s="21">
        <f>Table10[[#This Row],[Profit]]/Table10[[#This Row],[Sales]]</f>
        <v>7.4999999999999997E-2</v>
      </c>
    </row>
    <row r="1204" spans="1:22" x14ac:dyDescent="0.2">
      <c r="A1204">
        <v>1203</v>
      </c>
      <c r="B1204" t="s">
        <v>8942</v>
      </c>
      <c r="C1204" s="1">
        <v>42598</v>
      </c>
      <c r="D1204" s="22">
        <f>MONTH(Table10[[#This Row],[Order Date]])</f>
        <v>8</v>
      </c>
      <c r="E1204" t="s">
        <v>2447</v>
      </c>
      <c r="F1204" t="s">
        <v>2448</v>
      </c>
      <c r="G1204" s="23" t="s">
        <v>41</v>
      </c>
      <c r="H1204" s="23" t="s">
        <v>82</v>
      </c>
      <c r="I1204" t="s">
        <v>1442</v>
      </c>
      <c r="J1204" t="s">
        <v>22</v>
      </c>
      <c r="K1204" s="22">
        <v>5</v>
      </c>
      <c r="L1204" s="1">
        <v>42604</v>
      </c>
      <c r="M1204" s="22">
        <f>Table10[[#This Row],[Ship Date]]-Table10[[#This Row],[Order Date]]</f>
        <v>6</v>
      </c>
      <c r="N1204" t="s">
        <v>45</v>
      </c>
      <c r="O1204" t="s">
        <v>23</v>
      </c>
      <c r="P1204" t="s">
        <v>38</v>
      </c>
      <c r="Q1204" t="s">
        <v>39</v>
      </c>
      <c r="R1204" t="s">
        <v>8943</v>
      </c>
      <c r="S1204" s="33">
        <v>0</v>
      </c>
      <c r="T1204" s="13">
        <v>32.4</v>
      </c>
      <c r="U1204" s="13">
        <v>15.552</v>
      </c>
      <c r="V1204" s="21">
        <f>Table10[[#This Row],[Profit]]/Table10[[#This Row],[Sales]]</f>
        <v>0.48</v>
      </c>
    </row>
    <row r="1205" spans="1:22" x14ac:dyDescent="0.2">
      <c r="A1205">
        <v>1204</v>
      </c>
      <c r="B1205" t="s">
        <v>5859</v>
      </c>
      <c r="C1205" s="1">
        <v>42599</v>
      </c>
      <c r="D1205" s="22">
        <f>MONTH(Table10[[#This Row],[Order Date]])</f>
        <v>8</v>
      </c>
      <c r="E1205" t="s">
        <v>2386</v>
      </c>
      <c r="F1205" t="s">
        <v>2387</v>
      </c>
      <c r="G1205" s="23" t="s">
        <v>41</v>
      </c>
      <c r="H1205" s="23" t="s">
        <v>68</v>
      </c>
      <c r="I1205" t="s">
        <v>2850</v>
      </c>
      <c r="J1205" t="s">
        <v>22</v>
      </c>
      <c r="K1205" s="22">
        <v>4</v>
      </c>
      <c r="L1205" s="1">
        <v>42603</v>
      </c>
      <c r="M1205" s="22">
        <f>Table10[[#This Row],[Ship Date]]-Table10[[#This Row],[Order Date]]</f>
        <v>4</v>
      </c>
      <c r="N1205" t="s">
        <v>45</v>
      </c>
      <c r="O1205" t="s">
        <v>23</v>
      </c>
      <c r="P1205" t="s">
        <v>87</v>
      </c>
      <c r="Q1205" t="s">
        <v>39</v>
      </c>
      <c r="R1205" t="s">
        <v>86</v>
      </c>
      <c r="S1205" s="33">
        <v>0.2</v>
      </c>
      <c r="T1205" s="13">
        <v>15.712</v>
      </c>
      <c r="U1205" s="13">
        <v>5.6955999999999998</v>
      </c>
      <c r="V1205" s="21">
        <f>Table10[[#This Row],[Profit]]/Table10[[#This Row],[Sales]]</f>
        <v>0.36249999999999999</v>
      </c>
    </row>
    <row r="1206" spans="1:22" x14ac:dyDescent="0.2">
      <c r="A1206">
        <v>1205</v>
      </c>
      <c r="B1206" t="s">
        <v>2209</v>
      </c>
      <c r="C1206" s="1">
        <v>42600</v>
      </c>
      <c r="D1206" s="22">
        <f>MONTH(Table10[[#This Row],[Order Date]])</f>
        <v>8</v>
      </c>
      <c r="E1206" t="s">
        <v>2210</v>
      </c>
      <c r="F1206" t="s">
        <v>2211</v>
      </c>
      <c r="G1206" s="23" t="s">
        <v>41</v>
      </c>
      <c r="H1206" s="23" t="s">
        <v>71</v>
      </c>
      <c r="I1206" t="s">
        <v>2206</v>
      </c>
      <c r="J1206" t="s">
        <v>36</v>
      </c>
      <c r="K1206" s="22">
        <v>9</v>
      </c>
      <c r="L1206" s="1">
        <v>42605</v>
      </c>
      <c r="M1206" s="22">
        <f>Table10[[#This Row],[Ship Date]]-Table10[[#This Row],[Order Date]]</f>
        <v>5</v>
      </c>
      <c r="N1206" t="s">
        <v>20</v>
      </c>
      <c r="O1206" t="s">
        <v>23</v>
      </c>
      <c r="P1206" t="s">
        <v>238</v>
      </c>
      <c r="Q1206" t="s">
        <v>133</v>
      </c>
      <c r="R1206" t="s">
        <v>237</v>
      </c>
      <c r="S1206" s="33">
        <v>0</v>
      </c>
      <c r="T1206" s="13">
        <v>355.32</v>
      </c>
      <c r="U1206" s="13">
        <v>99.489599999999996</v>
      </c>
      <c r="V1206" s="21">
        <f>Table10[[#This Row],[Profit]]/Table10[[#This Row],[Sales]]</f>
        <v>0.27999999999999997</v>
      </c>
    </row>
    <row r="1207" spans="1:22" x14ac:dyDescent="0.2">
      <c r="A1207">
        <v>1206</v>
      </c>
      <c r="B1207" t="s">
        <v>5482</v>
      </c>
      <c r="C1207" s="1">
        <v>42600</v>
      </c>
      <c r="D1207" s="22">
        <f>MONTH(Table10[[#This Row],[Order Date]])</f>
        <v>8</v>
      </c>
      <c r="E1207" t="s">
        <v>3035</v>
      </c>
      <c r="F1207" t="s">
        <v>3036</v>
      </c>
      <c r="G1207" s="23" t="s">
        <v>64</v>
      </c>
      <c r="H1207" s="23" t="s">
        <v>65</v>
      </c>
      <c r="I1207" t="s">
        <v>455</v>
      </c>
      <c r="J1207" t="s">
        <v>36</v>
      </c>
      <c r="K1207" s="22">
        <v>1</v>
      </c>
      <c r="L1207" s="1">
        <v>42606</v>
      </c>
      <c r="M1207" s="22">
        <f>Table10[[#This Row],[Ship Date]]-Table10[[#This Row],[Order Date]]</f>
        <v>6</v>
      </c>
      <c r="N1207" t="s">
        <v>45</v>
      </c>
      <c r="O1207" t="s">
        <v>23</v>
      </c>
      <c r="P1207" t="s">
        <v>238</v>
      </c>
      <c r="Q1207" t="s">
        <v>133</v>
      </c>
      <c r="R1207" t="s">
        <v>237</v>
      </c>
      <c r="S1207" s="33">
        <v>0</v>
      </c>
      <c r="T1207" s="13">
        <v>39.99</v>
      </c>
      <c r="U1207" s="13">
        <v>11.597099999999999</v>
      </c>
      <c r="V1207" s="21">
        <f>Table10[[#This Row],[Profit]]/Table10[[#This Row],[Sales]]</f>
        <v>0.28999999999999998</v>
      </c>
    </row>
    <row r="1208" spans="1:22" x14ac:dyDescent="0.2">
      <c r="A1208">
        <v>1207</v>
      </c>
      <c r="B1208" t="s">
        <v>7884</v>
      </c>
      <c r="C1208" s="1">
        <v>42600</v>
      </c>
      <c r="D1208" s="22">
        <f>MONTH(Table10[[#This Row],[Order Date]])</f>
        <v>8</v>
      </c>
      <c r="E1208" t="s">
        <v>4876</v>
      </c>
      <c r="F1208" t="s">
        <v>4877</v>
      </c>
      <c r="G1208" s="23" t="s">
        <v>41</v>
      </c>
      <c r="H1208" s="23" t="s">
        <v>68</v>
      </c>
      <c r="I1208" t="s">
        <v>1314</v>
      </c>
      <c r="J1208" t="s">
        <v>22</v>
      </c>
      <c r="K1208" s="22">
        <v>1</v>
      </c>
      <c r="L1208" s="1">
        <v>42602</v>
      </c>
      <c r="M1208" s="22">
        <f>Table10[[#This Row],[Ship Date]]-Table10[[#This Row],[Order Date]]</f>
        <v>2</v>
      </c>
      <c r="N1208" t="s">
        <v>169</v>
      </c>
      <c r="O1208" t="s">
        <v>23</v>
      </c>
      <c r="P1208" t="s">
        <v>94</v>
      </c>
      <c r="Q1208" t="s">
        <v>95</v>
      </c>
      <c r="R1208" t="s">
        <v>6321</v>
      </c>
      <c r="S1208" s="33">
        <v>0.8</v>
      </c>
      <c r="T1208" s="13">
        <v>2.0680000000000001</v>
      </c>
      <c r="U1208" s="13">
        <v>-3.4121999999999999</v>
      </c>
      <c r="V1208" s="21">
        <f>Table10[[#This Row],[Profit]]/Table10[[#This Row],[Sales]]</f>
        <v>-1.65</v>
      </c>
    </row>
    <row r="1209" spans="1:22" x14ac:dyDescent="0.2">
      <c r="A1209">
        <v>1208</v>
      </c>
      <c r="B1209" t="s">
        <v>7884</v>
      </c>
      <c r="C1209" s="1">
        <v>42600</v>
      </c>
      <c r="D1209" s="22">
        <f>MONTH(Table10[[#This Row],[Order Date]])</f>
        <v>8</v>
      </c>
      <c r="E1209" t="s">
        <v>5162</v>
      </c>
      <c r="F1209" t="s">
        <v>5163</v>
      </c>
      <c r="G1209" s="23" t="s">
        <v>41</v>
      </c>
      <c r="H1209" s="23" t="s">
        <v>82</v>
      </c>
      <c r="I1209" t="s">
        <v>1314</v>
      </c>
      <c r="J1209" t="s">
        <v>22</v>
      </c>
      <c r="K1209" s="22">
        <v>8</v>
      </c>
      <c r="L1209" s="1">
        <v>42602</v>
      </c>
      <c r="M1209" s="22">
        <f>Table10[[#This Row],[Ship Date]]-Table10[[#This Row],[Order Date]]</f>
        <v>2</v>
      </c>
      <c r="N1209" t="s">
        <v>169</v>
      </c>
      <c r="O1209" t="s">
        <v>23</v>
      </c>
      <c r="P1209" t="s">
        <v>94</v>
      </c>
      <c r="Q1209" t="s">
        <v>95</v>
      </c>
      <c r="R1209" t="s">
        <v>6321</v>
      </c>
      <c r="S1209" s="33">
        <v>0.2</v>
      </c>
      <c r="T1209" s="13">
        <v>83.84</v>
      </c>
      <c r="U1209" s="13">
        <v>30.391999999999999</v>
      </c>
      <c r="V1209" s="21">
        <f>Table10[[#This Row],[Profit]]/Table10[[#This Row],[Sales]]</f>
        <v>0.36249999999999999</v>
      </c>
    </row>
    <row r="1210" spans="1:22" x14ac:dyDescent="0.2">
      <c r="A1210">
        <v>1209</v>
      </c>
      <c r="B1210" t="s">
        <v>9655</v>
      </c>
      <c r="C1210" s="1">
        <v>42600</v>
      </c>
      <c r="D1210" s="22">
        <f>MONTH(Table10[[#This Row],[Order Date]])</f>
        <v>8</v>
      </c>
      <c r="E1210" t="s">
        <v>2543</v>
      </c>
      <c r="F1210" t="s">
        <v>814</v>
      </c>
      <c r="G1210" s="23" t="s">
        <v>28</v>
      </c>
      <c r="H1210" s="23" t="s">
        <v>58</v>
      </c>
      <c r="I1210" t="s">
        <v>164</v>
      </c>
      <c r="J1210" t="s">
        <v>92</v>
      </c>
      <c r="K1210" s="22">
        <v>3</v>
      </c>
      <c r="L1210" s="1">
        <v>42602</v>
      </c>
      <c r="M1210" s="22">
        <f>Table10[[#This Row],[Ship Date]]-Table10[[#This Row],[Order Date]]</f>
        <v>2</v>
      </c>
      <c r="N1210" t="s">
        <v>20</v>
      </c>
      <c r="O1210" t="s">
        <v>23</v>
      </c>
      <c r="P1210" t="s">
        <v>94</v>
      </c>
      <c r="Q1210" t="s">
        <v>95</v>
      </c>
      <c r="R1210" t="s">
        <v>165</v>
      </c>
      <c r="S1210" s="33">
        <v>0.6</v>
      </c>
      <c r="T1210" s="13">
        <v>9.5519999999999996</v>
      </c>
      <c r="U1210" s="13">
        <v>-3.8208000000000002</v>
      </c>
      <c r="V1210" s="21">
        <f>Table10[[#This Row],[Profit]]/Table10[[#This Row],[Sales]]</f>
        <v>-0.4</v>
      </c>
    </row>
    <row r="1211" spans="1:22" x14ac:dyDescent="0.2">
      <c r="A1211">
        <v>1210</v>
      </c>
      <c r="B1211" t="s">
        <v>9655</v>
      </c>
      <c r="C1211" s="1">
        <v>42600</v>
      </c>
      <c r="D1211" s="22">
        <f>MONTH(Table10[[#This Row],[Order Date]])</f>
        <v>8</v>
      </c>
      <c r="E1211" t="s">
        <v>5892</v>
      </c>
      <c r="F1211" t="s">
        <v>5893</v>
      </c>
      <c r="G1211" s="23" t="s">
        <v>28</v>
      </c>
      <c r="H1211" s="23" t="s">
        <v>58</v>
      </c>
      <c r="I1211" t="s">
        <v>164</v>
      </c>
      <c r="J1211" t="s">
        <v>92</v>
      </c>
      <c r="K1211" s="22">
        <v>4</v>
      </c>
      <c r="L1211" s="1">
        <v>42602</v>
      </c>
      <c r="M1211" s="22">
        <f>Table10[[#This Row],[Ship Date]]-Table10[[#This Row],[Order Date]]</f>
        <v>2</v>
      </c>
      <c r="N1211" t="s">
        <v>20</v>
      </c>
      <c r="O1211" t="s">
        <v>23</v>
      </c>
      <c r="P1211" t="s">
        <v>94</v>
      </c>
      <c r="Q1211" t="s">
        <v>95</v>
      </c>
      <c r="R1211" t="s">
        <v>165</v>
      </c>
      <c r="S1211" s="33">
        <v>0.6</v>
      </c>
      <c r="T1211" s="13">
        <v>5.3440000000000003</v>
      </c>
      <c r="U1211" s="13">
        <v>-2.1375999999999999</v>
      </c>
      <c r="V1211" s="21">
        <f>Table10[[#This Row],[Profit]]/Table10[[#This Row],[Sales]]</f>
        <v>-0.39999999999999997</v>
      </c>
    </row>
    <row r="1212" spans="1:22" x14ac:dyDescent="0.2">
      <c r="A1212">
        <v>1211</v>
      </c>
      <c r="B1212" t="s">
        <v>8507</v>
      </c>
      <c r="C1212" s="1">
        <v>42601</v>
      </c>
      <c r="D1212" s="22">
        <f>MONTH(Table10[[#This Row],[Order Date]])</f>
        <v>8</v>
      </c>
      <c r="E1212" t="s">
        <v>3449</v>
      </c>
      <c r="F1212" t="s">
        <v>3450</v>
      </c>
      <c r="G1212" s="23" t="s">
        <v>41</v>
      </c>
      <c r="H1212" s="23" t="s">
        <v>68</v>
      </c>
      <c r="I1212" t="s">
        <v>1919</v>
      </c>
      <c r="J1212" t="s">
        <v>22</v>
      </c>
      <c r="K1212" s="22">
        <v>6</v>
      </c>
      <c r="L1212" s="1">
        <v>42602</v>
      </c>
      <c r="M1212" s="22">
        <f>Table10[[#This Row],[Ship Date]]-Table10[[#This Row],[Order Date]]</f>
        <v>1</v>
      </c>
      <c r="N1212" t="s">
        <v>169</v>
      </c>
      <c r="O1212" t="s">
        <v>23</v>
      </c>
      <c r="P1212" t="s">
        <v>238</v>
      </c>
      <c r="Q1212" t="s">
        <v>133</v>
      </c>
      <c r="R1212" t="s">
        <v>237</v>
      </c>
      <c r="S1212" s="33">
        <v>0.2</v>
      </c>
      <c r="T1212" s="13">
        <v>146.68799999999999</v>
      </c>
      <c r="U1212" s="13">
        <v>55.008000000000003</v>
      </c>
      <c r="V1212" s="21">
        <f>Table10[[#This Row],[Profit]]/Table10[[#This Row],[Sales]]</f>
        <v>0.37500000000000006</v>
      </c>
    </row>
    <row r="1213" spans="1:22" x14ac:dyDescent="0.2">
      <c r="A1213">
        <v>1212</v>
      </c>
      <c r="B1213" t="s">
        <v>8507</v>
      </c>
      <c r="C1213" s="1">
        <v>42601</v>
      </c>
      <c r="D1213" s="22">
        <f>MONTH(Table10[[#This Row],[Order Date]])</f>
        <v>8</v>
      </c>
      <c r="E1213" t="s">
        <v>6271</v>
      </c>
      <c r="F1213" t="s">
        <v>6272</v>
      </c>
      <c r="G1213" s="23" t="s">
        <v>41</v>
      </c>
      <c r="H1213" s="23" t="s">
        <v>68</v>
      </c>
      <c r="I1213" t="s">
        <v>1919</v>
      </c>
      <c r="J1213" t="s">
        <v>22</v>
      </c>
      <c r="K1213" s="22">
        <v>2</v>
      </c>
      <c r="L1213" s="1">
        <v>42602</v>
      </c>
      <c r="M1213" s="22">
        <f>Table10[[#This Row],[Ship Date]]-Table10[[#This Row],[Order Date]]</f>
        <v>1</v>
      </c>
      <c r="N1213" t="s">
        <v>169</v>
      </c>
      <c r="O1213" t="s">
        <v>23</v>
      </c>
      <c r="P1213" t="s">
        <v>238</v>
      </c>
      <c r="Q1213" t="s">
        <v>133</v>
      </c>
      <c r="R1213" t="s">
        <v>237</v>
      </c>
      <c r="S1213" s="33">
        <v>0.2</v>
      </c>
      <c r="T1213" s="13">
        <v>276.78399999999999</v>
      </c>
      <c r="U1213" s="13">
        <v>89.954800000000006</v>
      </c>
      <c r="V1213" s="21">
        <f>Table10[[#This Row],[Profit]]/Table10[[#This Row],[Sales]]</f>
        <v>0.32500000000000001</v>
      </c>
    </row>
    <row r="1214" spans="1:22" x14ac:dyDescent="0.2">
      <c r="A1214">
        <v>1213</v>
      </c>
      <c r="B1214" t="s">
        <v>8507</v>
      </c>
      <c r="C1214" s="1">
        <v>42601</v>
      </c>
      <c r="D1214" s="22">
        <f>MONTH(Table10[[#This Row],[Order Date]])</f>
        <v>8</v>
      </c>
      <c r="E1214" t="s">
        <v>2949</v>
      </c>
      <c r="F1214" t="s">
        <v>2950</v>
      </c>
      <c r="G1214" s="23" t="s">
        <v>41</v>
      </c>
      <c r="H1214" s="23" t="s">
        <v>68</v>
      </c>
      <c r="I1214" t="s">
        <v>1919</v>
      </c>
      <c r="J1214" t="s">
        <v>22</v>
      </c>
      <c r="K1214" s="22">
        <v>5</v>
      </c>
      <c r="L1214" s="1">
        <v>42602</v>
      </c>
      <c r="M1214" s="22">
        <f>Table10[[#This Row],[Ship Date]]-Table10[[#This Row],[Order Date]]</f>
        <v>1</v>
      </c>
      <c r="N1214" t="s">
        <v>169</v>
      </c>
      <c r="O1214" t="s">
        <v>23</v>
      </c>
      <c r="P1214" t="s">
        <v>238</v>
      </c>
      <c r="Q1214" t="s">
        <v>133</v>
      </c>
      <c r="R1214" t="s">
        <v>237</v>
      </c>
      <c r="S1214" s="33">
        <v>0.2</v>
      </c>
      <c r="T1214" s="13">
        <v>25.32</v>
      </c>
      <c r="U1214" s="13">
        <v>9.1784999999999997</v>
      </c>
      <c r="V1214" s="21">
        <f>Table10[[#This Row],[Profit]]/Table10[[#This Row],[Sales]]</f>
        <v>0.36249999999999999</v>
      </c>
    </row>
    <row r="1215" spans="1:22" x14ac:dyDescent="0.2">
      <c r="A1215">
        <v>1214</v>
      </c>
      <c r="B1215" t="s">
        <v>4182</v>
      </c>
      <c r="C1215" s="1">
        <v>42602</v>
      </c>
      <c r="D1215" s="22">
        <f>MONTH(Table10[[#This Row],[Order Date]])</f>
        <v>8</v>
      </c>
      <c r="E1215" t="s">
        <v>4183</v>
      </c>
      <c r="F1215" t="s">
        <v>4184</v>
      </c>
      <c r="G1215" s="23" t="s">
        <v>64</v>
      </c>
      <c r="H1215" s="23" t="s">
        <v>65</v>
      </c>
      <c r="I1215" t="s">
        <v>822</v>
      </c>
      <c r="J1215" t="s">
        <v>92</v>
      </c>
      <c r="K1215" s="22">
        <v>2</v>
      </c>
      <c r="L1215" s="1">
        <v>42605</v>
      </c>
      <c r="M1215" s="22">
        <f>Table10[[#This Row],[Ship Date]]-Table10[[#This Row],[Order Date]]</f>
        <v>3</v>
      </c>
      <c r="N1215" t="s">
        <v>169</v>
      </c>
      <c r="O1215" t="s">
        <v>23</v>
      </c>
      <c r="P1215" t="s">
        <v>212</v>
      </c>
      <c r="Q1215" t="s">
        <v>95</v>
      </c>
      <c r="R1215" t="s">
        <v>775</v>
      </c>
      <c r="S1215" s="33">
        <v>0</v>
      </c>
      <c r="T1215" s="13">
        <v>14.78</v>
      </c>
      <c r="U1215" s="13">
        <v>3.9906000000000001</v>
      </c>
      <c r="V1215" s="21">
        <f>Table10[[#This Row],[Profit]]/Table10[[#This Row],[Sales]]</f>
        <v>0.27</v>
      </c>
    </row>
    <row r="1216" spans="1:22" x14ac:dyDescent="0.2">
      <c r="A1216">
        <v>1215</v>
      </c>
      <c r="B1216" t="s">
        <v>7385</v>
      </c>
      <c r="C1216" s="1">
        <v>42603</v>
      </c>
      <c r="D1216" s="22">
        <f>MONTH(Table10[[#This Row],[Order Date]])</f>
        <v>8</v>
      </c>
      <c r="E1216" t="s">
        <v>4988</v>
      </c>
      <c r="F1216" t="s">
        <v>4989</v>
      </c>
      <c r="G1216" s="23" t="s">
        <v>41</v>
      </c>
      <c r="H1216" s="23" t="s">
        <v>42</v>
      </c>
      <c r="I1216" t="s">
        <v>6007</v>
      </c>
      <c r="J1216" t="s">
        <v>92</v>
      </c>
      <c r="K1216" s="22">
        <v>4</v>
      </c>
      <c r="L1216" s="1">
        <v>42609</v>
      </c>
      <c r="M1216" s="22">
        <f>Table10[[#This Row],[Ship Date]]-Table10[[#This Row],[Order Date]]</f>
        <v>6</v>
      </c>
      <c r="N1216" t="s">
        <v>45</v>
      </c>
      <c r="O1216" t="s">
        <v>23</v>
      </c>
      <c r="P1216" t="s">
        <v>80</v>
      </c>
      <c r="Q1216" t="s">
        <v>26</v>
      </c>
      <c r="R1216" t="s">
        <v>3109</v>
      </c>
      <c r="S1216" s="33">
        <v>0.2</v>
      </c>
      <c r="T1216" s="13">
        <v>9.2159999999999993</v>
      </c>
      <c r="U1216" s="13">
        <v>3.3408000000000002</v>
      </c>
      <c r="V1216" s="21">
        <f>Table10[[#This Row],[Profit]]/Table10[[#This Row],[Sales]]</f>
        <v>0.36250000000000004</v>
      </c>
    </row>
    <row r="1217" spans="1:22" x14ac:dyDescent="0.2">
      <c r="A1217">
        <v>1216</v>
      </c>
      <c r="B1217" t="s">
        <v>7385</v>
      </c>
      <c r="C1217" s="1">
        <v>42603</v>
      </c>
      <c r="D1217" s="22">
        <f>MONTH(Table10[[#This Row],[Order Date]])</f>
        <v>8</v>
      </c>
      <c r="E1217" t="s">
        <v>1241</v>
      </c>
      <c r="F1217" t="s">
        <v>1242</v>
      </c>
      <c r="G1217" s="23" t="s">
        <v>41</v>
      </c>
      <c r="H1217" s="23" t="s">
        <v>513</v>
      </c>
      <c r="I1217" t="s">
        <v>6007</v>
      </c>
      <c r="J1217" t="s">
        <v>92</v>
      </c>
      <c r="K1217" s="22">
        <v>2</v>
      </c>
      <c r="L1217" s="1">
        <v>42609</v>
      </c>
      <c r="M1217" s="22">
        <f>Table10[[#This Row],[Ship Date]]-Table10[[#This Row],[Order Date]]</f>
        <v>6</v>
      </c>
      <c r="N1217" t="s">
        <v>45</v>
      </c>
      <c r="O1217" t="s">
        <v>23</v>
      </c>
      <c r="P1217" t="s">
        <v>80</v>
      </c>
      <c r="Q1217" t="s">
        <v>26</v>
      </c>
      <c r="R1217" t="s">
        <v>3109</v>
      </c>
      <c r="S1217" s="33">
        <v>0.2</v>
      </c>
      <c r="T1217" s="13">
        <v>28.047999999999998</v>
      </c>
      <c r="U1217" s="13">
        <v>3.5059999999999998</v>
      </c>
      <c r="V1217" s="21">
        <f>Table10[[#This Row],[Profit]]/Table10[[#This Row],[Sales]]</f>
        <v>0.125</v>
      </c>
    </row>
    <row r="1218" spans="1:22" x14ac:dyDescent="0.2">
      <c r="A1218">
        <v>1217</v>
      </c>
      <c r="B1218" t="s">
        <v>7621</v>
      </c>
      <c r="C1218" s="1">
        <v>42603</v>
      </c>
      <c r="D1218" s="22">
        <f>MONTH(Table10[[#This Row],[Order Date]])</f>
        <v>8</v>
      </c>
      <c r="E1218" t="s">
        <v>3457</v>
      </c>
      <c r="F1218" t="s">
        <v>3458</v>
      </c>
      <c r="G1218" s="23" t="s">
        <v>28</v>
      </c>
      <c r="H1218" s="23" t="s">
        <v>50</v>
      </c>
      <c r="I1218" t="s">
        <v>391</v>
      </c>
      <c r="J1218" t="s">
        <v>92</v>
      </c>
      <c r="K1218" s="22">
        <v>9</v>
      </c>
      <c r="L1218" s="1">
        <v>42605</v>
      </c>
      <c r="M1218" s="22">
        <f>Table10[[#This Row],[Ship Date]]-Table10[[#This Row],[Order Date]]</f>
        <v>2</v>
      </c>
      <c r="N1218" t="s">
        <v>20</v>
      </c>
      <c r="O1218" t="s">
        <v>23</v>
      </c>
      <c r="P1218" t="s">
        <v>132</v>
      </c>
      <c r="Q1218" t="s">
        <v>133</v>
      </c>
      <c r="R1218" t="s">
        <v>131</v>
      </c>
      <c r="S1218" s="33">
        <v>0.4</v>
      </c>
      <c r="T1218" s="13">
        <v>815.29200000000003</v>
      </c>
      <c r="U1218" s="13">
        <v>-339.70499999999998</v>
      </c>
      <c r="V1218" s="21">
        <f>Table10[[#This Row],[Profit]]/Table10[[#This Row],[Sales]]</f>
        <v>-0.41666666666666663</v>
      </c>
    </row>
    <row r="1219" spans="1:22" x14ac:dyDescent="0.2">
      <c r="A1219">
        <v>1218</v>
      </c>
      <c r="B1219" t="s">
        <v>8367</v>
      </c>
      <c r="C1219" s="1">
        <v>42603</v>
      </c>
      <c r="D1219" s="22">
        <f>MONTH(Table10[[#This Row],[Order Date]])</f>
        <v>8</v>
      </c>
      <c r="E1219" t="s">
        <v>2551</v>
      </c>
      <c r="F1219" t="s">
        <v>2552</v>
      </c>
      <c r="G1219" s="23" t="s">
        <v>41</v>
      </c>
      <c r="H1219" s="23" t="s">
        <v>68</v>
      </c>
      <c r="I1219" t="s">
        <v>4226</v>
      </c>
      <c r="J1219" t="s">
        <v>36</v>
      </c>
      <c r="K1219" s="22">
        <v>2</v>
      </c>
      <c r="L1219" s="1">
        <v>42610</v>
      </c>
      <c r="M1219" s="22">
        <f>Table10[[#This Row],[Ship Date]]-Table10[[#This Row],[Order Date]]</f>
        <v>7</v>
      </c>
      <c r="N1219" t="s">
        <v>45</v>
      </c>
      <c r="O1219" t="s">
        <v>23</v>
      </c>
      <c r="P1219" t="s">
        <v>38</v>
      </c>
      <c r="Q1219" t="s">
        <v>39</v>
      </c>
      <c r="R1219" t="s">
        <v>37</v>
      </c>
      <c r="S1219" s="33">
        <v>0.2</v>
      </c>
      <c r="T1219" s="13">
        <v>12.672000000000001</v>
      </c>
      <c r="U1219" s="13">
        <v>4.7519999999999998</v>
      </c>
      <c r="V1219" s="21">
        <f>Table10[[#This Row],[Profit]]/Table10[[#This Row],[Sales]]</f>
        <v>0.37499999999999994</v>
      </c>
    </row>
    <row r="1220" spans="1:22" x14ac:dyDescent="0.2">
      <c r="A1220">
        <v>1219</v>
      </c>
      <c r="B1220" t="s">
        <v>8367</v>
      </c>
      <c r="C1220" s="1">
        <v>42603</v>
      </c>
      <c r="D1220" s="22">
        <f>MONTH(Table10[[#This Row],[Order Date]])</f>
        <v>8</v>
      </c>
      <c r="E1220" t="s">
        <v>1579</v>
      </c>
      <c r="F1220" t="s">
        <v>1580</v>
      </c>
      <c r="G1220" s="23" t="s">
        <v>64</v>
      </c>
      <c r="H1220" s="23" t="s">
        <v>65</v>
      </c>
      <c r="I1220" t="s">
        <v>4226</v>
      </c>
      <c r="J1220" t="s">
        <v>36</v>
      </c>
      <c r="K1220" s="22">
        <v>5</v>
      </c>
      <c r="L1220" s="1">
        <v>42610</v>
      </c>
      <c r="M1220" s="22">
        <f>Table10[[#This Row],[Ship Date]]-Table10[[#This Row],[Order Date]]</f>
        <v>7</v>
      </c>
      <c r="N1220" t="s">
        <v>45</v>
      </c>
      <c r="O1220" t="s">
        <v>23</v>
      </c>
      <c r="P1220" t="s">
        <v>38</v>
      </c>
      <c r="Q1220" t="s">
        <v>39</v>
      </c>
      <c r="R1220" t="s">
        <v>37</v>
      </c>
      <c r="S1220" s="33">
        <v>0.2</v>
      </c>
      <c r="T1220" s="13">
        <v>91.96</v>
      </c>
      <c r="U1220" s="13">
        <v>-20.690999999999999</v>
      </c>
      <c r="V1220" s="21">
        <f>Table10[[#This Row],[Profit]]/Table10[[#This Row],[Sales]]</f>
        <v>-0.22500000000000001</v>
      </c>
    </row>
    <row r="1221" spans="1:22" x14ac:dyDescent="0.2">
      <c r="A1221">
        <v>1220</v>
      </c>
      <c r="B1221" t="s">
        <v>8367</v>
      </c>
      <c r="C1221" s="1">
        <v>42603</v>
      </c>
      <c r="D1221" s="22">
        <f>MONTH(Table10[[#This Row],[Order Date]])</f>
        <v>8</v>
      </c>
      <c r="E1221" t="s">
        <v>424</v>
      </c>
      <c r="F1221" t="s">
        <v>425</v>
      </c>
      <c r="G1221" s="23" t="s">
        <v>64</v>
      </c>
      <c r="H1221" s="23" t="s">
        <v>144</v>
      </c>
      <c r="I1221" t="s">
        <v>4226</v>
      </c>
      <c r="J1221" t="s">
        <v>36</v>
      </c>
      <c r="K1221" s="22">
        <v>3</v>
      </c>
      <c r="L1221" s="1">
        <v>42610</v>
      </c>
      <c r="M1221" s="22">
        <f>Table10[[#This Row],[Ship Date]]-Table10[[#This Row],[Order Date]]</f>
        <v>7</v>
      </c>
      <c r="N1221" t="s">
        <v>45</v>
      </c>
      <c r="O1221" t="s">
        <v>23</v>
      </c>
      <c r="P1221" t="s">
        <v>38</v>
      </c>
      <c r="Q1221" t="s">
        <v>39</v>
      </c>
      <c r="R1221" t="s">
        <v>37</v>
      </c>
      <c r="S1221" s="33">
        <v>0</v>
      </c>
      <c r="T1221" s="13">
        <v>254.97</v>
      </c>
      <c r="U1221" s="13">
        <v>91.789199999999994</v>
      </c>
      <c r="V1221" s="21">
        <f>Table10[[#This Row],[Profit]]/Table10[[#This Row],[Sales]]</f>
        <v>0.36</v>
      </c>
    </row>
    <row r="1222" spans="1:22" x14ac:dyDescent="0.2">
      <c r="A1222">
        <v>1221</v>
      </c>
      <c r="B1222" t="s">
        <v>8367</v>
      </c>
      <c r="C1222" s="1">
        <v>42603</v>
      </c>
      <c r="D1222" s="22">
        <f>MONTH(Table10[[#This Row],[Order Date]])</f>
        <v>8</v>
      </c>
      <c r="E1222" t="s">
        <v>5310</v>
      </c>
      <c r="F1222" t="s">
        <v>5311</v>
      </c>
      <c r="G1222" s="23" t="s">
        <v>64</v>
      </c>
      <c r="H1222" s="23" t="s">
        <v>65</v>
      </c>
      <c r="I1222" t="s">
        <v>4226</v>
      </c>
      <c r="J1222" t="s">
        <v>36</v>
      </c>
      <c r="K1222" s="22">
        <v>2</v>
      </c>
      <c r="L1222" s="1">
        <v>42610</v>
      </c>
      <c r="M1222" s="22">
        <f>Table10[[#This Row],[Ship Date]]-Table10[[#This Row],[Order Date]]</f>
        <v>7</v>
      </c>
      <c r="N1222" t="s">
        <v>45</v>
      </c>
      <c r="O1222" t="s">
        <v>23</v>
      </c>
      <c r="P1222" t="s">
        <v>38</v>
      </c>
      <c r="Q1222" t="s">
        <v>39</v>
      </c>
      <c r="R1222" t="s">
        <v>37</v>
      </c>
      <c r="S1222" s="33">
        <v>0.2</v>
      </c>
      <c r="T1222" s="13">
        <v>31.984000000000002</v>
      </c>
      <c r="U1222" s="13">
        <v>-7.9960000000000004</v>
      </c>
      <c r="V1222" s="21">
        <f>Table10[[#This Row],[Profit]]/Table10[[#This Row],[Sales]]</f>
        <v>-0.25</v>
      </c>
    </row>
    <row r="1223" spans="1:22" x14ac:dyDescent="0.2">
      <c r="A1223">
        <v>1222</v>
      </c>
      <c r="B1223" t="s">
        <v>8367</v>
      </c>
      <c r="C1223" s="1">
        <v>42603</v>
      </c>
      <c r="D1223" s="22">
        <f>MONTH(Table10[[#This Row],[Order Date]])</f>
        <v>8</v>
      </c>
      <c r="E1223" t="s">
        <v>5072</v>
      </c>
      <c r="F1223" t="s">
        <v>5073</v>
      </c>
      <c r="G1223" s="23" t="s">
        <v>28</v>
      </c>
      <c r="H1223" s="23" t="s">
        <v>50</v>
      </c>
      <c r="I1223" t="s">
        <v>4226</v>
      </c>
      <c r="J1223" t="s">
        <v>36</v>
      </c>
      <c r="K1223" s="22">
        <v>9</v>
      </c>
      <c r="L1223" s="1">
        <v>42610</v>
      </c>
      <c r="M1223" s="22">
        <f>Table10[[#This Row],[Ship Date]]-Table10[[#This Row],[Order Date]]</f>
        <v>7</v>
      </c>
      <c r="N1223" t="s">
        <v>45</v>
      </c>
      <c r="O1223" t="s">
        <v>23</v>
      </c>
      <c r="P1223" t="s">
        <v>38</v>
      </c>
      <c r="Q1223" t="s">
        <v>39</v>
      </c>
      <c r="R1223" t="s">
        <v>37</v>
      </c>
      <c r="S1223" s="33">
        <v>0.2</v>
      </c>
      <c r="T1223" s="13">
        <v>2887.056</v>
      </c>
      <c r="U1223" s="13">
        <v>180.441</v>
      </c>
      <c r="V1223" s="21">
        <f>Table10[[#This Row],[Profit]]/Table10[[#This Row],[Sales]]</f>
        <v>6.25E-2</v>
      </c>
    </row>
    <row r="1224" spans="1:22" x14ac:dyDescent="0.2">
      <c r="A1224">
        <v>1223</v>
      </c>
      <c r="B1224" t="s">
        <v>8367</v>
      </c>
      <c r="C1224" s="1">
        <v>42603</v>
      </c>
      <c r="D1224" s="22">
        <f>MONTH(Table10[[#This Row],[Order Date]])</f>
        <v>8</v>
      </c>
      <c r="E1224" t="s">
        <v>5506</v>
      </c>
      <c r="F1224" t="s">
        <v>5507</v>
      </c>
      <c r="G1224" s="23" t="s">
        <v>41</v>
      </c>
      <c r="H1224" s="23" t="s">
        <v>82</v>
      </c>
      <c r="I1224" t="s">
        <v>4226</v>
      </c>
      <c r="J1224" t="s">
        <v>36</v>
      </c>
      <c r="K1224" s="22">
        <v>2</v>
      </c>
      <c r="L1224" s="1">
        <v>42610</v>
      </c>
      <c r="M1224" s="22">
        <f>Table10[[#This Row],[Ship Date]]-Table10[[#This Row],[Order Date]]</f>
        <v>7</v>
      </c>
      <c r="N1224" t="s">
        <v>45</v>
      </c>
      <c r="O1224" t="s">
        <v>23</v>
      </c>
      <c r="P1224" t="s">
        <v>38</v>
      </c>
      <c r="Q1224" t="s">
        <v>39</v>
      </c>
      <c r="R1224" t="s">
        <v>37</v>
      </c>
      <c r="S1224" s="33">
        <v>0</v>
      </c>
      <c r="T1224" s="13">
        <v>12.96</v>
      </c>
      <c r="U1224" s="13">
        <v>6.2207999999999997</v>
      </c>
      <c r="V1224" s="21">
        <f>Table10[[#This Row],[Profit]]/Table10[[#This Row],[Sales]]</f>
        <v>0.47999999999999993</v>
      </c>
    </row>
    <row r="1225" spans="1:22" x14ac:dyDescent="0.2">
      <c r="A1225">
        <v>1224</v>
      </c>
      <c r="B1225" t="s">
        <v>8367</v>
      </c>
      <c r="C1225" s="1">
        <v>42603</v>
      </c>
      <c r="D1225" s="22">
        <f>MONTH(Table10[[#This Row],[Order Date]])</f>
        <v>8</v>
      </c>
      <c r="E1225" t="s">
        <v>6381</v>
      </c>
      <c r="F1225" t="s">
        <v>6382</v>
      </c>
      <c r="G1225" s="23" t="s">
        <v>41</v>
      </c>
      <c r="H1225" s="23" t="s">
        <v>82</v>
      </c>
      <c r="I1225" t="s">
        <v>4226</v>
      </c>
      <c r="J1225" t="s">
        <v>36</v>
      </c>
      <c r="K1225" s="22">
        <v>9</v>
      </c>
      <c r="L1225" s="1">
        <v>42610</v>
      </c>
      <c r="M1225" s="22">
        <f>Table10[[#This Row],[Ship Date]]-Table10[[#This Row],[Order Date]]</f>
        <v>7</v>
      </c>
      <c r="N1225" t="s">
        <v>45</v>
      </c>
      <c r="O1225" t="s">
        <v>23</v>
      </c>
      <c r="P1225" t="s">
        <v>38</v>
      </c>
      <c r="Q1225" t="s">
        <v>39</v>
      </c>
      <c r="R1225" t="s">
        <v>37</v>
      </c>
      <c r="S1225" s="33">
        <v>0</v>
      </c>
      <c r="T1225" s="13">
        <v>47.52</v>
      </c>
      <c r="U1225" s="13">
        <v>21.384</v>
      </c>
      <c r="V1225" s="21">
        <f>Table10[[#This Row],[Profit]]/Table10[[#This Row],[Sales]]</f>
        <v>0.44999999999999996</v>
      </c>
    </row>
    <row r="1226" spans="1:22" x14ac:dyDescent="0.2">
      <c r="A1226">
        <v>1225</v>
      </c>
      <c r="B1226" t="s">
        <v>9482</v>
      </c>
      <c r="C1226" s="1">
        <v>42603</v>
      </c>
      <c r="D1226" s="22">
        <f>MONTH(Table10[[#This Row],[Order Date]])</f>
        <v>8</v>
      </c>
      <c r="E1226" t="s">
        <v>2788</v>
      </c>
      <c r="F1226" t="s">
        <v>2789</v>
      </c>
      <c r="G1226" s="23" t="s">
        <v>41</v>
      </c>
      <c r="H1226" s="23" t="s">
        <v>68</v>
      </c>
      <c r="I1226" t="s">
        <v>2512</v>
      </c>
      <c r="J1226" t="s">
        <v>36</v>
      </c>
      <c r="K1226" s="22">
        <v>10</v>
      </c>
      <c r="L1226" s="1">
        <v>42606</v>
      </c>
      <c r="M1226" s="22">
        <f>Table10[[#This Row],[Ship Date]]-Table10[[#This Row],[Order Date]]</f>
        <v>3</v>
      </c>
      <c r="N1226" t="s">
        <v>20</v>
      </c>
      <c r="O1226" t="s">
        <v>23</v>
      </c>
      <c r="P1226" t="s">
        <v>87</v>
      </c>
      <c r="Q1226" t="s">
        <v>39</v>
      </c>
      <c r="R1226" t="s">
        <v>86</v>
      </c>
      <c r="S1226" s="33">
        <v>0.2</v>
      </c>
      <c r="T1226" s="13">
        <v>33.44</v>
      </c>
      <c r="U1226" s="13">
        <v>11.704000000000001</v>
      </c>
      <c r="V1226" s="21">
        <f>Table10[[#This Row],[Profit]]/Table10[[#This Row],[Sales]]</f>
        <v>0.35000000000000003</v>
      </c>
    </row>
    <row r="1227" spans="1:22" x14ac:dyDescent="0.2">
      <c r="A1227">
        <v>1226</v>
      </c>
      <c r="B1227" t="s">
        <v>10086</v>
      </c>
      <c r="C1227" s="1">
        <v>42603</v>
      </c>
      <c r="D1227" s="22">
        <f>MONTH(Table10[[#This Row],[Order Date]])</f>
        <v>8</v>
      </c>
      <c r="E1227" t="s">
        <v>3300</v>
      </c>
      <c r="F1227" t="s">
        <v>3301</v>
      </c>
      <c r="G1227" s="23" t="s">
        <v>28</v>
      </c>
      <c r="H1227" s="23" t="s">
        <v>32</v>
      </c>
      <c r="I1227" t="s">
        <v>1997</v>
      </c>
      <c r="J1227" t="s">
        <v>22</v>
      </c>
      <c r="K1227" s="22">
        <v>7</v>
      </c>
      <c r="L1227" s="1">
        <v>42607</v>
      </c>
      <c r="M1227" s="22">
        <f>Table10[[#This Row],[Ship Date]]-Table10[[#This Row],[Order Date]]</f>
        <v>4</v>
      </c>
      <c r="N1227" t="s">
        <v>45</v>
      </c>
      <c r="O1227" t="s">
        <v>23</v>
      </c>
      <c r="P1227" t="s">
        <v>238</v>
      </c>
      <c r="Q1227" t="s">
        <v>133</v>
      </c>
      <c r="R1227" t="s">
        <v>237</v>
      </c>
      <c r="S1227" s="33">
        <v>0.1</v>
      </c>
      <c r="T1227" s="13">
        <v>573.17399999999998</v>
      </c>
      <c r="U1227" s="13">
        <v>63.686</v>
      </c>
      <c r="V1227" s="21">
        <f>Table10[[#This Row],[Profit]]/Table10[[#This Row],[Sales]]</f>
        <v>0.11111111111111112</v>
      </c>
    </row>
    <row r="1228" spans="1:22" x14ac:dyDescent="0.2">
      <c r="A1228">
        <v>1227</v>
      </c>
      <c r="B1228" t="s">
        <v>1896</v>
      </c>
      <c r="C1228" s="1">
        <v>42604</v>
      </c>
      <c r="D1228" s="22">
        <f>MONTH(Table10[[#This Row],[Order Date]])</f>
        <v>8</v>
      </c>
      <c r="E1228" t="s">
        <v>1898</v>
      </c>
      <c r="F1228" t="s">
        <v>1899</v>
      </c>
      <c r="G1228" s="23" t="s">
        <v>41</v>
      </c>
      <c r="H1228" s="23" t="s">
        <v>71</v>
      </c>
      <c r="I1228" t="s">
        <v>1897</v>
      </c>
      <c r="J1228" t="s">
        <v>22</v>
      </c>
      <c r="K1228" s="22">
        <v>2</v>
      </c>
      <c r="L1228" s="1">
        <v>42610</v>
      </c>
      <c r="M1228" s="22">
        <f>Table10[[#This Row],[Ship Date]]-Table10[[#This Row],[Order Date]]</f>
        <v>6</v>
      </c>
      <c r="N1228" t="s">
        <v>45</v>
      </c>
      <c r="O1228" t="s">
        <v>23</v>
      </c>
      <c r="P1228" t="s">
        <v>441</v>
      </c>
      <c r="Q1228" t="s">
        <v>133</v>
      </c>
      <c r="R1228" t="s">
        <v>440</v>
      </c>
      <c r="S1228" s="33">
        <v>0.2</v>
      </c>
      <c r="T1228" s="13">
        <v>113.55200000000001</v>
      </c>
      <c r="U1228" s="13">
        <v>8.5164000000000009</v>
      </c>
      <c r="V1228" s="21">
        <f>Table10[[#This Row],[Profit]]/Table10[[#This Row],[Sales]]</f>
        <v>7.4999999999999997E-2</v>
      </c>
    </row>
    <row r="1229" spans="1:22" x14ac:dyDescent="0.2">
      <c r="A1229">
        <v>1228</v>
      </c>
      <c r="B1229" t="s">
        <v>1896</v>
      </c>
      <c r="C1229" s="1">
        <v>42604</v>
      </c>
      <c r="D1229" s="22">
        <f>MONTH(Table10[[#This Row],[Order Date]])</f>
        <v>8</v>
      </c>
      <c r="E1229" t="s">
        <v>1900</v>
      </c>
      <c r="F1229" t="s">
        <v>1901</v>
      </c>
      <c r="G1229" s="23" t="s">
        <v>41</v>
      </c>
      <c r="H1229" s="23" t="s">
        <v>68</v>
      </c>
      <c r="I1229" t="s">
        <v>1897</v>
      </c>
      <c r="J1229" t="s">
        <v>22</v>
      </c>
      <c r="K1229" s="22">
        <v>2</v>
      </c>
      <c r="L1229" s="1">
        <v>42610</v>
      </c>
      <c r="M1229" s="22">
        <f>Table10[[#This Row],[Ship Date]]-Table10[[#This Row],[Order Date]]</f>
        <v>6</v>
      </c>
      <c r="N1229" t="s">
        <v>45</v>
      </c>
      <c r="O1229" t="s">
        <v>23</v>
      </c>
      <c r="P1229" t="s">
        <v>441</v>
      </c>
      <c r="Q1229" t="s">
        <v>133</v>
      </c>
      <c r="R1229" t="s">
        <v>440</v>
      </c>
      <c r="S1229" s="33">
        <v>0.7</v>
      </c>
      <c r="T1229" s="13">
        <v>3.3180000000000001</v>
      </c>
      <c r="U1229" s="13">
        <v>-2.6543999999999999</v>
      </c>
      <c r="V1229" s="21">
        <f>Table10[[#This Row],[Profit]]/Table10[[#This Row],[Sales]]</f>
        <v>-0.79999999999999993</v>
      </c>
    </row>
    <row r="1230" spans="1:22" x14ac:dyDescent="0.2">
      <c r="A1230">
        <v>1229</v>
      </c>
      <c r="B1230" t="s">
        <v>1896</v>
      </c>
      <c r="C1230" s="1">
        <v>42604</v>
      </c>
      <c r="D1230" s="22">
        <f>MONTH(Table10[[#This Row],[Order Date]])</f>
        <v>8</v>
      </c>
      <c r="E1230" t="s">
        <v>1902</v>
      </c>
      <c r="F1230" t="s">
        <v>1903</v>
      </c>
      <c r="G1230" s="23" t="s">
        <v>41</v>
      </c>
      <c r="H1230" s="23" t="s">
        <v>155</v>
      </c>
      <c r="I1230" t="s">
        <v>1897</v>
      </c>
      <c r="J1230" t="s">
        <v>22</v>
      </c>
      <c r="K1230" s="22">
        <v>2</v>
      </c>
      <c r="L1230" s="1">
        <v>42610</v>
      </c>
      <c r="M1230" s="22">
        <f>Table10[[#This Row],[Ship Date]]-Table10[[#This Row],[Order Date]]</f>
        <v>6</v>
      </c>
      <c r="N1230" t="s">
        <v>45</v>
      </c>
      <c r="O1230" t="s">
        <v>23</v>
      </c>
      <c r="P1230" t="s">
        <v>441</v>
      </c>
      <c r="Q1230" t="s">
        <v>133</v>
      </c>
      <c r="R1230" t="s">
        <v>440</v>
      </c>
      <c r="S1230" s="33">
        <v>0.2</v>
      </c>
      <c r="T1230" s="13">
        <v>134.28800000000001</v>
      </c>
      <c r="U1230" s="13">
        <v>45.322200000000002</v>
      </c>
      <c r="V1230" s="21">
        <f>Table10[[#This Row],[Profit]]/Table10[[#This Row],[Sales]]</f>
        <v>0.33749999999999997</v>
      </c>
    </row>
    <row r="1231" spans="1:22" x14ac:dyDescent="0.2">
      <c r="A1231">
        <v>1230</v>
      </c>
      <c r="B1231" t="s">
        <v>6488</v>
      </c>
      <c r="C1231" s="1">
        <v>42604</v>
      </c>
      <c r="D1231" s="22">
        <f>MONTH(Table10[[#This Row],[Order Date]])</f>
        <v>8</v>
      </c>
      <c r="E1231" t="s">
        <v>2854</v>
      </c>
      <c r="F1231" t="s">
        <v>2855</v>
      </c>
      <c r="G1231" s="23" t="s">
        <v>41</v>
      </c>
      <c r="H1231" s="23" t="s">
        <v>68</v>
      </c>
      <c r="I1231" t="s">
        <v>6489</v>
      </c>
      <c r="J1231" t="s">
        <v>22</v>
      </c>
      <c r="K1231" s="22">
        <v>2</v>
      </c>
      <c r="L1231" s="1">
        <v>42608</v>
      </c>
      <c r="M1231" s="22">
        <f>Table10[[#This Row],[Ship Date]]-Table10[[#This Row],[Order Date]]</f>
        <v>4</v>
      </c>
      <c r="N1231" t="s">
        <v>45</v>
      </c>
      <c r="O1231" t="s">
        <v>23</v>
      </c>
      <c r="P1231" t="s">
        <v>94</v>
      </c>
      <c r="Q1231" t="s">
        <v>95</v>
      </c>
      <c r="R1231" t="s">
        <v>165</v>
      </c>
      <c r="S1231" s="33">
        <v>0.8</v>
      </c>
      <c r="T1231" s="13">
        <v>4.3120000000000003</v>
      </c>
      <c r="U1231" s="13">
        <v>-6.8992000000000004</v>
      </c>
      <c r="V1231" s="21">
        <f>Table10[[#This Row],[Profit]]/Table10[[#This Row],[Sales]]</f>
        <v>-1.6</v>
      </c>
    </row>
    <row r="1232" spans="1:22" x14ac:dyDescent="0.2">
      <c r="A1232">
        <v>1231</v>
      </c>
      <c r="B1232" t="s">
        <v>7100</v>
      </c>
      <c r="C1232" s="1">
        <v>42604</v>
      </c>
      <c r="D1232" s="22">
        <f>MONTH(Table10[[#This Row],[Order Date]])</f>
        <v>8</v>
      </c>
      <c r="E1232" t="s">
        <v>3666</v>
      </c>
      <c r="F1232" t="s">
        <v>3667</v>
      </c>
      <c r="G1232" s="23" t="s">
        <v>41</v>
      </c>
      <c r="H1232" s="23" t="s">
        <v>68</v>
      </c>
      <c r="I1232" t="s">
        <v>3654</v>
      </c>
      <c r="J1232" t="s">
        <v>22</v>
      </c>
      <c r="K1232" s="22">
        <v>8</v>
      </c>
      <c r="L1232" s="1">
        <v>42609</v>
      </c>
      <c r="M1232" s="22">
        <f>Table10[[#This Row],[Ship Date]]-Table10[[#This Row],[Order Date]]</f>
        <v>5</v>
      </c>
      <c r="N1232" t="s">
        <v>45</v>
      </c>
      <c r="O1232" t="s">
        <v>23</v>
      </c>
      <c r="P1232" t="s">
        <v>374</v>
      </c>
      <c r="Q1232" t="s">
        <v>39</v>
      </c>
      <c r="R1232" t="s">
        <v>5558</v>
      </c>
      <c r="S1232" s="33">
        <v>0.7</v>
      </c>
      <c r="T1232" s="13">
        <v>26.352</v>
      </c>
      <c r="U1232" s="13">
        <v>-18.446400000000001</v>
      </c>
      <c r="V1232" s="21">
        <f>Table10[[#This Row],[Profit]]/Table10[[#This Row],[Sales]]</f>
        <v>-0.70000000000000007</v>
      </c>
    </row>
    <row r="1233" spans="1:22" x14ac:dyDescent="0.2">
      <c r="A1233">
        <v>1232</v>
      </c>
      <c r="B1233" t="s">
        <v>8854</v>
      </c>
      <c r="C1233" s="1">
        <v>42604</v>
      </c>
      <c r="D1233" s="22">
        <f>MONTH(Table10[[#This Row],[Order Date]])</f>
        <v>8</v>
      </c>
      <c r="E1233" t="s">
        <v>2328</v>
      </c>
      <c r="F1233" t="s">
        <v>2329</v>
      </c>
      <c r="G1233" s="23" t="s">
        <v>41</v>
      </c>
      <c r="H1233" s="23" t="s">
        <v>82</v>
      </c>
      <c r="I1233" t="s">
        <v>2737</v>
      </c>
      <c r="J1233" t="s">
        <v>36</v>
      </c>
      <c r="K1233" s="22">
        <v>3</v>
      </c>
      <c r="L1233" s="1">
        <v>42608</v>
      </c>
      <c r="M1233" s="22">
        <f>Table10[[#This Row],[Ship Date]]-Table10[[#This Row],[Order Date]]</f>
        <v>4</v>
      </c>
      <c r="N1233" t="s">
        <v>45</v>
      </c>
      <c r="O1233" t="s">
        <v>23</v>
      </c>
      <c r="P1233" t="s">
        <v>87</v>
      </c>
      <c r="Q1233" t="s">
        <v>39</v>
      </c>
      <c r="R1233" t="s">
        <v>86</v>
      </c>
      <c r="S1233" s="33">
        <v>0</v>
      </c>
      <c r="T1233" s="13">
        <v>19.440000000000001</v>
      </c>
      <c r="U1233" s="13">
        <v>9.3312000000000008</v>
      </c>
      <c r="V1233" s="21">
        <f>Table10[[#This Row],[Profit]]/Table10[[#This Row],[Sales]]</f>
        <v>0.48000000000000004</v>
      </c>
    </row>
    <row r="1234" spans="1:22" x14ac:dyDescent="0.2">
      <c r="A1234">
        <v>1233</v>
      </c>
      <c r="B1234" t="s">
        <v>9593</v>
      </c>
      <c r="C1234" s="1">
        <v>42604</v>
      </c>
      <c r="D1234" s="22">
        <f>MONTH(Table10[[#This Row],[Order Date]])</f>
        <v>8</v>
      </c>
      <c r="E1234" t="s">
        <v>1760</v>
      </c>
      <c r="F1234" t="s">
        <v>1761</v>
      </c>
      <c r="G1234" s="23" t="s">
        <v>28</v>
      </c>
      <c r="H1234" s="23" t="s">
        <v>58</v>
      </c>
      <c r="I1234" t="s">
        <v>5582</v>
      </c>
      <c r="J1234" t="s">
        <v>92</v>
      </c>
      <c r="K1234" s="22">
        <v>3</v>
      </c>
      <c r="L1234" s="1">
        <v>42605</v>
      </c>
      <c r="M1234" s="22">
        <f>Table10[[#This Row],[Ship Date]]-Table10[[#This Row],[Order Date]]</f>
        <v>1</v>
      </c>
      <c r="N1234" t="s">
        <v>169</v>
      </c>
      <c r="O1234" t="s">
        <v>23</v>
      </c>
      <c r="P1234" t="s">
        <v>405</v>
      </c>
      <c r="Q1234" t="s">
        <v>39</v>
      </c>
      <c r="R1234" t="s">
        <v>4737</v>
      </c>
      <c r="S1234" s="33">
        <v>0.2</v>
      </c>
      <c r="T1234" s="13">
        <v>98.328000000000003</v>
      </c>
      <c r="U1234" s="13">
        <v>9.8328000000000007</v>
      </c>
      <c r="V1234" s="21">
        <f>Table10[[#This Row],[Profit]]/Table10[[#This Row],[Sales]]</f>
        <v>0.1</v>
      </c>
    </row>
    <row r="1235" spans="1:22" x14ac:dyDescent="0.2">
      <c r="A1235">
        <v>1234</v>
      </c>
      <c r="B1235" t="s">
        <v>9950</v>
      </c>
      <c r="C1235" s="1">
        <v>42604</v>
      </c>
      <c r="D1235" s="22">
        <f>MONTH(Table10[[#This Row],[Order Date]])</f>
        <v>8</v>
      </c>
      <c r="E1235" t="s">
        <v>2846</v>
      </c>
      <c r="F1235" t="s">
        <v>2847</v>
      </c>
      <c r="G1235" s="23" t="s">
        <v>41</v>
      </c>
      <c r="H1235" s="23" t="s">
        <v>61</v>
      </c>
      <c r="I1235" t="s">
        <v>3427</v>
      </c>
      <c r="J1235" t="s">
        <v>36</v>
      </c>
      <c r="K1235" s="22">
        <v>2</v>
      </c>
      <c r="L1235" s="1">
        <v>42611</v>
      </c>
      <c r="M1235" s="22">
        <f>Table10[[#This Row],[Ship Date]]-Table10[[#This Row],[Order Date]]</f>
        <v>7</v>
      </c>
      <c r="N1235" t="s">
        <v>45</v>
      </c>
      <c r="O1235" t="s">
        <v>23</v>
      </c>
      <c r="P1235" t="s">
        <v>38</v>
      </c>
      <c r="Q1235" t="s">
        <v>39</v>
      </c>
      <c r="R1235" t="s">
        <v>37</v>
      </c>
      <c r="S1235" s="33">
        <v>0</v>
      </c>
      <c r="T1235" s="13">
        <v>5.76</v>
      </c>
      <c r="U1235" s="13">
        <v>1.6704000000000001</v>
      </c>
      <c r="V1235" s="21">
        <f>Table10[[#This Row],[Profit]]/Table10[[#This Row],[Sales]]</f>
        <v>0.29000000000000004</v>
      </c>
    </row>
    <row r="1236" spans="1:22" x14ac:dyDescent="0.2">
      <c r="A1236">
        <v>1235</v>
      </c>
      <c r="B1236" t="s">
        <v>5543</v>
      </c>
      <c r="C1236" s="1">
        <v>42605</v>
      </c>
      <c r="D1236" s="22">
        <f>MONTH(Table10[[#This Row],[Order Date]])</f>
        <v>8</v>
      </c>
      <c r="E1236" t="s">
        <v>1443</v>
      </c>
      <c r="F1236" t="s">
        <v>1444</v>
      </c>
      <c r="G1236" s="23" t="s">
        <v>41</v>
      </c>
      <c r="H1236" s="23" t="s">
        <v>53</v>
      </c>
      <c r="I1236" t="s">
        <v>3095</v>
      </c>
      <c r="J1236" t="s">
        <v>92</v>
      </c>
      <c r="K1236" s="22">
        <v>8</v>
      </c>
      <c r="L1236" s="1">
        <v>42612</v>
      </c>
      <c r="M1236" s="22">
        <f>Table10[[#This Row],[Ship Date]]-Table10[[#This Row],[Order Date]]</f>
        <v>7</v>
      </c>
      <c r="N1236" t="s">
        <v>45</v>
      </c>
      <c r="O1236" t="s">
        <v>23</v>
      </c>
      <c r="P1236" t="s">
        <v>94</v>
      </c>
      <c r="Q1236" t="s">
        <v>95</v>
      </c>
      <c r="R1236" t="s">
        <v>5544</v>
      </c>
      <c r="S1236" s="33">
        <v>0.2</v>
      </c>
      <c r="T1236" s="13">
        <v>727.29600000000005</v>
      </c>
      <c r="U1236" s="13">
        <v>-172.7328</v>
      </c>
      <c r="V1236" s="21">
        <f>Table10[[#This Row],[Profit]]/Table10[[#This Row],[Sales]]</f>
        <v>-0.23749999999999999</v>
      </c>
    </row>
    <row r="1237" spans="1:22" x14ac:dyDescent="0.2">
      <c r="A1237">
        <v>1236</v>
      </c>
      <c r="B1237" t="s">
        <v>5543</v>
      </c>
      <c r="C1237" s="1">
        <v>42605</v>
      </c>
      <c r="D1237" s="22">
        <f>MONTH(Table10[[#This Row],[Order Date]])</f>
        <v>8</v>
      </c>
      <c r="E1237" t="s">
        <v>4090</v>
      </c>
      <c r="F1237" t="s">
        <v>4091</v>
      </c>
      <c r="G1237" s="23" t="s">
        <v>28</v>
      </c>
      <c r="H1237" s="23" t="s">
        <v>58</v>
      </c>
      <c r="I1237" t="s">
        <v>3095</v>
      </c>
      <c r="J1237" t="s">
        <v>92</v>
      </c>
      <c r="K1237" s="22">
        <v>3</v>
      </c>
      <c r="L1237" s="1">
        <v>42612</v>
      </c>
      <c r="M1237" s="22">
        <f>Table10[[#This Row],[Ship Date]]-Table10[[#This Row],[Order Date]]</f>
        <v>7</v>
      </c>
      <c r="N1237" t="s">
        <v>45</v>
      </c>
      <c r="O1237" t="s">
        <v>23</v>
      </c>
      <c r="P1237" t="s">
        <v>94</v>
      </c>
      <c r="Q1237" t="s">
        <v>95</v>
      </c>
      <c r="R1237" t="s">
        <v>5544</v>
      </c>
      <c r="S1237" s="33">
        <v>0.6</v>
      </c>
      <c r="T1237" s="13">
        <v>22.608000000000001</v>
      </c>
      <c r="U1237" s="13">
        <v>-10.1736</v>
      </c>
      <c r="V1237" s="21">
        <f>Table10[[#This Row],[Profit]]/Table10[[#This Row],[Sales]]</f>
        <v>-0.45</v>
      </c>
    </row>
    <row r="1238" spans="1:22" x14ac:dyDescent="0.2">
      <c r="A1238">
        <v>1237</v>
      </c>
      <c r="B1238" t="s">
        <v>5543</v>
      </c>
      <c r="C1238" s="1">
        <v>42605</v>
      </c>
      <c r="D1238" s="22">
        <f>MONTH(Table10[[#This Row],[Order Date]])</f>
        <v>8</v>
      </c>
      <c r="E1238" t="s">
        <v>4261</v>
      </c>
      <c r="F1238" t="s">
        <v>4262</v>
      </c>
      <c r="G1238" s="23" t="s">
        <v>64</v>
      </c>
      <c r="H1238" s="23" t="s">
        <v>144</v>
      </c>
      <c r="I1238" t="s">
        <v>3095</v>
      </c>
      <c r="J1238" t="s">
        <v>92</v>
      </c>
      <c r="K1238" s="22">
        <v>7</v>
      </c>
      <c r="L1238" s="1">
        <v>42612</v>
      </c>
      <c r="M1238" s="22">
        <f>Table10[[#This Row],[Ship Date]]-Table10[[#This Row],[Order Date]]</f>
        <v>7</v>
      </c>
      <c r="N1238" t="s">
        <v>45</v>
      </c>
      <c r="O1238" t="s">
        <v>23</v>
      </c>
      <c r="P1238" t="s">
        <v>94</v>
      </c>
      <c r="Q1238" t="s">
        <v>95</v>
      </c>
      <c r="R1238" t="s">
        <v>5544</v>
      </c>
      <c r="S1238" s="33">
        <v>0.2</v>
      </c>
      <c r="T1238" s="13">
        <v>666.4</v>
      </c>
      <c r="U1238" s="13">
        <v>-33.32</v>
      </c>
      <c r="V1238" s="21">
        <f>Table10[[#This Row],[Profit]]/Table10[[#This Row],[Sales]]</f>
        <v>-0.05</v>
      </c>
    </row>
    <row r="1239" spans="1:22" x14ac:dyDescent="0.2">
      <c r="A1239">
        <v>1238</v>
      </c>
      <c r="B1239" t="s">
        <v>5647</v>
      </c>
      <c r="C1239" s="1">
        <v>42605</v>
      </c>
      <c r="D1239" s="22">
        <f>MONTH(Table10[[#This Row],[Order Date]])</f>
        <v>8</v>
      </c>
      <c r="E1239" t="s">
        <v>5648</v>
      </c>
      <c r="F1239" t="s">
        <v>5649</v>
      </c>
      <c r="G1239" s="23" t="s">
        <v>64</v>
      </c>
      <c r="H1239" s="23" t="s">
        <v>602</v>
      </c>
      <c r="I1239" t="s">
        <v>3519</v>
      </c>
      <c r="J1239" t="s">
        <v>22</v>
      </c>
      <c r="K1239" s="22">
        <v>3</v>
      </c>
      <c r="L1239" s="1">
        <v>42612</v>
      </c>
      <c r="M1239" s="22">
        <f>Table10[[#This Row],[Ship Date]]-Table10[[#This Row],[Order Date]]</f>
        <v>7</v>
      </c>
      <c r="N1239" t="s">
        <v>45</v>
      </c>
      <c r="O1239" t="s">
        <v>23</v>
      </c>
      <c r="P1239" t="s">
        <v>87</v>
      </c>
      <c r="Q1239" t="s">
        <v>39</v>
      </c>
      <c r="R1239" t="s">
        <v>86</v>
      </c>
      <c r="S1239" s="33">
        <v>0.2</v>
      </c>
      <c r="T1239" s="13">
        <v>837.6</v>
      </c>
      <c r="U1239" s="13">
        <v>62.82</v>
      </c>
      <c r="V1239" s="21">
        <f>Table10[[#This Row],[Profit]]/Table10[[#This Row],[Sales]]</f>
        <v>7.4999999999999997E-2</v>
      </c>
    </row>
    <row r="1240" spans="1:22" x14ac:dyDescent="0.2">
      <c r="A1240">
        <v>1239</v>
      </c>
      <c r="B1240" t="s">
        <v>5647</v>
      </c>
      <c r="C1240" s="1">
        <v>42605</v>
      </c>
      <c r="D1240" s="22">
        <f>MONTH(Table10[[#This Row],[Order Date]])</f>
        <v>8</v>
      </c>
      <c r="E1240" t="s">
        <v>448</v>
      </c>
      <c r="F1240" t="s">
        <v>449</v>
      </c>
      <c r="G1240" s="23" t="s">
        <v>41</v>
      </c>
      <c r="H1240" s="23" t="s">
        <v>155</v>
      </c>
      <c r="I1240" t="s">
        <v>3519</v>
      </c>
      <c r="J1240" t="s">
        <v>22</v>
      </c>
      <c r="K1240" s="22">
        <v>5</v>
      </c>
      <c r="L1240" s="1">
        <v>42612</v>
      </c>
      <c r="M1240" s="22">
        <f>Table10[[#This Row],[Ship Date]]-Table10[[#This Row],[Order Date]]</f>
        <v>7</v>
      </c>
      <c r="N1240" t="s">
        <v>45</v>
      </c>
      <c r="O1240" t="s">
        <v>23</v>
      </c>
      <c r="P1240" t="s">
        <v>87</v>
      </c>
      <c r="Q1240" t="s">
        <v>39</v>
      </c>
      <c r="R1240" t="s">
        <v>86</v>
      </c>
      <c r="S1240" s="33">
        <v>0</v>
      </c>
      <c r="T1240" s="13">
        <v>135.9</v>
      </c>
      <c r="U1240" s="13">
        <v>63.872999999999998</v>
      </c>
      <c r="V1240" s="21">
        <f>Table10[[#This Row],[Profit]]/Table10[[#This Row],[Sales]]</f>
        <v>0.47</v>
      </c>
    </row>
    <row r="1241" spans="1:22" x14ac:dyDescent="0.2">
      <c r="A1241">
        <v>1240</v>
      </c>
      <c r="B1241" t="s">
        <v>5647</v>
      </c>
      <c r="C1241" s="1">
        <v>42605</v>
      </c>
      <c r="D1241" s="22">
        <f>MONTH(Table10[[#This Row],[Order Date]])</f>
        <v>8</v>
      </c>
      <c r="E1241" t="s">
        <v>4307</v>
      </c>
      <c r="F1241" t="s">
        <v>4308</v>
      </c>
      <c r="G1241" s="23" t="s">
        <v>41</v>
      </c>
      <c r="H1241" s="23" t="s">
        <v>82</v>
      </c>
      <c r="I1241" t="s">
        <v>3519</v>
      </c>
      <c r="J1241" t="s">
        <v>22</v>
      </c>
      <c r="K1241" s="22">
        <v>6</v>
      </c>
      <c r="L1241" s="1">
        <v>42612</v>
      </c>
      <c r="M1241" s="22">
        <f>Table10[[#This Row],[Ship Date]]-Table10[[#This Row],[Order Date]]</f>
        <v>7</v>
      </c>
      <c r="N1241" t="s">
        <v>45</v>
      </c>
      <c r="O1241" t="s">
        <v>23</v>
      </c>
      <c r="P1241" t="s">
        <v>87</v>
      </c>
      <c r="Q1241" t="s">
        <v>39</v>
      </c>
      <c r="R1241" t="s">
        <v>86</v>
      </c>
      <c r="S1241" s="33">
        <v>0</v>
      </c>
      <c r="T1241" s="13">
        <v>34.68</v>
      </c>
      <c r="U1241" s="13">
        <v>16.993200000000002</v>
      </c>
      <c r="V1241" s="21">
        <f>Table10[[#This Row],[Profit]]/Table10[[#This Row],[Sales]]</f>
        <v>0.49000000000000005</v>
      </c>
    </row>
    <row r="1242" spans="1:22" x14ac:dyDescent="0.2">
      <c r="A1242">
        <v>1241</v>
      </c>
      <c r="B1242" t="s">
        <v>5647</v>
      </c>
      <c r="C1242" s="1">
        <v>42605</v>
      </c>
      <c r="D1242" s="22">
        <f>MONTH(Table10[[#This Row],[Order Date]])</f>
        <v>8</v>
      </c>
      <c r="E1242" t="s">
        <v>3131</v>
      </c>
      <c r="F1242" t="s">
        <v>3132</v>
      </c>
      <c r="G1242" s="23" t="s">
        <v>28</v>
      </c>
      <c r="H1242" s="23" t="s">
        <v>32</v>
      </c>
      <c r="I1242" t="s">
        <v>3519</v>
      </c>
      <c r="J1242" t="s">
        <v>22</v>
      </c>
      <c r="K1242" s="22">
        <v>6</v>
      </c>
      <c r="L1242" s="1">
        <v>42612</v>
      </c>
      <c r="M1242" s="22">
        <f>Table10[[#This Row],[Ship Date]]-Table10[[#This Row],[Order Date]]</f>
        <v>7</v>
      </c>
      <c r="N1242" t="s">
        <v>45</v>
      </c>
      <c r="O1242" t="s">
        <v>23</v>
      </c>
      <c r="P1242" t="s">
        <v>87</v>
      </c>
      <c r="Q1242" t="s">
        <v>39</v>
      </c>
      <c r="R1242" t="s">
        <v>86</v>
      </c>
      <c r="S1242" s="33">
        <v>0.2</v>
      </c>
      <c r="T1242" s="13">
        <v>532.70399999999995</v>
      </c>
      <c r="U1242" s="13">
        <v>-39.952800000000003</v>
      </c>
      <c r="V1242" s="21">
        <f>Table10[[#This Row],[Profit]]/Table10[[#This Row],[Sales]]</f>
        <v>-7.5000000000000011E-2</v>
      </c>
    </row>
    <row r="1243" spans="1:22" x14ac:dyDescent="0.2">
      <c r="A1243">
        <v>1242</v>
      </c>
      <c r="B1243" t="s">
        <v>5647</v>
      </c>
      <c r="C1243" s="1">
        <v>42605</v>
      </c>
      <c r="D1243" s="22">
        <f>MONTH(Table10[[#This Row],[Order Date]])</f>
        <v>8</v>
      </c>
      <c r="E1243" t="s">
        <v>127</v>
      </c>
      <c r="F1243" t="s">
        <v>128</v>
      </c>
      <c r="G1243" s="23" t="s">
        <v>41</v>
      </c>
      <c r="H1243" s="23" t="s">
        <v>71</v>
      </c>
      <c r="I1243" t="s">
        <v>3519</v>
      </c>
      <c r="J1243" t="s">
        <v>22</v>
      </c>
      <c r="K1243" s="22">
        <v>5</v>
      </c>
      <c r="L1243" s="1">
        <v>42612</v>
      </c>
      <c r="M1243" s="22">
        <f>Table10[[#This Row],[Ship Date]]-Table10[[#This Row],[Order Date]]</f>
        <v>7</v>
      </c>
      <c r="N1243" t="s">
        <v>45</v>
      </c>
      <c r="O1243" t="s">
        <v>23</v>
      </c>
      <c r="P1243" t="s">
        <v>87</v>
      </c>
      <c r="Q1243" t="s">
        <v>39</v>
      </c>
      <c r="R1243" t="s">
        <v>86</v>
      </c>
      <c r="S1243" s="33">
        <v>0</v>
      </c>
      <c r="T1243" s="13">
        <v>43.1</v>
      </c>
      <c r="U1243" s="13">
        <v>11.206</v>
      </c>
      <c r="V1243" s="21">
        <f>Table10[[#This Row],[Profit]]/Table10[[#This Row],[Sales]]</f>
        <v>0.25999999999999995</v>
      </c>
    </row>
    <row r="1244" spans="1:22" x14ac:dyDescent="0.2">
      <c r="A1244">
        <v>1243</v>
      </c>
      <c r="B1244" t="s">
        <v>5647</v>
      </c>
      <c r="C1244" s="1">
        <v>42605</v>
      </c>
      <c r="D1244" s="22">
        <f>MONTH(Table10[[#This Row],[Order Date]])</f>
        <v>8</v>
      </c>
      <c r="E1244" t="s">
        <v>635</v>
      </c>
      <c r="F1244" t="s">
        <v>636</v>
      </c>
      <c r="G1244" s="23" t="s">
        <v>41</v>
      </c>
      <c r="H1244" s="23" t="s">
        <v>513</v>
      </c>
      <c r="I1244" t="s">
        <v>3519</v>
      </c>
      <c r="J1244" t="s">
        <v>22</v>
      </c>
      <c r="K1244" s="22">
        <v>4</v>
      </c>
      <c r="L1244" s="1">
        <v>42612</v>
      </c>
      <c r="M1244" s="22">
        <f>Table10[[#This Row],[Ship Date]]-Table10[[#This Row],[Order Date]]</f>
        <v>7</v>
      </c>
      <c r="N1244" t="s">
        <v>45</v>
      </c>
      <c r="O1244" t="s">
        <v>23</v>
      </c>
      <c r="P1244" t="s">
        <v>87</v>
      </c>
      <c r="Q1244" t="s">
        <v>39</v>
      </c>
      <c r="R1244" t="s">
        <v>86</v>
      </c>
      <c r="S1244" s="33">
        <v>0</v>
      </c>
      <c r="T1244" s="13">
        <v>15.88</v>
      </c>
      <c r="U1244" s="13">
        <v>0.1588</v>
      </c>
      <c r="V1244" s="21">
        <f>Table10[[#This Row],[Profit]]/Table10[[#This Row],[Sales]]</f>
        <v>9.9999999999999985E-3</v>
      </c>
    </row>
    <row r="1245" spans="1:22" x14ac:dyDescent="0.2">
      <c r="A1245">
        <v>1244</v>
      </c>
      <c r="B1245" t="s">
        <v>7612</v>
      </c>
      <c r="C1245" s="1">
        <v>42605</v>
      </c>
      <c r="D1245" s="22">
        <f>MONTH(Table10[[#This Row],[Order Date]])</f>
        <v>8</v>
      </c>
      <c r="E1245" t="s">
        <v>1118</v>
      </c>
      <c r="F1245" t="s">
        <v>1119</v>
      </c>
      <c r="G1245" s="23" t="s">
        <v>41</v>
      </c>
      <c r="H1245" s="23" t="s">
        <v>61</v>
      </c>
      <c r="I1245" t="s">
        <v>5661</v>
      </c>
      <c r="J1245" t="s">
        <v>36</v>
      </c>
      <c r="K1245" s="22">
        <v>5</v>
      </c>
      <c r="L1245" s="1">
        <v>42609</v>
      </c>
      <c r="M1245" s="22">
        <f>Table10[[#This Row],[Ship Date]]-Table10[[#This Row],[Order Date]]</f>
        <v>4</v>
      </c>
      <c r="N1245" t="s">
        <v>45</v>
      </c>
      <c r="O1245" t="s">
        <v>23</v>
      </c>
      <c r="P1245" t="s">
        <v>238</v>
      </c>
      <c r="Q1245" t="s">
        <v>133</v>
      </c>
      <c r="R1245" t="s">
        <v>237</v>
      </c>
      <c r="S1245" s="33">
        <v>0</v>
      </c>
      <c r="T1245" s="13">
        <v>21.3</v>
      </c>
      <c r="U1245" s="13">
        <v>8.7330000000000005</v>
      </c>
      <c r="V1245" s="21">
        <f>Table10[[#This Row],[Profit]]/Table10[[#This Row],[Sales]]</f>
        <v>0.41000000000000003</v>
      </c>
    </row>
    <row r="1246" spans="1:22" x14ac:dyDescent="0.2">
      <c r="A1246">
        <v>1245</v>
      </c>
      <c r="B1246" t="s">
        <v>7612</v>
      </c>
      <c r="C1246" s="1">
        <v>42605</v>
      </c>
      <c r="D1246" s="22">
        <f>MONTH(Table10[[#This Row],[Order Date]])</f>
        <v>8</v>
      </c>
      <c r="E1246" t="s">
        <v>321</v>
      </c>
      <c r="F1246" t="s">
        <v>322</v>
      </c>
      <c r="G1246" s="23" t="s">
        <v>41</v>
      </c>
      <c r="H1246" s="23" t="s">
        <v>71</v>
      </c>
      <c r="I1246" t="s">
        <v>5661</v>
      </c>
      <c r="J1246" t="s">
        <v>36</v>
      </c>
      <c r="K1246" s="22">
        <v>5</v>
      </c>
      <c r="L1246" s="1">
        <v>42609</v>
      </c>
      <c r="M1246" s="22">
        <f>Table10[[#This Row],[Ship Date]]-Table10[[#This Row],[Order Date]]</f>
        <v>4</v>
      </c>
      <c r="N1246" t="s">
        <v>45</v>
      </c>
      <c r="O1246" t="s">
        <v>23</v>
      </c>
      <c r="P1246" t="s">
        <v>238</v>
      </c>
      <c r="Q1246" t="s">
        <v>133</v>
      </c>
      <c r="R1246" t="s">
        <v>237</v>
      </c>
      <c r="S1246" s="33">
        <v>0</v>
      </c>
      <c r="T1246" s="13">
        <v>1040.8</v>
      </c>
      <c r="U1246" s="13">
        <v>281.01600000000002</v>
      </c>
      <c r="V1246" s="21">
        <f>Table10[[#This Row],[Profit]]/Table10[[#This Row],[Sales]]</f>
        <v>0.27</v>
      </c>
    </row>
    <row r="1247" spans="1:22" x14ac:dyDescent="0.2">
      <c r="A1247">
        <v>1246</v>
      </c>
      <c r="B1247" t="s">
        <v>7612</v>
      </c>
      <c r="C1247" s="1">
        <v>42605</v>
      </c>
      <c r="D1247" s="22">
        <f>MONTH(Table10[[#This Row],[Order Date]])</f>
        <v>8</v>
      </c>
      <c r="E1247" t="s">
        <v>1930</v>
      </c>
      <c r="F1247" t="s">
        <v>1931</v>
      </c>
      <c r="G1247" s="23" t="s">
        <v>41</v>
      </c>
      <c r="H1247" s="23" t="s">
        <v>61</v>
      </c>
      <c r="I1247" t="s">
        <v>5661</v>
      </c>
      <c r="J1247" t="s">
        <v>36</v>
      </c>
      <c r="K1247" s="22">
        <v>6</v>
      </c>
      <c r="L1247" s="1">
        <v>42609</v>
      </c>
      <c r="M1247" s="22">
        <f>Table10[[#This Row],[Ship Date]]-Table10[[#This Row],[Order Date]]</f>
        <v>4</v>
      </c>
      <c r="N1247" t="s">
        <v>45</v>
      </c>
      <c r="O1247" t="s">
        <v>23</v>
      </c>
      <c r="P1247" t="s">
        <v>238</v>
      </c>
      <c r="Q1247" t="s">
        <v>133</v>
      </c>
      <c r="R1247" t="s">
        <v>237</v>
      </c>
      <c r="S1247" s="33">
        <v>0</v>
      </c>
      <c r="T1247" s="13">
        <v>29.34</v>
      </c>
      <c r="U1247" s="13">
        <v>7.9218000000000002</v>
      </c>
      <c r="V1247" s="21">
        <f>Table10[[#This Row],[Profit]]/Table10[[#This Row],[Sales]]</f>
        <v>0.27</v>
      </c>
    </row>
    <row r="1248" spans="1:22" x14ac:dyDescent="0.2">
      <c r="A1248">
        <v>1247</v>
      </c>
      <c r="B1248" t="s">
        <v>8991</v>
      </c>
      <c r="C1248" s="1">
        <v>42605</v>
      </c>
      <c r="D1248" s="22">
        <f>MONTH(Table10[[#This Row],[Order Date]])</f>
        <v>8</v>
      </c>
      <c r="E1248" t="s">
        <v>6450</v>
      </c>
      <c r="F1248" t="s">
        <v>6451</v>
      </c>
      <c r="G1248" s="23" t="s">
        <v>41</v>
      </c>
      <c r="H1248" s="23" t="s">
        <v>42</v>
      </c>
      <c r="I1248" t="s">
        <v>164</v>
      </c>
      <c r="J1248" t="s">
        <v>92</v>
      </c>
      <c r="K1248" s="22">
        <v>4</v>
      </c>
      <c r="L1248" s="1">
        <v>42611</v>
      </c>
      <c r="M1248" s="22">
        <f>Table10[[#This Row],[Ship Date]]-Table10[[#This Row],[Order Date]]</f>
        <v>6</v>
      </c>
      <c r="N1248" t="s">
        <v>45</v>
      </c>
      <c r="O1248" t="s">
        <v>23</v>
      </c>
      <c r="P1248" t="s">
        <v>103</v>
      </c>
      <c r="Q1248" t="s">
        <v>95</v>
      </c>
      <c r="R1248" t="s">
        <v>8992</v>
      </c>
      <c r="S1248" s="33">
        <v>0</v>
      </c>
      <c r="T1248" s="13">
        <v>25.2</v>
      </c>
      <c r="U1248" s="13">
        <v>11.592000000000001</v>
      </c>
      <c r="V1248" s="21">
        <f>Table10[[#This Row],[Profit]]/Table10[[#This Row],[Sales]]</f>
        <v>0.46</v>
      </c>
    </row>
    <row r="1249" spans="1:22" x14ac:dyDescent="0.2">
      <c r="A1249">
        <v>1248</v>
      </c>
      <c r="B1249" t="s">
        <v>8991</v>
      </c>
      <c r="C1249" s="1">
        <v>42605</v>
      </c>
      <c r="D1249" s="22">
        <f>MONTH(Table10[[#This Row],[Order Date]])</f>
        <v>8</v>
      </c>
      <c r="E1249" t="s">
        <v>6243</v>
      </c>
      <c r="F1249" t="s">
        <v>6244</v>
      </c>
      <c r="G1249" s="23" t="s">
        <v>41</v>
      </c>
      <c r="H1249" s="23" t="s">
        <v>42</v>
      </c>
      <c r="I1249" t="s">
        <v>164</v>
      </c>
      <c r="J1249" t="s">
        <v>92</v>
      </c>
      <c r="K1249" s="22">
        <v>3</v>
      </c>
      <c r="L1249" s="1">
        <v>42611</v>
      </c>
      <c r="M1249" s="22">
        <f>Table10[[#This Row],[Ship Date]]-Table10[[#This Row],[Order Date]]</f>
        <v>6</v>
      </c>
      <c r="N1249" t="s">
        <v>45</v>
      </c>
      <c r="O1249" t="s">
        <v>23</v>
      </c>
      <c r="P1249" t="s">
        <v>103</v>
      </c>
      <c r="Q1249" t="s">
        <v>95</v>
      </c>
      <c r="R1249" t="s">
        <v>8992</v>
      </c>
      <c r="S1249" s="33">
        <v>0</v>
      </c>
      <c r="T1249" s="13">
        <v>37.590000000000003</v>
      </c>
      <c r="U1249" s="13">
        <v>17.667300000000001</v>
      </c>
      <c r="V1249" s="21">
        <f>Table10[[#This Row],[Profit]]/Table10[[#This Row],[Sales]]</f>
        <v>0.47</v>
      </c>
    </row>
    <row r="1250" spans="1:22" x14ac:dyDescent="0.2">
      <c r="A1250">
        <v>1249</v>
      </c>
      <c r="B1250" t="s">
        <v>8991</v>
      </c>
      <c r="C1250" s="1">
        <v>42605</v>
      </c>
      <c r="D1250" s="22">
        <f>MONTH(Table10[[#This Row],[Order Date]])</f>
        <v>8</v>
      </c>
      <c r="E1250" t="s">
        <v>1148</v>
      </c>
      <c r="F1250" t="s">
        <v>1149</v>
      </c>
      <c r="G1250" s="23" t="s">
        <v>41</v>
      </c>
      <c r="H1250" s="23" t="s">
        <v>53</v>
      </c>
      <c r="I1250" t="s">
        <v>164</v>
      </c>
      <c r="J1250" t="s">
        <v>92</v>
      </c>
      <c r="K1250" s="22">
        <v>1</v>
      </c>
      <c r="L1250" s="1">
        <v>42611</v>
      </c>
      <c r="M1250" s="22">
        <f>Table10[[#This Row],[Ship Date]]-Table10[[#This Row],[Order Date]]</f>
        <v>6</v>
      </c>
      <c r="N1250" t="s">
        <v>45</v>
      </c>
      <c r="O1250" t="s">
        <v>23</v>
      </c>
      <c r="P1250" t="s">
        <v>103</v>
      </c>
      <c r="Q1250" t="s">
        <v>95</v>
      </c>
      <c r="R1250" t="s">
        <v>8992</v>
      </c>
      <c r="S1250" s="33">
        <v>0</v>
      </c>
      <c r="T1250" s="13">
        <v>14.97</v>
      </c>
      <c r="U1250" s="13">
        <v>4.1916000000000002</v>
      </c>
      <c r="V1250" s="21">
        <f>Table10[[#This Row],[Profit]]/Table10[[#This Row],[Sales]]</f>
        <v>0.28000000000000003</v>
      </c>
    </row>
    <row r="1251" spans="1:22" x14ac:dyDescent="0.2">
      <c r="A1251">
        <v>1250</v>
      </c>
      <c r="B1251" t="s">
        <v>8991</v>
      </c>
      <c r="C1251" s="1">
        <v>42605</v>
      </c>
      <c r="D1251" s="22">
        <f>MONTH(Table10[[#This Row],[Order Date]])</f>
        <v>8</v>
      </c>
      <c r="E1251" t="s">
        <v>5304</v>
      </c>
      <c r="F1251" t="s">
        <v>5305</v>
      </c>
      <c r="G1251" s="23" t="s">
        <v>64</v>
      </c>
      <c r="H1251" s="23" t="s">
        <v>144</v>
      </c>
      <c r="I1251" t="s">
        <v>164</v>
      </c>
      <c r="J1251" t="s">
        <v>92</v>
      </c>
      <c r="K1251" s="22">
        <v>2</v>
      </c>
      <c r="L1251" s="1">
        <v>42611</v>
      </c>
      <c r="M1251" s="22">
        <f>Table10[[#This Row],[Ship Date]]-Table10[[#This Row],[Order Date]]</f>
        <v>6</v>
      </c>
      <c r="N1251" t="s">
        <v>45</v>
      </c>
      <c r="O1251" t="s">
        <v>23</v>
      </c>
      <c r="P1251" t="s">
        <v>103</v>
      </c>
      <c r="Q1251" t="s">
        <v>95</v>
      </c>
      <c r="R1251" t="s">
        <v>8992</v>
      </c>
      <c r="S1251" s="33">
        <v>0</v>
      </c>
      <c r="T1251" s="13">
        <v>1.98</v>
      </c>
      <c r="U1251" s="13">
        <v>0.89100000000000001</v>
      </c>
      <c r="V1251" s="21">
        <f>Table10[[#This Row],[Profit]]/Table10[[#This Row],[Sales]]</f>
        <v>0.45</v>
      </c>
    </row>
    <row r="1252" spans="1:22" x14ac:dyDescent="0.2">
      <c r="A1252">
        <v>1251</v>
      </c>
      <c r="B1252" t="s">
        <v>2616</v>
      </c>
      <c r="C1252" s="1">
        <v>42608</v>
      </c>
      <c r="D1252" s="22">
        <f>MONTH(Table10[[#This Row],[Order Date]])</f>
        <v>8</v>
      </c>
      <c r="E1252" t="s">
        <v>944</v>
      </c>
      <c r="F1252" t="s">
        <v>945</v>
      </c>
      <c r="G1252" s="23" t="s">
        <v>41</v>
      </c>
      <c r="H1252" s="23" t="s">
        <v>240</v>
      </c>
      <c r="I1252" t="s">
        <v>2098</v>
      </c>
      <c r="J1252" t="s">
        <v>22</v>
      </c>
      <c r="K1252" s="22">
        <v>3</v>
      </c>
      <c r="L1252" s="1">
        <v>42609</v>
      </c>
      <c r="M1252" s="22">
        <f>Table10[[#This Row],[Ship Date]]-Table10[[#This Row],[Order Date]]</f>
        <v>1</v>
      </c>
      <c r="N1252" t="s">
        <v>169</v>
      </c>
      <c r="O1252" t="s">
        <v>23</v>
      </c>
      <c r="P1252" t="s">
        <v>38</v>
      </c>
      <c r="Q1252" t="s">
        <v>39</v>
      </c>
      <c r="R1252" t="s">
        <v>557</v>
      </c>
      <c r="S1252" s="33">
        <v>0</v>
      </c>
      <c r="T1252" s="13">
        <v>10.23</v>
      </c>
      <c r="U1252" s="13">
        <v>4.9104000000000001</v>
      </c>
      <c r="V1252" s="21">
        <f>Table10[[#This Row],[Profit]]/Table10[[#This Row],[Sales]]</f>
        <v>0.48</v>
      </c>
    </row>
    <row r="1253" spans="1:22" x14ac:dyDescent="0.2">
      <c r="A1253">
        <v>1252</v>
      </c>
      <c r="B1253" t="s">
        <v>2616</v>
      </c>
      <c r="C1253" s="1">
        <v>42608</v>
      </c>
      <c r="D1253" s="22">
        <f>MONTH(Table10[[#This Row],[Order Date]])</f>
        <v>8</v>
      </c>
      <c r="E1253" t="s">
        <v>2617</v>
      </c>
      <c r="F1253" t="s">
        <v>2618</v>
      </c>
      <c r="G1253" s="23" t="s">
        <v>41</v>
      </c>
      <c r="H1253" s="23" t="s">
        <v>82</v>
      </c>
      <c r="I1253" t="s">
        <v>2098</v>
      </c>
      <c r="J1253" t="s">
        <v>22</v>
      </c>
      <c r="K1253" s="22">
        <v>5</v>
      </c>
      <c r="L1253" s="1">
        <v>42609</v>
      </c>
      <c r="M1253" s="22">
        <f>Table10[[#This Row],[Ship Date]]-Table10[[#This Row],[Order Date]]</f>
        <v>1</v>
      </c>
      <c r="N1253" t="s">
        <v>169</v>
      </c>
      <c r="O1253" t="s">
        <v>23</v>
      </c>
      <c r="P1253" t="s">
        <v>38</v>
      </c>
      <c r="Q1253" t="s">
        <v>39</v>
      </c>
      <c r="R1253" t="s">
        <v>557</v>
      </c>
      <c r="S1253" s="33">
        <v>0</v>
      </c>
      <c r="T1253" s="13">
        <v>154.9</v>
      </c>
      <c r="U1253" s="13">
        <v>69.704999999999998</v>
      </c>
      <c r="V1253" s="21">
        <f>Table10[[#This Row],[Profit]]/Table10[[#This Row],[Sales]]</f>
        <v>0.44999999999999996</v>
      </c>
    </row>
    <row r="1254" spans="1:22" x14ac:dyDescent="0.2">
      <c r="A1254">
        <v>1253</v>
      </c>
      <c r="B1254" t="s">
        <v>3473</v>
      </c>
      <c r="C1254" s="1">
        <v>42608</v>
      </c>
      <c r="D1254" s="22">
        <f>MONTH(Table10[[#This Row],[Order Date]])</f>
        <v>8</v>
      </c>
      <c r="E1254" t="s">
        <v>1412</v>
      </c>
      <c r="F1254" t="s">
        <v>1413</v>
      </c>
      <c r="G1254" s="23" t="s">
        <v>64</v>
      </c>
      <c r="H1254" s="23" t="s">
        <v>144</v>
      </c>
      <c r="I1254" t="s">
        <v>187</v>
      </c>
      <c r="J1254" t="s">
        <v>36</v>
      </c>
      <c r="K1254" s="22">
        <v>2</v>
      </c>
      <c r="L1254" s="1">
        <v>42610</v>
      </c>
      <c r="M1254" s="22">
        <f>Table10[[#This Row],[Ship Date]]-Table10[[#This Row],[Order Date]]</f>
        <v>2</v>
      </c>
      <c r="N1254" t="s">
        <v>169</v>
      </c>
      <c r="O1254" t="s">
        <v>23</v>
      </c>
      <c r="P1254" t="s">
        <v>94</v>
      </c>
      <c r="Q1254" t="s">
        <v>95</v>
      </c>
      <c r="R1254" t="s">
        <v>533</v>
      </c>
      <c r="S1254" s="33">
        <v>0.2</v>
      </c>
      <c r="T1254" s="13">
        <v>159.98400000000001</v>
      </c>
      <c r="U1254" s="13">
        <v>43.995600000000003</v>
      </c>
      <c r="V1254" s="21">
        <f>Table10[[#This Row],[Profit]]/Table10[[#This Row],[Sales]]</f>
        <v>0.27500000000000002</v>
      </c>
    </row>
    <row r="1255" spans="1:22" x14ac:dyDescent="0.2">
      <c r="A1255">
        <v>1254</v>
      </c>
      <c r="B1255" t="s">
        <v>3473</v>
      </c>
      <c r="C1255" s="1">
        <v>42608</v>
      </c>
      <c r="D1255" s="22">
        <f>MONTH(Table10[[#This Row],[Order Date]])</f>
        <v>8</v>
      </c>
      <c r="E1255" t="s">
        <v>2937</v>
      </c>
      <c r="F1255" t="s">
        <v>2938</v>
      </c>
      <c r="G1255" s="23" t="s">
        <v>28</v>
      </c>
      <c r="H1255" s="23" t="s">
        <v>32</v>
      </c>
      <c r="I1255" t="s">
        <v>187</v>
      </c>
      <c r="J1255" t="s">
        <v>36</v>
      </c>
      <c r="K1255" s="22">
        <v>6</v>
      </c>
      <c r="L1255" s="1">
        <v>42610</v>
      </c>
      <c r="M1255" s="22">
        <f>Table10[[#This Row],[Ship Date]]-Table10[[#This Row],[Order Date]]</f>
        <v>2</v>
      </c>
      <c r="N1255" t="s">
        <v>169</v>
      </c>
      <c r="O1255" t="s">
        <v>23</v>
      </c>
      <c r="P1255" t="s">
        <v>94</v>
      </c>
      <c r="Q1255" t="s">
        <v>95</v>
      </c>
      <c r="R1255" t="s">
        <v>533</v>
      </c>
      <c r="S1255" s="33">
        <v>0.3</v>
      </c>
      <c r="T1255" s="13">
        <v>1024.7159999999999</v>
      </c>
      <c r="U1255" s="13">
        <v>-29.2776</v>
      </c>
      <c r="V1255" s="21">
        <f>Table10[[#This Row],[Profit]]/Table10[[#This Row],[Sales]]</f>
        <v>-2.8571428571428574E-2</v>
      </c>
    </row>
    <row r="1256" spans="1:22" x14ac:dyDescent="0.2">
      <c r="A1256">
        <v>1255</v>
      </c>
      <c r="B1256" t="s">
        <v>4126</v>
      </c>
      <c r="C1256" s="1">
        <v>42608</v>
      </c>
      <c r="D1256" s="22">
        <f>MONTH(Table10[[#This Row],[Order Date]])</f>
        <v>8</v>
      </c>
      <c r="E1256" t="s">
        <v>2447</v>
      </c>
      <c r="F1256" t="s">
        <v>2448</v>
      </c>
      <c r="G1256" s="23" t="s">
        <v>41</v>
      </c>
      <c r="H1256" s="23" t="s">
        <v>82</v>
      </c>
      <c r="I1256" t="s">
        <v>1729</v>
      </c>
      <c r="J1256" t="s">
        <v>22</v>
      </c>
      <c r="K1256" s="22">
        <v>1</v>
      </c>
      <c r="L1256" s="1">
        <v>42611</v>
      </c>
      <c r="M1256" s="22">
        <f>Table10[[#This Row],[Ship Date]]-Table10[[#This Row],[Order Date]]</f>
        <v>3</v>
      </c>
      <c r="N1256" t="s">
        <v>20</v>
      </c>
      <c r="O1256" t="s">
        <v>23</v>
      </c>
      <c r="P1256" t="s">
        <v>87</v>
      </c>
      <c r="Q1256" t="s">
        <v>39</v>
      </c>
      <c r="R1256" t="s">
        <v>86</v>
      </c>
      <c r="S1256" s="33">
        <v>0</v>
      </c>
      <c r="T1256" s="13">
        <v>6.48</v>
      </c>
      <c r="U1256" s="13">
        <v>3.1103999999999998</v>
      </c>
      <c r="V1256" s="21">
        <f>Table10[[#This Row],[Profit]]/Table10[[#This Row],[Sales]]</f>
        <v>0.47999999999999993</v>
      </c>
    </row>
    <row r="1257" spans="1:22" x14ac:dyDescent="0.2">
      <c r="A1257">
        <v>1256</v>
      </c>
      <c r="B1257" t="s">
        <v>5382</v>
      </c>
      <c r="C1257" s="1">
        <v>42608</v>
      </c>
      <c r="D1257" s="22">
        <f>MONTH(Table10[[#This Row],[Order Date]])</f>
        <v>8</v>
      </c>
      <c r="E1257" t="s">
        <v>1528</v>
      </c>
      <c r="F1257" t="s">
        <v>1529</v>
      </c>
      <c r="G1257" s="23" t="s">
        <v>28</v>
      </c>
      <c r="H1257" s="23" t="s">
        <v>32</v>
      </c>
      <c r="I1257" t="s">
        <v>1046</v>
      </c>
      <c r="J1257" t="s">
        <v>36</v>
      </c>
      <c r="K1257" s="22">
        <v>4</v>
      </c>
      <c r="L1257" s="1">
        <v>42611</v>
      </c>
      <c r="M1257" s="22">
        <f>Table10[[#This Row],[Ship Date]]-Table10[[#This Row],[Order Date]]</f>
        <v>3</v>
      </c>
      <c r="N1257" t="s">
        <v>169</v>
      </c>
      <c r="O1257" t="s">
        <v>23</v>
      </c>
      <c r="P1257" t="s">
        <v>38</v>
      </c>
      <c r="Q1257" t="s">
        <v>39</v>
      </c>
      <c r="R1257" t="s">
        <v>836</v>
      </c>
      <c r="S1257" s="33">
        <v>0.2</v>
      </c>
      <c r="T1257" s="13">
        <v>1603.136</v>
      </c>
      <c r="U1257" s="13">
        <v>100.196</v>
      </c>
      <c r="V1257" s="21">
        <f>Table10[[#This Row],[Profit]]/Table10[[#This Row],[Sales]]</f>
        <v>6.25E-2</v>
      </c>
    </row>
    <row r="1258" spans="1:22" x14ac:dyDescent="0.2">
      <c r="A1258">
        <v>1257</v>
      </c>
      <c r="B1258" t="s">
        <v>6347</v>
      </c>
      <c r="C1258" s="1">
        <v>42608</v>
      </c>
      <c r="D1258" s="22">
        <f>MONTH(Table10[[#This Row],[Order Date]])</f>
        <v>8</v>
      </c>
      <c r="E1258" t="s">
        <v>6348</v>
      </c>
      <c r="F1258" t="s">
        <v>6349</v>
      </c>
      <c r="G1258" s="23" t="s">
        <v>41</v>
      </c>
      <c r="H1258" s="23" t="s">
        <v>61</v>
      </c>
      <c r="I1258" t="s">
        <v>3696</v>
      </c>
      <c r="J1258" t="s">
        <v>36</v>
      </c>
      <c r="K1258" s="22">
        <v>3</v>
      </c>
      <c r="L1258" s="1">
        <v>42615</v>
      </c>
      <c r="M1258" s="22">
        <f>Table10[[#This Row],[Ship Date]]-Table10[[#This Row],[Order Date]]</f>
        <v>7</v>
      </c>
      <c r="N1258" t="s">
        <v>45</v>
      </c>
      <c r="O1258" t="s">
        <v>23</v>
      </c>
      <c r="P1258" t="s">
        <v>132</v>
      </c>
      <c r="Q1258" t="s">
        <v>133</v>
      </c>
      <c r="R1258" t="s">
        <v>131</v>
      </c>
      <c r="S1258" s="33">
        <v>0.2</v>
      </c>
      <c r="T1258" s="13">
        <v>5.4720000000000004</v>
      </c>
      <c r="U1258" s="13">
        <v>1.6415999999999999</v>
      </c>
      <c r="V1258" s="21">
        <f>Table10[[#This Row],[Profit]]/Table10[[#This Row],[Sales]]</f>
        <v>0.3</v>
      </c>
    </row>
    <row r="1259" spans="1:22" x14ac:dyDescent="0.2">
      <c r="A1259">
        <v>1258</v>
      </c>
      <c r="B1259" t="s">
        <v>6347</v>
      </c>
      <c r="C1259" s="1">
        <v>42608</v>
      </c>
      <c r="D1259" s="22">
        <f>MONTH(Table10[[#This Row],[Order Date]])</f>
        <v>8</v>
      </c>
      <c r="E1259" t="s">
        <v>3525</v>
      </c>
      <c r="F1259" t="s">
        <v>3526</v>
      </c>
      <c r="G1259" s="23" t="s">
        <v>64</v>
      </c>
      <c r="H1259" s="23" t="s">
        <v>144</v>
      </c>
      <c r="I1259" t="s">
        <v>3696</v>
      </c>
      <c r="J1259" t="s">
        <v>36</v>
      </c>
      <c r="K1259" s="22">
        <v>2</v>
      </c>
      <c r="L1259" s="1">
        <v>42615</v>
      </c>
      <c r="M1259" s="22">
        <f>Table10[[#This Row],[Ship Date]]-Table10[[#This Row],[Order Date]]</f>
        <v>7</v>
      </c>
      <c r="N1259" t="s">
        <v>45</v>
      </c>
      <c r="O1259" t="s">
        <v>23</v>
      </c>
      <c r="P1259" t="s">
        <v>132</v>
      </c>
      <c r="Q1259" t="s">
        <v>133</v>
      </c>
      <c r="R1259" t="s">
        <v>131</v>
      </c>
      <c r="S1259" s="33">
        <v>0.2</v>
      </c>
      <c r="T1259" s="13">
        <v>47.984000000000002</v>
      </c>
      <c r="U1259" s="13">
        <v>13.195600000000001</v>
      </c>
      <c r="V1259" s="21">
        <f>Table10[[#This Row],[Profit]]/Table10[[#This Row],[Sales]]</f>
        <v>0.27500000000000002</v>
      </c>
    </row>
    <row r="1260" spans="1:22" x14ac:dyDescent="0.2">
      <c r="A1260">
        <v>1259</v>
      </c>
      <c r="B1260" t="s">
        <v>6882</v>
      </c>
      <c r="C1260" s="1">
        <v>42608</v>
      </c>
      <c r="D1260" s="22">
        <f>MONTH(Table10[[#This Row],[Order Date]])</f>
        <v>8</v>
      </c>
      <c r="E1260" t="s">
        <v>419</v>
      </c>
      <c r="F1260" t="s">
        <v>420</v>
      </c>
      <c r="G1260" s="23" t="s">
        <v>41</v>
      </c>
      <c r="H1260" s="23" t="s">
        <v>61</v>
      </c>
      <c r="I1260" t="s">
        <v>6883</v>
      </c>
      <c r="J1260" t="s">
        <v>36</v>
      </c>
      <c r="K1260" s="22">
        <v>2</v>
      </c>
      <c r="L1260" s="1">
        <v>42610</v>
      </c>
      <c r="M1260" s="22">
        <f>Table10[[#This Row],[Ship Date]]-Table10[[#This Row],[Order Date]]</f>
        <v>2</v>
      </c>
      <c r="N1260" t="s">
        <v>20</v>
      </c>
      <c r="O1260" t="s">
        <v>23</v>
      </c>
      <c r="P1260" t="s">
        <v>38</v>
      </c>
      <c r="Q1260" t="s">
        <v>39</v>
      </c>
      <c r="R1260" t="s">
        <v>37</v>
      </c>
      <c r="S1260" s="33">
        <v>0</v>
      </c>
      <c r="T1260" s="13">
        <v>8.26</v>
      </c>
      <c r="U1260" s="13">
        <v>3.7995999999999999</v>
      </c>
      <c r="V1260" s="21">
        <f>Table10[[#This Row],[Profit]]/Table10[[#This Row],[Sales]]</f>
        <v>0.46</v>
      </c>
    </row>
    <row r="1261" spans="1:22" x14ac:dyDescent="0.2">
      <c r="A1261">
        <v>1260</v>
      </c>
      <c r="B1261" t="s">
        <v>7493</v>
      </c>
      <c r="C1261" s="1">
        <v>42608</v>
      </c>
      <c r="D1261" s="22">
        <f>MONTH(Table10[[#This Row],[Order Date]])</f>
        <v>8</v>
      </c>
      <c r="E1261" t="s">
        <v>3068</v>
      </c>
      <c r="F1261" t="s">
        <v>3069</v>
      </c>
      <c r="G1261" s="23" t="s">
        <v>64</v>
      </c>
      <c r="H1261" s="23" t="s">
        <v>65</v>
      </c>
      <c r="I1261" t="s">
        <v>846</v>
      </c>
      <c r="J1261" t="s">
        <v>36</v>
      </c>
      <c r="K1261" s="22">
        <v>6</v>
      </c>
      <c r="L1261" s="1">
        <v>42613</v>
      </c>
      <c r="M1261" s="22">
        <f>Table10[[#This Row],[Ship Date]]-Table10[[#This Row],[Order Date]]</f>
        <v>5</v>
      </c>
      <c r="N1261" t="s">
        <v>45</v>
      </c>
      <c r="O1261" t="s">
        <v>23</v>
      </c>
      <c r="P1261" t="s">
        <v>238</v>
      </c>
      <c r="Q1261" t="s">
        <v>133</v>
      </c>
      <c r="R1261" t="s">
        <v>237</v>
      </c>
      <c r="S1261" s="33">
        <v>0</v>
      </c>
      <c r="T1261" s="13">
        <v>33</v>
      </c>
      <c r="U1261" s="13">
        <v>8.25</v>
      </c>
      <c r="V1261" s="21">
        <f>Table10[[#This Row],[Profit]]/Table10[[#This Row],[Sales]]</f>
        <v>0.25</v>
      </c>
    </row>
    <row r="1262" spans="1:22" x14ac:dyDescent="0.2">
      <c r="A1262">
        <v>1261</v>
      </c>
      <c r="B1262" t="s">
        <v>7493</v>
      </c>
      <c r="C1262" s="1">
        <v>42608</v>
      </c>
      <c r="D1262" s="22">
        <f>MONTH(Table10[[#This Row],[Order Date]])</f>
        <v>8</v>
      </c>
      <c r="E1262" t="s">
        <v>4387</v>
      </c>
      <c r="F1262" t="s">
        <v>4388</v>
      </c>
      <c r="G1262" s="23" t="s">
        <v>64</v>
      </c>
      <c r="H1262" s="23" t="s">
        <v>144</v>
      </c>
      <c r="I1262" t="s">
        <v>846</v>
      </c>
      <c r="J1262" t="s">
        <v>36</v>
      </c>
      <c r="K1262" s="22">
        <v>5</v>
      </c>
      <c r="L1262" s="1">
        <v>42613</v>
      </c>
      <c r="M1262" s="22">
        <f>Table10[[#This Row],[Ship Date]]-Table10[[#This Row],[Order Date]]</f>
        <v>5</v>
      </c>
      <c r="N1262" t="s">
        <v>45</v>
      </c>
      <c r="O1262" t="s">
        <v>23</v>
      </c>
      <c r="P1262" t="s">
        <v>238</v>
      </c>
      <c r="Q1262" t="s">
        <v>133</v>
      </c>
      <c r="R1262" t="s">
        <v>237</v>
      </c>
      <c r="S1262" s="33">
        <v>0</v>
      </c>
      <c r="T1262" s="13">
        <v>249.95</v>
      </c>
      <c r="U1262" s="13">
        <v>87.482500000000002</v>
      </c>
      <c r="V1262" s="21">
        <f>Table10[[#This Row],[Profit]]/Table10[[#This Row],[Sales]]</f>
        <v>0.35000000000000003</v>
      </c>
    </row>
    <row r="1263" spans="1:22" x14ac:dyDescent="0.2">
      <c r="A1263">
        <v>1262</v>
      </c>
      <c r="B1263" t="s">
        <v>8264</v>
      </c>
      <c r="C1263" s="1">
        <v>42608</v>
      </c>
      <c r="D1263" s="22">
        <f>MONTH(Table10[[#This Row],[Order Date]])</f>
        <v>8</v>
      </c>
      <c r="E1263" t="s">
        <v>3867</v>
      </c>
      <c r="F1263" t="s">
        <v>3868</v>
      </c>
      <c r="G1263" s="23" t="s">
        <v>64</v>
      </c>
      <c r="H1263" s="23" t="s">
        <v>144</v>
      </c>
      <c r="I1263" t="s">
        <v>8155</v>
      </c>
      <c r="J1263" t="s">
        <v>92</v>
      </c>
      <c r="K1263" s="22">
        <v>3</v>
      </c>
      <c r="L1263" s="1">
        <v>42612</v>
      </c>
      <c r="M1263" s="22">
        <f>Table10[[#This Row],[Ship Date]]-Table10[[#This Row],[Order Date]]</f>
        <v>4</v>
      </c>
      <c r="N1263" t="s">
        <v>45</v>
      </c>
      <c r="O1263" t="s">
        <v>23</v>
      </c>
      <c r="P1263" t="s">
        <v>103</v>
      </c>
      <c r="Q1263" t="s">
        <v>95</v>
      </c>
      <c r="R1263" t="s">
        <v>541</v>
      </c>
      <c r="S1263" s="33">
        <v>0</v>
      </c>
      <c r="T1263" s="13">
        <v>47.97</v>
      </c>
      <c r="U1263" s="13">
        <v>14.870699999999999</v>
      </c>
      <c r="V1263" s="21">
        <f>Table10[[#This Row],[Profit]]/Table10[[#This Row],[Sales]]</f>
        <v>0.31</v>
      </c>
    </row>
    <row r="1264" spans="1:22" x14ac:dyDescent="0.2">
      <c r="A1264">
        <v>1263</v>
      </c>
      <c r="B1264" t="s">
        <v>8831</v>
      </c>
      <c r="C1264" s="1">
        <v>42608</v>
      </c>
      <c r="D1264" s="22">
        <f>MONTH(Table10[[#This Row],[Order Date]])</f>
        <v>8</v>
      </c>
      <c r="E1264" t="s">
        <v>2829</v>
      </c>
      <c r="F1264" t="s">
        <v>2830</v>
      </c>
      <c r="G1264" s="23" t="s">
        <v>41</v>
      </c>
      <c r="H1264" s="23" t="s">
        <v>82</v>
      </c>
      <c r="I1264" t="s">
        <v>78</v>
      </c>
      <c r="J1264" t="s">
        <v>22</v>
      </c>
      <c r="K1264" s="22">
        <v>2</v>
      </c>
      <c r="L1264" s="1">
        <v>42615</v>
      </c>
      <c r="M1264" s="22">
        <f>Table10[[#This Row],[Ship Date]]-Table10[[#This Row],[Order Date]]</f>
        <v>7</v>
      </c>
      <c r="N1264" t="s">
        <v>45</v>
      </c>
      <c r="O1264" t="s">
        <v>23</v>
      </c>
      <c r="P1264" t="s">
        <v>212</v>
      </c>
      <c r="Q1264" t="s">
        <v>95</v>
      </c>
      <c r="R1264" t="s">
        <v>775</v>
      </c>
      <c r="S1264" s="33">
        <v>0</v>
      </c>
      <c r="T1264" s="13">
        <v>11.56</v>
      </c>
      <c r="U1264" s="13">
        <v>5.6643999999999997</v>
      </c>
      <c r="V1264" s="21">
        <f>Table10[[#This Row],[Profit]]/Table10[[#This Row],[Sales]]</f>
        <v>0.48999999999999994</v>
      </c>
    </row>
    <row r="1265" spans="1:22" x14ac:dyDescent="0.2">
      <c r="A1265">
        <v>1264</v>
      </c>
      <c r="B1265" t="s">
        <v>8831</v>
      </c>
      <c r="C1265" s="1">
        <v>42608</v>
      </c>
      <c r="D1265" s="22">
        <f>MONTH(Table10[[#This Row],[Order Date]])</f>
        <v>8</v>
      </c>
      <c r="E1265" t="s">
        <v>2057</v>
      </c>
      <c r="F1265" t="s">
        <v>2058</v>
      </c>
      <c r="G1265" s="23" t="s">
        <v>64</v>
      </c>
      <c r="H1265" s="23" t="s">
        <v>65</v>
      </c>
      <c r="I1265" t="s">
        <v>78</v>
      </c>
      <c r="J1265" t="s">
        <v>22</v>
      </c>
      <c r="K1265" s="22">
        <v>3</v>
      </c>
      <c r="L1265" s="1">
        <v>42615</v>
      </c>
      <c r="M1265" s="22">
        <f>Table10[[#This Row],[Ship Date]]-Table10[[#This Row],[Order Date]]</f>
        <v>7</v>
      </c>
      <c r="N1265" t="s">
        <v>45</v>
      </c>
      <c r="O1265" t="s">
        <v>23</v>
      </c>
      <c r="P1265" t="s">
        <v>212</v>
      </c>
      <c r="Q1265" t="s">
        <v>95</v>
      </c>
      <c r="R1265" t="s">
        <v>775</v>
      </c>
      <c r="S1265" s="33">
        <v>0</v>
      </c>
      <c r="T1265" s="13">
        <v>209.97</v>
      </c>
      <c r="U1265" s="13">
        <v>58.791600000000003</v>
      </c>
      <c r="V1265" s="21">
        <f>Table10[[#This Row],[Profit]]/Table10[[#This Row],[Sales]]</f>
        <v>0.28000000000000003</v>
      </c>
    </row>
    <row r="1266" spans="1:22" x14ac:dyDescent="0.2">
      <c r="A1266">
        <v>1265</v>
      </c>
      <c r="B1266" t="s">
        <v>8831</v>
      </c>
      <c r="C1266" s="1">
        <v>42608</v>
      </c>
      <c r="D1266" s="22">
        <f>MONTH(Table10[[#This Row],[Order Date]])</f>
        <v>8</v>
      </c>
      <c r="E1266" t="s">
        <v>2838</v>
      </c>
      <c r="F1266" t="s">
        <v>2839</v>
      </c>
      <c r="G1266" s="23" t="s">
        <v>28</v>
      </c>
      <c r="H1266" s="23" t="s">
        <v>50</v>
      </c>
      <c r="I1266" t="s">
        <v>78</v>
      </c>
      <c r="J1266" t="s">
        <v>22</v>
      </c>
      <c r="K1266" s="22">
        <v>4</v>
      </c>
      <c r="L1266" s="1">
        <v>42615</v>
      </c>
      <c r="M1266" s="22">
        <f>Table10[[#This Row],[Ship Date]]-Table10[[#This Row],[Order Date]]</f>
        <v>7</v>
      </c>
      <c r="N1266" t="s">
        <v>45</v>
      </c>
      <c r="O1266" t="s">
        <v>23</v>
      </c>
      <c r="P1266" t="s">
        <v>212</v>
      </c>
      <c r="Q1266" t="s">
        <v>95</v>
      </c>
      <c r="R1266" t="s">
        <v>775</v>
      </c>
      <c r="S1266" s="33">
        <v>0</v>
      </c>
      <c r="T1266" s="13">
        <v>447.84</v>
      </c>
      <c r="U1266" s="13">
        <v>98.524799999999999</v>
      </c>
      <c r="V1266" s="21">
        <f>Table10[[#This Row],[Profit]]/Table10[[#This Row],[Sales]]</f>
        <v>0.22</v>
      </c>
    </row>
    <row r="1267" spans="1:22" x14ac:dyDescent="0.2">
      <c r="A1267">
        <v>1266</v>
      </c>
      <c r="B1267" t="s">
        <v>8831</v>
      </c>
      <c r="C1267" s="1">
        <v>42608</v>
      </c>
      <c r="D1267" s="22">
        <f>MONTH(Table10[[#This Row],[Order Date]])</f>
        <v>8</v>
      </c>
      <c r="E1267" t="s">
        <v>1160</v>
      </c>
      <c r="F1267" t="s">
        <v>1161</v>
      </c>
      <c r="G1267" s="23" t="s">
        <v>64</v>
      </c>
      <c r="H1267" s="23" t="s">
        <v>144</v>
      </c>
      <c r="I1267" t="s">
        <v>78</v>
      </c>
      <c r="J1267" t="s">
        <v>22</v>
      </c>
      <c r="K1267" s="22">
        <v>3</v>
      </c>
      <c r="L1267" s="1">
        <v>42615</v>
      </c>
      <c r="M1267" s="22">
        <f>Table10[[#This Row],[Ship Date]]-Table10[[#This Row],[Order Date]]</f>
        <v>7</v>
      </c>
      <c r="N1267" t="s">
        <v>45</v>
      </c>
      <c r="O1267" t="s">
        <v>23</v>
      </c>
      <c r="P1267" t="s">
        <v>212</v>
      </c>
      <c r="Q1267" t="s">
        <v>95</v>
      </c>
      <c r="R1267" t="s">
        <v>775</v>
      </c>
      <c r="S1267" s="33">
        <v>0</v>
      </c>
      <c r="T1267" s="13">
        <v>479.97</v>
      </c>
      <c r="U1267" s="13">
        <v>163.18979999999999</v>
      </c>
      <c r="V1267" s="21">
        <f>Table10[[#This Row],[Profit]]/Table10[[#This Row],[Sales]]</f>
        <v>0.33999999999999997</v>
      </c>
    </row>
    <row r="1268" spans="1:22" x14ac:dyDescent="0.2">
      <c r="A1268">
        <v>1267</v>
      </c>
      <c r="B1268" t="s">
        <v>8831</v>
      </c>
      <c r="C1268" s="1">
        <v>42608</v>
      </c>
      <c r="D1268" s="22">
        <f>MONTH(Table10[[#This Row],[Order Date]])</f>
        <v>8</v>
      </c>
      <c r="E1268" t="s">
        <v>2297</v>
      </c>
      <c r="F1268" t="s">
        <v>2298</v>
      </c>
      <c r="G1268" s="23" t="s">
        <v>41</v>
      </c>
      <c r="H1268" s="23" t="s">
        <v>61</v>
      </c>
      <c r="I1268" t="s">
        <v>78</v>
      </c>
      <c r="J1268" t="s">
        <v>22</v>
      </c>
      <c r="K1268" s="22">
        <v>3</v>
      </c>
      <c r="L1268" s="1">
        <v>42615</v>
      </c>
      <c r="M1268" s="22">
        <f>Table10[[#This Row],[Ship Date]]-Table10[[#This Row],[Order Date]]</f>
        <v>7</v>
      </c>
      <c r="N1268" t="s">
        <v>45</v>
      </c>
      <c r="O1268" t="s">
        <v>23</v>
      </c>
      <c r="P1268" t="s">
        <v>212</v>
      </c>
      <c r="Q1268" t="s">
        <v>95</v>
      </c>
      <c r="R1268" t="s">
        <v>775</v>
      </c>
      <c r="S1268" s="33">
        <v>0</v>
      </c>
      <c r="T1268" s="13">
        <v>8.64</v>
      </c>
      <c r="U1268" s="13">
        <v>2.5055999999999998</v>
      </c>
      <c r="V1268" s="21">
        <f>Table10[[#This Row],[Profit]]/Table10[[#This Row],[Sales]]</f>
        <v>0.28999999999999998</v>
      </c>
    </row>
    <row r="1269" spans="1:22" x14ac:dyDescent="0.2">
      <c r="A1269">
        <v>1268</v>
      </c>
      <c r="B1269" t="s">
        <v>9194</v>
      </c>
      <c r="C1269" s="1">
        <v>42608</v>
      </c>
      <c r="D1269" s="22">
        <f>MONTH(Table10[[#This Row],[Order Date]])</f>
        <v>8</v>
      </c>
      <c r="E1269" t="s">
        <v>4676</v>
      </c>
      <c r="F1269" t="s">
        <v>4677</v>
      </c>
      <c r="G1269" s="23" t="s">
        <v>28</v>
      </c>
      <c r="H1269" s="23" t="s">
        <v>58</v>
      </c>
      <c r="I1269" t="s">
        <v>1467</v>
      </c>
      <c r="J1269" t="s">
        <v>22</v>
      </c>
      <c r="K1269" s="22">
        <v>3</v>
      </c>
      <c r="L1269" s="1">
        <v>42612</v>
      </c>
      <c r="M1269" s="22">
        <f>Table10[[#This Row],[Ship Date]]-Table10[[#This Row],[Order Date]]</f>
        <v>4</v>
      </c>
      <c r="N1269" t="s">
        <v>45</v>
      </c>
      <c r="O1269" t="s">
        <v>23</v>
      </c>
      <c r="P1269" t="s">
        <v>1125</v>
      </c>
      <c r="Q1269" t="s">
        <v>26</v>
      </c>
      <c r="R1269" t="s">
        <v>6978</v>
      </c>
      <c r="S1269" s="33">
        <v>0</v>
      </c>
      <c r="T1269" s="13">
        <v>186.54</v>
      </c>
      <c r="U1269" s="13">
        <v>41.038800000000002</v>
      </c>
      <c r="V1269" s="21">
        <f>Table10[[#This Row],[Profit]]/Table10[[#This Row],[Sales]]</f>
        <v>0.22000000000000003</v>
      </c>
    </row>
    <row r="1270" spans="1:22" x14ac:dyDescent="0.2">
      <c r="A1270">
        <v>1269</v>
      </c>
      <c r="B1270" t="s">
        <v>9759</v>
      </c>
      <c r="C1270" s="1">
        <v>42608</v>
      </c>
      <c r="D1270" s="22">
        <f>MONTH(Table10[[#This Row],[Order Date]])</f>
        <v>8</v>
      </c>
      <c r="E1270" t="s">
        <v>2441</v>
      </c>
      <c r="F1270" t="s">
        <v>2442</v>
      </c>
      <c r="G1270" s="23" t="s">
        <v>41</v>
      </c>
      <c r="H1270" s="23" t="s">
        <v>68</v>
      </c>
      <c r="I1270" t="s">
        <v>5008</v>
      </c>
      <c r="J1270" t="s">
        <v>36</v>
      </c>
      <c r="K1270" s="22">
        <v>8</v>
      </c>
      <c r="L1270" s="1">
        <v>42613</v>
      </c>
      <c r="M1270" s="22">
        <f>Table10[[#This Row],[Ship Date]]-Table10[[#This Row],[Order Date]]</f>
        <v>5</v>
      </c>
      <c r="N1270" t="s">
        <v>45</v>
      </c>
      <c r="O1270" t="s">
        <v>23</v>
      </c>
      <c r="P1270" t="s">
        <v>238</v>
      </c>
      <c r="Q1270" t="s">
        <v>133</v>
      </c>
      <c r="R1270" t="s">
        <v>237</v>
      </c>
      <c r="S1270" s="33">
        <v>0.2</v>
      </c>
      <c r="T1270" s="13">
        <v>146.68799999999999</v>
      </c>
      <c r="U1270" s="13">
        <v>45.84</v>
      </c>
      <c r="V1270" s="21">
        <f>Table10[[#This Row],[Profit]]/Table10[[#This Row],[Sales]]</f>
        <v>0.31250000000000006</v>
      </c>
    </row>
    <row r="1271" spans="1:22" x14ac:dyDescent="0.2">
      <c r="A1271">
        <v>1270</v>
      </c>
      <c r="B1271" t="s">
        <v>9927</v>
      </c>
      <c r="C1271" s="1">
        <v>42608</v>
      </c>
      <c r="D1271" s="22">
        <f>MONTH(Table10[[#This Row],[Order Date]])</f>
        <v>8</v>
      </c>
      <c r="E1271" t="s">
        <v>5204</v>
      </c>
      <c r="F1271" t="s">
        <v>5205</v>
      </c>
      <c r="G1271" s="23" t="s">
        <v>41</v>
      </c>
      <c r="H1271" s="23" t="s">
        <v>82</v>
      </c>
      <c r="I1271" t="s">
        <v>3390</v>
      </c>
      <c r="J1271" t="s">
        <v>36</v>
      </c>
      <c r="K1271" s="22">
        <v>1</v>
      </c>
      <c r="L1271" s="1">
        <v>42610</v>
      </c>
      <c r="M1271" s="22">
        <f>Table10[[#This Row],[Ship Date]]-Table10[[#This Row],[Order Date]]</f>
        <v>2</v>
      </c>
      <c r="N1271" t="s">
        <v>169</v>
      </c>
      <c r="O1271" t="s">
        <v>23</v>
      </c>
      <c r="P1271" t="s">
        <v>48</v>
      </c>
      <c r="Q1271" t="s">
        <v>26</v>
      </c>
      <c r="R1271" t="s">
        <v>1253</v>
      </c>
      <c r="S1271" s="33">
        <v>0.2</v>
      </c>
      <c r="T1271" s="13">
        <v>31.007999999999999</v>
      </c>
      <c r="U1271" s="13">
        <v>11.240399999999999</v>
      </c>
      <c r="V1271" s="21">
        <f>Table10[[#This Row],[Profit]]/Table10[[#This Row],[Sales]]</f>
        <v>0.36249999999999999</v>
      </c>
    </row>
    <row r="1272" spans="1:22" x14ac:dyDescent="0.2">
      <c r="A1272">
        <v>1271</v>
      </c>
      <c r="B1272" t="s">
        <v>2085</v>
      </c>
      <c r="C1272" s="1">
        <v>42609</v>
      </c>
      <c r="D1272" s="22">
        <f>MONTH(Table10[[#This Row],[Order Date]])</f>
        <v>8</v>
      </c>
      <c r="E1272" t="s">
        <v>1730</v>
      </c>
      <c r="F1272" t="s">
        <v>1731</v>
      </c>
      <c r="G1272" s="23" t="s">
        <v>41</v>
      </c>
      <c r="H1272" s="23" t="s">
        <v>513</v>
      </c>
      <c r="I1272" t="s">
        <v>2086</v>
      </c>
      <c r="J1272" t="s">
        <v>22</v>
      </c>
      <c r="K1272" s="22">
        <v>5</v>
      </c>
      <c r="L1272" s="1">
        <v>42614</v>
      </c>
      <c r="M1272" s="22">
        <f>Table10[[#This Row],[Ship Date]]-Table10[[#This Row],[Order Date]]</f>
        <v>5</v>
      </c>
      <c r="N1272" t="s">
        <v>45</v>
      </c>
      <c r="O1272" t="s">
        <v>23</v>
      </c>
      <c r="P1272" t="s">
        <v>94</v>
      </c>
      <c r="Q1272" t="s">
        <v>95</v>
      </c>
      <c r="R1272" t="s">
        <v>718</v>
      </c>
      <c r="S1272" s="33">
        <v>0.2</v>
      </c>
      <c r="T1272" s="13">
        <v>51.52</v>
      </c>
      <c r="U1272" s="13">
        <v>-10.948</v>
      </c>
      <c r="V1272" s="21">
        <f>Table10[[#This Row],[Profit]]/Table10[[#This Row],[Sales]]</f>
        <v>-0.21249999999999999</v>
      </c>
    </row>
    <row r="1273" spans="1:22" x14ac:dyDescent="0.2">
      <c r="A1273">
        <v>1272</v>
      </c>
      <c r="B1273" t="s">
        <v>2085</v>
      </c>
      <c r="C1273" s="1">
        <v>42609</v>
      </c>
      <c r="D1273" s="22">
        <f>MONTH(Table10[[#This Row],[Order Date]])</f>
        <v>8</v>
      </c>
      <c r="E1273" t="s">
        <v>906</v>
      </c>
      <c r="F1273" t="s">
        <v>907</v>
      </c>
      <c r="G1273" s="23" t="s">
        <v>41</v>
      </c>
      <c r="H1273" s="23" t="s">
        <v>82</v>
      </c>
      <c r="I1273" t="s">
        <v>2086</v>
      </c>
      <c r="J1273" t="s">
        <v>22</v>
      </c>
      <c r="K1273" s="22">
        <v>1</v>
      </c>
      <c r="L1273" s="1">
        <v>42614</v>
      </c>
      <c r="M1273" s="22">
        <f>Table10[[#This Row],[Ship Date]]-Table10[[#This Row],[Order Date]]</f>
        <v>5</v>
      </c>
      <c r="N1273" t="s">
        <v>45</v>
      </c>
      <c r="O1273" t="s">
        <v>23</v>
      </c>
      <c r="P1273" t="s">
        <v>94</v>
      </c>
      <c r="Q1273" t="s">
        <v>95</v>
      </c>
      <c r="R1273" t="s">
        <v>718</v>
      </c>
      <c r="S1273" s="33">
        <v>0.2</v>
      </c>
      <c r="T1273" s="13">
        <v>3.528</v>
      </c>
      <c r="U1273" s="13">
        <v>1.1466000000000001</v>
      </c>
      <c r="V1273" s="21">
        <f>Table10[[#This Row],[Profit]]/Table10[[#This Row],[Sales]]</f>
        <v>0.32500000000000001</v>
      </c>
    </row>
    <row r="1274" spans="1:22" x14ac:dyDescent="0.2">
      <c r="A1274">
        <v>1273</v>
      </c>
      <c r="B1274" t="s">
        <v>2085</v>
      </c>
      <c r="C1274" s="1">
        <v>42609</v>
      </c>
      <c r="D1274" s="22">
        <f>MONTH(Table10[[#This Row],[Order Date]])</f>
        <v>8</v>
      </c>
      <c r="E1274" t="s">
        <v>2087</v>
      </c>
      <c r="F1274" t="s">
        <v>2088</v>
      </c>
      <c r="G1274" s="23" t="s">
        <v>41</v>
      </c>
      <c r="H1274" s="23" t="s">
        <v>82</v>
      </c>
      <c r="I1274" t="s">
        <v>2086</v>
      </c>
      <c r="J1274" t="s">
        <v>22</v>
      </c>
      <c r="K1274" s="22">
        <v>1</v>
      </c>
      <c r="L1274" s="1">
        <v>42614</v>
      </c>
      <c r="M1274" s="22">
        <f>Table10[[#This Row],[Ship Date]]-Table10[[#This Row],[Order Date]]</f>
        <v>5</v>
      </c>
      <c r="N1274" t="s">
        <v>45</v>
      </c>
      <c r="O1274" t="s">
        <v>23</v>
      </c>
      <c r="P1274" t="s">
        <v>94</v>
      </c>
      <c r="Q1274" t="s">
        <v>95</v>
      </c>
      <c r="R1274" t="s">
        <v>718</v>
      </c>
      <c r="S1274" s="33">
        <v>0.2</v>
      </c>
      <c r="T1274" s="13">
        <v>4.6239999999999997</v>
      </c>
      <c r="U1274" s="13">
        <v>1.6761999999999999</v>
      </c>
      <c r="V1274" s="21">
        <f>Table10[[#This Row],[Profit]]/Table10[[#This Row],[Sales]]</f>
        <v>0.36249999999999999</v>
      </c>
    </row>
    <row r="1275" spans="1:22" x14ac:dyDescent="0.2">
      <c r="A1275">
        <v>1274</v>
      </c>
      <c r="B1275" t="s">
        <v>2085</v>
      </c>
      <c r="C1275" s="1">
        <v>42609</v>
      </c>
      <c r="D1275" s="22">
        <f>MONTH(Table10[[#This Row],[Order Date]])</f>
        <v>8</v>
      </c>
      <c r="E1275" t="s">
        <v>2089</v>
      </c>
      <c r="F1275" t="s">
        <v>2090</v>
      </c>
      <c r="G1275" s="23" t="s">
        <v>41</v>
      </c>
      <c r="H1275" s="23" t="s">
        <v>513</v>
      </c>
      <c r="I1275" t="s">
        <v>2086</v>
      </c>
      <c r="J1275" t="s">
        <v>22</v>
      </c>
      <c r="K1275" s="22">
        <v>4</v>
      </c>
      <c r="L1275" s="1">
        <v>42614</v>
      </c>
      <c r="M1275" s="22">
        <f>Table10[[#This Row],[Ship Date]]-Table10[[#This Row],[Order Date]]</f>
        <v>5</v>
      </c>
      <c r="N1275" t="s">
        <v>45</v>
      </c>
      <c r="O1275" t="s">
        <v>23</v>
      </c>
      <c r="P1275" t="s">
        <v>94</v>
      </c>
      <c r="Q1275" t="s">
        <v>95</v>
      </c>
      <c r="R1275" t="s">
        <v>718</v>
      </c>
      <c r="S1275" s="33">
        <v>0.2</v>
      </c>
      <c r="T1275" s="13">
        <v>55.167999999999999</v>
      </c>
      <c r="U1275" s="13">
        <v>6.2064000000000004</v>
      </c>
      <c r="V1275" s="21">
        <f>Table10[[#This Row],[Profit]]/Table10[[#This Row],[Sales]]</f>
        <v>0.1125</v>
      </c>
    </row>
    <row r="1276" spans="1:22" x14ac:dyDescent="0.2">
      <c r="A1276">
        <v>1275</v>
      </c>
      <c r="B1276" t="s">
        <v>5855</v>
      </c>
      <c r="C1276" s="1">
        <v>42609</v>
      </c>
      <c r="D1276" s="22">
        <f>MONTH(Table10[[#This Row],[Order Date]])</f>
        <v>8</v>
      </c>
      <c r="E1276" t="s">
        <v>3975</v>
      </c>
      <c r="F1276" t="s">
        <v>3976</v>
      </c>
      <c r="G1276" s="23" t="s">
        <v>41</v>
      </c>
      <c r="H1276" s="23" t="s">
        <v>82</v>
      </c>
      <c r="I1276" t="s">
        <v>245</v>
      </c>
      <c r="J1276" t="s">
        <v>22</v>
      </c>
      <c r="K1276" s="22">
        <v>3</v>
      </c>
      <c r="L1276" s="1">
        <v>42614</v>
      </c>
      <c r="M1276" s="22">
        <f>Table10[[#This Row],[Ship Date]]-Table10[[#This Row],[Order Date]]</f>
        <v>5</v>
      </c>
      <c r="N1276" t="s">
        <v>20</v>
      </c>
      <c r="O1276" t="s">
        <v>23</v>
      </c>
      <c r="P1276" t="s">
        <v>1101</v>
      </c>
      <c r="Q1276" t="s">
        <v>133</v>
      </c>
      <c r="R1276" t="s">
        <v>1168</v>
      </c>
      <c r="S1276" s="33">
        <v>0</v>
      </c>
      <c r="T1276" s="13">
        <v>122.97</v>
      </c>
      <c r="U1276" s="13">
        <v>60.255299999999998</v>
      </c>
      <c r="V1276" s="21">
        <f>Table10[[#This Row],[Profit]]/Table10[[#This Row],[Sales]]</f>
        <v>0.49</v>
      </c>
    </row>
    <row r="1277" spans="1:22" x14ac:dyDescent="0.2">
      <c r="A1277">
        <v>1276</v>
      </c>
      <c r="B1277" t="s">
        <v>5855</v>
      </c>
      <c r="C1277" s="1">
        <v>42609</v>
      </c>
      <c r="D1277" s="22">
        <f>MONTH(Table10[[#This Row],[Order Date]])</f>
        <v>8</v>
      </c>
      <c r="E1277" t="s">
        <v>3910</v>
      </c>
      <c r="F1277" t="s">
        <v>3911</v>
      </c>
      <c r="G1277" s="23" t="s">
        <v>28</v>
      </c>
      <c r="H1277" s="23" t="s">
        <v>50</v>
      </c>
      <c r="I1277" t="s">
        <v>245</v>
      </c>
      <c r="J1277" t="s">
        <v>22</v>
      </c>
      <c r="K1277" s="22">
        <v>1</v>
      </c>
      <c r="L1277" s="1">
        <v>42614</v>
      </c>
      <c r="M1277" s="22">
        <f>Table10[[#This Row],[Ship Date]]-Table10[[#This Row],[Order Date]]</f>
        <v>5</v>
      </c>
      <c r="N1277" t="s">
        <v>20</v>
      </c>
      <c r="O1277" t="s">
        <v>23</v>
      </c>
      <c r="P1277" t="s">
        <v>1101</v>
      </c>
      <c r="Q1277" t="s">
        <v>133</v>
      </c>
      <c r="R1277" t="s">
        <v>1168</v>
      </c>
      <c r="S1277" s="33">
        <v>0.3</v>
      </c>
      <c r="T1277" s="13">
        <v>244.61500000000001</v>
      </c>
      <c r="U1277" s="13">
        <v>20.966999999999999</v>
      </c>
      <c r="V1277" s="21">
        <f>Table10[[#This Row],[Profit]]/Table10[[#This Row],[Sales]]</f>
        <v>8.5714285714285701E-2</v>
      </c>
    </row>
    <row r="1278" spans="1:22" x14ac:dyDescent="0.2">
      <c r="A1278">
        <v>1277</v>
      </c>
      <c r="B1278" t="s">
        <v>5855</v>
      </c>
      <c r="C1278" s="1">
        <v>42609</v>
      </c>
      <c r="D1278" s="22">
        <f>MONTH(Table10[[#This Row],[Order Date]])</f>
        <v>8</v>
      </c>
      <c r="E1278" t="s">
        <v>815</v>
      </c>
      <c r="F1278" t="s">
        <v>816</v>
      </c>
      <c r="G1278" s="23" t="s">
        <v>64</v>
      </c>
      <c r="H1278" s="23" t="s">
        <v>65</v>
      </c>
      <c r="I1278" t="s">
        <v>245</v>
      </c>
      <c r="J1278" t="s">
        <v>22</v>
      </c>
      <c r="K1278" s="22">
        <v>3</v>
      </c>
      <c r="L1278" s="1">
        <v>42614</v>
      </c>
      <c r="M1278" s="22">
        <f>Table10[[#This Row],[Ship Date]]-Table10[[#This Row],[Order Date]]</f>
        <v>5</v>
      </c>
      <c r="N1278" t="s">
        <v>20</v>
      </c>
      <c r="O1278" t="s">
        <v>23</v>
      </c>
      <c r="P1278" t="s">
        <v>1101</v>
      </c>
      <c r="Q1278" t="s">
        <v>133</v>
      </c>
      <c r="R1278" t="s">
        <v>1168</v>
      </c>
      <c r="S1278" s="33">
        <v>0</v>
      </c>
      <c r="T1278" s="13">
        <v>59.97</v>
      </c>
      <c r="U1278" s="13">
        <v>28.785599999999999</v>
      </c>
      <c r="V1278" s="21">
        <f>Table10[[#This Row],[Profit]]/Table10[[#This Row],[Sales]]</f>
        <v>0.48</v>
      </c>
    </row>
    <row r="1279" spans="1:22" x14ac:dyDescent="0.2">
      <c r="A1279">
        <v>1278</v>
      </c>
      <c r="B1279" t="s">
        <v>5855</v>
      </c>
      <c r="C1279" s="1">
        <v>42609</v>
      </c>
      <c r="D1279" s="22">
        <f>MONTH(Table10[[#This Row],[Order Date]])</f>
        <v>8</v>
      </c>
      <c r="E1279" t="s">
        <v>707</v>
      </c>
      <c r="F1279" t="s">
        <v>708</v>
      </c>
      <c r="G1279" s="23" t="s">
        <v>41</v>
      </c>
      <c r="H1279" s="23" t="s">
        <v>82</v>
      </c>
      <c r="I1279" t="s">
        <v>245</v>
      </c>
      <c r="J1279" t="s">
        <v>22</v>
      </c>
      <c r="K1279" s="22">
        <v>9</v>
      </c>
      <c r="L1279" s="1">
        <v>42614</v>
      </c>
      <c r="M1279" s="22">
        <f>Table10[[#This Row],[Ship Date]]-Table10[[#This Row],[Order Date]]</f>
        <v>5</v>
      </c>
      <c r="N1279" t="s">
        <v>20</v>
      </c>
      <c r="O1279" t="s">
        <v>23</v>
      </c>
      <c r="P1279" t="s">
        <v>1101</v>
      </c>
      <c r="Q1279" t="s">
        <v>133</v>
      </c>
      <c r="R1279" t="s">
        <v>1168</v>
      </c>
      <c r="S1279" s="33">
        <v>0</v>
      </c>
      <c r="T1279" s="13">
        <v>81.540000000000006</v>
      </c>
      <c r="U1279" s="13">
        <v>36.692999999999998</v>
      </c>
      <c r="V1279" s="21">
        <f>Table10[[#This Row],[Profit]]/Table10[[#This Row],[Sales]]</f>
        <v>0.44999999999999996</v>
      </c>
    </row>
    <row r="1280" spans="1:22" x14ac:dyDescent="0.2">
      <c r="A1280">
        <v>1279</v>
      </c>
      <c r="B1280" t="s">
        <v>5855</v>
      </c>
      <c r="C1280" s="1">
        <v>42609</v>
      </c>
      <c r="D1280" s="22">
        <f>MONTH(Table10[[#This Row],[Order Date]])</f>
        <v>8</v>
      </c>
      <c r="E1280" t="s">
        <v>2915</v>
      </c>
      <c r="F1280" t="s">
        <v>498</v>
      </c>
      <c r="G1280" s="23" t="s">
        <v>41</v>
      </c>
      <c r="H1280" s="23" t="s">
        <v>240</v>
      </c>
      <c r="I1280" t="s">
        <v>245</v>
      </c>
      <c r="J1280" t="s">
        <v>22</v>
      </c>
      <c r="K1280" s="22">
        <v>4</v>
      </c>
      <c r="L1280" s="1">
        <v>42614</v>
      </c>
      <c r="M1280" s="22">
        <f>Table10[[#This Row],[Ship Date]]-Table10[[#This Row],[Order Date]]</f>
        <v>5</v>
      </c>
      <c r="N1280" t="s">
        <v>20</v>
      </c>
      <c r="O1280" t="s">
        <v>23</v>
      </c>
      <c r="P1280" t="s">
        <v>1101</v>
      </c>
      <c r="Q1280" t="s">
        <v>133</v>
      </c>
      <c r="R1280" t="s">
        <v>1168</v>
      </c>
      <c r="S1280" s="33">
        <v>0</v>
      </c>
      <c r="T1280" s="13">
        <v>11.68</v>
      </c>
      <c r="U1280" s="13">
        <v>5.2560000000000002</v>
      </c>
      <c r="V1280" s="21">
        <f>Table10[[#This Row],[Profit]]/Table10[[#This Row],[Sales]]</f>
        <v>0.45</v>
      </c>
    </row>
    <row r="1281" spans="1:22" x14ac:dyDescent="0.2">
      <c r="A1281">
        <v>1280</v>
      </c>
      <c r="B1281" t="s">
        <v>5855</v>
      </c>
      <c r="C1281" s="1">
        <v>42609</v>
      </c>
      <c r="D1281" s="22">
        <f>MONTH(Table10[[#This Row],[Order Date]])</f>
        <v>8</v>
      </c>
      <c r="E1281" t="s">
        <v>5472</v>
      </c>
      <c r="F1281" t="s">
        <v>5473</v>
      </c>
      <c r="G1281" s="23" t="s">
        <v>41</v>
      </c>
      <c r="H1281" s="23" t="s">
        <v>68</v>
      </c>
      <c r="I1281" t="s">
        <v>245</v>
      </c>
      <c r="J1281" t="s">
        <v>22</v>
      </c>
      <c r="K1281" s="22">
        <v>5</v>
      </c>
      <c r="L1281" s="1">
        <v>42614</v>
      </c>
      <c r="M1281" s="22">
        <f>Table10[[#This Row],[Ship Date]]-Table10[[#This Row],[Order Date]]</f>
        <v>5</v>
      </c>
      <c r="N1281" t="s">
        <v>20</v>
      </c>
      <c r="O1281" t="s">
        <v>23</v>
      </c>
      <c r="P1281" t="s">
        <v>1101</v>
      </c>
      <c r="Q1281" t="s">
        <v>133</v>
      </c>
      <c r="R1281" t="s">
        <v>1168</v>
      </c>
      <c r="S1281" s="33">
        <v>0</v>
      </c>
      <c r="T1281" s="13">
        <v>29</v>
      </c>
      <c r="U1281" s="13">
        <v>13.92</v>
      </c>
      <c r="V1281" s="21">
        <f>Table10[[#This Row],[Profit]]/Table10[[#This Row],[Sales]]</f>
        <v>0.48</v>
      </c>
    </row>
    <row r="1282" spans="1:22" x14ac:dyDescent="0.2">
      <c r="A1282">
        <v>1281</v>
      </c>
      <c r="B1282" t="s">
        <v>7598</v>
      </c>
      <c r="C1282" s="1">
        <v>42609</v>
      </c>
      <c r="D1282" s="22">
        <f>MONTH(Table10[[#This Row],[Order Date]])</f>
        <v>8</v>
      </c>
      <c r="E1282" t="s">
        <v>7599</v>
      </c>
      <c r="F1282" t="s">
        <v>7600</v>
      </c>
      <c r="G1282" s="23" t="s">
        <v>41</v>
      </c>
      <c r="H1282" s="23" t="s">
        <v>53</v>
      </c>
      <c r="I1282" t="s">
        <v>3166</v>
      </c>
      <c r="J1282" t="s">
        <v>36</v>
      </c>
      <c r="K1282" s="22">
        <v>1</v>
      </c>
      <c r="L1282" s="1">
        <v>42611</v>
      </c>
      <c r="M1282" s="22">
        <f>Table10[[#This Row],[Ship Date]]-Table10[[#This Row],[Order Date]]</f>
        <v>2</v>
      </c>
      <c r="N1282" t="s">
        <v>20</v>
      </c>
      <c r="O1282" t="s">
        <v>23</v>
      </c>
      <c r="P1282" t="s">
        <v>94</v>
      </c>
      <c r="Q1282" t="s">
        <v>95</v>
      </c>
      <c r="R1282" t="s">
        <v>165</v>
      </c>
      <c r="S1282" s="33">
        <v>0.2</v>
      </c>
      <c r="T1282" s="13">
        <v>14.16</v>
      </c>
      <c r="U1282" s="13">
        <v>1.0620000000000001</v>
      </c>
      <c r="V1282" s="21">
        <f>Table10[[#This Row],[Profit]]/Table10[[#This Row],[Sales]]</f>
        <v>7.4999999999999997E-2</v>
      </c>
    </row>
    <row r="1283" spans="1:22" x14ac:dyDescent="0.2">
      <c r="A1283">
        <v>1282</v>
      </c>
      <c r="B1283" t="s">
        <v>7598</v>
      </c>
      <c r="C1283" s="1">
        <v>42609</v>
      </c>
      <c r="D1283" s="22">
        <f>MONTH(Table10[[#This Row],[Order Date]])</f>
        <v>8</v>
      </c>
      <c r="E1283" t="s">
        <v>6829</v>
      </c>
      <c r="F1283" t="s">
        <v>6830</v>
      </c>
      <c r="G1283" s="23" t="s">
        <v>41</v>
      </c>
      <c r="H1283" s="23" t="s">
        <v>82</v>
      </c>
      <c r="I1283" t="s">
        <v>3166</v>
      </c>
      <c r="J1283" t="s">
        <v>36</v>
      </c>
      <c r="K1283" s="22">
        <v>5</v>
      </c>
      <c r="L1283" s="1">
        <v>42611</v>
      </c>
      <c r="M1283" s="22">
        <f>Table10[[#This Row],[Ship Date]]-Table10[[#This Row],[Order Date]]</f>
        <v>2</v>
      </c>
      <c r="N1283" t="s">
        <v>20</v>
      </c>
      <c r="O1283" t="s">
        <v>23</v>
      </c>
      <c r="P1283" t="s">
        <v>94</v>
      </c>
      <c r="Q1283" t="s">
        <v>95</v>
      </c>
      <c r="R1283" t="s">
        <v>165</v>
      </c>
      <c r="S1283" s="33">
        <v>0.2</v>
      </c>
      <c r="T1283" s="13">
        <v>79.92</v>
      </c>
      <c r="U1283" s="13">
        <v>27.972000000000001</v>
      </c>
      <c r="V1283" s="21">
        <f>Table10[[#This Row],[Profit]]/Table10[[#This Row],[Sales]]</f>
        <v>0.35000000000000003</v>
      </c>
    </row>
    <row r="1284" spans="1:22" x14ac:dyDescent="0.2">
      <c r="A1284">
        <v>1283</v>
      </c>
      <c r="B1284" t="s">
        <v>8596</v>
      </c>
      <c r="C1284" s="1">
        <v>42609</v>
      </c>
      <c r="D1284" s="22">
        <f>MONTH(Table10[[#This Row],[Order Date]])</f>
        <v>8</v>
      </c>
      <c r="E1284" t="s">
        <v>8597</v>
      </c>
      <c r="F1284" t="s">
        <v>8598</v>
      </c>
      <c r="G1284" s="23" t="s">
        <v>41</v>
      </c>
      <c r="H1284" s="23" t="s">
        <v>42</v>
      </c>
      <c r="I1284" t="s">
        <v>4723</v>
      </c>
      <c r="J1284" t="s">
        <v>36</v>
      </c>
      <c r="K1284" s="22">
        <v>4</v>
      </c>
      <c r="L1284" s="1">
        <v>42615</v>
      </c>
      <c r="M1284" s="22">
        <f>Table10[[#This Row],[Ship Date]]-Table10[[#This Row],[Order Date]]</f>
        <v>6</v>
      </c>
      <c r="N1284" t="s">
        <v>45</v>
      </c>
      <c r="O1284" t="s">
        <v>23</v>
      </c>
      <c r="P1284" t="s">
        <v>48</v>
      </c>
      <c r="Q1284" t="s">
        <v>26</v>
      </c>
      <c r="R1284" t="s">
        <v>6510</v>
      </c>
      <c r="S1284" s="33">
        <v>0.2</v>
      </c>
      <c r="T1284" s="13">
        <v>9.2159999999999993</v>
      </c>
      <c r="U1284" s="13">
        <v>3.3408000000000002</v>
      </c>
      <c r="V1284" s="21">
        <f>Table10[[#This Row],[Profit]]/Table10[[#This Row],[Sales]]</f>
        <v>0.36250000000000004</v>
      </c>
    </row>
    <row r="1285" spans="1:22" x14ac:dyDescent="0.2">
      <c r="A1285">
        <v>1284</v>
      </c>
      <c r="B1285" t="s">
        <v>5186</v>
      </c>
      <c r="C1285" s="1">
        <v>42610</v>
      </c>
      <c r="D1285" s="22">
        <f>MONTH(Table10[[#This Row],[Order Date]])</f>
        <v>8</v>
      </c>
      <c r="E1285" t="s">
        <v>5188</v>
      </c>
      <c r="F1285" t="s">
        <v>5189</v>
      </c>
      <c r="G1285" s="23" t="s">
        <v>41</v>
      </c>
      <c r="H1285" s="23" t="s">
        <v>82</v>
      </c>
      <c r="I1285" t="s">
        <v>615</v>
      </c>
      <c r="J1285" t="s">
        <v>22</v>
      </c>
      <c r="K1285" s="22">
        <v>3</v>
      </c>
      <c r="L1285" s="1">
        <v>42615</v>
      </c>
      <c r="M1285" s="22">
        <f>Table10[[#This Row],[Ship Date]]-Table10[[#This Row],[Order Date]]</f>
        <v>5</v>
      </c>
      <c r="N1285" t="s">
        <v>45</v>
      </c>
      <c r="O1285" t="s">
        <v>23</v>
      </c>
      <c r="P1285" t="s">
        <v>405</v>
      </c>
      <c r="Q1285" t="s">
        <v>39</v>
      </c>
      <c r="R1285" t="s">
        <v>5187</v>
      </c>
      <c r="S1285" s="33">
        <v>0.2</v>
      </c>
      <c r="T1285" s="13">
        <v>15.48</v>
      </c>
      <c r="U1285" s="13">
        <v>5.6115000000000004</v>
      </c>
      <c r="V1285" s="21">
        <f>Table10[[#This Row],[Profit]]/Table10[[#This Row],[Sales]]</f>
        <v>0.36249999999999999</v>
      </c>
    </row>
    <row r="1286" spans="1:22" x14ac:dyDescent="0.2">
      <c r="A1286">
        <v>1285</v>
      </c>
      <c r="B1286" t="s">
        <v>5186</v>
      </c>
      <c r="C1286" s="1">
        <v>42610</v>
      </c>
      <c r="D1286" s="22">
        <f>MONTH(Table10[[#This Row],[Order Date]])</f>
        <v>8</v>
      </c>
      <c r="E1286" t="s">
        <v>5190</v>
      </c>
      <c r="F1286" t="s">
        <v>5191</v>
      </c>
      <c r="G1286" s="23" t="s">
        <v>64</v>
      </c>
      <c r="H1286" s="23" t="s">
        <v>65</v>
      </c>
      <c r="I1286" t="s">
        <v>615</v>
      </c>
      <c r="J1286" t="s">
        <v>22</v>
      </c>
      <c r="K1286" s="22">
        <v>3</v>
      </c>
      <c r="L1286" s="1">
        <v>42615</v>
      </c>
      <c r="M1286" s="22">
        <f>Table10[[#This Row],[Ship Date]]-Table10[[#This Row],[Order Date]]</f>
        <v>5</v>
      </c>
      <c r="N1286" t="s">
        <v>45</v>
      </c>
      <c r="O1286" t="s">
        <v>23</v>
      </c>
      <c r="P1286" t="s">
        <v>405</v>
      </c>
      <c r="Q1286" t="s">
        <v>39</v>
      </c>
      <c r="R1286" t="s">
        <v>5187</v>
      </c>
      <c r="S1286" s="33">
        <v>0.2</v>
      </c>
      <c r="T1286" s="13">
        <v>108.57599999999999</v>
      </c>
      <c r="U1286" s="13">
        <v>8.1432000000000002</v>
      </c>
      <c r="V1286" s="21">
        <f>Table10[[#This Row],[Profit]]/Table10[[#This Row],[Sales]]</f>
        <v>7.5000000000000011E-2</v>
      </c>
    </row>
    <row r="1287" spans="1:22" x14ac:dyDescent="0.2">
      <c r="A1287">
        <v>1286</v>
      </c>
      <c r="B1287" t="s">
        <v>6462</v>
      </c>
      <c r="C1287" s="1">
        <v>42610</v>
      </c>
      <c r="D1287" s="22">
        <f>MONTH(Table10[[#This Row],[Order Date]])</f>
        <v>8</v>
      </c>
      <c r="E1287" t="s">
        <v>1212</v>
      </c>
      <c r="F1287" t="s">
        <v>1213</v>
      </c>
      <c r="G1287" s="23" t="s">
        <v>41</v>
      </c>
      <c r="H1287" s="23" t="s">
        <v>68</v>
      </c>
      <c r="I1287" t="s">
        <v>4665</v>
      </c>
      <c r="J1287" t="s">
        <v>22</v>
      </c>
      <c r="K1287" s="22">
        <v>9</v>
      </c>
      <c r="L1287" s="1">
        <v>42613</v>
      </c>
      <c r="M1287" s="22">
        <f>Table10[[#This Row],[Ship Date]]-Table10[[#This Row],[Order Date]]</f>
        <v>3</v>
      </c>
      <c r="N1287" t="s">
        <v>169</v>
      </c>
      <c r="O1287" t="s">
        <v>23</v>
      </c>
      <c r="P1287" t="s">
        <v>94</v>
      </c>
      <c r="Q1287" t="s">
        <v>95</v>
      </c>
      <c r="R1287" t="s">
        <v>718</v>
      </c>
      <c r="S1287" s="33">
        <v>0.8</v>
      </c>
      <c r="T1287" s="13">
        <v>13.14</v>
      </c>
      <c r="U1287" s="13">
        <v>-21.681000000000001</v>
      </c>
      <c r="V1287" s="21">
        <f>Table10[[#This Row],[Profit]]/Table10[[#This Row],[Sales]]</f>
        <v>-1.65</v>
      </c>
    </row>
    <row r="1288" spans="1:22" x14ac:dyDescent="0.2">
      <c r="A1288">
        <v>1287</v>
      </c>
      <c r="B1288" t="s">
        <v>6462</v>
      </c>
      <c r="C1288" s="1">
        <v>42610</v>
      </c>
      <c r="D1288" s="22">
        <f>MONTH(Table10[[#This Row],[Order Date]])</f>
        <v>8</v>
      </c>
      <c r="E1288" t="s">
        <v>3853</v>
      </c>
      <c r="F1288" t="s">
        <v>3854</v>
      </c>
      <c r="G1288" s="23" t="s">
        <v>41</v>
      </c>
      <c r="H1288" s="23" t="s">
        <v>68</v>
      </c>
      <c r="I1288" t="s">
        <v>4665</v>
      </c>
      <c r="J1288" t="s">
        <v>22</v>
      </c>
      <c r="K1288" s="22">
        <v>4</v>
      </c>
      <c r="L1288" s="1">
        <v>42613</v>
      </c>
      <c r="M1288" s="22">
        <f>Table10[[#This Row],[Ship Date]]-Table10[[#This Row],[Order Date]]</f>
        <v>3</v>
      </c>
      <c r="N1288" t="s">
        <v>169</v>
      </c>
      <c r="O1288" t="s">
        <v>23</v>
      </c>
      <c r="P1288" t="s">
        <v>94</v>
      </c>
      <c r="Q1288" t="s">
        <v>95</v>
      </c>
      <c r="R1288" t="s">
        <v>718</v>
      </c>
      <c r="S1288" s="33">
        <v>0.8</v>
      </c>
      <c r="T1288" s="13">
        <v>10.023999999999999</v>
      </c>
      <c r="U1288" s="13">
        <v>-16.5396</v>
      </c>
      <c r="V1288" s="21">
        <f>Table10[[#This Row],[Profit]]/Table10[[#This Row],[Sales]]</f>
        <v>-1.6500000000000001</v>
      </c>
    </row>
    <row r="1289" spans="1:22" x14ac:dyDescent="0.2">
      <c r="A1289">
        <v>1288</v>
      </c>
      <c r="B1289" t="s">
        <v>6462</v>
      </c>
      <c r="C1289" s="1">
        <v>42610</v>
      </c>
      <c r="D1289" s="22">
        <f>MONTH(Table10[[#This Row],[Order Date]])</f>
        <v>8</v>
      </c>
      <c r="E1289" t="s">
        <v>3953</v>
      </c>
      <c r="F1289" t="s">
        <v>3954</v>
      </c>
      <c r="G1289" s="23" t="s">
        <v>28</v>
      </c>
      <c r="H1289" s="23" t="s">
        <v>29</v>
      </c>
      <c r="I1289" t="s">
        <v>4665</v>
      </c>
      <c r="J1289" t="s">
        <v>22</v>
      </c>
      <c r="K1289" s="22">
        <v>2</v>
      </c>
      <c r="L1289" s="1">
        <v>42613</v>
      </c>
      <c r="M1289" s="22">
        <f>Table10[[#This Row],[Ship Date]]-Table10[[#This Row],[Order Date]]</f>
        <v>3</v>
      </c>
      <c r="N1289" t="s">
        <v>169</v>
      </c>
      <c r="O1289" t="s">
        <v>23</v>
      </c>
      <c r="P1289" t="s">
        <v>94</v>
      </c>
      <c r="Q1289" t="s">
        <v>95</v>
      </c>
      <c r="R1289" t="s">
        <v>718</v>
      </c>
      <c r="S1289" s="33">
        <v>0.32</v>
      </c>
      <c r="T1289" s="13">
        <v>156.37280000000001</v>
      </c>
      <c r="U1289" s="13">
        <v>-52.890799999999999</v>
      </c>
      <c r="V1289" s="21">
        <f>Table10[[#This Row],[Profit]]/Table10[[#This Row],[Sales]]</f>
        <v>-0.33823529411764702</v>
      </c>
    </row>
    <row r="1290" spans="1:22" x14ac:dyDescent="0.2">
      <c r="A1290">
        <v>1289</v>
      </c>
      <c r="B1290" t="s">
        <v>9239</v>
      </c>
      <c r="C1290" s="1">
        <v>42610</v>
      </c>
      <c r="D1290" s="22">
        <f>MONTH(Table10[[#This Row],[Order Date]])</f>
        <v>8</v>
      </c>
      <c r="E1290" t="s">
        <v>7458</v>
      </c>
      <c r="F1290" t="s">
        <v>7459</v>
      </c>
      <c r="G1290" s="23" t="s">
        <v>41</v>
      </c>
      <c r="H1290" s="23" t="s">
        <v>68</v>
      </c>
      <c r="I1290" t="s">
        <v>3648</v>
      </c>
      <c r="J1290" t="s">
        <v>36</v>
      </c>
      <c r="K1290" s="22">
        <v>8</v>
      </c>
      <c r="L1290" s="1">
        <v>42612</v>
      </c>
      <c r="M1290" s="22">
        <f>Table10[[#This Row],[Ship Date]]-Table10[[#This Row],[Order Date]]</f>
        <v>2</v>
      </c>
      <c r="N1290" t="s">
        <v>169</v>
      </c>
      <c r="O1290" t="s">
        <v>23</v>
      </c>
      <c r="P1290" t="s">
        <v>441</v>
      </c>
      <c r="Q1290" t="s">
        <v>133</v>
      </c>
      <c r="R1290" t="s">
        <v>887</v>
      </c>
      <c r="S1290" s="33">
        <v>0.7</v>
      </c>
      <c r="T1290" s="13">
        <v>18.431999999999999</v>
      </c>
      <c r="U1290" s="13">
        <v>-12.288</v>
      </c>
      <c r="V1290" s="21">
        <f>Table10[[#This Row],[Profit]]/Table10[[#This Row],[Sales]]</f>
        <v>-0.66666666666666674</v>
      </c>
    </row>
    <row r="1291" spans="1:22" x14ac:dyDescent="0.2">
      <c r="A1291">
        <v>1290</v>
      </c>
      <c r="B1291" t="s">
        <v>390</v>
      </c>
      <c r="C1291" s="1">
        <v>42611</v>
      </c>
      <c r="D1291" s="22">
        <f>MONTH(Table10[[#This Row],[Order Date]])</f>
        <v>8</v>
      </c>
      <c r="E1291" t="s">
        <v>392</v>
      </c>
      <c r="F1291" t="s">
        <v>393</v>
      </c>
      <c r="G1291" s="23" t="s">
        <v>41</v>
      </c>
      <c r="H1291" s="23" t="s">
        <v>82</v>
      </c>
      <c r="I1291" t="s">
        <v>391</v>
      </c>
      <c r="J1291" t="s">
        <v>92</v>
      </c>
      <c r="K1291" s="22">
        <v>7</v>
      </c>
      <c r="L1291" s="1">
        <v>42615</v>
      </c>
      <c r="M1291" s="22">
        <f>Table10[[#This Row],[Ship Date]]-Table10[[#This Row],[Order Date]]</f>
        <v>4</v>
      </c>
      <c r="N1291" t="s">
        <v>45</v>
      </c>
      <c r="O1291" t="s">
        <v>23</v>
      </c>
      <c r="P1291" t="s">
        <v>189</v>
      </c>
      <c r="Q1291" t="s">
        <v>95</v>
      </c>
      <c r="R1291" t="s">
        <v>271</v>
      </c>
      <c r="S1291" s="33">
        <v>0.2</v>
      </c>
      <c r="T1291" s="13">
        <v>64.623999999999995</v>
      </c>
      <c r="U1291" s="13">
        <v>22.618400000000001</v>
      </c>
      <c r="V1291" s="21">
        <f>Table10[[#This Row],[Profit]]/Table10[[#This Row],[Sales]]</f>
        <v>0.35000000000000003</v>
      </c>
    </row>
    <row r="1292" spans="1:22" x14ac:dyDescent="0.2">
      <c r="A1292">
        <v>1291</v>
      </c>
      <c r="B1292" t="s">
        <v>390</v>
      </c>
      <c r="C1292" s="1">
        <v>42611</v>
      </c>
      <c r="D1292" s="22">
        <f>MONTH(Table10[[#This Row],[Order Date]])</f>
        <v>8</v>
      </c>
      <c r="E1292" t="s">
        <v>394</v>
      </c>
      <c r="F1292" t="s">
        <v>395</v>
      </c>
      <c r="G1292" s="23" t="s">
        <v>64</v>
      </c>
      <c r="H1292" s="23" t="s">
        <v>144</v>
      </c>
      <c r="I1292" t="s">
        <v>391</v>
      </c>
      <c r="J1292" t="s">
        <v>92</v>
      </c>
      <c r="K1292" s="22">
        <v>3</v>
      </c>
      <c r="L1292" s="1">
        <v>42615</v>
      </c>
      <c r="M1292" s="22">
        <f>Table10[[#This Row],[Ship Date]]-Table10[[#This Row],[Order Date]]</f>
        <v>4</v>
      </c>
      <c r="N1292" t="s">
        <v>45</v>
      </c>
      <c r="O1292" t="s">
        <v>23</v>
      </c>
      <c r="P1292" t="s">
        <v>189</v>
      </c>
      <c r="Q1292" t="s">
        <v>95</v>
      </c>
      <c r="R1292" t="s">
        <v>271</v>
      </c>
      <c r="S1292" s="33">
        <v>0.2</v>
      </c>
      <c r="T1292" s="13">
        <v>95.975999999999999</v>
      </c>
      <c r="U1292" s="13">
        <v>-10.7973</v>
      </c>
      <c r="V1292" s="21">
        <f>Table10[[#This Row],[Profit]]/Table10[[#This Row],[Sales]]</f>
        <v>-0.1125</v>
      </c>
    </row>
    <row r="1293" spans="1:22" x14ac:dyDescent="0.2">
      <c r="A1293">
        <v>1292</v>
      </c>
      <c r="B1293" t="s">
        <v>390</v>
      </c>
      <c r="C1293" s="1">
        <v>42611</v>
      </c>
      <c r="D1293" s="22">
        <f>MONTH(Table10[[#This Row],[Order Date]])</f>
        <v>8</v>
      </c>
      <c r="E1293" t="s">
        <v>396</v>
      </c>
      <c r="F1293" t="s">
        <v>397</v>
      </c>
      <c r="G1293" s="23" t="s">
        <v>41</v>
      </c>
      <c r="H1293" s="23" t="s">
        <v>68</v>
      </c>
      <c r="I1293" t="s">
        <v>391</v>
      </c>
      <c r="J1293" t="s">
        <v>92</v>
      </c>
      <c r="K1293" s="22">
        <v>3</v>
      </c>
      <c r="L1293" s="1">
        <v>42615</v>
      </c>
      <c r="M1293" s="22">
        <f>Table10[[#This Row],[Ship Date]]-Table10[[#This Row],[Order Date]]</f>
        <v>4</v>
      </c>
      <c r="N1293" t="s">
        <v>45</v>
      </c>
      <c r="O1293" t="s">
        <v>23</v>
      </c>
      <c r="P1293" t="s">
        <v>189</v>
      </c>
      <c r="Q1293" t="s">
        <v>95</v>
      </c>
      <c r="R1293" t="s">
        <v>271</v>
      </c>
      <c r="S1293" s="33">
        <v>0.8</v>
      </c>
      <c r="T1293" s="13">
        <v>1.788</v>
      </c>
      <c r="U1293" s="13">
        <v>-3.0396000000000001</v>
      </c>
      <c r="V1293" s="21">
        <f>Table10[[#This Row],[Profit]]/Table10[[#This Row],[Sales]]</f>
        <v>-1.7</v>
      </c>
    </row>
    <row r="1294" spans="1:22" x14ac:dyDescent="0.2">
      <c r="A1294">
        <v>1293</v>
      </c>
      <c r="B1294" t="s">
        <v>2972</v>
      </c>
      <c r="C1294" s="1">
        <v>42611</v>
      </c>
      <c r="D1294" s="22">
        <f>MONTH(Table10[[#This Row],[Order Date]])</f>
        <v>8</v>
      </c>
      <c r="E1294" t="s">
        <v>2266</v>
      </c>
      <c r="F1294" t="s">
        <v>2267</v>
      </c>
      <c r="G1294" s="23" t="s">
        <v>41</v>
      </c>
      <c r="H1294" s="23" t="s">
        <v>513</v>
      </c>
      <c r="I1294" t="s">
        <v>1105</v>
      </c>
      <c r="J1294" t="s">
        <v>92</v>
      </c>
      <c r="K1294" s="22">
        <v>3</v>
      </c>
      <c r="L1294" s="1">
        <v>42616</v>
      </c>
      <c r="M1294" s="22">
        <f>Table10[[#This Row],[Ship Date]]-Table10[[#This Row],[Order Date]]</f>
        <v>5</v>
      </c>
      <c r="N1294" t="s">
        <v>45</v>
      </c>
      <c r="O1294" t="s">
        <v>23</v>
      </c>
      <c r="P1294" t="s">
        <v>2373</v>
      </c>
      <c r="Q1294" t="s">
        <v>133</v>
      </c>
      <c r="R1294" t="s">
        <v>79</v>
      </c>
      <c r="S1294" s="33">
        <v>0</v>
      </c>
      <c r="T1294" s="13">
        <v>27.93</v>
      </c>
      <c r="U1294" s="13">
        <v>8.0997000000000003</v>
      </c>
      <c r="V1294" s="21">
        <f>Table10[[#This Row],[Profit]]/Table10[[#This Row],[Sales]]</f>
        <v>0.29000000000000004</v>
      </c>
    </row>
    <row r="1295" spans="1:22" x14ac:dyDescent="0.2">
      <c r="A1295">
        <v>1294</v>
      </c>
      <c r="B1295" t="s">
        <v>3067</v>
      </c>
      <c r="C1295" s="1">
        <v>42611</v>
      </c>
      <c r="D1295" s="22">
        <f>MONTH(Table10[[#This Row],[Order Date]])</f>
        <v>8</v>
      </c>
      <c r="E1295" t="s">
        <v>3068</v>
      </c>
      <c r="F1295" t="s">
        <v>3069</v>
      </c>
      <c r="G1295" s="23" t="s">
        <v>64</v>
      </c>
      <c r="H1295" s="23" t="s">
        <v>65</v>
      </c>
      <c r="I1295" t="s">
        <v>1823</v>
      </c>
      <c r="J1295" t="s">
        <v>92</v>
      </c>
      <c r="K1295" s="22">
        <v>4</v>
      </c>
      <c r="L1295" s="1">
        <v>42617</v>
      </c>
      <c r="M1295" s="22">
        <f>Table10[[#This Row],[Ship Date]]-Table10[[#This Row],[Order Date]]</f>
        <v>6</v>
      </c>
      <c r="N1295" t="s">
        <v>45</v>
      </c>
      <c r="O1295" t="s">
        <v>23</v>
      </c>
      <c r="P1295" t="s">
        <v>238</v>
      </c>
      <c r="Q1295" t="s">
        <v>133</v>
      </c>
      <c r="R1295" t="s">
        <v>237</v>
      </c>
      <c r="S1295" s="33">
        <v>0</v>
      </c>
      <c r="T1295" s="13">
        <v>22</v>
      </c>
      <c r="U1295" s="13">
        <v>5.5</v>
      </c>
      <c r="V1295" s="21">
        <f>Table10[[#This Row],[Profit]]/Table10[[#This Row],[Sales]]</f>
        <v>0.25</v>
      </c>
    </row>
    <row r="1296" spans="1:22" x14ac:dyDescent="0.2">
      <c r="A1296">
        <v>1295</v>
      </c>
      <c r="B1296" t="s">
        <v>6952</v>
      </c>
      <c r="C1296" s="1">
        <v>42611</v>
      </c>
      <c r="D1296" s="22">
        <f>MONTH(Table10[[#This Row],[Order Date]])</f>
        <v>8</v>
      </c>
      <c r="E1296" t="s">
        <v>5865</v>
      </c>
      <c r="F1296" t="s">
        <v>5866</v>
      </c>
      <c r="G1296" s="23" t="s">
        <v>28</v>
      </c>
      <c r="H1296" s="23" t="s">
        <v>50</v>
      </c>
      <c r="I1296" t="s">
        <v>2430</v>
      </c>
      <c r="J1296" t="s">
        <v>36</v>
      </c>
      <c r="K1296" s="22">
        <v>4</v>
      </c>
      <c r="L1296" s="1">
        <v>42616</v>
      </c>
      <c r="M1296" s="22">
        <f>Table10[[#This Row],[Ship Date]]-Table10[[#This Row],[Order Date]]</f>
        <v>5</v>
      </c>
      <c r="N1296" t="s">
        <v>45</v>
      </c>
      <c r="O1296" t="s">
        <v>23</v>
      </c>
      <c r="P1296" t="s">
        <v>132</v>
      </c>
      <c r="Q1296" t="s">
        <v>133</v>
      </c>
      <c r="R1296" t="s">
        <v>131</v>
      </c>
      <c r="S1296" s="33">
        <v>0.4</v>
      </c>
      <c r="T1296" s="13">
        <v>241.92</v>
      </c>
      <c r="U1296" s="13">
        <v>-56.448</v>
      </c>
      <c r="V1296" s="21">
        <f>Table10[[#This Row],[Profit]]/Table10[[#This Row],[Sales]]</f>
        <v>-0.23333333333333334</v>
      </c>
    </row>
    <row r="1297" spans="1:22" x14ac:dyDescent="0.2">
      <c r="A1297">
        <v>1296</v>
      </c>
      <c r="B1297" t="s">
        <v>6952</v>
      </c>
      <c r="C1297" s="1">
        <v>42611</v>
      </c>
      <c r="D1297" s="22">
        <f>MONTH(Table10[[#This Row],[Order Date]])</f>
        <v>8</v>
      </c>
      <c r="E1297" t="s">
        <v>6551</v>
      </c>
      <c r="F1297" t="s">
        <v>6552</v>
      </c>
      <c r="G1297" s="23" t="s">
        <v>28</v>
      </c>
      <c r="H1297" s="23" t="s">
        <v>29</v>
      </c>
      <c r="I1297" t="s">
        <v>2430</v>
      </c>
      <c r="J1297" t="s">
        <v>36</v>
      </c>
      <c r="K1297" s="22">
        <v>4</v>
      </c>
      <c r="L1297" s="1">
        <v>42616</v>
      </c>
      <c r="M1297" s="22">
        <f>Table10[[#This Row],[Ship Date]]-Table10[[#This Row],[Order Date]]</f>
        <v>5</v>
      </c>
      <c r="N1297" t="s">
        <v>45</v>
      </c>
      <c r="O1297" t="s">
        <v>23</v>
      </c>
      <c r="P1297" t="s">
        <v>132</v>
      </c>
      <c r="Q1297" t="s">
        <v>133</v>
      </c>
      <c r="R1297" t="s">
        <v>131</v>
      </c>
      <c r="S1297" s="33">
        <v>0.5</v>
      </c>
      <c r="T1297" s="13">
        <v>163.88</v>
      </c>
      <c r="U1297" s="13">
        <v>-81.94</v>
      </c>
      <c r="V1297" s="21">
        <f>Table10[[#This Row],[Profit]]/Table10[[#This Row],[Sales]]</f>
        <v>-0.5</v>
      </c>
    </row>
    <row r="1298" spans="1:22" x14ac:dyDescent="0.2">
      <c r="A1298">
        <v>1297</v>
      </c>
      <c r="B1298" t="s">
        <v>6952</v>
      </c>
      <c r="C1298" s="1">
        <v>42611</v>
      </c>
      <c r="D1298" s="22">
        <f>MONTH(Table10[[#This Row],[Order Date]])</f>
        <v>8</v>
      </c>
      <c r="E1298" t="s">
        <v>2401</v>
      </c>
      <c r="F1298" t="s">
        <v>2402</v>
      </c>
      <c r="G1298" s="23" t="s">
        <v>41</v>
      </c>
      <c r="H1298" s="23" t="s">
        <v>68</v>
      </c>
      <c r="I1298" t="s">
        <v>2430</v>
      </c>
      <c r="J1298" t="s">
        <v>36</v>
      </c>
      <c r="K1298" s="22">
        <v>2</v>
      </c>
      <c r="L1298" s="1">
        <v>42616</v>
      </c>
      <c r="M1298" s="22">
        <f>Table10[[#This Row],[Ship Date]]-Table10[[#This Row],[Order Date]]</f>
        <v>5</v>
      </c>
      <c r="N1298" t="s">
        <v>45</v>
      </c>
      <c r="O1298" t="s">
        <v>23</v>
      </c>
      <c r="P1298" t="s">
        <v>132</v>
      </c>
      <c r="Q1298" t="s">
        <v>133</v>
      </c>
      <c r="R1298" t="s">
        <v>131</v>
      </c>
      <c r="S1298" s="33">
        <v>0.7</v>
      </c>
      <c r="T1298" s="13">
        <v>3.4860000000000002</v>
      </c>
      <c r="U1298" s="13">
        <v>-2.7888000000000002</v>
      </c>
      <c r="V1298" s="21">
        <f>Table10[[#This Row],[Profit]]/Table10[[#This Row],[Sales]]</f>
        <v>-0.8</v>
      </c>
    </row>
    <row r="1299" spans="1:22" x14ac:dyDescent="0.2">
      <c r="A1299">
        <v>1298</v>
      </c>
      <c r="B1299" t="s">
        <v>6952</v>
      </c>
      <c r="C1299" s="1">
        <v>42611</v>
      </c>
      <c r="D1299" s="22">
        <f>MONTH(Table10[[#This Row],[Order Date]])</f>
        <v>8</v>
      </c>
      <c r="E1299" t="s">
        <v>3348</v>
      </c>
      <c r="F1299" t="s">
        <v>3349</v>
      </c>
      <c r="G1299" s="23" t="s">
        <v>41</v>
      </c>
      <c r="H1299" s="23" t="s">
        <v>240</v>
      </c>
      <c r="I1299" t="s">
        <v>2430</v>
      </c>
      <c r="J1299" t="s">
        <v>36</v>
      </c>
      <c r="K1299" s="22">
        <v>7</v>
      </c>
      <c r="L1299" s="1">
        <v>42616</v>
      </c>
      <c r="M1299" s="22">
        <f>Table10[[#This Row],[Ship Date]]-Table10[[#This Row],[Order Date]]</f>
        <v>5</v>
      </c>
      <c r="N1299" t="s">
        <v>45</v>
      </c>
      <c r="O1299" t="s">
        <v>23</v>
      </c>
      <c r="P1299" t="s">
        <v>132</v>
      </c>
      <c r="Q1299" t="s">
        <v>133</v>
      </c>
      <c r="R1299" t="s">
        <v>131</v>
      </c>
      <c r="S1299" s="33">
        <v>0.2</v>
      </c>
      <c r="T1299" s="13">
        <v>10.584</v>
      </c>
      <c r="U1299" s="13">
        <v>-2.3814000000000002</v>
      </c>
      <c r="V1299" s="21">
        <f>Table10[[#This Row],[Profit]]/Table10[[#This Row],[Sales]]</f>
        <v>-0.22500000000000003</v>
      </c>
    </row>
    <row r="1300" spans="1:22" x14ac:dyDescent="0.2">
      <c r="A1300">
        <v>1299</v>
      </c>
      <c r="B1300" t="s">
        <v>1050</v>
      </c>
      <c r="C1300" s="1">
        <v>42612</v>
      </c>
      <c r="D1300" s="22">
        <f>MONTH(Table10[[#This Row],[Order Date]])</f>
        <v>8</v>
      </c>
      <c r="E1300" t="s">
        <v>1052</v>
      </c>
      <c r="F1300" t="s">
        <v>1053</v>
      </c>
      <c r="G1300" s="23" t="s">
        <v>64</v>
      </c>
      <c r="H1300" s="23" t="s">
        <v>65</v>
      </c>
      <c r="I1300" t="s">
        <v>1051</v>
      </c>
      <c r="J1300" t="s">
        <v>22</v>
      </c>
      <c r="K1300" s="22">
        <v>3</v>
      </c>
      <c r="L1300" s="1">
        <v>42614</v>
      </c>
      <c r="M1300" s="22">
        <f>Table10[[#This Row],[Ship Date]]-Table10[[#This Row],[Order Date]]</f>
        <v>2</v>
      </c>
      <c r="N1300" t="s">
        <v>169</v>
      </c>
      <c r="O1300" t="s">
        <v>23</v>
      </c>
      <c r="P1300" t="s">
        <v>132</v>
      </c>
      <c r="Q1300" t="s">
        <v>133</v>
      </c>
      <c r="R1300" t="s">
        <v>131</v>
      </c>
      <c r="S1300" s="33">
        <v>0.4</v>
      </c>
      <c r="T1300" s="13">
        <v>290.89800000000002</v>
      </c>
      <c r="U1300" s="13">
        <v>-67.876199999999997</v>
      </c>
      <c r="V1300" s="21">
        <f>Table10[[#This Row],[Profit]]/Table10[[#This Row],[Sales]]</f>
        <v>-0.23333333333333331</v>
      </c>
    </row>
    <row r="1301" spans="1:22" x14ac:dyDescent="0.2">
      <c r="A1301">
        <v>1300</v>
      </c>
      <c r="B1301" t="s">
        <v>1050</v>
      </c>
      <c r="C1301" s="1">
        <v>42612</v>
      </c>
      <c r="D1301" s="22">
        <f>MONTH(Table10[[#This Row],[Order Date]])</f>
        <v>8</v>
      </c>
      <c r="E1301" t="s">
        <v>1054</v>
      </c>
      <c r="F1301" t="s">
        <v>1055</v>
      </c>
      <c r="G1301" s="23" t="s">
        <v>41</v>
      </c>
      <c r="H1301" s="23" t="s">
        <v>53</v>
      </c>
      <c r="I1301" t="s">
        <v>1051</v>
      </c>
      <c r="J1301" t="s">
        <v>22</v>
      </c>
      <c r="K1301" s="22">
        <v>2</v>
      </c>
      <c r="L1301" s="1">
        <v>42614</v>
      </c>
      <c r="M1301" s="22">
        <f>Table10[[#This Row],[Ship Date]]-Table10[[#This Row],[Order Date]]</f>
        <v>2</v>
      </c>
      <c r="N1301" t="s">
        <v>169</v>
      </c>
      <c r="O1301" t="s">
        <v>23</v>
      </c>
      <c r="P1301" t="s">
        <v>132</v>
      </c>
      <c r="Q1301" t="s">
        <v>133</v>
      </c>
      <c r="R1301" t="s">
        <v>131</v>
      </c>
      <c r="S1301" s="33">
        <v>0.2</v>
      </c>
      <c r="T1301" s="13">
        <v>54.223999999999997</v>
      </c>
      <c r="U1301" s="13">
        <v>3.3889999999999998</v>
      </c>
      <c r="V1301" s="21">
        <f>Table10[[#This Row],[Profit]]/Table10[[#This Row],[Sales]]</f>
        <v>6.25E-2</v>
      </c>
    </row>
    <row r="1302" spans="1:22" x14ac:dyDescent="0.2">
      <c r="A1302">
        <v>1301</v>
      </c>
      <c r="B1302" t="s">
        <v>1050</v>
      </c>
      <c r="C1302" s="1">
        <v>42612</v>
      </c>
      <c r="D1302" s="22">
        <f>MONTH(Table10[[#This Row],[Order Date]])</f>
        <v>8</v>
      </c>
      <c r="E1302" t="s">
        <v>1056</v>
      </c>
      <c r="F1302" t="s">
        <v>1057</v>
      </c>
      <c r="G1302" s="23" t="s">
        <v>28</v>
      </c>
      <c r="H1302" s="23" t="s">
        <v>32</v>
      </c>
      <c r="I1302" t="s">
        <v>1051</v>
      </c>
      <c r="J1302" t="s">
        <v>22</v>
      </c>
      <c r="K1302" s="22">
        <v>4</v>
      </c>
      <c r="L1302" s="1">
        <v>42614</v>
      </c>
      <c r="M1302" s="22">
        <f>Table10[[#This Row],[Ship Date]]-Table10[[#This Row],[Order Date]]</f>
        <v>2</v>
      </c>
      <c r="N1302" t="s">
        <v>169</v>
      </c>
      <c r="O1302" t="s">
        <v>23</v>
      </c>
      <c r="P1302" t="s">
        <v>132</v>
      </c>
      <c r="Q1302" t="s">
        <v>133</v>
      </c>
      <c r="R1302" t="s">
        <v>131</v>
      </c>
      <c r="S1302" s="33">
        <v>0.3</v>
      </c>
      <c r="T1302" s="13">
        <v>786.74400000000003</v>
      </c>
      <c r="U1302" s="13">
        <v>-258.5016</v>
      </c>
      <c r="V1302" s="21">
        <f>Table10[[#This Row],[Profit]]/Table10[[#This Row],[Sales]]</f>
        <v>-0.32857142857142857</v>
      </c>
    </row>
    <row r="1303" spans="1:22" x14ac:dyDescent="0.2">
      <c r="A1303">
        <v>1302</v>
      </c>
      <c r="B1303" t="s">
        <v>1050</v>
      </c>
      <c r="C1303" s="1">
        <v>42612</v>
      </c>
      <c r="D1303" s="22">
        <f>MONTH(Table10[[#This Row],[Order Date]])</f>
        <v>8</v>
      </c>
      <c r="E1303" t="s">
        <v>1058</v>
      </c>
      <c r="F1303" t="s">
        <v>1059</v>
      </c>
      <c r="G1303" s="23" t="s">
        <v>41</v>
      </c>
      <c r="H1303" s="23" t="s">
        <v>42</v>
      </c>
      <c r="I1303" t="s">
        <v>1051</v>
      </c>
      <c r="J1303" t="s">
        <v>22</v>
      </c>
      <c r="K1303" s="22">
        <v>10</v>
      </c>
      <c r="L1303" s="1">
        <v>42614</v>
      </c>
      <c r="M1303" s="22">
        <f>Table10[[#This Row],[Ship Date]]-Table10[[#This Row],[Order Date]]</f>
        <v>2</v>
      </c>
      <c r="N1303" t="s">
        <v>169</v>
      </c>
      <c r="O1303" t="s">
        <v>23</v>
      </c>
      <c r="P1303" t="s">
        <v>132</v>
      </c>
      <c r="Q1303" t="s">
        <v>133</v>
      </c>
      <c r="R1303" t="s">
        <v>131</v>
      </c>
      <c r="S1303" s="33">
        <v>0.2</v>
      </c>
      <c r="T1303" s="13">
        <v>100.24</v>
      </c>
      <c r="U1303" s="13">
        <v>33.831000000000003</v>
      </c>
      <c r="V1303" s="21">
        <f>Table10[[#This Row],[Profit]]/Table10[[#This Row],[Sales]]</f>
        <v>0.33750000000000002</v>
      </c>
    </row>
    <row r="1304" spans="1:22" x14ac:dyDescent="0.2">
      <c r="A1304">
        <v>1303</v>
      </c>
      <c r="B1304" t="s">
        <v>1050</v>
      </c>
      <c r="C1304" s="1">
        <v>42612</v>
      </c>
      <c r="D1304" s="22">
        <f>MONTH(Table10[[#This Row],[Order Date]])</f>
        <v>8</v>
      </c>
      <c r="E1304" t="s">
        <v>1060</v>
      </c>
      <c r="F1304" t="s">
        <v>1061</v>
      </c>
      <c r="G1304" s="23" t="s">
        <v>41</v>
      </c>
      <c r="H1304" s="23" t="s">
        <v>68</v>
      </c>
      <c r="I1304" t="s">
        <v>1051</v>
      </c>
      <c r="J1304" t="s">
        <v>22</v>
      </c>
      <c r="K1304" s="22">
        <v>6</v>
      </c>
      <c r="L1304" s="1">
        <v>42614</v>
      </c>
      <c r="M1304" s="22">
        <f>Table10[[#This Row],[Ship Date]]-Table10[[#This Row],[Order Date]]</f>
        <v>2</v>
      </c>
      <c r="N1304" t="s">
        <v>169</v>
      </c>
      <c r="O1304" t="s">
        <v>23</v>
      </c>
      <c r="P1304" t="s">
        <v>132</v>
      </c>
      <c r="Q1304" t="s">
        <v>133</v>
      </c>
      <c r="R1304" t="s">
        <v>131</v>
      </c>
      <c r="S1304" s="33">
        <v>0.7</v>
      </c>
      <c r="T1304" s="13">
        <v>37.764000000000003</v>
      </c>
      <c r="U1304" s="13">
        <v>-27.6936</v>
      </c>
      <c r="V1304" s="21">
        <f>Table10[[#This Row],[Profit]]/Table10[[#This Row],[Sales]]</f>
        <v>-0.73333333333333328</v>
      </c>
    </row>
    <row r="1305" spans="1:22" x14ac:dyDescent="0.2">
      <c r="A1305">
        <v>1304</v>
      </c>
      <c r="B1305" t="s">
        <v>8066</v>
      </c>
      <c r="C1305" s="1">
        <v>42612</v>
      </c>
      <c r="D1305" s="22">
        <f>MONTH(Table10[[#This Row],[Order Date]])</f>
        <v>8</v>
      </c>
      <c r="E1305" t="s">
        <v>5870</v>
      </c>
      <c r="F1305" t="s">
        <v>5871</v>
      </c>
      <c r="G1305" s="23" t="s">
        <v>28</v>
      </c>
      <c r="H1305" s="23" t="s">
        <v>58</v>
      </c>
      <c r="I1305" t="s">
        <v>5781</v>
      </c>
      <c r="J1305" t="s">
        <v>22</v>
      </c>
      <c r="K1305" s="22">
        <v>4</v>
      </c>
      <c r="L1305" s="1">
        <v>42619</v>
      </c>
      <c r="M1305" s="22">
        <f>Table10[[#This Row],[Ship Date]]-Table10[[#This Row],[Order Date]]</f>
        <v>7</v>
      </c>
      <c r="N1305" t="s">
        <v>45</v>
      </c>
      <c r="O1305" t="s">
        <v>23</v>
      </c>
      <c r="P1305" t="s">
        <v>38</v>
      </c>
      <c r="Q1305" t="s">
        <v>39</v>
      </c>
      <c r="R1305" t="s">
        <v>37</v>
      </c>
      <c r="S1305" s="33">
        <v>0</v>
      </c>
      <c r="T1305" s="13">
        <v>47.04</v>
      </c>
      <c r="U1305" s="13">
        <v>15.993600000000001</v>
      </c>
      <c r="V1305" s="21">
        <f>Table10[[#This Row],[Profit]]/Table10[[#This Row],[Sales]]</f>
        <v>0.34</v>
      </c>
    </row>
    <row r="1306" spans="1:22" x14ac:dyDescent="0.2">
      <c r="A1306">
        <v>1305</v>
      </c>
      <c r="B1306" t="s">
        <v>8066</v>
      </c>
      <c r="C1306" s="1">
        <v>42612</v>
      </c>
      <c r="D1306" s="22">
        <f>MONTH(Table10[[#This Row],[Order Date]])</f>
        <v>8</v>
      </c>
      <c r="E1306" t="s">
        <v>5665</v>
      </c>
      <c r="F1306" t="s">
        <v>5666</v>
      </c>
      <c r="G1306" s="23" t="s">
        <v>64</v>
      </c>
      <c r="H1306" s="23" t="s">
        <v>65</v>
      </c>
      <c r="I1306" t="s">
        <v>5781</v>
      </c>
      <c r="J1306" t="s">
        <v>22</v>
      </c>
      <c r="K1306" s="22">
        <v>5</v>
      </c>
      <c r="L1306" s="1">
        <v>42619</v>
      </c>
      <c r="M1306" s="22">
        <f>Table10[[#This Row],[Ship Date]]-Table10[[#This Row],[Order Date]]</f>
        <v>7</v>
      </c>
      <c r="N1306" t="s">
        <v>45</v>
      </c>
      <c r="O1306" t="s">
        <v>23</v>
      </c>
      <c r="P1306" t="s">
        <v>38</v>
      </c>
      <c r="Q1306" t="s">
        <v>39</v>
      </c>
      <c r="R1306" t="s">
        <v>37</v>
      </c>
      <c r="S1306" s="33">
        <v>0.2</v>
      </c>
      <c r="T1306" s="13">
        <v>339.96</v>
      </c>
      <c r="U1306" s="13">
        <v>42.494999999999997</v>
      </c>
      <c r="V1306" s="21">
        <f>Table10[[#This Row],[Profit]]/Table10[[#This Row],[Sales]]</f>
        <v>0.125</v>
      </c>
    </row>
    <row r="1307" spans="1:22" x14ac:dyDescent="0.2">
      <c r="A1307">
        <v>1306</v>
      </c>
      <c r="B1307" t="s">
        <v>7715</v>
      </c>
      <c r="C1307" s="1">
        <v>42613</v>
      </c>
      <c r="D1307" s="22">
        <f>MONTH(Table10[[#This Row],[Order Date]])</f>
        <v>8</v>
      </c>
      <c r="E1307" t="s">
        <v>1245</v>
      </c>
      <c r="F1307" t="s">
        <v>1246</v>
      </c>
      <c r="G1307" s="23" t="s">
        <v>41</v>
      </c>
      <c r="H1307" s="23" t="s">
        <v>53</v>
      </c>
      <c r="I1307" t="s">
        <v>1763</v>
      </c>
      <c r="J1307" t="s">
        <v>22</v>
      </c>
      <c r="K1307" s="22">
        <v>2</v>
      </c>
      <c r="L1307" s="1">
        <v>42619</v>
      </c>
      <c r="M1307" s="22">
        <f>Table10[[#This Row],[Ship Date]]-Table10[[#This Row],[Order Date]]</f>
        <v>6</v>
      </c>
      <c r="N1307" t="s">
        <v>45</v>
      </c>
      <c r="O1307" t="s">
        <v>23</v>
      </c>
      <c r="P1307" t="s">
        <v>94</v>
      </c>
      <c r="Q1307" t="s">
        <v>95</v>
      </c>
      <c r="R1307" t="s">
        <v>7290</v>
      </c>
      <c r="S1307" s="33">
        <v>0.2</v>
      </c>
      <c r="T1307" s="13">
        <v>23.968</v>
      </c>
      <c r="U1307" s="13">
        <v>2.3967999999999998</v>
      </c>
      <c r="V1307" s="21">
        <f>Table10[[#This Row],[Profit]]/Table10[[#This Row],[Sales]]</f>
        <v>9.9999999999999992E-2</v>
      </c>
    </row>
    <row r="1308" spans="1:22" x14ac:dyDescent="0.2">
      <c r="A1308">
        <v>1307</v>
      </c>
      <c r="B1308" t="s">
        <v>1104</v>
      </c>
      <c r="C1308" s="1">
        <v>42614</v>
      </c>
      <c r="D1308" s="22">
        <f>MONTH(Table10[[#This Row],[Order Date]])</f>
        <v>9</v>
      </c>
      <c r="E1308" t="s">
        <v>853</v>
      </c>
      <c r="F1308" t="s">
        <v>854</v>
      </c>
      <c r="G1308" s="23" t="s">
        <v>64</v>
      </c>
      <c r="H1308" s="23" t="s">
        <v>144</v>
      </c>
      <c r="I1308" t="s">
        <v>1105</v>
      </c>
      <c r="J1308" t="s">
        <v>92</v>
      </c>
      <c r="K1308" s="22">
        <v>1</v>
      </c>
      <c r="L1308" s="1">
        <v>42616</v>
      </c>
      <c r="M1308" s="22">
        <f>Table10[[#This Row],[Ship Date]]-Table10[[#This Row],[Order Date]]</f>
        <v>2</v>
      </c>
      <c r="N1308" t="s">
        <v>169</v>
      </c>
      <c r="O1308" t="s">
        <v>23</v>
      </c>
      <c r="P1308" t="s">
        <v>238</v>
      </c>
      <c r="Q1308" t="s">
        <v>133</v>
      </c>
      <c r="R1308" t="s">
        <v>237</v>
      </c>
      <c r="S1308" s="33">
        <v>0</v>
      </c>
      <c r="T1308" s="13">
        <v>6.79</v>
      </c>
      <c r="U1308" s="13">
        <v>2.3086000000000002</v>
      </c>
      <c r="V1308" s="21">
        <f>Table10[[#This Row],[Profit]]/Table10[[#This Row],[Sales]]</f>
        <v>0.34</v>
      </c>
    </row>
    <row r="1309" spans="1:22" x14ac:dyDescent="0.2">
      <c r="A1309">
        <v>1308</v>
      </c>
      <c r="B1309" t="s">
        <v>1104</v>
      </c>
      <c r="C1309" s="1">
        <v>42614</v>
      </c>
      <c r="D1309" s="22">
        <f>MONTH(Table10[[#This Row],[Order Date]])</f>
        <v>9</v>
      </c>
      <c r="E1309" t="s">
        <v>1106</v>
      </c>
      <c r="F1309" t="s">
        <v>1107</v>
      </c>
      <c r="G1309" s="23" t="s">
        <v>41</v>
      </c>
      <c r="H1309" s="23" t="s">
        <v>82</v>
      </c>
      <c r="I1309" t="s">
        <v>1105</v>
      </c>
      <c r="J1309" t="s">
        <v>92</v>
      </c>
      <c r="K1309" s="22">
        <v>2</v>
      </c>
      <c r="L1309" s="1">
        <v>42616</v>
      </c>
      <c r="M1309" s="22">
        <f>Table10[[#This Row],[Ship Date]]-Table10[[#This Row],[Order Date]]</f>
        <v>2</v>
      </c>
      <c r="N1309" t="s">
        <v>169</v>
      </c>
      <c r="O1309" t="s">
        <v>23</v>
      </c>
      <c r="P1309" t="s">
        <v>238</v>
      </c>
      <c r="Q1309" t="s">
        <v>133</v>
      </c>
      <c r="R1309" t="s">
        <v>237</v>
      </c>
      <c r="S1309" s="33">
        <v>0</v>
      </c>
      <c r="T1309" s="13">
        <v>24.56</v>
      </c>
      <c r="U1309" s="13">
        <v>11.543200000000001</v>
      </c>
      <c r="V1309" s="21">
        <f>Table10[[#This Row],[Profit]]/Table10[[#This Row],[Sales]]</f>
        <v>0.47000000000000003</v>
      </c>
    </row>
    <row r="1310" spans="1:22" x14ac:dyDescent="0.2">
      <c r="A1310">
        <v>1309</v>
      </c>
      <c r="B1310" t="s">
        <v>1104</v>
      </c>
      <c r="C1310" s="1">
        <v>42614</v>
      </c>
      <c r="D1310" s="22">
        <f>MONTH(Table10[[#This Row],[Order Date]])</f>
        <v>9</v>
      </c>
      <c r="E1310" t="s">
        <v>1108</v>
      </c>
      <c r="F1310" t="s">
        <v>1109</v>
      </c>
      <c r="G1310" s="23" t="s">
        <v>41</v>
      </c>
      <c r="H1310" s="23" t="s">
        <v>68</v>
      </c>
      <c r="I1310" t="s">
        <v>1105</v>
      </c>
      <c r="J1310" t="s">
        <v>92</v>
      </c>
      <c r="K1310" s="22">
        <v>1</v>
      </c>
      <c r="L1310" s="1">
        <v>42616</v>
      </c>
      <c r="M1310" s="22">
        <f>Table10[[#This Row],[Ship Date]]-Table10[[#This Row],[Order Date]]</f>
        <v>2</v>
      </c>
      <c r="N1310" t="s">
        <v>169</v>
      </c>
      <c r="O1310" t="s">
        <v>23</v>
      </c>
      <c r="P1310" t="s">
        <v>238</v>
      </c>
      <c r="Q1310" t="s">
        <v>133</v>
      </c>
      <c r="R1310" t="s">
        <v>237</v>
      </c>
      <c r="S1310" s="33">
        <v>0.2</v>
      </c>
      <c r="T1310" s="13">
        <v>3.048</v>
      </c>
      <c r="U1310" s="13">
        <v>1.0668</v>
      </c>
      <c r="V1310" s="21">
        <f>Table10[[#This Row],[Profit]]/Table10[[#This Row],[Sales]]</f>
        <v>0.35</v>
      </c>
    </row>
    <row r="1311" spans="1:22" x14ac:dyDescent="0.2">
      <c r="A1311">
        <v>1310</v>
      </c>
      <c r="B1311" t="s">
        <v>1104</v>
      </c>
      <c r="C1311" s="1">
        <v>42614</v>
      </c>
      <c r="D1311" s="22">
        <f>MONTH(Table10[[#This Row],[Order Date]])</f>
        <v>9</v>
      </c>
      <c r="E1311" t="s">
        <v>1106</v>
      </c>
      <c r="F1311" t="s">
        <v>1107</v>
      </c>
      <c r="G1311" s="23" t="s">
        <v>41</v>
      </c>
      <c r="H1311" s="23" t="s">
        <v>82</v>
      </c>
      <c r="I1311" t="s">
        <v>1105</v>
      </c>
      <c r="J1311" t="s">
        <v>92</v>
      </c>
      <c r="K1311" s="22">
        <v>4</v>
      </c>
      <c r="L1311" s="1">
        <v>42616</v>
      </c>
      <c r="M1311" s="22">
        <f>Table10[[#This Row],[Ship Date]]-Table10[[#This Row],[Order Date]]</f>
        <v>2</v>
      </c>
      <c r="N1311" t="s">
        <v>169</v>
      </c>
      <c r="O1311" t="s">
        <v>23</v>
      </c>
      <c r="P1311" t="s">
        <v>238</v>
      </c>
      <c r="Q1311" t="s">
        <v>133</v>
      </c>
      <c r="R1311" t="s">
        <v>237</v>
      </c>
      <c r="S1311" s="33">
        <v>0</v>
      </c>
      <c r="T1311" s="13">
        <v>49.12</v>
      </c>
      <c r="U1311" s="13">
        <v>23.086400000000001</v>
      </c>
      <c r="V1311" s="21">
        <f>Table10[[#This Row],[Profit]]/Table10[[#This Row],[Sales]]</f>
        <v>0.47000000000000003</v>
      </c>
    </row>
    <row r="1312" spans="1:22" x14ac:dyDescent="0.2">
      <c r="A1312">
        <v>1311</v>
      </c>
      <c r="B1312" t="s">
        <v>1104</v>
      </c>
      <c r="C1312" s="1">
        <v>42614</v>
      </c>
      <c r="D1312" s="22">
        <f>MONTH(Table10[[#This Row],[Order Date]])</f>
        <v>9</v>
      </c>
      <c r="E1312" t="s">
        <v>1110</v>
      </c>
      <c r="F1312" t="s">
        <v>1111</v>
      </c>
      <c r="G1312" s="23" t="s">
        <v>41</v>
      </c>
      <c r="H1312" s="23" t="s">
        <v>68</v>
      </c>
      <c r="I1312" t="s">
        <v>1105</v>
      </c>
      <c r="J1312" t="s">
        <v>92</v>
      </c>
      <c r="K1312" s="22">
        <v>4</v>
      </c>
      <c r="L1312" s="1">
        <v>42616</v>
      </c>
      <c r="M1312" s="22">
        <f>Table10[[#This Row],[Ship Date]]-Table10[[#This Row],[Order Date]]</f>
        <v>2</v>
      </c>
      <c r="N1312" t="s">
        <v>169</v>
      </c>
      <c r="O1312" t="s">
        <v>23</v>
      </c>
      <c r="P1312" t="s">
        <v>238</v>
      </c>
      <c r="Q1312" t="s">
        <v>133</v>
      </c>
      <c r="R1312" t="s">
        <v>237</v>
      </c>
      <c r="S1312" s="33">
        <v>0.2</v>
      </c>
      <c r="T1312" s="13">
        <v>4355.1679999999997</v>
      </c>
      <c r="U1312" s="13">
        <v>1415.4295999999999</v>
      </c>
      <c r="V1312" s="21">
        <f>Table10[[#This Row],[Profit]]/Table10[[#This Row],[Sales]]</f>
        <v>0.32500000000000001</v>
      </c>
    </row>
    <row r="1313" spans="1:22" x14ac:dyDescent="0.2">
      <c r="A1313">
        <v>1312</v>
      </c>
      <c r="B1313" t="s">
        <v>2565</v>
      </c>
      <c r="C1313" s="1">
        <v>42614</v>
      </c>
      <c r="D1313" s="22">
        <f>MONTH(Table10[[#This Row],[Order Date]])</f>
        <v>9</v>
      </c>
      <c r="E1313" t="s">
        <v>1596</v>
      </c>
      <c r="F1313" t="s">
        <v>1597</v>
      </c>
      <c r="G1313" s="23" t="s">
        <v>41</v>
      </c>
      <c r="H1313" s="23" t="s">
        <v>155</v>
      </c>
      <c r="I1313" t="s">
        <v>427</v>
      </c>
      <c r="J1313" t="s">
        <v>36</v>
      </c>
      <c r="K1313" s="22">
        <v>2</v>
      </c>
      <c r="L1313" s="1">
        <v>42617</v>
      </c>
      <c r="M1313" s="22">
        <f>Table10[[#This Row],[Ship Date]]-Table10[[#This Row],[Order Date]]</f>
        <v>3</v>
      </c>
      <c r="N1313" t="s">
        <v>169</v>
      </c>
      <c r="O1313" t="s">
        <v>23</v>
      </c>
      <c r="P1313" t="s">
        <v>38</v>
      </c>
      <c r="Q1313" t="s">
        <v>39</v>
      </c>
      <c r="R1313" t="s">
        <v>114</v>
      </c>
      <c r="S1313" s="33">
        <v>0</v>
      </c>
      <c r="T1313" s="13">
        <v>21.88</v>
      </c>
      <c r="U1313" s="13">
        <v>10.94</v>
      </c>
      <c r="V1313" s="21">
        <f>Table10[[#This Row],[Profit]]/Table10[[#This Row],[Sales]]</f>
        <v>0.5</v>
      </c>
    </row>
    <row r="1314" spans="1:22" x14ac:dyDescent="0.2">
      <c r="A1314">
        <v>1313</v>
      </c>
      <c r="B1314" t="s">
        <v>4497</v>
      </c>
      <c r="C1314" s="1">
        <v>42614</v>
      </c>
      <c r="D1314" s="22">
        <f>MONTH(Table10[[#This Row],[Order Date]])</f>
        <v>9</v>
      </c>
      <c r="E1314" t="s">
        <v>294</v>
      </c>
      <c r="F1314" t="s">
        <v>295</v>
      </c>
      <c r="G1314" s="23" t="s">
        <v>41</v>
      </c>
      <c r="H1314" s="23" t="s">
        <v>82</v>
      </c>
      <c r="I1314" t="s">
        <v>1201</v>
      </c>
      <c r="J1314" t="s">
        <v>36</v>
      </c>
      <c r="K1314" s="22">
        <v>6</v>
      </c>
      <c r="L1314" s="1">
        <v>42618</v>
      </c>
      <c r="M1314" s="22">
        <f>Table10[[#This Row],[Ship Date]]-Table10[[#This Row],[Order Date]]</f>
        <v>4</v>
      </c>
      <c r="N1314" t="s">
        <v>45</v>
      </c>
      <c r="O1314" t="s">
        <v>23</v>
      </c>
      <c r="P1314" t="s">
        <v>132</v>
      </c>
      <c r="Q1314" t="s">
        <v>133</v>
      </c>
      <c r="R1314" t="s">
        <v>131</v>
      </c>
      <c r="S1314" s="33">
        <v>0.2</v>
      </c>
      <c r="T1314" s="13">
        <v>30.48</v>
      </c>
      <c r="U1314" s="13">
        <v>9.9060000000000006</v>
      </c>
      <c r="V1314" s="21">
        <f>Table10[[#This Row],[Profit]]/Table10[[#This Row],[Sales]]</f>
        <v>0.32500000000000001</v>
      </c>
    </row>
    <row r="1315" spans="1:22" x14ac:dyDescent="0.2">
      <c r="A1315">
        <v>1314</v>
      </c>
      <c r="B1315" t="s">
        <v>4497</v>
      </c>
      <c r="C1315" s="1">
        <v>42614</v>
      </c>
      <c r="D1315" s="22">
        <f>MONTH(Table10[[#This Row],[Order Date]])</f>
        <v>9</v>
      </c>
      <c r="E1315" t="s">
        <v>493</v>
      </c>
      <c r="F1315" t="s">
        <v>494</v>
      </c>
      <c r="G1315" s="23" t="s">
        <v>64</v>
      </c>
      <c r="H1315" s="23" t="s">
        <v>65</v>
      </c>
      <c r="I1315" t="s">
        <v>1201</v>
      </c>
      <c r="J1315" t="s">
        <v>36</v>
      </c>
      <c r="K1315" s="22">
        <v>2</v>
      </c>
      <c r="L1315" s="1">
        <v>42618</v>
      </c>
      <c r="M1315" s="22">
        <f>Table10[[#This Row],[Ship Date]]-Table10[[#This Row],[Order Date]]</f>
        <v>4</v>
      </c>
      <c r="N1315" t="s">
        <v>45</v>
      </c>
      <c r="O1315" t="s">
        <v>23</v>
      </c>
      <c r="P1315" t="s">
        <v>132</v>
      </c>
      <c r="Q1315" t="s">
        <v>133</v>
      </c>
      <c r="R1315" t="s">
        <v>131</v>
      </c>
      <c r="S1315" s="33">
        <v>0.4</v>
      </c>
      <c r="T1315" s="13">
        <v>23.988</v>
      </c>
      <c r="U1315" s="13">
        <v>-4.7976000000000001</v>
      </c>
      <c r="V1315" s="21">
        <f>Table10[[#This Row],[Profit]]/Table10[[#This Row],[Sales]]</f>
        <v>-0.2</v>
      </c>
    </row>
    <row r="1316" spans="1:22" x14ac:dyDescent="0.2">
      <c r="A1316">
        <v>1315</v>
      </c>
      <c r="B1316" t="s">
        <v>4497</v>
      </c>
      <c r="C1316" s="1">
        <v>42614</v>
      </c>
      <c r="D1316" s="22">
        <f>MONTH(Table10[[#This Row],[Order Date]])</f>
        <v>9</v>
      </c>
      <c r="E1316" t="s">
        <v>497</v>
      </c>
      <c r="F1316" t="s">
        <v>498</v>
      </c>
      <c r="G1316" s="23" t="s">
        <v>41</v>
      </c>
      <c r="H1316" s="23" t="s">
        <v>240</v>
      </c>
      <c r="I1316" t="s">
        <v>1201</v>
      </c>
      <c r="J1316" t="s">
        <v>36</v>
      </c>
      <c r="K1316" s="22">
        <v>7</v>
      </c>
      <c r="L1316" s="1">
        <v>42618</v>
      </c>
      <c r="M1316" s="22">
        <f>Table10[[#This Row],[Ship Date]]-Table10[[#This Row],[Order Date]]</f>
        <v>4</v>
      </c>
      <c r="N1316" t="s">
        <v>45</v>
      </c>
      <c r="O1316" t="s">
        <v>23</v>
      </c>
      <c r="P1316" t="s">
        <v>132</v>
      </c>
      <c r="Q1316" t="s">
        <v>133</v>
      </c>
      <c r="R1316" t="s">
        <v>131</v>
      </c>
      <c r="S1316" s="33">
        <v>0.2</v>
      </c>
      <c r="T1316" s="13">
        <v>16.687999999999999</v>
      </c>
      <c r="U1316" s="13">
        <v>5.4236000000000004</v>
      </c>
      <c r="V1316" s="21">
        <f>Table10[[#This Row],[Profit]]/Table10[[#This Row],[Sales]]</f>
        <v>0.32500000000000007</v>
      </c>
    </row>
    <row r="1317" spans="1:22" x14ac:dyDescent="0.2">
      <c r="A1317">
        <v>1316</v>
      </c>
      <c r="B1317" t="s">
        <v>7898</v>
      </c>
      <c r="C1317" s="1">
        <v>42614</v>
      </c>
      <c r="D1317" s="22">
        <f>MONTH(Table10[[#This Row],[Order Date]])</f>
        <v>9</v>
      </c>
      <c r="E1317" t="s">
        <v>1632</v>
      </c>
      <c r="F1317" t="s">
        <v>1633</v>
      </c>
      <c r="G1317" s="23" t="s">
        <v>64</v>
      </c>
      <c r="H1317" s="23" t="s">
        <v>144</v>
      </c>
      <c r="I1317" t="s">
        <v>2260</v>
      </c>
      <c r="J1317" t="s">
        <v>22</v>
      </c>
      <c r="K1317" s="22">
        <v>6</v>
      </c>
      <c r="L1317" s="1">
        <v>42620</v>
      </c>
      <c r="M1317" s="22">
        <f>Table10[[#This Row],[Ship Date]]-Table10[[#This Row],[Order Date]]</f>
        <v>6</v>
      </c>
      <c r="N1317" t="s">
        <v>45</v>
      </c>
      <c r="O1317" t="s">
        <v>23</v>
      </c>
      <c r="P1317" t="s">
        <v>238</v>
      </c>
      <c r="Q1317" t="s">
        <v>133</v>
      </c>
      <c r="R1317" t="s">
        <v>237</v>
      </c>
      <c r="S1317" s="33">
        <v>0</v>
      </c>
      <c r="T1317" s="13">
        <v>468.9</v>
      </c>
      <c r="U1317" s="13">
        <v>206.316</v>
      </c>
      <c r="V1317" s="21">
        <f>Table10[[#This Row],[Profit]]/Table10[[#This Row],[Sales]]</f>
        <v>0.44</v>
      </c>
    </row>
    <row r="1318" spans="1:22" x14ac:dyDescent="0.2">
      <c r="A1318">
        <v>1317</v>
      </c>
      <c r="B1318" t="s">
        <v>7898</v>
      </c>
      <c r="C1318" s="1">
        <v>42614</v>
      </c>
      <c r="D1318" s="22">
        <f>MONTH(Table10[[#This Row],[Order Date]])</f>
        <v>9</v>
      </c>
      <c r="E1318" t="s">
        <v>5815</v>
      </c>
      <c r="F1318" t="s">
        <v>5816</v>
      </c>
      <c r="G1318" s="23" t="s">
        <v>64</v>
      </c>
      <c r="H1318" s="23" t="s">
        <v>144</v>
      </c>
      <c r="I1318" t="s">
        <v>2260</v>
      </c>
      <c r="J1318" t="s">
        <v>22</v>
      </c>
      <c r="K1318" s="22">
        <v>2</v>
      </c>
      <c r="L1318" s="1">
        <v>42620</v>
      </c>
      <c r="M1318" s="22">
        <f>Table10[[#This Row],[Ship Date]]-Table10[[#This Row],[Order Date]]</f>
        <v>6</v>
      </c>
      <c r="N1318" t="s">
        <v>45</v>
      </c>
      <c r="O1318" t="s">
        <v>23</v>
      </c>
      <c r="P1318" t="s">
        <v>238</v>
      </c>
      <c r="Q1318" t="s">
        <v>133</v>
      </c>
      <c r="R1318" t="s">
        <v>237</v>
      </c>
      <c r="S1318" s="33">
        <v>0</v>
      </c>
      <c r="T1318" s="13">
        <v>72.48</v>
      </c>
      <c r="U1318" s="13">
        <v>30.441600000000001</v>
      </c>
      <c r="V1318" s="21">
        <f>Table10[[#This Row],[Profit]]/Table10[[#This Row],[Sales]]</f>
        <v>0.42</v>
      </c>
    </row>
    <row r="1319" spans="1:22" x14ac:dyDescent="0.2">
      <c r="A1319">
        <v>1318</v>
      </c>
      <c r="B1319" t="s">
        <v>7898</v>
      </c>
      <c r="C1319" s="1">
        <v>42614</v>
      </c>
      <c r="D1319" s="22">
        <f>MONTH(Table10[[#This Row],[Order Date]])</f>
        <v>9</v>
      </c>
      <c r="E1319" t="s">
        <v>1722</v>
      </c>
      <c r="F1319" t="s">
        <v>1723</v>
      </c>
      <c r="G1319" s="23" t="s">
        <v>41</v>
      </c>
      <c r="H1319" s="23" t="s">
        <v>513</v>
      </c>
      <c r="I1319" t="s">
        <v>2260</v>
      </c>
      <c r="J1319" t="s">
        <v>22</v>
      </c>
      <c r="K1319" s="22">
        <v>3</v>
      </c>
      <c r="L1319" s="1">
        <v>42620</v>
      </c>
      <c r="M1319" s="22">
        <f>Table10[[#This Row],[Ship Date]]-Table10[[#This Row],[Order Date]]</f>
        <v>6</v>
      </c>
      <c r="N1319" t="s">
        <v>45</v>
      </c>
      <c r="O1319" t="s">
        <v>23</v>
      </c>
      <c r="P1319" t="s">
        <v>238</v>
      </c>
      <c r="Q1319" t="s">
        <v>133</v>
      </c>
      <c r="R1319" t="s">
        <v>237</v>
      </c>
      <c r="S1319" s="33">
        <v>0</v>
      </c>
      <c r="T1319" s="13">
        <v>10.95</v>
      </c>
      <c r="U1319" s="13">
        <v>3.2850000000000001</v>
      </c>
      <c r="V1319" s="21">
        <f>Table10[[#This Row],[Profit]]/Table10[[#This Row],[Sales]]</f>
        <v>0.30000000000000004</v>
      </c>
    </row>
    <row r="1320" spans="1:22" x14ac:dyDescent="0.2">
      <c r="A1320">
        <v>1319</v>
      </c>
      <c r="B1320" t="s">
        <v>7898</v>
      </c>
      <c r="C1320" s="1">
        <v>42614</v>
      </c>
      <c r="D1320" s="22">
        <f>MONTH(Table10[[#This Row],[Order Date]])</f>
        <v>9</v>
      </c>
      <c r="E1320" t="s">
        <v>1517</v>
      </c>
      <c r="F1320" t="s">
        <v>1518</v>
      </c>
      <c r="G1320" s="23" t="s">
        <v>28</v>
      </c>
      <c r="H1320" s="23" t="s">
        <v>58</v>
      </c>
      <c r="I1320" t="s">
        <v>2260</v>
      </c>
      <c r="J1320" t="s">
        <v>22</v>
      </c>
      <c r="K1320" s="22">
        <v>3</v>
      </c>
      <c r="L1320" s="1">
        <v>42620</v>
      </c>
      <c r="M1320" s="22">
        <f>Table10[[#This Row],[Ship Date]]-Table10[[#This Row],[Order Date]]</f>
        <v>6</v>
      </c>
      <c r="N1320" t="s">
        <v>45</v>
      </c>
      <c r="O1320" t="s">
        <v>23</v>
      </c>
      <c r="P1320" t="s">
        <v>238</v>
      </c>
      <c r="Q1320" t="s">
        <v>133</v>
      </c>
      <c r="R1320" t="s">
        <v>237</v>
      </c>
      <c r="S1320" s="33">
        <v>0</v>
      </c>
      <c r="T1320" s="13">
        <v>191.82</v>
      </c>
      <c r="U1320" s="13">
        <v>61.382399999999997</v>
      </c>
      <c r="V1320" s="21">
        <f>Table10[[#This Row],[Profit]]/Table10[[#This Row],[Sales]]</f>
        <v>0.32</v>
      </c>
    </row>
    <row r="1321" spans="1:22" x14ac:dyDescent="0.2">
      <c r="A1321">
        <v>1320</v>
      </c>
      <c r="B1321" t="s">
        <v>8445</v>
      </c>
      <c r="C1321" s="1">
        <v>42614</v>
      </c>
      <c r="D1321" s="22">
        <f>MONTH(Table10[[#This Row],[Order Date]])</f>
        <v>9</v>
      </c>
      <c r="E1321" t="s">
        <v>1857</v>
      </c>
      <c r="F1321" t="s">
        <v>1858</v>
      </c>
      <c r="G1321" s="23" t="s">
        <v>41</v>
      </c>
      <c r="H1321" s="23" t="s">
        <v>68</v>
      </c>
      <c r="I1321" t="s">
        <v>2550</v>
      </c>
      <c r="J1321" t="s">
        <v>22</v>
      </c>
      <c r="K1321" s="22">
        <v>5</v>
      </c>
      <c r="L1321" s="1">
        <v>42618</v>
      </c>
      <c r="M1321" s="22">
        <f>Table10[[#This Row],[Ship Date]]-Table10[[#This Row],[Order Date]]</f>
        <v>4</v>
      </c>
      <c r="N1321" t="s">
        <v>45</v>
      </c>
      <c r="O1321" t="s">
        <v>23</v>
      </c>
      <c r="P1321" t="s">
        <v>212</v>
      </c>
      <c r="Q1321" t="s">
        <v>95</v>
      </c>
      <c r="R1321" t="s">
        <v>775</v>
      </c>
      <c r="S1321" s="33">
        <v>0</v>
      </c>
      <c r="T1321" s="13">
        <v>24.1</v>
      </c>
      <c r="U1321" s="13">
        <v>11.086</v>
      </c>
      <c r="V1321" s="21">
        <f>Table10[[#This Row],[Profit]]/Table10[[#This Row],[Sales]]</f>
        <v>0.45999999999999996</v>
      </c>
    </row>
    <row r="1322" spans="1:22" x14ac:dyDescent="0.2">
      <c r="A1322">
        <v>1321</v>
      </c>
      <c r="B1322" t="s">
        <v>8445</v>
      </c>
      <c r="C1322" s="1">
        <v>42614</v>
      </c>
      <c r="D1322" s="22">
        <f>MONTH(Table10[[#This Row],[Order Date]])</f>
        <v>9</v>
      </c>
      <c r="E1322" t="s">
        <v>1391</v>
      </c>
      <c r="F1322" t="s">
        <v>1392</v>
      </c>
      <c r="G1322" s="23" t="s">
        <v>64</v>
      </c>
      <c r="H1322" s="23" t="s">
        <v>65</v>
      </c>
      <c r="I1322" t="s">
        <v>2550</v>
      </c>
      <c r="J1322" t="s">
        <v>22</v>
      </c>
      <c r="K1322" s="22">
        <v>1</v>
      </c>
      <c r="L1322" s="1">
        <v>42618</v>
      </c>
      <c r="M1322" s="22">
        <f>Table10[[#This Row],[Ship Date]]-Table10[[#This Row],[Order Date]]</f>
        <v>4</v>
      </c>
      <c r="N1322" t="s">
        <v>45</v>
      </c>
      <c r="O1322" t="s">
        <v>23</v>
      </c>
      <c r="P1322" t="s">
        <v>212</v>
      </c>
      <c r="Q1322" t="s">
        <v>95</v>
      </c>
      <c r="R1322" t="s">
        <v>775</v>
      </c>
      <c r="S1322" s="33">
        <v>0</v>
      </c>
      <c r="T1322" s="13">
        <v>8.7799999999999994</v>
      </c>
      <c r="U1322" s="13">
        <v>2.2827999999999999</v>
      </c>
      <c r="V1322" s="21">
        <f>Table10[[#This Row],[Profit]]/Table10[[#This Row],[Sales]]</f>
        <v>0.26</v>
      </c>
    </row>
    <row r="1323" spans="1:22" x14ac:dyDescent="0.2">
      <c r="A1323">
        <v>1322</v>
      </c>
      <c r="B1323" t="s">
        <v>8445</v>
      </c>
      <c r="C1323" s="1">
        <v>42614</v>
      </c>
      <c r="D1323" s="22">
        <f>MONTH(Table10[[#This Row],[Order Date]])</f>
        <v>9</v>
      </c>
      <c r="E1323" t="s">
        <v>1879</v>
      </c>
      <c r="F1323" t="s">
        <v>1880</v>
      </c>
      <c r="G1323" s="23" t="s">
        <v>41</v>
      </c>
      <c r="H1323" s="23" t="s">
        <v>71</v>
      </c>
      <c r="I1323" t="s">
        <v>2550</v>
      </c>
      <c r="J1323" t="s">
        <v>22</v>
      </c>
      <c r="K1323" s="22">
        <v>4</v>
      </c>
      <c r="L1323" s="1">
        <v>42618</v>
      </c>
      <c r="M1323" s="22">
        <f>Table10[[#This Row],[Ship Date]]-Table10[[#This Row],[Order Date]]</f>
        <v>4</v>
      </c>
      <c r="N1323" t="s">
        <v>45</v>
      </c>
      <c r="O1323" t="s">
        <v>23</v>
      </c>
      <c r="P1323" t="s">
        <v>212</v>
      </c>
      <c r="Q1323" t="s">
        <v>95</v>
      </c>
      <c r="R1323" t="s">
        <v>775</v>
      </c>
      <c r="S1323" s="33">
        <v>0.1</v>
      </c>
      <c r="T1323" s="13">
        <v>376.74</v>
      </c>
      <c r="U1323" s="13">
        <v>71.162000000000006</v>
      </c>
      <c r="V1323" s="21">
        <f>Table10[[#This Row],[Profit]]/Table10[[#This Row],[Sales]]</f>
        <v>0.18888888888888891</v>
      </c>
    </row>
    <row r="1324" spans="1:22" x14ac:dyDescent="0.2">
      <c r="A1324">
        <v>1323</v>
      </c>
      <c r="B1324" t="s">
        <v>8445</v>
      </c>
      <c r="C1324" s="1">
        <v>42614</v>
      </c>
      <c r="D1324" s="22">
        <f>MONTH(Table10[[#This Row],[Order Date]])</f>
        <v>9</v>
      </c>
      <c r="E1324" t="s">
        <v>2683</v>
      </c>
      <c r="F1324" t="s">
        <v>2684</v>
      </c>
      <c r="G1324" s="23" t="s">
        <v>41</v>
      </c>
      <c r="H1324" s="23" t="s">
        <v>68</v>
      </c>
      <c r="I1324" t="s">
        <v>2550</v>
      </c>
      <c r="J1324" t="s">
        <v>22</v>
      </c>
      <c r="K1324" s="22">
        <v>4</v>
      </c>
      <c r="L1324" s="1">
        <v>42618</v>
      </c>
      <c r="M1324" s="22">
        <f>Table10[[#This Row],[Ship Date]]-Table10[[#This Row],[Order Date]]</f>
        <v>4</v>
      </c>
      <c r="N1324" t="s">
        <v>45</v>
      </c>
      <c r="O1324" t="s">
        <v>23</v>
      </c>
      <c r="P1324" t="s">
        <v>212</v>
      </c>
      <c r="Q1324" t="s">
        <v>95</v>
      </c>
      <c r="R1324" t="s">
        <v>775</v>
      </c>
      <c r="S1324" s="33">
        <v>0</v>
      </c>
      <c r="T1324" s="13">
        <v>29.52</v>
      </c>
      <c r="U1324" s="13">
        <v>14.4648</v>
      </c>
      <c r="V1324" s="21">
        <f>Table10[[#This Row],[Profit]]/Table10[[#This Row],[Sales]]</f>
        <v>0.49</v>
      </c>
    </row>
    <row r="1325" spans="1:22" x14ac:dyDescent="0.2">
      <c r="A1325">
        <v>1324</v>
      </c>
      <c r="B1325" t="s">
        <v>8445</v>
      </c>
      <c r="C1325" s="1">
        <v>42614</v>
      </c>
      <c r="D1325" s="22">
        <f>MONTH(Table10[[#This Row],[Order Date]])</f>
        <v>9</v>
      </c>
      <c r="E1325" t="s">
        <v>3021</v>
      </c>
      <c r="F1325" t="s">
        <v>3022</v>
      </c>
      <c r="G1325" s="23" t="s">
        <v>41</v>
      </c>
      <c r="H1325" s="23" t="s">
        <v>61</v>
      </c>
      <c r="I1325" t="s">
        <v>2550</v>
      </c>
      <c r="J1325" t="s">
        <v>22</v>
      </c>
      <c r="K1325" s="22">
        <v>2</v>
      </c>
      <c r="L1325" s="1">
        <v>42618</v>
      </c>
      <c r="M1325" s="22">
        <f>Table10[[#This Row],[Ship Date]]-Table10[[#This Row],[Order Date]]</f>
        <v>4</v>
      </c>
      <c r="N1325" t="s">
        <v>45</v>
      </c>
      <c r="O1325" t="s">
        <v>23</v>
      </c>
      <c r="P1325" t="s">
        <v>212</v>
      </c>
      <c r="Q1325" t="s">
        <v>95</v>
      </c>
      <c r="R1325" t="s">
        <v>775</v>
      </c>
      <c r="S1325" s="33">
        <v>0</v>
      </c>
      <c r="T1325" s="13">
        <v>11.96</v>
      </c>
      <c r="U1325" s="13">
        <v>2.99</v>
      </c>
      <c r="V1325" s="21">
        <f>Table10[[#This Row],[Profit]]/Table10[[#This Row],[Sales]]</f>
        <v>0.25</v>
      </c>
    </row>
    <row r="1326" spans="1:22" x14ac:dyDescent="0.2">
      <c r="A1326">
        <v>1325</v>
      </c>
      <c r="B1326" t="s">
        <v>8445</v>
      </c>
      <c r="C1326" s="1">
        <v>42614</v>
      </c>
      <c r="D1326" s="22">
        <f>MONTH(Table10[[#This Row],[Order Date]])</f>
        <v>9</v>
      </c>
      <c r="E1326" t="s">
        <v>3808</v>
      </c>
      <c r="F1326" t="s">
        <v>3809</v>
      </c>
      <c r="G1326" s="23" t="s">
        <v>41</v>
      </c>
      <c r="H1326" s="23" t="s">
        <v>68</v>
      </c>
      <c r="I1326" t="s">
        <v>2550</v>
      </c>
      <c r="J1326" t="s">
        <v>22</v>
      </c>
      <c r="K1326" s="22">
        <v>5</v>
      </c>
      <c r="L1326" s="1">
        <v>42618</v>
      </c>
      <c r="M1326" s="22">
        <f>Table10[[#This Row],[Ship Date]]-Table10[[#This Row],[Order Date]]</f>
        <v>4</v>
      </c>
      <c r="N1326" t="s">
        <v>45</v>
      </c>
      <c r="O1326" t="s">
        <v>23</v>
      </c>
      <c r="P1326" t="s">
        <v>212</v>
      </c>
      <c r="Q1326" t="s">
        <v>95</v>
      </c>
      <c r="R1326" t="s">
        <v>775</v>
      </c>
      <c r="S1326" s="33">
        <v>0</v>
      </c>
      <c r="T1326" s="13">
        <v>26.4</v>
      </c>
      <c r="U1326" s="13">
        <v>12.672000000000001</v>
      </c>
      <c r="V1326" s="21">
        <f>Table10[[#This Row],[Profit]]/Table10[[#This Row],[Sales]]</f>
        <v>0.48000000000000004</v>
      </c>
    </row>
    <row r="1327" spans="1:22" x14ac:dyDescent="0.2">
      <c r="A1327">
        <v>1326</v>
      </c>
      <c r="B1327" t="s">
        <v>8722</v>
      </c>
      <c r="C1327" s="1">
        <v>42614</v>
      </c>
      <c r="D1327" s="22">
        <f>MONTH(Table10[[#This Row],[Order Date]])</f>
        <v>9</v>
      </c>
      <c r="E1327" t="s">
        <v>466</v>
      </c>
      <c r="F1327" t="s">
        <v>467</v>
      </c>
      <c r="G1327" s="23" t="s">
        <v>41</v>
      </c>
      <c r="H1327" s="23" t="s">
        <v>155</v>
      </c>
      <c r="I1327" t="s">
        <v>5787</v>
      </c>
      <c r="J1327" t="s">
        <v>92</v>
      </c>
      <c r="K1327" s="22">
        <v>1</v>
      </c>
      <c r="L1327" s="1">
        <v>42616</v>
      </c>
      <c r="M1327" s="22">
        <f>Table10[[#This Row],[Ship Date]]-Table10[[#This Row],[Order Date]]</f>
        <v>2</v>
      </c>
      <c r="N1327" t="s">
        <v>20</v>
      </c>
      <c r="O1327" t="s">
        <v>23</v>
      </c>
      <c r="P1327" t="s">
        <v>38</v>
      </c>
      <c r="Q1327" t="s">
        <v>39</v>
      </c>
      <c r="R1327" t="s">
        <v>1286</v>
      </c>
      <c r="S1327" s="33">
        <v>0</v>
      </c>
      <c r="T1327" s="13">
        <v>12.78</v>
      </c>
      <c r="U1327" s="13">
        <v>5.7510000000000003</v>
      </c>
      <c r="V1327" s="21">
        <f>Table10[[#This Row],[Profit]]/Table10[[#This Row],[Sales]]</f>
        <v>0.45000000000000007</v>
      </c>
    </row>
    <row r="1328" spans="1:22" x14ac:dyDescent="0.2">
      <c r="A1328">
        <v>1327</v>
      </c>
      <c r="B1328" t="s">
        <v>3374</v>
      </c>
      <c r="C1328" s="1">
        <v>42615</v>
      </c>
      <c r="D1328" s="22">
        <f>MONTH(Table10[[#This Row],[Order Date]])</f>
        <v>9</v>
      </c>
      <c r="E1328" t="s">
        <v>3375</v>
      </c>
      <c r="F1328" t="s">
        <v>3376</v>
      </c>
      <c r="G1328" s="23" t="s">
        <v>41</v>
      </c>
      <c r="H1328" s="23" t="s">
        <v>61</v>
      </c>
      <c r="I1328" t="s">
        <v>283</v>
      </c>
      <c r="J1328" t="s">
        <v>22</v>
      </c>
      <c r="K1328" s="22">
        <v>2</v>
      </c>
      <c r="L1328" s="1">
        <v>42619</v>
      </c>
      <c r="M1328" s="22">
        <f>Table10[[#This Row],[Ship Date]]-Table10[[#This Row],[Order Date]]</f>
        <v>4</v>
      </c>
      <c r="N1328" t="s">
        <v>45</v>
      </c>
      <c r="O1328" t="s">
        <v>23</v>
      </c>
      <c r="P1328" t="s">
        <v>238</v>
      </c>
      <c r="Q1328" t="s">
        <v>133</v>
      </c>
      <c r="R1328" t="s">
        <v>237</v>
      </c>
      <c r="S1328" s="33">
        <v>0</v>
      </c>
      <c r="T1328" s="13">
        <v>75.48</v>
      </c>
      <c r="U1328" s="13">
        <v>19.6248</v>
      </c>
      <c r="V1328" s="21">
        <f>Table10[[#This Row],[Profit]]/Table10[[#This Row],[Sales]]</f>
        <v>0.26</v>
      </c>
    </row>
    <row r="1329" spans="1:22" x14ac:dyDescent="0.2">
      <c r="A1329">
        <v>1328</v>
      </c>
      <c r="B1329" t="s">
        <v>3374</v>
      </c>
      <c r="C1329" s="1">
        <v>42615</v>
      </c>
      <c r="D1329" s="22">
        <f>MONTH(Table10[[#This Row],[Order Date]])</f>
        <v>9</v>
      </c>
      <c r="E1329" t="s">
        <v>1048</v>
      </c>
      <c r="F1329" t="s">
        <v>1049</v>
      </c>
      <c r="G1329" s="23" t="s">
        <v>28</v>
      </c>
      <c r="H1329" s="23" t="s">
        <v>58</v>
      </c>
      <c r="I1329" t="s">
        <v>283</v>
      </c>
      <c r="J1329" t="s">
        <v>22</v>
      </c>
      <c r="K1329" s="22">
        <v>2</v>
      </c>
      <c r="L1329" s="1">
        <v>42619</v>
      </c>
      <c r="M1329" s="22">
        <f>Table10[[#This Row],[Ship Date]]-Table10[[#This Row],[Order Date]]</f>
        <v>4</v>
      </c>
      <c r="N1329" t="s">
        <v>45</v>
      </c>
      <c r="O1329" t="s">
        <v>23</v>
      </c>
      <c r="P1329" t="s">
        <v>238</v>
      </c>
      <c r="Q1329" t="s">
        <v>133</v>
      </c>
      <c r="R1329" t="s">
        <v>237</v>
      </c>
      <c r="S1329" s="33">
        <v>0</v>
      </c>
      <c r="T1329" s="13">
        <v>39.979999999999997</v>
      </c>
      <c r="U1329" s="13">
        <v>9.9949999999999992</v>
      </c>
      <c r="V1329" s="21">
        <f>Table10[[#This Row],[Profit]]/Table10[[#This Row],[Sales]]</f>
        <v>0.25</v>
      </c>
    </row>
    <row r="1330" spans="1:22" x14ac:dyDescent="0.2">
      <c r="A1330">
        <v>1329</v>
      </c>
      <c r="B1330" t="s">
        <v>5915</v>
      </c>
      <c r="C1330" s="1">
        <v>42615</v>
      </c>
      <c r="D1330" s="22">
        <f>MONTH(Table10[[#This Row],[Order Date]])</f>
        <v>9</v>
      </c>
      <c r="E1330" t="s">
        <v>3822</v>
      </c>
      <c r="F1330" t="s">
        <v>3823</v>
      </c>
      <c r="G1330" s="23" t="s">
        <v>41</v>
      </c>
      <c r="H1330" s="23" t="s">
        <v>240</v>
      </c>
      <c r="I1330" t="s">
        <v>1500</v>
      </c>
      <c r="J1330" t="s">
        <v>22</v>
      </c>
      <c r="K1330" s="22">
        <v>1</v>
      </c>
      <c r="L1330" s="1">
        <v>42615</v>
      </c>
      <c r="M1330" s="22">
        <f>Table10[[#This Row],[Ship Date]]-Table10[[#This Row],[Order Date]]</f>
        <v>0</v>
      </c>
      <c r="N1330" t="s">
        <v>1141</v>
      </c>
      <c r="O1330" t="s">
        <v>23</v>
      </c>
      <c r="P1330" t="s">
        <v>103</v>
      </c>
      <c r="Q1330" t="s">
        <v>95</v>
      </c>
      <c r="R1330" t="s">
        <v>102</v>
      </c>
      <c r="S1330" s="33">
        <v>0</v>
      </c>
      <c r="T1330" s="13">
        <v>1.81</v>
      </c>
      <c r="U1330" s="13">
        <v>0.65159999999999996</v>
      </c>
      <c r="V1330" s="21">
        <f>Table10[[#This Row],[Profit]]/Table10[[#This Row],[Sales]]</f>
        <v>0.36</v>
      </c>
    </row>
    <row r="1331" spans="1:22" x14ac:dyDescent="0.2">
      <c r="A1331">
        <v>1330</v>
      </c>
      <c r="B1331" t="s">
        <v>5915</v>
      </c>
      <c r="C1331" s="1">
        <v>42615</v>
      </c>
      <c r="D1331" s="22">
        <f>MONTH(Table10[[#This Row],[Order Date]])</f>
        <v>9</v>
      </c>
      <c r="E1331" t="s">
        <v>3170</v>
      </c>
      <c r="F1331" t="s">
        <v>3171</v>
      </c>
      <c r="G1331" s="23" t="s">
        <v>41</v>
      </c>
      <c r="H1331" s="23" t="s">
        <v>68</v>
      </c>
      <c r="I1331" t="s">
        <v>1500</v>
      </c>
      <c r="J1331" t="s">
        <v>22</v>
      </c>
      <c r="K1331" s="22">
        <v>2</v>
      </c>
      <c r="L1331" s="1">
        <v>42615</v>
      </c>
      <c r="M1331" s="22">
        <f>Table10[[#This Row],[Ship Date]]-Table10[[#This Row],[Order Date]]</f>
        <v>0</v>
      </c>
      <c r="N1331" t="s">
        <v>1141</v>
      </c>
      <c r="O1331" t="s">
        <v>23</v>
      </c>
      <c r="P1331" t="s">
        <v>103</v>
      </c>
      <c r="Q1331" t="s">
        <v>95</v>
      </c>
      <c r="R1331" t="s">
        <v>102</v>
      </c>
      <c r="S1331" s="33">
        <v>0</v>
      </c>
      <c r="T1331" s="13">
        <v>8.26</v>
      </c>
      <c r="U1331" s="13">
        <v>3.8822000000000001</v>
      </c>
      <c r="V1331" s="21">
        <f>Table10[[#This Row],[Profit]]/Table10[[#This Row],[Sales]]</f>
        <v>0.47000000000000003</v>
      </c>
    </row>
    <row r="1332" spans="1:22" x14ac:dyDescent="0.2">
      <c r="A1332">
        <v>1331</v>
      </c>
      <c r="B1332" t="s">
        <v>7472</v>
      </c>
      <c r="C1332" s="1">
        <v>42615</v>
      </c>
      <c r="D1332" s="22">
        <f>MONTH(Table10[[#This Row],[Order Date]])</f>
        <v>9</v>
      </c>
      <c r="E1332" t="s">
        <v>643</v>
      </c>
      <c r="F1332" t="s">
        <v>644</v>
      </c>
      <c r="G1332" s="23" t="s">
        <v>41</v>
      </c>
      <c r="H1332" s="23" t="s">
        <v>53</v>
      </c>
      <c r="I1332" t="s">
        <v>3315</v>
      </c>
      <c r="J1332" t="s">
        <v>92</v>
      </c>
      <c r="K1332" s="22">
        <v>3</v>
      </c>
      <c r="L1332" s="1">
        <v>42617</v>
      </c>
      <c r="M1332" s="22">
        <f>Table10[[#This Row],[Ship Date]]-Table10[[#This Row],[Order Date]]</f>
        <v>2</v>
      </c>
      <c r="N1332" t="s">
        <v>169</v>
      </c>
      <c r="O1332" t="s">
        <v>23</v>
      </c>
      <c r="P1332" t="s">
        <v>38</v>
      </c>
      <c r="Q1332" t="s">
        <v>39</v>
      </c>
      <c r="R1332" t="s">
        <v>114</v>
      </c>
      <c r="S1332" s="33">
        <v>0</v>
      </c>
      <c r="T1332" s="13">
        <v>46.53</v>
      </c>
      <c r="U1332" s="13">
        <v>12.097799999999999</v>
      </c>
      <c r="V1332" s="21">
        <f>Table10[[#This Row],[Profit]]/Table10[[#This Row],[Sales]]</f>
        <v>0.26</v>
      </c>
    </row>
    <row r="1333" spans="1:22" x14ac:dyDescent="0.2">
      <c r="A1333">
        <v>1332</v>
      </c>
      <c r="B1333" t="s">
        <v>8304</v>
      </c>
      <c r="C1333" s="1">
        <v>42615</v>
      </c>
      <c r="D1333" s="22">
        <f>MONTH(Table10[[#This Row],[Order Date]])</f>
        <v>9</v>
      </c>
      <c r="E1333" t="s">
        <v>40</v>
      </c>
      <c r="F1333" t="s">
        <v>43</v>
      </c>
      <c r="G1333" s="23" t="s">
        <v>41</v>
      </c>
      <c r="H1333" s="23" t="s">
        <v>42</v>
      </c>
      <c r="I1333" t="s">
        <v>1607</v>
      </c>
      <c r="J1333" t="s">
        <v>22</v>
      </c>
      <c r="K1333" s="22">
        <v>5</v>
      </c>
      <c r="L1333" s="1">
        <v>42621</v>
      </c>
      <c r="M1333" s="22">
        <f>Table10[[#This Row],[Ship Date]]-Table10[[#This Row],[Order Date]]</f>
        <v>6</v>
      </c>
      <c r="N1333" t="s">
        <v>45</v>
      </c>
      <c r="O1333" t="s">
        <v>23</v>
      </c>
      <c r="P1333" t="s">
        <v>189</v>
      </c>
      <c r="Q1333" t="s">
        <v>95</v>
      </c>
      <c r="R1333" t="s">
        <v>271</v>
      </c>
      <c r="S1333" s="33">
        <v>0.2</v>
      </c>
      <c r="T1333" s="13">
        <v>29.24</v>
      </c>
      <c r="U1333" s="13">
        <v>9.8684999999999992</v>
      </c>
      <c r="V1333" s="21">
        <f>Table10[[#This Row],[Profit]]/Table10[[#This Row],[Sales]]</f>
        <v>0.33749999999999997</v>
      </c>
    </row>
    <row r="1334" spans="1:22" x14ac:dyDescent="0.2">
      <c r="A1334">
        <v>1333</v>
      </c>
      <c r="B1334" t="s">
        <v>8304</v>
      </c>
      <c r="C1334" s="1">
        <v>42615</v>
      </c>
      <c r="D1334" s="22">
        <f>MONTH(Table10[[#This Row],[Order Date]])</f>
        <v>9</v>
      </c>
      <c r="E1334" t="s">
        <v>780</v>
      </c>
      <c r="F1334" t="s">
        <v>781</v>
      </c>
      <c r="G1334" s="23" t="s">
        <v>41</v>
      </c>
      <c r="H1334" s="23" t="s">
        <v>53</v>
      </c>
      <c r="I1334" t="s">
        <v>1607</v>
      </c>
      <c r="J1334" t="s">
        <v>22</v>
      </c>
      <c r="K1334" s="22">
        <v>2</v>
      </c>
      <c r="L1334" s="1">
        <v>42621</v>
      </c>
      <c r="M1334" s="22">
        <f>Table10[[#This Row],[Ship Date]]-Table10[[#This Row],[Order Date]]</f>
        <v>6</v>
      </c>
      <c r="N1334" t="s">
        <v>45</v>
      </c>
      <c r="O1334" t="s">
        <v>23</v>
      </c>
      <c r="P1334" t="s">
        <v>189</v>
      </c>
      <c r="Q1334" t="s">
        <v>95</v>
      </c>
      <c r="R1334" t="s">
        <v>271</v>
      </c>
      <c r="S1334" s="33">
        <v>0.2</v>
      </c>
      <c r="T1334" s="13">
        <v>35.167999999999999</v>
      </c>
      <c r="U1334" s="13">
        <v>-8.3523999999999994</v>
      </c>
      <c r="V1334" s="21">
        <f>Table10[[#This Row],[Profit]]/Table10[[#This Row],[Sales]]</f>
        <v>-0.23749999999999999</v>
      </c>
    </row>
    <row r="1335" spans="1:22" x14ac:dyDescent="0.2">
      <c r="A1335">
        <v>1334</v>
      </c>
      <c r="B1335" t="s">
        <v>8304</v>
      </c>
      <c r="C1335" s="1">
        <v>42615</v>
      </c>
      <c r="D1335" s="22">
        <f>MONTH(Table10[[#This Row],[Order Date]])</f>
        <v>9</v>
      </c>
      <c r="E1335" t="s">
        <v>8305</v>
      </c>
      <c r="F1335" t="s">
        <v>8306</v>
      </c>
      <c r="G1335" s="23" t="s">
        <v>64</v>
      </c>
      <c r="H1335" s="23" t="s">
        <v>602</v>
      </c>
      <c r="I1335" t="s">
        <v>1607</v>
      </c>
      <c r="J1335" t="s">
        <v>22</v>
      </c>
      <c r="K1335" s="22">
        <v>3</v>
      </c>
      <c r="L1335" s="1">
        <v>42621</v>
      </c>
      <c r="M1335" s="22">
        <f>Table10[[#This Row],[Ship Date]]-Table10[[#This Row],[Order Date]]</f>
        <v>6</v>
      </c>
      <c r="N1335" t="s">
        <v>45</v>
      </c>
      <c r="O1335" t="s">
        <v>23</v>
      </c>
      <c r="P1335" t="s">
        <v>189</v>
      </c>
      <c r="Q1335" t="s">
        <v>95</v>
      </c>
      <c r="R1335" t="s">
        <v>271</v>
      </c>
      <c r="S1335" s="33">
        <v>0.3</v>
      </c>
      <c r="T1335" s="13">
        <v>1362.9</v>
      </c>
      <c r="U1335" s="13">
        <v>-19.47</v>
      </c>
      <c r="V1335" s="21">
        <f>Table10[[#This Row],[Profit]]/Table10[[#This Row],[Sales]]</f>
        <v>-1.4285714285714284E-2</v>
      </c>
    </row>
    <row r="1336" spans="1:22" x14ac:dyDescent="0.2">
      <c r="A1336">
        <v>1335</v>
      </c>
      <c r="B1336" t="s">
        <v>8410</v>
      </c>
      <c r="C1336" s="1">
        <v>42615</v>
      </c>
      <c r="D1336" s="22">
        <f>MONTH(Table10[[#This Row],[Order Date]])</f>
        <v>9</v>
      </c>
      <c r="E1336" t="s">
        <v>8411</v>
      </c>
      <c r="F1336" t="s">
        <v>8412</v>
      </c>
      <c r="G1336" s="23" t="s">
        <v>28</v>
      </c>
      <c r="H1336" s="23" t="s">
        <v>58</v>
      </c>
      <c r="I1336" t="s">
        <v>5104</v>
      </c>
      <c r="J1336" t="s">
        <v>92</v>
      </c>
      <c r="K1336" s="22">
        <v>2</v>
      </c>
      <c r="L1336" s="1">
        <v>42617</v>
      </c>
      <c r="M1336" s="22">
        <f>Table10[[#This Row],[Ship Date]]-Table10[[#This Row],[Order Date]]</f>
        <v>2</v>
      </c>
      <c r="N1336" t="s">
        <v>169</v>
      </c>
      <c r="O1336" t="s">
        <v>23</v>
      </c>
      <c r="P1336" t="s">
        <v>189</v>
      </c>
      <c r="Q1336" t="s">
        <v>95</v>
      </c>
      <c r="R1336" t="s">
        <v>271</v>
      </c>
      <c r="S1336" s="33">
        <v>0.6</v>
      </c>
      <c r="T1336" s="13">
        <v>84.272000000000006</v>
      </c>
      <c r="U1336" s="13">
        <v>-75.844800000000006</v>
      </c>
      <c r="V1336" s="21">
        <f>Table10[[#This Row],[Profit]]/Table10[[#This Row],[Sales]]</f>
        <v>-0.9</v>
      </c>
    </row>
    <row r="1337" spans="1:22" x14ac:dyDescent="0.2">
      <c r="A1337">
        <v>1336</v>
      </c>
      <c r="B1337" t="s">
        <v>8499</v>
      </c>
      <c r="C1337" s="1">
        <v>42615</v>
      </c>
      <c r="D1337" s="22">
        <f>MONTH(Table10[[#This Row],[Order Date]])</f>
        <v>9</v>
      </c>
      <c r="E1337" t="s">
        <v>2175</v>
      </c>
      <c r="F1337" t="s">
        <v>2176</v>
      </c>
      <c r="G1337" s="23" t="s">
        <v>41</v>
      </c>
      <c r="H1337" s="23" t="s">
        <v>68</v>
      </c>
      <c r="I1337" t="s">
        <v>4249</v>
      </c>
      <c r="J1337" t="s">
        <v>22</v>
      </c>
      <c r="K1337" s="22">
        <v>7</v>
      </c>
      <c r="L1337" s="1">
        <v>42619</v>
      </c>
      <c r="M1337" s="22">
        <f>Table10[[#This Row],[Ship Date]]-Table10[[#This Row],[Order Date]]</f>
        <v>4</v>
      </c>
      <c r="N1337" t="s">
        <v>45</v>
      </c>
      <c r="O1337" t="s">
        <v>23</v>
      </c>
      <c r="P1337" t="s">
        <v>80</v>
      </c>
      <c r="Q1337" t="s">
        <v>26</v>
      </c>
      <c r="R1337" t="s">
        <v>414</v>
      </c>
      <c r="S1337" s="33">
        <v>0.7</v>
      </c>
      <c r="T1337" s="13">
        <v>22.911000000000001</v>
      </c>
      <c r="U1337" s="13">
        <v>-17.565100000000001</v>
      </c>
      <c r="V1337" s="21">
        <f>Table10[[#This Row],[Profit]]/Table10[[#This Row],[Sales]]</f>
        <v>-0.76666666666666672</v>
      </c>
    </row>
    <row r="1338" spans="1:22" x14ac:dyDescent="0.2">
      <c r="A1338">
        <v>1337</v>
      </c>
      <c r="B1338" t="s">
        <v>8499</v>
      </c>
      <c r="C1338" s="1">
        <v>42615</v>
      </c>
      <c r="D1338" s="22">
        <f>MONTH(Table10[[#This Row],[Order Date]])</f>
        <v>9</v>
      </c>
      <c r="E1338" t="s">
        <v>5287</v>
      </c>
      <c r="F1338" t="s">
        <v>5288</v>
      </c>
      <c r="G1338" s="23" t="s">
        <v>41</v>
      </c>
      <c r="H1338" s="23" t="s">
        <v>71</v>
      </c>
      <c r="I1338" t="s">
        <v>4249</v>
      </c>
      <c r="J1338" t="s">
        <v>22</v>
      </c>
      <c r="K1338" s="22">
        <v>9</v>
      </c>
      <c r="L1338" s="1">
        <v>42619</v>
      </c>
      <c r="M1338" s="22">
        <f>Table10[[#This Row],[Ship Date]]-Table10[[#This Row],[Order Date]]</f>
        <v>4</v>
      </c>
      <c r="N1338" t="s">
        <v>45</v>
      </c>
      <c r="O1338" t="s">
        <v>23</v>
      </c>
      <c r="P1338" t="s">
        <v>80</v>
      </c>
      <c r="Q1338" t="s">
        <v>26</v>
      </c>
      <c r="R1338" t="s">
        <v>414</v>
      </c>
      <c r="S1338" s="33">
        <v>0.2</v>
      </c>
      <c r="T1338" s="13">
        <v>309.45600000000002</v>
      </c>
      <c r="U1338" s="13">
        <v>34.813800000000001</v>
      </c>
      <c r="V1338" s="21">
        <f>Table10[[#This Row],[Profit]]/Table10[[#This Row],[Sales]]</f>
        <v>0.11249999999999999</v>
      </c>
    </row>
    <row r="1339" spans="1:22" x14ac:dyDescent="0.2">
      <c r="A1339">
        <v>1338</v>
      </c>
      <c r="B1339" t="s">
        <v>8499</v>
      </c>
      <c r="C1339" s="1">
        <v>42615</v>
      </c>
      <c r="D1339" s="22">
        <f>MONTH(Table10[[#This Row],[Order Date]])</f>
        <v>9</v>
      </c>
      <c r="E1339" t="s">
        <v>1671</v>
      </c>
      <c r="F1339" t="s">
        <v>1672</v>
      </c>
      <c r="G1339" s="23" t="s">
        <v>41</v>
      </c>
      <c r="H1339" s="23" t="s">
        <v>61</v>
      </c>
      <c r="I1339" t="s">
        <v>4249</v>
      </c>
      <c r="J1339" t="s">
        <v>22</v>
      </c>
      <c r="K1339" s="22">
        <v>4</v>
      </c>
      <c r="L1339" s="1">
        <v>42619</v>
      </c>
      <c r="M1339" s="22">
        <f>Table10[[#This Row],[Ship Date]]-Table10[[#This Row],[Order Date]]</f>
        <v>4</v>
      </c>
      <c r="N1339" t="s">
        <v>45</v>
      </c>
      <c r="O1339" t="s">
        <v>23</v>
      </c>
      <c r="P1339" t="s">
        <v>80</v>
      </c>
      <c r="Q1339" t="s">
        <v>26</v>
      </c>
      <c r="R1339" t="s">
        <v>414</v>
      </c>
      <c r="S1339" s="33">
        <v>0.2</v>
      </c>
      <c r="T1339" s="13">
        <v>19.456</v>
      </c>
      <c r="U1339" s="13">
        <v>3.4047999999999998</v>
      </c>
      <c r="V1339" s="21">
        <f>Table10[[#This Row],[Profit]]/Table10[[#This Row],[Sales]]</f>
        <v>0.17499999999999999</v>
      </c>
    </row>
    <row r="1340" spans="1:22" x14ac:dyDescent="0.2">
      <c r="A1340">
        <v>1339</v>
      </c>
      <c r="B1340" t="s">
        <v>8499</v>
      </c>
      <c r="C1340" s="1">
        <v>42615</v>
      </c>
      <c r="D1340" s="22">
        <f>MONTH(Table10[[#This Row],[Order Date]])</f>
        <v>9</v>
      </c>
      <c r="E1340" t="s">
        <v>452</v>
      </c>
      <c r="F1340" t="s">
        <v>453</v>
      </c>
      <c r="G1340" s="23" t="s">
        <v>28</v>
      </c>
      <c r="H1340" s="23" t="s">
        <v>50</v>
      </c>
      <c r="I1340" t="s">
        <v>4249</v>
      </c>
      <c r="J1340" t="s">
        <v>22</v>
      </c>
      <c r="K1340" s="22">
        <v>3</v>
      </c>
      <c r="L1340" s="1">
        <v>42619</v>
      </c>
      <c r="M1340" s="22">
        <f>Table10[[#This Row],[Ship Date]]-Table10[[#This Row],[Order Date]]</f>
        <v>4</v>
      </c>
      <c r="N1340" t="s">
        <v>45</v>
      </c>
      <c r="O1340" t="s">
        <v>23</v>
      </c>
      <c r="P1340" t="s">
        <v>80</v>
      </c>
      <c r="Q1340" t="s">
        <v>26</v>
      </c>
      <c r="R1340" t="s">
        <v>414</v>
      </c>
      <c r="S1340" s="33">
        <v>0.4</v>
      </c>
      <c r="T1340" s="13">
        <v>472.51799999999997</v>
      </c>
      <c r="U1340" s="13">
        <v>-149.63069999999999</v>
      </c>
      <c r="V1340" s="21">
        <f>Table10[[#This Row],[Profit]]/Table10[[#This Row],[Sales]]</f>
        <v>-0.31666666666666665</v>
      </c>
    </row>
    <row r="1341" spans="1:22" x14ac:dyDescent="0.2">
      <c r="A1341">
        <v>1340</v>
      </c>
      <c r="B1341" t="s">
        <v>8499</v>
      </c>
      <c r="C1341" s="1">
        <v>42615</v>
      </c>
      <c r="D1341" s="22">
        <f>MONTH(Table10[[#This Row],[Order Date]])</f>
        <v>9</v>
      </c>
      <c r="E1341" t="s">
        <v>2382</v>
      </c>
      <c r="F1341" t="s">
        <v>3762</v>
      </c>
      <c r="G1341" s="23" t="s">
        <v>64</v>
      </c>
      <c r="H1341" s="23" t="s">
        <v>144</v>
      </c>
      <c r="I1341" t="s">
        <v>4249</v>
      </c>
      <c r="J1341" t="s">
        <v>22</v>
      </c>
      <c r="K1341" s="22">
        <v>3</v>
      </c>
      <c r="L1341" s="1">
        <v>42619</v>
      </c>
      <c r="M1341" s="22">
        <f>Table10[[#This Row],[Ship Date]]-Table10[[#This Row],[Order Date]]</f>
        <v>4</v>
      </c>
      <c r="N1341" t="s">
        <v>45</v>
      </c>
      <c r="O1341" t="s">
        <v>23</v>
      </c>
      <c r="P1341" t="s">
        <v>80</v>
      </c>
      <c r="Q1341" t="s">
        <v>26</v>
      </c>
      <c r="R1341" t="s">
        <v>414</v>
      </c>
      <c r="S1341" s="33">
        <v>0.2</v>
      </c>
      <c r="T1341" s="13">
        <v>1012.68</v>
      </c>
      <c r="U1341" s="13">
        <v>303.80399999999997</v>
      </c>
      <c r="V1341" s="21">
        <f>Table10[[#This Row],[Profit]]/Table10[[#This Row],[Sales]]</f>
        <v>0.3</v>
      </c>
    </row>
    <row r="1342" spans="1:22" x14ac:dyDescent="0.2">
      <c r="A1342">
        <v>1341</v>
      </c>
      <c r="B1342" t="s">
        <v>8499</v>
      </c>
      <c r="C1342" s="1">
        <v>42615</v>
      </c>
      <c r="D1342" s="22">
        <f>MONTH(Table10[[#This Row],[Order Date]])</f>
        <v>9</v>
      </c>
      <c r="E1342" t="s">
        <v>5282</v>
      </c>
      <c r="F1342" t="s">
        <v>5283</v>
      </c>
      <c r="G1342" s="23" t="s">
        <v>41</v>
      </c>
      <c r="H1342" s="23" t="s">
        <v>68</v>
      </c>
      <c r="I1342" t="s">
        <v>4249</v>
      </c>
      <c r="J1342" t="s">
        <v>22</v>
      </c>
      <c r="K1342" s="22">
        <v>5</v>
      </c>
      <c r="L1342" s="1">
        <v>42619</v>
      </c>
      <c r="M1342" s="22">
        <f>Table10[[#This Row],[Ship Date]]-Table10[[#This Row],[Order Date]]</f>
        <v>4</v>
      </c>
      <c r="N1342" t="s">
        <v>45</v>
      </c>
      <c r="O1342" t="s">
        <v>23</v>
      </c>
      <c r="P1342" t="s">
        <v>80</v>
      </c>
      <c r="Q1342" t="s">
        <v>26</v>
      </c>
      <c r="R1342" t="s">
        <v>414</v>
      </c>
      <c r="S1342" s="33">
        <v>0.7</v>
      </c>
      <c r="T1342" s="13">
        <v>17.22</v>
      </c>
      <c r="U1342" s="13">
        <v>-12.628</v>
      </c>
      <c r="V1342" s="21">
        <f>Table10[[#This Row],[Profit]]/Table10[[#This Row],[Sales]]</f>
        <v>-0.73333333333333339</v>
      </c>
    </row>
    <row r="1343" spans="1:22" x14ac:dyDescent="0.2">
      <c r="A1343">
        <v>1342</v>
      </c>
      <c r="B1343" t="s">
        <v>9097</v>
      </c>
      <c r="C1343" s="1">
        <v>42615</v>
      </c>
      <c r="D1343" s="22">
        <f>MONTH(Table10[[#This Row],[Order Date]])</f>
        <v>9</v>
      </c>
      <c r="E1343" t="s">
        <v>2108</v>
      </c>
      <c r="F1343" t="s">
        <v>2109</v>
      </c>
      <c r="G1343" s="23" t="s">
        <v>64</v>
      </c>
      <c r="H1343" s="23" t="s">
        <v>1075</v>
      </c>
      <c r="I1343" t="s">
        <v>4628</v>
      </c>
      <c r="J1343" t="s">
        <v>22</v>
      </c>
      <c r="K1343" s="22">
        <v>2</v>
      </c>
      <c r="L1343" s="1">
        <v>42621</v>
      </c>
      <c r="M1343" s="22">
        <f>Table10[[#This Row],[Ship Date]]-Table10[[#This Row],[Order Date]]</f>
        <v>6</v>
      </c>
      <c r="N1343" t="s">
        <v>45</v>
      </c>
      <c r="O1343" t="s">
        <v>23</v>
      </c>
      <c r="P1343" t="s">
        <v>87</v>
      </c>
      <c r="Q1343" t="s">
        <v>39</v>
      </c>
      <c r="R1343" t="s">
        <v>1216</v>
      </c>
      <c r="S1343" s="33">
        <v>0</v>
      </c>
      <c r="T1343" s="13">
        <v>999.98</v>
      </c>
      <c r="U1343" s="13">
        <v>449.99099999999999</v>
      </c>
      <c r="V1343" s="21">
        <f>Table10[[#This Row],[Profit]]/Table10[[#This Row],[Sales]]</f>
        <v>0.44999999999999996</v>
      </c>
    </row>
    <row r="1344" spans="1:22" x14ac:dyDescent="0.2">
      <c r="A1344">
        <v>1343</v>
      </c>
      <c r="B1344" t="s">
        <v>9394</v>
      </c>
      <c r="C1344" s="1">
        <v>42615</v>
      </c>
      <c r="D1344" s="22">
        <f>MONTH(Table10[[#This Row],[Order Date]])</f>
        <v>9</v>
      </c>
      <c r="E1344" t="s">
        <v>2182</v>
      </c>
      <c r="F1344" t="s">
        <v>2183</v>
      </c>
      <c r="G1344" s="23" t="s">
        <v>41</v>
      </c>
      <c r="H1344" s="23" t="s">
        <v>68</v>
      </c>
      <c r="I1344" t="s">
        <v>2036</v>
      </c>
      <c r="J1344" t="s">
        <v>92</v>
      </c>
      <c r="K1344" s="22">
        <v>8</v>
      </c>
      <c r="L1344" s="1">
        <v>42620</v>
      </c>
      <c r="M1344" s="22">
        <f>Table10[[#This Row],[Ship Date]]-Table10[[#This Row],[Order Date]]</f>
        <v>5</v>
      </c>
      <c r="N1344" t="s">
        <v>20</v>
      </c>
      <c r="O1344" t="s">
        <v>23</v>
      </c>
      <c r="P1344" t="s">
        <v>94</v>
      </c>
      <c r="Q1344" t="s">
        <v>95</v>
      </c>
      <c r="R1344" t="s">
        <v>165</v>
      </c>
      <c r="S1344" s="33">
        <v>0.8</v>
      </c>
      <c r="T1344" s="13">
        <v>8.6080000000000005</v>
      </c>
      <c r="U1344" s="13">
        <v>-13.3424</v>
      </c>
      <c r="V1344" s="21">
        <f>Table10[[#This Row],[Profit]]/Table10[[#This Row],[Sales]]</f>
        <v>-1.5499999999999998</v>
      </c>
    </row>
    <row r="1345" spans="1:22" x14ac:dyDescent="0.2">
      <c r="A1345">
        <v>1344</v>
      </c>
      <c r="B1345" t="s">
        <v>9394</v>
      </c>
      <c r="C1345" s="1">
        <v>42615</v>
      </c>
      <c r="D1345" s="22">
        <f>MONTH(Table10[[#This Row],[Order Date]])</f>
        <v>9</v>
      </c>
      <c r="E1345" t="s">
        <v>2348</v>
      </c>
      <c r="F1345" t="s">
        <v>2349</v>
      </c>
      <c r="G1345" s="23" t="s">
        <v>64</v>
      </c>
      <c r="H1345" s="23" t="s">
        <v>144</v>
      </c>
      <c r="I1345" t="s">
        <v>2036</v>
      </c>
      <c r="J1345" t="s">
        <v>92</v>
      </c>
      <c r="K1345" s="22">
        <v>5</v>
      </c>
      <c r="L1345" s="1">
        <v>42620</v>
      </c>
      <c r="M1345" s="22">
        <f>Table10[[#This Row],[Ship Date]]-Table10[[#This Row],[Order Date]]</f>
        <v>5</v>
      </c>
      <c r="N1345" t="s">
        <v>20</v>
      </c>
      <c r="O1345" t="s">
        <v>23</v>
      </c>
      <c r="P1345" t="s">
        <v>94</v>
      </c>
      <c r="Q1345" t="s">
        <v>95</v>
      </c>
      <c r="R1345" t="s">
        <v>165</v>
      </c>
      <c r="S1345" s="33">
        <v>0.2</v>
      </c>
      <c r="T1345" s="13">
        <v>159.56</v>
      </c>
      <c r="U1345" s="13">
        <v>33.906500000000001</v>
      </c>
      <c r="V1345" s="21">
        <f>Table10[[#This Row],[Profit]]/Table10[[#This Row],[Sales]]</f>
        <v>0.21249999999999999</v>
      </c>
    </row>
    <row r="1346" spans="1:22" x14ac:dyDescent="0.2">
      <c r="A1346">
        <v>1345</v>
      </c>
      <c r="B1346" t="s">
        <v>9624</v>
      </c>
      <c r="C1346" s="1">
        <v>42615</v>
      </c>
      <c r="D1346" s="22">
        <f>MONTH(Table10[[#This Row],[Order Date]])</f>
        <v>9</v>
      </c>
      <c r="E1346" t="s">
        <v>233</v>
      </c>
      <c r="F1346" t="s">
        <v>234</v>
      </c>
      <c r="G1346" s="23" t="s">
        <v>28</v>
      </c>
      <c r="H1346" s="23" t="s">
        <v>32</v>
      </c>
      <c r="I1346" t="s">
        <v>597</v>
      </c>
      <c r="J1346" t="s">
        <v>22</v>
      </c>
      <c r="K1346" s="22">
        <v>3</v>
      </c>
      <c r="L1346" s="1">
        <v>42618</v>
      </c>
      <c r="M1346" s="22">
        <f>Table10[[#This Row],[Ship Date]]-Table10[[#This Row],[Order Date]]</f>
        <v>3</v>
      </c>
      <c r="N1346" t="s">
        <v>20</v>
      </c>
      <c r="O1346" t="s">
        <v>23</v>
      </c>
      <c r="P1346" t="s">
        <v>87</v>
      </c>
      <c r="Q1346" t="s">
        <v>39</v>
      </c>
      <c r="R1346" t="s">
        <v>1216</v>
      </c>
      <c r="S1346" s="33">
        <v>0.2</v>
      </c>
      <c r="T1346" s="13">
        <v>215.976</v>
      </c>
      <c r="U1346" s="13">
        <v>-2.6997</v>
      </c>
      <c r="V1346" s="21">
        <f>Table10[[#This Row],[Profit]]/Table10[[#This Row],[Sales]]</f>
        <v>-1.2500000000000001E-2</v>
      </c>
    </row>
    <row r="1347" spans="1:22" x14ac:dyDescent="0.2">
      <c r="A1347">
        <v>1346</v>
      </c>
      <c r="B1347" t="s">
        <v>9624</v>
      </c>
      <c r="C1347" s="1">
        <v>42615</v>
      </c>
      <c r="D1347" s="22">
        <f>MONTH(Table10[[#This Row],[Order Date]])</f>
        <v>9</v>
      </c>
      <c r="E1347" t="s">
        <v>6772</v>
      </c>
      <c r="F1347" t="s">
        <v>6773</v>
      </c>
      <c r="G1347" s="23" t="s">
        <v>41</v>
      </c>
      <c r="H1347" s="23" t="s">
        <v>155</v>
      </c>
      <c r="I1347" t="s">
        <v>597</v>
      </c>
      <c r="J1347" t="s">
        <v>22</v>
      </c>
      <c r="K1347" s="22">
        <v>3</v>
      </c>
      <c r="L1347" s="1">
        <v>42618</v>
      </c>
      <c r="M1347" s="22">
        <f>Table10[[#This Row],[Ship Date]]-Table10[[#This Row],[Order Date]]</f>
        <v>3</v>
      </c>
      <c r="N1347" t="s">
        <v>20</v>
      </c>
      <c r="O1347" t="s">
        <v>23</v>
      </c>
      <c r="P1347" t="s">
        <v>87</v>
      </c>
      <c r="Q1347" t="s">
        <v>39</v>
      </c>
      <c r="R1347" t="s">
        <v>1216</v>
      </c>
      <c r="S1347" s="33">
        <v>0</v>
      </c>
      <c r="T1347" s="13">
        <v>65.94</v>
      </c>
      <c r="U1347" s="13">
        <v>30.991800000000001</v>
      </c>
      <c r="V1347" s="21">
        <f>Table10[[#This Row],[Profit]]/Table10[[#This Row],[Sales]]</f>
        <v>0.47000000000000003</v>
      </c>
    </row>
    <row r="1348" spans="1:22" x14ac:dyDescent="0.2">
      <c r="A1348">
        <v>1347</v>
      </c>
      <c r="B1348" t="s">
        <v>9718</v>
      </c>
      <c r="C1348" s="1">
        <v>42615</v>
      </c>
      <c r="D1348" s="22">
        <f>MONTH(Table10[[#This Row],[Order Date]])</f>
        <v>9</v>
      </c>
      <c r="E1348" t="s">
        <v>4152</v>
      </c>
      <c r="F1348" t="s">
        <v>4153</v>
      </c>
      <c r="G1348" s="23" t="s">
        <v>28</v>
      </c>
      <c r="H1348" s="23" t="s">
        <v>58</v>
      </c>
      <c r="I1348" t="s">
        <v>1757</v>
      </c>
      <c r="J1348" t="s">
        <v>22</v>
      </c>
      <c r="K1348" s="22">
        <v>9</v>
      </c>
      <c r="L1348" s="1">
        <v>42619</v>
      </c>
      <c r="M1348" s="22">
        <f>Table10[[#This Row],[Ship Date]]-Table10[[#This Row],[Order Date]]</f>
        <v>4</v>
      </c>
      <c r="N1348" t="s">
        <v>45</v>
      </c>
      <c r="O1348" t="s">
        <v>23</v>
      </c>
      <c r="P1348" t="s">
        <v>38</v>
      </c>
      <c r="Q1348" t="s">
        <v>39</v>
      </c>
      <c r="R1348" t="s">
        <v>37</v>
      </c>
      <c r="S1348" s="33">
        <v>0</v>
      </c>
      <c r="T1348" s="13">
        <v>94.68</v>
      </c>
      <c r="U1348" s="13">
        <v>31.244399999999999</v>
      </c>
      <c r="V1348" s="21">
        <f>Table10[[#This Row],[Profit]]/Table10[[#This Row],[Sales]]</f>
        <v>0.32999999999999996</v>
      </c>
    </row>
    <row r="1349" spans="1:22" x14ac:dyDescent="0.2">
      <c r="A1349">
        <v>1348</v>
      </c>
      <c r="B1349" t="s">
        <v>9718</v>
      </c>
      <c r="C1349" s="1">
        <v>42615</v>
      </c>
      <c r="D1349" s="22">
        <f>MONTH(Table10[[#This Row],[Order Date]])</f>
        <v>9</v>
      </c>
      <c r="E1349" t="s">
        <v>6051</v>
      </c>
      <c r="F1349" t="s">
        <v>6052</v>
      </c>
      <c r="G1349" s="23" t="s">
        <v>41</v>
      </c>
      <c r="H1349" s="23" t="s">
        <v>53</v>
      </c>
      <c r="I1349" t="s">
        <v>1757</v>
      </c>
      <c r="J1349" t="s">
        <v>22</v>
      </c>
      <c r="K1349" s="22">
        <v>3</v>
      </c>
      <c r="L1349" s="1">
        <v>42619</v>
      </c>
      <c r="M1349" s="22">
        <f>Table10[[#This Row],[Ship Date]]-Table10[[#This Row],[Order Date]]</f>
        <v>4</v>
      </c>
      <c r="N1349" t="s">
        <v>45</v>
      </c>
      <c r="O1349" t="s">
        <v>23</v>
      </c>
      <c r="P1349" t="s">
        <v>38</v>
      </c>
      <c r="Q1349" t="s">
        <v>39</v>
      </c>
      <c r="R1349" t="s">
        <v>37</v>
      </c>
      <c r="S1349" s="33">
        <v>0</v>
      </c>
      <c r="T1349" s="13">
        <v>23.67</v>
      </c>
      <c r="U1349" s="13">
        <v>0.94679999999999997</v>
      </c>
      <c r="V1349" s="21">
        <f>Table10[[#This Row],[Profit]]/Table10[[#This Row],[Sales]]</f>
        <v>3.9999999999999994E-2</v>
      </c>
    </row>
    <row r="1350" spans="1:22" x14ac:dyDescent="0.2">
      <c r="A1350">
        <v>1349</v>
      </c>
      <c r="B1350" t="s">
        <v>9718</v>
      </c>
      <c r="C1350" s="1">
        <v>42615</v>
      </c>
      <c r="D1350" s="22">
        <f>MONTH(Table10[[#This Row],[Order Date]])</f>
        <v>9</v>
      </c>
      <c r="E1350" t="s">
        <v>2189</v>
      </c>
      <c r="F1350" t="s">
        <v>2190</v>
      </c>
      <c r="G1350" s="23" t="s">
        <v>64</v>
      </c>
      <c r="H1350" s="23" t="s">
        <v>65</v>
      </c>
      <c r="I1350" t="s">
        <v>1757</v>
      </c>
      <c r="J1350" t="s">
        <v>22</v>
      </c>
      <c r="K1350" s="22">
        <v>4</v>
      </c>
      <c r="L1350" s="1">
        <v>42619</v>
      </c>
      <c r="M1350" s="22">
        <f>Table10[[#This Row],[Ship Date]]-Table10[[#This Row],[Order Date]]</f>
        <v>4</v>
      </c>
      <c r="N1350" t="s">
        <v>45</v>
      </c>
      <c r="O1350" t="s">
        <v>23</v>
      </c>
      <c r="P1350" t="s">
        <v>38</v>
      </c>
      <c r="Q1350" t="s">
        <v>39</v>
      </c>
      <c r="R1350" t="s">
        <v>37</v>
      </c>
      <c r="S1350" s="33">
        <v>0.2</v>
      </c>
      <c r="T1350" s="13">
        <v>1091.1679999999999</v>
      </c>
      <c r="U1350" s="13">
        <v>68.197999999999993</v>
      </c>
      <c r="V1350" s="21">
        <f>Table10[[#This Row],[Profit]]/Table10[[#This Row],[Sales]]</f>
        <v>6.25E-2</v>
      </c>
    </row>
    <row r="1351" spans="1:22" x14ac:dyDescent="0.2">
      <c r="A1351">
        <v>1350</v>
      </c>
      <c r="B1351" t="s">
        <v>9718</v>
      </c>
      <c r="C1351" s="1">
        <v>42615</v>
      </c>
      <c r="D1351" s="22">
        <f>MONTH(Table10[[#This Row],[Order Date]])</f>
        <v>9</v>
      </c>
      <c r="E1351" t="s">
        <v>3972</v>
      </c>
      <c r="F1351" t="s">
        <v>3973</v>
      </c>
      <c r="G1351" s="23" t="s">
        <v>41</v>
      </c>
      <c r="H1351" s="23" t="s">
        <v>61</v>
      </c>
      <c r="I1351" t="s">
        <v>1757</v>
      </c>
      <c r="J1351" t="s">
        <v>22</v>
      </c>
      <c r="K1351" s="22">
        <v>7</v>
      </c>
      <c r="L1351" s="1">
        <v>42619</v>
      </c>
      <c r="M1351" s="22">
        <f>Table10[[#This Row],[Ship Date]]-Table10[[#This Row],[Order Date]]</f>
        <v>4</v>
      </c>
      <c r="N1351" t="s">
        <v>45</v>
      </c>
      <c r="O1351" t="s">
        <v>23</v>
      </c>
      <c r="P1351" t="s">
        <v>38</v>
      </c>
      <c r="Q1351" t="s">
        <v>39</v>
      </c>
      <c r="R1351" t="s">
        <v>37</v>
      </c>
      <c r="S1351" s="33">
        <v>0</v>
      </c>
      <c r="T1351" s="13">
        <v>18.690000000000001</v>
      </c>
      <c r="U1351" s="13">
        <v>5.2332000000000001</v>
      </c>
      <c r="V1351" s="21">
        <f>Table10[[#This Row],[Profit]]/Table10[[#This Row],[Sales]]</f>
        <v>0.27999999999999997</v>
      </c>
    </row>
    <row r="1352" spans="1:22" x14ac:dyDescent="0.2">
      <c r="A1352">
        <v>1351</v>
      </c>
      <c r="B1352" t="s">
        <v>9718</v>
      </c>
      <c r="C1352" s="1">
        <v>42615</v>
      </c>
      <c r="D1352" s="22">
        <f>MONTH(Table10[[#This Row],[Order Date]])</f>
        <v>9</v>
      </c>
      <c r="E1352" t="s">
        <v>73</v>
      </c>
      <c r="F1352" t="s">
        <v>74</v>
      </c>
      <c r="G1352" s="23" t="s">
        <v>28</v>
      </c>
      <c r="H1352" s="23" t="s">
        <v>50</v>
      </c>
      <c r="I1352" t="s">
        <v>1757</v>
      </c>
      <c r="J1352" t="s">
        <v>22</v>
      </c>
      <c r="K1352" s="22">
        <v>3</v>
      </c>
      <c r="L1352" s="1">
        <v>42619</v>
      </c>
      <c r="M1352" s="22">
        <f>Table10[[#This Row],[Ship Date]]-Table10[[#This Row],[Order Date]]</f>
        <v>4</v>
      </c>
      <c r="N1352" t="s">
        <v>45</v>
      </c>
      <c r="O1352" t="s">
        <v>23</v>
      </c>
      <c r="P1352" t="s">
        <v>38</v>
      </c>
      <c r="Q1352" t="s">
        <v>39</v>
      </c>
      <c r="R1352" t="s">
        <v>37</v>
      </c>
      <c r="S1352" s="33">
        <v>0.2</v>
      </c>
      <c r="T1352" s="13">
        <v>568.72799999999995</v>
      </c>
      <c r="U1352" s="13">
        <v>28.436399999999999</v>
      </c>
      <c r="V1352" s="21">
        <f>Table10[[#This Row],[Profit]]/Table10[[#This Row],[Sales]]</f>
        <v>0.05</v>
      </c>
    </row>
    <row r="1353" spans="1:22" x14ac:dyDescent="0.2">
      <c r="A1353">
        <v>1352</v>
      </c>
      <c r="B1353" t="s">
        <v>9718</v>
      </c>
      <c r="C1353" s="1">
        <v>42615</v>
      </c>
      <c r="D1353" s="22">
        <f>MONTH(Table10[[#This Row],[Order Date]])</f>
        <v>9</v>
      </c>
      <c r="E1353" t="s">
        <v>4784</v>
      </c>
      <c r="F1353" t="s">
        <v>4785</v>
      </c>
      <c r="G1353" s="23" t="s">
        <v>41</v>
      </c>
      <c r="H1353" s="23" t="s">
        <v>68</v>
      </c>
      <c r="I1353" t="s">
        <v>1757</v>
      </c>
      <c r="J1353" t="s">
        <v>22</v>
      </c>
      <c r="K1353" s="22">
        <v>1</v>
      </c>
      <c r="L1353" s="1">
        <v>42619</v>
      </c>
      <c r="M1353" s="22">
        <f>Table10[[#This Row],[Ship Date]]-Table10[[#This Row],[Order Date]]</f>
        <v>4</v>
      </c>
      <c r="N1353" t="s">
        <v>45</v>
      </c>
      <c r="O1353" t="s">
        <v>23</v>
      </c>
      <c r="P1353" t="s">
        <v>38</v>
      </c>
      <c r="Q1353" t="s">
        <v>39</v>
      </c>
      <c r="R1353" t="s">
        <v>37</v>
      </c>
      <c r="S1353" s="33">
        <v>0.2</v>
      </c>
      <c r="T1353" s="13">
        <v>7.3120000000000003</v>
      </c>
      <c r="U1353" s="13">
        <v>2.5592000000000001</v>
      </c>
      <c r="V1353" s="21">
        <f>Table10[[#This Row],[Profit]]/Table10[[#This Row],[Sales]]</f>
        <v>0.35000000000000003</v>
      </c>
    </row>
    <row r="1354" spans="1:22" x14ac:dyDescent="0.2">
      <c r="A1354">
        <v>1353</v>
      </c>
      <c r="B1354" t="s">
        <v>2368</v>
      </c>
      <c r="C1354" s="1">
        <v>42616</v>
      </c>
      <c r="D1354" s="22">
        <f>MONTH(Table10[[#This Row],[Order Date]])</f>
        <v>9</v>
      </c>
      <c r="E1354" t="s">
        <v>2370</v>
      </c>
      <c r="F1354" t="s">
        <v>2371</v>
      </c>
      <c r="G1354" s="23" t="s">
        <v>41</v>
      </c>
      <c r="H1354" s="23" t="s">
        <v>68</v>
      </c>
      <c r="I1354" t="s">
        <v>2369</v>
      </c>
      <c r="J1354" t="s">
        <v>92</v>
      </c>
      <c r="K1354" s="22">
        <v>5</v>
      </c>
      <c r="L1354" s="1">
        <v>42618</v>
      </c>
      <c r="M1354" s="22">
        <f>Table10[[#This Row],[Ship Date]]-Table10[[#This Row],[Order Date]]</f>
        <v>2</v>
      </c>
      <c r="N1354" t="s">
        <v>169</v>
      </c>
      <c r="O1354" t="s">
        <v>23</v>
      </c>
      <c r="P1354" t="s">
        <v>132</v>
      </c>
      <c r="Q1354" t="s">
        <v>133</v>
      </c>
      <c r="R1354" t="s">
        <v>131</v>
      </c>
      <c r="S1354" s="33">
        <v>0.7</v>
      </c>
      <c r="T1354" s="13">
        <v>1141.47</v>
      </c>
      <c r="U1354" s="13">
        <v>-760.98</v>
      </c>
      <c r="V1354" s="21">
        <f>Table10[[#This Row],[Profit]]/Table10[[#This Row],[Sales]]</f>
        <v>-0.66666666666666663</v>
      </c>
    </row>
    <row r="1355" spans="1:22" x14ac:dyDescent="0.2">
      <c r="A1355">
        <v>1354</v>
      </c>
      <c r="B1355" t="s">
        <v>2368</v>
      </c>
      <c r="C1355" s="1">
        <v>42616</v>
      </c>
      <c r="D1355" s="22">
        <f>MONTH(Table10[[#This Row],[Order Date]])</f>
        <v>9</v>
      </c>
      <c r="E1355" t="s">
        <v>1697</v>
      </c>
      <c r="F1355" t="s">
        <v>1698</v>
      </c>
      <c r="G1355" s="23" t="s">
        <v>64</v>
      </c>
      <c r="H1355" s="23" t="s">
        <v>65</v>
      </c>
      <c r="I1355" t="s">
        <v>2369</v>
      </c>
      <c r="J1355" t="s">
        <v>92</v>
      </c>
      <c r="K1355" s="22">
        <v>3</v>
      </c>
      <c r="L1355" s="1">
        <v>42618</v>
      </c>
      <c r="M1355" s="22">
        <f>Table10[[#This Row],[Ship Date]]-Table10[[#This Row],[Order Date]]</f>
        <v>2</v>
      </c>
      <c r="N1355" t="s">
        <v>169</v>
      </c>
      <c r="O1355" t="s">
        <v>23</v>
      </c>
      <c r="P1355" t="s">
        <v>132</v>
      </c>
      <c r="Q1355" t="s">
        <v>133</v>
      </c>
      <c r="R1355" t="s">
        <v>131</v>
      </c>
      <c r="S1355" s="33">
        <v>0.4</v>
      </c>
      <c r="T1355" s="13">
        <v>280.78199999999998</v>
      </c>
      <c r="U1355" s="13">
        <v>-46.796999999999997</v>
      </c>
      <c r="V1355" s="21">
        <f>Table10[[#This Row],[Profit]]/Table10[[#This Row],[Sales]]</f>
        <v>-0.16666666666666666</v>
      </c>
    </row>
    <row r="1356" spans="1:22" x14ac:dyDescent="0.2">
      <c r="A1356">
        <v>1355</v>
      </c>
      <c r="B1356" t="s">
        <v>3341</v>
      </c>
      <c r="C1356" s="1">
        <v>42616</v>
      </c>
      <c r="D1356" s="22">
        <f>MONTH(Table10[[#This Row],[Order Date]])</f>
        <v>9</v>
      </c>
      <c r="E1356" t="s">
        <v>1994</v>
      </c>
      <c r="F1356" t="s">
        <v>1995</v>
      </c>
      <c r="G1356" s="23" t="s">
        <v>28</v>
      </c>
      <c r="H1356" s="23" t="s">
        <v>58</v>
      </c>
      <c r="I1356" t="s">
        <v>3342</v>
      </c>
      <c r="J1356" t="s">
        <v>92</v>
      </c>
      <c r="K1356" s="22">
        <v>3</v>
      </c>
      <c r="L1356" s="1">
        <v>42622</v>
      </c>
      <c r="M1356" s="22">
        <f>Table10[[#This Row],[Ship Date]]-Table10[[#This Row],[Order Date]]</f>
        <v>6</v>
      </c>
      <c r="N1356" t="s">
        <v>45</v>
      </c>
      <c r="O1356" t="s">
        <v>23</v>
      </c>
      <c r="P1356" t="s">
        <v>189</v>
      </c>
      <c r="Q1356" t="s">
        <v>95</v>
      </c>
      <c r="R1356" t="s">
        <v>404</v>
      </c>
      <c r="S1356" s="33">
        <v>0.6</v>
      </c>
      <c r="T1356" s="13">
        <v>83.951999999999998</v>
      </c>
      <c r="U1356" s="13">
        <v>-90.248400000000004</v>
      </c>
      <c r="V1356" s="21">
        <f>Table10[[#This Row],[Profit]]/Table10[[#This Row],[Sales]]</f>
        <v>-1.0750000000000002</v>
      </c>
    </row>
    <row r="1357" spans="1:22" x14ac:dyDescent="0.2">
      <c r="A1357">
        <v>1356</v>
      </c>
      <c r="B1357" t="s">
        <v>4518</v>
      </c>
      <c r="C1357" s="1">
        <v>42616</v>
      </c>
      <c r="D1357" s="22">
        <f>MONTH(Table10[[#This Row],[Order Date]])</f>
        <v>9</v>
      </c>
      <c r="E1357" t="s">
        <v>3110</v>
      </c>
      <c r="F1357" t="s">
        <v>3111</v>
      </c>
      <c r="G1357" s="23" t="s">
        <v>41</v>
      </c>
      <c r="H1357" s="23" t="s">
        <v>68</v>
      </c>
      <c r="I1357" t="s">
        <v>1725</v>
      </c>
      <c r="J1357" t="s">
        <v>22</v>
      </c>
      <c r="K1357" s="22">
        <v>3</v>
      </c>
      <c r="L1357" s="1">
        <v>42622</v>
      </c>
      <c r="M1357" s="22">
        <f>Table10[[#This Row],[Ship Date]]-Table10[[#This Row],[Order Date]]</f>
        <v>6</v>
      </c>
      <c r="N1357" t="s">
        <v>45</v>
      </c>
      <c r="O1357" t="s">
        <v>23</v>
      </c>
      <c r="P1357" t="s">
        <v>189</v>
      </c>
      <c r="Q1357" t="s">
        <v>95</v>
      </c>
      <c r="R1357" t="s">
        <v>271</v>
      </c>
      <c r="S1357" s="33">
        <v>0.8</v>
      </c>
      <c r="T1357" s="13">
        <v>8.8079999999999998</v>
      </c>
      <c r="U1357" s="13">
        <v>-14.973599999999999</v>
      </c>
      <c r="V1357" s="21">
        <f>Table10[[#This Row],[Profit]]/Table10[[#This Row],[Sales]]</f>
        <v>-1.7</v>
      </c>
    </row>
    <row r="1358" spans="1:22" x14ac:dyDescent="0.2">
      <c r="A1358">
        <v>1357</v>
      </c>
      <c r="B1358" t="s">
        <v>4687</v>
      </c>
      <c r="C1358" s="1">
        <v>42616</v>
      </c>
      <c r="D1358" s="22">
        <f>MONTH(Table10[[#This Row],[Order Date]])</f>
        <v>9</v>
      </c>
      <c r="E1358" t="s">
        <v>1120</v>
      </c>
      <c r="F1358" t="s">
        <v>1121</v>
      </c>
      <c r="G1358" s="23" t="s">
        <v>41</v>
      </c>
      <c r="H1358" s="23" t="s">
        <v>82</v>
      </c>
      <c r="I1358" t="s">
        <v>3909</v>
      </c>
      <c r="J1358" t="s">
        <v>36</v>
      </c>
      <c r="K1358" s="22">
        <v>7</v>
      </c>
      <c r="L1358" s="1">
        <v>42618</v>
      </c>
      <c r="M1358" s="22">
        <f>Table10[[#This Row],[Ship Date]]-Table10[[#This Row],[Order Date]]</f>
        <v>2</v>
      </c>
      <c r="N1358" t="s">
        <v>169</v>
      </c>
      <c r="O1358" t="s">
        <v>23</v>
      </c>
      <c r="P1358" t="s">
        <v>660</v>
      </c>
      <c r="Q1358" t="s">
        <v>133</v>
      </c>
      <c r="R1358" t="s">
        <v>3253</v>
      </c>
      <c r="S1358" s="33">
        <v>0</v>
      </c>
      <c r="T1358" s="13">
        <v>48.16</v>
      </c>
      <c r="U1358" s="13">
        <v>22.153600000000001</v>
      </c>
      <c r="V1358" s="21">
        <f>Table10[[#This Row],[Profit]]/Table10[[#This Row],[Sales]]</f>
        <v>0.46000000000000008</v>
      </c>
    </row>
    <row r="1359" spans="1:22" x14ac:dyDescent="0.2">
      <c r="A1359">
        <v>1358</v>
      </c>
      <c r="B1359" t="s">
        <v>5293</v>
      </c>
      <c r="C1359" s="1">
        <v>42616</v>
      </c>
      <c r="D1359" s="22">
        <f>MONTH(Table10[[#This Row],[Order Date]])</f>
        <v>9</v>
      </c>
      <c r="E1359" t="s">
        <v>1311</v>
      </c>
      <c r="F1359" t="s">
        <v>1312</v>
      </c>
      <c r="G1359" s="23" t="s">
        <v>41</v>
      </c>
      <c r="H1359" s="23" t="s">
        <v>53</v>
      </c>
      <c r="I1359" t="s">
        <v>2707</v>
      </c>
      <c r="J1359" t="s">
        <v>22</v>
      </c>
      <c r="K1359" s="22">
        <v>5</v>
      </c>
      <c r="L1359" s="1">
        <v>42623</v>
      </c>
      <c r="M1359" s="22">
        <f>Table10[[#This Row],[Ship Date]]-Table10[[#This Row],[Order Date]]</f>
        <v>7</v>
      </c>
      <c r="N1359" t="s">
        <v>45</v>
      </c>
      <c r="O1359" t="s">
        <v>23</v>
      </c>
      <c r="P1359" t="s">
        <v>103</v>
      </c>
      <c r="Q1359" t="s">
        <v>95</v>
      </c>
      <c r="R1359" t="s">
        <v>5294</v>
      </c>
      <c r="S1359" s="33">
        <v>0</v>
      </c>
      <c r="T1359" s="13">
        <v>54.5</v>
      </c>
      <c r="U1359" s="13">
        <v>14.17</v>
      </c>
      <c r="V1359" s="21">
        <f>Table10[[#This Row],[Profit]]/Table10[[#This Row],[Sales]]</f>
        <v>0.26</v>
      </c>
    </row>
    <row r="1360" spans="1:22" x14ac:dyDescent="0.2">
      <c r="A1360">
        <v>1359</v>
      </c>
      <c r="B1360" t="s">
        <v>7410</v>
      </c>
      <c r="C1360" s="1">
        <v>42616</v>
      </c>
      <c r="D1360" s="22">
        <f>MONTH(Table10[[#This Row],[Order Date]])</f>
        <v>9</v>
      </c>
      <c r="E1360" t="s">
        <v>2175</v>
      </c>
      <c r="F1360" t="s">
        <v>2176</v>
      </c>
      <c r="G1360" s="23" t="s">
        <v>41</v>
      </c>
      <c r="H1360" s="23" t="s">
        <v>68</v>
      </c>
      <c r="I1360" t="s">
        <v>2814</v>
      </c>
      <c r="J1360" t="s">
        <v>36</v>
      </c>
      <c r="K1360" s="22">
        <v>8</v>
      </c>
      <c r="L1360" s="1">
        <v>42619</v>
      </c>
      <c r="M1360" s="22">
        <f>Table10[[#This Row],[Ship Date]]-Table10[[#This Row],[Order Date]]</f>
        <v>3</v>
      </c>
      <c r="N1360" t="s">
        <v>169</v>
      </c>
      <c r="O1360" t="s">
        <v>23</v>
      </c>
      <c r="P1360" t="s">
        <v>650</v>
      </c>
      <c r="Q1360" t="s">
        <v>26</v>
      </c>
      <c r="R1360" t="s">
        <v>649</v>
      </c>
      <c r="S1360" s="33">
        <v>0</v>
      </c>
      <c r="T1360" s="13">
        <v>87.28</v>
      </c>
      <c r="U1360" s="13">
        <v>41.021599999999999</v>
      </c>
      <c r="V1360" s="21">
        <f>Table10[[#This Row],[Profit]]/Table10[[#This Row],[Sales]]</f>
        <v>0.47</v>
      </c>
    </row>
    <row r="1361" spans="1:22" x14ac:dyDescent="0.2">
      <c r="A1361">
        <v>1360</v>
      </c>
      <c r="B1361" t="s">
        <v>8317</v>
      </c>
      <c r="C1361" s="1">
        <v>42616</v>
      </c>
      <c r="D1361" s="22">
        <f>MONTH(Table10[[#This Row],[Order Date]])</f>
        <v>9</v>
      </c>
      <c r="E1361" t="s">
        <v>3953</v>
      </c>
      <c r="F1361" t="s">
        <v>3954</v>
      </c>
      <c r="G1361" s="23" t="s">
        <v>28</v>
      </c>
      <c r="H1361" s="23" t="s">
        <v>29</v>
      </c>
      <c r="I1361" t="s">
        <v>3858</v>
      </c>
      <c r="J1361" t="s">
        <v>22</v>
      </c>
      <c r="K1361" s="22">
        <v>3</v>
      </c>
      <c r="L1361" s="1">
        <v>42621</v>
      </c>
      <c r="M1361" s="22">
        <f>Table10[[#This Row],[Ship Date]]-Table10[[#This Row],[Order Date]]</f>
        <v>5</v>
      </c>
      <c r="N1361" t="s">
        <v>20</v>
      </c>
      <c r="O1361" t="s">
        <v>23</v>
      </c>
      <c r="P1361" t="s">
        <v>2408</v>
      </c>
      <c r="Q1361" t="s">
        <v>133</v>
      </c>
      <c r="R1361" t="s">
        <v>3967</v>
      </c>
      <c r="S1361" s="33">
        <v>0</v>
      </c>
      <c r="T1361" s="13">
        <v>344.94</v>
      </c>
      <c r="U1361" s="13">
        <v>31.044599999999999</v>
      </c>
      <c r="V1361" s="21">
        <f>Table10[[#This Row],[Profit]]/Table10[[#This Row],[Sales]]</f>
        <v>0.09</v>
      </c>
    </row>
    <row r="1362" spans="1:22" x14ac:dyDescent="0.2">
      <c r="A1362">
        <v>1361</v>
      </c>
      <c r="B1362" t="s">
        <v>8317</v>
      </c>
      <c r="C1362" s="1">
        <v>42616</v>
      </c>
      <c r="D1362" s="22">
        <f>MONTH(Table10[[#This Row],[Order Date]])</f>
        <v>9</v>
      </c>
      <c r="E1362" t="s">
        <v>4489</v>
      </c>
      <c r="F1362" t="s">
        <v>4490</v>
      </c>
      <c r="G1362" s="23" t="s">
        <v>28</v>
      </c>
      <c r="H1362" s="23" t="s">
        <v>58</v>
      </c>
      <c r="I1362" t="s">
        <v>3858</v>
      </c>
      <c r="J1362" t="s">
        <v>22</v>
      </c>
      <c r="K1362" s="22">
        <v>2</v>
      </c>
      <c r="L1362" s="1">
        <v>42621</v>
      </c>
      <c r="M1362" s="22">
        <f>Table10[[#This Row],[Ship Date]]-Table10[[#This Row],[Order Date]]</f>
        <v>5</v>
      </c>
      <c r="N1362" t="s">
        <v>20</v>
      </c>
      <c r="O1362" t="s">
        <v>23</v>
      </c>
      <c r="P1362" t="s">
        <v>2408</v>
      </c>
      <c r="Q1362" t="s">
        <v>133</v>
      </c>
      <c r="R1362" t="s">
        <v>3967</v>
      </c>
      <c r="S1362" s="33">
        <v>0</v>
      </c>
      <c r="T1362" s="13">
        <v>14.76</v>
      </c>
      <c r="U1362" s="13">
        <v>4.2804000000000002</v>
      </c>
      <c r="V1362" s="21">
        <f>Table10[[#This Row],[Profit]]/Table10[[#This Row],[Sales]]</f>
        <v>0.29000000000000004</v>
      </c>
    </row>
    <row r="1363" spans="1:22" x14ac:dyDescent="0.2">
      <c r="A1363">
        <v>1362</v>
      </c>
      <c r="B1363" t="s">
        <v>8317</v>
      </c>
      <c r="C1363" s="1">
        <v>42616</v>
      </c>
      <c r="D1363" s="22">
        <f>MONTH(Table10[[#This Row],[Order Date]])</f>
        <v>9</v>
      </c>
      <c r="E1363" t="s">
        <v>2916</v>
      </c>
      <c r="F1363" t="s">
        <v>2917</v>
      </c>
      <c r="G1363" s="23" t="s">
        <v>41</v>
      </c>
      <c r="H1363" s="23" t="s">
        <v>68</v>
      </c>
      <c r="I1363" t="s">
        <v>3858</v>
      </c>
      <c r="J1363" t="s">
        <v>22</v>
      </c>
      <c r="K1363" s="22">
        <v>2</v>
      </c>
      <c r="L1363" s="1">
        <v>42621</v>
      </c>
      <c r="M1363" s="22">
        <f>Table10[[#This Row],[Ship Date]]-Table10[[#This Row],[Order Date]]</f>
        <v>5</v>
      </c>
      <c r="N1363" t="s">
        <v>20</v>
      </c>
      <c r="O1363" t="s">
        <v>23</v>
      </c>
      <c r="P1363" t="s">
        <v>2408</v>
      </c>
      <c r="Q1363" t="s">
        <v>133</v>
      </c>
      <c r="R1363" t="s">
        <v>3967</v>
      </c>
      <c r="S1363" s="33">
        <v>0</v>
      </c>
      <c r="T1363" s="13">
        <v>12.76</v>
      </c>
      <c r="U1363" s="13">
        <v>5.8696000000000002</v>
      </c>
      <c r="V1363" s="21">
        <f>Table10[[#This Row],[Profit]]/Table10[[#This Row],[Sales]]</f>
        <v>0.46</v>
      </c>
    </row>
    <row r="1364" spans="1:22" x14ac:dyDescent="0.2">
      <c r="A1364">
        <v>1363</v>
      </c>
      <c r="B1364" t="s">
        <v>8317</v>
      </c>
      <c r="C1364" s="1">
        <v>42616</v>
      </c>
      <c r="D1364" s="22">
        <f>MONTH(Table10[[#This Row],[Order Date]])</f>
        <v>9</v>
      </c>
      <c r="E1364" t="s">
        <v>2309</v>
      </c>
      <c r="F1364" t="s">
        <v>2310</v>
      </c>
      <c r="G1364" s="23" t="s">
        <v>41</v>
      </c>
      <c r="H1364" s="23" t="s">
        <v>42</v>
      </c>
      <c r="I1364" t="s">
        <v>3858</v>
      </c>
      <c r="J1364" t="s">
        <v>22</v>
      </c>
      <c r="K1364" s="22">
        <v>8</v>
      </c>
      <c r="L1364" s="1">
        <v>42621</v>
      </c>
      <c r="M1364" s="22">
        <f>Table10[[#This Row],[Ship Date]]-Table10[[#This Row],[Order Date]]</f>
        <v>5</v>
      </c>
      <c r="N1364" t="s">
        <v>20</v>
      </c>
      <c r="O1364" t="s">
        <v>23</v>
      </c>
      <c r="P1364" t="s">
        <v>2408</v>
      </c>
      <c r="Q1364" t="s">
        <v>133</v>
      </c>
      <c r="R1364" t="s">
        <v>3967</v>
      </c>
      <c r="S1364" s="33">
        <v>0</v>
      </c>
      <c r="T1364" s="13">
        <v>58.48</v>
      </c>
      <c r="U1364" s="13">
        <v>27.485600000000002</v>
      </c>
      <c r="V1364" s="21">
        <f>Table10[[#This Row],[Profit]]/Table10[[#This Row],[Sales]]</f>
        <v>0.47000000000000003</v>
      </c>
    </row>
    <row r="1365" spans="1:22" x14ac:dyDescent="0.2">
      <c r="A1365">
        <v>1364</v>
      </c>
      <c r="B1365" t="s">
        <v>8758</v>
      </c>
      <c r="C1365" s="1">
        <v>42616</v>
      </c>
      <c r="D1365" s="22">
        <f>MONTH(Table10[[#This Row],[Order Date]])</f>
        <v>9</v>
      </c>
      <c r="E1365" t="s">
        <v>6587</v>
      </c>
      <c r="F1365" t="s">
        <v>6588</v>
      </c>
      <c r="G1365" s="23" t="s">
        <v>28</v>
      </c>
      <c r="H1365" s="23" t="s">
        <v>29</v>
      </c>
      <c r="I1365" t="s">
        <v>1933</v>
      </c>
      <c r="J1365" t="s">
        <v>22</v>
      </c>
      <c r="K1365" s="22">
        <v>4</v>
      </c>
      <c r="L1365" s="1">
        <v>42620</v>
      </c>
      <c r="M1365" s="22">
        <f>Table10[[#This Row],[Ship Date]]-Table10[[#This Row],[Order Date]]</f>
        <v>4</v>
      </c>
      <c r="N1365" t="s">
        <v>45</v>
      </c>
      <c r="O1365" t="s">
        <v>23</v>
      </c>
      <c r="P1365" t="s">
        <v>189</v>
      </c>
      <c r="Q1365" t="s">
        <v>95</v>
      </c>
      <c r="R1365" t="s">
        <v>271</v>
      </c>
      <c r="S1365" s="33">
        <v>0.3</v>
      </c>
      <c r="T1365" s="13">
        <v>198.744</v>
      </c>
      <c r="U1365" s="13">
        <v>0</v>
      </c>
      <c r="V1365" s="21">
        <f>Table10[[#This Row],[Profit]]/Table10[[#This Row],[Sales]]</f>
        <v>0</v>
      </c>
    </row>
    <row r="1366" spans="1:22" x14ac:dyDescent="0.2">
      <c r="A1366">
        <v>1365</v>
      </c>
      <c r="B1366" t="s">
        <v>9381</v>
      </c>
      <c r="C1366" s="1">
        <v>42616</v>
      </c>
      <c r="D1366" s="22">
        <f>MONTH(Table10[[#This Row],[Order Date]])</f>
        <v>9</v>
      </c>
      <c r="E1366" t="s">
        <v>5188</v>
      </c>
      <c r="F1366" t="s">
        <v>5189</v>
      </c>
      <c r="G1366" s="23" t="s">
        <v>41</v>
      </c>
      <c r="H1366" s="23" t="s">
        <v>82</v>
      </c>
      <c r="I1366" t="s">
        <v>4591</v>
      </c>
      <c r="J1366" t="s">
        <v>36</v>
      </c>
      <c r="K1366" s="22">
        <v>6</v>
      </c>
      <c r="L1366" s="1">
        <v>42621</v>
      </c>
      <c r="M1366" s="22">
        <f>Table10[[#This Row],[Ship Date]]-Table10[[#This Row],[Order Date]]</f>
        <v>5</v>
      </c>
      <c r="N1366" t="s">
        <v>45</v>
      </c>
      <c r="O1366" t="s">
        <v>23</v>
      </c>
      <c r="P1366" t="s">
        <v>441</v>
      </c>
      <c r="Q1366" t="s">
        <v>133</v>
      </c>
      <c r="R1366" t="s">
        <v>887</v>
      </c>
      <c r="S1366" s="33">
        <v>0.2</v>
      </c>
      <c r="T1366" s="13">
        <v>30.96</v>
      </c>
      <c r="U1366" s="13">
        <v>11.223000000000001</v>
      </c>
      <c r="V1366" s="21">
        <f>Table10[[#This Row],[Profit]]/Table10[[#This Row],[Sales]]</f>
        <v>0.36249999999999999</v>
      </c>
    </row>
    <row r="1367" spans="1:22" x14ac:dyDescent="0.2">
      <c r="A1367">
        <v>1366</v>
      </c>
      <c r="B1367" t="s">
        <v>6221</v>
      </c>
      <c r="C1367" s="1">
        <v>42617</v>
      </c>
      <c r="D1367" s="22">
        <f>MONTH(Table10[[#This Row],[Order Date]])</f>
        <v>9</v>
      </c>
      <c r="E1367" t="s">
        <v>998</v>
      </c>
      <c r="F1367" t="s">
        <v>999</v>
      </c>
      <c r="G1367" s="23" t="s">
        <v>41</v>
      </c>
      <c r="H1367" s="23" t="s">
        <v>61</v>
      </c>
      <c r="I1367" t="s">
        <v>4534</v>
      </c>
      <c r="J1367" t="s">
        <v>22</v>
      </c>
      <c r="K1367" s="22">
        <v>1</v>
      </c>
      <c r="L1367" s="1">
        <v>42622</v>
      </c>
      <c r="M1367" s="22">
        <f>Table10[[#This Row],[Ship Date]]-Table10[[#This Row],[Order Date]]</f>
        <v>5</v>
      </c>
      <c r="N1367" t="s">
        <v>45</v>
      </c>
      <c r="O1367" t="s">
        <v>23</v>
      </c>
      <c r="P1367" t="s">
        <v>94</v>
      </c>
      <c r="Q1367" t="s">
        <v>95</v>
      </c>
      <c r="R1367" t="s">
        <v>165</v>
      </c>
      <c r="S1367" s="33">
        <v>0.2</v>
      </c>
      <c r="T1367" s="13">
        <v>3.9119999999999999</v>
      </c>
      <c r="U1367" s="13">
        <v>1.0268999999999999</v>
      </c>
      <c r="V1367" s="21">
        <f>Table10[[#This Row],[Profit]]/Table10[[#This Row],[Sales]]</f>
        <v>0.26250000000000001</v>
      </c>
    </row>
    <row r="1368" spans="1:22" x14ac:dyDescent="0.2">
      <c r="A1368">
        <v>1367</v>
      </c>
      <c r="B1368" t="s">
        <v>6221</v>
      </c>
      <c r="C1368" s="1">
        <v>42617</v>
      </c>
      <c r="D1368" s="22">
        <f>MONTH(Table10[[#This Row],[Order Date]])</f>
        <v>9</v>
      </c>
      <c r="E1368" t="s">
        <v>3728</v>
      </c>
      <c r="F1368" t="s">
        <v>3729</v>
      </c>
      <c r="G1368" s="23" t="s">
        <v>41</v>
      </c>
      <c r="H1368" s="23" t="s">
        <v>61</v>
      </c>
      <c r="I1368" t="s">
        <v>4534</v>
      </c>
      <c r="J1368" t="s">
        <v>22</v>
      </c>
      <c r="K1368" s="22">
        <v>3</v>
      </c>
      <c r="L1368" s="1">
        <v>42622</v>
      </c>
      <c r="M1368" s="22">
        <f>Table10[[#This Row],[Ship Date]]-Table10[[#This Row],[Order Date]]</f>
        <v>5</v>
      </c>
      <c r="N1368" t="s">
        <v>45</v>
      </c>
      <c r="O1368" t="s">
        <v>23</v>
      </c>
      <c r="P1368" t="s">
        <v>94</v>
      </c>
      <c r="Q1368" t="s">
        <v>95</v>
      </c>
      <c r="R1368" t="s">
        <v>165</v>
      </c>
      <c r="S1368" s="33">
        <v>0.2</v>
      </c>
      <c r="T1368" s="13">
        <v>62.375999999999998</v>
      </c>
      <c r="U1368" s="13">
        <v>7.0172999999999996</v>
      </c>
      <c r="V1368" s="21">
        <f>Table10[[#This Row],[Profit]]/Table10[[#This Row],[Sales]]</f>
        <v>0.1125</v>
      </c>
    </row>
    <row r="1369" spans="1:22" x14ac:dyDescent="0.2">
      <c r="A1369">
        <v>1368</v>
      </c>
      <c r="B1369" t="s">
        <v>7397</v>
      </c>
      <c r="C1369" s="1">
        <v>42617</v>
      </c>
      <c r="D1369" s="22">
        <f>MONTH(Table10[[#This Row],[Order Date]])</f>
        <v>9</v>
      </c>
      <c r="E1369" t="s">
        <v>4564</v>
      </c>
      <c r="F1369" t="s">
        <v>4565</v>
      </c>
      <c r="G1369" s="23" t="s">
        <v>28</v>
      </c>
      <c r="H1369" s="23" t="s">
        <v>58</v>
      </c>
      <c r="I1369" t="s">
        <v>4814</v>
      </c>
      <c r="J1369" t="s">
        <v>22</v>
      </c>
      <c r="K1369" s="22">
        <v>1</v>
      </c>
      <c r="L1369" s="1">
        <v>42621</v>
      </c>
      <c r="M1369" s="22">
        <f>Table10[[#This Row],[Ship Date]]-Table10[[#This Row],[Order Date]]</f>
        <v>4</v>
      </c>
      <c r="N1369" t="s">
        <v>45</v>
      </c>
      <c r="O1369" t="s">
        <v>23</v>
      </c>
      <c r="P1369" t="s">
        <v>238</v>
      </c>
      <c r="Q1369" t="s">
        <v>133</v>
      </c>
      <c r="R1369" t="s">
        <v>237</v>
      </c>
      <c r="S1369" s="33">
        <v>0</v>
      </c>
      <c r="T1369" s="13">
        <v>63.94</v>
      </c>
      <c r="U1369" s="13">
        <v>24.936599999999999</v>
      </c>
      <c r="V1369" s="21">
        <f>Table10[[#This Row],[Profit]]/Table10[[#This Row],[Sales]]</f>
        <v>0.39</v>
      </c>
    </row>
    <row r="1370" spans="1:22" x14ac:dyDescent="0.2">
      <c r="A1370">
        <v>1369</v>
      </c>
      <c r="B1370" t="s">
        <v>7397</v>
      </c>
      <c r="C1370" s="1">
        <v>42617</v>
      </c>
      <c r="D1370" s="22">
        <f>MONTH(Table10[[#This Row],[Order Date]])</f>
        <v>9</v>
      </c>
      <c r="E1370" t="s">
        <v>255</v>
      </c>
      <c r="F1370" t="s">
        <v>256</v>
      </c>
      <c r="G1370" s="23" t="s">
        <v>41</v>
      </c>
      <c r="H1370" s="23" t="s">
        <v>68</v>
      </c>
      <c r="I1370" t="s">
        <v>4814</v>
      </c>
      <c r="J1370" t="s">
        <v>22</v>
      </c>
      <c r="K1370" s="22">
        <v>5</v>
      </c>
      <c r="L1370" s="1">
        <v>42621</v>
      </c>
      <c r="M1370" s="22">
        <f>Table10[[#This Row],[Ship Date]]-Table10[[#This Row],[Order Date]]</f>
        <v>4</v>
      </c>
      <c r="N1370" t="s">
        <v>45</v>
      </c>
      <c r="O1370" t="s">
        <v>23</v>
      </c>
      <c r="P1370" t="s">
        <v>238</v>
      </c>
      <c r="Q1370" t="s">
        <v>133</v>
      </c>
      <c r="R1370" t="s">
        <v>237</v>
      </c>
      <c r="S1370" s="33">
        <v>0.2</v>
      </c>
      <c r="T1370" s="13">
        <v>60.6</v>
      </c>
      <c r="U1370" s="13">
        <v>20.452500000000001</v>
      </c>
      <c r="V1370" s="21">
        <f>Table10[[#This Row],[Profit]]/Table10[[#This Row],[Sales]]</f>
        <v>0.33750000000000002</v>
      </c>
    </row>
    <row r="1371" spans="1:22" x14ac:dyDescent="0.2">
      <c r="A1371">
        <v>1370</v>
      </c>
      <c r="B1371" t="s">
        <v>7397</v>
      </c>
      <c r="C1371" s="1">
        <v>42617</v>
      </c>
      <c r="D1371" s="22">
        <f>MONTH(Table10[[#This Row],[Order Date]])</f>
        <v>9</v>
      </c>
      <c r="E1371" t="s">
        <v>2307</v>
      </c>
      <c r="F1371" t="s">
        <v>2308</v>
      </c>
      <c r="G1371" s="23" t="s">
        <v>41</v>
      </c>
      <c r="H1371" s="23" t="s">
        <v>513</v>
      </c>
      <c r="I1371" t="s">
        <v>4814</v>
      </c>
      <c r="J1371" t="s">
        <v>22</v>
      </c>
      <c r="K1371" s="22">
        <v>4</v>
      </c>
      <c r="L1371" s="1">
        <v>42621</v>
      </c>
      <c r="M1371" s="22">
        <f>Table10[[#This Row],[Ship Date]]-Table10[[#This Row],[Order Date]]</f>
        <v>4</v>
      </c>
      <c r="N1371" t="s">
        <v>45</v>
      </c>
      <c r="O1371" t="s">
        <v>23</v>
      </c>
      <c r="P1371" t="s">
        <v>238</v>
      </c>
      <c r="Q1371" t="s">
        <v>133</v>
      </c>
      <c r="R1371" t="s">
        <v>237</v>
      </c>
      <c r="S1371" s="33">
        <v>0</v>
      </c>
      <c r="T1371" s="13">
        <v>22.72</v>
      </c>
      <c r="U1371" s="13">
        <v>6.5888</v>
      </c>
      <c r="V1371" s="21">
        <f>Table10[[#This Row],[Profit]]/Table10[[#This Row],[Sales]]</f>
        <v>0.29000000000000004</v>
      </c>
    </row>
    <row r="1372" spans="1:22" x14ac:dyDescent="0.2">
      <c r="A1372">
        <v>1371</v>
      </c>
      <c r="B1372" t="s">
        <v>7735</v>
      </c>
      <c r="C1372" s="1">
        <v>42617</v>
      </c>
      <c r="D1372" s="22">
        <f>MONTH(Table10[[#This Row],[Order Date]])</f>
        <v>9</v>
      </c>
      <c r="E1372" t="s">
        <v>2501</v>
      </c>
      <c r="F1372" t="s">
        <v>2502</v>
      </c>
      <c r="G1372" s="23" t="s">
        <v>41</v>
      </c>
      <c r="H1372" s="23" t="s">
        <v>82</v>
      </c>
      <c r="I1372" t="s">
        <v>840</v>
      </c>
      <c r="J1372" t="s">
        <v>22</v>
      </c>
      <c r="K1372" s="22">
        <v>3</v>
      </c>
      <c r="L1372" s="1">
        <v>42620</v>
      </c>
      <c r="M1372" s="22">
        <f>Table10[[#This Row],[Ship Date]]-Table10[[#This Row],[Order Date]]</f>
        <v>3</v>
      </c>
      <c r="N1372" t="s">
        <v>20</v>
      </c>
      <c r="O1372" t="s">
        <v>23</v>
      </c>
      <c r="P1372" t="s">
        <v>299</v>
      </c>
      <c r="Q1372" t="s">
        <v>26</v>
      </c>
      <c r="R1372" t="s">
        <v>4558</v>
      </c>
      <c r="S1372" s="33">
        <v>0.2</v>
      </c>
      <c r="T1372" s="13">
        <v>12.192</v>
      </c>
      <c r="U1372" s="13">
        <v>4.1147999999999998</v>
      </c>
      <c r="V1372" s="21">
        <f>Table10[[#This Row],[Profit]]/Table10[[#This Row],[Sales]]</f>
        <v>0.33749999999999997</v>
      </c>
    </row>
    <row r="1373" spans="1:22" x14ac:dyDescent="0.2">
      <c r="A1373">
        <v>1372</v>
      </c>
      <c r="B1373" t="s">
        <v>7735</v>
      </c>
      <c r="C1373" s="1">
        <v>42617</v>
      </c>
      <c r="D1373" s="22">
        <f>MONTH(Table10[[#This Row],[Order Date]])</f>
        <v>9</v>
      </c>
      <c r="E1373" t="s">
        <v>4763</v>
      </c>
      <c r="F1373" t="s">
        <v>4764</v>
      </c>
      <c r="G1373" s="23" t="s">
        <v>41</v>
      </c>
      <c r="H1373" s="23" t="s">
        <v>71</v>
      </c>
      <c r="I1373" t="s">
        <v>840</v>
      </c>
      <c r="J1373" t="s">
        <v>22</v>
      </c>
      <c r="K1373" s="22">
        <v>2</v>
      </c>
      <c r="L1373" s="1">
        <v>42620</v>
      </c>
      <c r="M1373" s="22">
        <f>Table10[[#This Row],[Ship Date]]-Table10[[#This Row],[Order Date]]</f>
        <v>3</v>
      </c>
      <c r="N1373" t="s">
        <v>20</v>
      </c>
      <c r="O1373" t="s">
        <v>23</v>
      </c>
      <c r="P1373" t="s">
        <v>299</v>
      </c>
      <c r="Q1373" t="s">
        <v>26</v>
      </c>
      <c r="R1373" t="s">
        <v>4558</v>
      </c>
      <c r="S1373" s="33">
        <v>0.2</v>
      </c>
      <c r="T1373" s="13">
        <v>87.168000000000006</v>
      </c>
      <c r="U1373" s="13">
        <v>8.7167999999999992</v>
      </c>
      <c r="V1373" s="21">
        <f>Table10[[#This Row],[Profit]]/Table10[[#This Row],[Sales]]</f>
        <v>9.9999999999999978E-2</v>
      </c>
    </row>
    <row r="1374" spans="1:22" x14ac:dyDescent="0.2">
      <c r="A1374">
        <v>1373</v>
      </c>
      <c r="B1374" t="s">
        <v>7735</v>
      </c>
      <c r="C1374" s="1">
        <v>42617</v>
      </c>
      <c r="D1374" s="22">
        <f>MONTH(Table10[[#This Row],[Order Date]])</f>
        <v>9</v>
      </c>
      <c r="E1374" t="s">
        <v>6135</v>
      </c>
      <c r="F1374" t="s">
        <v>6136</v>
      </c>
      <c r="G1374" s="23" t="s">
        <v>41</v>
      </c>
      <c r="H1374" s="23" t="s">
        <v>61</v>
      </c>
      <c r="I1374" t="s">
        <v>840</v>
      </c>
      <c r="J1374" t="s">
        <v>22</v>
      </c>
      <c r="K1374" s="22">
        <v>2</v>
      </c>
      <c r="L1374" s="1">
        <v>42620</v>
      </c>
      <c r="M1374" s="22">
        <f>Table10[[#This Row],[Ship Date]]-Table10[[#This Row],[Order Date]]</f>
        <v>3</v>
      </c>
      <c r="N1374" t="s">
        <v>20</v>
      </c>
      <c r="O1374" t="s">
        <v>23</v>
      </c>
      <c r="P1374" t="s">
        <v>299</v>
      </c>
      <c r="Q1374" t="s">
        <v>26</v>
      </c>
      <c r="R1374" t="s">
        <v>4558</v>
      </c>
      <c r="S1374" s="33">
        <v>0.2</v>
      </c>
      <c r="T1374" s="13">
        <v>31.744</v>
      </c>
      <c r="U1374" s="13">
        <v>8.3328000000000007</v>
      </c>
      <c r="V1374" s="21">
        <f>Table10[[#This Row],[Profit]]/Table10[[#This Row],[Sales]]</f>
        <v>0.26250000000000001</v>
      </c>
    </row>
    <row r="1375" spans="1:22" x14ac:dyDescent="0.2">
      <c r="A1375">
        <v>1374</v>
      </c>
      <c r="B1375" t="s">
        <v>7871</v>
      </c>
      <c r="C1375" s="1">
        <v>42617</v>
      </c>
      <c r="D1375" s="22">
        <f>MONTH(Table10[[#This Row],[Order Date]])</f>
        <v>9</v>
      </c>
      <c r="E1375" t="s">
        <v>1320</v>
      </c>
      <c r="F1375" t="s">
        <v>1321</v>
      </c>
      <c r="G1375" s="23" t="s">
        <v>28</v>
      </c>
      <c r="H1375" s="23" t="s">
        <v>58</v>
      </c>
      <c r="I1375" t="s">
        <v>6432</v>
      </c>
      <c r="J1375" t="s">
        <v>22</v>
      </c>
      <c r="K1375" s="22">
        <v>3</v>
      </c>
      <c r="L1375" s="1">
        <v>42621</v>
      </c>
      <c r="M1375" s="22">
        <f>Table10[[#This Row],[Ship Date]]-Table10[[#This Row],[Order Date]]</f>
        <v>4</v>
      </c>
      <c r="N1375" t="s">
        <v>45</v>
      </c>
      <c r="O1375" t="s">
        <v>23</v>
      </c>
      <c r="P1375" t="s">
        <v>25</v>
      </c>
      <c r="Q1375" t="s">
        <v>26</v>
      </c>
      <c r="R1375" t="s">
        <v>7217</v>
      </c>
      <c r="S1375" s="33">
        <v>0</v>
      </c>
      <c r="T1375" s="13">
        <v>42.6</v>
      </c>
      <c r="U1375" s="13">
        <v>16.614000000000001</v>
      </c>
      <c r="V1375" s="21">
        <f>Table10[[#This Row],[Profit]]/Table10[[#This Row],[Sales]]</f>
        <v>0.39</v>
      </c>
    </row>
    <row r="1376" spans="1:22" x14ac:dyDescent="0.2">
      <c r="A1376">
        <v>1375</v>
      </c>
      <c r="B1376" t="s">
        <v>7871</v>
      </c>
      <c r="C1376" s="1">
        <v>42617</v>
      </c>
      <c r="D1376" s="22">
        <f>MONTH(Table10[[#This Row],[Order Date]])</f>
        <v>9</v>
      </c>
      <c r="E1376" t="s">
        <v>1420</v>
      </c>
      <c r="F1376" t="s">
        <v>1421</v>
      </c>
      <c r="G1376" s="23" t="s">
        <v>41</v>
      </c>
      <c r="H1376" s="23" t="s">
        <v>68</v>
      </c>
      <c r="I1376" t="s">
        <v>6432</v>
      </c>
      <c r="J1376" t="s">
        <v>22</v>
      </c>
      <c r="K1376" s="22">
        <v>6</v>
      </c>
      <c r="L1376" s="1">
        <v>42621</v>
      </c>
      <c r="M1376" s="22">
        <f>Table10[[#This Row],[Ship Date]]-Table10[[#This Row],[Order Date]]</f>
        <v>4</v>
      </c>
      <c r="N1376" t="s">
        <v>45</v>
      </c>
      <c r="O1376" t="s">
        <v>23</v>
      </c>
      <c r="P1376" t="s">
        <v>25</v>
      </c>
      <c r="Q1376" t="s">
        <v>26</v>
      </c>
      <c r="R1376" t="s">
        <v>7217</v>
      </c>
      <c r="S1376" s="33">
        <v>0</v>
      </c>
      <c r="T1376" s="13">
        <v>113.94</v>
      </c>
      <c r="U1376" s="13">
        <v>54.691200000000002</v>
      </c>
      <c r="V1376" s="21">
        <f>Table10[[#This Row],[Profit]]/Table10[[#This Row],[Sales]]</f>
        <v>0.48000000000000004</v>
      </c>
    </row>
    <row r="1377" spans="1:22" x14ac:dyDescent="0.2">
      <c r="A1377">
        <v>1376</v>
      </c>
      <c r="B1377" t="s">
        <v>7871</v>
      </c>
      <c r="C1377" s="1">
        <v>42617</v>
      </c>
      <c r="D1377" s="22">
        <f>MONTH(Table10[[#This Row],[Order Date]])</f>
        <v>9</v>
      </c>
      <c r="E1377" t="s">
        <v>1953</v>
      </c>
      <c r="F1377" t="s">
        <v>1954</v>
      </c>
      <c r="G1377" s="23" t="s">
        <v>41</v>
      </c>
      <c r="H1377" s="23" t="s">
        <v>53</v>
      </c>
      <c r="I1377" t="s">
        <v>6432</v>
      </c>
      <c r="J1377" t="s">
        <v>22</v>
      </c>
      <c r="K1377" s="22">
        <v>4</v>
      </c>
      <c r="L1377" s="1">
        <v>42621</v>
      </c>
      <c r="M1377" s="22">
        <f>Table10[[#This Row],[Ship Date]]-Table10[[#This Row],[Order Date]]</f>
        <v>4</v>
      </c>
      <c r="N1377" t="s">
        <v>45</v>
      </c>
      <c r="O1377" t="s">
        <v>23</v>
      </c>
      <c r="P1377" t="s">
        <v>25</v>
      </c>
      <c r="Q1377" t="s">
        <v>26</v>
      </c>
      <c r="R1377" t="s">
        <v>7217</v>
      </c>
      <c r="S1377" s="33">
        <v>0</v>
      </c>
      <c r="T1377" s="13">
        <v>129.91999999999999</v>
      </c>
      <c r="U1377" s="13">
        <v>5.1967999999999996</v>
      </c>
      <c r="V1377" s="21">
        <f>Table10[[#This Row],[Profit]]/Table10[[#This Row],[Sales]]</f>
        <v>0.04</v>
      </c>
    </row>
    <row r="1378" spans="1:22" x14ac:dyDescent="0.2">
      <c r="A1378">
        <v>1377</v>
      </c>
      <c r="B1378" t="s">
        <v>7871</v>
      </c>
      <c r="C1378" s="1">
        <v>42617</v>
      </c>
      <c r="D1378" s="22">
        <f>MONTH(Table10[[#This Row],[Order Date]])</f>
        <v>9</v>
      </c>
      <c r="E1378" t="s">
        <v>4588</v>
      </c>
      <c r="F1378" t="s">
        <v>4589</v>
      </c>
      <c r="G1378" s="23" t="s">
        <v>41</v>
      </c>
      <c r="H1378" s="23" t="s">
        <v>61</v>
      </c>
      <c r="I1378" t="s">
        <v>6432</v>
      </c>
      <c r="J1378" t="s">
        <v>22</v>
      </c>
      <c r="K1378" s="22">
        <v>3</v>
      </c>
      <c r="L1378" s="1">
        <v>42621</v>
      </c>
      <c r="M1378" s="22">
        <f>Table10[[#This Row],[Ship Date]]-Table10[[#This Row],[Order Date]]</f>
        <v>4</v>
      </c>
      <c r="N1378" t="s">
        <v>45</v>
      </c>
      <c r="O1378" t="s">
        <v>23</v>
      </c>
      <c r="P1378" t="s">
        <v>25</v>
      </c>
      <c r="Q1378" t="s">
        <v>26</v>
      </c>
      <c r="R1378" t="s">
        <v>7217</v>
      </c>
      <c r="S1378" s="33">
        <v>0</v>
      </c>
      <c r="T1378" s="13">
        <v>5.28</v>
      </c>
      <c r="U1378" s="13">
        <v>2.5344000000000002</v>
      </c>
      <c r="V1378" s="21">
        <f>Table10[[#This Row],[Profit]]/Table10[[#This Row],[Sales]]</f>
        <v>0.48000000000000004</v>
      </c>
    </row>
    <row r="1379" spans="1:22" x14ac:dyDescent="0.2">
      <c r="A1379">
        <v>1378</v>
      </c>
      <c r="B1379" t="s">
        <v>9426</v>
      </c>
      <c r="C1379" s="1">
        <v>42617</v>
      </c>
      <c r="D1379" s="22">
        <f>MONTH(Table10[[#This Row],[Order Date]])</f>
        <v>9</v>
      </c>
      <c r="E1379" t="s">
        <v>1774</v>
      </c>
      <c r="F1379" t="s">
        <v>1775</v>
      </c>
      <c r="G1379" s="23" t="s">
        <v>41</v>
      </c>
      <c r="H1379" s="23" t="s">
        <v>53</v>
      </c>
      <c r="I1379" t="s">
        <v>3986</v>
      </c>
      <c r="J1379" t="s">
        <v>36</v>
      </c>
      <c r="K1379" s="22">
        <v>3</v>
      </c>
      <c r="L1379" s="1">
        <v>42622</v>
      </c>
      <c r="M1379" s="22">
        <f>Table10[[#This Row],[Ship Date]]-Table10[[#This Row],[Order Date]]</f>
        <v>5</v>
      </c>
      <c r="N1379" t="s">
        <v>45</v>
      </c>
      <c r="O1379" t="s">
        <v>23</v>
      </c>
      <c r="P1379" t="s">
        <v>204</v>
      </c>
      <c r="Q1379" t="s">
        <v>95</v>
      </c>
      <c r="R1379" t="s">
        <v>7407</v>
      </c>
      <c r="S1379" s="33">
        <v>0</v>
      </c>
      <c r="T1379" s="13">
        <v>535.41</v>
      </c>
      <c r="U1379" s="13">
        <v>160.62299999999999</v>
      </c>
      <c r="V1379" s="21">
        <f>Table10[[#This Row],[Profit]]/Table10[[#This Row],[Sales]]</f>
        <v>0.3</v>
      </c>
    </row>
    <row r="1380" spans="1:22" x14ac:dyDescent="0.2">
      <c r="A1380">
        <v>1379</v>
      </c>
      <c r="B1380" t="s">
        <v>9627</v>
      </c>
      <c r="C1380" s="1">
        <v>42617</v>
      </c>
      <c r="D1380" s="22">
        <f>MONTH(Table10[[#This Row],[Order Date]])</f>
        <v>9</v>
      </c>
      <c r="E1380" t="s">
        <v>5439</v>
      </c>
      <c r="F1380" t="s">
        <v>591</v>
      </c>
      <c r="G1380" s="23" t="s">
        <v>41</v>
      </c>
      <c r="H1380" s="23" t="s">
        <v>155</v>
      </c>
      <c r="I1380" t="s">
        <v>3471</v>
      </c>
      <c r="J1380" t="s">
        <v>22</v>
      </c>
      <c r="K1380" s="22">
        <v>2</v>
      </c>
      <c r="L1380" s="1">
        <v>42621</v>
      </c>
      <c r="M1380" s="22">
        <f>Table10[[#This Row],[Ship Date]]-Table10[[#This Row],[Order Date]]</f>
        <v>4</v>
      </c>
      <c r="N1380" t="s">
        <v>45</v>
      </c>
      <c r="O1380" t="s">
        <v>23</v>
      </c>
      <c r="P1380" t="s">
        <v>528</v>
      </c>
      <c r="Q1380" t="s">
        <v>95</v>
      </c>
      <c r="R1380" t="s">
        <v>284</v>
      </c>
      <c r="S1380" s="33">
        <v>0</v>
      </c>
      <c r="T1380" s="13">
        <v>16.559999999999999</v>
      </c>
      <c r="U1380" s="13">
        <v>7.7831999999999999</v>
      </c>
      <c r="V1380" s="21">
        <f>Table10[[#This Row],[Profit]]/Table10[[#This Row],[Sales]]</f>
        <v>0.47000000000000003</v>
      </c>
    </row>
    <row r="1381" spans="1:22" x14ac:dyDescent="0.2">
      <c r="A1381">
        <v>1380</v>
      </c>
      <c r="B1381" t="s">
        <v>9627</v>
      </c>
      <c r="C1381" s="1">
        <v>42617</v>
      </c>
      <c r="D1381" s="22">
        <f>MONTH(Table10[[#This Row],[Order Date]])</f>
        <v>9</v>
      </c>
      <c r="E1381" t="s">
        <v>754</v>
      </c>
      <c r="F1381" t="s">
        <v>755</v>
      </c>
      <c r="G1381" s="23" t="s">
        <v>64</v>
      </c>
      <c r="H1381" s="23" t="s">
        <v>144</v>
      </c>
      <c r="I1381" t="s">
        <v>3471</v>
      </c>
      <c r="J1381" t="s">
        <v>22</v>
      </c>
      <c r="K1381" s="22">
        <v>5</v>
      </c>
      <c r="L1381" s="1">
        <v>42621</v>
      </c>
      <c r="M1381" s="22">
        <f>Table10[[#This Row],[Ship Date]]-Table10[[#This Row],[Order Date]]</f>
        <v>4</v>
      </c>
      <c r="N1381" t="s">
        <v>45</v>
      </c>
      <c r="O1381" t="s">
        <v>23</v>
      </c>
      <c r="P1381" t="s">
        <v>528</v>
      </c>
      <c r="Q1381" t="s">
        <v>95</v>
      </c>
      <c r="R1381" t="s">
        <v>284</v>
      </c>
      <c r="S1381" s="33">
        <v>0</v>
      </c>
      <c r="T1381" s="13">
        <v>279.95</v>
      </c>
      <c r="U1381" s="13">
        <v>67.188000000000002</v>
      </c>
      <c r="V1381" s="21">
        <f>Table10[[#This Row],[Profit]]/Table10[[#This Row],[Sales]]</f>
        <v>0.24000000000000002</v>
      </c>
    </row>
    <row r="1382" spans="1:22" x14ac:dyDescent="0.2">
      <c r="A1382">
        <v>1381</v>
      </c>
      <c r="B1382" t="s">
        <v>9938</v>
      </c>
      <c r="C1382" s="1">
        <v>42617</v>
      </c>
      <c r="D1382" s="22">
        <f>MONTH(Table10[[#This Row],[Order Date]])</f>
        <v>9</v>
      </c>
      <c r="E1382" t="s">
        <v>3691</v>
      </c>
      <c r="F1382" t="s">
        <v>3692</v>
      </c>
      <c r="G1382" s="23" t="s">
        <v>41</v>
      </c>
      <c r="H1382" s="23" t="s">
        <v>82</v>
      </c>
      <c r="I1382" t="s">
        <v>1442</v>
      </c>
      <c r="J1382" t="s">
        <v>22</v>
      </c>
      <c r="K1382" s="22">
        <v>5</v>
      </c>
      <c r="L1382" s="1">
        <v>42622</v>
      </c>
      <c r="M1382" s="22">
        <f>Table10[[#This Row],[Ship Date]]-Table10[[#This Row],[Order Date]]</f>
        <v>5</v>
      </c>
      <c r="N1382" t="s">
        <v>45</v>
      </c>
      <c r="O1382" t="s">
        <v>23</v>
      </c>
      <c r="P1382" t="s">
        <v>1510</v>
      </c>
      <c r="Q1382" t="s">
        <v>26</v>
      </c>
      <c r="R1382" t="s">
        <v>2875</v>
      </c>
      <c r="S1382" s="33">
        <v>0</v>
      </c>
      <c r="T1382" s="13">
        <v>239.5</v>
      </c>
      <c r="U1382" s="13">
        <v>114.96</v>
      </c>
      <c r="V1382" s="21">
        <f>Table10[[#This Row],[Profit]]/Table10[[#This Row],[Sales]]</f>
        <v>0.48</v>
      </c>
    </row>
    <row r="1383" spans="1:22" x14ac:dyDescent="0.2">
      <c r="A1383">
        <v>1382</v>
      </c>
      <c r="B1383" t="s">
        <v>10110</v>
      </c>
      <c r="C1383" s="1">
        <v>42617</v>
      </c>
      <c r="D1383" s="22">
        <f>MONTH(Table10[[#This Row],[Order Date]])</f>
        <v>9</v>
      </c>
      <c r="E1383" t="s">
        <v>310</v>
      </c>
      <c r="F1383" t="s">
        <v>311</v>
      </c>
      <c r="G1383" s="23" t="s">
        <v>28</v>
      </c>
      <c r="H1383" s="23" t="s">
        <v>58</v>
      </c>
      <c r="I1383" t="s">
        <v>8324</v>
      </c>
      <c r="J1383" t="s">
        <v>22</v>
      </c>
      <c r="K1383" s="22">
        <v>3</v>
      </c>
      <c r="L1383" s="1">
        <v>42617</v>
      </c>
      <c r="M1383" s="22">
        <f>Table10[[#This Row],[Ship Date]]-Table10[[#This Row],[Order Date]]</f>
        <v>0</v>
      </c>
      <c r="N1383" t="s">
        <v>1141</v>
      </c>
      <c r="O1383" t="s">
        <v>23</v>
      </c>
      <c r="P1383" t="s">
        <v>38</v>
      </c>
      <c r="Q1383" t="s">
        <v>39</v>
      </c>
      <c r="R1383" t="s">
        <v>114</v>
      </c>
      <c r="S1383" s="33">
        <v>0</v>
      </c>
      <c r="T1383" s="13">
        <v>24.27</v>
      </c>
      <c r="U1383" s="13">
        <v>8.7371999999999996</v>
      </c>
      <c r="V1383" s="21">
        <f>Table10[[#This Row],[Profit]]/Table10[[#This Row],[Sales]]</f>
        <v>0.36</v>
      </c>
    </row>
    <row r="1384" spans="1:22" x14ac:dyDescent="0.2">
      <c r="A1384">
        <v>1383</v>
      </c>
      <c r="B1384" t="s">
        <v>10110</v>
      </c>
      <c r="C1384" s="1">
        <v>42617</v>
      </c>
      <c r="D1384" s="22">
        <f>MONTH(Table10[[#This Row],[Order Date]])</f>
        <v>9</v>
      </c>
      <c r="E1384" t="s">
        <v>4678</v>
      </c>
      <c r="F1384" t="s">
        <v>4679</v>
      </c>
      <c r="G1384" s="23" t="s">
        <v>64</v>
      </c>
      <c r="H1384" s="23" t="s">
        <v>1075</v>
      </c>
      <c r="I1384" t="s">
        <v>8324</v>
      </c>
      <c r="J1384" t="s">
        <v>22</v>
      </c>
      <c r="K1384" s="22">
        <v>5</v>
      </c>
      <c r="L1384" s="1">
        <v>42617</v>
      </c>
      <c r="M1384" s="22">
        <f>Table10[[#This Row],[Ship Date]]-Table10[[#This Row],[Order Date]]</f>
        <v>0</v>
      </c>
      <c r="N1384" t="s">
        <v>1141</v>
      </c>
      <c r="O1384" t="s">
        <v>23</v>
      </c>
      <c r="P1384" t="s">
        <v>38</v>
      </c>
      <c r="Q1384" t="s">
        <v>39</v>
      </c>
      <c r="R1384" t="s">
        <v>114</v>
      </c>
      <c r="S1384" s="33">
        <v>0.2</v>
      </c>
      <c r="T1384" s="13">
        <v>2799.96</v>
      </c>
      <c r="U1384" s="13">
        <v>944.98649999999998</v>
      </c>
      <c r="V1384" s="21">
        <f>Table10[[#This Row],[Profit]]/Table10[[#This Row],[Sales]]</f>
        <v>0.33749999999999997</v>
      </c>
    </row>
    <row r="1385" spans="1:22" x14ac:dyDescent="0.2">
      <c r="A1385">
        <v>1384</v>
      </c>
      <c r="B1385" t="s">
        <v>515</v>
      </c>
      <c r="C1385" s="1">
        <v>42618</v>
      </c>
      <c r="D1385" s="22">
        <f>MONTH(Table10[[#This Row],[Order Date]])</f>
        <v>9</v>
      </c>
      <c r="E1385" t="s">
        <v>152</v>
      </c>
      <c r="F1385" t="s">
        <v>153</v>
      </c>
      <c r="G1385" s="23" t="s">
        <v>28</v>
      </c>
      <c r="H1385" s="23" t="s">
        <v>58</v>
      </c>
      <c r="I1385" t="s">
        <v>516</v>
      </c>
      <c r="J1385" t="s">
        <v>36</v>
      </c>
      <c r="K1385" s="22">
        <v>2</v>
      </c>
      <c r="L1385" s="1">
        <v>42620</v>
      </c>
      <c r="M1385" s="22">
        <f>Table10[[#This Row],[Ship Date]]-Table10[[#This Row],[Order Date]]</f>
        <v>2</v>
      </c>
      <c r="N1385" t="s">
        <v>20</v>
      </c>
      <c r="O1385" t="s">
        <v>23</v>
      </c>
      <c r="P1385" t="s">
        <v>132</v>
      </c>
      <c r="Q1385" t="s">
        <v>133</v>
      </c>
      <c r="R1385" t="s">
        <v>131</v>
      </c>
      <c r="S1385" s="33">
        <v>0.2</v>
      </c>
      <c r="T1385" s="13">
        <v>82.8</v>
      </c>
      <c r="U1385" s="13">
        <v>10.35</v>
      </c>
      <c r="V1385" s="21">
        <f>Table10[[#This Row],[Profit]]/Table10[[#This Row],[Sales]]</f>
        <v>0.125</v>
      </c>
    </row>
    <row r="1386" spans="1:22" x14ac:dyDescent="0.2">
      <c r="A1386">
        <v>1385</v>
      </c>
      <c r="B1386" t="s">
        <v>1361</v>
      </c>
      <c r="C1386" s="1">
        <v>42618</v>
      </c>
      <c r="D1386" s="22">
        <f>MONTH(Table10[[#This Row],[Order Date]])</f>
        <v>9</v>
      </c>
      <c r="E1386" t="s">
        <v>1362</v>
      </c>
      <c r="F1386" t="s">
        <v>1363</v>
      </c>
      <c r="G1386" s="23" t="s">
        <v>28</v>
      </c>
      <c r="H1386" s="23" t="s">
        <v>58</v>
      </c>
      <c r="I1386" t="s">
        <v>101</v>
      </c>
      <c r="J1386" t="s">
        <v>22</v>
      </c>
      <c r="K1386" s="22">
        <v>1</v>
      </c>
      <c r="L1386" s="1">
        <v>42620</v>
      </c>
      <c r="M1386" s="22">
        <f>Table10[[#This Row],[Ship Date]]-Table10[[#This Row],[Order Date]]</f>
        <v>2</v>
      </c>
      <c r="N1386" t="s">
        <v>20</v>
      </c>
      <c r="O1386" t="s">
        <v>23</v>
      </c>
      <c r="P1386" t="s">
        <v>212</v>
      </c>
      <c r="Q1386" t="s">
        <v>95</v>
      </c>
      <c r="R1386" t="s">
        <v>775</v>
      </c>
      <c r="S1386" s="33">
        <v>0</v>
      </c>
      <c r="T1386" s="13">
        <v>12.22</v>
      </c>
      <c r="U1386" s="13">
        <v>3.6659999999999999</v>
      </c>
      <c r="V1386" s="21">
        <f>Table10[[#This Row],[Profit]]/Table10[[#This Row],[Sales]]</f>
        <v>0.3</v>
      </c>
    </row>
    <row r="1387" spans="1:22" x14ac:dyDescent="0.2">
      <c r="A1387">
        <v>1386</v>
      </c>
      <c r="B1387" t="s">
        <v>1361</v>
      </c>
      <c r="C1387" s="1">
        <v>42618</v>
      </c>
      <c r="D1387" s="22">
        <f>MONTH(Table10[[#This Row],[Order Date]])</f>
        <v>9</v>
      </c>
      <c r="E1387" t="s">
        <v>1364</v>
      </c>
      <c r="F1387" t="s">
        <v>1365</v>
      </c>
      <c r="G1387" s="23" t="s">
        <v>41</v>
      </c>
      <c r="H1387" s="23" t="s">
        <v>53</v>
      </c>
      <c r="I1387" t="s">
        <v>101</v>
      </c>
      <c r="J1387" t="s">
        <v>22</v>
      </c>
      <c r="K1387" s="22">
        <v>3</v>
      </c>
      <c r="L1387" s="1">
        <v>42620</v>
      </c>
      <c r="M1387" s="22">
        <f>Table10[[#This Row],[Ship Date]]-Table10[[#This Row],[Order Date]]</f>
        <v>2</v>
      </c>
      <c r="N1387" t="s">
        <v>20</v>
      </c>
      <c r="O1387" t="s">
        <v>23</v>
      </c>
      <c r="P1387" t="s">
        <v>212</v>
      </c>
      <c r="Q1387" t="s">
        <v>95</v>
      </c>
      <c r="R1387" t="s">
        <v>775</v>
      </c>
      <c r="S1387" s="33">
        <v>0</v>
      </c>
      <c r="T1387" s="13">
        <v>194.94</v>
      </c>
      <c r="U1387" s="13">
        <v>23.392800000000001</v>
      </c>
      <c r="V1387" s="21">
        <f>Table10[[#This Row],[Profit]]/Table10[[#This Row],[Sales]]</f>
        <v>0.12000000000000001</v>
      </c>
    </row>
    <row r="1388" spans="1:22" x14ac:dyDescent="0.2">
      <c r="A1388">
        <v>1387</v>
      </c>
      <c r="B1388" t="s">
        <v>1361</v>
      </c>
      <c r="C1388" s="1">
        <v>42618</v>
      </c>
      <c r="D1388" s="22">
        <f>MONTH(Table10[[#This Row],[Order Date]])</f>
        <v>9</v>
      </c>
      <c r="E1388" t="s">
        <v>1366</v>
      </c>
      <c r="F1388" t="s">
        <v>1367</v>
      </c>
      <c r="G1388" s="23" t="s">
        <v>41</v>
      </c>
      <c r="H1388" s="23" t="s">
        <v>53</v>
      </c>
      <c r="I1388" t="s">
        <v>101</v>
      </c>
      <c r="J1388" t="s">
        <v>22</v>
      </c>
      <c r="K1388" s="22">
        <v>3</v>
      </c>
      <c r="L1388" s="1">
        <v>42620</v>
      </c>
      <c r="M1388" s="22">
        <f>Table10[[#This Row],[Ship Date]]-Table10[[#This Row],[Order Date]]</f>
        <v>2</v>
      </c>
      <c r="N1388" t="s">
        <v>20</v>
      </c>
      <c r="O1388" t="s">
        <v>23</v>
      </c>
      <c r="P1388" t="s">
        <v>212</v>
      </c>
      <c r="Q1388" t="s">
        <v>95</v>
      </c>
      <c r="R1388" t="s">
        <v>775</v>
      </c>
      <c r="S1388" s="33">
        <v>0</v>
      </c>
      <c r="T1388" s="13">
        <v>70.95</v>
      </c>
      <c r="U1388" s="13">
        <v>20.575500000000002</v>
      </c>
      <c r="V1388" s="21">
        <f>Table10[[#This Row],[Profit]]/Table10[[#This Row],[Sales]]</f>
        <v>0.29000000000000004</v>
      </c>
    </row>
    <row r="1389" spans="1:22" x14ac:dyDescent="0.2">
      <c r="A1389">
        <v>1388</v>
      </c>
      <c r="B1389" t="s">
        <v>1361</v>
      </c>
      <c r="C1389" s="1">
        <v>42618</v>
      </c>
      <c r="D1389" s="22">
        <f>MONTH(Table10[[#This Row],[Order Date]])</f>
        <v>9</v>
      </c>
      <c r="E1389" t="s">
        <v>1368</v>
      </c>
      <c r="F1389" t="s">
        <v>1369</v>
      </c>
      <c r="G1389" s="23" t="s">
        <v>41</v>
      </c>
      <c r="H1389" s="23" t="s">
        <v>82</v>
      </c>
      <c r="I1389" t="s">
        <v>101</v>
      </c>
      <c r="J1389" t="s">
        <v>22</v>
      </c>
      <c r="K1389" s="22">
        <v>4</v>
      </c>
      <c r="L1389" s="1">
        <v>42620</v>
      </c>
      <c r="M1389" s="22">
        <f>Table10[[#This Row],[Ship Date]]-Table10[[#This Row],[Order Date]]</f>
        <v>2</v>
      </c>
      <c r="N1389" t="s">
        <v>20</v>
      </c>
      <c r="O1389" t="s">
        <v>23</v>
      </c>
      <c r="P1389" t="s">
        <v>212</v>
      </c>
      <c r="Q1389" t="s">
        <v>95</v>
      </c>
      <c r="R1389" t="s">
        <v>775</v>
      </c>
      <c r="S1389" s="33">
        <v>0</v>
      </c>
      <c r="T1389" s="13">
        <v>91.36</v>
      </c>
      <c r="U1389" s="13">
        <v>42.025599999999997</v>
      </c>
      <c r="V1389" s="21">
        <f>Table10[[#This Row],[Profit]]/Table10[[#This Row],[Sales]]</f>
        <v>0.45999999999999996</v>
      </c>
    </row>
    <row r="1390" spans="1:22" x14ac:dyDescent="0.2">
      <c r="A1390">
        <v>1389</v>
      </c>
      <c r="B1390" t="s">
        <v>1361</v>
      </c>
      <c r="C1390" s="1">
        <v>42618</v>
      </c>
      <c r="D1390" s="22">
        <f>MONTH(Table10[[#This Row],[Order Date]])</f>
        <v>9</v>
      </c>
      <c r="E1390" t="s">
        <v>1370</v>
      </c>
      <c r="F1390" t="s">
        <v>1371</v>
      </c>
      <c r="G1390" s="23" t="s">
        <v>28</v>
      </c>
      <c r="H1390" s="23" t="s">
        <v>32</v>
      </c>
      <c r="I1390" t="s">
        <v>101</v>
      </c>
      <c r="J1390" t="s">
        <v>22</v>
      </c>
      <c r="K1390" s="22">
        <v>3</v>
      </c>
      <c r="L1390" s="1">
        <v>42620</v>
      </c>
      <c r="M1390" s="22">
        <f>Table10[[#This Row],[Ship Date]]-Table10[[#This Row],[Order Date]]</f>
        <v>2</v>
      </c>
      <c r="N1390" t="s">
        <v>20</v>
      </c>
      <c r="O1390" t="s">
        <v>23</v>
      </c>
      <c r="P1390" t="s">
        <v>212</v>
      </c>
      <c r="Q1390" t="s">
        <v>95</v>
      </c>
      <c r="R1390" t="s">
        <v>775</v>
      </c>
      <c r="S1390" s="33">
        <v>0</v>
      </c>
      <c r="T1390" s="13">
        <v>242.94</v>
      </c>
      <c r="U1390" s="13">
        <v>29.152799999999999</v>
      </c>
      <c r="V1390" s="21">
        <f>Table10[[#This Row],[Profit]]/Table10[[#This Row],[Sales]]</f>
        <v>0.12</v>
      </c>
    </row>
    <row r="1391" spans="1:22" x14ac:dyDescent="0.2">
      <c r="A1391">
        <v>1390</v>
      </c>
      <c r="B1391" t="s">
        <v>1361</v>
      </c>
      <c r="C1391" s="1">
        <v>42618</v>
      </c>
      <c r="D1391" s="22">
        <f>MONTH(Table10[[#This Row],[Order Date]])</f>
        <v>9</v>
      </c>
      <c r="E1391" t="s">
        <v>1372</v>
      </c>
      <c r="F1391" t="s">
        <v>1373</v>
      </c>
      <c r="G1391" s="23" t="s">
        <v>41</v>
      </c>
      <c r="H1391" s="23" t="s">
        <v>42</v>
      </c>
      <c r="I1391" t="s">
        <v>101</v>
      </c>
      <c r="J1391" t="s">
        <v>22</v>
      </c>
      <c r="K1391" s="22">
        <v>7</v>
      </c>
      <c r="L1391" s="1">
        <v>42620</v>
      </c>
      <c r="M1391" s="22">
        <f>Table10[[#This Row],[Ship Date]]-Table10[[#This Row],[Order Date]]</f>
        <v>2</v>
      </c>
      <c r="N1391" t="s">
        <v>20</v>
      </c>
      <c r="O1391" t="s">
        <v>23</v>
      </c>
      <c r="P1391" t="s">
        <v>212</v>
      </c>
      <c r="Q1391" t="s">
        <v>95</v>
      </c>
      <c r="R1391" t="s">
        <v>775</v>
      </c>
      <c r="S1391" s="33">
        <v>0</v>
      </c>
      <c r="T1391" s="13">
        <v>22.05</v>
      </c>
      <c r="U1391" s="13">
        <v>10.584</v>
      </c>
      <c r="V1391" s="21">
        <f>Table10[[#This Row],[Profit]]/Table10[[#This Row],[Sales]]</f>
        <v>0.48</v>
      </c>
    </row>
    <row r="1392" spans="1:22" x14ac:dyDescent="0.2">
      <c r="A1392">
        <v>1391</v>
      </c>
      <c r="B1392" t="s">
        <v>3145</v>
      </c>
      <c r="C1392" s="1">
        <v>42618</v>
      </c>
      <c r="D1392" s="22">
        <f>MONTH(Table10[[#This Row],[Order Date]])</f>
        <v>9</v>
      </c>
      <c r="E1392" t="s">
        <v>3147</v>
      </c>
      <c r="F1392" t="s">
        <v>3148</v>
      </c>
      <c r="G1392" s="23" t="s">
        <v>64</v>
      </c>
      <c r="H1392" s="23" t="s">
        <v>65</v>
      </c>
      <c r="I1392" t="s">
        <v>2256</v>
      </c>
      <c r="J1392" t="s">
        <v>22</v>
      </c>
      <c r="K1392" s="22">
        <v>3</v>
      </c>
      <c r="L1392" s="1">
        <v>42619</v>
      </c>
      <c r="M1392" s="22">
        <f>Table10[[#This Row],[Ship Date]]-Table10[[#This Row],[Order Date]]</f>
        <v>1</v>
      </c>
      <c r="N1392" t="s">
        <v>169</v>
      </c>
      <c r="O1392" t="s">
        <v>23</v>
      </c>
      <c r="P1392" t="s">
        <v>433</v>
      </c>
      <c r="Q1392" t="s">
        <v>95</v>
      </c>
      <c r="R1392" t="s">
        <v>3146</v>
      </c>
      <c r="S1392" s="33">
        <v>0</v>
      </c>
      <c r="T1392" s="13">
        <v>278.39999999999998</v>
      </c>
      <c r="U1392" s="13">
        <v>80.736000000000004</v>
      </c>
      <c r="V1392" s="21">
        <f>Table10[[#This Row],[Profit]]/Table10[[#This Row],[Sales]]</f>
        <v>0.29000000000000004</v>
      </c>
    </row>
    <row r="1393" spans="1:22" x14ac:dyDescent="0.2">
      <c r="A1393">
        <v>1392</v>
      </c>
      <c r="B1393" t="s">
        <v>3998</v>
      </c>
      <c r="C1393" s="1">
        <v>42618</v>
      </c>
      <c r="D1393" s="22">
        <f>MONTH(Table10[[#This Row],[Order Date]])</f>
        <v>9</v>
      </c>
      <c r="E1393" t="s">
        <v>3137</v>
      </c>
      <c r="F1393" t="s">
        <v>3138</v>
      </c>
      <c r="G1393" s="23" t="s">
        <v>41</v>
      </c>
      <c r="H1393" s="23" t="s">
        <v>61</v>
      </c>
      <c r="I1393" t="s">
        <v>3999</v>
      </c>
      <c r="J1393" t="s">
        <v>92</v>
      </c>
      <c r="K1393" s="22">
        <v>3</v>
      </c>
      <c r="L1393" s="1">
        <v>42623</v>
      </c>
      <c r="M1393" s="22">
        <f>Table10[[#This Row],[Ship Date]]-Table10[[#This Row],[Order Date]]</f>
        <v>5</v>
      </c>
      <c r="N1393" t="s">
        <v>45</v>
      </c>
      <c r="O1393" t="s">
        <v>23</v>
      </c>
      <c r="P1393" t="s">
        <v>4001</v>
      </c>
      <c r="Q1393" t="s">
        <v>95</v>
      </c>
      <c r="R1393" t="s">
        <v>4000</v>
      </c>
      <c r="S1393" s="33">
        <v>0</v>
      </c>
      <c r="T1393" s="13">
        <v>107.94</v>
      </c>
      <c r="U1393" s="13">
        <v>26.984999999999999</v>
      </c>
      <c r="V1393" s="21">
        <f>Table10[[#This Row],[Profit]]/Table10[[#This Row],[Sales]]</f>
        <v>0.25</v>
      </c>
    </row>
    <row r="1394" spans="1:22" x14ac:dyDescent="0.2">
      <c r="A1394">
        <v>1393</v>
      </c>
      <c r="B1394" t="s">
        <v>5670</v>
      </c>
      <c r="C1394" s="1">
        <v>42618</v>
      </c>
      <c r="D1394" s="22">
        <f>MONTH(Table10[[#This Row],[Order Date]])</f>
        <v>9</v>
      </c>
      <c r="E1394" t="s">
        <v>1627</v>
      </c>
      <c r="F1394" t="s">
        <v>1628</v>
      </c>
      <c r="G1394" s="23" t="s">
        <v>28</v>
      </c>
      <c r="H1394" s="23" t="s">
        <v>32</v>
      </c>
      <c r="I1394" t="s">
        <v>1887</v>
      </c>
      <c r="J1394" t="s">
        <v>36</v>
      </c>
      <c r="K1394" s="22">
        <v>7</v>
      </c>
      <c r="L1394" s="1">
        <v>42624</v>
      </c>
      <c r="M1394" s="22">
        <f>Table10[[#This Row],[Ship Date]]-Table10[[#This Row],[Order Date]]</f>
        <v>6</v>
      </c>
      <c r="N1394" t="s">
        <v>45</v>
      </c>
      <c r="O1394" t="s">
        <v>23</v>
      </c>
      <c r="P1394" t="s">
        <v>94</v>
      </c>
      <c r="Q1394" t="s">
        <v>95</v>
      </c>
      <c r="R1394" t="s">
        <v>1095</v>
      </c>
      <c r="S1394" s="33">
        <v>0.3</v>
      </c>
      <c r="T1394" s="13">
        <v>347.80200000000002</v>
      </c>
      <c r="U1394" s="13">
        <v>-24.843</v>
      </c>
      <c r="V1394" s="21">
        <f>Table10[[#This Row],[Profit]]/Table10[[#This Row],[Sales]]</f>
        <v>-7.1428571428571425E-2</v>
      </c>
    </row>
    <row r="1395" spans="1:22" x14ac:dyDescent="0.2">
      <c r="A1395">
        <v>1394</v>
      </c>
      <c r="B1395" t="s">
        <v>6002</v>
      </c>
      <c r="C1395" s="1">
        <v>42618</v>
      </c>
      <c r="D1395" s="22">
        <f>MONTH(Table10[[#This Row],[Order Date]])</f>
        <v>9</v>
      </c>
      <c r="E1395" t="s">
        <v>655</v>
      </c>
      <c r="F1395" t="s">
        <v>656</v>
      </c>
      <c r="G1395" s="23" t="s">
        <v>64</v>
      </c>
      <c r="H1395" s="23" t="s">
        <v>144</v>
      </c>
      <c r="I1395" t="s">
        <v>3738</v>
      </c>
      <c r="J1395" t="s">
        <v>36</v>
      </c>
      <c r="K1395" s="22">
        <v>8</v>
      </c>
      <c r="L1395" s="1">
        <v>42623</v>
      </c>
      <c r="M1395" s="22">
        <f>Table10[[#This Row],[Ship Date]]-Table10[[#This Row],[Order Date]]</f>
        <v>5</v>
      </c>
      <c r="N1395" t="s">
        <v>45</v>
      </c>
      <c r="O1395" t="s">
        <v>23</v>
      </c>
      <c r="P1395" t="s">
        <v>38</v>
      </c>
      <c r="Q1395" t="s">
        <v>39</v>
      </c>
      <c r="R1395" t="s">
        <v>836</v>
      </c>
      <c r="S1395" s="33">
        <v>0</v>
      </c>
      <c r="T1395" s="13">
        <v>116</v>
      </c>
      <c r="U1395" s="13">
        <v>29</v>
      </c>
      <c r="V1395" s="21">
        <f>Table10[[#This Row],[Profit]]/Table10[[#This Row],[Sales]]</f>
        <v>0.25</v>
      </c>
    </row>
    <row r="1396" spans="1:22" x14ac:dyDescent="0.2">
      <c r="A1396">
        <v>1395</v>
      </c>
      <c r="B1396" t="s">
        <v>6078</v>
      </c>
      <c r="C1396" s="1">
        <v>42618</v>
      </c>
      <c r="D1396" s="22">
        <f>MONTH(Table10[[#This Row],[Order Date]])</f>
        <v>9</v>
      </c>
      <c r="E1396" t="s">
        <v>227</v>
      </c>
      <c r="F1396" t="s">
        <v>228</v>
      </c>
      <c r="G1396" s="23" t="s">
        <v>41</v>
      </c>
      <c r="H1396" s="23" t="s">
        <v>68</v>
      </c>
      <c r="I1396" t="s">
        <v>1603</v>
      </c>
      <c r="J1396" t="s">
        <v>22</v>
      </c>
      <c r="K1396" s="22">
        <v>5</v>
      </c>
      <c r="L1396" s="1">
        <v>42622</v>
      </c>
      <c r="M1396" s="22">
        <f>Table10[[#This Row],[Ship Date]]-Table10[[#This Row],[Order Date]]</f>
        <v>4</v>
      </c>
      <c r="N1396" t="s">
        <v>45</v>
      </c>
      <c r="O1396" t="s">
        <v>23</v>
      </c>
      <c r="P1396" t="s">
        <v>132</v>
      </c>
      <c r="Q1396" t="s">
        <v>133</v>
      </c>
      <c r="R1396" t="s">
        <v>131</v>
      </c>
      <c r="S1396" s="33">
        <v>0.7</v>
      </c>
      <c r="T1396" s="13">
        <v>9.5549999999999997</v>
      </c>
      <c r="U1396" s="13">
        <v>-7.3254999999999999</v>
      </c>
      <c r="V1396" s="21">
        <f>Table10[[#This Row],[Profit]]/Table10[[#This Row],[Sales]]</f>
        <v>-0.76666666666666672</v>
      </c>
    </row>
    <row r="1397" spans="1:22" x14ac:dyDescent="0.2">
      <c r="A1397">
        <v>1396</v>
      </c>
      <c r="B1397" t="s">
        <v>6301</v>
      </c>
      <c r="C1397" s="1">
        <v>42618</v>
      </c>
      <c r="D1397" s="22">
        <f>MONTH(Table10[[#This Row],[Order Date]])</f>
        <v>9</v>
      </c>
      <c r="E1397" t="s">
        <v>2426</v>
      </c>
      <c r="F1397" t="s">
        <v>591</v>
      </c>
      <c r="G1397" s="23" t="s">
        <v>41</v>
      </c>
      <c r="H1397" s="23" t="s">
        <v>155</v>
      </c>
      <c r="I1397" t="s">
        <v>5340</v>
      </c>
      <c r="J1397" t="s">
        <v>22</v>
      </c>
      <c r="K1397" s="22">
        <v>3</v>
      </c>
      <c r="L1397" s="1">
        <v>42620</v>
      </c>
      <c r="M1397" s="22">
        <f>Table10[[#This Row],[Ship Date]]-Table10[[#This Row],[Order Date]]</f>
        <v>2</v>
      </c>
      <c r="N1397" t="s">
        <v>20</v>
      </c>
      <c r="O1397" t="s">
        <v>23</v>
      </c>
      <c r="P1397" t="s">
        <v>299</v>
      </c>
      <c r="Q1397" t="s">
        <v>26</v>
      </c>
      <c r="R1397" t="s">
        <v>4331</v>
      </c>
      <c r="S1397" s="33">
        <v>0.2</v>
      </c>
      <c r="T1397" s="13">
        <v>23.472000000000001</v>
      </c>
      <c r="U1397" s="13">
        <v>7.6284000000000001</v>
      </c>
      <c r="V1397" s="21">
        <f>Table10[[#This Row],[Profit]]/Table10[[#This Row],[Sales]]</f>
        <v>0.32500000000000001</v>
      </c>
    </row>
    <row r="1398" spans="1:22" x14ac:dyDescent="0.2">
      <c r="A1398">
        <v>1397</v>
      </c>
      <c r="B1398" t="s">
        <v>6301</v>
      </c>
      <c r="C1398" s="1">
        <v>42618</v>
      </c>
      <c r="D1398" s="22">
        <f>MONTH(Table10[[#This Row],[Order Date]])</f>
        <v>9</v>
      </c>
      <c r="E1398" t="s">
        <v>2755</v>
      </c>
      <c r="F1398" t="s">
        <v>2756</v>
      </c>
      <c r="G1398" s="23" t="s">
        <v>41</v>
      </c>
      <c r="H1398" s="23" t="s">
        <v>68</v>
      </c>
      <c r="I1398" t="s">
        <v>5340</v>
      </c>
      <c r="J1398" t="s">
        <v>22</v>
      </c>
      <c r="K1398" s="22">
        <v>7</v>
      </c>
      <c r="L1398" s="1">
        <v>42620</v>
      </c>
      <c r="M1398" s="22">
        <f>Table10[[#This Row],[Ship Date]]-Table10[[#This Row],[Order Date]]</f>
        <v>2</v>
      </c>
      <c r="N1398" t="s">
        <v>20</v>
      </c>
      <c r="O1398" t="s">
        <v>23</v>
      </c>
      <c r="P1398" t="s">
        <v>299</v>
      </c>
      <c r="Q1398" t="s">
        <v>26</v>
      </c>
      <c r="R1398" t="s">
        <v>4331</v>
      </c>
      <c r="S1398" s="33">
        <v>0.7</v>
      </c>
      <c r="T1398" s="13">
        <v>86.058000000000007</v>
      </c>
      <c r="U1398" s="13">
        <v>-63.109200000000001</v>
      </c>
      <c r="V1398" s="21">
        <f>Table10[[#This Row],[Profit]]/Table10[[#This Row],[Sales]]</f>
        <v>-0.73333333333333328</v>
      </c>
    </row>
    <row r="1399" spans="1:22" x14ac:dyDescent="0.2">
      <c r="A1399">
        <v>1398</v>
      </c>
      <c r="B1399" t="s">
        <v>6301</v>
      </c>
      <c r="C1399" s="1">
        <v>42618</v>
      </c>
      <c r="D1399" s="22">
        <f>MONTH(Table10[[#This Row],[Order Date]])</f>
        <v>9</v>
      </c>
      <c r="E1399" t="s">
        <v>2418</v>
      </c>
      <c r="F1399" t="s">
        <v>2419</v>
      </c>
      <c r="G1399" s="23" t="s">
        <v>64</v>
      </c>
      <c r="H1399" s="23" t="s">
        <v>65</v>
      </c>
      <c r="I1399" t="s">
        <v>5340</v>
      </c>
      <c r="J1399" t="s">
        <v>22</v>
      </c>
      <c r="K1399" s="22">
        <v>2</v>
      </c>
      <c r="L1399" s="1">
        <v>42620</v>
      </c>
      <c r="M1399" s="22">
        <f>Table10[[#This Row],[Ship Date]]-Table10[[#This Row],[Order Date]]</f>
        <v>2</v>
      </c>
      <c r="N1399" t="s">
        <v>20</v>
      </c>
      <c r="O1399" t="s">
        <v>23</v>
      </c>
      <c r="P1399" t="s">
        <v>299</v>
      </c>
      <c r="Q1399" t="s">
        <v>26</v>
      </c>
      <c r="R1399" t="s">
        <v>4331</v>
      </c>
      <c r="S1399" s="33">
        <v>0.2</v>
      </c>
      <c r="T1399" s="13">
        <v>108.78400000000001</v>
      </c>
      <c r="U1399" s="13">
        <v>6.7990000000000004</v>
      </c>
      <c r="V1399" s="21">
        <f>Table10[[#This Row],[Profit]]/Table10[[#This Row],[Sales]]</f>
        <v>6.25E-2</v>
      </c>
    </row>
    <row r="1400" spans="1:22" x14ac:dyDescent="0.2">
      <c r="A1400">
        <v>1399</v>
      </c>
      <c r="B1400" t="s">
        <v>6301</v>
      </c>
      <c r="C1400" s="1">
        <v>42618</v>
      </c>
      <c r="D1400" s="22">
        <f>MONTH(Table10[[#This Row],[Order Date]])</f>
        <v>9</v>
      </c>
      <c r="E1400" t="s">
        <v>5433</v>
      </c>
      <c r="F1400" t="s">
        <v>5434</v>
      </c>
      <c r="G1400" s="23" t="s">
        <v>41</v>
      </c>
      <c r="H1400" s="23" t="s">
        <v>82</v>
      </c>
      <c r="I1400" t="s">
        <v>5340</v>
      </c>
      <c r="J1400" t="s">
        <v>22</v>
      </c>
      <c r="K1400" s="22">
        <v>3</v>
      </c>
      <c r="L1400" s="1">
        <v>42620</v>
      </c>
      <c r="M1400" s="22">
        <f>Table10[[#This Row],[Ship Date]]-Table10[[#This Row],[Order Date]]</f>
        <v>2</v>
      </c>
      <c r="N1400" t="s">
        <v>20</v>
      </c>
      <c r="O1400" t="s">
        <v>23</v>
      </c>
      <c r="P1400" t="s">
        <v>299</v>
      </c>
      <c r="Q1400" t="s">
        <v>26</v>
      </c>
      <c r="R1400" t="s">
        <v>4331</v>
      </c>
      <c r="S1400" s="33">
        <v>0.2</v>
      </c>
      <c r="T1400" s="13">
        <v>10.272</v>
      </c>
      <c r="U1400" s="13">
        <v>3.21</v>
      </c>
      <c r="V1400" s="21">
        <f>Table10[[#This Row],[Profit]]/Table10[[#This Row],[Sales]]</f>
        <v>0.3125</v>
      </c>
    </row>
    <row r="1401" spans="1:22" x14ac:dyDescent="0.2">
      <c r="A1401">
        <v>1400</v>
      </c>
      <c r="B1401" t="s">
        <v>6903</v>
      </c>
      <c r="C1401" s="1">
        <v>42618</v>
      </c>
      <c r="D1401" s="22">
        <f>MONTH(Table10[[#This Row],[Order Date]])</f>
        <v>9</v>
      </c>
      <c r="E1401" t="s">
        <v>1879</v>
      </c>
      <c r="F1401" t="s">
        <v>1880</v>
      </c>
      <c r="G1401" s="23" t="s">
        <v>41</v>
      </c>
      <c r="H1401" s="23" t="s">
        <v>71</v>
      </c>
      <c r="I1401" t="s">
        <v>5686</v>
      </c>
      <c r="J1401" t="s">
        <v>92</v>
      </c>
      <c r="K1401" s="22">
        <v>3</v>
      </c>
      <c r="L1401" s="1">
        <v>42623</v>
      </c>
      <c r="M1401" s="22">
        <f>Table10[[#This Row],[Ship Date]]-Table10[[#This Row],[Order Date]]</f>
        <v>5</v>
      </c>
      <c r="N1401" t="s">
        <v>45</v>
      </c>
      <c r="O1401" t="s">
        <v>23</v>
      </c>
      <c r="P1401" t="s">
        <v>94</v>
      </c>
      <c r="Q1401" t="s">
        <v>95</v>
      </c>
      <c r="R1401" t="s">
        <v>165</v>
      </c>
      <c r="S1401" s="33">
        <v>0.8</v>
      </c>
      <c r="T1401" s="13">
        <v>62.79</v>
      </c>
      <c r="U1401" s="13">
        <v>-166.39349999999999</v>
      </c>
      <c r="V1401" s="21">
        <f>Table10[[#This Row],[Profit]]/Table10[[#This Row],[Sales]]</f>
        <v>-2.65</v>
      </c>
    </row>
    <row r="1402" spans="1:22" x14ac:dyDescent="0.2">
      <c r="A1402">
        <v>1401</v>
      </c>
      <c r="B1402" t="s">
        <v>6903</v>
      </c>
      <c r="C1402" s="1">
        <v>42618</v>
      </c>
      <c r="D1402" s="22">
        <f>MONTH(Table10[[#This Row],[Order Date]])</f>
        <v>9</v>
      </c>
      <c r="E1402" t="s">
        <v>5314</v>
      </c>
      <c r="F1402" t="s">
        <v>5315</v>
      </c>
      <c r="G1402" s="23" t="s">
        <v>41</v>
      </c>
      <c r="H1402" s="23" t="s">
        <v>240</v>
      </c>
      <c r="I1402" t="s">
        <v>5686</v>
      </c>
      <c r="J1402" t="s">
        <v>92</v>
      </c>
      <c r="K1402" s="22">
        <v>9</v>
      </c>
      <c r="L1402" s="1">
        <v>42623</v>
      </c>
      <c r="M1402" s="22">
        <f>Table10[[#This Row],[Ship Date]]-Table10[[#This Row],[Order Date]]</f>
        <v>5</v>
      </c>
      <c r="N1402" t="s">
        <v>45</v>
      </c>
      <c r="O1402" t="s">
        <v>23</v>
      </c>
      <c r="P1402" t="s">
        <v>94</v>
      </c>
      <c r="Q1402" t="s">
        <v>95</v>
      </c>
      <c r="R1402" t="s">
        <v>165</v>
      </c>
      <c r="S1402" s="33">
        <v>0.2</v>
      </c>
      <c r="T1402" s="13">
        <v>28.44</v>
      </c>
      <c r="U1402" s="13">
        <v>4.266</v>
      </c>
      <c r="V1402" s="21">
        <f>Table10[[#This Row],[Profit]]/Table10[[#This Row],[Sales]]</f>
        <v>0.15</v>
      </c>
    </row>
    <row r="1403" spans="1:22" x14ac:dyDescent="0.2">
      <c r="A1403">
        <v>1402</v>
      </c>
      <c r="B1403" t="s">
        <v>7135</v>
      </c>
      <c r="C1403" s="1">
        <v>42618</v>
      </c>
      <c r="D1403" s="22">
        <f>MONTH(Table10[[#This Row],[Order Date]])</f>
        <v>9</v>
      </c>
      <c r="E1403" t="s">
        <v>7000</v>
      </c>
      <c r="F1403" t="s">
        <v>7001</v>
      </c>
      <c r="G1403" s="23" t="s">
        <v>41</v>
      </c>
      <c r="H1403" s="23" t="s">
        <v>82</v>
      </c>
      <c r="I1403" t="s">
        <v>731</v>
      </c>
      <c r="J1403" t="s">
        <v>22</v>
      </c>
      <c r="K1403" s="22">
        <v>2</v>
      </c>
      <c r="L1403" s="1">
        <v>42619</v>
      </c>
      <c r="M1403" s="22">
        <f>Table10[[#This Row],[Ship Date]]-Table10[[#This Row],[Order Date]]</f>
        <v>1</v>
      </c>
      <c r="N1403" t="s">
        <v>169</v>
      </c>
      <c r="O1403" t="s">
        <v>23</v>
      </c>
      <c r="P1403" t="s">
        <v>38</v>
      </c>
      <c r="Q1403" t="s">
        <v>39</v>
      </c>
      <c r="R1403" t="s">
        <v>5320</v>
      </c>
      <c r="S1403" s="33">
        <v>0</v>
      </c>
      <c r="T1403" s="13">
        <v>96.08</v>
      </c>
      <c r="U1403" s="13">
        <v>46.118400000000001</v>
      </c>
      <c r="V1403" s="21">
        <f>Table10[[#This Row],[Profit]]/Table10[[#This Row],[Sales]]</f>
        <v>0.48000000000000004</v>
      </c>
    </row>
    <row r="1404" spans="1:22" x14ac:dyDescent="0.2">
      <c r="A1404">
        <v>1403</v>
      </c>
      <c r="B1404" t="s">
        <v>7135</v>
      </c>
      <c r="C1404" s="1">
        <v>42618</v>
      </c>
      <c r="D1404" s="22">
        <f>MONTH(Table10[[#This Row],[Order Date]])</f>
        <v>9</v>
      </c>
      <c r="E1404" t="s">
        <v>1212</v>
      </c>
      <c r="F1404" t="s">
        <v>1213</v>
      </c>
      <c r="G1404" s="23" t="s">
        <v>41</v>
      </c>
      <c r="H1404" s="23" t="s">
        <v>68</v>
      </c>
      <c r="I1404" t="s">
        <v>731</v>
      </c>
      <c r="J1404" t="s">
        <v>22</v>
      </c>
      <c r="K1404" s="22">
        <v>2</v>
      </c>
      <c r="L1404" s="1">
        <v>42619</v>
      </c>
      <c r="M1404" s="22">
        <f>Table10[[#This Row],[Ship Date]]-Table10[[#This Row],[Order Date]]</f>
        <v>1</v>
      </c>
      <c r="N1404" t="s">
        <v>169</v>
      </c>
      <c r="O1404" t="s">
        <v>23</v>
      </c>
      <c r="P1404" t="s">
        <v>38</v>
      </c>
      <c r="Q1404" t="s">
        <v>39</v>
      </c>
      <c r="R1404" t="s">
        <v>5320</v>
      </c>
      <c r="S1404" s="33">
        <v>0.2</v>
      </c>
      <c r="T1404" s="13">
        <v>11.68</v>
      </c>
      <c r="U1404" s="13">
        <v>3.9420000000000002</v>
      </c>
      <c r="V1404" s="21">
        <f>Table10[[#This Row],[Profit]]/Table10[[#This Row],[Sales]]</f>
        <v>0.33750000000000002</v>
      </c>
    </row>
    <row r="1405" spans="1:22" x14ac:dyDescent="0.2">
      <c r="A1405">
        <v>1404</v>
      </c>
      <c r="B1405" t="s">
        <v>7135</v>
      </c>
      <c r="C1405" s="1">
        <v>42618</v>
      </c>
      <c r="D1405" s="22">
        <f>MONTH(Table10[[#This Row],[Order Date]])</f>
        <v>9</v>
      </c>
      <c r="E1405" t="s">
        <v>239</v>
      </c>
      <c r="F1405" t="s">
        <v>241</v>
      </c>
      <c r="G1405" s="23" t="s">
        <v>41</v>
      </c>
      <c r="H1405" s="23" t="s">
        <v>240</v>
      </c>
      <c r="I1405" t="s">
        <v>731</v>
      </c>
      <c r="J1405" t="s">
        <v>22</v>
      </c>
      <c r="K1405" s="22">
        <v>2</v>
      </c>
      <c r="L1405" s="1">
        <v>42619</v>
      </c>
      <c r="M1405" s="22">
        <f>Table10[[#This Row],[Ship Date]]-Table10[[#This Row],[Order Date]]</f>
        <v>1</v>
      </c>
      <c r="N1405" t="s">
        <v>169</v>
      </c>
      <c r="O1405" t="s">
        <v>23</v>
      </c>
      <c r="P1405" t="s">
        <v>38</v>
      </c>
      <c r="Q1405" t="s">
        <v>39</v>
      </c>
      <c r="R1405" t="s">
        <v>5320</v>
      </c>
      <c r="S1405" s="33">
        <v>0</v>
      </c>
      <c r="T1405" s="13">
        <v>4.3600000000000003</v>
      </c>
      <c r="U1405" s="13">
        <v>1.7876000000000001</v>
      </c>
      <c r="V1405" s="21">
        <f>Table10[[#This Row],[Profit]]/Table10[[#This Row],[Sales]]</f>
        <v>0.41</v>
      </c>
    </row>
    <row r="1406" spans="1:22" x14ac:dyDescent="0.2">
      <c r="A1406">
        <v>1405</v>
      </c>
      <c r="B1406" t="s">
        <v>7432</v>
      </c>
      <c r="C1406" s="1">
        <v>42618</v>
      </c>
      <c r="D1406" s="22">
        <f>MONTH(Table10[[#This Row],[Order Date]])</f>
        <v>9</v>
      </c>
      <c r="E1406" t="s">
        <v>2328</v>
      </c>
      <c r="F1406" t="s">
        <v>2329</v>
      </c>
      <c r="G1406" s="23" t="s">
        <v>41</v>
      </c>
      <c r="H1406" s="23" t="s">
        <v>82</v>
      </c>
      <c r="I1406" t="s">
        <v>7433</v>
      </c>
      <c r="J1406" t="s">
        <v>36</v>
      </c>
      <c r="K1406" s="22">
        <v>5</v>
      </c>
      <c r="L1406" s="1">
        <v>42620</v>
      </c>
      <c r="M1406" s="22">
        <f>Table10[[#This Row],[Ship Date]]-Table10[[#This Row],[Order Date]]</f>
        <v>2</v>
      </c>
      <c r="N1406" t="s">
        <v>20</v>
      </c>
      <c r="O1406" t="s">
        <v>23</v>
      </c>
      <c r="P1406" t="s">
        <v>94</v>
      </c>
      <c r="Q1406" t="s">
        <v>95</v>
      </c>
      <c r="R1406" t="s">
        <v>165</v>
      </c>
      <c r="S1406" s="33">
        <v>0.2</v>
      </c>
      <c r="T1406" s="13">
        <v>25.92</v>
      </c>
      <c r="U1406" s="13">
        <v>9.0719999999999992</v>
      </c>
      <c r="V1406" s="21">
        <f>Table10[[#This Row],[Profit]]/Table10[[#This Row],[Sales]]</f>
        <v>0.34999999999999992</v>
      </c>
    </row>
    <row r="1407" spans="1:22" x14ac:dyDescent="0.2">
      <c r="A1407">
        <v>1406</v>
      </c>
      <c r="B1407" t="s">
        <v>7432</v>
      </c>
      <c r="C1407" s="1">
        <v>42618</v>
      </c>
      <c r="D1407" s="22">
        <f>MONTH(Table10[[#This Row],[Order Date]])</f>
        <v>9</v>
      </c>
      <c r="E1407" t="s">
        <v>3876</v>
      </c>
      <c r="F1407" t="s">
        <v>498</v>
      </c>
      <c r="G1407" s="23" t="s">
        <v>41</v>
      </c>
      <c r="H1407" s="23" t="s">
        <v>240</v>
      </c>
      <c r="I1407" t="s">
        <v>7433</v>
      </c>
      <c r="J1407" t="s">
        <v>36</v>
      </c>
      <c r="K1407" s="22">
        <v>8</v>
      </c>
      <c r="L1407" s="1">
        <v>42620</v>
      </c>
      <c r="M1407" s="22">
        <f>Table10[[#This Row],[Ship Date]]-Table10[[#This Row],[Order Date]]</f>
        <v>2</v>
      </c>
      <c r="N1407" t="s">
        <v>20</v>
      </c>
      <c r="O1407" t="s">
        <v>23</v>
      </c>
      <c r="P1407" t="s">
        <v>94</v>
      </c>
      <c r="Q1407" t="s">
        <v>95</v>
      </c>
      <c r="R1407" t="s">
        <v>165</v>
      </c>
      <c r="S1407" s="33">
        <v>0.2</v>
      </c>
      <c r="T1407" s="13">
        <v>15.808</v>
      </c>
      <c r="U1407" s="13">
        <v>5.3352000000000004</v>
      </c>
      <c r="V1407" s="21">
        <f>Table10[[#This Row],[Profit]]/Table10[[#This Row],[Sales]]</f>
        <v>0.33750000000000002</v>
      </c>
    </row>
    <row r="1408" spans="1:22" x14ac:dyDescent="0.2">
      <c r="A1408">
        <v>1407</v>
      </c>
      <c r="B1408" t="s">
        <v>7432</v>
      </c>
      <c r="C1408" s="1">
        <v>42618</v>
      </c>
      <c r="D1408" s="22">
        <f>MONTH(Table10[[#This Row],[Order Date]])</f>
        <v>9</v>
      </c>
      <c r="E1408" t="s">
        <v>1153</v>
      </c>
      <c r="F1408" t="s">
        <v>1154</v>
      </c>
      <c r="G1408" s="23" t="s">
        <v>41</v>
      </c>
      <c r="H1408" s="23" t="s">
        <v>82</v>
      </c>
      <c r="I1408" t="s">
        <v>7433</v>
      </c>
      <c r="J1408" t="s">
        <v>36</v>
      </c>
      <c r="K1408" s="22">
        <v>2</v>
      </c>
      <c r="L1408" s="1">
        <v>42620</v>
      </c>
      <c r="M1408" s="22">
        <f>Table10[[#This Row],[Ship Date]]-Table10[[#This Row],[Order Date]]</f>
        <v>2</v>
      </c>
      <c r="N1408" t="s">
        <v>20</v>
      </c>
      <c r="O1408" t="s">
        <v>23</v>
      </c>
      <c r="P1408" t="s">
        <v>94</v>
      </c>
      <c r="Q1408" t="s">
        <v>95</v>
      </c>
      <c r="R1408" t="s">
        <v>165</v>
      </c>
      <c r="S1408" s="33">
        <v>0.2</v>
      </c>
      <c r="T1408" s="13">
        <v>10.368</v>
      </c>
      <c r="U1408" s="13">
        <v>3.7584</v>
      </c>
      <c r="V1408" s="21">
        <f>Table10[[#This Row],[Profit]]/Table10[[#This Row],[Sales]]</f>
        <v>0.36249999999999999</v>
      </c>
    </row>
    <row r="1409" spans="1:22" x14ac:dyDescent="0.2">
      <c r="A1409">
        <v>1408</v>
      </c>
      <c r="B1409" t="s">
        <v>7783</v>
      </c>
      <c r="C1409" s="1">
        <v>42618</v>
      </c>
      <c r="D1409" s="22">
        <f>MONTH(Table10[[#This Row],[Order Date]])</f>
        <v>9</v>
      </c>
      <c r="E1409" t="s">
        <v>5210</v>
      </c>
      <c r="F1409" t="s">
        <v>5211</v>
      </c>
      <c r="G1409" s="23" t="s">
        <v>41</v>
      </c>
      <c r="H1409" s="23" t="s">
        <v>82</v>
      </c>
      <c r="I1409" t="s">
        <v>4656</v>
      </c>
      <c r="J1409" t="s">
        <v>22</v>
      </c>
      <c r="K1409" s="22">
        <v>4</v>
      </c>
      <c r="L1409" s="1">
        <v>42624</v>
      </c>
      <c r="M1409" s="22">
        <f>Table10[[#This Row],[Ship Date]]-Table10[[#This Row],[Order Date]]</f>
        <v>6</v>
      </c>
      <c r="N1409" t="s">
        <v>45</v>
      </c>
      <c r="O1409" t="s">
        <v>23</v>
      </c>
      <c r="P1409" t="s">
        <v>238</v>
      </c>
      <c r="Q1409" t="s">
        <v>133</v>
      </c>
      <c r="R1409" t="s">
        <v>237</v>
      </c>
      <c r="S1409" s="33">
        <v>0</v>
      </c>
      <c r="T1409" s="13">
        <v>192.16</v>
      </c>
      <c r="U1409" s="13">
        <v>92.236800000000002</v>
      </c>
      <c r="V1409" s="21">
        <f>Table10[[#This Row],[Profit]]/Table10[[#This Row],[Sales]]</f>
        <v>0.48000000000000004</v>
      </c>
    </row>
    <row r="1410" spans="1:22" x14ac:dyDescent="0.2">
      <c r="A1410">
        <v>1409</v>
      </c>
      <c r="B1410" t="s">
        <v>8315</v>
      </c>
      <c r="C1410" s="1">
        <v>42618</v>
      </c>
      <c r="D1410" s="22">
        <f>MONTH(Table10[[#This Row],[Order Date]])</f>
        <v>9</v>
      </c>
      <c r="E1410" t="s">
        <v>194</v>
      </c>
      <c r="F1410" t="s">
        <v>195</v>
      </c>
      <c r="G1410" s="23" t="s">
        <v>41</v>
      </c>
      <c r="H1410" s="23" t="s">
        <v>53</v>
      </c>
      <c r="I1410" t="s">
        <v>5690</v>
      </c>
      <c r="J1410" t="s">
        <v>22</v>
      </c>
      <c r="K1410" s="22">
        <v>3</v>
      </c>
      <c r="L1410" s="1">
        <v>42624</v>
      </c>
      <c r="M1410" s="22">
        <f>Table10[[#This Row],[Ship Date]]-Table10[[#This Row],[Order Date]]</f>
        <v>6</v>
      </c>
      <c r="N1410" t="s">
        <v>45</v>
      </c>
      <c r="O1410" t="s">
        <v>23</v>
      </c>
      <c r="P1410" t="s">
        <v>94</v>
      </c>
      <c r="Q1410" t="s">
        <v>95</v>
      </c>
      <c r="R1410" t="s">
        <v>598</v>
      </c>
      <c r="S1410" s="33">
        <v>0.2</v>
      </c>
      <c r="T1410" s="13">
        <v>93.456000000000003</v>
      </c>
      <c r="U1410" s="13">
        <v>-17.523</v>
      </c>
      <c r="V1410" s="21">
        <f>Table10[[#This Row],[Profit]]/Table10[[#This Row],[Sales]]</f>
        <v>-0.1875</v>
      </c>
    </row>
    <row r="1411" spans="1:22" x14ac:dyDescent="0.2">
      <c r="A1411">
        <v>1410</v>
      </c>
      <c r="B1411" t="s">
        <v>8372</v>
      </c>
      <c r="C1411" s="1">
        <v>42618</v>
      </c>
      <c r="D1411" s="22">
        <f>MONTH(Table10[[#This Row],[Order Date]])</f>
        <v>9</v>
      </c>
      <c r="E1411" t="s">
        <v>4928</v>
      </c>
      <c r="F1411" t="s">
        <v>4929</v>
      </c>
      <c r="G1411" s="23" t="s">
        <v>41</v>
      </c>
      <c r="H1411" s="23" t="s">
        <v>42</v>
      </c>
      <c r="I1411" t="s">
        <v>3425</v>
      </c>
      <c r="J1411" t="s">
        <v>22</v>
      </c>
      <c r="K1411" s="22">
        <v>2</v>
      </c>
      <c r="L1411" s="1">
        <v>42623</v>
      </c>
      <c r="M1411" s="22">
        <f>Table10[[#This Row],[Ship Date]]-Table10[[#This Row],[Order Date]]</f>
        <v>5</v>
      </c>
      <c r="N1411" t="s">
        <v>45</v>
      </c>
      <c r="O1411" t="s">
        <v>23</v>
      </c>
      <c r="P1411" t="s">
        <v>285</v>
      </c>
      <c r="Q1411" t="s">
        <v>26</v>
      </c>
      <c r="R1411" t="s">
        <v>4320</v>
      </c>
      <c r="S1411" s="33">
        <v>0</v>
      </c>
      <c r="T1411" s="13">
        <v>25.06</v>
      </c>
      <c r="U1411" s="13">
        <v>11.7782</v>
      </c>
      <c r="V1411" s="21">
        <f>Table10[[#This Row],[Profit]]/Table10[[#This Row],[Sales]]</f>
        <v>0.47000000000000003</v>
      </c>
    </row>
    <row r="1412" spans="1:22" x14ac:dyDescent="0.2">
      <c r="A1412">
        <v>1411</v>
      </c>
      <c r="B1412" t="s">
        <v>8372</v>
      </c>
      <c r="C1412" s="1">
        <v>42618</v>
      </c>
      <c r="D1412" s="22">
        <f>MONTH(Table10[[#This Row],[Order Date]])</f>
        <v>9</v>
      </c>
      <c r="E1412" t="s">
        <v>4495</v>
      </c>
      <c r="F1412" t="s">
        <v>4496</v>
      </c>
      <c r="G1412" s="23" t="s">
        <v>28</v>
      </c>
      <c r="H1412" s="23" t="s">
        <v>50</v>
      </c>
      <c r="I1412" t="s">
        <v>3425</v>
      </c>
      <c r="J1412" t="s">
        <v>22</v>
      </c>
      <c r="K1412" s="22">
        <v>3</v>
      </c>
      <c r="L1412" s="1">
        <v>42623</v>
      </c>
      <c r="M1412" s="22">
        <f>Table10[[#This Row],[Ship Date]]-Table10[[#This Row],[Order Date]]</f>
        <v>5</v>
      </c>
      <c r="N1412" t="s">
        <v>45</v>
      </c>
      <c r="O1412" t="s">
        <v>23</v>
      </c>
      <c r="P1412" t="s">
        <v>285</v>
      </c>
      <c r="Q1412" t="s">
        <v>26</v>
      </c>
      <c r="R1412" t="s">
        <v>4320</v>
      </c>
      <c r="S1412" s="33">
        <v>0</v>
      </c>
      <c r="T1412" s="13">
        <v>1652.94</v>
      </c>
      <c r="U1412" s="13">
        <v>314.05860000000001</v>
      </c>
      <c r="V1412" s="21">
        <f>Table10[[#This Row],[Profit]]/Table10[[#This Row],[Sales]]</f>
        <v>0.19</v>
      </c>
    </row>
    <row r="1413" spans="1:22" x14ac:dyDescent="0.2">
      <c r="A1413">
        <v>1412</v>
      </c>
      <c r="B1413" t="s">
        <v>8496</v>
      </c>
      <c r="C1413" s="1">
        <v>42618</v>
      </c>
      <c r="D1413" s="22">
        <f>MONTH(Table10[[#This Row],[Order Date]])</f>
        <v>9</v>
      </c>
      <c r="E1413" t="s">
        <v>2087</v>
      </c>
      <c r="F1413" t="s">
        <v>2088</v>
      </c>
      <c r="G1413" s="23" t="s">
        <v>41</v>
      </c>
      <c r="H1413" s="23" t="s">
        <v>82</v>
      </c>
      <c r="I1413" t="s">
        <v>6007</v>
      </c>
      <c r="J1413" t="s">
        <v>92</v>
      </c>
      <c r="K1413" s="22">
        <v>2</v>
      </c>
      <c r="L1413" s="1">
        <v>42623</v>
      </c>
      <c r="M1413" s="22">
        <f>Table10[[#This Row],[Ship Date]]-Table10[[#This Row],[Order Date]]</f>
        <v>5</v>
      </c>
      <c r="N1413" t="s">
        <v>20</v>
      </c>
      <c r="O1413" t="s">
        <v>23</v>
      </c>
      <c r="P1413" t="s">
        <v>189</v>
      </c>
      <c r="Q1413" t="s">
        <v>95</v>
      </c>
      <c r="R1413" t="s">
        <v>271</v>
      </c>
      <c r="S1413" s="33">
        <v>0.2</v>
      </c>
      <c r="T1413" s="13">
        <v>9.2479999999999993</v>
      </c>
      <c r="U1413" s="13">
        <v>3.3523999999999998</v>
      </c>
      <c r="V1413" s="21">
        <f>Table10[[#This Row],[Profit]]/Table10[[#This Row],[Sales]]</f>
        <v>0.36249999999999999</v>
      </c>
    </row>
    <row r="1414" spans="1:22" x14ac:dyDescent="0.2">
      <c r="A1414">
        <v>1413</v>
      </c>
      <c r="B1414" t="s">
        <v>8740</v>
      </c>
      <c r="C1414" s="1">
        <v>42618</v>
      </c>
      <c r="D1414" s="22">
        <f>MONTH(Table10[[#This Row],[Order Date]])</f>
        <v>9</v>
      </c>
      <c r="E1414" t="s">
        <v>1805</v>
      </c>
      <c r="F1414" t="s">
        <v>1806</v>
      </c>
      <c r="G1414" s="23" t="s">
        <v>41</v>
      </c>
      <c r="H1414" s="23" t="s">
        <v>68</v>
      </c>
      <c r="I1414" t="s">
        <v>1508</v>
      </c>
      <c r="J1414" t="s">
        <v>22</v>
      </c>
      <c r="K1414" s="22">
        <v>2</v>
      </c>
      <c r="L1414" s="1">
        <v>42624</v>
      </c>
      <c r="M1414" s="22">
        <f>Table10[[#This Row],[Ship Date]]-Table10[[#This Row],[Order Date]]</f>
        <v>6</v>
      </c>
      <c r="N1414" t="s">
        <v>45</v>
      </c>
      <c r="O1414" t="s">
        <v>23</v>
      </c>
      <c r="P1414" t="s">
        <v>441</v>
      </c>
      <c r="Q1414" t="s">
        <v>133</v>
      </c>
      <c r="R1414" t="s">
        <v>2174</v>
      </c>
      <c r="S1414" s="33">
        <v>0.7</v>
      </c>
      <c r="T1414" s="13">
        <v>8.952</v>
      </c>
      <c r="U1414" s="13">
        <v>-7.46</v>
      </c>
      <c r="V1414" s="21">
        <f>Table10[[#This Row],[Profit]]/Table10[[#This Row],[Sales]]</f>
        <v>-0.83333333333333337</v>
      </c>
    </row>
    <row r="1415" spans="1:22" x14ac:dyDescent="0.2">
      <c r="A1415">
        <v>1414</v>
      </c>
      <c r="B1415" t="s">
        <v>8740</v>
      </c>
      <c r="C1415" s="1">
        <v>42618</v>
      </c>
      <c r="D1415" s="22">
        <f>MONTH(Table10[[#This Row],[Order Date]])</f>
        <v>9</v>
      </c>
      <c r="E1415" t="s">
        <v>4192</v>
      </c>
      <c r="F1415" t="s">
        <v>4193</v>
      </c>
      <c r="G1415" s="23" t="s">
        <v>41</v>
      </c>
      <c r="H1415" s="23" t="s">
        <v>68</v>
      </c>
      <c r="I1415" t="s">
        <v>1508</v>
      </c>
      <c r="J1415" t="s">
        <v>22</v>
      </c>
      <c r="K1415" s="22">
        <v>6</v>
      </c>
      <c r="L1415" s="1">
        <v>42624</v>
      </c>
      <c r="M1415" s="22">
        <f>Table10[[#This Row],[Ship Date]]-Table10[[#This Row],[Order Date]]</f>
        <v>6</v>
      </c>
      <c r="N1415" t="s">
        <v>45</v>
      </c>
      <c r="O1415" t="s">
        <v>23</v>
      </c>
      <c r="P1415" t="s">
        <v>441</v>
      </c>
      <c r="Q1415" t="s">
        <v>133</v>
      </c>
      <c r="R1415" t="s">
        <v>2174</v>
      </c>
      <c r="S1415" s="33">
        <v>0.7</v>
      </c>
      <c r="T1415" s="13">
        <v>8.8559999999999999</v>
      </c>
      <c r="U1415" s="13">
        <v>-6.4943999999999997</v>
      </c>
      <c r="V1415" s="21">
        <f>Table10[[#This Row],[Profit]]/Table10[[#This Row],[Sales]]</f>
        <v>-0.73333333333333328</v>
      </c>
    </row>
    <row r="1416" spans="1:22" x14ac:dyDescent="0.2">
      <c r="A1416">
        <v>1415</v>
      </c>
      <c r="B1416" t="s">
        <v>8740</v>
      </c>
      <c r="C1416" s="1">
        <v>42618</v>
      </c>
      <c r="D1416" s="22">
        <f>MONTH(Table10[[#This Row],[Order Date]])</f>
        <v>9</v>
      </c>
      <c r="E1416" t="s">
        <v>786</v>
      </c>
      <c r="F1416" t="s">
        <v>787</v>
      </c>
      <c r="G1416" s="23" t="s">
        <v>28</v>
      </c>
      <c r="H1416" s="23" t="s">
        <v>32</v>
      </c>
      <c r="I1416" t="s">
        <v>1508</v>
      </c>
      <c r="J1416" t="s">
        <v>22</v>
      </c>
      <c r="K1416" s="22">
        <v>2</v>
      </c>
      <c r="L1416" s="1">
        <v>42624</v>
      </c>
      <c r="M1416" s="22">
        <f>Table10[[#This Row],[Ship Date]]-Table10[[#This Row],[Order Date]]</f>
        <v>6</v>
      </c>
      <c r="N1416" t="s">
        <v>45</v>
      </c>
      <c r="O1416" t="s">
        <v>23</v>
      </c>
      <c r="P1416" t="s">
        <v>441</v>
      </c>
      <c r="Q1416" t="s">
        <v>133</v>
      </c>
      <c r="R1416" t="s">
        <v>2174</v>
      </c>
      <c r="S1416" s="33">
        <v>0.3</v>
      </c>
      <c r="T1416" s="13">
        <v>85.245999999999995</v>
      </c>
      <c r="U1416" s="13">
        <v>-1.2178</v>
      </c>
      <c r="V1416" s="21">
        <f>Table10[[#This Row],[Profit]]/Table10[[#This Row],[Sales]]</f>
        <v>-1.4285714285714287E-2</v>
      </c>
    </row>
    <row r="1417" spans="1:22" x14ac:dyDescent="0.2">
      <c r="A1417">
        <v>1416</v>
      </c>
      <c r="B1417" t="s">
        <v>8752</v>
      </c>
      <c r="C1417" s="1">
        <v>42618</v>
      </c>
      <c r="D1417" s="22">
        <f>MONTH(Table10[[#This Row],[Order Date]])</f>
        <v>9</v>
      </c>
      <c r="E1417" t="s">
        <v>5070</v>
      </c>
      <c r="F1417" t="s">
        <v>5071</v>
      </c>
      <c r="G1417" s="23" t="s">
        <v>28</v>
      </c>
      <c r="H1417" s="23" t="s">
        <v>58</v>
      </c>
      <c r="I1417" t="s">
        <v>4723</v>
      </c>
      <c r="J1417" t="s">
        <v>36</v>
      </c>
      <c r="K1417" s="22">
        <v>3</v>
      </c>
      <c r="L1417" s="1">
        <v>42620</v>
      </c>
      <c r="M1417" s="22">
        <f>Table10[[#This Row],[Ship Date]]-Table10[[#This Row],[Order Date]]</f>
        <v>2</v>
      </c>
      <c r="N1417" t="s">
        <v>169</v>
      </c>
      <c r="O1417" t="s">
        <v>23</v>
      </c>
      <c r="P1417" t="s">
        <v>94</v>
      </c>
      <c r="Q1417" t="s">
        <v>95</v>
      </c>
      <c r="R1417" t="s">
        <v>165</v>
      </c>
      <c r="S1417" s="33">
        <v>0.6</v>
      </c>
      <c r="T1417" s="13">
        <v>21.204000000000001</v>
      </c>
      <c r="U1417" s="13">
        <v>-11.6622</v>
      </c>
      <c r="V1417" s="21">
        <f>Table10[[#This Row],[Profit]]/Table10[[#This Row],[Sales]]</f>
        <v>-0.55000000000000004</v>
      </c>
    </row>
    <row r="1418" spans="1:22" x14ac:dyDescent="0.2">
      <c r="A1418">
        <v>1417</v>
      </c>
      <c r="B1418" t="s">
        <v>8773</v>
      </c>
      <c r="C1418" s="1">
        <v>42618</v>
      </c>
      <c r="D1418" s="22">
        <f>MONTH(Table10[[#This Row],[Order Date]])</f>
        <v>9</v>
      </c>
      <c r="E1418" t="s">
        <v>310</v>
      </c>
      <c r="F1418" t="s">
        <v>311</v>
      </c>
      <c r="G1418" s="23" t="s">
        <v>28</v>
      </c>
      <c r="H1418" s="23" t="s">
        <v>58</v>
      </c>
      <c r="I1418" t="s">
        <v>1571</v>
      </c>
      <c r="J1418" t="s">
        <v>22</v>
      </c>
      <c r="K1418" s="22">
        <v>9</v>
      </c>
      <c r="L1418" s="1">
        <v>42622</v>
      </c>
      <c r="M1418" s="22">
        <f>Table10[[#This Row],[Ship Date]]-Table10[[#This Row],[Order Date]]</f>
        <v>4</v>
      </c>
      <c r="N1418" t="s">
        <v>45</v>
      </c>
      <c r="O1418" t="s">
        <v>23</v>
      </c>
      <c r="P1418" t="s">
        <v>132</v>
      </c>
      <c r="Q1418" t="s">
        <v>133</v>
      </c>
      <c r="R1418" t="s">
        <v>131</v>
      </c>
      <c r="S1418" s="33">
        <v>0.2</v>
      </c>
      <c r="T1418" s="13">
        <v>58.247999999999998</v>
      </c>
      <c r="U1418" s="13">
        <v>11.6496</v>
      </c>
      <c r="V1418" s="21">
        <f>Table10[[#This Row],[Profit]]/Table10[[#This Row],[Sales]]</f>
        <v>0.2</v>
      </c>
    </row>
    <row r="1419" spans="1:22" x14ac:dyDescent="0.2">
      <c r="A1419">
        <v>1418</v>
      </c>
      <c r="B1419" t="s">
        <v>8773</v>
      </c>
      <c r="C1419" s="1">
        <v>42618</v>
      </c>
      <c r="D1419" s="22">
        <f>MONTH(Table10[[#This Row],[Order Date]])</f>
        <v>9</v>
      </c>
      <c r="E1419" t="s">
        <v>272</v>
      </c>
      <c r="F1419" t="s">
        <v>488</v>
      </c>
      <c r="G1419" s="23" t="s">
        <v>28</v>
      </c>
      <c r="H1419" s="23" t="s">
        <v>32</v>
      </c>
      <c r="I1419" t="s">
        <v>1571</v>
      </c>
      <c r="J1419" t="s">
        <v>22</v>
      </c>
      <c r="K1419" s="22">
        <v>2</v>
      </c>
      <c r="L1419" s="1">
        <v>42622</v>
      </c>
      <c r="M1419" s="22">
        <f>Table10[[#This Row],[Ship Date]]-Table10[[#This Row],[Order Date]]</f>
        <v>4</v>
      </c>
      <c r="N1419" t="s">
        <v>45</v>
      </c>
      <c r="O1419" t="s">
        <v>23</v>
      </c>
      <c r="P1419" t="s">
        <v>132</v>
      </c>
      <c r="Q1419" t="s">
        <v>133</v>
      </c>
      <c r="R1419" t="s">
        <v>131</v>
      </c>
      <c r="S1419" s="33">
        <v>0.3</v>
      </c>
      <c r="T1419" s="13">
        <v>71.245999999999995</v>
      </c>
      <c r="U1419" s="13">
        <v>-19.338200000000001</v>
      </c>
      <c r="V1419" s="21">
        <f>Table10[[#This Row],[Profit]]/Table10[[#This Row],[Sales]]</f>
        <v>-0.27142857142857146</v>
      </c>
    </row>
    <row r="1420" spans="1:22" x14ac:dyDescent="0.2">
      <c r="A1420">
        <v>1419</v>
      </c>
      <c r="B1420" t="s">
        <v>8773</v>
      </c>
      <c r="C1420" s="1">
        <v>42618</v>
      </c>
      <c r="D1420" s="22">
        <f>MONTH(Table10[[#This Row],[Order Date]])</f>
        <v>9</v>
      </c>
      <c r="E1420" t="s">
        <v>3335</v>
      </c>
      <c r="F1420" t="s">
        <v>3336</v>
      </c>
      <c r="G1420" s="23" t="s">
        <v>41</v>
      </c>
      <c r="H1420" s="23" t="s">
        <v>61</v>
      </c>
      <c r="I1420" t="s">
        <v>1571</v>
      </c>
      <c r="J1420" t="s">
        <v>22</v>
      </c>
      <c r="K1420" s="22">
        <v>3</v>
      </c>
      <c r="L1420" s="1">
        <v>42622</v>
      </c>
      <c r="M1420" s="22">
        <f>Table10[[#This Row],[Ship Date]]-Table10[[#This Row],[Order Date]]</f>
        <v>4</v>
      </c>
      <c r="N1420" t="s">
        <v>45</v>
      </c>
      <c r="O1420" t="s">
        <v>23</v>
      </c>
      <c r="P1420" t="s">
        <v>132</v>
      </c>
      <c r="Q1420" t="s">
        <v>133</v>
      </c>
      <c r="R1420" t="s">
        <v>131</v>
      </c>
      <c r="S1420" s="33">
        <v>0.2</v>
      </c>
      <c r="T1420" s="13">
        <v>7.8719999999999999</v>
      </c>
      <c r="U1420" s="13">
        <v>0.59040000000000004</v>
      </c>
      <c r="V1420" s="21">
        <f>Table10[[#This Row],[Profit]]/Table10[[#This Row],[Sales]]</f>
        <v>7.5000000000000011E-2</v>
      </c>
    </row>
    <row r="1421" spans="1:22" x14ac:dyDescent="0.2">
      <c r="A1421">
        <v>1420</v>
      </c>
      <c r="B1421" t="s">
        <v>8773</v>
      </c>
      <c r="C1421" s="1">
        <v>42618</v>
      </c>
      <c r="D1421" s="22">
        <f>MONTH(Table10[[#This Row],[Order Date]])</f>
        <v>9</v>
      </c>
      <c r="E1421" t="s">
        <v>2674</v>
      </c>
      <c r="F1421" t="s">
        <v>2675</v>
      </c>
      <c r="G1421" s="23" t="s">
        <v>28</v>
      </c>
      <c r="H1421" s="23" t="s">
        <v>32</v>
      </c>
      <c r="I1421" t="s">
        <v>1571</v>
      </c>
      <c r="J1421" t="s">
        <v>22</v>
      </c>
      <c r="K1421" s="22">
        <v>3</v>
      </c>
      <c r="L1421" s="1">
        <v>42622</v>
      </c>
      <c r="M1421" s="22">
        <f>Table10[[#This Row],[Ship Date]]-Table10[[#This Row],[Order Date]]</f>
        <v>4</v>
      </c>
      <c r="N1421" t="s">
        <v>45</v>
      </c>
      <c r="O1421" t="s">
        <v>23</v>
      </c>
      <c r="P1421" t="s">
        <v>132</v>
      </c>
      <c r="Q1421" t="s">
        <v>133</v>
      </c>
      <c r="R1421" t="s">
        <v>131</v>
      </c>
      <c r="S1421" s="33">
        <v>0.3</v>
      </c>
      <c r="T1421" s="13">
        <v>887.27099999999996</v>
      </c>
      <c r="U1421" s="13">
        <v>-63.3765</v>
      </c>
      <c r="V1421" s="21">
        <f>Table10[[#This Row],[Profit]]/Table10[[#This Row],[Sales]]</f>
        <v>-7.1428571428571438E-2</v>
      </c>
    </row>
    <row r="1422" spans="1:22" x14ac:dyDescent="0.2">
      <c r="A1422">
        <v>1421</v>
      </c>
      <c r="B1422" t="s">
        <v>9667</v>
      </c>
      <c r="C1422" s="1">
        <v>42618</v>
      </c>
      <c r="D1422" s="22">
        <f>MONTH(Table10[[#This Row],[Order Date]])</f>
        <v>9</v>
      </c>
      <c r="E1422" t="s">
        <v>221</v>
      </c>
      <c r="F1422" t="s">
        <v>222</v>
      </c>
      <c r="G1422" s="23" t="s">
        <v>64</v>
      </c>
      <c r="H1422" s="23" t="s">
        <v>65</v>
      </c>
      <c r="I1422" t="s">
        <v>8805</v>
      </c>
      <c r="J1422" t="s">
        <v>36</v>
      </c>
      <c r="K1422" s="22">
        <v>4</v>
      </c>
      <c r="L1422" s="1">
        <v>42620</v>
      </c>
      <c r="M1422" s="22">
        <f>Table10[[#This Row],[Ship Date]]-Table10[[#This Row],[Order Date]]</f>
        <v>2</v>
      </c>
      <c r="N1422" t="s">
        <v>169</v>
      </c>
      <c r="O1422" t="s">
        <v>23</v>
      </c>
      <c r="P1422" t="s">
        <v>238</v>
      </c>
      <c r="Q1422" t="s">
        <v>133</v>
      </c>
      <c r="R1422" t="s">
        <v>237</v>
      </c>
      <c r="S1422" s="33">
        <v>0</v>
      </c>
      <c r="T1422" s="13">
        <v>43.6</v>
      </c>
      <c r="U1422" s="13">
        <v>12.208</v>
      </c>
      <c r="V1422" s="21">
        <f>Table10[[#This Row],[Profit]]/Table10[[#This Row],[Sales]]</f>
        <v>0.27999999999999997</v>
      </c>
    </row>
    <row r="1423" spans="1:22" x14ac:dyDescent="0.2">
      <c r="A1423">
        <v>1422</v>
      </c>
      <c r="B1423" t="s">
        <v>385</v>
      </c>
      <c r="C1423" s="1">
        <v>42619</v>
      </c>
      <c r="D1423" s="22">
        <f>MONTH(Table10[[#This Row],[Order Date]])</f>
        <v>9</v>
      </c>
      <c r="E1423" t="s">
        <v>388</v>
      </c>
      <c r="F1423" t="s">
        <v>389</v>
      </c>
      <c r="G1423" s="23" t="s">
        <v>41</v>
      </c>
      <c r="H1423" s="23" t="s">
        <v>71</v>
      </c>
      <c r="I1423" t="s">
        <v>386</v>
      </c>
      <c r="J1423" t="s">
        <v>36</v>
      </c>
      <c r="K1423" s="22">
        <v>6</v>
      </c>
      <c r="L1423" s="1">
        <v>42624</v>
      </c>
      <c r="M1423" s="22">
        <f>Table10[[#This Row],[Ship Date]]-Table10[[#This Row],[Order Date]]</f>
        <v>5</v>
      </c>
      <c r="N1423" t="s">
        <v>45</v>
      </c>
      <c r="O1423" t="s">
        <v>23</v>
      </c>
      <c r="P1423" t="s">
        <v>204</v>
      </c>
      <c r="Q1423" t="s">
        <v>95</v>
      </c>
      <c r="R1423" t="s">
        <v>387</v>
      </c>
      <c r="S1423" s="33">
        <v>0</v>
      </c>
      <c r="T1423" s="13">
        <v>77.88</v>
      </c>
      <c r="U1423" s="13">
        <v>22.5852</v>
      </c>
      <c r="V1423" s="21">
        <f>Table10[[#This Row],[Profit]]/Table10[[#This Row],[Sales]]</f>
        <v>0.29000000000000004</v>
      </c>
    </row>
    <row r="1424" spans="1:22" x14ac:dyDescent="0.2">
      <c r="A1424">
        <v>1423</v>
      </c>
      <c r="B1424" t="s">
        <v>2718</v>
      </c>
      <c r="C1424" s="1">
        <v>42619</v>
      </c>
      <c r="D1424" s="22">
        <f>MONTH(Table10[[#This Row],[Order Date]])</f>
        <v>9</v>
      </c>
      <c r="E1424" t="s">
        <v>2720</v>
      </c>
      <c r="F1424" t="s">
        <v>2721</v>
      </c>
      <c r="G1424" s="23" t="s">
        <v>64</v>
      </c>
      <c r="H1424" s="23" t="s">
        <v>144</v>
      </c>
      <c r="I1424" t="s">
        <v>2719</v>
      </c>
      <c r="J1424" t="s">
        <v>22</v>
      </c>
      <c r="K1424" s="22">
        <v>2</v>
      </c>
      <c r="L1424" s="1">
        <v>42622</v>
      </c>
      <c r="M1424" s="22">
        <f>Table10[[#This Row],[Ship Date]]-Table10[[#This Row],[Order Date]]</f>
        <v>3</v>
      </c>
      <c r="N1424" t="s">
        <v>20</v>
      </c>
      <c r="O1424" t="s">
        <v>23</v>
      </c>
      <c r="P1424" t="s">
        <v>238</v>
      </c>
      <c r="Q1424" t="s">
        <v>133</v>
      </c>
      <c r="R1424" t="s">
        <v>237</v>
      </c>
      <c r="S1424" s="33">
        <v>0</v>
      </c>
      <c r="T1424" s="13">
        <v>31.86</v>
      </c>
      <c r="U1424" s="13">
        <v>11.151</v>
      </c>
      <c r="V1424" s="21">
        <f>Table10[[#This Row],[Profit]]/Table10[[#This Row],[Sales]]</f>
        <v>0.35</v>
      </c>
    </row>
    <row r="1425" spans="1:22" x14ac:dyDescent="0.2">
      <c r="A1425">
        <v>1424</v>
      </c>
      <c r="B1425" t="s">
        <v>2718</v>
      </c>
      <c r="C1425" s="1">
        <v>42619</v>
      </c>
      <c r="D1425" s="22">
        <f>MONTH(Table10[[#This Row],[Order Date]])</f>
        <v>9</v>
      </c>
      <c r="E1425" t="s">
        <v>2722</v>
      </c>
      <c r="F1425" t="s">
        <v>2723</v>
      </c>
      <c r="G1425" s="23" t="s">
        <v>28</v>
      </c>
      <c r="H1425" s="23" t="s">
        <v>29</v>
      </c>
      <c r="I1425" t="s">
        <v>2719</v>
      </c>
      <c r="J1425" t="s">
        <v>22</v>
      </c>
      <c r="K1425" s="22">
        <v>3</v>
      </c>
      <c r="L1425" s="1">
        <v>42622</v>
      </c>
      <c r="M1425" s="22">
        <f>Table10[[#This Row],[Ship Date]]-Table10[[#This Row],[Order Date]]</f>
        <v>3</v>
      </c>
      <c r="N1425" t="s">
        <v>20</v>
      </c>
      <c r="O1425" t="s">
        <v>23</v>
      </c>
      <c r="P1425" t="s">
        <v>238</v>
      </c>
      <c r="Q1425" t="s">
        <v>133</v>
      </c>
      <c r="R1425" t="s">
        <v>237</v>
      </c>
      <c r="S1425" s="33">
        <v>0.2</v>
      </c>
      <c r="T1425" s="13">
        <v>722.35199999999998</v>
      </c>
      <c r="U1425" s="13">
        <v>90.293999999999997</v>
      </c>
      <c r="V1425" s="21">
        <f>Table10[[#This Row],[Profit]]/Table10[[#This Row],[Sales]]</f>
        <v>0.125</v>
      </c>
    </row>
    <row r="1426" spans="1:22" x14ac:dyDescent="0.2">
      <c r="A1426">
        <v>1425</v>
      </c>
      <c r="B1426" t="s">
        <v>5177</v>
      </c>
      <c r="C1426" s="1">
        <v>42619</v>
      </c>
      <c r="D1426" s="22">
        <f>MONTH(Table10[[#This Row],[Order Date]])</f>
        <v>9</v>
      </c>
      <c r="E1426" t="s">
        <v>3049</v>
      </c>
      <c r="F1426" t="s">
        <v>3050</v>
      </c>
      <c r="G1426" s="23" t="s">
        <v>41</v>
      </c>
      <c r="H1426" s="23" t="s">
        <v>155</v>
      </c>
      <c r="I1426" t="s">
        <v>363</v>
      </c>
      <c r="J1426" t="s">
        <v>22</v>
      </c>
      <c r="K1426" s="22">
        <v>3</v>
      </c>
      <c r="L1426" s="1">
        <v>42624</v>
      </c>
      <c r="M1426" s="22">
        <f>Table10[[#This Row],[Ship Date]]-Table10[[#This Row],[Order Date]]</f>
        <v>5</v>
      </c>
      <c r="N1426" t="s">
        <v>45</v>
      </c>
      <c r="O1426" t="s">
        <v>23</v>
      </c>
      <c r="P1426" t="s">
        <v>80</v>
      </c>
      <c r="Q1426" t="s">
        <v>26</v>
      </c>
      <c r="R1426" t="s">
        <v>3502</v>
      </c>
      <c r="S1426" s="33">
        <v>0.2</v>
      </c>
      <c r="T1426" s="13">
        <v>95.951999999999998</v>
      </c>
      <c r="U1426" s="13">
        <v>29.984999999999999</v>
      </c>
      <c r="V1426" s="21">
        <f>Table10[[#This Row],[Profit]]/Table10[[#This Row],[Sales]]</f>
        <v>0.3125</v>
      </c>
    </row>
    <row r="1427" spans="1:22" x14ac:dyDescent="0.2">
      <c r="A1427">
        <v>1426</v>
      </c>
      <c r="B1427" t="s">
        <v>5177</v>
      </c>
      <c r="C1427" s="1">
        <v>42619</v>
      </c>
      <c r="D1427" s="22">
        <f>MONTH(Table10[[#This Row],[Order Date]])</f>
        <v>9</v>
      </c>
      <c r="E1427" t="s">
        <v>3023</v>
      </c>
      <c r="F1427" t="s">
        <v>3024</v>
      </c>
      <c r="G1427" s="23" t="s">
        <v>41</v>
      </c>
      <c r="H1427" s="23" t="s">
        <v>68</v>
      </c>
      <c r="I1427" t="s">
        <v>363</v>
      </c>
      <c r="J1427" t="s">
        <v>22</v>
      </c>
      <c r="K1427" s="22">
        <v>2</v>
      </c>
      <c r="L1427" s="1">
        <v>42624</v>
      </c>
      <c r="M1427" s="22">
        <f>Table10[[#This Row],[Ship Date]]-Table10[[#This Row],[Order Date]]</f>
        <v>5</v>
      </c>
      <c r="N1427" t="s">
        <v>45</v>
      </c>
      <c r="O1427" t="s">
        <v>23</v>
      </c>
      <c r="P1427" t="s">
        <v>80</v>
      </c>
      <c r="Q1427" t="s">
        <v>26</v>
      </c>
      <c r="R1427" t="s">
        <v>3502</v>
      </c>
      <c r="S1427" s="33">
        <v>0.7</v>
      </c>
      <c r="T1427" s="13">
        <v>3.2040000000000002</v>
      </c>
      <c r="U1427" s="13">
        <v>-2.4563999999999999</v>
      </c>
      <c r="V1427" s="21">
        <f>Table10[[#This Row],[Profit]]/Table10[[#This Row],[Sales]]</f>
        <v>-0.76666666666666661</v>
      </c>
    </row>
    <row r="1428" spans="1:22" x14ac:dyDescent="0.2">
      <c r="A1428">
        <v>1427</v>
      </c>
      <c r="B1428" t="s">
        <v>6813</v>
      </c>
      <c r="C1428" s="1">
        <v>42619</v>
      </c>
      <c r="D1428" s="22">
        <f>MONTH(Table10[[#This Row],[Order Date]])</f>
        <v>9</v>
      </c>
      <c r="E1428" t="s">
        <v>562</v>
      </c>
      <c r="F1428" t="s">
        <v>563</v>
      </c>
      <c r="G1428" s="23" t="s">
        <v>41</v>
      </c>
      <c r="H1428" s="23" t="s">
        <v>53</v>
      </c>
      <c r="I1428" t="s">
        <v>5781</v>
      </c>
      <c r="J1428" t="s">
        <v>22</v>
      </c>
      <c r="K1428" s="22">
        <v>1</v>
      </c>
      <c r="L1428" s="1">
        <v>42621</v>
      </c>
      <c r="M1428" s="22">
        <f>Table10[[#This Row],[Ship Date]]-Table10[[#This Row],[Order Date]]</f>
        <v>2</v>
      </c>
      <c r="N1428" t="s">
        <v>169</v>
      </c>
      <c r="O1428" t="s">
        <v>23</v>
      </c>
      <c r="P1428" t="s">
        <v>94</v>
      </c>
      <c r="Q1428" t="s">
        <v>95</v>
      </c>
      <c r="R1428" t="s">
        <v>165</v>
      </c>
      <c r="S1428" s="33">
        <v>0.2</v>
      </c>
      <c r="T1428" s="13">
        <v>10.784000000000001</v>
      </c>
      <c r="U1428" s="13">
        <v>0.80879999999999996</v>
      </c>
      <c r="V1428" s="21">
        <f>Table10[[#This Row],[Profit]]/Table10[[#This Row],[Sales]]</f>
        <v>7.4999999999999997E-2</v>
      </c>
    </row>
    <row r="1429" spans="1:22" x14ac:dyDescent="0.2">
      <c r="A1429">
        <v>1428</v>
      </c>
      <c r="B1429" t="s">
        <v>7409</v>
      </c>
      <c r="C1429" s="1">
        <v>42619</v>
      </c>
      <c r="D1429" s="22">
        <f>MONTH(Table10[[#This Row],[Order Date]])</f>
        <v>9</v>
      </c>
      <c r="E1429" t="s">
        <v>5162</v>
      </c>
      <c r="F1429" t="s">
        <v>5163</v>
      </c>
      <c r="G1429" s="23" t="s">
        <v>41</v>
      </c>
      <c r="H1429" s="23" t="s">
        <v>82</v>
      </c>
      <c r="I1429" t="s">
        <v>2107</v>
      </c>
      <c r="J1429" t="s">
        <v>36</v>
      </c>
      <c r="K1429" s="22">
        <v>4</v>
      </c>
      <c r="L1429" s="1">
        <v>42625</v>
      </c>
      <c r="M1429" s="22">
        <f>Table10[[#This Row],[Ship Date]]-Table10[[#This Row],[Order Date]]</f>
        <v>6</v>
      </c>
      <c r="N1429" t="s">
        <v>45</v>
      </c>
      <c r="O1429" t="s">
        <v>23</v>
      </c>
      <c r="P1429" t="s">
        <v>94</v>
      </c>
      <c r="Q1429" t="s">
        <v>95</v>
      </c>
      <c r="R1429" t="s">
        <v>718</v>
      </c>
      <c r="S1429" s="33">
        <v>0.2</v>
      </c>
      <c r="T1429" s="13">
        <v>41.92</v>
      </c>
      <c r="U1429" s="13">
        <v>15.196</v>
      </c>
      <c r="V1429" s="21">
        <f>Table10[[#This Row],[Profit]]/Table10[[#This Row],[Sales]]</f>
        <v>0.36249999999999999</v>
      </c>
    </row>
    <row r="1430" spans="1:22" x14ac:dyDescent="0.2">
      <c r="A1430">
        <v>1429</v>
      </c>
      <c r="B1430" t="s">
        <v>7409</v>
      </c>
      <c r="C1430" s="1">
        <v>42619</v>
      </c>
      <c r="D1430" s="22">
        <f>MONTH(Table10[[#This Row],[Order Date]])</f>
        <v>9</v>
      </c>
      <c r="E1430" t="s">
        <v>242</v>
      </c>
      <c r="F1430" t="s">
        <v>243</v>
      </c>
      <c r="G1430" s="23" t="s">
        <v>64</v>
      </c>
      <c r="H1430" s="23" t="s">
        <v>65</v>
      </c>
      <c r="I1430" t="s">
        <v>2107</v>
      </c>
      <c r="J1430" t="s">
        <v>36</v>
      </c>
      <c r="K1430" s="22">
        <v>2</v>
      </c>
      <c r="L1430" s="1">
        <v>42625</v>
      </c>
      <c r="M1430" s="22">
        <f>Table10[[#This Row],[Ship Date]]-Table10[[#This Row],[Order Date]]</f>
        <v>6</v>
      </c>
      <c r="N1430" t="s">
        <v>45</v>
      </c>
      <c r="O1430" t="s">
        <v>23</v>
      </c>
      <c r="P1430" t="s">
        <v>94</v>
      </c>
      <c r="Q1430" t="s">
        <v>95</v>
      </c>
      <c r="R1430" t="s">
        <v>718</v>
      </c>
      <c r="S1430" s="33">
        <v>0.2</v>
      </c>
      <c r="T1430" s="13">
        <v>329.584</v>
      </c>
      <c r="U1430" s="13">
        <v>37.078200000000002</v>
      </c>
      <c r="V1430" s="21">
        <f>Table10[[#This Row],[Profit]]/Table10[[#This Row],[Sales]]</f>
        <v>0.1125</v>
      </c>
    </row>
    <row r="1431" spans="1:22" x14ac:dyDescent="0.2">
      <c r="A1431">
        <v>1430</v>
      </c>
      <c r="B1431" t="s">
        <v>1243</v>
      </c>
      <c r="C1431" s="1">
        <v>42621</v>
      </c>
      <c r="D1431" s="22">
        <f>MONTH(Table10[[#This Row],[Order Date]])</f>
        <v>9</v>
      </c>
      <c r="E1431" t="s">
        <v>1245</v>
      </c>
      <c r="F1431" t="s">
        <v>1246</v>
      </c>
      <c r="G1431" s="23" t="s">
        <v>41</v>
      </c>
      <c r="H1431" s="23" t="s">
        <v>53</v>
      </c>
      <c r="I1431" t="s">
        <v>1244</v>
      </c>
      <c r="J1431" t="s">
        <v>22</v>
      </c>
      <c r="K1431" s="22">
        <v>3</v>
      </c>
      <c r="L1431" s="1">
        <v>42623</v>
      </c>
      <c r="M1431" s="22">
        <f>Table10[[#This Row],[Ship Date]]-Table10[[#This Row],[Order Date]]</f>
        <v>2</v>
      </c>
      <c r="N1431" t="s">
        <v>20</v>
      </c>
      <c r="O1431" t="s">
        <v>23</v>
      </c>
      <c r="P1431" t="s">
        <v>94</v>
      </c>
      <c r="Q1431" t="s">
        <v>95</v>
      </c>
      <c r="R1431" t="s">
        <v>165</v>
      </c>
      <c r="S1431" s="33">
        <v>0.2</v>
      </c>
      <c r="T1431" s="13">
        <v>35.951999999999998</v>
      </c>
      <c r="U1431" s="13">
        <v>3.5952000000000002</v>
      </c>
      <c r="V1431" s="21">
        <f>Table10[[#This Row],[Profit]]/Table10[[#This Row],[Sales]]</f>
        <v>0.1</v>
      </c>
    </row>
    <row r="1432" spans="1:22" x14ac:dyDescent="0.2">
      <c r="A1432">
        <v>1431</v>
      </c>
      <c r="B1432" t="s">
        <v>1243</v>
      </c>
      <c r="C1432" s="1">
        <v>42621</v>
      </c>
      <c r="D1432" s="22">
        <f>MONTH(Table10[[#This Row],[Order Date]])</f>
        <v>9</v>
      </c>
      <c r="E1432" t="s">
        <v>148</v>
      </c>
      <c r="F1432" t="s">
        <v>149</v>
      </c>
      <c r="G1432" s="23" t="s">
        <v>28</v>
      </c>
      <c r="H1432" s="23" t="s">
        <v>29</v>
      </c>
      <c r="I1432" t="s">
        <v>1244</v>
      </c>
      <c r="J1432" t="s">
        <v>22</v>
      </c>
      <c r="K1432" s="22">
        <v>4</v>
      </c>
      <c r="L1432" s="1">
        <v>42623</v>
      </c>
      <c r="M1432" s="22">
        <f>Table10[[#This Row],[Ship Date]]-Table10[[#This Row],[Order Date]]</f>
        <v>2</v>
      </c>
      <c r="N1432" t="s">
        <v>20</v>
      </c>
      <c r="O1432" t="s">
        <v>23</v>
      </c>
      <c r="P1432" t="s">
        <v>94</v>
      </c>
      <c r="Q1432" t="s">
        <v>95</v>
      </c>
      <c r="R1432" t="s">
        <v>165</v>
      </c>
      <c r="S1432" s="33">
        <v>0.32</v>
      </c>
      <c r="T1432" s="13">
        <v>2396.2656000000002</v>
      </c>
      <c r="U1432" s="13">
        <v>-317.15280000000001</v>
      </c>
      <c r="V1432" s="21">
        <f>Table10[[#This Row],[Profit]]/Table10[[#This Row],[Sales]]</f>
        <v>-0.13235294117647059</v>
      </c>
    </row>
    <row r="1433" spans="1:22" x14ac:dyDescent="0.2">
      <c r="A1433">
        <v>1432</v>
      </c>
      <c r="B1433" t="s">
        <v>1243</v>
      </c>
      <c r="C1433" s="1">
        <v>42621</v>
      </c>
      <c r="D1433" s="22">
        <f>MONTH(Table10[[#This Row],[Order Date]])</f>
        <v>9</v>
      </c>
      <c r="E1433" t="s">
        <v>1247</v>
      </c>
      <c r="F1433" t="s">
        <v>1248</v>
      </c>
      <c r="G1433" s="23" t="s">
        <v>41</v>
      </c>
      <c r="H1433" s="23" t="s">
        <v>53</v>
      </c>
      <c r="I1433" t="s">
        <v>1244</v>
      </c>
      <c r="J1433" t="s">
        <v>22</v>
      </c>
      <c r="K1433" s="22">
        <v>4</v>
      </c>
      <c r="L1433" s="1">
        <v>42623</v>
      </c>
      <c r="M1433" s="22">
        <f>Table10[[#This Row],[Ship Date]]-Table10[[#This Row],[Order Date]]</f>
        <v>2</v>
      </c>
      <c r="N1433" t="s">
        <v>20</v>
      </c>
      <c r="O1433" t="s">
        <v>23</v>
      </c>
      <c r="P1433" t="s">
        <v>94</v>
      </c>
      <c r="Q1433" t="s">
        <v>95</v>
      </c>
      <c r="R1433" t="s">
        <v>165</v>
      </c>
      <c r="S1433" s="33">
        <v>0.2</v>
      </c>
      <c r="T1433" s="13">
        <v>131.136</v>
      </c>
      <c r="U1433" s="13">
        <v>-32.783999999999999</v>
      </c>
      <c r="V1433" s="21">
        <f>Table10[[#This Row],[Profit]]/Table10[[#This Row],[Sales]]</f>
        <v>-0.25</v>
      </c>
    </row>
    <row r="1434" spans="1:22" x14ac:dyDescent="0.2">
      <c r="A1434">
        <v>1433</v>
      </c>
      <c r="B1434" t="s">
        <v>1243</v>
      </c>
      <c r="C1434" s="1">
        <v>42621</v>
      </c>
      <c r="D1434" s="22">
        <f>MONTH(Table10[[#This Row],[Order Date]])</f>
        <v>9</v>
      </c>
      <c r="E1434" t="s">
        <v>1249</v>
      </c>
      <c r="F1434" t="s">
        <v>1250</v>
      </c>
      <c r="G1434" s="23" t="s">
        <v>64</v>
      </c>
      <c r="H1434" s="23" t="s">
        <v>144</v>
      </c>
      <c r="I1434" t="s">
        <v>1244</v>
      </c>
      <c r="J1434" t="s">
        <v>22</v>
      </c>
      <c r="K1434" s="22">
        <v>2</v>
      </c>
      <c r="L1434" s="1">
        <v>42623</v>
      </c>
      <c r="M1434" s="22">
        <f>Table10[[#This Row],[Ship Date]]-Table10[[#This Row],[Order Date]]</f>
        <v>2</v>
      </c>
      <c r="N1434" t="s">
        <v>20</v>
      </c>
      <c r="O1434" t="s">
        <v>23</v>
      </c>
      <c r="P1434" t="s">
        <v>94</v>
      </c>
      <c r="Q1434" t="s">
        <v>95</v>
      </c>
      <c r="R1434" t="s">
        <v>165</v>
      </c>
      <c r="S1434" s="33">
        <v>0.2</v>
      </c>
      <c r="T1434" s="13">
        <v>57.584000000000003</v>
      </c>
      <c r="U1434" s="13">
        <v>0.7198</v>
      </c>
      <c r="V1434" s="21">
        <f>Table10[[#This Row],[Profit]]/Table10[[#This Row],[Sales]]</f>
        <v>1.2499999999999999E-2</v>
      </c>
    </row>
    <row r="1435" spans="1:22" x14ac:dyDescent="0.2">
      <c r="A1435">
        <v>1434</v>
      </c>
      <c r="B1435" t="s">
        <v>4346</v>
      </c>
      <c r="C1435" s="1">
        <v>42621</v>
      </c>
      <c r="D1435" s="22">
        <f>MONTH(Table10[[#This Row],[Order Date]])</f>
        <v>9</v>
      </c>
      <c r="E1435" t="s">
        <v>1187</v>
      </c>
      <c r="F1435" t="s">
        <v>1188</v>
      </c>
      <c r="G1435" s="23" t="s">
        <v>41</v>
      </c>
      <c r="H1435" s="23" t="s">
        <v>68</v>
      </c>
      <c r="I1435" t="s">
        <v>693</v>
      </c>
      <c r="J1435" t="s">
        <v>92</v>
      </c>
      <c r="K1435" s="22">
        <v>2</v>
      </c>
      <c r="L1435" s="1">
        <v>42623</v>
      </c>
      <c r="M1435" s="22">
        <f>Table10[[#This Row],[Ship Date]]-Table10[[#This Row],[Order Date]]</f>
        <v>2</v>
      </c>
      <c r="N1435" t="s">
        <v>20</v>
      </c>
      <c r="O1435" t="s">
        <v>23</v>
      </c>
      <c r="P1435" t="s">
        <v>38</v>
      </c>
      <c r="Q1435" t="s">
        <v>39</v>
      </c>
      <c r="R1435" t="s">
        <v>2174</v>
      </c>
      <c r="S1435" s="33">
        <v>0.2</v>
      </c>
      <c r="T1435" s="13">
        <v>33.024000000000001</v>
      </c>
      <c r="U1435" s="13">
        <v>11.558400000000001</v>
      </c>
      <c r="V1435" s="21">
        <f>Table10[[#This Row],[Profit]]/Table10[[#This Row],[Sales]]</f>
        <v>0.35000000000000003</v>
      </c>
    </row>
    <row r="1436" spans="1:22" x14ac:dyDescent="0.2">
      <c r="A1436">
        <v>1435</v>
      </c>
      <c r="B1436" t="s">
        <v>4346</v>
      </c>
      <c r="C1436" s="1">
        <v>42621</v>
      </c>
      <c r="D1436" s="22">
        <f>MONTH(Table10[[#This Row],[Order Date]])</f>
        <v>9</v>
      </c>
      <c r="E1436" t="s">
        <v>1851</v>
      </c>
      <c r="F1436" t="s">
        <v>1852</v>
      </c>
      <c r="G1436" s="23" t="s">
        <v>41</v>
      </c>
      <c r="H1436" s="23" t="s">
        <v>68</v>
      </c>
      <c r="I1436" t="s">
        <v>693</v>
      </c>
      <c r="J1436" t="s">
        <v>92</v>
      </c>
      <c r="K1436" s="22">
        <v>4</v>
      </c>
      <c r="L1436" s="1">
        <v>42623</v>
      </c>
      <c r="M1436" s="22">
        <f>Table10[[#This Row],[Ship Date]]-Table10[[#This Row],[Order Date]]</f>
        <v>2</v>
      </c>
      <c r="N1436" t="s">
        <v>20</v>
      </c>
      <c r="O1436" t="s">
        <v>23</v>
      </c>
      <c r="P1436" t="s">
        <v>38</v>
      </c>
      <c r="Q1436" t="s">
        <v>39</v>
      </c>
      <c r="R1436" t="s">
        <v>2174</v>
      </c>
      <c r="S1436" s="33">
        <v>0.2</v>
      </c>
      <c r="T1436" s="13">
        <v>67.135999999999996</v>
      </c>
      <c r="U1436" s="13">
        <v>23.497599999999998</v>
      </c>
      <c r="V1436" s="21">
        <f>Table10[[#This Row],[Profit]]/Table10[[#This Row],[Sales]]</f>
        <v>0.35</v>
      </c>
    </row>
    <row r="1437" spans="1:22" x14ac:dyDescent="0.2">
      <c r="A1437">
        <v>1436</v>
      </c>
      <c r="B1437" t="s">
        <v>5011</v>
      </c>
      <c r="C1437" s="1">
        <v>42621</v>
      </c>
      <c r="D1437" s="22">
        <f>MONTH(Table10[[#This Row],[Order Date]])</f>
        <v>9</v>
      </c>
      <c r="E1437" t="s">
        <v>5012</v>
      </c>
      <c r="F1437" t="s">
        <v>5013</v>
      </c>
      <c r="G1437" s="23" t="s">
        <v>28</v>
      </c>
      <c r="H1437" s="23" t="s">
        <v>29</v>
      </c>
      <c r="I1437" t="s">
        <v>2946</v>
      </c>
      <c r="J1437" t="s">
        <v>92</v>
      </c>
      <c r="K1437" s="22">
        <v>3</v>
      </c>
      <c r="L1437" s="1">
        <v>42627</v>
      </c>
      <c r="M1437" s="22">
        <f>Table10[[#This Row],[Ship Date]]-Table10[[#This Row],[Order Date]]</f>
        <v>6</v>
      </c>
      <c r="N1437" t="s">
        <v>45</v>
      </c>
      <c r="O1437" t="s">
        <v>23</v>
      </c>
      <c r="P1437" t="s">
        <v>1101</v>
      </c>
      <c r="Q1437" t="s">
        <v>133</v>
      </c>
      <c r="R1437" t="s">
        <v>4835</v>
      </c>
      <c r="S1437" s="33">
        <v>0</v>
      </c>
      <c r="T1437" s="13">
        <v>173.94</v>
      </c>
      <c r="U1437" s="13">
        <v>13.9152</v>
      </c>
      <c r="V1437" s="21">
        <f>Table10[[#This Row],[Profit]]/Table10[[#This Row],[Sales]]</f>
        <v>0.08</v>
      </c>
    </row>
    <row r="1438" spans="1:22" x14ac:dyDescent="0.2">
      <c r="A1438">
        <v>1437</v>
      </c>
      <c r="B1438" t="s">
        <v>5011</v>
      </c>
      <c r="C1438" s="1">
        <v>42621</v>
      </c>
      <c r="D1438" s="22">
        <f>MONTH(Table10[[#This Row],[Order Date]])</f>
        <v>9</v>
      </c>
      <c r="E1438" t="s">
        <v>4412</v>
      </c>
      <c r="F1438" t="s">
        <v>4413</v>
      </c>
      <c r="G1438" s="23" t="s">
        <v>41</v>
      </c>
      <c r="H1438" s="23" t="s">
        <v>42</v>
      </c>
      <c r="I1438" t="s">
        <v>2946</v>
      </c>
      <c r="J1438" t="s">
        <v>92</v>
      </c>
      <c r="K1438" s="22">
        <v>4</v>
      </c>
      <c r="L1438" s="1">
        <v>42627</v>
      </c>
      <c r="M1438" s="22">
        <f>Table10[[#This Row],[Ship Date]]-Table10[[#This Row],[Order Date]]</f>
        <v>6</v>
      </c>
      <c r="N1438" t="s">
        <v>45</v>
      </c>
      <c r="O1438" t="s">
        <v>23</v>
      </c>
      <c r="P1438" t="s">
        <v>1101</v>
      </c>
      <c r="Q1438" t="s">
        <v>133</v>
      </c>
      <c r="R1438" t="s">
        <v>4835</v>
      </c>
      <c r="S1438" s="33">
        <v>0</v>
      </c>
      <c r="T1438" s="13">
        <v>14.76</v>
      </c>
      <c r="U1438" s="13">
        <v>6.9371999999999998</v>
      </c>
      <c r="V1438" s="21">
        <f>Table10[[#This Row],[Profit]]/Table10[[#This Row],[Sales]]</f>
        <v>0.47</v>
      </c>
    </row>
    <row r="1439" spans="1:22" x14ac:dyDescent="0.2">
      <c r="A1439">
        <v>1438</v>
      </c>
      <c r="B1439" t="s">
        <v>5068</v>
      </c>
      <c r="C1439" s="1">
        <v>42621</v>
      </c>
      <c r="D1439" s="22">
        <f>MONTH(Table10[[#This Row],[Order Date]])</f>
        <v>9</v>
      </c>
      <c r="E1439" t="s">
        <v>5070</v>
      </c>
      <c r="F1439" t="s">
        <v>5071</v>
      </c>
      <c r="G1439" s="23" t="s">
        <v>28</v>
      </c>
      <c r="H1439" s="23" t="s">
        <v>58</v>
      </c>
      <c r="I1439" t="s">
        <v>2478</v>
      </c>
      <c r="J1439" t="s">
        <v>22</v>
      </c>
      <c r="K1439" s="22">
        <v>2</v>
      </c>
      <c r="L1439" s="1">
        <v>42627</v>
      </c>
      <c r="M1439" s="22">
        <f>Table10[[#This Row],[Ship Date]]-Table10[[#This Row],[Order Date]]</f>
        <v>6</v>
      </c>
      <c r="N1439" t="s">
        <v>45</v>
      </c>
      <c r="O1439" t="s">
        <v>23</v>
      </c>
      <c r="P1439" t="s">
        <v>189</v>
      </c>
      <c r="Q1439" t="s">
        <v>95</v>
      </c>
      <c r="R1439" t="s">
        <v>5069</v>
      </c>
      <c r="S1439" s="33">
        <v>0.6</v>
      </c>
      <c r="T1439" s="13">
        <v>14.135999999999999</v>
      </c>
      <c r="U1439" s="13">
        <v>-7.7747999999999999</v>
      </c>
      <c r="V1439" s="21">
        <f>Table10[[#This Row],[Profit]]/Table10[[#This Row],[Sales]]</f>
        <v>-0.55000000000000004</v>
      </c>
    </row>
    <row r="1440" spans="1:22" x14ac:dyDescent="0.2">
      <c r="A1440">
        <v>1439</v>
      </c>
      <c r="B1440" t="s">
        <v>5068</v>
      </c>
      <c r="C1440" s="1">
        <v>42621</v>
      </c>
      <c r="D1440" s="22">
        <f>MONTH(Table10[[#This Row],[Order Date]])</f>
        <v>9</v>
      </c>
      <c r="E1440" t="s">
        <v>5072</v>
      </c>
      <c r="F1440" t="s">
        <v>5073</v>
      </c>
      <c r="G1440" s="23" t="s">
        <v>28</v>
      </c>
      <c r="H1440" s="23" t="s">
        <v>50</v>
      </c>
      <c r="I1440" t="s">
        <v>2478</v>
      </c>
      <c r="J1440" t="s">
        <v>22</v>
      </c>
      <c r="K1440" s="22">
        <v>3</v>
      </c>
      <c r="L1440" s="1">
        <v>42627</v>
      </c>
      <c r="M1440" s="22">
        <f>Table10[[#This Row],[Ship Date]]-Table10[[#This Row],[Order Date]]</f>
        <v>6</v>
      </c>
      <c r="N1440" t="s">
        <v>45</v>
      </c>
      <c r="O1440" t="s">
        <v>23</v>
      </c>
      <c r="P1440" t="s">
        <v>189</v>
      </c>
      <c r="Q1440" t="s">
        <v>95</v>
      </c>
      <c r="R1440" t="s">
        <v>5069</v>
      </c>
      <c r="S1440" s="33">
        <v>0.5</v>
      </c>
      <c r="T1440" s="13">
        <v>601.47</v>
      </c>
      <c r="U1440" s="13">
        <v>-300.73500000000001</v>
      </c>
      <c r="V1440" s="21">
        <f>Table10[[#This Row],[Profit]]/Table10[[#This Row],[Sales]]</f>
        <v>-0.5</v>
      </c>
    </row>
    <row r="1441" spans="1:22" x14ac:dyDescent="0.2">
      <c r="A1441">
        <v>1440</v>
      </c>
      <c r="B1441" t="s">
        <v>5530</v>
      </c>
      <c r="C1441" s="1">
        <v>42621</v>
      </c>
      <c r="D1441" s="22">
        <f>MONTH(Table10[[#This Row],[Order Date]])</f>
        <v>9</v>
      </c>
      <c r="E1441" t="s">
        <v>5532</v>
      </c>
      <c r="F1441" t="s">
        <v>5533</v>
      </c>
      <c r="G1441" s="23" t="s">
        <v>41</v>
      </c>
      <c r="H1441" s="23" t="s">
        <v>71</v>
      </c>
      <c r="I1441" t="s">
        <v>5531</v>
      </c>
      <c r="J1441" t="s">
        <v>92</v>
      </c>
      <c r="K1441" s="22">
        <v>1</v>
      </c>
      <c r="L1441" s="1">
        <v>42623</v>
      </c>
      <c r="M1441" s="22">
        <f>Table10[[#This Row],[Ship Date]]-Table10[[#This Row],[Order Date]]</f>
        <v>2</v>
      </c>
      <c r="N1441" t="s">
        <v>169</v>
      </c>
      <c r="O1441" t="s">
        <v>23</v>
      </c>
      <c r="P1441" t="s">
        <v>238</v>
      </c>
      <c r="Q1441" t="s">
        <v>133</v>
      </c>
      <c r="R1441" t="s">
        <v>237</v>
      </c>
      <c r="S1441" s="33">
        <v>0</v>
      </c>
      <c r="T1441" s="13">
        <v>207.48</v>
      </c>
      <c r="U1441" s="13">
        <v>62.244</v>
      </c>
      <c r="V1441" s="21">
        <f>Table10[[#This Row],[Profit]]/Table10[[#This Row],[Sales]]</f>
        <v>0.3</v>
      </c>
    </row>
    <row r="1442" spans="1:22" x14ac:dyDescent="0.2">
      <c r="A1442">
        <v>1441</v>
      </c>
      <c r="B1442" t="s">
        <v>6729</v>
      </c>
      <c r="C1442" s="1">
        <v>42621</v>
      </c>
      <c r="D1442" s="22">
        <f>MONTH(Table10[[#This Row],[Order Date]])</f>
        <v>9</v>
      </c>
      <c r="E1442" t="s">
        <v>1385</v>
      </c>
      <c r="F1442" t="s">
        <v>1386</v>
      </c>
      <c r="G1442" s="23" t="s">
        <v>41</v>
      </c>
      <c r="H1442" s="23" t="s">
        <v>61</v>
      </c>
      <c r="I1442" t="s">
        <v>122</v>
      </c>
      <c r="J1442" t="s">
        <v>36</v>
      </c>
      <c r="K1442" s="22">
        <v>2</v>
      </c>
      <c r="L1442" s="1">
        <v>42625</v>
      </c>
      <c r="M1442" s="22">
        <f>Table10[[#This Row],[Ship Date]]-Table10[[#This Row],[Order Date]]</f>
        <v>4</v>
      </c>
      <c r="N1442" t="s">
        <v>45</v>
      </c>
      <c r="O1442" t="s">
        <v>23</v>
      </c>
      <c r="P1442" t="s">
        <v>94</v>
      </c>
      <c r="Q1442" t="s">
        <v>95</v>
      </c>
      <c r="R1442" t="s">
        <v>718</v>
      </c>
      <c r="S1442" s="33">
        <v>0.2</v>
      </c>
      <c r="T1442" s="13">
        <v>70.367999999999995</v>
      </c>
      <c r="U1442" s="13">
        <v>6.1571999999999996</v>
      </c>
      <c r="V1442" s="21">
        <f>Table10[[#This Row],[Profit]]/Table10[[#This Row],[Sales]]</f>
        <v>8.7499999999999994E-2</v>
      </c>
    </row>
    <row r="1443" spans="1:22" x14ac:dyDescent="0.2">
      <c r="A1443">
        <v>1442</v>
      </c>
      <c r="B1443" t="s">
        <v>6729</v>
      </c>
      <c r="C1443" s="1">
        <v>42621</v>
      </c>
      <c r="D1443" s="22">
        <f>MONTH(Table10[[#This Row],[Order Date]])</f>
        <v>9</v>
      </c>
      <c r="E1443" t="s">
        <v>4467</v>
      </c>
      <c r="F1443" t="s">
        <v>4468</v>
      </c>
      <c r="G1443" s="23" t="s">
        <v>64</v>
      </c>
      <c r="H1443" s="23" t="s">
        <v>65</v>
      </c>
      <c r="I1443" t="s">
        <v>122</v>
      </c>
      <c r="J1443" t="s">
        <v>36</v>
      </c>
      <c r="K1443" s="22">
        <v>5</v>
      </c>
      <c r="L1443" s="1">
        <v>42625</v>
      </c>
      <c r="M1443" s="22">
        <f>Table10[[#This Row],[Ship Date]]-Table10[[#This Row],[Order Date]]</f>
        <v>4</v>
      </c>
      <c r="N1443" t="s">
        <v>45</v>
      </c>
      <c r="O1443" t="s">
        <v>23</v>
      </c>
      <c r="P1443" t="s">
        <v>94</v>
      </c>
      <c r="Q1443" t="s">
        <v>95</v>
      </c>
      <c r="R1443" t="s">
        <v>718</v>
      </c>
      <c r="S1443" s="33">
        <v>0.2</v>
      </c>
      <c r="T1443" s="13">
        <v>59.96</v>
      </c>
      <c r="U1443" s="13">
        <v>21.735499999999998</v>
      </c>
      <c r="V1443" s="21">
        <f>Table10[[#This Row],[Profit]]/Table10[[#This Row],[Sales]]</f>
        <v>0.36249999999999999</v>
      </c>
    </row>
    <row r="1444" spans="1:22" x14ac:dyDescent="0.2">
      <c r="A1444">
        <v>1443</v>
      </c>
      <c r="B1444" t="s">
        <v>7229</v>
      </c>
      <c r="C1444" s="1">
        <v>42621</v>
      </c>
      <c r="D1444" s="22">
        <f>MONTH(Table10[[#This Row],[Order Date]])</f>
        <v>9</v>
      </c>
      <c r="E1444" t="s">
        <v>3141</v>
      </c>
      <c r="F1444" t="s">
        <v>3142</v>
      </c>
      <c r="G1444" s="23" t="s">
        <v>64</v>
      </c>
      <c r="H1444" s="23" t="s">
        <v>144</v>
      </c>
      <c r="I1444" t="s">
        <v>7230</v>
      </c>
      <c r="J1444" t="s">
        <v>22</v>
      </c>
      <c r="K1444" s="22">
        <v>4</v>
      </c>
      <c r="L1444" s="1">
        <v>42625</v>
      </c>
      <c r="M1444" s="22">
        <f>Table10[[#This Row],[Ship Date]]-Table10[[#This Row],[Order Date]]</f>
        <v>4</v>
      </c>
      <c r="N1444" t="s">
        <v>45</v>
      </c>
      <c r="O1444" t="s">
        <v>23</v>
      </c>
      <c r="P1444" t="s">
        <v>80</v>
      </c>
      <c r="Q1444" t="s">
        <v>26</v>
      </c>
      <c r="R1444" t="s">
        <v>649</v>
      </c>
      <c r="S1444" s="33">
        <v>0.2</v>
      </c>
      <c r="T1444" s="13">
        <v>35.167999999999999</v>
      </c>
      <c r="U1444" s="13">
        <v>8.3523999999999994</v>
      </c>
      <c r="V1444" s="21">
        <f>Table10[[#This Row],[Profit]]/Table10[[#This Row],[Sales]]</f>
        <v>0.23749999999999999</v>
      </c>
    </row>
    <row r="1445" spans="1:22" x14ac:dyDescent="0.2">
      <c r="A1445">
        <v>1444</v>
      </c>
      <c r="B1445" t="s">
        <v>7229</v>
      </c>
      <c r="C1445" s="1">
        <v>42621</v>
      </c>
      <c r="D1445" s="22">
        <f>MONTH(Table10[[#This Row],[Order Date]])</f>
        <v>9</v>
      </c>
      <c r="E1445" t="s">
        <v>3395</v>
      </c>
      <c r="F1445" t="s">
        <v>3396</v>
      </c>
      <c r="G1445" s="23" t="s">
        <v>41</v>
      </c>
      <c r="H1445" s="23" t="s">
        <v>82</v>
      </c>
      <c r="I1445" t="s">
        <v>7230</v>
      </c>
      <c r="J1445" t="s">
        <v>22</v>
      </c>
      <c r="K1445" s="22">
        <v>3</v>
      </c>
      <c r="L1445" s="1">
        <v>42625</v>
      </c>
      <c r="M1445" s="22">
        <f>Table10[[#This Row],[Ship Date]]-Table10[[#This Row],[Order Date]]</f>
        <v>4</v>
      </c>
      <c r="N1445" t="s">
        <v>45</v>
      </c>
      <c r="O1445" t="s">
        <v>23</v>
      </c>
      <c r="P1445" t="s">
        <v>80</v>
      </c>
      <c r="Q1445" t="s">
        <v>26</v>
      </c>
      <c r="R1445" t="s">
        <v>649</v>
      </c>
      <c r="S1445" s="33">
        <v>0.2</v>
      </c>
      <c r="T1445" s="13">
        <v>64.703999999999994</v>
      </c>
      <c r="U1445" s="13">
        <v>23.455200000000001</v>
      </c>
      <c r="V1445" s="21">
        <f>Table10[[#This Row],[Profit]]/Table10[[#This Row],[Sales]]</f>
        <v>0.36250000000000004</v>
      </c>
    </row>
    <row r="1446" spans="1:22" x14ac:dyDescent="0.2">
      <c r="A1446">
        <v>1445</v>
      </c>
      <c r="B1446" t="s">
        <v>8347</v>
      </c>
      <c r="C1446" s="1">
        <v>42621</v>
      </c>
      <c r="D1446" s="22">
        <f>MONTH(Table10[[#This Row],[Order Date]])</f>
        <v>9</v>
      </c>
      <c r="E1446" t="s">
        <v>3327</v>
      </c>
      <c r="F1446" t="s">
        <v>3328</v>
      </c>
      <c r="G1446" s="23" t="s">
        <v>28</v>
      </c>
      <c r="H1446" s="23" t="s">
        <v>50</v>
      </c>
      <c r="I1446" t="s">
        <v>2236</v>
      </c>
      <c r="J1446" t="s">
        <v>22</v>
      </c>
      <c r="K1446" s="22">
        <v>1</v>
      </c>
      <c r="L1446" s="1">
        <v>42621</v>
      </c>
      <c r="M1446" s="22">
        <f>Table10[[#This Row],[Ship Date]]-Table10[[#This Row],[Order Date]]</f>
        <v>0</v>
      </c>
      <c r="N1446" t="s">
        <v>1141</v>
      </c>
      <c r="O1446" t="s">
        <v>23</v>
      </c>
      <c r="P1446" t="s">
        <v>38</v>
      </c>
      <c r="Q1446" t="s">
        <v>39</v>
      </c>
      <c r="R1446" t="s">
        <v>2237</v>
      </c>
      <c r="S1446" s="33">
        <v>0.2</v>
      </c>
      <c r="T1446" s="13">
        <v>146.04</v>
      </c>
      <c r="U1446" s="13">
        <v>-12.778499999999999</v>
      </c>
      <c r="V1446" s="21">
        <f>Table10[[#This Row],[Profit]]/Table10[[#This Row],[Sales]]</f>
        <v>-8.7499999999999994E-2</v>
      </c>
    </row>
    <row r="1447" spans="1:22" x14ac:dyDescent="0.2">
      <c r="A1447">
        <v>1446</v>
      </c>
      <c r="B1447" t="s">
        <v>8685</v>
      </c>
      <c r="C1447" s="1">
        <v>42621</v>
      </c>
      <c r="D1447" s="22">
        <f>MONTH(Table10[[#This Row],[Order Date]])</f>
        <v>9</v>
      </c>
      <c r="E1447" t="s">
        <v>1659</v>
      </c>
      <c r="F1447" t="s">
        <v>1660</v>
      </c>
      <c r="G1447" s="23" t="s">
        <v>28</v>
      </c>
      <c r="H1447" s="23" t="s">
        <v>58</v>
      </c>
      <c r="I1447" t="s">
        <v>2256</v>
      </c>
      <c r="J1447" t="s">
        <v>22</v>
      </c>
      <c r="K1447" s="22">
        <v>1</v>
      </c>
      <c r="L1447" s="1">
        <v>42626</v>
      </c>
      <c r="M1447" s="22">
        <f>Table10[[#This Row],[Ship Date]]-Table10[[#This Row],[Order Date]]</f>
        <v>5</v>
      </c>
      <c r="N1447" t="s">
        <v>45</v>
      </c>
      <c r="O1447" t="s">
        <v>23</v>
      </c>
      <c r="P1447" t="s">
        <v>87</v>
      </c>
      <c r="Q1447" t="s">
        <v>39</v>
      </c>
      <c r="R1447" t="s">
        <v>86</v>
      </c>
      <c r="S1447" s="33">
        <v>0</v>
      </c>
      <c r="T1447" s="13">
        <v>43.13</v>
      </c>
      <c r="U1447" s="13">
        <v>14.664199999999999</v>
      </c>
      <c r="V1447" s="21">
        <f>Table10[[#This Row],[Profit]]/Table10[[#This Row],[Sales]]</f>
        <v>0.33999999999999997</v>
      </c>
    </row>
    <row r="1448" spans="1:22" x14ac:dyDescent="0.2">
      <c r="A1448">
        <v>1447</v>
      </c>
      <c r="B1448" t="s">
        <v>8685</v>
      </c>
      <c r="C1448" s="1">
        <v>42621</v>
      </c>
      <c r="D1448" s="22">
        <f>MONTH(Table10[[#This Row],[Order Date]])</f>
        <v>9</v>
      </c>
      <c r="E1448" t="s">
        <v>906</v>
      </c>
      <c r="F1448" t="s">
        <v>907</v>
      </c>
      <c r="G1448" s="23" t="s">
        <v>41</v>
      </c>
      <c r="H1448" s="23" t="s">
        <v>82</v>
      </c>
      <c r="I1448" t="s">
        <v>2256</v>
      </c>
      <c r="J1448" t="s">
        <v>22</v>
      </c>
      <c r="K1448" s="22">
        <v>7</v>
      </c>
      <c r="L1448" s="1">
        <v>42626</v>
      </c>
      <c r="M1448" s="22">
        <f>Table10[[#This Row],[Ship Date]]-Table10[[#This Row],[Order Date]]</f>
        <v>5</v>
      </c>
      <c r="N1448" t="s">
        <v>45</v>
      </c>
      <c r="O1448" t="s">
        <v>23</v>
      </c>
      <c r="P1448" t="s">
        <v>87</v>
      </c>
      <c r="Q1448" t="s">
        <v>39</v>
      </c>
      <c r="R1448" t="s">
        <v>86</v>
      </c>
      <c r="S1448" s="33">
        <v>0</v>
      </c>
      <c r="T1448" s="13">
        <v>30.87</v>
      </c>
      <c r="U1448" s="13">
        <v>14.200200000000001</v>
      </c>
      <c r="V1448" s="21">
        <f>Table10[[#This Row],[Profit]]/Table10[[#This Row],[Sales]]</f>
        <v>0.46</v>
      </c>
    </row>
    <row r="1449" spans="1:22" x14ac:dyDescent="0.2">
      <c r="A1449">
        <v>1448</v>
      </c>
      <c r="B1449" t="s">
        <v>8714</v>
      </c>
      <c r="C1449" s="1">
        <v>42621</v>
      </c>
      <c r="D1449" s="22">
        <f>MONTH(Table10[[#This Row],[Order Date]])</f>
        <v>9</v>
      </c>
      <c r="E1449" t="s">
        <v>5445</v>
      </c>
      <c r="F1449" t="s">
        <v>5446</v>
      </c>
      <c r="G1449" s="23" t="s">
        <v>41</v>
      </c>
      <c r="H1449" s="23" t="s">
        <v>61</v>
      </c>
      <c r="I1449" t="s">
        <v>3222</v>
      </c>
      <c r="J1449" t="s">
        <v>22</v>
      </c>
      <c r="K1449" s="22">
        <v>2</v>
      </c>
      <c r="L1449" s="1">
        <v>42628</v>
      </c>
      <c r="M1449" s="22">
        <f>Table10[[#This Row],[Ship Date]]-Table10[[#This Row],[Order Date]]</f>
        <v>7</v>
      </c>
      <c r="N1449" t="s">
        <v>45</v>
      </c>
      <c r="O1449" t="s">
        <v>23</v>
      </c>
      <c r="P1449" t="s">
        <v>38</v>
      </c>
      <c r="Q1449" t="s">
        <v>39</v>
      </c>
      <c r="R1449" t="s">
        <v>5801</v>
      </c>
      <c r="S1449" s="33">
        <v>0</v>
      </c>
      <c r="T1449" s="13">
        <v>14.88</v>
      </c>
      <c r="U1449" s="13">
        <v>3.72</v>
      </c>
      <c r="V1449" s="21">
        <f>Table10[[#This Row],[Profit]]/Table10[[#This Row],[Sales]]</f>
        <v>0.25</v>
      </c>
    </row>
    <row r="1450" spans="1:22" x14ac:dyDescent="0.2">
      <c r="A1450">
        <v>1449</v>
      </c>
      <c r="B1450" t="s">
        <v>8714</v>
      </c>
      <c r="C1450" s="1">
        <v>42621</v>
      </c>
      <c r="D1450" s="22">
        <f>MONTH(Table10[[#This Row],[Order Date]])</f>
        <v>9</v>
      </c>
      <c r="E1450" t="s">
        <v>5889</v>
      </c>
      <c r="F1450" t="s">
        <v>5890</v>
      </c>
      <c r="G1450" s="23" t="s">
        <v>41</v>
      </c>
      <c r="H1450" s="23" t="s">
        <v>82</v>
      </c>
      <c r="I1450" t="s">
        <v>3222</v>
      </c>
      <c r="J1450" t="s">
        <v>22</v>
      </c>
      <c r="K1450" s="22">
        <v>8</v>
      </c>
      <c r="L1450" s="1">
        <v>42628</v>
      </c>
      <c r="M1450" s="22">
        <f>Table10[[#This Row],[Ship Date]]-Table10[[#This Row],[Order Date]]</f>
        <v>7</v>
      </c>
      <c r="N1450" t="s">
        <v>45</v>
      </c>
      <c r="O1450" t="s">
        <v>23</v>
      </c>
      <c r="P1450" t="s">
        <v>38</v>
      </c>
      <c r="Q1450" t="s">
        <v>39</v>
      </c>
      <c r="R1450" t="s">
        <v>5801</v>
      </c>
      <c r="S1450" s="33">
        <v>0</v>
      </c>
      <c r="T1450" s="13">
        <v>34.24</v>
      </c>
      <c r="U1450" s="13">
        <v>15.407999999999999</v>
      </c>
      <c r="V1450" s="21">
        <f>Table10[[#This Row],[Profit]]/Table10[[#This Row],[Sales]]</f>
        <v>0.44999999999999996</v>
      </c>
    </row>
    <row r="1451" spans="1:22" x14ac:dyDescent="0.2">
      <c r="A1451">
        <v>1450</v>
      </c>
      <c r="B1451" t="s">
        <v>8714</v>
      </c>
      <c r="C1451" s="1">
        <v>42621</v>
      </c>
      <c r="D1451" s="22">
        <f>MONTH(Table10[[#This Row],[Order Date]])</f>
        <v>9</v>
      </c>
      <c r="E1451" t="s">
        <v>1820</v>
      </c>
      <c r="F1451" t="s">
        <v>1821</v>
      </c>
      <c r="G1451" s="23" t="s">
        <v>41</v>
      </c>
      <c r="H1451" s="23" t="s">
        <v>53</v>
      </c>
      <c r="I1451" t="s">
        <v>3222</v>
      </c>
      <c r="J1451" t="s">
        <v>22</v>
      </c>
      <c r="K1451" s="22">
        <v>2</v>
      </c>
      <c r="L1451" s="1">
        <v>42628</v>
      </c>
      <c r="M1451" s="22">
        <f>Table10[[#This Row],[Ship Date]]-Table10[[#This Row],[Order Date]]</f>
        <v>7</v>
      </c>
      <c r="N1451" t="s">
        <v>45</v>
      </c>
      <c r="O1451" t="s">
        <v>23</v>
      </c>
      <c r="P1451" t="s">
        <v>38</v>
      </c>
      <c r="Q1451" t="s">
        <v>39</v>
      </c>
      <c r="R1451" t="s">
        <v>5801</v>
      </c>
      <c r="S1451" s="33">
        <v>0</v>
      </c>
      <c r="T1451" s="13">
        <v>261.74</v>
      </c>
      <c r="U1451" s="13">
        <v>65.435000000000002</v>
      </c>
      <c r="V1451" s="21">
        <f>Table10[[#This Row],[Profit]]/Table10[[#This Row],[Sales]]</f>
        <v>0.25</v>
      </c>
    </row>
    <row r="1452" spans="1:22" x14ac:dyDescent="0.2">
      <c r="A1452">
        <v>1451</v>
      </c>
      <c r="B1452" t="s">
        <v>2615</v>
      </c>
      <c r="C1452" s="1">
        <v>42622</v>
      </c>
      <c r="D1452" s="22">
        <f>MONTH(Table10[[#This Row],[Order Date]])</f>
        <v>9</v>
      </c>
      <c r="E1452" t="s">
        <v>2147</v>
      </c>
      <c r="F1452" t="s">
        <v>2148</v>
      </c>
      <c r="G1452" s="23" t="s">
        <v>41</v>
      </c>
      <c r="H1452" s="23" t="s">
        <v>68</v>
      </c>
      <c r="I1452" t="s">
        <v>480</v>
      </c>
      <c r="J1452" t="s">
        <v>22</v>
      </c>
      <c r="K1452" s="22">
        <v>2</v>
      </c>
      <c r="L1452" s="1">
        <v>42624</v>
      </c>
      <c r="M1452" s="22">
        <f>Table10[[#This Row],[Ship Date]]-Table10[[#This Row],[Order Date]]</f>
        <v>2</v>
      </c>
      <c r="N1452" t="s">
        <v>169</v>
      </c>
      <c r="O1452" t="s">
        <v>23</v>
      </c>
      <c r="P1452" t="s">
        <v>238</v>
      </c>
      <c r="Q1452" t="s">
        <v>133</v>
      </c>
      <c r="R1452" t="s">
        <v>237</v>
      </c>
      <c r="S1452" s="33">
        <v>0.2</v>
      </c>
      <c r="T1452" s="13">
        <v>14.624000000000001</v>
      </c>
      <c r="U1452" s="13">
        <v>5.484</v>
      </c>
      <c r="V1452" s="21">
        <f>Table10[[#This Row],[Profit]]/Table10[[#This Row],[Sales]]</f>
        <v>0.375</v>
      </c>
    </row>
    <row r="1453" spans="1:22" x14ac:dyDescent="0.2">
      <c r="A1453">
        <v>1452</v>
      </c>
      <c r="B1453" t="s">
        <v>5517</v>
      </c>
      <c r="C1453" s="1">
        <v>42622</v>
      </c>
      <c r="D1453" s="22">
        <f>MONTH(Table10[[#This Row],[Order Date]])</f>
        <v>9</v>
      </c>
      <c r="E1453" t="s">
        <v>290</v>
      </c>
      <c r="F1453" t="s">
        <v>5518</v>
      </c>
      <c r="G1453" s="23" t="s">
        <v>41</v>
      </c>
      <c r="H1453" s="23" t="s">
        <v>68</v>
      </c>
      <c r="I1453" t="s">
        <v>1827</v>
      </c>
      <c r="J1453" t="s">
        <v>22</v>
      </c>
      <c r="K1453" s="22">
        <v>4</v>
      </c>
      <c r="L1453" s="1">
        <v>42626</v>
      </c>
      <c r="M1453" s="22">
        <f>Table10[[#This Row],[Ship Date]]-Table10[[#This Row],[Order Date]]</f>
        <v>4</v>
      </c>
      <c r="N1453" t="s">
        <v>20</v>
      </c>
      <c r="O1453" t="s">
        <v>23</v>
      </c>
      <c r="P1453" t="s">
        <v>38</v>
      </c>
      <c r="Q1453" t="s">
        <v>39</v>
      </c>
      <c r="R1453" t="s">
        <v>4457</v>
      </c>
      <c r="S1453" s="33">
        <v>0.2</v>
      </c>
      <c r="T1453" s="13">
        <v>55.36</v>
      </c>
      <c r="U1453" s="13">
        <v>18.684000000000001</v>
      </c>
      <c r="V1453" s="21">
        <f>Table10[[#This Row],[Profit]]/Table10[[#This Row],[Sales]]</f>
        <v>0.33750000000000002</v>
      </c>
    </row>
    <row r="1454" spans="1:22" x14ac:dyDescent="0.2">
      <c r="A1454">
        <v>1453</v>
      </c>
      <c r="B1454" t="s">
        <v>6040</v>
      </c>
      <c r="C1454" s="1">
        <v>42622</v>
      </c>
      <c r="D1454" s="22">
        <f>MONTH(Table10[[#This Row],[Order Date]])</f>
        <v>9</v>
      </c>
      <c r="E1454" t="s">
        <v>5371</v>
      </c>
      <c r="F1454" t="s">
        <v>5372</v>
      </c>
      <c r="G1454" s="23" t="s">
        <v>28</v>
      </c>
      <c r="H1454" s="23" t="s">
        <v>58</v>
      </c>
      <c r="I1454" t="s">
        <v>4982</v>
      </c>
      <c r="J1454" t="s">
        <v>92</v>
      </c>
      <c r="K1454" s="22">
        <v>4</v>
      </c>
      <c r="L1454" s="1">
        <v>42627</v>
      </c>
      <c r="M1454" s="22">
        <f>Table10[[#This Row],[Ship Date]]-Table10[[#This Row],[Order Date]]</f>
        <v>5</v>
      </c>
      <c r="N1454" t="s">
        <v>20</v>
      </c>
      <c r="O1454" t="s">
        <v>23</v>
      </c>
      <c r="P1454" t="s">
        <v>94</v>
      </c>
      <c r="Q1454" t="s">
        <v>95</v>
      </c>
      <c r="R1454" t="s">
        <v>718</v>
      </c>
      <c r="S1454" s="33">
        <v>0.6</v>
      </c>
      <c r="T1454" s="13">
        <v>15.007999999999999</v>
      </c>
      <c r="U1454" s="13">
        <v>-12.006399999999999</v>
      </c>
      <c r="V1454" s="21">
        <f>Table10[[#This Row],[Profit]]/Table10[[#This Row],[Sales]]</f>
        <v>-0.8</v>
      </c>
    </row>
    <row r="1455" spans="1:22" x14ac:dyDescent="0.2">
      <c r="A1455">
        <v>1454</v>
      </c>
      <c r="B1455" t="s">
        <v>3748</v>
      </c>
      <c r="C1455" s="1">
        <v>42623</v>
      </c>
      <c r="D1455" s="22">
        <f>MONTH(Table10[[#This Row],[Order Date]])</f>
        <v>9</v>
      </c>
      <c r="E1455" t="s">
        <v>3749</v>
      </c>
      <c r="F1455" t="s">
        <v>3750</v>
      </c>
      <c r="G1455" s="23" t="s">
        <v>41</v>
      </c>
      <c r="H1455" s="23" t="s">
        <v>53</v>
      </c>
      <c r="I1455" t="s">
        <v>378</v>
      </c>
      <c r="J1455" t="s">
        <v>92</v>
      </c>
      <c r="K1455" s="22">
        <v>2</v>
      </c>
      <c r="L1455" s="1">
        <v>42627</v>
      </c>
      <c r="M1455" s="22">
        <f>Table10[[#This Row],[Ship Date]]-Table10[[#This Row],[Order Date]]</f>
        <v>4</v>
      </c>
      <c r="N1455" t="s">
        <v>20</v>
      </c>
      <c r="O1455" t="s">
        <v>23</v>
      </c>
      <c r="P1455" t="s">
        <v>238</v>
      </c>
      <c r="Q1455" t="s">
        <v>133</v>
      </c>
      <c r="R1455" t="s">
        <v>237</v>
      </c>
      <c r="S1455" s="33">
        <v>0</v>
      </c>
      <c r="T1455" s="13">
        <v>59.48</v>
      </c>
      <c r="U1455" s="13">
        <v>8.9220000000000006</v>
      </c>
      <c r="V1455" s="21">
        <f>Table10[[#This Row],[Profit]]/Table10[[#This Row],[Sales]]</f>
        <v>0.15000000000000002</v>
      </c>
    </row>
    <row r="1456" spans="1:22" x14ac:dyDescent="0.2">
      <c r="A1456">
        <v>1455</v>
      </c>
      <c r="B1456" t="s">
        <v>3748</v>
      </c>
      <c r="C1456" s="1">
        <v>42623</v>
      </c>
      <c r="D1456" s="22">
        <f>MONTH(Table10[[#This Row],[Order Date]])</f>
        <v>9</v>
      </c>
      <c r="E1456" t="s">
        <v>3751</v>
      </c>
      <c r="F1456" t="s">
        <v>3752</v>
      </c>
      <c r="G1456" s="23" t="s">
        <v>41</v>
      </c>
      <c r="H1456" s="23" t="s">
        <v>82</v>
      </c>
      <c r="I1456" t="s">
        <v>378</v>
      </c>
      <c r="J1456" t="s">
        <v>92</v>
      </c>
      <c r="K1456" s="22">
        <v>1</v>
      </c>
      <c r="L1456" s="1">
        <v>42627</v>
      </c>
      <c r="M1456" s="22">
        <f>Table10[[#This Row],[Ship Date]]-Table10[[#This Row],[Order Date]]</f>
        <v>4</v>
      </c>
      <c r="N1456" t="s">
        <v>20</v>
      </c>
      <c r="O1456" t="s">
        <v>23</v>
      </c>
      <c r="P1456" t="s">
        <v>238</v>
      </c>
      <c r="Q1456" t="s">
        <v>133</v>
      </c>
      <c r="R1456" t="s">
        <v>237</v>
      </c>
      <c r="S1456" s="33">
        <v>0</v>
      </c>
      <c r="T1456" s="13">
        <v>6.69</v>
      </c>
      <c r="U1456" s="13">
        <v>3.0773999999999999</v>
      </c>
      <c r="V1456" s="21">
        <f>Table10[[#This Row],[Profit]]/Table10[[#This Row],[Sales]]</f>
        <v>0.45999999999999996</v>
      </c>
    </row>
    <row r="1457" spans="1:22" x14ac:dyDescent="0.2">
      <c r="A1457">
        <v>1456</v>
      </c>
      <c r="B1457" t="s">
        <v>4568</v>
      </c>
      <c r="C1457" s="1">
        <v>42623</v>
      </c>
      <c r="D1457" s="22">
        <f>MONTH(Table10[[#This Row],[Order Date]])</f>
        <v>9</v>
      </c>
      <c r="E1457" t="s">
        <v>4569</v>
      </c>
      <c r="F1457" t="s">
        <v>4570</v>
      </c>
      <c r="G1457" s="23" t="s">
        <v>41</v>
      </c>
      <c r="H1457" s="23" t="s">
        <v>61</v>
      </c>
      <c r="I1457" t="s">
        <v>2504</v>
      </c>
      <c r="J1457" t="s">
        <v>92</v>
      </c>
      <c r="K1457" s="22">
        <v>3</v>
      </c>
      <c r="L1457" s="1">
        <v>42625</v>
      </c>
      <c r="M1457" s="22">
        <f>Table10[[#This Row],[Ship Date]]-Table10[[#This Row],[Order Date]]</f>
        <v>2</v>
      </c>
      <c r="N1457" t="s">
        <v>20</v>
      </c>
      <c r="O1457" t="s">
        <v>23</v>
      </c>
      <c r="P1457" t="s">
        <v>299</v>
      </c>
      <c r="Q1457" t="s">
        <v>26</v>
      </c>
      <c r="R1457" t="s">
        <v>456</v>
      </c>
      <c r="S1457" s="33">
        <v>0.2</v>
      </c>
      <c r="T1457" s="13">
        <v>67.56</v>
      </c>
      <c r="U1457" s="13">
        <v>8.4450000000000003</v>
      </c>
      <c r="V1457" s="21">
        <f>Table10[[#This Row],[Profit]]/Table10[[#This Row],[Sales]]</f>
        <v>0.125</v>
      </c>
    </row>
    <row r="1458" spans="1:22" x14ac:dyDescent="0.2">
      <c r="A1458">
        <v>1457</v>
      </c>
      <c r="B1458" t="s">
        <v>4955</v>
      </c>
      <c r="C1458" s="1">
        <v>42623</v>
      </c>
      <c r="D1458" s="22">
        <f>MONTH(Table10[[#This Row],[Order Date]])</f>
        <v>9</v>
      </c>
      <c r="E1458" t="s">
        <v>2883</v>
      </c>
      <c r="F1458" t="s">
        <v>2884</v>
      </c>
      <c r="G1458" s="23" t="s">
        <v>28</v>
      </c>
      <c r="H1458" s="23" t="s">
        <v>50</v>
      </c>
      <c r="I1458" t="s">
        <v>3047</v>
      </c>
      <c r="J1458" t="s">
        <v>22</v>
      </c>
      <c r="K1458" s="22">
        <v>5</v>
      </c>
      <c r="L1458" s="1">
        <v>42627</v>
      </c>
      <c r="M1458" s="22">
        <f>Table10[[#This Row],[Ship Date]]-Table10[[#This Row],[Order Date]]</f>
        <v>4</v>
      </c>
      <c r="N1458" t="s">
        <v>20</v>
      </c>
      <c r="O1458" t="s">
        <v>23</v>
      </c>
      <c r="P1458" t="s">
        <v>94</v>
      </c>
      <c r="Q1458" t="s">
        <v>95</v>
      </c>
      <c r="R1458" t="s">
        <v>165</v>
      </c>
      <c r="S1458" s="33">
        <v>0.3</v>
      </c>
      <c r="T1458" s="13">
        <v>300.93</v>
      </c>
      <c r="U1458" s="13">
        <v>-34.392000000000003</v>
      </c>
      <c r="V1458" s="21">
        <f>Table10[[#This Row],[Profit]]/Table10[[#This Row],[Sales]]</f>
        <v>-0.1142857142857143</v>
      </c>
    </row>
    <row r="1459" spans="1:22" x14ac:dyDescent="0.2">
      <c r="A1459">
        <v>1458</v>
      </c>
      <c r="B1459" t="s">
        <v>4955</v>
      </c>
      <c r="C1459" s="1">
        <v>42623</v>
      </c>
      <c r="D1459" s="22">
        <f>MONTH(Table10[[#This Row],[Order Date]])</f>
        <v>9</v>
      </c>
      <c r="E1459" t="s">
        <v>4064</v>
      </c>
      <c r="F1459" t="s">
        <v>4065</v>
      </c>
      <c r="G1459" s="23" t="s">
        <v>64</v>
      </c>
      <c r="H1459" s="23" t="s">
        <v>65</v>
      </c>
      <c r="I1459" t="s">
        <v>3047</v>
      </c>
      <c r="J1459" t="s">
        <v>22</v>
      </c>
      <c r="K1459" s="22">
        <v>5</v>
      </c>
      <c r="L1459" s="1">
        <v>42627</v>
      </c>
      <c r="M1459" s="22">
        <f>Table10[[#This Row],[Ship Date]]-Table10[[#This Row],[Order Date]]</f>
        <v>4</v>
      </c>
      <c r="N1459" t="s">
        <v>20</v>
      </c>
      <c r="O1459" t="s">
        <v>23</v>
      </c>
      <c r="P1459" t="s">
        <v>94</v>
      </c>
      <c r="Q1459" t="s">
        <v>95</v>
      </c>
      <c r="R1459" t="s">
        <v>165</v>
      </c>
      <c r="S1459" s="33">
        <v>0.2</v>
      </c>
      <c r="T1459" s="13">
        <v>719.96</v>
      </c>
      <c r="U1459" s="13">
        <v>53.997</v>
      </c>
      <c r="V1459" s="21">
        <f>Table10[[#This Row],[Profit]]/Table10[[#This Row],[Sales]]</f>
        <v>7.4999999999999997E-2</v>
      </c>
    </row>
    <row r="1460" spans="1:22" x14ac:dyDescent="0.2">
      <c r="A1460">
        <v>1459</v>
      </c>
      <c r="B1460" t="s">
        <v>8271</v>
      </c>
      <c r="C1460" s="1">
        <v>42623</v>
      </c>
      <c r="D1460" s="22">
        <f>MONTH(Table10[[#This Row],[Order Date]])</f>
        <v>9</v>
      </c>
      <c r="E1460" t="s">
        <v>3147</v>
      </c>
      <c r="F1460" t="s">
        <v>3148</v>
      </c>
      <c r="G1460" s="23" t="s">
        <v>64</v>
      </c>
      <c r="H1460" s="23" t="s">
        <v>65</v>
      </c>
      <c r="I1460" t="s">
        <v>2049</v>
      </c>
      <c r="J1460" t="s">
        <v>36</v>
      </c>
      <c r="K1460" s="22">
        <v>7</v>
      </c>
      <c r="L1460" s="1">
        <v>42628</v>
      </c>
      <c r="M1460" s="22">
        <f>Table10[[#This Row],[Ship Date]]-Table10[[#This Row],[Order Date]]</f>
        <v>5</v>
      </c>
      <c r="N1460" t="s">
        <v>45</v>
      </c>
      <c r="O1460" t="s">
        <v>23</v>
      </c>
      <c r="P1460" t="s">
        <v>48</v>
      </c>
      <c r="Q1460" t="s">
        <v>26</v>
      </c>
      <c r="R1460" t="s">
        <v>47</v>
      </c>
      <c r="S1460" s="33">
        <v>0.2</v>
      </c>
      <c r="T1460" s="13">
        <v>519.67999999999995</v>
      </c>
      <c r="U1460" s="13">
        <v>58.463999999999999</v>
      </c>
      <c r="V1460" s="21">
        <f>Table10[[#This Row],[Profit]]/Table10[[#This Row],[Sales]]</f>
        <v>0.1125</v>
      </c>
    </row>
    <row r="1461" spans="1:22" x14ac:dyDescent="0.2">
      <c r="A1461">
        <v>1460</v>
      </c>
      <c r="B1461" t="s">
        <v>9358</v>
      </c>
      <c r="C1461" s="1">
        <v>42623</v>
      </c>
      <c r="D1461" s="22">
        <f>MONTH(Table10[[#This Row],[Order Date]])</f>
        <v>9</v>
      </c>
      <c r="E1461" t="s">
        <v>6645</v>
      </c>
      <c r="F1461" t="s">
        <v>6646</v>
      </c>
      <c r="G1461" s="23" t="s">
        <v>41</v>
      </c>
      <c r="H1461" s="23" t="s">
        <v>42</v>
      </c>
      <c r="I1461" t="s">
        <v>3136</v>
      </c>
      <c r="J1461" t="s">
        <v>22</v>
      </c>
      <c r="K1461" s="22">
        <v>2</v>
      </c>
      <c r="L1461" s="1">
        <v>42627</v>
      </c>
      <c r="M1461" s="22">
        <f>Table10[[#This Row],[Ship Date]]-Table10[[#This Row],[Order Date]]</f>
        <v>4</v>
      </c>
      <c r="N1461" t="s">
        <v>45</v>
      </c>
      <c r="O1461" t="s">
        <v>23</v>
      </c>
      <c r="P1461" t="s">
        <v>87</v>
      </c>
      <c r="Q1461" t="s">
        <v>39</v>
      </c>
      <c r="R1461" t="s">
        <v>2230</v>
      </c>
      <c r="S1461" s="33">
        <v>0</v>
      </c>
      <c r="T1461" s="13">
        <v>7.38</v>
      </c>
      <c r="U1461" s="13">
        <v>3.4685999999999999</v>
      </c>
      <c r="V1461" s="21">
        <f>Table10[[#This Row],[Profit]]/Table10[[#This Row],[Sales]]</f>
        <v>0.47</v>
      </c>
    </row>
    <row r="1462" spans="1:22" x14ac:dyDescent="0.2">
      <c r="A1462">
        <v>1461</v>
      </c>
      <c r="B1462" t="s">
        <v>9358</v>
      </c>
      <c r="C1462" s="1">
        <v>42623</v>
      </c>
      <c r="D1462" s="22">
        <f>MONTH(Table10[[#This Row],[Order Date]])</f>
        <v>9</v>
      </c>
      <c r="E1462" t="s">
        <v>3421</v>
      </c>
      <c r="F1462" t="s">
        <v>1073</v>
      </c>
      <c r="G1462" s="23" t="s">
        <v>41</v>
      </c>
      <c r="H1462" s="23" t="s">
        <v>68</v>
      </c>
      <c r="I1462" t="s">
        <v>3136</v>
      </c>
      <c r="J1462" t="s">
        <v>22</v>
      </c>
      <c r="K1462" s="22">
        <v>3</v>
      </c>
      <c r="L1462" s="1">
        <v>42627</v>
      </c>
      <c r="M1462" s="22">
        <f>Table10[[#This Row],[Ship Date]]-Table10[[#This Row],[Order Date]]</f>
        <v>4</v>
      </c>
      <c r="N1462" t="s">
        <v>45</v>
      </c>
      <c r="O1462" t="s">
        <v>23</v>
      </c>
      <c r="P1462" t="s">
        <v>87</v>
      </c>
      <c r="Q1462" t="s">
        <v>39</v>
      </c>
      <c r="R1462" t="s">
        <v>2230</v>
      </c>
      <c r="S1462" s="33">
        <v>0.2</v>
      </c>
      <c r="T1462" s="13">
        <v>14.256</v>
      </c>
      <c r="U1462" s="13">
        <v>4.4550000000000001</v>
      </c>
      <c r="V1462" s="21">
        <f>Table10[[#This Row],[Profit]]/Table10[[#This Row],[Sales]]</f>
        <v>0.3125</v>
      </c>
    </row>
    <row r="1463" spans="1:22" x14ac:dyDescent="0.2">
      <c r="A1463">
        <v>1462</v>
      </c>
      <c r="B1463" t="s">
        <v>9358</v>
      </c>
      <c r="C1463" s="1">
        <v>42623</v>
      </c>
      <c r="D1463" s="22">
        <f>MONTH(Table10[[#This Row],[Order Date]])</f>
        <v>9</v>
      </c>
      <c r="E1463" t="s">
        <v>2885</v>
      </c>
      <c r="F1463" t="s">
        <v>2886</v>
      </c>
      <c r="G1463" s="23" t="s">
        <v>41</v>
      </c>
      <c r="H1463" s="23" t="s">
        <v>82</v>
      </c>
      <c r="I1463" t="s">
        <v>3136</v>
      </c>
      <c r="J1463" t="s">
        <v>22</v>
      </c>
      <c r="K1463" s="22">
        <v>2</v>
      </c>
      <c r="L1463" s="1">
        <v>42627</v>
      </c>
      <c r="M1463" s="22">
        <f>Table10[[#This Row],[Ship Date]]-Table10[[#This Row],[Order Date]]</f>
        <v>4</v>
      </c>
      <c r="N1463" t="s">
        <v>45</v>
      </c>
      <c r="O1463" t="s">
        <v>23</v>
      </c>
      <c r="P1463" t="s">
        <v>87</v>
      </c>
      <c r="Q1463" t="s">
        <v>39</v>
      </c>
      <c r="R1463" t="s">
        <v>2230</v>
      </c>
      <c r="S1463" s="33">
        <v>0</v>
      </c>
      <c r="T1463" s="13">
        <v>81.98</v>
      </c>
      <c r="U1463" s="13">
        <v>40.170200000000001</v>
      </c>
      <c r="V1463" s="21">
        <f>Table10[[#This Row],[Profit]]/Table10[[#This Row],[Sales]]</f>
        <v>0.49</v>
      </c>
    </row>
    <row r="1464" spans="1:22" x14ac:dyDescent="0.2">
      <c r="A1464">
        <v>1463</v>
      </c>
      <c r="B1464" t="s">
        <v>9358</v>
      </c>
      <c r="C1464" s="1">
        <v>42623</v>
      </c>
      <c r="D1464" s="22">
        <f>MONTH(Table10[[#This Row],[Order Date]])</f>
        <v>9</v>
      </c>
      <c r="E1464" t="s">
        <v>2507</v>
      </c>
      <c r="F1464" t="s">
        <v>2508</v>
      </c>
      <c r="G1464" s="23" t="s">
        <v>41</v>
      </c>
      <c r="H1464" s="23" t="s">
        <v>68</v>
      </c>
      <c r="I1464" t="s">
        <v>3136</v>
      </c>
      <c r="J1464" t="s">
        <v>22</v>
      </c>
      <c r="K1464" s="22">
        <v>3</v>
      </c>
      <c r="L1464" s="1">
        <v>42627</v>
      </c>
      <c r="M1464" s="22">
        <f>Table10[[#This Row],[Ship Date]]-Table10[[#This Row],[Order Date]]</f>
        <v>4</v>
      </c>
      <c r="N1464" t="s">
        <v>45</v>
      </c>
      <c r="O1464" t="s">
        <v>23</v>
      </c>
      <c r="P1464" t="s">
        <v>87</v>
      </c>
      <c r="Q1464" t="s">
        <v>39</v>
      </c>
      <c r="R1464" t="s">
        <v>2230</v>
      </c>
      <c r="S1464" s="33">
        <v>0.2</v>
      </c>
      <c r="T1464" s="13">
        <v>39.624000000000002</v>
      </c>
      <c r="U1464" s="13">
        <v>13.868399999999999</v>
      </c>
      <c r="V1464" s="21">
        <f>Table10[[#This Row],[Profit]]/Table10[[#This Row],[Sales]]</f>
        <v>0.35</v>
      </c>
    </row>
    <row r="1465" spans="1:22" x14ac:dyDescent="0.2">
      <c r="A1465">
        <v>1464</v>
      </c>
      <c r="B1465" t="s">
        <v>9635</v>
      </c>
      <c r="C1465" s="1">
        <v>42623</v>
      </c>
      <c r="D1465" s="22">
        <f>MONTH(Table10[[#This Row],[Order Date]])</f>
        <v>9</v>
      </c>
      <c r="E1465" t="s">
        <v>6271</v>
      </c>
      <c r="F1465" t="s">
        <v>6272</v>
      </c>
      <c r="G1465" s="23" t="s">
        <v>41</v>
      </c>
      <c r="H1465" s="23" t="s">
        <v>68</v>
      </c>
      <c r="I1465" t="s">
        <v>1733</v>
      </c>
      <c r="J1465" t="s">
        <v>22</v>
      </c>
      <c r="K1465" s="22">
        <v>2</v>
      </c>
      <c r="L1465" s="1">
        <v>42625</v>
      </c>
      <c r="M1465" s="22">
        <f>Table10[[#This Row],[Ship Date]]-Table10[[#This Row],[Order Date]]</f>
        <v>2</v>
      </c>
      <c r="N1465" t="s">
        <v>20</v>
      </c>
      <c r="O1465" t="s">
        <v>23</v>
      </c>
      <c r="P1465" t="s">
        <v>38</v>
      </c>
      <c r="Q1465" t="s">
        <v>39</v>
      </c>
      <c r="R1465" t="s">
        <v>37</v>
      </c>
      <c r="S1465" s="33">
        <v>0.2</v>
      </c>
      <c r="T1465" s="13">
        <v>276.78399999999999</v>
      </c>
      <c r="U1465" s="13">
        <v>89.954800000000006</v>
      </c>
      <c r="V1465" s="21">
        <f>Table10[[#This Row],[Profit]]/Table10[[#This Row],[Sales]]</f>
        <v>0.32500000000000001</v>
      </c>
    </row>
    <row r="1466" spans="1:22" x14ac:dyDescent="0.2">
      <c r="A1466">
        <v>1465</v>
      </c>
      <c r="B1466" t="s">
        <v>834</v>
      </c>
      <c r="C1466" s="1">
        <v>42624</v>
      </c>
      <c r="D1466" s="22">
        <f>MONTH(Table10[[#This Row],[Order Date]])</f>
        <v>9</v>
      </c>
      <c r="E1466" t="s">
        <v>837</v>
      </c>
      <c r="F1466" t="s">
        <v>838</v>
      </c>
      <c r="G1466" s="23" t="s">
        <v>41</v>
      </c>
      <c r="H1466" s="23" t="s">
        <v>82</v>
      </c>
      <c r="I1466" t="s">
        <v>835</v>
      </c>
      <c r="J1466" t="s">
        <v>22</v>
      </c>
      <c r="K1466" s="22">
        <v>1</v>
      </c>
      <c r="L1466" s="1">
        <v>42630</v>
      </c>
      <c r="M1466" s="22">
        <f>Table10[[#This Row],[Ship Date]]-Table10[[#This Row],[Order Date]]</f>
        <v>6</v>
      </c>
      <c r="N1466" t="s">
        <v>45</v>
      </c>
      <c r="O1466" t="s">
        <v>23</v>
      </c>
      <c r="P1466" t="s">
        <v>38</v>
      </c>
      <c r="Q1466" t="s">
        <v>39</v>
      </c>
      <c r="R1466" t="s">
        <v>836</v>
      </c>
      <c r="S1466" s="33">
        <v>0</v>
      </c>
      <c r="T1466" s="13">
        <v>7.61</v>
      </c>
      <c r="U1466" s="13">
        <v>3.5767000000000002</v>
      </c>
      <c r="V1466" s="21">
        <f>Table10[[#This Row],[Profit]]/Table10[[#This Row],[Sales]]</f>
        <v>0.47000000000000003</v>
      </c>
    </row>
    <row r="1467" spans="1:22" x14ac:dyDescent="0.2">
      <c r="A1467">
        <v>1466</v>
      </c>
      <c r="B1467" t="s">
        <v>834</v>
      </c>
      <c r="C1467" s="1">
        <v>42624</v>
      </c>
      <c r="D1467" s="22">
        <f>MONTH(Table10[[#This Row],[Order Date]])</f>
        <v>9</v>
      </c>
      <c r="E1467" t="s">
        <v>800</v>
      </c>
      <c r="F1467" t="s">
        <v>801</v>
      </c>
      <c r="G1467" s="23" t="s">
        <v>64</v>
      </c>
      <c r="H1467" s="23" t="s">
        <v>144</v>
      </c>
      <c r="I1467" t="s">
        <v>835</v>
      </c>
      <c r="J1467" t="s">
        <v>22</v>
      </c>
      <c r="K1467" s="22">
        <v>13</v>
      </c>
      <c r="L1467" s="1">
        <v>42630</v>
      </c>
      <c r="M1467" s="22">
        <f>Table10[[#This Row],[Ship Date]]-Table10[[#This Row],[Order Date]]</f>
        <v>6</v>
      </c>
      <c r="N1467" t="s">
        <v>45</v>
      </c>
      <c r="O1467" t="s">
        <v>23</v>
      </c>
      <c r="P1467" t="s">
        <v>38</v>
      </c>
      <c r="Q1467" t="s">
        <v>39</v>
      </c>
      <c r="R1467" t="s">
        <v>836</v>
      </c>
      <c r="S1467" s="33">
        <v>0</v>
      </c>
      <c r="T1467" s="13">
        <v>3347.37</v>
      </c>
      <c r="U1467" s="13">
        <v>636.00030000000004</v>
      </c>
      <c r="V1467" s="21">
        <f>Table10[[#This Row],[Profit]]/Table10[[#This Row],[Sales]]</f>
        <v>0.19000000000000003</v>
      </c>
    </row>
    <row r="1468" spans="1:22" x14ac:dyDescent="0.2">
      <c r="A1468">
        <v>1467</v>
      </c>
      <c r="B1468" t="s">
        <v>1788</v>
      </c>
      <c r="C1468" s="1">
        <v>42624</v>
      </c>
      <c r="D1468" s="22">
        <f>MONTH(Table10[[#This Row],[Order Date]])</f>
        <v>9</v>
      </c>
      <c r="E1468" t="s">
        <v>1790</v>
      </c>
      <c r="F1468" t="s">
        <v>1791</v>
      </c>
      <c r="G1468" s="23" t="s">
        <v>41</v>
      </c>
      <c r="H1468" s="23" t="s">
        <v>82</v>
      </c>
      <c r="I1468" t="s">
        <v>1789</v>
      </c>
      <c r="J1468" t="s">
        <v>36</v>
      </c>
      <c r="K1468" s="22">
        <v>2</v>
      </c>
      <c r="L1468" s="1">
        <v>42626</v>
      </c>
      <c r="M1468" s="22">
        <f>Table10[[#This Row],[Ship Date]]-Table10[[#This Row],[Order Date]]</f>
        <v>2</v>
      </c>
      <c r="N1468" t="s">
        <v>20</v>
      </c>
      <c r="O1468" t="s">
        <v>23</v>
      </c>
      <c r="P1468" t="s">
        <v>132</v>
      </c>
      <c r="Q1468" t="s">
        <v>133</v>
      </c>
      <c r="R1468" t="s">
        <v>131</v>
      </c>
      <c r="S1468" s="33">
        <v>0.2</v>
      </c>
      <c r="T1468" s="13">
        <v>8.4480000000000004</v>
      </c>
      <c r="U1468" s="13">
        <v>2.64</v>
      </c>
      <c r="V1468" s="21">
        <f>Table10[[#This Row],[Profit]]/Table10[[#This Row],[Sales]]</f>
        <v>0.3125</v>
      </c>
    </row>
    <row r="1469" spans="1:22" x14ac:dyDescent="0.2">
      <c r="A1469">
        <v>1468</v>
      </c>
      <c r="B1469" t="s">
        <v>1788</v>
      </c>
      <c r="C1469" s="1">
        <v>42624</v>
      </c>
      <c r="D1469" s="22">
        <f>MONTH(Table10[[#This Row],[Order Date]])</f>
        <v>9</v>
      </c>
      <c r="E1469" t="s">
        <v>1792</v>
      </c>
      <c r="F1469" t="s">
        <v>1793</v>
      </c>
      <c r="G1469" s="23" t="s">
        <v>64</v>
      </c>
      <c r="H1469" s="23" t="s">
        <v>65</v>
      </c>
      <c r="I1469" t="s">
        <v>1789</v>
      </c>
      <c r="J1469" t="s">
        <v>36</v>
      </c>
      <c r="K1469" s="22">
        <v>9</v>
      </c>
      <c r="L1469" s="1">
        <v>42626</v>
      </c>
      <c r="M1469" s="22">
        <f>Table10[[#This Row],[Ship Date]]-Table10[[#This Row],[Order Date]]</f>
        <v>2</v>
      </c>
      <c r="N1469" t="s">
        <v>20</v>
      </c>
      <c r="O1469" t="s">
        <v>23</v>
      </c>
      <c r="P1469" t="s">
        <v>132</v>
      </c>
      <c r="Q1469" t="s">
        <v>133</v>
      </c>
      <c r="R1469" t="s">
        <v>131</v>
      </c>
      <c r="S1469" s="33">
        <v>0.4</v>
      </c>
      <c r="T1469" s="13">
        <v>728.94600000000003</v>
      </c>
      <c r="U1469" s="13">
        <v>-157.9383</v>
      </c>
      <c r="V1469" s="21">
        <f>Table10[[#This Row],[Profit]]/Table10[[#This Row],[Sales]]</f>
        <v>-0.21666666666666665</v>
      </c>
    </row>
    <row r="1470" spans="1:22" x14ac:dyDescent="0.2">
      <c r="A1470">
        <v>1469</v>
      </c>
      <c r="B1470" t="s">
        <v>6062</v>
      </c>
      <c r="C1470" s="1">
        <v>42624</v>
      </c>
      <c r="D1470" s="22">
        <f>MONTH(Table10[[#This Row],[Order Date]])</f>
        <v>9</v>
      </c>
      <c r="E1470" t="s">
        <v>1526</v>
      </c>
      <c r="F1470" t="s">
        <v>1527</v>
      </c>
      <c r="G1470" s="23" t="s">
        <v>41</v>
      </c>
      <c r="H1470" s="23" t="s">
        <v>68</v>
      </c>
      <c r="I1470" t="s">
        <v>943</v>
      </c>
      <c r="J1470" t="s">
        <v>92</v>
      </c>
      <c r="K1470" s="22">
        <v>3</v>
      </c>
      <c r="L1470" s="1">
        <v>42630</v>
      </c>
      <c r="M1470" s="22">
        <f>Table10[[#This Row],[Ship Date]]-Table10[[#This Row],[Order Date]]</f>
        <v>6</v>
      </c>
      <c r="N1470" t="s">
        <v>45</v>
      </c>
      <c r="O1470" t="s">
        <v>23</v>
      </c>
      <c r="P1470" t="s">
        <v>441</v>
      </c>
      <c r="Q1470" t="s">
        <v>133</v>
      </c>
      <c r="R1470" t="s">
        <v>2496</v>
      </c>
      <c r="S1470" s="33">
        <v>0.7</v>
      </c>
      <c r="T1470" s="13">
        <v>22.428000000000001</v>
      </c>
      <c r="U1470" s="13">
        <v>-17.942399999999999</v>
      </c>
      <c r="V1470" s="21">
        <f>Table10[[#This Row],[Profit]]/Table10[[#This Row],[Sales]]</f>
        <v>-0.79999999999999993</v>
      </c>
    </row>
    <row r="1471" spans="1:22" x14ac:dyDescent="0.2">
      <c r="A1471">
        <v>1470</v>
      </c>
      <c r="B1471" t="s">
        <v>6062</v>
      </c>
      <c r="C1471" s="1">
        <v>42624</v>
      </c>
      <c r="D1471" s="22">
        <f>MONTH(Table10[[#This Row],[Order Date]])</f>
        <v>9</v>
      </c>
      <c r="E1471" t="s">
        <v>4224</v>
      </c>
      <c r="F1471" t="s">
        <v>2339</v>
      </c>
      <c r="G1471" s="23" t="s">
        <v>41</v>
      </c>
      <c r="H1471" s="23" t="s">
        <v>53</v>
      </c>
      <c r="I1471" t="s">
        <v>943</v>
      </c>
      <c r="J1471" t="s">
        <v>92</v>
      </c>
      <c r="K1471" s="22">
        <v>5</v>
      </c>
      <c r="L1471" s="1">
        <v>42630</v>
      </c>
      <c r="M1471" s="22">
        <f>Table10[[#This Row],[Ship Date]]-Table10[[#This Row],[Order Date]]</f>
        <v>6</v>
      </c>
      <c r="N1471" t="s">
        <v>45</v>
      </c>
      <c r="O1471" t="s">
        <v>23</v>
      </c>
      <c r="P1471" t="s">
        <v>441</v>
      </c>
      <c r="Q1471" t="s">
        <v>133</v>
      </c>
      <c r="R1471" t="s">
        <v>2496</v>
      </c>
      <c r="S1471" s="33">
        <v>0.2</v>
      </c>
      <c r="T1471" s="13">
        <v>37.520000000000003</v>
      </c>
      <c r="U1471" s="13">
        <v>3.7519999999999998</v>
      </c>
      <c r="V1471" s="21">
        <f>Table10[[#This Row],[Profit]]/Table10[[#This Row],[Sales]]</f>
        <v>9.9999999999999992E-2</v>
      </c>
    </row>
    <row r="1472" spans="1:22" x14ac:dyDescent="0.2">
      <c r="A1472">
        <v>1471</v>
      </c>
      <c r="B1472" t="s">
        <v>6919</v>
      </c>
      <c r="C1472" s="1">
        <v>42624</v>
      </c>
      <c r="D1472" s="22">
        <f>MONTH(Table10[[#This Row],[Order Date]])</f>
        <v>9</v>
      </c>
      <c r="E1472" t="s">
        <v>6920</v>
      </c>
      <c r="F1472" t="s">
        <v>6921</v>
      </c>
      <c r="G1472" s="23" t="s">
        <v>64</v>
      </c>
      <c r="H1472" s="23" t="s">
        <v>1075</v>
      </c>
      <c r="I1472" t="s">
        <v>4007</v>
      </c>
      <c r="J1472" t="s">
        <v>22</v>
      </c>
      <c r="K1472" s="22">
        <v>8</v>
      </c>
      <c r="L1472" s="1">
        <v>42629</v>
      </c>
      <c r="M1472" s="22">
        <f>Table10[[#This Row],[Ship Date]]-Table10[[#This Row],[Order Date]]</f>
        <v>5</v>
      </c>
      <c r="N1472" t="s">
        <v>45</v>
      </c>
      <c r="O1472" t="s">
        <v>23</v>
      </c>
      <c r="P1472" t="s">
        <v>285</v>
      </c>
      <c r="Q1472" t="s">
        <v>26</v>
      </c>
      <c r="R1472" t="s">
        <v>4913</v>
      </c>
      <c r="S1472" s="33">
        <v>0</v>
      </c>
      <c r="T1472" s="13">
        <v>1599.92</v>
      </c>
      <c r="U1472" s="13">
        <v>751.9624</v>
      </c>
      <c r="V1472" s="21">
        <f>Table10[[#This Row],[Profit]]/Table10[[#This Row],[Sales]]</f>
        <v>0.47</v>
      </c>
    </row>
    <row r="1473" spans="1:22" x14ac:dyDescent="0.2">
      <c r="A1473">
        <v>1472</v>
      </c>
      <c r="B1473" t="s">
        <v>6919</v>
      </c>
      <c r="C1473" s="1">
        <v>42624</v>
      </c>
      <c r="D1473" s="22">
        <f>MONTH(Table10[[#This Row],[Order Date]])</f>
        <v>9</v>
      </c>
      <c r="E1473" t="s">
        <v>5572</v>
      </c>
      <c r="F1473" t="s">
        <v>5573</v>
      </c>
      <c r="G1473" s="23" t="s">
        <v>41</v>
      </c>
      <c r="H1473" s="23" t="s">
        <v>155</v>
      </c>
      <c r="I1473" t="s">
        <v>4007</v>
      </c>
      <c r="J1473" t="s">
        <v>22</v>
      </c>
      <c r="K1473" s="22">
        <v>1</v>
      </c>
      <c r="L1473" s="1">
        <v>42629</v>
      </c>
      <c r="M1473" s="22">
        <f>Table10[[#This Row],[Ship Date]]-Table10[[#This Row],[Order Date]]</f>
        <v>5</v>
      </c>
      <c r="N1473" t="s">
        <v>45</v>
      </c>
      <c r="O1473" t="s">
        <v>23</v>
      </c>
      <c r="P1473" t="s">
        <v>285</v>
      </c>
      <c r="Q1473" t="s">
        <v>26</v>
      </c>
      <c r="R1473" t="s">
        <v>4913</v>
      </c>
      <c r="S1473" s="33">
        <v>0</v>
      </c>
      <c r="T1473" s="13">
        <v>11.09</v>
      </c>
      <c r="U1473" s="13">
        <v>5.4340999999999999</v>
      </c>
      <c r="V1473" s="21">
        <f>Table10[[#This Row],[Profit]]/Table10[[#This Row],[Sales]]</f>
        <v>0.49</v>
      </c>
    </row>
    <row r="1474" spans="1:22" x14ac:dyDescent="0.2">
      <c r="A1474">
        <v>1473</v>
      </c>
      <c r="B1474" t="s">
        <v>7327</v>
      </c>
      <c r="C1474" s="1">
        <v>42624</v>
      </c>
      <c r="D1474" s="22">
        <f>MONTH(Table10[[#This Row],[Order Date]])</f>
        <v>9</v>
      </c>
      <c r="E1474" t="s">
        <v>104</v>
      </c>
      <c r="F1474" t="s">
        <v>105</v>
      </c>
      <c r="G1474" s="23" t="s">
        <v>41</v>
      </c>
      <c r="H1474" s="23" t="s">
        <v>53</v>
      </c>
      <c r="I1474" t="s">
        <v>5654</v>
      </c>
      <c r="J1474" t="s">
        <v>22</v>
      </c>
      <c r="K1474" s="22">
        <v>3</v>
      </c>
      <c r="L1474" s="1">
        <v>42630</v>
      </c>
      <c r="M1474" s="22">
        <f>Table10[[#This Row],[Ship Date]]-Table10[[#This Row],[Order Date]]</f>
        <v>6</v>
      </c>
      <c r="N1474" t="s">
        <v>45</v>
      </c>
      <c r="O1474" t="s">
        <v>23</v>
      </c>
      <c r="P1474" t="s">
        <v>38</v>
      </c>
      <c r="Q1474" t="s">
        <v>39</v>
      </c>
      <c r="R1474" t="s">
        <v>557</v>
      </c>
      <c r="S1474" s="33">
        <v>0</v>
      </c>
      <c r="T1474" s="13">
        <v>332.94</v>
      </c>
      <c r="U1474" s="13">
        <v>6.6588000000000003</v>
      </c>
      <c r="V1474" s="21">
        <f>Table10[[#This Row],[Profit]]/Table10[[#This Row],[Sales]]</f>
        <v>0.02</v>
      </c>
    </row>
    <row r="1475" spans="1:22" x14ac:dyDescent="0.2">
      <c r="A1475">
        <v>1474</v>
      </c>
      <c r="B1475" t="s">
        <v>7327</v>
      </c>
      <c r="C1475" s="1">
        <v>42624</v>
      </c>
      <c r="D1475" s="22">
        <f>MONTH(Table10[[#This Row],[Order Date]])</f>
        <v>9</v>
      </c>
      <c r="E1475" t="s">
        <v>1526</v>
      </c>
      <c r="F1475" t="s">
        <v>1527</v>
      </c>
      <c r="G1475" s="23" t="s">
        <v>41</v>
      </c>
      <c r="H1475" s="23" t="s">
        <v>68</v>
      </c>
      <c r="I1475" t="s">
        <v>5654</v>
      </c>
      <c r="J1475" t="s">
        <v>22</v>
      </c>
      <c r="K1475" s="22">
        <v>2</v>
      </c>
      <c r="L1475" s="1">
        <v>42630</v>
      </c>
      <c r="M1475" s="22">
        <f>Table10[[#This Row],[Ship Date]]-Table10[[#This Row],[Order Date]]</f>
        <v>6</v>
      </c>
      <c r="N1475" t="s">
        <v>45</v>
      </c>
      <c r="O1475" t="s">
        <v>23</v>
      </c>
      <c r="P1475" t="s">
        <v>38</v>
      </c>
      <c r="Q1475" t="s">
        <v>39</v>
      </c>
      <c r="R1475" t="s">
        <v>557</v>
      </c>
      <c r="S1475" s="33">
        <v>0.2</v>
      </c>
      <c r="T1475" s="13">
        <v>39.872</v>
      </c>
      <c r="U1475" s="13">
        <v>12.958399999999999</v>
      </c>
      <c r="V1475" s="21">
        <f>Table10[[#This Row],[Profit]]/Table10[[#This Row],[Sales]]</f>
        <v>0.32499999999999996</v>
      </c>
    </row>
    <row r="1476" spans="1:22" x14ac:dyDescent="0.2">
      <c r="A1476">
        <v>1475</v>
      </c>
      <c r="B1476" t="s">
        <v>7455</v>
      </c>
      <c r="C1476" s="1">
        <v>42624</v>
      </c>
      <c r="D1476" s="22">
        <f>MONTH(Table10[[#This Row],[Order Date]])</f>
        <v>9</v>
      </c>
      <c r="E1476" t="s">
        <v>5797</v>
      </c>
      <c r="F1476" t="s">
        <v>5798</v>
      </c>
      <c r="G1476" s="23" t="s">
        <v>64</v>
      </c>
      <c r="H1476" s="23" t="s">
        <v>65</v>
      </c>
      <c r="I1476" t="s">
        <v>4488</v>
      </c>
      <c r="J1476" t="s">
        <v>22</v>
      </c>
      <c r="K1476" s="22">
        <v>5</v>
      </c>
      <c r="L1476" s="1">
        <v>42627</v>
      </c>
      <c r="M1476" s="22">
        <f>Table10[[#This Row],[Ship Date]]-Table10[[#This Row],[Order Date]]</f>
        <v>3</v>
      </c>
      <c r="N1476" t="s">
        <v>169</v>
      </c>
      <c r="O1476" t="s">
        <v>23</v>
      </c>
      <c r="P1476" t="s">
        <v>4001</v>
      </c>
      <c r="Q1476" t="s">
        <v>95</v>
      </c>
      <c r="R1476" t="s">
        <v>6518</v>
      </c>
      <c r="S1476" s="33">
        <v>0</v>
      </c>
      <c r="T1476" s="13">
        <v>224.75</v>
      </c>
      <c r="U1476" s="13">
        <v>62.93</v>
      </c>
      <c r="V1476" s="21">
        <f>Table10[[#This Row],[Profit]]/Table10[[#This Row],[Sales]]</f>
        <v>0.27999999999999997</v>
      </c>
    </row>
    <row r="1477" spans="1:22" x14ac:dyDescent="0.2">
      <c r="A1477">
        <v>1476</v>
      </c>
      <c r="B1477" t="s">
        <v>7911</v>
      </c>
      <c r="C1477" s="1">
        <v>42624</v>
      </c>
      <c r="D1477" s="22">
        <f>MONTH(Table10[[#This Row],[Order Date]])</f>
        <v>9</v>
      </c>
      <c r="E1477" t="s">
        <v>6024</v>
      </c>
      <c r="F1477" t="s">
        <v>6025</v>
      </c>
      <c r="G1477" s="23" t="s">
        <v>41</v>
      </c>
      <c r="H1477" s="23" t="s">
        <v>42</v>
      </c>
      <c r="I1477" t="s">
        <v>4166</v>
      </c>
      <c r="J1477" t="s">
        <v>22</v>
      </c>
      <c r="K1477" s="22">
        <v>2</v>
      </c>
      <c r="L1477" s="1">
        <v>42629</v>
      </c>
      <c r="M1477" s="22">
        <f>Table10[[#This Row],[Ship Date]]-Table10[[#This Row],[Order Date]]</f>
        <v>5</v>
      </c>
      <c r="N1477" t="s">
        <v>45</v>
      </c>
      <c r="O1477" t="s">
        <v>23</v>
      </c>
      <c r="P1477" t="s">
        <v>189</v>
      </c>
      <c r="Q1477" t="s">
        <v>95</v>
      </c>
      <c r="R1477" t="s">
        <v>271</v>
      </c>
      <c r="S1477" s="33">
        <v>0.2</v>
      </c>
      <c r="T1477" s="13">
        <v>6</v>
      </c>
      <c r="U1477" s="13">
        <v>2.1</v>
      </c>
      <c r="V1477" s="21">
        <f>Table10[[#This Row],[Profit]]/Table10[[#This Row],[Sales]]</f>
        <v>0.35000000000000003</v>
      </c>
    </row>
    <row r="1478" spans="1:22" x14ac:dyDescent="0.2">
      <c r="A1478">
        <v>1477</v>
      </c>
      <c r="B1478" t="s">
        <v>7911</v>
      </c>
      <c r="C1478" s="1">
        <v>42624</v>
      </c>
      <c r="D1478" s="22">
        <f>MONTH(Table10[[#This Row],[Order Date]])</f>
        <v>9</v>
      </c>
      <c r="E1478" t="s">
        <v>4767</v>
      </c>
      <c r="F1478" t="s">
        <v>4768</v>
      </c>
      <c r="G1478" s="23" t="s">
        <v>41</v>
      </c>
      <c r="H1478" s="23" t="s">
        <v>68</v>
      </c>
      <c r="I1478" t="s">
        <v>4166</v>
      </c>
      <c r="J1478" t="s">
        <v>22</v>
      </c>
      <c r="K1478" s="22">
        <v>3</v>
      </c>
      <c r="L1478" s="1">
        <v>42629</v>
      </c>
      <c r="M1478" s="22">
        <f>Table10[[#This Row],[Ship Date]]-Table10[[#This Row],[Order Date]]</f>
        <v>5</v>
      </c>
      <c r="N1478" t="s">
        <v>45</v>
      </c>
      <c r="O1478" t="s">
        <v>23</v>
      </c>
      <c r="P1478" t="s">
        <v>189</v>
      </c>
      <c r="Q1478" t="s">
        <v>95</v>
      </c>
      <c r="R1478" t="s">
        <v>271</v>
      </c>
      <c r="S1478" s="33">
        <v>0.8</v>
      </c>
      <c r="T1478" s="13">
        <v>1.9079999999999999</v>
      </c>
      <c r="U1478" s="13">
        <v>-3.2435999999999998</v>
      </c>
      <c r="V1478" s="21">
        <f>Table10[[#This Row],[Profit]]/Table10[[#This Row],[Sales]]</f>
        <v>-1.7</v>
      </c>
    </row>
    <row r="1479" spans="1:22" x14ac:dyDescent="0.2">
      <c r="A1479">
        <v>1478</v>
      </c>
      <c r="B1479" t="s">
        <v>8571</v>
      </c>
      <c r="C1479" s="1">
        <v>42624</v>
      </c>
      <c r="D1479" s="22">
        <f>MONTH(Table10[[#This Row],[Order Date]])</f>
        <v>9</v>
      </c>
      <c r="E1479" t="s">
        <v>2928</v>
      </c>
      <c r="F1479" t="s">
        <v>2929</v>
      </c>
      <c r="G1479" s="23" t="s">
        <v>41</v>
      </c>
      <c r="H1479" s="23" t="s">
        <v>61</v>
      </c>
      <c r="I1479" t="s">
        <v>187</v>
      </c>
      <c r="J1479" t="s">
        <v>36</v>
      </c>
      <c r="K1479" s="22">
        <v>2</v>
      </c>
      <c r="L1479" s="1">
        <v>42626</v>
      </c>
      <c r="M1479" s="22">
        <f>Table10[[#This Row],[Ship Date]]-Table10[[#This Row],[Order Date]]</f>
        <v>2</v>
      </c>
      <c r="N1479" t="s">
        <v>169</v>
      </c>
      <c r="O1479" t="s">
        <v>23</v>
      </c>
      <c r="P1479" t="s">
        <v>277</v>
      </c>
      <c r="Q1479" t="s">
        <v>39</v>
      </c>
      <c r="R1479" t="s">
        <v>481</v>
      </c>
      <c r="S1479" s="33">
        <v>0.2</v>
      </c>
      <c r="T1479" s="13">
        <v>2.9119999999999999</v>
      </c>
      <c r="U1479" s="13">
        <v>0.91</v>
      </c>
      <c r="V1479" s="21">
        <f>Table10[[#This Row],[Profit]]/Table10[[#This Row],[Sales]]</f>
        <v>0.3125</v>
      </c>
    </row>
    <row r="1480" spans="1:22" x14ac:dyDescent="0.2">
      <c r="A1480">
        <v>1479</v>
      </c>
      <c r="B1480" t="s">
        <v>8571</v>
      </c>
      <c r="C1480" s="1">
        <v>42624</v>
      </c>
      <c r="D1480" s="22">
        <f>MONTH(Table10[[#This Row],[Order Date]])</f>
        <v>9</v>
      </c>
      <c r="E1480" t="s">
        <v>8468</v>
      </c>
      <c r="F1480" t="s">
        <v>8469</v>
      </c>
      <c r="G1480" s="23" t="s">
        <v>41</v>
      </c>
      <c r="H1480" s="23" t="s">
        <v>82</v>
      </c>
      <c r="I1480" t="s">
        <v>187</v>
      </c>
      <c r="J1480" t="s">
        <v>36</v>
      </c>
      <c r="K1480" s="22">
        <v>4</v>
      </c>
      <c r="L1480" s="1">
        <v>42626</v>
      </c>
      <c r="M1480" s="22">
        <f>Table10[[#This Row],[Ship Date]]-Table10[[#This Row],[Order Date]]</f>
        <v>2</v>
      </c>
      <c r="N1480" t="s">
        <v>169</v>
      </c>
      <c r="O1480" t="s">
        <v>23</v>
      </c>
      <c r="P1480" t="s">
        <v>277</v>
      </c>
      <c r="Q1480" t="s">
        <v>39</v>
      </c>
      <c r="R1480" t="s">
        <v>481</v>
      </c>
      <c r="S1480" s="33">
        <v>0.2</v>
      </c>
      <c r="T1480" s="13">
        <v>20.736000000000001</v>
      </c>
      <c r="U1480" s="13">
        <v>7.2576000000000001</v>
      </c>
      <c r="V1480" s="21">
        <f>Table10[[#This Row],[Profit]]/Table10[[#This Row],[Sales]]</f>
        <v>0.35</v>
      </c>
    </row>
    <row r="1481" spans="1:22" x14ac:dyDescent="0.2">
      <c r="A1481">
        <v>1480</v>
      </c>
      <c r="B1481" t="s">
        <v>8571</v>
      </c>
      <c r="C1481" s="1">
        <v>42624</v>
      </c>
      <c r="D1481" s="22">
        <f>MONTH(Table10[[#This Row],[Order Date]])</f>
        <v>9</v>
      </c>
      <c r="E1481" t="s">
        <v>1566</v>
      </c>
      <c r="F1481" t="s">
        <v>1567</v>
      </c>
      <c r="G1481" s="23" t="s">
        <v>41</v>
      </c>
      <c r="H1481" s="23" t="s">
        <v>82</v>
      </c>
      <c r="I1481" t="s">
        <v>187</v>
      </c>
      <c r="J1481" t="s">
        <v>36</v>
      </c>
      <c r="K1481" s="22">
        <v>2</v>
      </c>
      <c r="L1481" s="1">
        <v>42626</v>
      </c>
      <c r="M1481" s="22">
        <f>Table10[[#This Row],[Ship Date]]-Table10[[#This Row],[Order Date]]</f>
        <v>2</v>
      </c>
      <c r="N1481" t="s">
        <v>169</v>
      </c>
      <c r="O1481" t="s">
        <v>23</v>
      </c>
      <c r="P1481" t="s">
        <v>277</v>
      </c>
      <c r="Q1481" t="s">
        <v>39</v>
      </c>
      <c r="R1481" t="s">
        <v>481</v>
      </c>
      <c r="S1481" s="33">
        <v>0.2</v>
      </c>
      <c r="T1481" s="13">
        <v>9.5679999999999996</v>
      </c>
      <c r="U1481" s="13">
        <v>2.99</v>
      </c>
      <c r="V1481" s="21">
        <f>Table10[[#This Row],[Profit]]/Table10[[#This Row],[Sales]]</f>
        <v>0.31250000000000006</v>
      </c>
    </row>
    <row r="1482" spans="1:22" x14ac:dyDescent="0.2">
      <c r="A1482">
        <v>1481</v>
      </c>
      <c r="B1482" t="s">
        <v>10133</v>
      </c>
      <c r="C1482" s="1">
        <v>42624</v>
      </c>
      <c r="D1482" s="22">
        <f>MONTH(Table10[[#This Row],[Order Date]])</f>
        <v>9</v>
      </c>
      <c r="E1482" t="s">
        <v>2171</v>
      </c>
      <c r="F1482" t="s">
        <v>2172</v>
      </c>
      <c r="G1482" s="23" t="s">
        <v>41</v>
      </c>
      <c r="H1482" s="23" t="s">
        <v>155</v>
      </c>
      <c r="I1482" t="s">
        <v>439</v>
      </c>
      <c r="J1482" t="s">
        <v>22</v>
      </c>
      <c r="K1482" s="22">
        <v>2</v>
      </c>
      <c r="L1482" s="1">
        <v>42630</v>
      </c>
      <c r="M1482" s="22">
        <f>Table10[[#This Row],[Ship Date]]-Table10[[#This Row],[Order Date]]</f>
        <v>6</v>
      </c>
      <c r="N1482" t="s">
        <v>45</v>
      </c>
      <c r="O1482" t="s">
        <v>23</v>
      </c>
      <c r="P1482" t="s">
        <v>94</v>
      </c>
      <c r="Q1482" t="s">
        <v>95</v>
      </c>
      <c r="R1482" t="s">
        <v>165</v>
      </c>
      <c r="S1482" s="33">
        <v>0.2</v>
      </c>
      <c r="T1482" s="13">
        <v>99.567999999999998</v>
      </c>
      <c r="U1482" s="13">
        <v>33.604199999999999</v>
      </c>
      <c r="V1482" s="21">
        <f>Table10[[#This Row],[Profit]]/Table10[[#This Row],[Sales]]</f>
        <v>0.33750000000000002</v>
      </c>
    </row>
    <row r="1483" spans="1:22" x14ac:dyDescent="0.2">
      <c r="A1483">
        <v>1482</v>
      </c>
      <c r="B1483" t="s">
        <v>1000</v>
      </c>
      <c r="C1483" s="1">
        <v>42625</v>
      </c>
      <c r="D1483" s="22">
        <f>MONTH(Table10[[#This Row],[Order Date]])</f>
        <v>9</v>
      </c>
      <c r="E1483" t="s">
        <v>1003</v>
      </c>
      <c r="F1483" t="s">
        <v>1004</v>
      </c>
      <c r="G1483" s="23" t="s">
        <v>28</v>
      </c>
      <c r="H1483" s="23" t="s">
        <v>58</v>
      </c>
      <c r="I1483" t="s">
        <v>1001</v>
      </c>
      <c r="J1483" t="s">
        <v>36</v>
      </c>
      <c r="K1483" s="22">
        <v>4</v>
      </c>
      <c r="L1483" s="1">
        <v>42627</v>
      </c>
      <c r="M1483" s="22">
        <f>Table10[[#This Row],[Ship Date]]-Table10[[#This Row],[Order Date]]</f>
        <v>2</v>
      </c>
      <c r="N1483" t="s">
        <v>20</v>
      </c>
      <c r="O1483" t="s">
        <v>23</v>
      </c>
      <c r="P1483" t="s">
        <v>405</v>
      </c>
      <c r="Q1483" t="s">
        <v>39</v>
      </c>
      <c r="R1483" t="s">
        <v>1002</v>
      </c>
      <c r="S1483" s="33">
        <v>0.2</v>
      </c>
      <c r="T1483" s="13">
        <v>15.135999999999999</v>
      </c>
      <c r="U1483" s="13">
        <v>3.5948000000000002</v>
      </c>
      <c r="V1483" s="21">
        <f>Table10[[#This Row],[Profit]]/Table10[[#This Row],[Sales]]</f>
        <v>0.23750000000000002</v>
      </c>
    </row>
    <row r="1484" spans="1:22" x14ac:dyDescent="0.2">
      <c r="A1484">
        <v>1483</v>
      </c>
      <c r="B1484" t="s">
        <v>1000</v>
      </c>
      <c r="C1484" s="1">
        <v>42625</v>
      </c>
      <c r="D1484" s="22">
        <f>MONTH(Table10[[#This Row],[Order Date]])</f>
        <v>9</v>
      </c>
      <c r="E1484" t="s">
        <v>1005</v>
      </c>
      <c r="F1484" t="s">
        <v>1006</v>
      </c>
      <c r="G1484" s="23" t="s">
        <v>28</v>
      </c>
      <c r="H1484" s="23" t="s">
        <v>32</v>
      </c>
      <c r="I1484" t="s">
        <v>1001</v>
      </c>
      <c r="J1484" t="s">
        <v>36</v>
      </c>
      <c r="K1484" s="22">
        <v>2</v>
      </c>
      <c r="L1484" s="1">
        <v>42627</v>
      </c>
      <c r="M1484" s="22">
        <f>Table10[[#This Row],[Ship Date]]-Table10[[#This Row],[Order Date]]</f>
        <v>2</v>
      </c>
      <c r="N1484" t="s">
        <v>20</v>
      </c>
      <c r="O1484" t="s">
        <v>23</v>
      </c>
      <c r="P1484" t="s">
        <v>405</v>
      </c>
      <c r="Q1484" t="s">
        <v>39</v>
      </c>
      <c r="R1484" t="s">
        <v>1002</v>
      </c>
      <c r="S1484" s="33">
        <v>0.2</v>
      </c>
      <c r="T1484" s="13">
        <v>466.76799999999997</v>
      </c>
      <c r="U1484" s="13">
        <v>52.511400000000002</v>
      </c>
      <c r="V1484" s="21">
        <f>Table10[[#This Row],[Profit]]/Table10[[#This Row],[Sales]]</f>
        <v>0.11250000000000002</v>
      </c>
    </row>
    <row r="1485" spans="1:22" x14ac:dyDescent="0.2">
      <c r="A1485">
        <v>1484</v>
      </c>
      <c r="B1485" t="s">
        <v>1000</v>
      </c>
      <c r="C1485" s="1">
        <v>42625</v>
      </c>
      <c r="D1485" s="22">
        <f>MONTH(Table10[[#This Row],[Order Date]])</f>
        <v>9</v>
      </c>
      <c r="E1485" t="s">
        <v>1007</v>
      </c>
      <c r="F1485" t="s">
        <v>1008</v>
      </c>
      <c r="G1485" s="23" t="s">
        <v>28</v>
      </c>
      <c r="H1485" s="23" t="s">
        <v>58</v>
      </c>
      <c r="I1485" t="s">
        <v>1001</v>
      </c>
      <c r="J1485" t="s">
        <v>36</v>
      </c>
      <c r="K1485" s="22">
        <v>1</v>
      </c>
      <c r="L1485" s="1">
        <v>42627</v>
      </c>
      <c r="M1485" s="22">
        <f>Table10[[#This Row],[Ship Date]]-Table10[[#This Row],[Order Date]]</f>
        <v>2</v>
      </c>
      <c r="N1485" t="s">
        <v>20</v>
      </c>
      <c r="O1485" t="s">
        <v>23</v>
      </c>
      <c r="P1485" t="s">
        <v>405</v>
      </c>
      <c r="Q1485" t="s">
        <v>39</v>
      </c>
      <c r="R1485" t="s">
        <v>1002</v>
      </c>
      <c r="S1485" s="33">
        <v>0.2</v>
      </c>
      <c r="T1485" s="13">
        <v>15.231999999999999</v>
      </c>
      <c r="U1485" s="13">
        <v>1.7136</v>
      </c>
      <c r="V1485" s="21">
        <f>Table10[[#This Row],[Profit]]/Table10[[#This Row],[Sales]]</f>
        <v>0.1125</v>
      </c>
    </row>
    <row r="1486" spans="1:22" x14ac:dyDescent="0.2">
      <c r="A1486">
        <v>1485</v>
      </c>
      <c r="B1486" t="s">
        <v>1000</v>
      </c>
      <c r="C1486" s="1">
        <v>42625</v>
      </c>
      <c r="D1486" s="22">
        <f>MONTH(Table10[[#This Row],[Order Date]])</f>
        <v>9</v>
      </c>
      <c r="E1486" t="s">
        <v>1009</v>
      </c>
      <c r="F1486" t="s">
        <v>1010</v>
      </c>
      <c r="G1486" s="23" t="s">
        <v>41</v>
      </c>
      <c r="H1486" s="23" t="s">
        <v>42</v>
      </c>
      <c r="I1486" t="s">
        <v>1001</v>
      </c>
      <c r="J1486" t="s">
        <v>36</v>
      </c>
      <c r="K1486" s="22">
        <v>3</v>
      </c>
      <c r="L1486" s="1">
        <v>42627</v>
      </c>
      <c r="M1486" s="22">
        <f>Table10[[#This Row],[Ship Date]]-Table10[[#This Row],[Order Date]]</f>
        <v>2</v>
      </c>
      <c r="N1486" t="s">
        <v>20</v>
      </c>
      <c r="O1486" t="s">
        <v>23</v>
      </c>
      <c r="P1486" t="s">
        <v>405</v>
      </c>
      <c r="Q1486" t="s">
        <v>39</v>
      </c>
      <c r="R1486" t="s">
        <v>1002</v>
      </c>
      <c r="S1486" s="33">
        <v>0.2</v>
      </c>
      <c r="T1486" s="13">
        <v>6.2640000000000002</v>
      </c>
      <c r="U1486" s="13">
        <v>2.0358000000000001</v>
      </c>
      <c r="V1486" s="21">
        <f>Table10[[#This Row],[Profit]]/Table10[[#This Row],[Sales]]</f>
        <v>0.32500000000000001</v>
      </c>
    </row>
    <row r="1487" spans="1:22" x14ac:dyDescent="0.2">
      <c r="A1487">
        <v>1486</v>
      </c>
      <c r="B1487" t="s">
        <v>8285</v>
      </c>
      <c r="C1487" s="1">
        <v>42625</v>
      </c>
      <c r="D1487" s="22">
        <f>MONTH(Table10[[#This Row],[Order Date]])</f>
        <v>9</v>
      </c>
      <c r="E1487" t="s">
        <v>763</v>
      </c>
      <c r="F1487" t="s">
        <v>764</v>
      </c>
      <c r="G1487" s="23" t="s">
        <v>41</v>
      </c>
      <c r="H1487" s="23" t="s">
        <v>240</v>
      </c>
      <c r="I1487" t="s">
        <v>1714</v>
      </c>
      <c r="J1487" t="s">
        <v>22</v>
      </c>
      <c r="K1487" s="22">
        <v>3</v>
      </c>
      <c r="L1487" s="1">
        <v>42629</v>
      </c>
      <c r="M1487" s="22">
        <f>Table10[[#This Row],[Ship Date]]-Table10[[#This Row],[Order Date]]</f>
        <v>4</v>
      </c>
      <c r="N1487" t="s">
        <v>45</v>
      </c>
      <c r="O1487" t="s">
        <v>23</v>
      </c>
      <c r="P1487" t="s">
        <v>87</v>
      </c>
      <c r="Q1487" t="s">
        <v>39</v>
      </c>
      <c r="R1487" t="s">
        <v>86</v>
      </c>
      <c r="S1487" s="33">
        <v>0</v>
      </c>
      <c r="T1487" s="13">
        <v>10.47</v>
      </c>
      <c r="U1487" s="13">
        <v>4.8162000000000003</v>
      </c>
      <c r="V1487" s="21">
        <f>Table10[[#This Row],[Profit]]/Table10[[#This Row],[Sales]]</f>
        <v>0.46</v>
      </c>
    </row>
    <row r="1488" spans="1:22" x14ac:dyDescent="0.2">
      <c r="A1488">
        <v>1487</v>
      </c>
      <c r="B1488" t="s">
        <v>8285</v>
      </c>
      <c r="C1488" s="1">
        <v>42625</v>
      </c>
      <c r="D1488" s="22">
        <f>MONTH(Table10[[#This Row],[Order Date]])</f>
        <v>9</v>
      </c>
      <c r="E1488" t="s">
        <v>6645</v>
      </c>
      <c r="F1488" t="s">
        <v>6646</v>
      </c>
      <c r="G1488" s="23" t="s">
        <v>41</v>
      </c>
      <c r="H1488" s="23" t="s">
        <v>42</v>
      </c>
      <c r="I1488" t="s">
        <v>1714</v>
      </c>
      <c r="J1488" t="s">
        <v>22</v>
      </c>
      <c r="K1488" s="22">
        <v>3</v>
      </c>
      <c r="L1488" s="1">
        <v>42629</v>
      </c>
      <c r="M1488" s="22">
        <f>Table10[[#This Row],[Ship Date]]-Table10[[#This Row],[Order Date]]</f>
        <v>4</v>
      </c>
      <c r="N1488" t="s">
        <v>45</v>
      </c>
      <c r="O1488" t="s">
        <v>23</v>
      </c>
      <c r="P1488" t="s">
        <v>87</v>
      </c>
      <c r="Q1488" t="s">
        <v>39</v>
      </c>
      <c r="R1488" t="s">
        <v>86</v>
      </c>
      <c r="S1488" s="33">
        <v>0</v>
      </c>
      <c r="T1488" s="13">
        <v>11.07</v>
      </c>
      <c r="U1488" s="13">
        <v>5.2028999999999996</v>
      </c>
      <c r="V1488" s="21">
        <f>Table10[[#This Row],[Profit]]/Table10[[#This Row],[Sales]]</f>
        <v>0.47</v>
      </c>
    </row>
    <row r="1489" spans="1:22" x14ac:dyDescent="0.2">
      <c r="A1489">
        <v>1488</v>
      </c>
      <c r="B1489" t="s">
        <v>8285</v>
      </c>
      <c r="C1489" s="1">
        <v>42625</v>
      </c>
      <c r="D1489" s="22">
        <f>MONTH(Table10[[#This Row],[Order Date]])</f>
        <v>9</v>
      </c>
      <c r="E1489" t="s">
        <v>2149</v>
      </c>
      <c r="F1489" t="s">
        <v>2150</v>
      </c>
      <c r="G1489" s="23" t="s">
        <v>41</v>
      </c>
      <c r="H1489" s="23" t="s">
        <v>68</v>
      </c>
      <c r="I1489" t="s">
        <v>1714</v>
      </c>
      <c r="J1489" t="s">
        <v>22</v>
      </c>
      <c r="K1489" s="22">
        <v>4</v>
      </c>
      <c r="L1489" s="1">
        <v>42629</v>
      </c>
      <c r="M1489" s="22">
        <f>Table10[[#This Row],[Ship Date]]-Table10[[#This Row],[Order Date]]</f>
        <v>4</v>
      </c>
      <c r="N1489" t="s">
        <v>45</v>
      </c>
      <c r="O1489" t="s">
        <v>23</v>
      </c>
      <c r="P1489" t="s">
        <v>87</v>
      </c>
      <c r="Q1489" t="s">
        <v>39</v>
      </c>
      <c r="R1489" t="s">
        <v>86</v>
      </c>
      <c r="S1489" s="33">
        <v>0.2</v>
      </c>
      <c r="T1489" s="13">
        <v>20.704000000000001</v>
      </c>
      <c r="U1489" s="13">
        <v>7.7640000000000002</v>
      </c>
      <c r="V1489" s="21">
        <f>Table10[[#This Row],[Profit]]/Table10[[#This Row],[Sales]]</f>
        <v>0.375</v>
      </c>
    </row>
    <row r="1490" spans="1:22" x14ac:dyDescent="0.2">
      <c r="A1490">
        <v>1489</v>
      </c>
      <c r="B1490" t="s">
        <v>8354</v>
      </c>
      <c r="C1490" s="1">
        <v>42625</v>
      </c>
      <c r="D1490" s="22">
        <f>MONTH(Table10[[#This Row],[Order Date]])</f>
        <v>9</v>
      </c>
      <c r="E1490" t="s">
        <v>6948</v>
      </c>
      <c r="F1490" t="s">
        <v>6949</v>
      </c>
      <c r="G1490" s="23" t="s">
        <v>64</v>
      </c>
      <c r="H1490" s="23" t="s">
        <v>144</v>
      </c>
      <c r="I1490" t="s">
        <v>2139</v>
      </c>
      <c r="J1490" t="s">
        <v>36</v>
      </c>
      <c r="K1490" s="22">
        <v>3</v>
      </c>
      <c r="L1490" s="1">
        <v>42630</v>
      </c>
      <c r="M1490" s="22">
        <f>Table10[[#This Row],[Ship Date]]-Table10[[#This Row],[Order Date]]</f>
        <v>5</v>
      </c>
      <c r="N1490" t="s">
        <v>45</v>
      </c>
      <c r="O1490" t="s">
        <v>23</v>
      </c>
      <c r="P1490" t="s">
        <v>285</v>
      </c>
      <c r="Q1490" t="s">
        <v>26</v>
      </c>
      <c r="R1490" t="s">
        <v>284</v>
      </c>
      <c r="S1490" s="33">
        <v>0</v>
      </c>
      <c r="T1490" s="13">
        <v>20.7</v>
      </c>
      <c r="U1490" s="13">
        <v>1.6559999999999999</v>
      </c>
      <c r="V1490" s="21">
        <f>Table10[[#This Row],[Profit]]/Table10[[#This Row],[Sales]]</f>
        <v>0.08</v>
      </c>
    </row>
    <row r="1491" spans="1:22" x14ac:dyDescent="0.2">
      <c r="A1491">
        <v>1490</v>
      </c>
      <c r="B1491" t="s">
        <v>8354</v>
      </c>
      <c r="C1491" s="1">
        <v>42625</v>
      </c>
      <c r="D1491" s="22">
        <f>MONTH(Table10[[#This Row],[Order Date]])</f>
        <v>9</v>
      </c>
      <c r="E1491" t="s">
        <v>4377</v>
      </c>
      <c r="F1491" t="s">
        <v>498</v>
      </c>
      <c r="G1491" s="23" t="s">
        <v>41</v>
      </c>
      <c r="H1491" s="23" t="s">
        <v>240</v>
      </c>
      <c r="I1491" t="s">
        <v>2139</v>
      </c>
      <c r="J1491" t="s">
        <v>36</v>
      </c>
      <c r="K1491" s="22">
        <v>3</v>
      </c>
      <c r="L1491" s="1">
        <v>42630</v>
      </c>
      <c r="M1491" s="22">
        <f>Table10[[#This Row],[Ship Date]]-Table10[[#This Row],[Order Date]]</f>
        <v>5</v>
      </c>
      <c r="N1491" t="s">
        <v>45</v>
      </c>
      <c r="O1491" t="s">
        <v>23</v>
      </c>
      <c r="P1491" t="s">
        <v>285</v>
      </c>
      <c r="Q1491" t="s">
        <v>26</v>
      </c>
      <c r="R1491" t="s">
        <v>284</v>
      </c>
      <c r="S1491" s="33">
        <v>0</v>
      </c>
      <c r="T1491" s="13">
        <v>11.34</v>
      </c>
      <c r="U1491" s="13">
        <v>5.2164000000000001</v>
      </c>
      <c r="V1491" s="21">
        <f>Table10[[#This Row],[Profit]]/Table10[[#This Row],[Sales]]</f>
        <v>0.46</v>
      </c>
    </row>
    <row r="1492" spans="1:22" x14ac:dyDescent="0.2">
      <c r="A1492">
        <v>1491</v>
      </c>
      <c r="B1492" t="s">
        <v>8354</v>
      </c>
      <c r="C1492" s="1">
        <v>42625</v>
      </c>
      <c r="D1492" s="22">
        <f>MONTH(Table10[[#This Row],[Order Date]])</f>
        <v>9</v>
      </c>
      <c r="E1492" t="s">
        <v>3607</v>
      </c>
      <c r="F1492" t="s">
        <v>3608</v>
      </c>
      <c r="G1492" s="23" t="s">
        <v>41</v>
      </c>
      <c r="H1492" s="23" t="s">
        <v>53</v>
      </c>
      <c r="I1492" t="s">
        <v>2139</v>
      </c>
      <c r="J1492" t="s">
        <v>36</v>
      </c>
      <c r="K1492" s="22">
        <v>5</v>
      </c>
      <c r="L1492" s="1">
        <v>42630</v>
      </c>
      <c r="M1492" s="22">
        <f>Table10[[#This Row],[Ship Date]]-Table10[[#This Row],[Order Date]]</f>
        <v>5</v>
      </c>
      <c r="N1492" t="s">
        <v>45</v>
      </c>
      <c r="O1492" t="s">
        <v>23</v>
      </c>
      <c r="P1492" t="s">
        <v>285</v>
      </c>
      <c r="Q1492" t="s">
        <v>26</v>
      </c>
      <c r="R1492" t="s">
        <v>284</v>
      </c>
      <c r="S1492" s="33">
        <v>0</v>
      </c>
      <c r="T1492" s="13">
        <v>67.900000000000006</v>
      </c>
      <c r="U1492" s="13">
        <v>0.67900000000000005</v>
      </c>
      <c r="V1492" s="21">
        <f>Table10[[#This Row],[Profit]]/Table10[[#This Row],[Sales]]</f>
        <v>0.01</v>
      </c>
    </row>
    <row r="1493" spans="1:22" x14ac:dyDescent="0.2">
      <c r="A1493">
        <v>1492</v>
      </c>
      <c r="B1493" t="s">
        <v>8354</v>
      </c>
      <c r="C1493" s="1">
        <v>42625</v>
      </c>
      <c r="D1493" s="22">
        <f>MONTH(Table10[[#This Row],[Order Date]])</f>
        <v>9</v>
      </c>
      <c r="E1493" t="s">
        <v>8355</v>
      </c>
      <c r="F1493" t="s">
        <v>8356</v>
      </c>
      <c r="G1493" s="23" t="s">
        <v>28</v>
      </c>
      <c r="H1493" s="23" t="s">
        <v>32</v>
      </c>
      <c r="I1493" t="s">
        <v>2139</v>
      </c>
      <c r="J1493" t="s">
        <v>36</v>
      </c>
      <c r="K1493" s="22">
        <v>4</v>
      </c>
      <c r="L1493" s="1">
        <v>42630</v>
      </c>
      <c r="M1493" s="22">
        <f>Table10[[#This Row],[Ship Date]]-Table10[[#This Row],[Order Date]]</f>
        <v>5</v>
      </c>
      <c r="N1493" t="s">
        <v>45</v>
      </c>
      <c r="O1493" t="s">
        <v>23</v>
      </c>
      <c r="P1493" t="s">
        <v>285</v>
      </c>
      <c r="Q1493" t="s">
        <v>26</v>
      </c>
      <c r="R1493" t="s">
        <v>284</v>
      </c>
      <c r="S1493" s="33">
        <v>0</v>
      </c>
      <c r="T1493" s="13">
        <v>1059.1199999999999</v>
      </c>
      <c r="U1493" s="13">
        <v>307.14479999999998</v>
      </c>
      <c r="V1493" s="21">
        <f>Table10[[#This Row],[Profit]]/Table10[[#This Row],[Sales]]</f>
        <v>0.28999999999999998</v>
      </c>
    </row>
    <row r="1494" spans="1:22" x14ac:dyDescent="0.2">
      <c r="A1494">
        <v>1493</v>
      </c>
      <c r="B1494" t="s">
        <v>8599</v>
      </c>
      <c r="C1494" s="1">
        <v>42625</v>
      </c>
      <c r="D1494" s="22">
        <f>MONTH(Table10[[#This Row],[Order Date]])</f>
        <v>9</v>
      </c>
      <c r="E1494" t="s">
        <v>4596</v>
      </c>
      <c r="F1494" t="s">
        <v>4597</v>
      </c>
      <c r="G1494" s="23" t="s">
        <v>41</v>
      </c>
      <c r="H1494" s="23" t="s">
        <v>82</v>
      </c>
      <c r="I1494" t="s">
        <v>2049</v>
      </c>
      <c r="J1494" t="s">
        <v>36</v>
      </c>
      <c r="K1494" s="22">
        <v>3</v>
      </c>
      <c r="L1494" s="1">
        <v>42631</v>
      </c>
      <c r="M1494" s="22">
        <f>Table10[[#This Row],[Ship Date]]-Table10[[#This Row],[Order Date]]</f>
        <v>6</v>
      </c>
      <c r="N1494" t="s">
        <v>45</v>
      </c>
      <c r="O1494" t="s">
        <v>23</v>
      </c>
      <c r="P1494" t="s">
        <v>212</v>
      </c>
      <c r="Q1494" t="s">
        <v>95</v>
      </c>
      <c r="R1494" t="s">
        <v>501</v>
      </c>
      <c r="S1494" s="33">
        <v>0</v>
      </c>
      <c r="T1494" s="13">
        <v>68.52</v>
      </c>
      <c r="U1494" s="13">
        <v>31.519200000000001</v>
      </c>
      <c r="V1494" s="21">
        <f>Table10[[#This Row],[Profit]]/Table10[[#This Row],[Sales]]</f>
        <v>0.46</v>
      </c>
    </row>
    <row r="1495" spans="1:22" x14ac:dyDescent="0.2">
      <c r="A1495">
        <v>1494</v>
      </c>
      <c r="B1495" t="s">
        <v>9444</v>
      </c>
      <c r="C1495" s="1">
        <v>42625</v>
      </c>
      <c r="D1495" s="22">
        <f>MONTH(Table10[[#This Row],[Order Date]])</f>
        <v>9</v>
      </c>
      <c r="E1495" t="s">
        <v>7574</v>
      </c>
      <c r="F1495" t="s">
        <v>7575</v>
      </c>
      <c r="G1495" s="23" t="s">
        <v>64</v>
      </c>
      <c r="H1495" s="23" t="s">
        <v>65</v>
      </c>
      <c r="I1495" t="s">
        <v>1351</v>
      </c>
      <c r="J1495" t="s">
        <v>92</v>
      </c>
      <c r="K1495" s="22">
        <v>3</v>
      </c>
      <c r="L1495" s="1">
        <v>42626</v>
      </c>
      <c r="M1495" s="22">
        <f>Table10[[#This Row],[Ship Date]]-Table10[[#This Row],[Order Date]]</f>
        <v>1</v>
      </c>
      <c r="N1495" t="s">
        <v>1141</v>
      </c>
      <c r="O1495" t="s">
        <v>23</v>
      </c>
      <c r="P1495" t="s">
        <v>405</v>
      </c>
      <c r="Q1495" t="s">
        <v>39</v>
      </c>
      <c r="R1495" t="s">
        <v>1303</v>
      </c>
      <c r="S1495" s="33">
        <v>0.2</v>
      </c>
      <c r="T1495" s="13">
        <v>146.952</v>
      </c>
      <c r="U1495" s="13">
        <v>9.1844999999999999</v>
      </c>
      <c r="V1495" s="21">
        <f>Table10[[#This Row],[Profit]]/Table10[[#This Row],[Sales]]</f>
        <v>6.25E-2</v>
      </c>
    </row>
    <row r="1496" spans="1:22" x14ac:dyDescent="0.2">
      <c r="A1496">
        <v>1495</v>
      </c>
      <c r="B1496" t="s">
        <v>9444</v>
      </c>
      <c r="C1496" s="1">
        <v>42625</v>
      </c>
      <c r="D1496" s="22">
        <f>MONTH(Table10[[#This Row],[Order Date]])</f>
        <v>9</v>
      </c>
      <c r="E1496" t="s">
        <v>2732</v>
      </c>
      <c r="F1496" t="s">
        <v>2733</v>
      </c>
      <c r="G1496" s="23" t="s">
        <v>28</v>
      </c>
      <c r="H1496" s="23" t="s">
        <v>32</v>
      </c>
      <c r="I1496" t="s">
        <v>1351</v>
      </c>
      <c r="J1496" t="s">
        <v>92</v>
      </c>
      <c r="K1496" s="22">
        <v>4</v>
      </c>
      <c r="L1496" s="1">
        <v>42626</v>
      </c>
      <c r="M1496" s="22">
        <f>Table10[[#This Row],[Ship Date]]-Table10[[#This Row],[Order Date]]</f>
        <v>1</v>
      </c>
      <c r="N1496" t="s">
        <v>1141</v>
      </c>
      <c r="O1496" t="s">
        <v>23</v>
      </c>
      <c r="P1496" t="s">
        <v>405</v>
      </c>
      <c r="Q1496" t="s">
        <v>39</v>
      </c>
      <c r="R1496" t="s">
        <v>1303</v>
      </c>
      <c r="S1496" s="33">
        <v>0.2</v>
      </c>
      <c r="T1496" s="13">
        <v>83.135999999999996</v>
      </c>
      <c r="U1496" s="13">
        <v>5.1959999999999997</v>
      </c>
      <c r="V1496" s="21">
        <f>Table10[[#This Row],[Profit]]/Table10[[#This Row],[Sales]]</f>
        <v>6.25E-2</v>
      </c>
    </row>
    <row r="1497" spans="1:22" x14ac:dyDescent="0.2">
      <c r="A1497">
        <v>1496</v>
      </c>
      <c r="B1497" t="s">
        <v>9467</v>
      </c>
      <c r="C1497" s="1">
        <v>42625</v>
      </c>
      <c r="D1497" s="22">
        <f>MONTH(Table10[[#This Row],[Order Date]])</f>
        <v>9</v>
      </c>
      <c r="E1497" t="s">
        <v>7045</v>
      </c>
      <c r="F1497" t="s">
        <v>7046</v>
      </c>
      <c r="G1497" s="23" t="s">
        <v>28</v>
      </c>
      <c r="H1497" s="23" t="s">
        <v>58</v>
      </c>
      <c r="I1497" t="s">
        <v>4365</v>
      </c>
      <c r="J1497" t="s">
        <v>36</v>
      </c>
      <c r="K1497" s="22">
        <v>2</v>
      </c>
      <c r="L1497" s="1">
        <v>42629</v>
      </c>
      <c r="M1497" s="22">
        <f>Table10[[#This Row],[Ship Date]]-Table10[[#This Row],[Order Date]]</f>
        <v>4</v>
      </c>
      <c r="N1497" t="s">
        <v>45</v>
      </c>
      <c r="O1497" t="s">
        <v>23</v>
      </c>
      <c r="P1497" t="s">
        <v>238</v>
      </c>
      <c r="Q1497" t="s">
        <v>133</v>
      </c>
      <c r="R1497" t="s">
        <v>7743</v>
      </c>
      <c r="S1497" s="33">
        <v>0</v>
      </c>
      <c r="T1497" s="13">
        <v>40.479999999999997</v>
      </c>
      <c r="U1497" s="13">
        <v>14.572800000000001</v>
      </c>
      <c r="V1497" s="21">
        <f>Table10[[#This Row],[Profit]]/Table10[[#This Row],[Sales]]</f>
        <v>0.36000000000000004</v>
      </c>
    </row>
    <row r="1498" spans="1:22" x14ac:dyDescent="0.2">
      <c r="A1498">
        <v>1497</v>
      </c>
      <c r="B1498" t="s">
        <v>8678</v>
      </c>
      <c r="C1498" s="1">
        <v>42626</v>
      </c>
      <c r="D1498" s="22">
        <f>MONTH(Table10[[#This Row],[Order Date]])</f>
        <v>9</v>
      </c>
      <c r="E1498" t="s">
        <v>3607</v>
      </c>
      <c r="F1498" t="s">
        <v>3608</v>
      </c>
      <c r="G1498" s="23" t="s">
        <v>41</v>
      </c>
      <c r="H1498" s="23" t="s">
        <v>53</v>
      </c>
      <c r="I1498" t="s">
        <v>107</v>
      </c>
      <c r="J1498" t="s">
        <v>22</v>
      </c>
      <c r="K1498" s="22">
        <v>3</v>
      </c>
      <c r="L1498" s="1">
        <v>42631</v>
      </c>
      <c r="M1498" s="22">
        <f>Table10[[#This Row],[Ship Date]]-Table10[[#This Row],[Order Date]]</f>
        <v>5</v>
      </c>
      <c r="N1498" t="s">
        <v>45</v>
      </c>
      <c r="O1498" t="s">
        <v>23</v>
      </c>
      <c r="P1498" t="s">
        <v>124</v>
      </c>
      <c r="Q1498" t="s">
        <v>95</v>
      </c>
      <c r="R1498" t="s">
        <v>2226</v>
      </c>
      <c r="S1498" s="33">
        <v>0</v>
      </c>
      <c r="T1498" s="13">
        <v>40.74</v>
      </c>
      <c r="U1498" s="13">
        <v>0.40739999999999998</v>
      </c>
      <c r="V1498" s="21">
        <f>Table10[[#This Row],[Profit]]/Table10[[#This Row],[Sales]]</f>
        <v>9.9999999999999985E-3</v>
      </c>
    </row>
    <row r="1499" spans="1:22" x14ac:dyDescent="0.2">
      <c r="A1499">
        <v>1498</v>
      </c>
      <c r="B1499" t="s">
        <v>8678</v>
      </c>
      <c r="C1499" s="1">
        <v>42626</v>
      </c>
      <c r="D1499" s="22">
        <f>MONTH(Table10[[#This Row],[Order Date]])</f>
        <v>9</v>
      </c>
      <c r="E1499" t="s">
        <v>4988</v>
      </c>
      <c r="F1499" t="s">
        <v>4989</v>
      </c>
      <c r="G1499" s="23" t="s">
        <v>41</v>
      </c>
      <c r="H1499" s="23" t="s">
        <v>42</v>
      </c>
      <c r="I1499" t="s">
        <v>107</v>
      </c>
      <c r="J1499" t="s">
        <v>22</v>
      </c>
      <c r="K1499" s="22">
        <v>5</v>
      </c>
      <c r="L1499" s="1">
        <v>42631</v>
      </c>
      <c r="M1499" s="22">
        <f>Table10[[#This Row],[Ship Date]]-Table10[[#This Row],[Order Date]]</f>
        <v>5</v>
      </c>
      <c r="N1499" t="s">
        <v>45</v>
      </c>
      <c r="O1499" t="s">
        <v>23</v>
      </c>
      <c r="P1499" t="s">
        <v>124</v>
      </c>
      <c r="Q1499" t="s">
        <v>95</v>
      </c>
      <c r="R1499" t="s">
        <v>2226</v>
      </c>
      <c r="S1499" s="33">
        <v>0</v>
      </c>
      <c r="T1499" s="13">
        <v>14.4</v>
      </c>
      <c r="U1499" s="13">
        <v>7.056</v>
      </c>
      <c r="V1499" s="21">
        <f>Table10[[#This Row],[Profit]]/Table10[[#This Row],[Sales]]</f>
        <v>0.49</v>
      </c>
    </row>
    <row r="1500" spans="1:22" x14ac:dyDescent="0.2">
      <c r="A1500">
        <v>1499</v>
      </c>
      <c r="B1500" t="s">
        <v>8678</v>
      </c>
      <c r="C1500" s="1">
        <v>42626</v>
      </c>
      <c r="D1500" s="22">
        <f>MONTH(Table10[[#This Row],[Order Date]])</f>
        <v>9</v>
      </c>
      <c r="E1500" t="s">
        <v>5730</v>
      </c>
      <c r="F1500" t="s">
        <v>5731</v>
      </c>
      <c r="G1500" s="23" t="s">
        <v>64</v>
      </c>
      <c r="H1500" s="23" t="s">
        <v>65</v>
      </c>
      <c r="I1500" t="s">
        <v>107</v>
      </c>
      <c r="J1500" t="s">
        <v>22</v>
      </c>
      <c r="K1500" s="22">
        <v>5</v>
      </c>
      <c r="L1500" s="1">
        <v>42631</v>
      </c>
      <c r="M1500" s="22">
        <f>Table10[[#This Row],[Ship Date]]-Table10[[#This Row],[Order Date]]</f>
        <v>5</v>
      </c>
      <c r="N1500" t="s">
        <v>45</v>
      </c>
      <c r="O1500" t="s">
        <v>23</v>
      </c>
      <c r="P1500" t="s">
        <v>124</v>
      </c>
      <c r="Q1500" t="s">
        <v>95</v>
      </c>
      <c r="R1500" t="s">
        <v>2226</v>
      </c>
      <c r="S1500" s="33">
        <v>0</v>
      </c>
      <c r="T1500" s="13">
        <v>149.94999999999999</v>
      </c>
      <c r="U1500" s="13">
        <v>41.985999999999997</v>
      </c>
      <c r="V1500" s="21">
        <f>Table10[[#This Row],[Profit]]/Table10[[#This Row],[Sales]]</f>
        <v>0.28000000000000003</v>
      </c>
    </row>
    <row r="1501" spans="1:22" x14ac:dyDescent="0.2">
      <c r="A1501">
        <v>1500</v>
      </c>
      <c r="B1501" t="s">
        <v>8678</v>
      </c>
      <c r="C1501" s="1">
        <v>42626</v>
      </c>
      <c r="D1501" s="22">
        <f>MONTH(Table10[[#This Row],[Order Date]])</f>
        <v>9</v>
      </c>
      <c r="E1501" t="s">
        <v>6118</v>
      </c>
      <c r="F1501" t="s">
        <v>6119</v>
      </c>
      <c r="G1501" s="23" t="s">
        <v>41</v>
      </c>
      <c r="H1501" s="23" t="s">
        <v>513</v>
      </c>
      <c r="I1501" t="s">
        <v>107</v>
      </c>
      <c r="J1501" t="s">
        <v>22</v>
      </c>
      <c r="K1501" s="22">
        <v>2</v>
      </c>
      <c r="L1501" s="1">
        <v>42631</v>
      </c>
      <c r="M1501" s="22">
        <f>Table10[[#This Row],[Ship Date]]-Table10[[#This Row],[Order Date]]</f>
        <v>5</v>
      </c>
      <c r="N1501" t="s">
        <v>45</v>
      </c>
      <c r="O1501" t="s">
        <v>23</v>
      </c>
      <c r="P1501" t="s">
        <v>124</v>
      </c>
      <c r="Q1501" t="s">
        <v>95</v>
      </c>
      <c r="R1501" t="s">
        <v>2226</v>
      </c>
      <c r="S1501" s="33">
        <v>0</v>
      </c>
      <c r="T1501" s="13">
        <v>16.899999999999999</v>
      </c>
      <c r="U1501" s="13">
        <v>5.07</v>
      </c>
      <c r="V1501" s="21">
        <f>Table10[[#This Row],[Profit]]/Table10[[#This Row],[Sales]]</f>
        <v>0.30000000000000004</v>
      </c>
    </row>
    <row r="1502" spans="1:22" x14ac:dyDescent="0.2">
      <c r="A1502">
        <v>1501</v>
      </c>
      <c r="B1502" t="s">
        <v>8678</v>
      </c>
      <c r="C1502" s="1">
        <v>42626</v>
      </c>
      <c r="D1502" s="22">
        <f>MONTH(Table10[[#This Row],[Order Date]])</f>
        <v>9</v>
      </c>
      <c r="E1502" t="s">
        <v>2431</v>
      </c>
      <c r="F1502" t="s">
        <v>2432</v>
      </c>
      <c r="G1502" s="23" t="s">
        <v>41</v>
      </c>
      <c r="H1502" s="23" t="s">
        <v>82</v>
      </c>
      <c r="I1502" t="s">
        <v>107</v>
      </c>
      <c r="J1502" t="s">
        <v>22</v>
      </c>
      <c r="K1502" s="22">
        <v>3</v>
      </c>
      <c r="L1502" s="1">
        <v>42631</v>
      </c>
      <c r="M1502" s="22">
        <f>Table10[[#This Row],[Ship Date]]-Table10[[#This Row],[Order Date]]</f>
        <v>5</v>
      </c>
      <c r="N1502" t="s">
        <v>45</v>
      </c>
      <c r="O1502" t="s">
        <v>23</v>
      </c>
      <c r="P1502" t="s">
        <v>124</v>
      </c>
      <c r="Q1502" t="s">
        <v>95</v>
      </c>
      <c r="R1502" t="s">
        <v>2226</v>
      </c>
      <c r="S1502" s="33">
        <v>0</v>
      </c>
      <c r="T1502" s="13">
        <v>17.61</v>
      </c>
      <c r="U1502" s="13">
        <v>8.4527999999999999</v>
      </c>
      <c r="V1502" s="21">
        <f>Table10[[#This Row],[Profit]]/Table10[[#This Row],[Sales]]</f>
        <v>0.48</v>
      </c>
    </row>
    <row r="1503" spans="1:22" x14ac:dyDescent="0.2">
      <c r="A1503">
        <v>1502</v>
      </c>
      <c r="B1503" t="s">
        <v>8678</v>
      </c>
      <c r="C1503" s="1">
        <v>42626</v>
      </c>
      <c r="D1503" s="22">
        <f>MONTH(Table10[[#This Row],[Order Date]])</f>
        <v>9</v>
      </c>
      <c r="E1503" t="s">
        <v>4037</v>
      </c>
      <c r="F1503" t="s">
        <v>4038</v>
      </c>
      <c r="G1503" s="23" t="s">
        <v>41</v>
      </c>
      <c r="H1503" s="23" t="s">
        <v>71</v>
      </c>
      <c r="I1503" t="s">
        <v>107</v>
      </c>
      <c r="J1503" t="s">
        <v>22</v>
      </c>
      <c r="K1503" s="22">
        <v>2</v>
      </c>
      <c r="L1503" s="1">
        <v>42631</v>
      </c>
      <c r="M1503" s="22">
        <f>Table10[[#This Row],[Ship Date]]-Table10[[#This Row],[Order Date]]</f>
        <v>5</v>
      </c>
      <c r="N1503" t="s">
        <v>45</v>
      </c>
      <c r="O1503" t="s">
        <v>23</v>
      </c>
      <c r="P1503" t="s">
        <v>124</v>
      </c>
      <c r="Q1503" t="s">
        <v>95</v>
      </c>
      <c r="R1503" t="s">
        <v>2226</v>
      </c>
      <c r="S1503" s="33">
        <v>0</v>
      </c>
      <c r="T1503" s="13">
        <v>378</v>
      </c>
      <c r="U1503" s="13">
        <v>136.08000000000001</v>
      </c>
      <c r="V1503" s="21">
        <f>Table10[[#This Row],[Profit]]/Table10[[#This Row],[Sales]]</f>
        <v>0.36000000000000004</v>
      </c>
    </row>
    <row r="1504" spans="1:22" x14ac:dyDescent="0.2">
      <c r="A1504">
        <v>1503</v>
      </c>
      <c r="B1504" t="s">
        <v>8678</v>
      </c>
      <c r="C1504" s="1">
        <v>42626</v>
      </c>
      <c r="D1504" s="22">
        <f>MONTH(Table10[[#This Row],[Order Date]])</f>
        <v>9</v>
      </c>
      <c r="E1504" t="s">
        <v>3532</v>
      </c>
      <c r="F1504" t="s">
        <v>3533</v>
      </c>
      <c r="G1504" s="23" t="s">
        <v>41</v>
      </c>
      <c r="H1504" s="23" t="s">
        <v>82</v>
      </c>
      <c r="I1504" t="s">
        <v>107</v>
      </c>
      <c r="J1504" t="s">
        <v>22</v>
      </c>
      <c r="K1504" s="22">
        <v>3</v>
      </c>
      <c r="L1504" s="1">
        <v>42631</v>
      </c>
      <c r="M1504" s="22">
        <f>Table10[[#This Row],[Ship Date]]-Table10[[#This Row],[Order Date]]</f>
        <v>5</v>
      </c>
      <c r="N1504" t="s">
        <v>45</v>
      </c>
      <c r="O1504" t="s">
        <v>23</v>
      </c>
      <c r="P1504" t="s">
        <v>124</v>
      </c>
      <c r="Q1504" t="s">
        <v>95</v>
      </c>
      <c r="R1504" t="s">
        <v>2226</v>
      </c>
      <c r="S1504" s="33">
        <v>0</v>
      </c>
      <c r="T1504" s="13">
        <v>17.64</v>
      </c>
      <c r="U1504" s="13">
        <v>8.6435999999999993</v>
      </c>
      <c r="V1504" s="21">
        <f>Table10[[#This Row],[Profit]]/Table10[[#This Row],[Sales]]</f>
        <v>0.48999999999999994</v>
      </c>
    </row>
    <row r="1505" spans="1:22" x14ac:dyDescent="0.2">
      <c r="A1505">
        <v>1504</v>
      </c>
      <c r="B1505" t="s">
        <v>8678</v>
      </c>
      <c r="C1505" s="1">
        <v>42626</v>
      </c>
      <c r="D1505" s="22">
        <f>MONTH(Table10[[#This Row],[Order Date]])</f>
        <v>9</v>
      </c>
      <c r="E1505" t="s">
        <v>2833</v>
      </c>
      <c r="F1505" t="s">
        <v>2834</v>
      </c>
      <c r="G1505" s="23" t="s">
        <v>41</v>
      </c>
      <c r="H1505" s="23" t="s">
        <v>53</v>
      </c>
      <c r="I1505" t="s">
        <v>107</v>
      </c>
      <c r="J1505" t="s">
        <v>22</v>
      </c>
      <c r="K1505" s="22">
        <v>6</v>
      </c>
      <c r="L1505" s="1">
        <v>42631</v>
      </c>
      <c r="M1505" s="22">
        <f>Table10[[#This Row],[Ship Date]]-Table10[[#This Row],[Order Date]]</f>
        <v>5</v>
      </c>
      <c r="N1505" t="s">
        <v>45</v>
      </c>
      <c r="O1505" t="s">
        <v>23</v>
      </c>
      <c r="P1505" t="s">
        <v>124</v>
      </c>
      <c r="Q1505" t="s">
        <v>95</v>
      </c>
      <c r="R1505" t="s">
        <v>2226</v>
      </c>
      <c r="S1505" s="33">
        <v>0</v>
      </c>
      <c r="T1505" s="13">
        <v>373.08</v>
      </c>
      <c r="U1505" s="13">
        <v>100.7316</v>
      </c>
      <c r="V1505" s="21">
        <f>Table10[[#This Row],[Profit]]/Table10[[#This Row],[Sales]]</f>
        <v>0.27</v>
      </c>
    </row>
    <row r="1506" spans="1:22" x14ac:dyDescent="0.2">
      <c r="A1506">
        <v>1505</v>
      </c>
      <c r="B1506" t="s">
        <v>8678</v>
      </c>
      <c r="C1506" s="1">
        <v>42626</v>
      </c>
      <c r="D1506" s="22">
        <f>MONTH(Table10[[#This Row],[Order Date]])</f>
        <v>9</v>
      </c>
      <c r="E1506" t="s">
        <v>174</v>
      </c>
      <c r="F1506" t="s">
        <v>175</v>
      </c>
      <c r="G1506" s="23" t="s">
        <v>28</v>
      </c>
      <c r="H1506" s="23" t="s">
        <v>58</v>
      </c>
      <c r="I1506" t="s">
        <v>107</v>
      </c>
      <c r="J1506" t="s">
        <v>22</v>
      </c>
      <c r="K1506" s="22">
        <v>14</v>
      </c>
      <c r="L1506" s="1">
        <v>42631</v>
      </c>
      <c r="M1506" s="22">
        <f>Table10[[#This Row],[Ship Date]]-Table10[[#This Row],[Order Date]]</f>
        <v>5</v>
      </c>
      <c r="N1506" t="s">
        <v>45</v>
      </c>
      <c r="O1506" t="s">
        <v>23</v>
      </c>
      <c r="P1506" t="s">
        <v>124</v>
      </c>
      <c r="Q1506" t="s">
        <v>95</v>
      </c>
      <c r="R1506" t="s">
        <v>2226</v>
      </c>
      <c r="S1506" s="33">
        <v>0</v>
      </c>
      <c r="T1506" s="13">
        <v>1336.44</v>
      </c>
      <c r="U1506" s="13">
        <v>387.56760000000003</v>
      </c>
      <c r="V1506" s="21">
        <f>Table10[[#This Row],[Profit]]/Table10[[#This Row],[Sales]]</f>
        <v>0.29000000000000004</v>
      </c>
    </row>
    <row r="1507" spans="1:22" x14ac:dyDescent="0.2">
      <c r="A1507">
        <v>1506</v>
      </c>
      <c r="B1507" t="s">
        <v>8678</v>
      </c>
      <c r="C1507" s="1">
        <v>42626</v>
      </c>
      <c r="D1507" s="22">
        <f>MONTH(Table10[[#This Row],[Order Date]])</f>
        <v>9</v>
      </c>
      <c r="E1507" t="s">
        <v>4018</v>
      </c>
      <c r="F1507" t="s">
        <v>4019</v>
      </c>
      <c r="G1507" s="23" t="s">
        <v>64</v>
      </c>
      <c r="H1507" s="23" t="s">
        <v>65</v>
      </c>
      <c r="I1507" t="s">
        <v>107</v>
      </c>
      <c r="J1507" t="s">
        <v>22</v>
      </c>
      <c r="K1507" s="22">
        <v>3</v>
      </c>
      <c r="L1507" s="1">
        <v>42631</v>
      </c>
      <c r="M1507" s="22">
        <f>Table10[[#This Row],[Ship Date]]-Table10[[#This Row],[Order Date]]</f>
        <v>5</v>
      </c>
      <c r="N1507" t="s">
        <v>45</v>
      </c>
      <c r="O1507" t="s">
        <v>23</v>
      </c>
      <c r="P1507" t="s">
        <v>124</v>
      </c>
      <c r="Q1507" t="s">
        <v>95</v>
      </c>
      <c r="R1507" t="s">
        <v>2226</v>
      </c>
      <c r="S1507" s="33">
        <v>0</v>
      </c>
      <c r="T1507" s="13">
        <v>29.97</v>
      </c>
      <c r="U1507" s="13">
        <v>0.29970000000000002</v>
      </c>
      <c r="V1507" s="21">
        <f>Table10[[#This Row],[Profit]]/Table10[[#This Row],[Sales]]</f>
        <v>1.0000000000000002E-2</v>
      </c>
    </row>
    <row r="1508" spans="1:22" x14ac:dyDescent="0.2">
      <c r="A1508">
        <v>1507</v>
      </c>
      <c r="B1508" t="s">
        <v>5019</v>
      </c>
      <c r="C1508" s="1">
        <v>42627</v>
      </c>
      <c r="D1508" s="22">
        <f>MONTH(Table10[[#This Row],[Order Date]])</f>
        <v>9</v>
      </c>
      <c r="E1508" t="s">
        <v>2811</v>
      </c>
      <c r="F1508" t="s">
        <v>2812</v>
      </c>
      <c r="G1508" s="23" t="s">
        <v>41</v>
      </c>
      <c r="H1508" s="23" t="s">
        <v>82</v>
      </c>
      <c r="I1508" t="s">
        <v>378</v>
      </c>
      <c r="J1508" t="s">
        <v>92</v>
      </c>
      <c r="K1508" s="22">
        <v>4</v>
      </c>
      <c r="L1508" s="1">
        <v>42631</v>
      </c>
      <c r="M1508" s="22">
        <f>Table10[[#This Row],[Ship Date]]-Table10[[#This Row],[Order Date]]</f>
        <v>4</v>
      </c>
      <c r="N1508" t="s">
        <v>45</v>
      </c>
      <c r="O1508" t="s">
        <v>23</v>
      </c>
      <c r="P1508" t="s">
        <v>342</v>
      </c>
      <c r="Q1508" t="s">
        <v>26</v>
      </c>
      <c r="R1508" t="s">
        <v>341</v>
      </c>
      <c r="S1508" s="33">
        <v>0</v>
      </c>
      <c r="T1508" s="13">
        <v>25.92</v>
      </c>
      <c r="U1508" s="13">
        <v>12.441599999999999</v>
      </c>
      <c r="V1508" s="21">
        <f>Table10[[#This Row],[Profit]]/Table10[[#This Row],[Sales]]</f>
        <v>0.47999999999999993</v>
      </c>
    </row>
    <row r="1509" spans="1:22" x14ac:dyDescent="0.2">
      <c r="A1509">
        <v>1508</v>
      </c>
      <c r="B1509" t="s">
        <v>10045</v>
      </c>
      <c r="C1509" s="1">
        <v>42627</v>
      </c>
      <c r="D1509" s="22">
        <f>MONTH(Table10[[#This Row],[Order Date]])</f>
        <v>9</v>
      </c>
      <c r="E1509" t="s">
        <v>4646</v>
      </c>
      <c r="F1509" t="s">
        <v>4647</v>
      </c>
      <c r="G1509" s="23" t="s">
        <v>64</v>
      </c>
      <c r="H1509" s="23" t="s">
        <v>65</v>
      </c>
      <c r="I1509" t="s">
        <v>431</v>
      </c>
      <c r="J1509" t="s">
        <v>22</v>
      </c>
      <c r="K1509" s="22">
        <v>3</v>
      </c>
      <c r="L1509" s="1">
        <v>42631</v>
      </c>
      <c r="M1509" s="22">
        <f>Table10[[#This Row],[Ship Date]]-Table10[[#This Row],[Order Date]]</f>
        <v>4</v>
      </c>
      <c r="N1509" t="s">
        <v>45</v>
      </c>
      <c r="O1509" t="s">
        <v>23</v>
      </c>
      <c r="P1509" t="s">
        <v>238</v>
      </c>
      <c r="Q1509" t="s">
        <v>133</v>
      </c>
      <c r="R1509" t="s">
        <v>1037</v>
      </c>
      <c r="S1509" s="33">
        <v>0</v>
      </c>
      <c r="T1509" s="13">
        <v>437.85</v>
      </c>
      <c r="U1509" s="13">
        <v>131.35499999999999</v>
      </c>
      <c r="V1509" s="21">
        <f>Table10[[#This Row],[Profit]]/Table10[[#This Row],[Sales]]</f>
        <v>0.29999999999999993</v>
      </c>
    </row>
    <row r="1510" spans="1:22" x14ac:dyDescent="0.2">
      <c r="A1510">
        <v>1509</v>
      </c>
      <c r="B1510" t="s">
        <v>10045</v>
      </c>
      <c r="C1510" s="1">
        <v>42627</v>
      </c>
      <c r="D1510" s="22">
        <f>MONTH(Table10[[#This Row],[Order Date]])</f>
        <v>9</v>
      </c>
      <c r="E1510" t="s">
        <v>4179</v>
      </c>
      <c r="F1510" t="s">
        <v>4180</v>
      </c>
      <c r="G1510" s="23" t="s">
        <v>41</v>
      </c>
      <c r="H1510" s="23" t="s">
        <v>68</v>
      </c>
      <c r="I1510" t="s">
        <v>431</v>
      </c>
      <c r="J1510" t="s">
        <v>22</v>
      </c>
      <c r="K1510" s="22">
        <v>2</v>
      </c>
      <c r="L1510" s="1">
        <v>42631</v>
      </c>
      <c r="M1510" s="22">
        <f>Table10[[#This Row],[Ship Date]]-Table10[[#This Row],[Order Date]]</f>
        <v>4</v>
      </c>
      <c r="N1510" t="s">
        <v>45</v>
      </c>
      <c r="O1510" t="s">
        <v>23</v>
      </c>
      <c r="P1510" t="s">
        <v>238</v>
      </c>
      <c r="Q1510" t="s">
        <v>133</v>
      </c>
      <c r="R1510" t="s">
        <v>1037</v>
      </c>
      <c r="S1510" s="33">
        <v>0.2</v>
      </c>
      <c r="T1510" s="13">
        <v>673.56799999999998</v>
      </c>
      <c r="U1510" s="13">
        <v>252.58799999999999</v>
      </c>
      <c r="V1510" s="21">
        <f>Table10[[#This Row],[Profit]]/Table10[[#This Row],[Sales]]</f>
        <v>0.375</v>
      </c>
    </row>
    <row r="1511" spans="1:22" x14ac:dyDescent="0.2">
      <c r="A1511">
        <v>1510</v>
      </c>
      <c r="B1511" t="s">
        <v>2243</v>
      </c>
      <c r="C1511" s="1">
        <v>42628</v>
      </c>
      <c r="D1511" s="22">
        <f>MONTH(Table10[[#This Row],[Order Date]])</f>
        <v>9</v>
      </c>
      <c r="E1511" t="s">
        <v>2244</v>
      </c>
      <c r="F1511" t="s">
        <v>2245</v>
      </c>
      <c r="G1511" s="23" t="s">
        <v>41</v>
      </c>
      <c r="H1511" s="23" t="s">
        <v>82</v>
      </c>
      <c r="I1511" t="s">
        <v>1571</v>
      </c>
      <c r="J1511" t="s">
        <v>22</v>
      </c>
      <c r="K1511" s="22">
        <v>1</v>
      </c>
      <c r="L1511" s="1">
        <v>42632</v>
      </c>
      <c r="M1511" s="22">
        <f>Table10[[#This Row],[Ship Date]]-Table10[[#This Row],[Order Date]]</f>
        <v>4</v>
      </c>
      <c r="N1511" t="s">
        <v>45</v>
      </c>
      <c r="O1511" t="s">
        <v>23</v>
      </c>
      <c r="P1511" t="s">
        <v>132</v>
      </c>
      <c r="Q1511" t="s">
        <v>133</v>
      </c>
      <c r="R1511" t="s">
        <v>131</v>
      </c>
      <c r="S1511" s="33">
        <v>0.2</v>
      </c>
      <c r="T1511" s="13">
        <v>5.3440000000000003</v>
      </c>
      <c r="U1511" s="13">
        <v>1.8704000000000001</v>
      </c>
      <c r="V1511" s="21">
        <f>Table10[[#This Row],[Profit]]/Table10[[#This Row],[Sales]]</f>
        <v>0.35</v>
      </c>
    </row>
    <row r="1512" spans="1:22" x14ac:dyDescent="0.2">
      <c r="A1512">
        <v>1511</v>
      </c>
      <c r="B1512" t="s">
        <v>2485</v>
      </c>
      <c r="C1512" s="1">
        <v>42628</v>
      </c>
      <c r="D1512" s="22">
        <f>MONTH(Table10[[#This Row],[Order Date]])</f>
        <v>9</v>
      </c>
      <c r="E1512" t="s">
        <v>457</v>
      </c>
      <c r="F1512" t="s">
        <v>458</v>
      </c>
      <c r="G1512" s="23" t="s">
        <v>41</v>
      </c>
      <c r="H1512" s="23" t="s">
        <v>68</v>
      </c>
      <c r="I1512" t="s">
        <v>2486</v>
      </c>
      <c r="J1512" t="s">
        <v>36</v>
      </c>
      <c r="K1512" s="22">
        <v>2</v>
      </c>
      <c r="L1512" s="1">
        <v>42633</v>
      </c>
      <c r="M1512" s="22">
        <f>Table10[[#This Row],[Ship Date]]-Table10[[#This Row],[Order Date]]</f>
        <v>5</v>
      </c>
      <c r="N1512" t="s">
        <v>45</v>
      </c>
      <c r="O1512" t="s">
        <v>23</v>
      </c>
      <c r="P1512" t="s">
        <v>238</v>
      </c>
      <c r="Q1512" t="s">
        <v>133</v>
      </c>
      <c r="R1512" t="s">
        <v>237</v>
      </c>
      <c r="S1512" s="33">
        <v>0.2</v>
      </c>
      <c r="T1512" s="13">
        <v>841.56799999999998</v>
      </c>
      <c r="U1512" s="13">
        <v>294.54880000000003</v>
      </c>
      <c r="V1512" s="21">
        <f>Table10[[#This Row],[Profit]]/Table10[[#This Row],[Sales]]</f>
        <v>0.35000000000000003</v>
      </c>
    </row>
    <row r="1513" spans="1:22" x14ac:dyDescent="0.2">
      <c r="A1513">
        <v>1512</v>
      </c>
      <c r="B1513" t="s">
        <v>6817</v>
      </c>
      <c r="C1513" s="1">
        <v>42628</v>
      </c>
      <c r="D1513" s="22">
        <f>MONTH(Table10[[#This Row],[Order Date]])</f>
        <v>9</v>
      </c>
      <c r="E1513" t="s">
        <v>6818</v>
      </c>
      <c r="F1513" t="s">
        <v>6819</v>
      </c>
      <c r="G1513" s="23" t="s">
        <v>41</v>
      </c>
      <c r="H1513" s="23" t="s">
        <v>82</v>
      </c>
      <c r="I1513" t="s">
        <v>1933</v>
      </c>
      <c r="J1513" t="s">
        <v>22</v>
      </c>
      <c r="K1513" s="22">
        <v>5</v>
      </c>
      <c r="L1513" s="1">
        <v>42633</v>
      </c>
      <c r="M1513" s="22">
        <f>Table10[[#This Row],[Ship Date]]-Table10[[#This Row],[Order Date]]</f>
        <v>5</v>
      </c>
      <c r="N1513" t="s">
        <v>45</v>
      </c>
      <c r="O1513" t="s">
        <v>23</v>
      </c>
      <c r="P1513" t="s">
        <v>87</v>
      </c>
      <c r="Q1513" t="s">
        <v>39</v>
      </c>
      <c r="R1513" t="s">
        <v>86</v>
      </c>
      <c r="S1513" s="33">
        <v>0</v>
      </c>
      <c r="T1513" s="13">
        <v>21.4</v>
      </c>
      <c r="U1513" s="13">
        <v>10.058</v>
      </c>
      <c r="V1513" s="21">
        <f>Table10[[#This Row],[Profit]]/Table10[[#This Row],[Sales]]</f>
        <v>0.47000000000000003</v>
      </c>
    </row>
    <row r="1514" spans="1:22" x14ac:dyDescent="0.2">
      <c r="A1514">
        <v>1513</v>
      </c>
      <c r="B1514" t="s">
        <v>6817</v>
      </c>
      <c r="C1514" s="1">
        <v>42628</v>
      </c>
      <c r="D1514" s="22">
        <f>MONTH(Table10[[#This Row],[Order Date]])</f>
        <v>9</v>
      </c>
      <c r="E1514" t="s">
        <v>1811</v>
      </c>
      <c r="F1514" t="s">
        <v>1812</v>
      </c>
      <c r="G1514" s="23" t="s">
        <v>41</v>
      </c>
      <c r="H1514" s="23" t="s">
        <v>68</v>
      </c>
      <c r="I1514" t="s">
        <v>1933</v>
      </c>
      <c r="J1514" t="s">
        <v>22</v>
      </c>
      <c r="K1514" s="22">
        <v>7</v>
      </c>
      <c r="L1514" s="1">
        <v>42633</v>
      </c>
      <c r="M1514" s="22">
        <f>Table10[[#This Row],[Ship Date]]-Table10[[#This Row],[Order Date]]</f>
        <v>5</v>
      </c>
      <c r="N1514" t="s">
        <v>45</v>
      </c>
      <c r="O1514" t="s">
        <v>23</v>
      </c>
      <c r="P1514" t="s">
        <v>87</v>
      </c>
      <c r="Q1514" t="s">
        <v>39</v>
      </c>
      <c r="R1514" t="s">
        <v>86</v>
      </c>
      <c r="S1514" s="33">
        <v>0.2</v>
      </c>
      <c r="T1514" s="13">
        <v>48.664000000000001</v>
      </c>
      <c r="U1514" s="13">
        <v>15.815799999999999</v>
      </c>
      <c r="V1514" s="21">
        <f>Table10[[#This Row],[Profit]]/Table10[[#This Row],[Sales]]</f>
        <v>0.32499999999999996</v>
      </c>
    </row>
    <row r="1515" spans="1:22" x14ac:dyDescent="0.2">
      <c r="A1515">
        <v>1514</v>
      </c>
      <c r="B1515" t="s">
        <v>9452</v>
      </c>
      <c r="C1515" s="1">
        <v>42628</v>
      </c>
      <c r="D1515" s="22">
        <f>MONTH(Table10[[#This Row],[Order Date]])</f>
        <v>9</v>
      </c>
      <c r="E1515" t="s">
        <v>4280</v>
      </c>
      <c r="F1515" t="s">
        <v>4281</v>
      </c>
      <c r="G1515" s="23" t="s">
        <v>41</v>
      </c>
      <c r="H1515" s="23" t="s">
        <v>68</v>
      </c>
      <c r="I1515" t="s">
        <v>1860</v>
      </c>
      <c r="J1515" t="s">
        <v>36</v>
      </c>
      <c r="K1515" s="22">
        <v>4</v>
      </c>
      <c r="L1515" s="1">
        <v>42633</v>
      </c>
      <c r="M1515" s="22">
        <f>Table10[[#This Row],[Ship Date]]-Table10[[#This Row],[Order Date]]</f>
        <v>5</v>
      </c>
      <c r="N1515" t="s">
        <v>45</v>
      </c>
      <c r="O1515" t="s">
        <v>23</v>
      </c>
      <c r="P1515" t="s">
        <v>5585</v>
      </c>
      <c r="Q1515" t="s">
        <v>39</v>
      </c>
      <c r="R1515" t="s">
        <v>9453</v>
      </c>
      <c r="S1515" s="33">
        <v>0.2</v>
      </c>
      <c r="T1515" s="13">
        <v>20.416</v>
      </c>
      <c r="U1515" s="13">
        <v>6.6352000000000002</v>
      </c>
      <c r="V1515" s="21">
        <f>Table10[[#This Row],[Profit]]/Table10[[#This Row],[Sales]]</f>
        <v>0.32500000000000001</v>
      </c>
    </row>
    <row r="1516" spans="1:22" x14ac:dyDescent="0.2">
      <c r="A1516">
        <v>1515</v>
      </c>
      <c r="B1516" t="s">
        <v>9452</v>
      </c>
      <c r="C1516" s="1">
        <v>42628</v>
      </c>
      <c r="D1516" s="22">
        <f>MONTH(Table10[[#This Row],[Order Date]])</f>
        <v>9</v>
      </c>
      <c r="E1516" t="s">
        <v>796</v>
      </c>
      <c r="F1516" t="s">
        <v>797</v>
      </c>
      <c r="G1516" s="23" t="s">
        <v>28</v>
      </c>
      <c r="H1516" s="23" t="s">
        <v>50</v>
      </c>
      <c r="I1516" t="s">
        <v>1860</v>
      </c>
      <c r="J1516" t="s">
        <v>36</v>
      </c>
      <c r="K1516" s="22">
        <v>3</v>
      </c>
      <c r="L1516" s="1">
        <v>42633</v>
      </c>
      <c r="M1516" s="22">
        <f>Table10[[#This Row],[Ship Date]]-Table10[[#This Row],[Order Date]]</f>
        <v>5</v>
      </c>
      <c r="N1516" t="s">
        <v>45</v>
      </c>
      <c r="O1516" t="s">
        <v>23</v>
      </c>
      <c r="P1516" t="s">
        <v>5585</v>
      </c>
      <c r="Q1516" t="s">
        <v>39</v>
      </c>
      <c r="R1516" t="s">
        <v>9453</v>
      </c>
      <c r="S1516" s="33">
        <v>0</v>
      </c>
      <c r="T1516" s="13">
        <v>1128.3900000000001</v>
      </c>
      <c r="U1516" s="13">
        <v>259.52969999999999</v>
      </c>
      <c r="V1516" s="21">
        <f>Table10[[#This Row],[Profit]]/Table10[[#This Row],[Sales]]</f>
        <v>0.22999999999999998</v>
      </c>
    </row>
    <row r="1517" spans="1:22" x14ac:dyDescent="0.2">
      <c r="A1517">
        <v>1516</v>
      </c>
      <c r="B1517" t="s">
        <v>9825</v>
      </c>
      <c r="C1517" s="1">
        <v>42628</v>
      </c>
      <c r="D1517" s="22">
        <f>MONTH(Table10[[#This Row],[Order Date]])</f>
        <v>9</v>
      </c>
      <c r="E1517" t="s">
        <v>6735</v>
      </c>
      <c r="F1517" t="s">
        <v>6736</v>
      </c>
      <c r="G1517" s="23" t="s">
        <v>41</v>
      </c>
      <c r="H1517" s="23" t="s">
        <v>61</v>
      </c>
      <c r="I1517" t="s">
        <v>6575</v>
      </c>
      <c r="J1517" t="s">
        <v>22</v>
      </c>
      <c r="K1517" s="22">
        <v>5</v>
      </c>
      <c r="L1517" s="1">
        <v>42633</v>
      </c>
      <c r="M1517" s="22">
        <f>Table10[[#This Row],[Ship Date]]-Table10[[#This Row],[Order Date]]</f>
        <v>5</v>
      </c>
      <c r="N1517" t="s">
        <v>45</v>
      </c>
      <c r="O1517" t="s">
        <v>23</v>
      </c>
      <c r="P1517" t="s">
        <v>87</v>
      </c>
      <c r="Q1517" t="s">
        <v>39</v>
      </c>
      <c r="R1517" t="s">
        <v>86</v>
      </c>
      <c r="S1517" s="33">
        <v>0</v>
      </c>
      <c r="T1517" s="13">
        <v>35.4</v>
      </c>
      <c r="U1517" s="13">
        <v>13.452</v>
      </c>
      <c r="V1517" s="21">
        <f>Table10[[#This Row],[Profit]]/Table10[[#This Row],[Sales]]</f>
        <v>0.38</v>
      </c>
    </row>
    <row r="1518" spans="1:22" x14ac:dyDescent="0.2">
      <c r="A1518">
        <v>1517</v>
      </c>
      <c r="B1518" t="s">
        <v>8454</v>
      </c>
      <c r="C1518" s="1">
        <v>42629</v>
      </c>
      <c r="D1518" s="22">
        <f>MONTH(Table10[[#This Row],[Order Date]])</f>
        <v>9</v>
      </c>
      <c r="E1518" t="s">
        <v>2501</v>
      </c>
      <c r="F1518" t="s">
        <v>6101</v>
      </c>
      <c r="G1518" s="23" t="s">
        <v>41</v>
      </c>
      <c r="H1518" s="23" t="s">
        <v>82</v>
      </c>
      <c r="I1518" t="s">
        <v>4721</v>
      </c>
      <c r="J1518" t="s">
        <v>92</v>
      </c>
      <c r="K1518" s="22">
        <v>2</v>
      </c>
      <c r="L1518" s="1">
        <v>42635</v>
      </c>
      <c r="M1518" s="22">
        <f>Table10[[#This Row],[Ship Date]]-Table10[[#This Row],[Order Date]]</f>
        <v>6</v>
      </c>
      <c r="N1518" t="s">
        <v>45</v>
      </c>
      <c r="O1518" t="s">
        <v>23</v>
      </c>
      <c r="P1518" t="s">
        <v>38</v>
      </c>
      <c r="Q1518" t="s">
        <v>39</v>
      </c>
      <c r="R1518" t="s">
        <v>3603</v>
      </c>
      <c r="S1518" s="33">
        <v>0</v>
      </c>
      <c r="T1518" s="13">
        <v>12.96</v>
      </c>
      <c r="U1518" s="13">
        <v>6.3503999999999996</v>
      </c>
      <c r="V1518" s="21">
        <f>Table10[[#This Row],[Profit]]/Table10[[#This Row],[Sales]]</f>
        <v>0.48999999999999994</v>
      </c>
    </row>
    <row r="1519" spans="1:22" x14ac:dyDescent="0.2">
      <c r="A1519">
        <v>1518</v>
      </c>
      <c r="B1519" t="s">
        <v>8609</v>
      </c>
      <c r="C1519" s="1">
        <v>42629</v>
      </c>
      <c r="D1519" s="22">
        <f>MONTH(Table10[[#This Row],[Order Date]])</f>
        <v>9</v>
      </c>
      <c r="E1519" t="s">
        <v>4110</v>
      </c>
      <c r="F1519" t="s">
        <v>4111</v>
      </c>
      <c r="G1519" s="23" t="s">
        <v>28</v>
      </c>
      <c r="H1519" s="23" t="s">
        <v>29</v>
      </c>
      <c r="I1519" t="s">
        <v>3475</v>
      </c>
      <c r="J1519" t="s">
        <v>36</v>
      </c>
      <c r="K1519" s="22">
        <v>2</v>
      </c>
      <c r="L1519" s="1">
        <v>42635</v>
      </c>
      <c r="M1519" s="22">
        <f>Table10[[#This Row],[Ship Date]]-Table10[[#This Row],[Order Date]]</f>
        <v>6</v>
      </c>
      <c r="N1519" t="s">
        <v>45</v>
      </c>
      <c r="O1519" t="s">
        <v>23</v>
      </c>
      <c r="P1519" t="s">
        <v>38</v>
      </c>
      <c r="Q1519" t="s">
        <v>39</v>
      </c>
      <c r="R1519" t="s">
        <v>557</v>
      </c>
      <c r="S1519" s="33">
        <v>0.15</v>
      </c>
      <c r="T1519" s="13">
        <v>273.666</v>
      </c>
      <c r="U1519" s="13">
        <v>-12.878399999999999</v>
      </c>
      <c r="V1519" s="21">
        <f>Table10[[#This Row],[Profit]]/Table10[[#This Row],[Sales]]</f>
        <v>-4.7058823529411764E-2</v>
      </c>
    </row>
    <row r="1520" spans="1:22" x14ac:dyDescent="0.2">
      <c r="A1520">
        <v>1519</v>
      </c>
      <c r="B1520" t="s">
        <v>8609</v>
      </c>
      <c r="C1520" s="1">
        <v>42629</v>
      </c>
      <c r="D1520" s="22">
        <f>MONTH(Table10[[#This Row],[Order Date]])</f>
        <v>9</v>
      </c>
      <c r="E1520" t="s">
        <v>4699</v>
      </c>
      <c r="F1520" t="s">
        <v>4700</v>
      </c>
      <c r="G1520" s="23" t="s">
        <v>41</v>
      </c>
      <c r="H1520" s="23" t="s">
        <v>71</v>
      </c>
      <c r="I1520" t="s">
        <v>3475</v>
      </c>
      <c r="J1520" t="s">
        <v>36</v>
      </c>
      <c r="K1520" s="22">
        <v>4</v>
      </c>
      <c r="L1520" s="1">
        <v>42635</v>
      </c>
      <c r="M1520" s="22">
        <f>Table10[[#This Row],[Ship Date]]-Table10[[#This Row],[Order Date]]</f>
        <v>6</v>
      </c>
      <c r="N1520" t="s">
        <v>45</v>
      </c>
      <c r="O1520" t="s">
        <v>23</v>
      </c>
      <c r="P1520" t="s">
        <v>38</v>
      </c>
      <c r="Q1520" t="s">
        <v>39</v>
      </c>
      <c r="R1520" t="s">
        <v>557</v>
      </c>
      <c r="S1520" s="33">
        <v>0</v>
      </c>
      <c r="T1520" s="13">
        <v>17.48</v>
      </c>
      <c r="U1520" s="13">
        <v>4.5448000000000004</v>
      </c>
      <c r="V1520" s="21">
        <f>Table10[[#This Row],[Profit]]/Table10[[#This Row],[Sales]]</f>
        <v>0.26</v>
      </c>
    </row>
    <row r="1521" spans="1:22" x14ac:dyDescent="0.2">
      <c r="A1521">
        <v>1520</v>
      </c>
      <c r="B1521" t="s">
        <v>9516</v>
      </c>
      <c r="C1521" s="1">
        <v>42629</v>
      </c>
      <c r="D1521" s="22">
        <f>MONTH(Table10[[#This Row],[Order Date]])</f>
        <v>9</v>
      </c>
      <c r="E1521" t="s">
        <v>272</v>
      </c>
      <c r="F1521" t="s">
        <v>273</v>
      </c>
      <c r="G1521" s="23" t="s">
        <v>28</v>
      </c>
      <c r="H1521" s="23" t="s">
        <v>32</v>
      </c>
      <c r="I1521" t="s">
        <v>989</v>
      </c>
      <c r="J1521" t="s">
        <v>92</v>
      </c>
      <c r="K1521" s="22">
        <v>2</v>
      </c>
      <c r="L1521" s="1">
        <v>42631</v>
      </c>
      <c r="M1521" s="22">
        <f>Table10[[#This Row],[Ship Date]]-Table10[[#This Row],[Order Date]]</f>
        <v>2</v>
      </c>
      <c r="N1521" t="s">
        <v>169</v>
      </c>
      <c r="O1521" t="s">
        <v>23</v>
      </c>
      <c r="P1521" t="s">
        <v>1125</v>
      </c>
      <c r="Q1521" t="s">
        <v>26</v>
      </c>
      <c r="R1521" t="s">
        <v>440</v>
      </c>
      <c r="S1521" s="33">
        <v>0</v>
      </c>
      <c r="T1521" s="13">
        <v>121.78</v>
      </c>
      <c r="U1521" s="13">
        <v>30.445</v>
      </c>
      <c r="V1521" s="21">
        <f>Table10[[#This Row],[Profit]]/Table10[[#This Row],[Sales]]</f>
        <v>0.25</v>
      </c>
    </row>
    <row r="1522" spans="1:22" x14ac:dyDescent="0.2">
      <c r="A1522">
        <v>1521</v>
      </c>
      <c r="B1522" t="s">
        <v>356</v>
      </c>
      <c r="C1522" s="1">
        <v>42630</v>
      </c>
      <c r="D1522" s="22">
        <f>MONTH(Table10[[#This Row],[Order Date]])</f>
        <v>9</v>
      </c>
      <c r="E1522" t="s">
        <v>358</v>
      </c>
      <c r="F1522" t="s">
        <v>359</v>
      </c>
      <c r="G1522" s="23" t="s">
        <v>41</v>
      </c>
      <c r="H1522" s="23" t="s">
        <v>61</v>
      </c>
      <c r="I1522" t="s">
        <v>357</v>
      </c>
      <c r="J1522" t="s">
        <v>36</v>
      </c>
      <c r="K1522" s="22">
        <v>3</v>
      </c>
      <c r="L1522" s="1">
        <v>42635</v>
      </c>
      <c r="M1522" s="22">
        <f>Table10[[#This Row],[Ship Date]]-Table10[[#This Row],[Order Date]]</f>
        <v>5</v>
      </c>
      <c r="N1522" t="s">
        <v>45</v>
      </c>
      <c r="O1522" t="s">
        <v>23</v>
      </c>
      <c r="P1522" t="s">
        <v>38</v>
      </c>
      <c r="Q1522" t="s">
        <v>39</v>
      </c>
      <c r="R1522" t="s">
        <v>37</v>
      </c>
      <c r="S1522" s="33">
        <v>0</v>
      </c>
      <c r="T1522" s="13">
        <v>20.100000000000001</v>
      </c>
      <c r="U1522" s="13">
        <v>6.633</v>
      </c>
      <c r="V1522" s="21">
        <f>Table10[[#This Row],[Profit]]/Table10[[#This Row],[Sales]]</f>
        <v>0.32999999999999996</v>
      </c>
    </row>
    <row r="1523" spans="1:22" x14ac:dyDescent="0.2">
      <c r="A1523">
        <v>1522</v>
      </c>
      <c r="B1523" t="s">
        <v>356</v>
      </c>
      <c r="C1523" s="1">
        <v>42630</v>
      </c>
      <c r="D1523" s="22">
        <f>MONTH(Table10[[#This Row],[Order Date]])</f>
        <v>9</v>
      </c>
      <c r="E1523" t="s">
        <v>190</v>
      </c>
      <c r="F1523" t="s">
        <v>191</v>
      </c>
      <c r="G1523" s="23" t="s">
        <v>64</v>
      </c>
      <c r="H1523" s="23" t="s">
        <v>65</v>
      </c>
      <c r="I1523" t="s">
        <v>357</v>
      </c>
      <c r="J1523" t="s">
        <v>36</v>
      </c>
      <c r="K1523" s="22">
        <v>2</v>
      </c>
      <c r="L1523" s="1">
        <v>42635</v>
      </c>
      <c r="M1523" s="22">
        <f>Table10[[#This Row],[Ship Date]]-Table10[[#This Row],[Order Date]]</f>
        <v>5</v>
      </c>
      <c r="N1523" t="s">
        <v>45</v>
      </c>
      <c r="O1523" t="s">
        <v>23</v>
      </c>
      <c r="P1523" t="s">
        <v>38</v>
      </c>
      <c r="Q1523" t="s">
        <v>39</v>
      </c>
      <c r="R1523" t="s">
        <v>37</v>
      </c>
      <c r="S1523" s="33">
        <v>0.2</v>
      </c>
      <c r="T1523" s="13">
        <v>73.584000000000003</v>
      </c>
      <c r="U1523" s="13">
        <v>8.2782</v>
      </c>
      <c r="V1523" s="21">
        <f>Table10[[#This Row],[Profit]]/Table10[[#This Row],[Sales]]</f>
        <v>0.11249999999999999</v>
      </c>
    </row>
    <row r="1524" spans="1:22" x14ac:dyDescent="0.2">
      <c r="A1524">
        <v>1523</v>
      </c>
      <c r="B1524" t="s">
        <v>356</v>
      </c>
      <c r="C1524" s="1">
        <v>42630</v>
      </c>
      <c r="D1524" s="22">
        <f>MONTH(Table10[[#This Row],[Order Date]])</f>
        <v>9</v>
      </c>
      <c r="E1524" t="s">
        <v>360</v>
      </c>
      <c r="F1524" t="s">
        <v>361</v>
      </c>
      <c r="G1524" s="23" t="s">
        <v>41</v>
      </c>
      <c r="H1524" s="23" t="s">
        <v>82</v>
      </c>
      <c r="I1524" t="s">
        <v>357</v>
      </c>
      <c r="J1524" t="s">
        <v>36</v>
      </c>
      <c r="K1524" s="22">
        <v>1</v>
      </c>
      <c r="L1524" s="1">
        <v>42635</v>
      </c>
      <c r="M1524" s="22">
        <f>Table10[[#This Row],[Ship Date]]-Table10[[#This Row],[Order Date]]</f>
        <v>5</v>
      </c>
      <c r="N1524" t="s">
        <v>45</v>
      </c>
      <c r="O1524" t="s">
        <v>23</v>
      </c>
      <c r="P1524" t="s">
        <v>38</v>
      </c>
      <c r="Q1524" t="s">
        <v>39</v>
      </c>
      <c r="R1524" t="s">
        <v>37</v>
      </c>
      <c r="S1524" s="33">
        <v>0</v>
      </c>
      <c r="T1524" s="13">
        <v>6.48</v>
      </c>
      <c r="U1524" s="13">
        <v>3.1103999999999998</v>
      </c>
      <c r="V1524" s="21">
        <f>Table10[[#This Row],[Profit]]/Table10[[#This Row],[Sales]]</f>
        <v>0.47999999999999993</v>
      </c>
    </row>
    <row r="1525" spans="1:22" x14ac:dyDescent="0.2">
      <c r="A1525">
        <v>1524</v>
      </c>
      <c r="B1525" t="s">
        <v>3555</v>
      </c>
      <c r="C1525" s="1">
        <v>42630</v>
      </c>
      <c r="D1525" s="22">
        <f>MONTH(Table10[[#This Row],[Order Date]])</f>
        <v>9</v>
      </c>
      <c r="E1525" t="s">
        <v>3556</v>
      </c>
      <c r="F1525" t="s">
        <v>3557</v>
      </c>
      <c r="G1525" s="23" t="s">
        <v>64</v>
      </c>
      <c r="H1525" s="23" t="s">
        <v>602</v>
      </c>
      <c r="I1525" t="s">
        <v>3501</v>
      </c>
      <c r="J1525" t="s">
        <v>22</v>
      </c>
      <c r="K1525" s="22">
        <v>4</v>
      </c>
      <c r="L1525" s="1">
        <v>42636</v>
      </c>
      <c r="M1525" s="22">
        <f>Table10[[#This Row],[Ship Date]]-Table10[[#This Row],[Order Date]]</f>
        <v>6</v>
      </c>
      <c r="N1525" t="s">
        <v>45</v>
      </c>
      <c r="O1525" t="s">
        <v>23</v>
      </c>
      <c r="P1525" t="s">
        <v>1125</v>
      </c>
      <c r="Q1525" t="s">
        <v>26</v>
      </c>
      <c r="R1525" t="s">
        <v>440</v>
      </c>
      <c r="S1525" s="33">
        <v>0</v>
      </c>
      <c r="T1525" s="13">
        <v>396</v>
      </c>
      <c r="U1525" s="13">
        <v>190.08</v>
      </c>
      <c r="V1525" s="21">
        <f>Table10[[#This Row],[Profit]]/Table10[[#This Row],[Sales]]</f>
        <v>0.48000000000000004</v>
      </c>
    </row>
    <row r="1526" spans="1:22" x14ac:dyDescent="0.2">
      <c r="A1526">
        <v>1525</v>
      </c>
      <c r="B1526" t="s">
        <v>4643</v>
      </c>
      <c r="C1526" s="1">
        <v>42630</v>
      </c>
      <c r="D1526" s="22">
        <f>MONTH(Table10[[#This Row],[Order Date]])</f>
        <v>9</v>
      </c>
      <c r="E1526" t="s">
        <v>4646</v>
      </c>
      <c r="F1526" t="s">
        <v>4647</v>
      </c>
      <c r="G1526" s="23" t="s">
        <v>64</v>
      </c>
      <c r="H1526" s="23" t="s">
        <v>65</v>
      </c>
      <c r="I1526" t="s">
        <v>1190</v>
      </c>
      <c r="J1526" t="s">
        <v>36</v>
      </c>
      <c r="K1526" s="22">
        <v>3</v>
      </c>
      <c r="L1526" s="1">
        <v>42635</v>
      </c>
      <c r="M1526" s="22">
        <f>Table10[[#This Row],[Ship Date]]-Table10[[#This Row],[Order Date]]</f>
        <v>5</v>
      </c>
      <c r="N1526" t="s">
        <v>45</v>
      </c>
      <c r="O1526" t="s">
        <v>23</v>
      </c>
      <c r="P1526" t="s">
        <v>4645</v>
      </c>
      <c r="Q1526" t="s">
        <v>133</v>
      </c>
      <c r="R1526" t="s">
        <v>4644</v>
      </c>
      <c r="S1526" s="33">
        <v>0</v>
      </c>
      <c r="T1526" s="13">
        <v>437.85</v>
      </c>
      <c r="U1526" s="13">
        <v>131.35499999999999</v>
      </c>
      <c r="V1526" s="21">
        <f>Table10[[#This Row],[Profit]]/Table10[[#This Row],[Sales]]</f>
        <v>0.29999999999999993</v>
      </c>
    </row>
    <row r="1527" spans="1:22" x14ac:dyDescent="0.2">
      <c r="A1527">
        <v>1526</v>
      </c>
      <c r="B1527" t="s">
        <v>4643</v>
      </c>
      <c r="C1527" s="1">
        <v>42630</v>
      </c>
      <c r="D1527" s="22">
        <f>MONTH(Table10[[#This Row],[Order Date]])</f>
        <v>9</v>
      </c>
      <c r="E1527" t="s">
        <v>2955</v>
      </c>
      <c r="F1527" t="s">
        <v>2956</v>
      </c>
      <c r="G1527" s="23" t="s">
        <v>28</v>
      </c>
      <c r="H1527" s="23" t="s">
        <v>58</v>
      </c>
      <c r="I1527" t="s">
        <v>1190</v>
      </c>
      <c r="J1527" t="s">
        <v>36</v>
      </c>
      <c r="K1527" s="22">
        <v>2</v>
      </c>
      <c r="L1527" s="1">
        <v>42635</v>
      </c>
      <c r="M1527" s="22">
        <f>Table10[[#This Row],[Ship Date]]-Table10[[#This Row],[Order Date]]</f>
        <v>5</v>
      </c>
      <c r="N1527" t="s">
        <v>45</v>
      </c>
      <c r="O1527" t="s">
        <v>23</v>
      </c>
      <c r="P1527" t="s">
        <v>4645</v>
      </c>
      <c r="Q1527" t="s">
        <v>133</v>
      </c>
      <c r="R1527" t="s">
        <v>4644</v>
      </c>
      <c r="S1527" s="33">
        <v>0</v>
      </c>
      <c r="T1527" s="13">
        <v>109.48</v>
      </c>
      <c r="U1527" s="13">
        <v>33.938800000000001</v>
      </c>
      <c r="V1527" s="21">
        <f>Table10[[#This Row],[Profit]]/Table10[[#This Row],[Sales]]</f>
        <v>0.31</v>
      </c>
    </row>
    <row r="1528" spans="1:22" x14ac:dyDescent="0.2">
      <c r="A1528">
        <v>1527</v>
      </c>
      <c r="B1528" t="s">
        <v>5777</v>
      </c>
      <c r="C1528" s="1">
        <v>42630</v>
      </c>
      <c r="D1528" s="22">
        <f>MONTH(Table10[[#This Row],[Order Date]])</f>
        <v>9</v>
      </c>
      <c r="E1528" t="s">
        <v>5476</v>
      </c>
      <c r="F1528" t="s">
        <v>5477</v>
      </c>
      <c r="G1528" s="23" t="s">
        <v>28</v>
      </c>
      <c r="H1528" s="23" t="s">
        <v>32</v>
      </c>
      <c r="I1528" t="s">
        <v>2341</v>
      </c>
      <c r="J1528" t="s">
        <v>92</v>
      </c>
      <c r="K1528" s="22">
        <v>2</v>
      </c>
      <c r="L1528" s="1">
        <v>42634</v>
      </c>
      <c r="M1528" s="22">
        <f>Table10[[#This Row],[Ship Date]]-Table10[[#This Row],[Order Date]]</f>
        <v>4</v>
      </c>
      <c r="N1528" t="s">
        <v>45</v>
      </c>
      <c r="O1528" t="s">
        <v>23</v>
      </c>
      <c r="P1528" t="s">
        <v>87</v>
      </c>
      <c r="Q1528" t="s">
        <v>39</v>
      </c>
      <c r="R1528" t="s">
        <v>86</v>
      </c>
      <c r="S1528" s="33">
        <v>0.2</v>
      </c>
      <c r="T1528" s="13">
        <v>113.88800000000001</v>
      </c>
      <c r="U1528" s="13">
        <v>9.9651999999999994</v>
      </c>
      <c r="V1528" s="21">
        <f>Table10[[#This Row],[Profit]]/Table10[[#This Row],[Sales]]</f>
        <v>8.7499999999999994E-2</v>
      </c>
    </row>
    <row r="1529" spans="1:22" x14ac:dyDescent="0.2">
      <c r="A1529">
        <v>1528</v>
      </c>
      <c r="B1529" t="s">
        <v>5777</v>
      </c>
      <c r="C1529" s="1">
        <v>42630</v>
      </c>
      <c r="D1529" s="22">
        <f>MONTH(Table10[[#This Row],[Order Date]])</f>
        <v>9</v>
      </c>
      <c r="E1529" t="s">
        <v>2278</v>
      </c>
      <c r="F1529" t="s">
        <v>2279</v>
      </c>
      <c r="G1529" s="23" t="s">
        <v>64</v>
      </c>
      <c r="H1529" s="23" t="s">
        <v>65</v>
      </c>
      <c r="I1529" t="s">
        <v>2341</v>
      </c>
      <c r="J1529" t="s">
        <v>92</v>
      </c>
      <c r="K1529" s="22">
        <v>2</v>
      </c>
      <c r="L1529" s="1">
        <v>42634</v>
      </c>
      <c r="M1529" s="22">
        <f>Table10[[#This Row],[Ship Date]]-Table10[[#This Row],[Order Date]]</f>
        <v>4</v>
      </c>
      <c r="N1529" t="s">
        <v>45</v>
      </c>
      <c r="O1529" t="s">
        <v>23</v>
      </c>
      <c r="P1529" t="s">
        <v>87</v>
      </c>
      <c r="Q1529" t="s">
        <v>39</v>
      </c>
      <c r="R1529" t="s">
        <v>86</v>
      </c>
      <c r="S1529" s="33">
        <v>0.2</v>
      </c>
      <c r="T1529" s="13">
        <v>105.584</v>
      </c>
      <c r="U1529" s="13">
        <v>7.9188000000000001</v>
      </c>
      <c r="V1529" s="21">
        <f>Table10[[#This Row],[Profit]]/Table10[[#This Row],[Sales]]</f>
        <v>7.4999999999999997E-2</v>
      </c>
    </row>
    <row r="1530" spans="1:22" x14ac:dyDescent="0.2">
      <c r="A1530">
        <v>1529</v>
      </c>
      <c r="B1530" t="s">
        <v>5830</v>
      </c>
      <c r="C1530" s="1">
        <v>42630</v>
      </c>
      <c r="D1530" s="22">
        <f>MONTH(Table10[[#This Row],[Order Date]])</f>
        <v>9</v>
      </c>
      <c r="E1530" t="s">
        <v>3152</v>
      </c>
      <c r="F1530" t="s">
        <v>3153</v>
      </c>
      <c r="G1530" s="23" t="s">
        <v>41</v>
      </c>
      <c r="H1530" s="23" t="s">
        <v>68</v>
      </c>
      <c r="I1530" t="s">
        <v>4322</v>
      </c>
      <c r="J1530" t="s">
        <v>22</v>
      </c>
      <c r="K1530" s="22">
        <v>5</v>
      </c>
      <c r="L1530" s="1">
        <v>42635</v>
      </c>
      <c r="M1530" s="22">
        <f>Table10[[#This Row],[Ship Date]]-Table10[[#This Row],[Order Date]]</f>
        <v>5</v>
      </c>
      <c r="N1530" t="s">
        <v>45</v>
      </c>
      <c r="O1530" t="s">
        <v>23</v>
      </c>
      <c r="P1530" t="s">
        <v>238</v>
      </c>
      <c r="Q1530" t="s">
        <v>133</v>
      </c>
      <c r="R1530" t="s">
        <v>237</v>
      </c>
      <c r="S1530" s="33">
        <v>0.2</v>
      </c>
      <c r="T1530" s="13">
        <v>232.4</v>
      </c>
      <c r="U1530" s="13">
        <v>78.435000000000002</v>
      </c>
      <c r="V1530" s="21">
        <f>Table10[[#This Row],[Profit]]/Table10[[#This Row],[Sales]]</f>
        <v>0.33750000000000002</v>
      </c>
    </row>
    <row r="1531" spans="1:22" x14ac:dyDescent="0.2">
      <c r="A1531">
        <v>1530</v>
      </c>
      <c r="B1531" t="s">
        <v>6167</v>
      </c>
      <c r="C1531" s="1">
        <v>42630</v>
      </c>
      <c r="D1531" s="22">
        <f>MONTH(Table10[[#This Row],[Order Date]])</f>
        <v>9</v>
      </c>
      <c r="E1531" t="s">
        <v>608</v>
      </c>
      <c r="F1531" t="s">
        <v>609</v>
      </c>
      <c r="G1531" s="23" t="s">
        <v>41</v>
      </c>
      <c r="H1531" s="23" t="s">
        <v>61</v>
      </c>
      <c r="I1531" t="s">
        <v>275</v>
      </c>
      <c r="J1531" t="s">
        <v>36</v>
      </c>
      <c r="K1531" s="22">
        <v>5</v>
      </c>
      <c r="L1531" s="1">
        <v>42636</v>
      </c>
      <c r="M1531" s="22">
        <f>Table10[[#This Row],[Ship Date]]-Table10[[#This Row],[Order Date]]</f>
        <v>6</v>
      </c>
      <c r="N1531" t="s">
        <v>45</v>
      </c>
      <c r="O1531" t="s">
        <v>23</v>
      </c>
      <c r="P1531" t="s">
        <v>226</v>
      </c>
      <c r="Q1531" t="s">
        <v>95</v>
      </c>
      <c r="R1531" t="s">
        <v>440</v>
      </c>
      <c r="S1531" s="33">
        <v>0</v>
      </c>
      <c r="T1531" s="13">
        <v>33.4</v>
      </c>
      <c r="U1531" s="13">
        <v>12.358000000000001</v>
      </c>
      <c r="V1531" s="21">
        <f>Table10[[#This Row],[Profit]]/Table10[[#This Row],[Sales]]</f>
        <v>0.37000000000000005</v>
      </c>
    </row>
    <row r="1532" spans="1:22" x14ac:dyDescent="0.2">
      <c r="A1532">
        <v>1531</v>
      </c>
      <c r="B1532" t="s">
        <v>9596</v>
      </c>
      <c r="C1532" s="1">
        <v>42630</v>
      </c>
      <c r="D1532" s="22">
        <f>MONTH(Table10[[#This Row],[Order Date]])</f>
        <v>9</v>
      </c>
      <c r="E1532" t="s">
        <v>2153</v>
      </c>
      <c r="F1532" t="s">
        <v>2154</v>
      </c>
      <c r="G1532" s="23" t="s">
        <v>28</v>
      </c>
      <c r="H1532" s="23" t="s">
        <v>58</v>
      </c>
      <c r="I1532" t="s">
        <v>210</v>
      </c>
      <c r="J1532" t="s">
        <v>22</v>
      </c>
      <c r="K1532" s="22">
        <v>3</v>
      </c>
      <c r="L1532" s="1">
        <v>42635</v>
      </c>
      <c r="M1532" s="22">
        <f>Table10[[#This Row],[Ship Date]]-Table10[[#This Row],[Order Date]]</f>
        <v>5</v>
      </c>
      <c r="N1532" t="s">
        <v>45</v>
      </c>
      <c r="O1532" t="s">
        <v>23</v>
      </c>
      <c r="P1532" t="s">
        <v>1101</v>
      </c>
      <c r="Q1532" t="s">
        <v>133</v>
      </c>
      <c r="R1532" t="s">
        <v>9597</v>
      </c>
      <c r="S1532" s="33">
        <v>0</v>
      </c>
      <c r="T1532" s="13">
        <v>14.82</v>
      </c>
      <c r="U1532" s="13">
        <v>6.2244000000000002</v>
      </c>
      <c r="V1532" s="21">
        <f>Table10[[#This Row],[Profit]]/Table10[[#This Row],[Sales]]</f>
        <v>0.42</v>
      </c>
    </row>
    <row r="1533" spans="1:22" x14ac:dyDescent="0.2">
      <c r="A1533">
        <v>1532</v>
      </c>
      <c r="B1533" t="s">
        <v>9596</v>
      </c>
      <c r="C1533" s="1">
        <v>42630</v>
      </c>
      <c r="D1533" s="22">
        <f>MONTH(Table10[[#This Row],[Order Date]])</f>
        <v>9</v>
      </c>
      <c r="E1533" t="s">
        <v>1517</v>
      </c>
      <c r="F1533" t="s">
        <v>1518</v>
      </c>
      <c r="G1533" s="23" t="s">
        <v>28</v>
      </c>
      <c r="H1533" s="23" t="s">
        <v>58</v>
      </c>
      <c r="I1533" t="s">
        <v>210</v>
      </c>
      <c r="J1533" t="s">
        <v>22</v>
      </c>
      <c r="K1533" s="22">
        <v>3</v>
      </c>
      <c r="L1533" s="1">
        <v>42635</v>
      </c>
      <c r="M1533" s="22">
        <f>Table10[[#This Row],[Ship Date]]-Table10[[#This Row],[Order Date]]</f>
        <v>5</v>
      </c>
      <c r="N1533" t="s">
        <v>45</v>
      </c>
      <c r="O1533" t="s">
        <v>23</v>
      </c>
      <c r="P1533" t="s">
        <v>1101</v>
      </c>
      <c r="Q1533" t="s">
        <v>133</v>
      </c>
      <c r="R1533" t="s">
        <v>9597</v>
      </c>
      <c r="S1533" s="33">
        <v>0</v>
      </c>
      <c r="T1533" s="13">
        <v>191.82</v>
      </c>
      <c r="U1533" s="13">
        <v>61.382399999999997</v>
      </c>
      <c r="V1533" s="21">
        <f>Table10[[#This Row],[Profit]]/Table10[[#This Row],[Sales]]</f>
        <v>0.32</v>
      </c>
    </row>
    <row r="1534" spans="1:22" x14ac:dyDescent="0.2">
      <c r="A1534">
        <v>1533</v>
      </c>
      <c r="B1534" t="s">
        <v>9638</v>
      </c>
      <c r="C1534" s="1">
        <v>42630</v>
      </c>
      <c r="D1534" s="22">
        <f>MONTH(Table10[[#This Row],[Order Date]])</f>
        <v>9</v>
      </c>
      <c r="E1534" t="s">
        <v>855</v>
      </c>
      <c r="F1534" t="s">
        <v>856</v>
      </c>
      <c r="G1534" s="23" t="s">
        <v>41</v>
      </c>
      <c r="H1534" s="23" t="s">
        <v>53</v>
      </c>
      <c r="I1534" t="s">
        <v>480</v>
      </c>
      <c r="J1534" t="s">
        <v>22</v>
      </c>
      <c r="K1534" s="22">
        <v>5</v>
      </c>
      <c r="L1534" s="1">
        <v>42633</v>
      </c>
      <c r="M1534" s="22">
        <f>Table10[[#This Row],[Ship Date]]-Table10[[#This Row],[Order Date]]</f>
        <v>3</v>
      </c>
      <c r="N1534" t="s">
        <v>20</v>
      </c>
      <c r="O1534" t="s">
        <v>23</v>
      </c>
      <c r="P1534" t="s">
        <v>441</v>
      </c>
      <c r="Q1534" t="s">
        <v>133</v>
      </c>
      <c r="R1534" t="s">
        <v>284</v>
      </c>
      <c r="S1534" s="33">
        <v>0.2</v>
      </c>
      <c r="T1534" s="13">
        <v>295.39999999999998</v>
      </c>
      <c r="U1534" s="13">
        <v>-62.772500000000001</v>
      </c>
      <c r="V1534" s="21">
        <f>Table10[[#This Row],[Profit]]/Table10[[#This Row],[Sales]]</f>
        <v>-0.21250000000000002</v>
      </c>
    </row>
    <row r="1535" spans="1:22" x14ac:dyDescent="0.2">
      <c r="A1535">
        <v>1534</v>
      </c>
      <c r="B1535" t="s">
        <v>9843</v>
      </c>
      <c r="C1535" s="1">
        <v>42630</v>
      </c>
      <c r="D1535" s="22">
        <f>MONTH(Table10[[#This Row],[Order Date]])</f>
        <v>9</v>
      </c>
      <c r="E1535" t="s">
        <v>3631</v>
      </c>
      <c r="F1535" t="s">
        <v>3632</v>
      </c>
      <c r="G1535" s="23" t="s">
        <v>41</v>
      </c>
      <c r="H1535" s="23" t="s">
        <v>42</v>
      </c>
      <c r="I1535" t="s">
        <v>1878</v>
      </c>
      <c r="J1535" t="s">
        <v>92</v>
      </c>
      <c r="K1535" s="22">
        <v>4</v>
      </c>
      <c r="L1535" s="1">
        <v>42636</v>
      </c>
      <c r="M1535" s="22">
        <f>Table10[[#This Row],[Ship Date]]-Table10[[#This Row],[Order Date]]</f>
        <v>6</v>
      </c>
      <c r="N1535" t="s">
        <v>45</v>
      </c>
      <c r="O1535" t="s">
        <v>23</v>
      </c>
      <c r="P1535" t="s">
        <v>87</v>
      </c>
      <c r="Q1535" t="s">
        <v>39</v>
      </c>
      <c r="R1535" t="s">
        <v>4049</v>
      </c>
      <c r="S1535" s="33">
        <v>0</v>
      </c>
      <c r="T1535" s="13">
        <v>12.32</v>
      </c>
      <c r="U1535" s="13">
        <v>5.9135999999999997</v>
      </c>
      <c r="V1535" s="21">
        <f>Table10[[#This Row],[Profit]]/Table10[[#This Row],[Sales]]</f>
        <v>0.48</v>
      </c>
    </row>
    <row r="1536" spans="1:22" x14ac:dyDescent="0.2">
      <c r="A1536">
        <v>1535</v>
      </c>
      <c r="B1536" t="s">
        <v>288</v>
      </c>
      <c r="C1536" s="1">
        <v>42631</v>
      </c>
      <c r="D1536" s="22">
        <f>MONTH(Table10[[#This Row],[Order Date]])</f>
        <v>9</v>
      </c>
      <c r="E1536" t="s">
        <v>290</v>
      </c>
      <c r="F1536" t="s">
        <v>291</v>
      </c>
      <c r="G1536" s="23" t="s">
        <v>41</v>
      </c>
      <c r="H1536" s="23" t="s">
        <v>68</v>
      </c>
      <c r="I1536" t="s">
        <v>289</v>
      </c>
      <c r="J1536" t="s">
        <v>22</v>
      </c>
      <c r="K1536" s="22">
        <v>1</v>
      </c>
      <c r="L1536" s="1">
        <v>42636</v>
      </c>
      <c r="M1536" s="22">
        <f>Table10[[#This Row],[Ship Date]]-Table10[[#This Row],[Order Date]]</f>
        <v>5</v>
      </c>
      <c r="N1536" t="s">
        <v>45</v>
      </c>
      <c r="O1536" t="s">
        <v>23</v>
      </c>
      <c r="P1536" t="s">
        <v>238</v>
      </c>
      <c r="Q1536" t="s">
        <v>133</v>
      </c>
      <c r="R1536" t="s">
        <v>237</v>
      </c>
      <c r="S1536" s="33">
        <v>0.2</v>
      </c>
      <c r="T1536" s="13">
        <v>4.6159999999999997</v>
      </c>
      <c r="U1536" s="13">
        <v>1.7310000000000001</v>
      </c>
      <c r="V1536" s="21">
        <f>Table10[[#This Row],[Profit]]/Table10[[#This Row],[Sales]]</f>
        <v>0.37500000000000006</v>
      </c>
    </row>
    <row r="1537" spans="1:22" x14ac:dyDescent="0.2">
      <c r="A1537">
        <v>1536</v>
      </c>
      <c r="B1537" t="s">
        <v>2111</v>
      </c>
      <c r="C1537" s="1">
        <v>42631</v>
      </c>
      <c r="D1537" s="22">
        <f>MONTH(Table10[[#This Row],[Order Date]])</f>
        <v>9</v>
      </c>
      <c r="E1537" t="s">
        <v>2112</v>
      </c>
      <c r="F1537" t="s">
        <v>2113</v>
      </c>
      <c r="G1537" s="23" t="s">
        <v>28</v>
      </c>
      <c r="H1537" s="23" t="s">
        <v>50</v>
      </c>
      <c r="I1537" t="s">
        <v>1785</v>
      </c>
      <c r="J1537" t="s">
        <v>36</v>
      </c>
      <c r="K1537" s="22">
        <v>4</v>
      </c>
      <c r="L1537" s="1">
        <v>42635</v>
      </c>
      <c r="M1537" s="22">
        <f>Table10[[#This Row],[Ship Date]]-Table10[[#This Row],[Order Date]]</f>
        <v>4</v>
      </c>
      <c r="N1537" t="s">
        <v>45</v>
      </c>
      <c r="O1537" t="s">
        <v>23</v>
      </c>
      <c r="P1537" t="s">
        <v>48</v>
      </c>
      <c r="Q1537" t="s">
        <v>26</v>
      </c>
      <c r="R1537" t="s">
        <v>1345</v>
      </c>
      <c r="S1537" s="33">
        <v>0.45</v>
      </c>
      <c r="T1537" s="13">
        <v>383.43799999999999</v>
      </c>
      <c r="U1537" s="13">
        <v>-167.3184</v>
      </c>
      <c r="V1537" s="21">
        <f>Table10[[#This Row],[Profit]]/Table10[[#This Row],[Sales]]</f>
        <v>-0.43636363636363634</v>
      </c>
    </row>
    <row r="1538" spans="1:22" x14ac:dyDescent="0.2">
      <c r="A1538">
        <v>1537</v>
      </c>
      <c r="B1538" t="s">
        <v>4336</v>
      </c>
      <c r="C1538" s="1">
        <v>42631</v>
      </c>
      <c r="D1538" s="22">
        <f>MONTH(Table10[[#This Row],[Order Date]])</f>
        <v>9</v>
      </c>
      <c r="E1538" t="s">
        <v>3992</v>
      </c>
      <c r="F1538" t="s">
        <v>3993</v>
      </c>
      <c r="G1538" s="23" t="s">
        <v>28</v>
      </c>
      <c r="H1538" s="23" t="s">
        <v>32</v>
      </c>
      <c r="I1538" t="s">
        <v>4337</v>
      </c>
      <c r="J1538" t="s">
        <v>22</v>
      </c>
      <c r="K1538" s="22">
        <v>1</v>
      </c>
      <c r="L1538" s="1">
        <v>42636</v>
      </c>
      <c r="M1538" s="22">
        <f>Table10[[#This Row],[Ship Date]]-Table10[[#This Row],[Order Date]]</f>
        <v>5</v>
      </c>
      <c r="N1538" t="s">
        <v>45</v>
      </c>
      <c r="O1538" t="s">
        <v>23</v>
      </c>
      <c r="P1538" t="s">
        <v>320</v>
      </c>
      <c r="Q1538" t="s">
        <v>26</v>
      </c>
      <c r="R1538" t="s">
        <v>1380</v>
      </c>
      <c r="S1538" s="33">
        <v>0</v>
      </c>
      <c r="T1538" s="13">
        <v>350.98</v>
      </c>
      <c r="U1538" s="13">
        <v>84.235200000000006</v>
      </c>
      <c r="V1538" s="21">
        <f>Table10[[#This Row],[Profit]]/Table10[[#This Row],[Sales]]</f>
        <v>0.24</v>
      </c>
    </row>
    <row r="1539" spans="1:22" x14ac:dyDescent="0.2">
      <c r="A1539">
        <v>1538</v>
      </c>
      <c r="B1539" t="s">
        <v>4336</v>
      </c>
      <c r="C1539" s="1">
        <v>42631</v>
      </c>
      <c r="D1539" s="22">
        <f>MONTH(Table10[[#This Row],[Order Date]])</f>
        <v>9</v>
      </c>
      <c r="E1539" t="s">
        <v>4338</v>
      </c>
      <c r="F1539" t="s">
        <v>4339</v>
      </c>
      <c r="G1539" s="23" t="s">
        <v>41</v>
      </c>
      <c r="H1539" s="23" t="s">
        <v>82</v>
      </c>
      <c r="I1539" t="s">
        <v>4337</v>
      </c>
      <c r="J1539" t="s">
        <v>22</v>
      </c>
      <c r="K1539" s="22">
        <v>2</v>
      </c>
      <c r="L1539" s="1">
        <v>42636</v>
      </c>
      <c r="M1539" s="22">
        <f>Table10[[#This Row],[Ship Date]]-Table10[[#This Row],[Order Date]]</f>
        <v>5</v>
      </c>
      <c r="N1539" t="s">
        <v>45</v>
      </c>
      <c r="O1539" t="s">
        <v>23</v>
      </c>
      <c r="P1539" t="s">
        <v>320</v>
      </c>
      <c r="Q1539" t="s">
        <v>26</v>
      </c>
      <c r="R1539" t="s">
        <v>1380</v>
      </c>
      <c r="S1539" s="33">
        <v>0</v>
      </c>
      <c r="T1539" s="13">
        <v>13.08</v>
      </c>
      <c r="U1539" s="13">
        <v>6.0167999999999999</v>
      </c>
      <c r="V1539" s="21">
        <f>Table10[[#This Row],[Profit]]/Table10[[#This Row],[Sales]]</f>
        <v>0.45999999999999996</v>
      </c>
    </row>
    <row r="1540" spans="1:22" x14ac:dyDescent="0.2">
      <c r="A1540">
        <v>1539</v>
      </c>
      <c r="B1540" t="s">
        <v>4336</v>
      </c>
      <c r="C1540" s="1">
        <v>42631</v>
      </c>
      <c r="D1540" s="22">
        <f>MONTH(Table10[[#This Row],[Order Date]])</f>
        <v>9</v>
      </c>
      <c r="E1540" t="s">
        <v>3101</v>
      </c>
      <c r="F1540" t="s">
        <v>3102</v>
      </c>
      <c r="G1540" s="23" t="s">
        <v>41</v>
      </c>
      <c r="H1540" s="23" t="s">
        <v>53</v>
      </c>
      <c r="I1540" t="s">
        <v>4337</v>
      </c>
      <c r="J1540" t="s">
        <v>22</v>
      </c>
      <c r="K1540" s="22">
        <v>4</v>
      </c>
      <c r="L1540" s="1">
        <v>42636</v>
      </c>
      <c r="M1540" s="22">
        <f>Table10[[#This Row],[Ship Date]]-Table10[[#This Row],[Order Date]]</f>
        <v>5</v>
      </c>
      <c r="N1540" t="s">
        <v>45</v>
      </c>
      <c r="O1540" t="s">
        <v>23</v>
      </c>
      <c r="P1540" t="s">
        <v>320</v>
      </c>
      <c r="Q1540" t="s">
        <v>26</v>
      </c>
      <c r="R1540" t="s">
        <v>1380</v>
      </c>
      <c r="S1540" s="33">
        <v>0</v>
      </c>
      <c r="T1540" s="13">
        <v>900.08</v>
      </c>
      <c r="U1540" s="13">
        <v>117.0104</v>
      </c>
      <c r="V1540" s="21">
        <f>Table10[[#This Row],[Profit]]/Table10[[#This Row],[Sales]]</f>
        <v>0.13</v>
      </c>
    </row>
    <row r="1541" spans="1:22" x14ac:dyDescent="0.2">
      <c r="A1541">
        <v>1540</v>
      </c>
      <c r="B1541" t="s">
        <v>6019</v>
      </c>
      <c r="C1541" s="1">
        <v>42631</v>
      </c>
      <c r="D1541" s="22">
        <f>MONTH(Table10[[#This Row],[Order Date]])</f>
        <v>9</v>
      </c>
      <c r="E1541" t="s">
        <v>4920</v>
      </c>
      <c r="F1541" t="s">
        <v>4921</v>
      </c>
      <c r="G1541" s="23" t="s">
        <v>28</v>
      </c>
      <c r="H1541" s="23" t="s">
        <v>58</v>
      </c>
      <c r="I1541" t="s">
        <v>2029</v>
      </c>
      <c r="J1541" t="s">
        <v>22</v>
      </c>
      <c r="K1541" s="22">
        <v>3</v>
      </c>
      <c r="L1541" s="1">
        <v>42633</v>
      </c>
      <c r="M1541" s="22">
        <f>Table10[[#This Row],[Ship Date]]-Table10[[#This Row],[Order Date]]</f>
        <v>2</v>
      </c>
      <c r="N1541" t="s">
        <v>169</v>
      </c>
      <c r="O1541" t="s">
        <v>23</v>
      </c>
      <c r="P1541" t="s">
        <v>441</v>
      </c>
      <c r="Q1541" t="s">
        <v>133</v>
      </c>
      <c r="R1541" t="s">
        <v>440</v>
      </c>
      <c r="S1541" s="33">
        <v>0.2</v>
      </c>
      <c r="T1541" s="13">
        <v>5.3520000000000003</v>
      </c>
      <c r="U1541" s="13">
        <v>1.6055999999999999</v>
      </c>
      <c r="V1541" s="21">
        <f>Table10[[#This Row],[Profit]]/Table10[[#This Row],[Sales]]</f>
        <v>0.3</v>
      </c>
    </row>
    <row r="1542" spans="1:22" x14ac:dyDescent="0.2">
      <c r="A1542">
        <v>1541</v>
      </c>
      <c r="B1542" t="s">
        <v>6019</v>
      </c>
      <c r="C1542" s="1">
        <v>42631</v>
      </c>
      <c r="D1542" s="22">
        <f>MONTH(Table10[[#This Row],[Order Date]])</f>
        <v>9</v>
      </c>
      <c r="E1542" t="s">
        <v>1627</v>
      </c>
      <c r="F1542" t="s">
        <v>1628</v>
      </c>
      <c r="G1542" s="23" t="s">
        <v>28</v>
      </c>
      <c r="H1542" s="23" t="s">
        <v>32</v>
      </c>
      <c r="I1542" t="s">
        <v>2029</v>
      </c>
      <c r="J1542" t="s">
        <v>22</v>
      </c>
      <c r="K1542" s="22">
        <v>2</v>
      </c>
      <c r="L1542" s="1">
        <v>42633</v>
      </c>
      <c r="M1542" s="22">
        <f>Table10[[#This Row],[Ship Date]]-Table10[[#This Row],[Order Date]]</f>
        <v>2</v>
      </c>
      <c r="N1542" t="s">
        <v>169</v>
      </c>
      <c r="O1542" t="s">
        <v>23</v>
      </c>
      <c r="P1542" t="s">
        <v>441</v>
      </c>
      <c r="Q1542" t="s">
        <v>133</v>
      </c>
      <c r="R1542" t="s">
        <v>440</v>
      </c>
      <c r="S1542" s="33">
        <v>0.3</v>
      </c>
      <c r="T1542" s="13">
        <v>99.372</v>
      </c>
      <c r="U1542" s="13">
        <v>-7.0979999999999999</v>
      </c>
      <c r="V1542" s="21">
        <f>Table10[[#This Row],[Profit]]/Table10[[#This Row],[Sales]]</f>
        <v>-7.1428571428571425E-2</v>
      </c>
    </row>
    <row r="1543" spans="1:22" x14ac:dyDescent="0.2">
      <c r="A1543">
        <v>1542</v>
      </c>
      <c r="B1543" t="s">
        <v>6019</v>
      </c>
      <c r="C1543" s="1">
        <v>42631</v>
      </c>
      <c r="D1543" s="22">
        <f>MONTH(Table10[[#This Row],[Order Date]])</f>
        <v>9</v>
      </c>
      <c r="E1543" t="s">
        <v>4311</v>
      </c>
      <c r="F1543" t="s">
        <v>4312</v>
      </c>
      <c r="G1543" s="23" t="s">
        <v>41</v>
      </c>
      <c r="H1543" s="23" t="s">
        <v>61</v>
      </c>
      <c r="I1543" t="s">
        <v>2029</v>
      </c>
      <c r="J1543" t="s">
        <v>22</v>
      </c>
      <c r="K1543" s="22">
        <v>1</v>
      </c>
      <c r="L1543" s="1">
        <v>42633</v>
      </c>
      <c r="M1543" s="22">
        <f>Table10[[#This Row],[Ship Date]]-Table10[[#This Row],[Order Date]]</f>
        <v>2</v>
      </c>
      <c r="N1543" t="s">
        <v>169</v>
      </c>
      <c r="O1543" t="s">
        <v>23</v>
      </c>
      <c r="P1543" t="s">
        <v>441</v>
      </c>
      <c r="Q1543" t="s">
        <v>133</v>
      </c>
      <c r="R1543" t="s">
        <v>440</v>
      </c>
      <c r="S1543" s="33">
        <v>0.2</v>
      </c>
      <c r="T1543" s="13">
        <v>2.6720000000000002</v>
      </c>
      <c r="U1543" s="13">
        <v>0.3674</v>
      </c>
      <c r="V1543" s="21">
        <f>Table10[[#This Row],[Profit]]/Table10[[#This Row],[Sales]]</f>
        <v>0.13749999999999998</v>
      </c>
    </row>
    <row r="1544" spans="1:22" x14ac:dyDescent="0.2">
      <c r="A1544">
        <v>1543</v>
      </c>
      <c r="B1544" t="s">
        <v>6695</v>
      </c>
      <c r="C1544" s="1">
        <v>42631</v>
      </c>
      <c r="D1544" s="22">
        <f>MONTH(Table10[[#This Row],[Order Date]])</f>
        <v>9</v>
      </c>
      <c r="E1544" t="s">
        <v>2249</v>
      </c>
      <c r="F1544" t="s">
        <v>2250</v>
      </c>
      <c r="G1544" s="23" t="s">
        <v>28</v>
      </c>
      <c r="H1544" s="23" t="s">
        <v>32</v>
      </c>
      <c r="I1544" t="s">
        <v>4421</v>
      </c>
      <c r="J1544" t="s">
        <v>22</v>
      </c>
      <c r="K1544" s="22">
        <v>2</v>
      </c>
      <c r="L1544" s="1">
        <v>42638</v>
      </c>
      <c r="M1544" s="22">
        <f>Table10[[#This Row],[Ship Date]]-Table10[[#This Row],[Order Date]]</f>
        <v>7</v>
      </c>
      <c r="N1544" t="s">
        <v>45</v>
      </c>
      <c r="O1544" t="s">
        <v>23</v>
      </c>
      <c r="P1544" t="s">
        <v>238</v>
      </c>
      <c r="Q1544" t="s">
        <v>133</v>
      </c>
      <c r="R1544" t="s">
        <v>1326</v>
      </c>
      <c r="S1544" s="33">
        <v>0.1</v>
      </c>
      <c r="T1544" s="13">
        <v>631.78200000000004</v>
      </c>
      <c r="U1544" s="13">
        <v>140.39599999999999</v>
      </c>
      <c r="V1544" s="21">
        <f>Table10[[#This Row],[Profit]]/Table10[[#This Row],[Sales]]</f>
        <v>0.22222222222222218</v>
      </c>
    </row>
    <row r="1545" spans="1:22" x14ac:dyDescent="0.2">
      <c r="A1545">
        <v>1544</v>
      </c>
      <c r="B1545" t="s">
        <v>6695</v>
      </c>
      <c r="C1545" s="1">
        <v>42631</v>
      </c>
      <c r="D1545" s="22">
        <f>MONTH(Table10[[#This Row],[Order Date]])</f>
        <v>9</v>
      </c>
      <c r="E1545" t="s">
        <v>6696</v>
      </c>
      <c r="F1545" t="s">
        <v>6697</v>
      </c>
      <c r="G1545" s="23" t="s">
        <v>28</v>
      </c>
      <c r="H1545" s="23" t="s">
        <v>58</v>
      </c>
      <c r="I1545" t="s">
        <v>4421</v>
      </c>
      <c r="J1545" t="s">
        <v>22</v>
      </c>
      <c r="K1545" s="22">
        <v>3</v>
      </c>
      <c r="L1545" s="1">
        <v>42638</v>
      </c>
      <c r="M1545" s="22">
        <f>Table10[[#This Row],[Ship Date]]-Table10[[#This Row],[Order Date]]</f>
        <v>7</v>
      </c>
      <c r="N1545" t="s">
        <v>45</v>
      </c>
      <c r="O1545" t="s">
        <v>23</v>
      </c>
      <c r="P1545" t="s">
        <v>238</v>
      </c>
      <c r="Q1545" t="s">
        <v>133</v>
      </c>
      <c r="R1545" t="s">
        <v>1326</v>
      </c>
      <c r="S1545" s="33">
        <v>0</v>
      </c>
      <c r="T1545" s="13">
        <v>60.72</v>
      </c>
      <c r="U1545" s="13">
        <v>26.1096</v>
      </c>
      <c r="V1545" s="21">
        <f>Table10[[#This Row],[Profit]]/Table10[[#This Row],[Sales]]</f>
        <v>0.43</v>
      </c>
    </row>
    <row r="1546" spans="1:22" x14ac:dyDescent="0.2">
      <c r="A1546">
        <v>1545</v>
      </c>
      <c r="B1546" t="s">
        <v>6940</v>
      </c>
      <c r="C1546" s="1">
        <v>42631</v>
      </c>
      <c r="D1546" s="22">
        <f>MONTH(Table10[[#This Row],[Order Date]])</f>
        <v>9</v>
      </c>
      <c r="E1546" t="s">
        <v>1868</v>
      </c>
      <c r="F1546" t="s">
        <v>1869</v>
      </c>
      <c r="G1546" s="23" t="s">
        <v>41</v>
      </c>
      <c r="H1546" s="23" t="s">
        <v>42</v>
      </c>
      <c r="I1546" t="s">
        <v>1051</v>
      </c>
      <c r="J1546" t="s">
        <v>22</v>
      </c>
      <c r="K1546" s="22">
        <v>1</v>
      </c>
      <c r="L1546" s="1">
        <v>42635</v>
      </c>
      <c r="M1546" s="22">
        <f>Table10[[#This Row],[Ship Date]]-Table10[[#This Row],[Order Date]]</f>
        <v>4</v>
      </c>
      <c r="N1546" t="s">
        <v>45</v>
      </c>
      <c r="O1546" t="s">
        <v>23</v>
      </c>
      <c r="P1546" t="s">
        <v>48</v>
      </c>
      <c r="Q1546" t="s">
        <v>26</v>
      </c>
      <c r="R1546" t="s">
        <v>1345</v>
      </c>
      <c r="S1546" s="33">
        <v>0.2</v>
      </c>
      <c r="T1546" s="13">
        <v>3</v>
      </c>
      <c r="U1546" s="13">
        <v>1.05</v>
      </c>
      <c r="V1546" s="21">
        <f>Table10[[#This Row],[Profit]]/Table10[[#This Row],[Sales]]</f>
        <v>0.35000000000000003</v>
      </c>
    </row>
    <row r="1547" spans="1:22" x14ac:dyDescent="0.2">
      <c r="A1547">
        <v>1546</v>
      </c>
      <c r="B1547" t="s">
        <v>7784</v>
      </c>
      <c r="C1547" s="1">
        <v>42631</v>
      </c>
      <c r="D1547" s="22">
        <f>MONTH(Table10[[#This Row],[Order Date]])</f>
        <v>9</v>
      </c>
      <c r="E1547" t="s">
        <v>1528</v>
      </c>
      <c r="F1547" t="s">
        <v>1529</v>
      </c>
      <c r="G1547" s="23" t="s">
        <v>28</v>
      </c>
      <c r="H1547" s="23" t="s">
        <v>32</v>
      </c>
      <c r="I1547" t="s">
        <v>3535</v>
      </c>
      <c r="J1547" t="s">
        <v>36</v>
      </c>
      <c r="K1547" s="22">
        <v>2</v>
      </c>
      <c r="L1547" s="1">
        <v>42635</v>
      </c>
      <c r="M1547" s="22">
        <f>Table10[[#This Row],[Ship Date]]-Table10[[#This Row],[Order Date]]</f>
        <v>4</v>
      </c>
      <c r="N1547" t="s">
        <v>45</v>
      </c>
      <c r="O1547" t="s">
        <v>23</v>
      </c>
      <c r="P1547" t="s">
        <v>38</v>
      </c>
      <c r="Q1547" t="s">
        <v>39</v>
      </c>
      <c r="R1547" t="s">
        <v>836</v>
      </c>
      <c r="S1547" s="33">
        <v>0.2</v>
      </c>
      <c r="T1547" s="13">
        <v>801.56799999999998</v>
      </c>
      <c r="U1547" s="13">
        <v>50.097999999999999</v>
      </c>
      <c r="V1547" s="21">
        <f>Table10[[#This Row],[Profit]]/Table10[[#This Row],[Sales]]</f>
        <v>6.25E-2</v>
      </c>
    </row>
    <row r="1548" spans="1:22" x14ac:dyDescent="0.2">
      <c r="A1548">
        <v>1547</v>
      </c>
      <c r="B1548" t="s">
        <v>7784</v>
      </c>
      <c r="C1548" s="1">
        <v>42631</v>
      </c>
      <c r="D1548" s="22">
        <f>MONTH(Table10[[#This Row],[Order Date]])</f>
        <v>9</v>
      </c>
      <c r="E1548" t="s">
        <v>2885</v>
      </c>
      <c r="F1548" t="s">
        <v>2886</v>
      </c>
      <c r="G1548" s="23" t="s">
        <v>41</v>
      </c>
      <c r="H1548" s="23" t="s">
        <v>82</v>
      </c>
      <c r="I1548" t="s">
        <v>3535</v>
      </c>
      <c r="J1548" t="s">
        <v>36</v>
      </c>
      <c r="K1548" s="22">
        <v>9</v>
      </c>
      <c r="L1548" s="1">
        <v>42635</v>
      </c>
      <c r="M1548" s="22">
        <f>Table10[[#This Row],[Ship Date]]-Table10[[#This Row],[Order Date]]</f>
        <v>4</v>
      </c>
      <c r="N1548" t="s">
        <v>45</v>
      </c>
      <c r="O1548" t="s">
        <v>23</v>
      </c>
      <c r="P1548" t="s">
        <v>38</v>
      </c>
      <c r="Q1548" t="s">
        <v>39</v>
      </c>
      <c r="R1548" t="s">
        <v>836</v>
      </c>
      <c r="S1548" s="33">
        <v>0</v>
      </c>
      <c r="T1548" s="13">
        <v>368.91</v>
      </c>
      <c r="U1548" s="13">
        <v>180.76589999999999</v>
      </c>
      <c r="V1548" s="21">
        <f>Table10[[#This Row],[Profit]]/Table10[[#This Row],[Sales]]</f>
        <v>0.48999999999999994</v>
      </c>
    </row>
    <row r="1549" spans="1:22" x14ac:dyDescent="0.2">
      <c r="A1549">
        <v>1548</v>
      </c>
      <c r="B1549" t="s">
        <v>7784</v>
      </c>
      <c r="C1549" s="1">
        <v>42631</v>
      </c>
      <c r="D1549" s="22">
        <f>MONTH(Table10[[#This Row],[Order Date]])</f>
        <v>9</v>
      </c>
      <c r="E1549" t="s">
        <v>2803</v>
      </c>
      <c r="F1549" t="s">
        <v>2804</v>
      </c>
      <c r="G1549" s="23" t="s">
        <v>28</v>
      </c>
      <c r="H1549" s="23" t="s">
        <v>32</v>
      </c>
      <c r="I1549" t="s">
        <v>3535</v>
      </c>
      <c r="J1549" t="s">
        <v>36</v>
      </c>
      <c r="K1549" s="22">
        <v>9</v>
      </c>
      <c r="L1549" s="1">
        <v>42635</v>
      </c>
      <c r="M1549" s="22">
        <f>Table10[[#This Row],[Ship Date]]-Table10[[#This Row],[Order Date]]</f>
        <v>4</v>
      </c>
      <c r="N1549" t="s">
        <v>45</v>
      </c>
      <c r="O1549" t="s">
        <v>23</v>
      </c>
      <c r="P1549" t="s">
        <v>38</v>
      </c>
      <c r="Q1549" t="s">
        <v>39</v>
      </c>
      <c r="R1549" t="s">
        <v>836</v>
      </c>
      <c r="S1549" s="33">
        <v>0.2</v>
      </c>
      <c r="T1549" s="13">
        <v>885.52800000000002</v>
      </c>
      <c r="U1549" s="13">
        <v>-99.621899999999997</v>
      </c>
      <c r="V1549" s="21">
        <f>Table10[[#This Row],[Profit]]/Table10[[#This Row],[Sales]]</f>
        <v>-0.11249999999999999</v>
      </c>
    </row>
    <row r="1550" spans="1:22" x14ac:dyDescent="0.2">
      <c r="A1550">
        <v>1549</v>
      </c>
      <c r="B1550" t="s">
        <v>9948</v>
      </c>
      <c r="C1550" s="1">
        <v>42631</v>
      </c>
      <c r="D1550" s="22">
        <f>MONTH(Table10[[#This Row],[Order Date]])</f>
        <v>9</v>
      </c>
      <c r="E1550" t="s">
        <v>5696</v>
      </c>
      <c r="F1550" t="s">
        <v>5697</v>
      </c>
      <c r="G1550" s="23" t="s">
        <v>64</v>
      </c>
      <c r="H1550" s="23" t="s">
        <v>65</v>
      </c>
      <c r="I1550" t="s">
        <v>1655</v>
      </c>
      <c r="J1550" t="s">
        <v>22</v>
      </c>
      <c r="K1550" s="22">
        <v>2</v>
      </c>
      <c r="L1550" s="1">
        <v>42635</v>
      </c>
      <c r="M1550" s="22">
        <f>Table10[[#This Row],[Ship Date]]-Table10[[#This Row],[Order Date]]</f>
        <v>4</v>
      </c>
      <c r="N1550" t="s">
        <v>45</v>
      </c>
      <c r="O1550" t="s">
        <v>23</v>
      </c>
      <c r="P1550" t="s">
        <v>38</v>
      </c>
      <c r="Q1550" t="s">
        <v>39</v>
      </c>
      <c r="R1550" t="s">
        <v>5713</v>
      </c>
      <c r="S1550" s="33">
        <v>0.2</v>
      </c>
      <c r="T1550" s="13">
        <v>239.98400000000001</v>
      </c>
      <c r="U1550" s="13">
        <v>23.9984</v>
      </c>
      <c r="V1550" s="21">
        <f>Table10[[#This Row],[Profit]]/Table10[[#This Row],[Sales]]</f>
        <v>9.9999999999999992E-2</v>
      </c>
    </row>
    <row r="1551" spans="1:22" x14ac:dyDescent="0.2">
      <c r="A1551">
        <v>1550</v>
      </c>
      <c r="B1551" t="s">
        <v>1904</v>
      </c>
      <c r="C1551" s="1">
        <v>42632</v>
      </c>
      <c r="D1551" s="22">
        <f>MONTH(Table10[[#This Row],[Order Date]])</f>
        <v>9</v>
      </c>
      <c r="E1551" t="s">
        <v>1528</v>
      </c>
      <c r="F1551" t="s">
        <v>1529</v>
      </c>
      <c r="G1551" s="23" t="s">
        <v>28</v>
      </c>
      <c r="H1551" s="23" t="s">
        <v>32</v>
      </c>
      <c r="I1551" t="s">
        <v>1905</v>
      </c>
      <c r="J1551" t="s">
        <v>92</v>
      </c>
      <c r="K1551" s="22">
        <v>2</v>
      </c>
      <c r="L1551" s="1">
        <v>42632</v>
      </c>
      <c r="M1551" s="22">
        <f>Table10[[#This Row],[Ship Date]]-Table10[[#This Row],[Order Date]]</f>
        <v>0</v>
      </c>
      <c r="N1551" t="s">
        <v>1141</v>
      </c>
      <c r="O1551" t="s">
        <v>23</v>
      </c>
      <c r="P1551" t="s">
        <v>189</v>
      </c>
      <c r="Q1551" t="s">
        <v>95</v>
      </c>
      <c r="R1551" t="s">
        <v>404</v>
      </c>
      <c r="S1551" s="33">
        <v>0.3</v>
      </c>
      <c r="T1551" s="13">
        <v>701.37199999999996</v>
      </c>
      <c r="U1551" s="13">
        <v>-50.097999999999999</v>
      </c>
      <c r="V1551" s="21">
        <f>Table10[[#This Row],[Profit]]/Table10[[#This Row],[Sales]]</f>
        <v>-7.1428571428571425E-2</v>
      </c>
    </row>
    <row r="1552" spans="1:22" x14ac:dyDescent="0.2">
      <c r="A1552">
        <v>1551</v>
      </c>
      <c r="B1552" t="s">
        <v>1904</v>
      </c>
      <c r="C1552" s="1">
        <v>42632</v>
      </c>
      <c r="D1552" s="22">
        <f>MONTH(Table10[[#This Row],[Order Date]])</f>
        <v>9</v>
      </c>
      <c r="E1552" t="s">
        <v>290</v>
      </c>
      <c r="F1552" t="s">
        <v>291</v>
      </c>
      <c r="G1552" s="23" t="s">
        <v>41</v>
      </c>
      <c r="H1552" s="23" t="s">
        <v>68</v>
      </c>
      <c r="I1552" t="s">
        <v>1905</v>
      </c>
      <c r="J1552" t="s">
        <v>92</v>
      </c>
      <c r="K1552" s="22">
        <v>2</v>
      </c>
      <c r="L1552" s="1">
        <v>42632</v>
      </c>
      <c r="M1552" s="22">
        <f>Table10[[#This Row],[Ship Date]]-Table10[[#This Row],[Order Date]]</f>
        <v>0</v>
      </c>
      <c r="N1552" t="s">
        <v>1141</v>
      </c>
      <c r="O1552" t="s">
        <v>23</v>
      </c>
      <c r="P1552" t="s">
        <v>189</v>
      </c>
      <c r="Q1552" t="s">
        <v>95</v>
      </c>
      <c r="R1552" t="s">
        <v>404</v>
      </c>
      <c r="S1552" s="33">
        <v>0.8</v>
      </c>
      <c r="T1552" s="13">
        <v>2.3079999999999998</v>
      </c>
      <c r="U1552" s="13">
        <v>-3.4620000000000002</v>
      </c>
      <c r="V1552" s="21">
        <f>Table10[[#This Row],[Profit]]/Table10[[#This Row],[Sales]]</f>
        <v>-1.5000000000000002</v>
      </c>
    </row>
    <row r="1553" spans="1:22" x14ac:dyDescent="0.2">
      <c r="A1553">
        <v>1552</v>
      </c>
      <c r="B1553" t="s">
        <v>4342</v>
      </c>
      <c r="C1553" s="1">
        <v>42632</v>
      </c>
      <c r="D1553" s="22">
        <f>MONTH(Table10[[#This Row],[Order Date]])</f>
        <v>9</v>
      </c>
      <c r="E1553" t="s">
        <v>1774</v>
      </c>
      <c r="F1553" t="s">
        <v>1775</v>
      </c>
      <c r="G1553" s="23" t="s">
        <v>41</v>
      </c>
      <c r="H1553" s="23" t="s">
        <v>53</v>
      </c>
      <c r="I1553" t="s">
        <v>4343</v>
      </c>
      <c r="J1553" t="s">
        <v>92</v>
      </c>
      <c r="K1553" s="22">
        <v>9</v>
      </c>
      <c r="L1553" s="1">
        <v>42634</v>
      </c>
      <c r="M1553" s="22">
        <f>Table10[[#This Row],[Ship Date]]-Table10[[#This Row],[Order Date]]</f>
        <v>2</v>
      </c>
      <c r="N1553" t="s">
        <v>169</v>
      </c>
      <c r="O1553" t="s">
        <v>23</v>
      </c>
      <c r="P1553" t="s">
        <v>1235</v>
      </c>
      <c r="Q1553" t="s">
        <v>133</v>
      </c>
      <c r="R1553" t="s">
        <v>3161</v>
      </c>
      <c r="S1553" s="33">
        <v>0</v>
      </c>
      <c r="T1553" s="13">
        <v>1606.23</v>
      </c>
      <c r="U1553" s="13">
        <v>481.86900000000003</v>
      </c>
      <c r="V1553" s="21">
        <f>Table10[[#This Row],[Profit]]/Table10[[#This Row],[Sales]]</f>
        <v>0.3</v>
      </c>
    </row>
    <row r="1554" spans="1:22" x14ac:dyDescent="0.2">
      <c r="A1554">
        <v>1553</v>
      </c>
      <c r="B1554" t="s">
        <v>4342</v>
      </c>
      <c r="C1554" s="1">
        <v>42632</v>
      </c>
      <c r="D1554" s="22">
        <f>MONTH(Table10[[#This Row],[Order Date]])</f>
        <v>9</v>
      </c>
      <c r="E1554" t="s">
        <v>495</v>
      </c>
      <c r="F1554" t="s">
        <v>1928</v>
      </c>
      <c r="G1554" s="23" t="s">
        <v>41</v>
      </c>
      <c r="H1554" s="23" t="s">
        <v>82</v>
      </c>
      <c r="I1554" t="s">
        <v>4343</v>
      </c>
      <c r="J1554" t="s">
        <v>92</v>
      </c>
      <c r="K1554" s="22">
        <v>3</v>
      </c>
      <c r="L1554" s="1">
        <v>42634</v>
      </c>
      <c r="M1554" s="22">
        <f>Table10[[#This Row],[Ship Date]]-Table10[[#This Row],[Order Date]]</f>
        <v>2</v>
      </c>
      <c r="N1554" t="s">
        <v>169</v>
      </c>
      <c r="O1554" t="s">
        <v>23</v>
      </c>
      <c r="P1554" t="s">
        <v>1235</v>
      </c>
      <c r="Q1554" t="s">
        <v>133</v>
      </c>
      <c r="R1554" t="s">
        <v>3161</v>
      </c>
      <c r="S1554" s="33">
        <v>0</v>
      </c>
      <c r="T1554" s="13">
        <v>17.04</v>
      </c>
      <c r="U1554" s="13">
        <v>7.6680000000000001</v>
      </c>
      <c r="V1554" s="21">
        <f>Table10[[#This Row],[Profit]]/Table10[[#This Row],[Sales]]</f>
        <v>0.45</v>
      </c>
    </row>
    <row r="1555" spans="1:22" x14ac:dyDescent="0.2">
      <c r="A1555">
        <v>1554</v>
      </c>
      <c r="B1555" t="s">
        <v>4342</v>
      </c>
      <c r="C1555" s="1">
        <v>42632</v>
      </c>
      <c r="D1555" s="22">
        <f>MONTH(Table10[[#This Row],[Order Date]])</f>
        <v>9</v>
      </c>
      <c r="E1555" t="s">
        <v>2507</v>
      </c>
      <c r="F1555" t="s">
        <v>2508</v>
      </c>
      <c r="G1555" s="23" t="s">
        <v>41</v>
      </c>
      <c r="H1555" s="23" t="s">
        <v>68</v>
      </c>
      <c r="I1555" t="s">
        <v>4343</v>
      </c>
      <c r="J1555" t="s">
        <v>92</v>
      </c>
      <c r="K1555" s="22">
        <v>3</v>
      </c>
      <c r="L1555" s="1">
        <v>42634</v>
      </c>
      <c r="M1555" s="22">
        <f>Table10[[#This Row],[Ship Date]]-Table10[[#This Row],[Order Date]]</f>
        <v>2</v>
      </c>
      <c r="N1555" t="s">
        <v>169</v>
      </c>
      <c r="O1555" t="s">
        <v>23</v>
      </c>
      <c r="P1555" t="s">
        <v>1235</v>
      </c>
      <c r="Q1555" t="s">
        <v>133</v>
      </c>
      <c r="R1555" t="s">
        <v>3161</v>
      </c>
      <c r="S1555" s="33">
        <v>0</v>
      </c>
      <c r="T1555" s="13">
        <v>49.53</v>
      </c>
      <c r="U1555" s="13">
        <v>23.7744</v>
      </c>
      <c r="V1555" s="21">
        <f>Table10[[#This Row],[Profit]]/Table10[[#This Row],[Sales]]</f>
        <v>0.48</v>
      </c>
    </row>
    <row r="1556" spans="1:22" x14ac:dyDescent="0.2">
      <c r="A1556">
        <v>1555</v>
      </c>
      <c r="B1556" t="s">
        <v>4342</v>
      </c>
      <c r="C1556" s="1">
        <v>42632</v>
      </c>
      <c r="D1556" s="22">
        <f>MONTH(Table10[[#This Row],[Order Date]])</f>
        <v>9</v>
      </c>
      <c r="E1556" t="s">
        <v>2179</v>
      </c>
      <c r="F1556" t="s">
        <v>2180</v>
      </c>
      <c r="G1556" s="23" t="s">
        <v>28</v>
      </c>
      <c r="H1556" s="23" t="s">
        <v>32</v>
      </c>
      <c r="I1556" t="s">
        <v>4343</v>
      </c>
      <c r="J1556" t="s">
        <v>92</v>
      </c>
      <c r="K1556" s="22">
        <v>4</v>
      </c>
      <c r="L1556" s="1">
        <v>42634</v>
      </c>
      <c r="M1556" s="22">
        <f>Table10[[#This Row],[Ship Date]]-Table10[[#This Row],[Order Date]]</f>
        <v>2</v>
      </c>
      <c r="N1556" t="s">
        <v>169</v>
      </c>
      <c r="O1556" t="s">
        <v>23</v>
      </c>
      <c r="P1556" t="s">
        <v>1235</v>
      </c>
      <c r="Q1556" t="s">
        <v>133</v>
      </c>
      <c r="R1556" t="s">
        <v>3161</v>
      </c>
      <c r="S1556" s="33">
        <v>0</v>
      </c>
      <c r="T1556" s="13">
        <v>872.32</v>
      </c>
      <c r="U1556" s="13">
        <v>244.24959999999999</v>
      </c>
      <c r="V1556" s="21">
        <f>Table10[[#This Row],[Profit]]/Table10[[#This Row],[Sales]]</f>
        <v>0.27999999999999997</v>
      </c>
    </row>
    <row r="1557" spans="1:22" x14ac:dyDescent="0.2">
      <c r="A1557">
        <v>1556</v>
      </c>
      <c r="B1557" t="s">
        <v>4455</v>
      </c>
      <c r="C1557" s="1">
        <v>42632</v>
      </c>
      <c r="D1557" s="22">
        <f>MONTH(Table10[[#This Row],[Order Date]])</f>
        <v>9</v>
      </c>
      <c r="E1557" t="s">
        <v>1368</v>
      </c>
      <c r="F1557" t="s">
        <v>1369</v>
      </c>
      <c r="G1557" s="23" t="s">
        <v>41</v>
      </c>
      <c r="H1557" s="23" t="s">
        <v>82</v>
      </c>
      <c r="I1557" t="s">
        <v>4456</v>
      </c>
      <c r="J1557" t="s">
        <v>22</v>
      </c>
      <c r="K1557" s="22">
        <v>7</v>
      </c>
      <c r="L1557" s="1">
        <v>42636</v>
      </c>
      <c r="M1557" s="22">
        <f>Table10[[#This Row],[Ship Date]]-Table10[[#This Row],[Order Date]]</f>
        <v>4</v>
      </c>
      <c r="N1557" t="s">
        <v>45</v>
      </c>
      <c r="O1557" t="s">
        <v>23</v>
      </c>
      <c r="P1557" t="s">
        <v>38</v>
      </c>
      <c r="Q1557" t="s">
        <v>39</v>
      </c>
      <c r="R1557" t="s">
        <v>4457</v>
      </c>
      <c r="S1557" s="33">
        <v>0</v>
      </c>
      <c r="T1557" s="13">
        <v>159.88</v>
      </c>
      <c r="U1557" s="13">
        <v>73.544799999999995</v>
      </c>
      <c r="V1557" s="21">
        <f>Table10[[#This Row],[Profit]]/Table10[[#This Row],[Sales]]</f>
        <v>0.45999999999999996</v>
      </c>
    </row>
    <row r="1558" spans="1:22" x14ac:dyDescent="0.2">
      <c r="A1558">
        <v>1557</v>
      </c>
      <c r="B1558" t="s">
        <v>5403</v>
      </c>
      <c r="C1558" s="1">
        <v>42632</v>
      </c>
      <c r="D1558" s="22">
        <f>MONTH(Table10[[#This Row],[Order Date]])</f>
        <v>9</v>
      </c>
      <c r="E1558" t="s">
        <v>98</v>
      </c>
      <c r="F1558" t="s">
        <v>99</v>
      </c>
      <c r="G1558" s="23" t="s">
        <v>41</v>
      </c>
      <c r="H1558" s="23" t="s">
        <v>68</v>
      </c>
      <c r="I1558" t="s">
        <v>1325</v>
      </c>
      <c r="J1558" t="s">
        <v>92</v>
      </c>
      <c r="K1558" s="22">
        <v>6</v>
      </c>
      <c r="L1558" s="1">
        <v>42636</v>
      </c>
      <c r="M1558" s="22">
        <f>Table10[[#This Row],[Ship Date]]-Table10[[#This Row],[Order Date]]</f>
        <v>4</v>
      </c>
      <c r="N1558" t="s">
        <v>20</v>
      </c>
      <c r="O1558" t="s">
        <v>23</v>
      </c>
      <c r="P1558" t="s">
        <v>695</v>
      </c>
      <c r="Q1558" t="s">
        <v>133</v>
      </c>
      <c r="R1558" t="s">
        <v>5404</v>
      </c>
      <c r="S1558" s="33">
        <v>0</v>
      </c>
      <c r="T1558" s="13">
        <v>25.44</v>
      </c>
      <c r="U1558" s="13">
        <v>12.72</v>
      </c>
      <c r="V1558" s="21">
        <f>Table10[[#This Row],[Profit]]/Table10[[#This Row],[Sales]]</f>
        <v>0.5</v>
      </c>
    </row>
    <row r="1559" spans="1:22" x14ac:dyDescent="0.2">
      <c r="A1559">
        <v>1558</v>
      </c>
      <c r="B1559" t="s">
        <v>5403</v>
      </c>
      <c r="C1559" s="1">
        <v>42632</v>
      </c>
      <c r="D1559" s="22">
        <f>MONTH(Table10[[#This Row],[Order Date]])</f>
        <v>9</v>
      </c>
      <c r="E1559" t="s">
        <v>2266</v>
      </c>
      <c r="F1559" t="s">
        <v>2267</v>
      </c>
      <c r="G1559" s="23" t="s">
        <v>41</v>
      </c>
      <c r="H1559" s="23" t="s">
        <v>513</v>
      </c>
      <c r="I1559" t="s">
        <v>1325</v>
      </c>
      <c r="J1559" t="s">
        <v>92</v>
      </c>
      <c r="K1559" s="22">
        <v>3</v>
      </c>
      <c r="L1559" s="1">
        <v>42636</v>
      </c>
      <c r="M1559" s="22">
        <f>Table10[[#This Row],[Ship Date]]-Table10[[#This Row],[Order Date]]</f>
        <v>4</v>
      </c>
      <c r="N1559" t="s">
        <v>20</v>
      </c>
      <c r="O1559" t="s">
        <v>23</v>
      </c>
      <c r="P1559" t="s">
        <v>695</v>
      </c>
      <c r="Q1559" t="s">
        <v>133</v>
      </c>
      <c r="R1559" t="s">
        <v>5404</v>
      </c>
      <c r="S1559" s="33">
        <v>0</v>
      </c>
      <c r="T1559" s="13">
        <v>27.93</v>
      </c>
      <c r="U1559" s="13">
        <v>8.0997000000000003</v>
      </c>
      <c r="V1559" s="21">
        <f>Table10[[#This Row],[Profit]]/Table10[[#This Row],[Sales]]</f>
        <v>0.29000000000000004</v>
      </c>
    </row>
    <row r="1560" spans="1:22" x14ac:dyDescent="0.2">
      <c r="A1560">
        <v>1559</v>
      </c>
      <c r="B1560" t="s">
        <v>6164</v>
      </c>
      <c r="C1560" s="1">
        <v>42632</v>
      </c>
      <c r="D1560" s="22">
        <f>MONTH(Table10[[#This Row],[Order Date]])</f>
        <v>9</v>
      </c>
      <c r="E1560" t="s">
        <v>6165</v>
      </c>
      <c r="F1560" t="s">
        <v>6166</v>
      </c>
      <c r="G1560" s="23" t="s">
        <v>41</v>
      </c>
      <c r="H1560" s="23" t="s">
        <v>513</v>
      </c>
      <c r="I1560" t="s">
        <v>1763</v>
      </c>
      <c r="J1560" t="s">
        <v>22</v>
      </c>
      <c r="K1560" s="22">
        <v>2</v>
      </c>
      <c r="L1560" s="1">
        <v>42636</v>
      </c>
      <c r="M1560" s="22">
        <f>Table10[[#This Row],[Ship Date]]-Table10[[#This Row],[Order Date]]</f>
        <v>4</v>
      </c>
      <c r="N1560" t="s">
        <v>45</v>
      </c>
      <c r="O1560" t="s">
        <v>23</v>
      </c>
      <c r="P1560" t="s">
        <v>1125</v>
      </c>
      <c r="Q1560" t="s">
        <v>26</v>
      </c>
      <c r="R1560" t="s">
        <v>440</v>
      </c>
      <c r="S1560" s="33">
        <v>0</v>
      </c>
      <c r="T1560" s="13">
        <v>5.04</v>
      </c>
      <c r="U1560" s="13">
        <v>0.1512</v>
      </c>
      <c r="V1560" s="21">
        <f>Table10[[#This Row],[Profit]]/Table10[[#This Row],[Sales]]</f>
        <v>0.03</v>
      </c>
    </row>
    <row r="1561" spans="1:22" x14ac:dyDescent="0.2">
      <c r="A1561">
        <v>1560</v>
      </c>
      <c r="B1561" t="s">
        <v>6164</v>
      </c>
      <c r="C1561" s="1">
        <v>42632</v>
      </c>
      <c r="D1561" s="22">
        <f>MONTH(Table10[[#This Row],[Order Date]])</f>
        <v>9</v>
      </c>
      <c r="E1561" t="s">
        <v>4012</v>
      </c>
      <c r="F1561" t="s">
        <v>4013</v>
      </c>
      <c r="G1561" s="23" t="s">
        <v>64</v>
      </c>
      <c r="H1561" s="23" t="s">
        <v>144</v>
      </c>
      <c r="I1561" t="s">
        <v>1763</v>
      </c>
      <c r="J1561" t="s">
        <v>22</v>
      </c>
      <c r="K1561" s="22">
        <v>5</v>
      </c>
      <c r="L1561" s="1">
        <v>42636</v>
      </c>
      <c r="M1561" s="22">
        <f>Table10[[#This Row],[Ship Date]]-Table10[[#This Row],[Order Date]]</f>
        <v>4</v>
      </c>
      <c r="N1561" t="s">
        <v>45</v>
      </c>
      <c r="O1561" t="s">
        <v>23</v>
      </c>
      <c r="P1561" t="s">
        <v>1125</v>
      </c>
      <c r="Q1561" t="s">
        <v>26</v>
      </c>
      <c r="R1561" t="s">
        <v>440</v>
      </c>
      <c r="S1561" s="33">
        <v>0</v>
      </c>
      <c r="T1561" s="13">
        <v>249.95</v>
      </c>
      <c r="U1561" s="13">
        <v>107.4785</v>
      </c>
      <c r="V1561" s="21">
        <f>Table10[[#This Row],[Profit]]/Table10[[#This Row],[Sales]]</f>
        <v>0.43</v>
      </c>
    </row>
    <row r="1562" spans="1:22" x14ac:dyDescent="0.2">
      <c r="A1562">
        <v>1561</v>
      </c>
      <c r="B1562" t="s">
        <v>6878</v>
      </c>
      <c r="C1562" s="1">
        <v>42632</v>
      </c>
      <c r="D1562" s="22">
        <f>MONTH(Table10[[#This Row],[Order Date]])</f>
        <v>9</v>
      </c>
      <c r="E1562" t="s">
        <v>6879</v>
      </c>
      <c r="F1562" t="s">
        <v>6880</v>
      </c>
      <c r="G1562" s="23" t="s">
        <v>28</v>
      </c>
      <c r="H1562" s="23" t="s">
        <v>58</v>
      </c>
      <c r="I1562" t="s">
        <v>2946</v>
      </c>
      <c r="J1562" t="s">
        <v>92</v>
      </c>
      <c r="K1562" s="22">
        <v>3</v>
      </c>
      <c r="L1562" s="1">
        <v>42635</v>
      </c>
      <c r="M1562" s="22">
        <f>Table10[[#This Row],[Ship Date]]-Table10[[#This Row],[Order Date]]</f>
        <v>3</v>
      </c>
      <c r="N1562" t="s">
        <v>169</v>
      </c>
      <c r="O1562" t="s">
        <v>23</v>
      </c>
      <c r="P1562" t="s">
        <v>132</v>
      </c>
      <c r="Q1562" t="s">
        <v>133</v>
      </c>
      <c r="R1562" t="s">
        <v>131</v>
      </c>
      <c r="S1562" s="33">
        <v>0.2</v>
      </c>
      <c r="T1562" s="13">
        <v>25.632000000000001</v>
      </c>
      <c r="U1562" s="13">
        <v>3.8448000000000002</v>
      </c>
      <c r="V1562" s="21">
        <f>Table10[[#This Row],[Profit]]/Table10[[#This Row],[Sales]]</f>
        <v>0.15</v>
      </c>
    </row>
    <row r="1563" spans="1:22" x14ac:dyDescent="0.2">
      <c r="A1563">
        <v>1562</v>
      </c>
      <c r="B1563" t="s">
        <v>7014</v>
      </c>
      <c r="C1563" s="1">
        <v>42632</v>
      </c>
      <c r="D1563" s="22">
        <f>MONTH(Table10[[#This Row],[Order Date]])</f>
        <v>9</v>
      </c>
      <c r="E1563" t="s">
        <v>2026</v>
      </c>
      <c r="F1563" t="s">
        <v>2027</v>
      </c>
      <c r="G1563" s="23" t="s">
        <v>41</v>
      </c>
      <c r="H1563" s="23" t="s">
        <v>68</v>
      </c>
      <c r="I1563" t="s">
        <v>1878</v>
      </c>
      <c r="J1563" t="s">
        <v>92</v>
      </c>
      <c r="K1563" s="22">
        <v>3</v>
      </c>
      <c r="L1563" s="1">
        <v>42637</v>
      </c>
      <c r="M1563" s="22">
        <f>Table10[[#This Row],[Ship Date]]-Table10[[#This Row],[Order Date]]</f>
        <v>5</v>
      </c>
      <c r="N1563" t="s">
        <v>20</v>
      </c>
      <c r="O1563" t="s">
        <v>23</v>
      </c>
      <c r="P1563" t="s">
        <v>38</v>
      </c>
      <c r="Q1563" t="s">
        <v>39</v>
      </c>
      <c r="R1563" t="s">
        <v>114</v>
      </c>
      <c r="S1563" s="33">
        <v>0.2</v>
      </c>
      <c r="T1563" s="13">
        <v>11.952</v>
      </c>
      <c r="U1563" s="13">
        <v>4.1832000000000003</v>
      </c>
      <c r="V1563" s="21">
        <f>Table10[[#This Row],[Profit]]/Table10[[#This Row],[Sales]]</f>
        <v>0.35000000000000003</v>
      </c>
    </row>
    <row r="1564" spans="1:22" x14ac:dyDescent="0.2">
      <c r="A1564">
        <v>1563</v>
      </c>
      <c r="B1564" t="s">
        <v>7014</v>
      </c>
      <c r="C1564" s="1">
        <v>42632</v>
      </c>
      <c r="D1564" s="22">
        <f>MONTH(Table10[[#This Row],[Order Date]])</f>
        <v>9</v>
      </c>
      <c r="E1564" t="s">
        <v>7015</v>
      </c>
      <c r="F1564" t="s">
        <v>7016</v>
      </c>
      <c r="G1564" s="23" t="s">
        <v>41</v>
      </c>
      <c r="H1564" s="23" t="s">
        <v>513</v>
      </c>
      <c r="I1564" t="s">
        <v>1878</v>
      </c>
      <c r="J1564" t="s">
        <v>92</v>
      </c>
      <c r="K1564" s="22">
        <v>3</v>
      </c>
      <c r="L1564" s="1">
        <v>42637</v>
      </c>
      <c r="M1564" s="22">
        <f>Table10[[#This Row],[Ship Date]]-Table10[[#This Row],[Order Date]]</f>
        <v>5</v>
      </c>
      <c r="N1564" t="s">
        <v>20</v>
      </c>
      <c r="O1564" t="s">
        <v>23</v>
      </c>
      <c r="P1564" t="s">
        <v>38</v>
      </c>
      <c r="Q1564" t="s">
        <v>39</v>
      </c>
      <c r="R1564" t="s">
        <v>114</v>
      </c>
      <c r="S1564" s="33">
        <v>0</v>
      </c>
      <c r="T1564" s="13">
        <v>6.24</v>
      </c>
      <c r="U1564" s="13">
        <v>1.8720000000000001</v>
      </c>
      <c r="V1564" s="21">
        <f>Table10[[#This Row],[Profit]]/Table10[[#This Row],[Sales]]</f>
        <v>0.3</v>
      </c>
    </row>
    <row r="1565" spans="1:22" x14ac:dyDescent="0.2">
      <c r="A1565">
        <v>1564</v>
      </c>
      <c r="B1565" t="s">
        <v>8546</v>
      </c>
      <c r="C1565" s="1">
        <v>42632</v>
      </c>
      <c r="D1565" s="22">
        <f>MONTH(Table10[[#This Row],[Order Date]])</f>
        <v>9</v>
      </c>
      <c r="E1565" t="s">
        <v>247</v>
      </c>
      <c r="F1565" t="s">
        <v>248</v>
      </c>
      <c r="G1565" s="23" t="s">
        <v>41</v>
      </c>
      <c r="H1565" s="23" t="s">
        <v>53</v>
      </c>
      <c r="I1565" t="s">
        <v>1795</v>
      </c>
      <c r="J1565" t="s">
        <v>22</v>
      </c>
      <c r="K1565" s="22">
        <v>2</v>
      </c>
      <c r="L1565" s="1">
        <v>42635</v>
      </c>
      <c r="M1565" s="22">
        <f>Table10[[#This Row],[Ship Date]]-Table10[[#This Row],[Order Date]]</f>
        <v>3</v>
      </c>
      <c r="N1565" t="s">
        <v>169</v>
      </c>
      <c r="O1565" t="s">
        <v>23</v>
      </c>
      <c r="P1565" t="s">
        <v>1235</v>
      </c>
      <c r="Q1565" t="s">
        <v>133</v>
      </c>
      <c r="R1565" t="s">
        <v>3161</v>
      </c>
      <c r="S1565" s="33">
        <v>0</v>
      </c>
      <c r="T1565" s="13">
        <v>69.52</v>
      </c>
      <c r="U1565" s="13">
        <v>17.38</v>
      </c>
      <c r="V1565" s="21">
        <f>Table10[[#This Row],[Profit]]/Table10[[#This Row],[Sales]]</f>
        <v>0.25</v>
      </c>
    </row>
    <row r="1566" spans="1:22" x14ac:dyDescent="0.2">
      <c r="A1566">
        <v>1565</v>
      </c>
      <c r="B1566" t="s">
        <v>9266</v>
      </c>
      <c r="C1566" s="1">
        <v>42632</v>
      </c>
      <c r="D1566" s="22">
        <f>MONTH(Table10[[#This Row],[Order Date]])</f>
        <v>9</v>
      </c>
      <c r="E1566" t="s">
        <v>323</v>
      </c>
      <c r="F1566" t="s">
        <v>324</v>
      </c>
      <c r="G1566" s="23" t="s">
        <v>41</v>
      </c>
      <c r="H1566" s="23" t="s">
        <v>68</v>
      </c>
      <c r="I1566" t="s">
        <v>2897</v>
      </c>
      <c r="J1566" t="s">
        <v>36</v>
      </c>
      <c r="K1566" s="22">
        <v>2</v>
      </c>
      <c r="L1566" s="1">
        <v>42636</v>
      </c>
      <c r="M1566" s="22">
        <f>Table10[[#This Row],[Ship Date]]-Table10[[#This Row],[Order Date]]</f>
        <v>4</v>
      </c>
      <c r="N1566" t="s">
        <v>45</v>
      </c>
      <c r="O1566" t="s">
        <v>23</v>
      </c>
      <c r="P1566" t="s">
        <v>38</v>
      </c>
      <c r="Q1566" t="s">
        <v>39</v>
      </c>
      <c r="R1566" t="s">
        <v>114</v>
      </c>
      <c r="S1566" s="33">
        <v>0.2</v>
      </c>
      <c r="T1566" s="13">
        <v>8.9280000000000008</v>
      </c>
      <c r="U1566" s="13">
        <v>3.1248</v>
      </c>
      <c r="V1566" s="21">
        <f>Table10[[#This Row],[Profit]]/Table10[[#This Row],[Sales]]</f>
        <v>0.35</v>
      </c>
    </row>
    <row r="1567" spans="1:22" x14ac:dyDescent="0.2">
      <c r="A1567">
        <v>1566</v>
      </c>
      <c r="B1567" t="s">
        <v>5914</v>
      </c>
      <c r="C1567" s="1">
        <v>42633</v>
      </c>
      <c r="D1567" s="22">
        <f>MONTH(Table10[[#This Row],[Order Date]])</f>
        <v>9</v>
      </c>
      <c r="E1567" t="s">
        <v>5645</v>
      </c>
      <c r="F1567" t="s">
        <v>5646</v>
      </c>
      <c r="G1567" s="23" t="s">
        <v>41</v>
      </c>
      <c r="H1567" s="23" t="s">
        <v>82</v>
      </c>
      <c r="I1567" t="s">
        <v>4931</v>
      </c>
      <c r="J1567" t="s">
        <v>36</v>
      </c>
      <c r="K1567" s="22">
        <v>9</v>
      </c>
      <c r="L1567" s="1">
        <v>42637</v>
      </c>
      <c r="M1567" s="22">
        <f>Table10[[#This Row],[Ship Date]]-Table10[[#This Row],[Order Date]]</f>
        <v>4</v>
      </c>
      <c r="N1567" t="s">
        <v>45</v>
      </c>
      <c r="O1567" t="s">
        <v>23</v>
      </c>
      <c r="P1567" t="s">
        <v>38</v>
      </c>
      <c r="Q1567" t="s">
        <v>39</v>
      </c>
      <c r="R1567" t="s">
        <v>114</v>
      </c>
      <c r="S1567" s="33">
        <v>0</v>
      </c>
      <c r="T1567" s="13">
        <v>65.790000000000006</v>
      </c>
      <c r="U1567" s="13">
        <v>30.263400000000001</v>
      </c>
      <c r="V1567" s="21">
        <f>Table10[[#This Row],[Profit]]/Table10[[#This Row],[Sales]]</f>
        <v>0.45999999999999996</v>
      </c>
    </row>
    <row r="1568" spans="1:22" x14ac:dyDescent="0.2">
      <c r="A1568">
        <v>1567</v>
      </c>
      <c r="B1568" t="s">
        <v>5914</v>
      </c>
      <c r="C1568" s="1">
        <v>42633</v>
      </c>
      <c r="D1568" s="22">
        <f>MONTH(Table10[[#This Row],[Order Date]])</f>
        <v>9</v>
      </c>
      <c r="E1568" t="s">
        <v>88</v>
      </c>
      <c r="F1568" t="s">
        <v>89</v>
      </c>
      <c r="G1568" s="23" t="s">
        <v>41</v>
      </c>
      <c r="H1568" s="23" t="s">
        <v>68</v>
      </c>
      <c r="I1568" t="s">
        <v>4931</v>
      </c>
      <c r="J1568" t="s">
        <v>36</v>
      </c>
      <c r="K1568" s="22">
        <v>2</v>
      </c>
      <c r="L1568" s="1">
        <v>42637</v>
      </c>
      <c r="M1568" s="22">
        <f>Table10[[#This Row],[Ship Date]]-Table10[[#This Row],[Order Date]]</f>
        <v>4</v>
      </c>
      <c r="N1568" t="s">
        <v>45</v>
      </c>
      <c r="O1568" t="s">
        <v>23</v>
      </c>
      <c r="P1568" t="s">
        <v>38</v>
      </c>
      <c r="Q1568" t="s">
        <v>39</v>
      </c>
      <c r="R1568" t="s">
        <v>114</v>
      </c>
      <c r="S1568" s="33">
        <v>0.2</v>
      </c>
      <c r="T1568" s="13">
        <v>271.98399999999998</v>
      </c>
      <c r="U1568" s="13">
        <v>88.394800000000004</v>
      </c>
      <c r="V1568" s="21">
        <f>Table10[[#This Row],[Profit]]/Table10[[#This Row],[Sales]]</f>
        <v>0.32500000000000001</v>
      </c>
    </row>
    <row r="1569" spans="1:22" x14ac:dyDescent="0.2">
      <c r="A1569">
        <v>1568</v>
      </c>
      <c r="B1569" t="s">
        <v>5914</v>
      </c>
      <c r="C1569" s="1">
        <v>42633</v>
      </c>
      <c r="D1569" s="22">
        <f>MONTH(Table10[[#This Row],[Order Date]])</f>
        <v>9</v>
      </c>
      <c r="E1569" t="s">
        <v>519</v>
      </c>
      <c r="F1569" t="s">
        <v>520</v>
      </c>
      <c r="G1569" s="23" t="s">
        <v>41</v>
      </c>
      <c r="H1569" s="23" t="s">
        <v>61</v>
      </c>
      <c r="I1569" t="s">
        <v>4931</v>
      </c>
      <c r="J1569" t="s">
        <v>36</v>
      </c>
      <c r="K1569" s="22">
        <v>4</v>
      </c>
      <c r="L1569" s="1">
        <v>42637</v>
      </c>
      <c r="M1569" s="22">
        <f>Table10[[#This Row],[Ship Date]]-Table10[[#This Row],[Order Date]]</f>
        <v>4</v>
      </c>
      <c r="N1569" t="s">
        <v>45</v>
      </c>
      <c r="O1569" t="s">
        <v>23</v>
      </c>
      <c r="P1569" t="s">
        <v>38</v>
      </c>
      <c r="Q1569" t="s">
        <v>39</v>
      </c>
      <c r="R1569" t="s">
        <v>114</v>
      </c>
      <c r="S1569" s="33">
        <v>0</v>
      </c>
      <c r="T1569" s="13">
        <v>11.76</v>
      </c>
      <c r="U1569" s="13">
        <v>3.1751999999999998</v>
      </c>
      <c r="V1569" s="21">
        <f>Table10[[#This Row],[Profit]]/Table10[[#This Row],[Sales]]</f>
        <v>0.26999999999999996</v>
      </c>
    </row>
    <row r="1570" spans="1:22" x14ac:dyDescent="0.2">
      <c r="A1570">
        <v>1569</v>
      </c>
      <c r="B1570" t="s">
        <v>5914</v>
      </c>
      <c r="C1570" s="1">
        <v>42633</v>
      </c>
      <c r="D1570" s="22">
        <f>MONTH(Table10[[#This Row],[Order Date]])</f>
        <v>9</v>
      </c>
      <c r="E1570" t="s">
        <v>5204</v>
      </c>
      <c r="F1570" t="s">
        <v>5205</v>
      </c>
      <c r="G1570" s="23" t="s">
        <v>41</v>
      </c>
      <c r="H1570" s="23" t="s">
        <v>82</v>
      </c>
      <c r="I1570" t="s">
        <v>4931</v>
      </c>
      <c r="J1570" t="s">
        <v>36</v>
      </c>
      <c r="K1570" s="22">
        <v>2</v>
      </c>
      <c r="L1570" s="1">
        <v>42637</v>
      </c>
      <c r="M1570" s="22">
        <f>Table10[[#This Row],[Ship Date]]-Table10[[#This Row],[Order Date]]</f>
        <v>4</v>
      </c>
      <c r="N1570" t="s">
        <v>45</v>
      </c>
      <c r="O1570" t="s">
        <v>23</v>
      </c>
      <c r="P1570" t="s">
        <v>38</v>
      </c>
      <c r="Q1570" t="s">
        <v>39</v>
      </c>
      <c r="R1570" t="s">
        <v>114</v>
      </c>
      <c r="S1570" s="33">
        <v>0</v>
      </c>
      <c r="T1570" s="13">
        <v>77.52</v>
      </c>
      <c r="U1570" s="13">
        <v>37.9848</v>
      </c>
      <c r="V1570" s="21">
        <f>Table10[[#This Row],[Profit]]/Table10[[#This Row],[Sales]]</f>
        <v>0.49000000000000005</v>
      </c>
    </row>
    <row r="1571" spans="1:22" x14ac:dyDescent="0.2">
      <c r="A1571">
        <v>1570</v>
      </c>
      <c r="B1571" t="s">
        <v>5914</v>
      </c>
      <c r="C1571" s="1">
        <v>42633</v>
      </c>
      <c r="D1571" s="22">
        <f>MONTH(Table10[[#This Row],[Order Date]])</f>
        <v>9</v>
      </c>
      <c r="E1571" t="s">
        <v>3455</v>
      </c>
      <c r="F1571" t="s">
        <v>3456</v>
      </c>
      <c r="G1571" s="23" t="s">
        <v>41</v>
      </c>
      <c r="H1571" s="23" t="s">
        <v>68</v>
      </c>
      <c r="I1571" t="s">
        <v>4931</v>
      </c>
      <c r="J1571" t="s">
        <v>36</v>
      </c>
      <c r="K1571" s="22">
        <v>2</v>
      </c>
      <c r="L1571" s="1">
        <v>42637</v>
      </c>
      <c r="M1571" s="22">
        <f>Table10[[#This Row],[Ship Date]]-Table10[[#This Row],[Order Date]]</f>
        <v>4</v>
      </c>
      <c r="N1571" t="s">
        <v>45</v>
      </c>
      <c r="O1571" t="s">
        <v>23</v>
      </c>
      <c r="P1571" t="s">
        <v>38</v>
      </c>
      <c r="Q1571" t="s">
        <v>39</v>
      </c>
      <c r="R1571" t="s">
        <v>114</v>
      </c>
      <c r="S1571" s="33">
        <v>0.2</v>
      </c>
      <c r="T1571" s="13">
        <v>48.64</v>
      </c>
      <c r="U1571" s="13">
        <v>15.808</v>
      </c>
      <c r="V1571" s="21">
        <f>Table10[[#This Row],[Profit]]/Table10[[#This Row],[Sales]]</f>
        <v>0.32500000000000001</v>
      </c>
    </row>
    <row r="1572" spans="1:22" x14ac:dyDescent="0.2">
      <c r="A1572">
        <v>1571</v>
      </c>
      <c r="B1572" t="s">
        <v>7602</v>
      </c>
      <c r="C1572" s="1">
        <v>42633</v>
      </c>
      <c r="D1572" s="22">
        <f>MONTH(Table10[[#This Row],[Order Date]])</f>
        <v>9</v>
      </c>
      <c r="E1572" t="s">
        <v>5394</v>
      </c>
      <c r="F1572" t="s">
        <v>5395</v>
      </c>
      <c r="G1572" s="23" t="s">
        <v>28</v>
      </c>
      <c r="H1572" s="23" t="s">
        <v>58</v>
      </c>
      <c r="I1572" t="s">
        <v>3909</v>
      </c>
      <c r="J1572" t="s">
        <v>36</v>
      </c>
      <c r="K1572" s="22">
        <v>2</v>
      </c>
      <c r="L1572" s="1">
        <v>42638</v>
      </c>
      <c r="M1572" s="22">
        <f>Table10[[#This Row],[Ship Date]]-Table10[[#This Row],[Order Date]]</f>
        <v>5</v>
      </c>
      <c r="N1572" t="s">
        <v>45</v>
      </c>
      <c r="O1572" t="s">
        <v>23</v>
      </c>
      <c r="P1572" t="s">
        <v>80</v>
      </c>
      <c r="Q1572" t="s">
        <v>26</v>
      </c>
      <c r="R1572" t="s">
        <v>3963</v>
      </c>
      <c r="S1572" s="33">
        <v>0.2</v>
      </c>
      <c r="T1572" s="13">
        <v>17.088000000000001</v>
      </c>
      <c r="U1572" s="13">
        <v>1.0680000000000001</v>
      </c>
      <c r="V1572" s="21">
        <f>Table10[[#This Row],[Profit]]/Table10[[#This Row],[Sales]]</f>
        <v>6.25E-2</v>
      </c>
    </row>
    <row r="1573" spans="1:22" x14ac:dyDescent="0.2">
      <c r="A1573">
        <v>1572</v>
      </c>
      <c r="B1573" t="s">
        <v>7602</v>
      </c>
      <c r="C1573" s="1">
        <v>42633</v>
      </c>
      <c r="D1573" s="22">
        <f>MONTH(Table10[[#This Row],[Order Date]])</f>
        <v>9</v>
      </c>
      <c r="E1573" t="s">
        <v>2803</v>
      </c>
      <c r="F1573" t="s">
        <v>2804</v>
      </c>
      <c r="G1573" s="23" t="s">
        <v>28</v>
      </c>
      <c r="H1573" s="23" t="s">
        <v>32</v>
      </c>
      <c r="I1573" t="s">
        <v>3909</v>
      </c>
      <c r="J1573" t="s">
        <v>36</v>
      </c>
      <c r="K1573" s="22">
        <v>1</v>
      </c>
      <c r="L1573" s="1">
        <v>42638</v>
      </c>
      <c r="M1573" s="22">
        <f>Table10[[#This Row],[Ship Date]]-Table10[[#This Row],[Order Date]]</f>
        <v>5</v>
      </c>
      <c r="N1573" t="s">
        <v>45</v>
      </c>
      <c r="O1573" t="s">
        <v>23</v>
      </c>
      <c r="P1573" t="s">
        <v>80</v>
      </c>
      <c r="Q1573" t="s">
        <v>26</v>
      </c>
      <c r="R1573" t="s">
        <v>3963</v>
      </c>
      <c r="S1573" s="33">
        <v>0.2</v>
      </c>
      <c r="T1573" s="13">
        <v>98.391999999999996</v>
      </c>
      <c r="U1573" s="13">
        <v>-11.069100000000001</v>
      </c>
      <c r="V1573" s="21">
        <f>Table10[[#This Row],[Profit]]/Table10[[#This Row],[Sales]]</f>
        <v>-0.11250000000000002</v>
      </c>
    </row>
    <row r="1574" spans="1:22" x14ac:dyDescent="0.2">
      <c r="A1574">
        <v>1573</v>
      </c>
      <c r="B1574" t="s">
        <v>9021</v>
      </c>
      <c r="C1574" s="1">
        <v>42633</v>
      </c>
      <c r="D1574" s="22">
        <f>MONTH(Table10[[#This Row],[Order Date]])</f>
        <v>9</v>
      </c>
      <c r="E1574" t="s">
        <v>4077</v>
      </c>
      <c r="F1574" t="s">
        <v>4078</v>
      </c>
      <c r="G1574" s="23" t="s">
        <v>41</v>
      </c>
      <c r="H1574" s="23" t="s">
        <v>71</v>
      </c>
      <c r="I1574" t="s">
        <v>3382</v>
      </c>
      <c r="J1574" t="s">
        <v>22</v>
      </c>
      <c r="K1574" s="22">
        <v>5</v>
      </c>
      <c r="L1574" s="1">
        <v>42637</v>
      </c>
      <c r="M1574" s="22">
        <f>Table10[[#This Row],[Ship Date]]-Table10[[#This Row],[Order Date]]</f>
        <v>4</v>
      </c>
      <c r="N1574" t="s">
        <v>45</v>
      </c>
      <c r="O1574" t="s">
        <v>23</v>
      </c>
      <c r="P1574" t="s">
        <v>238</v>
      </c>
      <c r="Q1574" t="s">
        <v>133</v>
      </c>
      <c r="R1574" t="s">
        <v>237</v>
      </c>
      <c r="S1574" s="33">
        <v>0</v>
      </c>
      <c r="T1574" s="13">
        <v>393.25</v>
      </c>
      <c r="U1574" s="13">
        <v>129.77250000000001</v>
      </c>
      <c r="V1574" s="21">
        <f>Table10[[#This Row],[Profit]]/Table10[[#This Row],[Sales]]</f>
        <v>0.33</v>
      </c>
    </row>
    <row r="1575" spans="1:22" x14ac:dyDescent="0.2">
      <c r="A1575">
        <v>1574</v>
      </c>
      <c r="B1575" t="s">
        <v>9280</v>
      </c>
      <c r="C1575" s="1">
        <v>42633</v>
      </c>
      <c r="D1575" s="22">
        <f>MONTH(Table10[[#This Row],[Order Date]])</f>
        <v>9</v>
      </c>
      <c r="E1575" t="s">
        <v>6289</v>
      </c>
      <c r="F1575" t="s">
        <v>6290</v>
      </c>
      <c r="G1575" s="23" t="s">
        <v>41</v>
      </c>
      <c r="H1575" s="23" t="s">
        <v>68</v>
      </c>
      <c r="I1575" t="s">
        <v>5082</v>
      </c>
      <c r="J1575" t="s">
        <v>22</v>
      </c>
      <c r="K1575" s="22">
        <v>5</v>
      </c>
      <c r="L1575" s="1">
        <v>42637</v>
      </c>
      <c r="M1575" s="22">
        <f>Table10[[#This Row],[Ship Date]]-Table10[[#This Row],[Order Date]]</f>
        <v>4</v>
      </c>
      <c r="N1575" t="s">
        <v>45</v>
      </c>
      <c r="O1575" t="s">
        <v>23</v>
      </c>
      <c r="P1575" t="s">
        <v>212</v>
      </c>
      <c r="Q1575" t="s">
        <v>95</v>
      </c>
      <c r="R1575" t="s">
        <v>5779</v>
      </c>
      <c r="S1575" s="33">
        <v>0</v>
      </c>
      <c r="T1575" s="13">
        <v>83.7</v>
      </c>
      <c r="U1575" s="13">
        <v>41.012999999999998</v>
      </c>
      <c r="V1575" s="21">
        <f>Table10[[#This Row],[Profit]]/Table10[[#This Row],[Sales]]</f>
        <v>0.48999999999999994</v>
      </c>
    </row>
    <row r="1576" spans="1:22" x14ac:dyDescent="0.2">
      <c r="A1576">
        <v>1575</v>
      </c>
      <c r="B1576" t="s">
        <v>9742</v>
      </c>
      <c r="C1576" s="1">
        <v>42633</v>
      </c>
      <c r="D1576" s="22">
        <f>MONTH(Table10[[#This Row],[Order Date]])</f>
        <v>9</v>
      </c>
      <c r="E1576" t="s">
        <v>6551</v>
      </c>
      <c r="F1576" t="s">
        <v>6552</v>
      </c>
      <c r="G1576" s="23" t="s">
        <v>28</v>
      </c>
      <c r="H1576" s="23" t="s">
        <v>29</v>
      </c>
      <c r="I1576" t="s">
        <v>5955</v>
      </c>
      <c r="J1576" t="s">
        <v>92</v>
      </c>
      <c r="K1576" s="22">
        <v>2</v>
      </c>
      <c r="L1576" s="1">
        <v>42637</v>
      </c>
      <c r="M1576" s="22">
        <f>Table10[[#This Row],[Ship Date]]-Table10[[#This Row],[Order Date]]</f>
        <v>4</v>
      </c>
      <c r="N1576" t="s">
        <v>45</v>
      </c>
      <c r="O1576" t="s">
        <v>23</v>
      </c>
      <c r="P1576" t="s">
        <v>87</v>
      </c>
      <c r="Q1576" t="s">
        <v>39</v>
      </c>
      <c r="R1576" t="s">
        <v>86</v>
      </c>
      <c r="S1576" s="33">
        <v>0</v>
      </c>
      <c r="T1576" s="13">
        <v>163.88</v>
      </c>
      <c r="U1576" s="13">
        <v>40.97</v>
      </c>
      <c r="V1576" s="21">
        <f>Table10[[#This Row],[Profit]]/Table10[[#This Row],[Sales]]</f>
        <v>0.25</v>
      </c>
    </row>
    <row r="1577" spans="1:22" x14ac:dyDescent="0.2">
      <c r="A1577">
        <v>1576</v>
      </c>
      <c r="B1577" t="s">
        <v>6080</v>
      </c>
      <c r="C1577" s="1">
        <v>42635</v>
      </c>
      <c r="D1577" s="22">
        <f>MONTH(Table10[[#This Row],[Order Date]])</f>
        <v>9</v>
      </c>
      <c r="E1577" t="s">
        <v>5088</v>
      </c>
      <c r="F1577" t="s">
        <v>5089</v>
      </c>
      <c r="G1577" s="23" t="s">
        <v>41</v>
      </c>
      <c r="H1577" s="23" t="s">
        <v>61</v>
      </c>
      <c r="I1577" t="s">
        <v>518</v>
      </c>
      <c r="J1577" t="s">
        <v>36</v>
      </c>
      <c r="K1577" s="22">
        <v>3</v>
      </c>
      <c r="L1577" s="1">
        <v>42642</v>
      </c>
      <c r="M1577" s="22">
        <f>Table10[[#This Row],[Ship Date]]-Table10[[#This Row],[Order Date]]</f>
        <v>7</v>
      </c>
      <c r="N1577" t="s">
        <v>45</v>
      </c>
      <c r="O1577" t="s">
        <v>23</v>
      </c>
      <c r="P1577" t="s">
        <v>299</v>
      </c>
      <c r="Q1577" t="s">
        <v>26</v>
      </c>
      <c r="R1577" t="s">
        <v>3345</v>
      </c>
      <c r="S1577" s="33">
        <v>0.2</v>
      </c>
      <c r="T1577" s="13">
        <v>40.776000000000003</v>
      </c>
      <c r="U1577" s="13">
        <v>4.5872999999999999</v>
      </c>
      <c r="V1577" s="21">
        <f>Table10[[#This Row],[Profit]]/Table10[[#This Row],[Sales]]</f>
        <v>0.11249999999999999</v>
      </c>
    </row>
    <row r="1578" spans="1:22" x14ac:dyDescent="0.2">
      <c r="A1578">
        <v>1577</v>
      </c>
      <c r="B1578" t="s">
        <v>6080</v>
      </c>
      <c r="C1578" s="1">
        <v>42635</v>
      </c>
      <c r="D1578" s="22">
        <f>MONTH(Table10[[#This Row],[Order Date]])</f>
        <v>9</v>
      </c>
      <c r="E1578" t="s">
        <v>6081</v>
      </c>
      <c r="F1578" t="s">
        <v>6082</v>
      </c>
      <c r="G1578" s="23" t="s">
        <v>64</v>
      </c>
      <c r="H1578" s="23" t="s">
        <v>65</v>
      </c>
      <c r="I1578" t="s">
        <v>518</v>
      </c>
      <c r="J1578" t="s">
        <v>36</v>
      </c>
      <c r="K1578" s="22">
        <v>8</v>
      </c>
      <c r="L1578" s="1">
        <v>42642</v>
      </c>
      <c r="M1578" s="22">
        <f>Table10[[#This Row],[Ship Date]]-Table10[[#This Row],[Order Date]]</f>
        <v>7</v>
      </c>
      <c r="N1578" t="s">
        <v>45</v>
      </c>
      <c r="O1578" t="s">
        <v>23</v>
      </c>
      <c r="P1578" t="s">
        <v>299</v>
      </c>
      <c r="Q1578" t="s">
        <v>26</v>
      </c>
      <c r="R1578" t="s">
        <v>3345</v>
      </c>
      <c r="S1578" s="33">
        <v>0.2</v>
      </c>
      <c r="T1578" s="13">
        <v>63.936</v>
      </c>
      <c r="U1578" s="13">
        <v>5.5944000000000003</v>
      </c>
      <c r="V1578" s="21">
        <f>Table10[[#This Row],[Profit]]/Table10[[#This Row],[Sales]]</f>
        <v>8.7500000000000008E-2</v>
      </c>
    </row>
    <row r="1579" spans="1:22" x14ac:dyDescent="0.2">
      <c r="A1579">
        <v>1578</v>
      </c>
      <c r="B1579" t="s">
        <v>6374</v>
      </c>
      <c r="C1579" s="1">
        <v>42635</v>
      </c>
      <c r="D1579" s="22">
        <f>MONTH(Table10[[#This Row],[Order Date]])</f>
        <v>9</v>
      </c>
      <c r="E1579" t="s">
        <v>6375</v>
      </c>
      <c r="F1579" t="s">
        <v>6376</v>
      </c>
      <c r="G1579" s="23" t="s">
        <v>41</v>
      </c>
      <c r="H1579" s="23" t="s">
        <v>61</v>
      </c>
      <c r="I1579" t="s">
        <v>4890</v>
      </c>
      <c r="J1579" t="s">
        <v>22</v>
      </c>
      <c r="K1579" s="22">
        <v>3</v>
      </c>
      <c r="L1579" s="1">
        <v>42641</v>
      </c>
      <c r="M1579" s="22">
        <f>Table10[[#This Row],[Ship Date]]-Table10[[#This Row],[Order Date]]</f>
        <v>6</v>
      </c>
      <c r="N1579" t="s">
        <v>45</v>
      </c>
      <c r="O1579" t="s">
        <v>23</v>
      </c>
      <c r="P1579" t="s">
        <v>132</v>
      </c>
      <c r="Q1579" t="s">
        <v>133</v>
      </c>
      <c r="R1579" t="s">
        <v>131</v>
      </c>
      <c r="S1579" s="33">
        <v>0.2</v>
      </c>
      <c r="T1579" s="13">
        <v>7.8719999999999999</v>
      </c>
      <c r="U1579" s="13">
        <v>0.88560000000000005</v>
      </c>
      <c r="V1579" s="21">
        <f>Table10[[#This Row],[Profit]]/Table10[[#This Row],[Sales]]</f>
        <v>0.1125</v>
      </c>
    </row>
    <row r="1580" spans="1:22" x14ac:dyDescent="0.2">
      <c r="A1580">
        <v>1579</v>
      </c>
      <c r="B1580" t="s">
        <v>6941</v>
      </c>
      <c r="C1580" s="1">
        <v>42635</v>
      </c>
      <c r="D1580" s="22">
        <f>MONTH(Table10[[#This Row],[Order Date]])</f>
        <v>9</v>
      </c>
      <c r="E1580" t="s">
        <v>2608</v>
      </c>
      <c r="F1580" t="s">
        <v>2609</v>
      </c>
      <c r="G1580" s="23" t="s">
        <v>41</v>
      </c>
      <c r="H1580" s="23" t="s">
        <v>68</v>
      </c>
      <c r="I1580" t="s">
        <v>4173</v>
      </c>
      <c r="J1580" t="s">
        <v>22</v>
      </c>
      <c r="K1580" s="22">
        <v>9</v>
      </c>
      <c r="L1580" s="1">
        <v>42639</v>
      </c>
      <c r="M1580" s="22">
        <f>Table10[[#This Row],[Ship Date]]-Table10[[#This Row],[Order Date]]</f>
        <v>4</v>
      </c>
      <c r="N1580" t="s">
        <v>45</v>
      </c>
      <c r="O1580" t="s">
        <v>23</v>
      </c>
      <c r="P1580" t="s">
        <v>48</v>
      </c>
      <c r="Q1580" t="s">
        <v>26</v>
      </c>
      <c r="R1580" t="s">
        <v>1195</v>
      </c>
      <c r="S1580" s="33">
        <v>0.7</v>
      </c>
      <c r="T1580" s="13">
        <v>7.5060000000000002</v>
      </c>
      <c r="U1580" s="13">
        <v>-6.0048000000000004</v>
      </c>
      <c r="V1580" s="21">
        <f>Table10[[#This Row],[Profit]]/Table10[[#This Row],[Sales]]</f>
        <v>-0.8</v>
      </c>
    </row>
    <row r="1581" spans="1:22" x14ac:dyDescent="0.2">
      <c r="A1581">
        <v>1580</v>
      </c>
      <c r="B1581" t="s">
        <v>6941</v>
      </c>
      <c r="C1581" s="1">
        <v>42635</v>
      </c>
      <c r="D1581" s="22">
        <f>MONTH(Table10[[#This Row],[Order Date]])</f>
        <v>9</v>
      </c>
      <c r="E1581" t="s">
        <v>1128</v>
      </c>
      <c r="F1581" t="s">
        <v>1129</v>
      </c>
      <c r="G1581" s="23" t="s">
        <v>41</v>
      </c>
      <c r="H1581" s="23" t="s">
        <v>42</v>
      </c>
      <c r="I1581" t="s">
        <v>4173</v>
      </c>
      <c r="J1581" t="s">
        <v>22</v>
      </c>
      <c r="K1581" s="22">
        <v>2</v>
      </c>
      <c r="L1581" s="1">
        <v>42639</v>
      </c>
      <c r="M1581" s="22">
        <f>Table10[[#This Row],[Ship Date]]-Table10[[#This Row],[Order Date]]</f>
        <v>4</v>
      </c>
      <c r="N1581" t="s">
        <v>45</v>
      </c>
      <c r="O1581" t="s">
        <v>23</v>
      </c>
      <c r="P1581" t="s">
        <v>48</v>
      </c>
      <c r="Q1581" t="s">
        <v>26</v>
      </c>
      <c r="R1581" t="s">
        <v>1195</v>
      </c>
      <c r="S1581" s="33">
        <v>0.2</v>
      </c>
      <c r="T1581" s="13">
        <v>16.559999999999999</v>
      </c>
      <c r="U1581" s="13">
        <v>5.7960000000000003</v>
      </c>
      <c r="V1581" s="21">
        <f>Table10[[#This Row],[Profit]]/Table10[[#This Row],[Sales]]</f>
        <v>0.35000000000000003</v>
      </c>
    </row>
    <row r="1582" spans="1:22" x14ac:dyDescent="0.2">
      <c r="A1582">
        <v>1581</v>
      </c>
      <c r="B1582" t="s">
        <v>8139</v>
      </c>
      <c r="C1582" s="1">
        <v>42635</v>
      </c>
      <c r="D1582" s="22">
        <f>MONTH(Table10[[#This Row],[Order Date]])</f>
        <v>9</v>
      </c>
      <c r="E1582" t="s">
        <v>5662</v>
      </c>
      <c r="F1582" t="s">
        <v>5663</v>
      </c>
      <c r="G1582" s="23" t="s">
        <v>28</v>
      </c>
      <c r="H1582" s="23" t="s">
        <v>58</v>
      </c>
      <c r="I1582" t="s">
        <v>2601</v>
      </c>
      <c r="J1582" t="s">
        <v>92</v>
      </c>
      <c r="K1582" s="22">
        <v>2</v>
      </c>
      <c r="L1582" s="1">
        <v>42641</v>
      </c>
      <c r="M1582" s="22">
        <f>Table10[[#This Row],[Ship Date]]-Table10[[#This Row],[Order Date]]</f>
        <v>6</v>
      </c>
      <c r="N1582" t="s">
        <v>45</v>
      </c>
      <c r="O1582" t="s">
        <v>23</v>
      </c>
      <c r="P1582" t="s">
        <v>25</v>
      </c>
      <c r="Q1582" t="s">
        <v>26</v>
      </c>
      <c r="R1582" t="s">
        <v>1303</v>
      </c>
      <c r="S1582" s="33">
        <v>0</v>
      </c>
      <c r="T1582" s="13">
        <v>13.28</v>
      </c>
      <c r="U1582" s="13">
        <v>6.3743999999999996</v>
      </c>
      <c r="V1582" s="21">
        <f>Table10[[#This Row],[Profit]]/Table10[[#This Row],[Sales]]</f>
        <v>0.48</v>
      </c>
    </row>
    <row r="1583" spans="1:22" x14ac:dyDescent="0.2">
      <c r="A1583">
        <v>1582</v>
      </c>
      <c r="B1583" t="s">
        <v>8662</v>
      </c>
      <c r="C1583" s="1">
        <v>42635</v>
      </c>
      <c r="D1583" s="22">
        <f>MONTH(Table10[[#This Row],[Order Date]])</f>
        <v>9</v>
      </c>
      <c r="E1583" t="s">
        <v>2123</v>
      </c>
      <c r="F1583" t="s">
        <v>2124</v>
      </c>
      <c r="G1583" s="23" t="s">
        <v>41</v>
      </c>
      <c r="H1583" s="23" t="s">
        <v>42</v>
      </c>
      <c r="I1583" t="s">
        <v>2716</v>
      </c>
      <c r="J1583" t="s">
        <v>92</v>
      </c>
      <c r="K1583" s="22">
        <v>5</v>
      </c>
      <c r="L1583" s="1">
        <v>42642</v>
      </c>
      <c r="M1583" s="22">
        <f>Table10[[#This Row],[Ship Date]]-Table10[[#This Row],[Order Date]]</f>
        <v>7</v>
      </c>
      <c r="N1583" t="s">
        <v>45</v>
      </c>
      <c r="O1583" t="s">
        <v>23</v>
      </c>
      <c r="P1583" t="s">
        <v>132</v>
      </c>
      <c r="Q1583" t="s">
        <v>133</v>
      </c>
      <c r="R1583" t="s">
        <v>131</v>
      </c>
      <c r="S1583" s="33">
        <v>0.2</v>
      </c>
      <c r="T1583" s="13">
        <v>16.52</v>
      </c>
      <c r="U1583" s="13">
        <v>5.3689999999999998</v>
      </c>
      <c r="V1583" s="21">
        <f>Table10[[#This Row],[Profit]]/Table10[[#This Row],[Sales]]</f>
        <v>0.32500000000000001</v>
      </c>
    </row>
    <row r="1584" spans="1:22" x14ac:dyDescent="0.2">
      <c r="A1584">
        <v>1583</v>
      </c>
      <c r="B1584" t="s">
        <v>9095</v>
      </c>
      <c r="C1584" s="1">
        <v>42635</v>
      </c>
      <c r="D1584" s="22">
        <f>MONTH(Table10[[#This Row],[Order Date]])</f>
        <v>9</v>
      </c>
      <c r="E1584" t="s">
        <v>329</v>
      </c>
      <c r="F1584" t="s">
        <v>330</v>
      </c>
      <c r="G1584" s="23" t="s">
        <v>41</v>
      </c>
      <c r="H1584" s="23" t="s">
        <v>53</v>
      </c>
      <c r="I1584" t="s">
        <v>3315</v>
      </c>
      <c r="J1584" t="s">
        <v>92</v>
      </c>
      <c r="K1584" s="22">
        <v>6</v>
      </c>
      <c r="L1584" s="1">
        <v>42638</v>
      </c>
      <c r="M1584" s="22">
        <f>Table10[[#This Row],[Ship Date]]-Table10[[#This Row],[Order Date]]</f>
        <v>3</v>
      </c>
      <c r="N1584" t="s">
        <v>169</v>
      </c>
      <c r="O1584" t="s">
        <v>23</v>
      </c>
      <c r="P1584" t="s">
        <v>238</v>
      </c>
      <c r="Q1584" t="s">
        <v>133</v>
      </c>
      <c r="R1584" t="s">
        <v>237</v>
      </c>
      <c r="S1584" s="33">
        <v>0</v>
      </c>
      <c r="T1584" s="13">
        <v>128.34</v>
      </c>
      <c r="U1584" s="13">
        <v>37.218600000000002</v>
      </c>
      <c r="V1584" s="21">
        <f>Table10[[#This Row],[Profit]]/Table10[[#This Row],[Sales]]</f>
        <v>0.29000000000000004</v>
      </c>
    </row>
    <row r="1585" spans="1:22" x14ac:dyDescent="0.2">
      <c r="A1585">
        <v>1584</v>
      </c>
      <c r="B1585" t="s">
        <v>9841</v>
      </c>
      <c r="C1585" s="1">
        <v>42635</v>
      </c>
      <c r="D1585" s="22">
        <f>MONTH(Table10[[#This Row],[Order Date]])</f>
        <v>9</v>
      </c>
      <c r="E1585" t="s">
        <v>4949</v>
      </c>
      <c r="F1585" t="s">
        <v>4950</v>
      </c>
      <c r="G1585" s="23" t="s">
        <v>41</v>
      </c>
      <c r="H1585" s="23" t="s">
        <v>82</v>
      </c>
      <c r="I1585" t="s">
        <v>5364</v>
      </c>
      <c r="J1585" t="s">
        <v>22</v>
      </c>
      <c r="K1585" s="22">
        <v>6</v>
      </c>
      <c r="L1585" s="1">
        <v>42641</v>
      </c>
      <c r="M1585" s="22">
        <f>Table10[[#This Row],[Ship Date]]-Table10[[#This Row],[Order Date]]</f>
        <v>6</v>
      </c>
      <c r="N1585" t="s">
        <v>45</v>
      </c>
      <c r="O1585" t="s">
        <v>23</v>
      </c>
      <c r="P1585" t="s">
        <v>226</v>
      </c>
      <c r="Q1585" t="s">
        <v>95</v>
      </c>
      <c r="R1585" t="s">
        <v>1308</v>
      </c>
      <c r="S1585" s="33">
        <v>0</v>
      </c>
      <c r="T1585" s="13">
        <v>35.880000000000003</v>
      </c>
      <c r="U1585" s="13">
        <v>16.146000000000001</v>
      </c>
      <c r="V1585" s="21">
        <f>Table10[[#This Row],[Profit]]/Table10[[#This Row],[Sales]]</f>
        <v>0.45</v>
      </c>
    </row>
    <row r="1586" spans="1:22" x14ac:dyDescent="0.2">
      <c r="A1586">
        <v>1585</v>
      </c>
      <c r="B1586" t="s">
        <v>9909</v>
      </c>
      <c r="C1586" s="1">
        <v>42635</v>
      </c>
      <c r="D1586" s="22">
        <f>MONTH(Table10[[#This Row],[Order Date]])</f>
        <v>9</v>
      </c>
      <c r="E1586" t="s">
        <v>1362</v>
      </c>
      <c r="F1586" t="s">
        <v>1363</v>
      </c>
      <c r="G1586" s="23" t="s">
        <v>28</v>
      </c>
      <c r="H1586" s="23" t="s">
        <v>58</v>
      </c>
      <c r="I1586" t="s">
        <v>3108</v>
      </c>
      <c r="J1586" t="s">
        <v>36</v>
      </c>
      <c r="K1586" s="22">
        <v>7</v>
      </c>
      <c r="L1586" s="1">
        <v>42640</v>
      </c>
      <c r="M1586" s="22">
        <f>Table10[[#This Row],[Ship Date]]-Table10[[#This Row],[Order Date]]</f>
        <v>5</v>
      </c>
      <c r="N1586" t="s">
        <v>45</v>
      </c>
      <c r="O1586" t="s">
        <v>23</v>
      </c>
      <c r="P1586" t="s">
        <v>405</v>
      </c>
      <c r="Q1586" t="s">
        <v>39</v>
      </c>
      <c r="R1586" t="s">
        <v>4250</v>
      </c>
      <c r="S1586" s="33">
        <v>0.2</v>
      </c>
      <c r="T1586" s="13">
        <v>68.432000000000002</v>
      </c>
      <c r="U1586" s="13">
        <v>8.5540000000000003</v>
      </c>
      <c r="V1586" s="21">
        <f>Table10[[#This Row],[Profit]]/Table10[[#This Row],[Sales]]</f>
        <v>0.125</v>
      </c>
    </row>
    <row r="1587" spans="1:22" x14ac:dyDescent="0.2">
      <c r="A1587">
        <v>1586</v>
      </c>
      <c r="B1587" t="s">
        <v>10011</v>
      </c>
      <c r="C1587" s="1">
        <v>42635</v>
      </c>
      <c r="D1587" s="22">
        <f>MONTH(Table10[[#This Row],[Order Date]])</f>
        <v>9</v>
      </c>
      <c r="E1587" t="s">
        <v>5490</v>
      </c>
      <c r="F1587" t="s">
        <v>5491</v>
      </c>
      <c r="G1587" s="23" t="s">
        <v>28</v>
      </c>
      <c r="H1587" s="23" t="s">
        <v>58</v>
      </c>
      <c r="I1587" t="s">
        <v>2128</v>
      </c>
      <c r="J1587" t="s">
        <v>36</v>
      </c>
      <c r="K1587" s="22">
        <v>2</v>
      </c>
      <c r="L1587" s="1">
        <v>42639</v>
      </c>
      <c r="M1587" s="22">
        <f>Table10[[#This Row],[Ship Date]]-Table10[[#This Row],[Order Date]]</f>
        <v>4</v>
      </c>
      <c r="N1587" t="s">
        <v>45</v>
      </c>
      <c r="O1587" t="s">
        <v>23</v>
      </c>
      <c r="P1587" t="s">
        <v>103</v>
      </c>
      <c r="Q1587" t="s">
        <v>95</v>
      </c>
      <c r="R1587" t="s">
        <v>1631</v>
      </c>
      <c r="S1587" s="33">
        <v>0</v>
      </c>
      <c r="T1587" s="13">
        <v>18.96</v>
      </c>
      <c r="U1587" s="13">
        <v>7.5839999999999996</v>
      </c>
      <c r="V1587" s="21">
        <f>Table10[[#This Row],[Profit]]/Table10[[#This Row],[Sales]]</f>
        <v>0.39999999999999997</v>
      </c>
    </row>
    <row r="1588" spans="1:22" x14ac:dyDescent="0.2">
      <c r="A1588">
        <v>1587</v>
      </c>
      <c r="B1588" t="s">
        <v>10083</v>
      </c>
      <c r="C1588" s="1">
        <v>42635</v>
      </c>
      <c r="D1588" s="22">
        <f>MONTH(Table10[[#This Row],[Order Date]])</f>
        <v>9</v>
      </c>
      <c r="E1588" t="s">
        <v>3049</v>
      </c>
      <c r="F1588" t="s">
        <v>3050</v>
      </c>
      <c r="G1588" s="23" t="s">
        <v>41</v>
      </c>
      <c r="H1588" s="23" t="s">
        <v>155</v>
      </c>
      <c r="I1588" t="s">
        <v>3493</v>
      </c>
      <c r="J1588" t="s">
        <v>92</v>
      </c>
      <c r="K1588" s="22">
        <v>2</v>
      </c>
      <c r="L1588" s="1">
        <v>42637</v>
      </c>
      <c r="M1588" s="22">
        <f>Table10[[#This Row],[Ship Date]]-Table10[[#This Row],[Order Date]]</f>
        <v>2</v>
      </c>
      <c r="N1588" t="s">
        <v>20</v>
      </c>
      <c r="O1588" t="s">
        <v>23</v>
      </c>
      <c r="P1588" t="s">
        <v>441</v>
      </c>
      <c r="Q1588" t="s">
        <v>133</v>
      </c>
      <c r="R1588" t="s">
        <v>3414</v>
      </c>
      <c r="S1588" s="33">
        <v>0.2</v>
      </c>
      <c r="T1588" s="13">
        <v>63.968000000000004</v>
      </c>
      <c r="U1588" s="13">
        <v>19.989999999999998</v>
      </c>
      <c r="V1588" s="21">
        <f>Table10[[#This Row],[Profit]]/Table10[[#This Row],[Sales]]</f>
        <v>0.31249999999999994</v>
      </c>
    </row>
    <row r="1589" spans="1:22" x14ac:dyDescent="0.2">
      <c r="A1589">
        <v>1588</v>
      </c>
      <c r="B1589" t="s">
        <v>10137</v>
      </c>
      <c r="C1589" s="1">
        <v>42635</v>
      </c>
      <c r="D1589" s="22">
        <f>MONTH(Table10[[#This Row],[Order Date]])</f>
        <v>9</v>
      </c>
      <c r="E1589" t="s">
        <v>2501</v>
      </c>
      <c r="F1589" t="s">
        <v>2502</v>
      </c>
      <c r="G1589" s="23" t="s">
        <v>41</v>
      </c>
      <c r="H1589" s="23" t="s">
        <v>82</v>
      </c>
      <c r="I1589" t="s">
        <v>439</v>
      </c>
      <c r="J1589" t="s">
        <v>22</v>
      </c>
      <c r="K1589" s="22">
        <v>7</v>
      </c>
      <c r="L1589" s="1">
        <v>42641</v>
      </c>
      <c r="M1589" s="22">
        <f>Table10[[#This Row],[Ship Date]]-Table10[[#This Row],[Order Date]]</f>
        <v>6</v>
      </c>
      <c r="N1589" t="s">
        <v>45</v>
      </c>
      <c r="O1589" t="s">
        <v>23</v>
      </c>
      <c r="P1589" t="s">
        <v>212</v>
      </c>
      <c r="Q1589" t="s">
        <v>95</v>
      </c>
      <c r="R1589" t="s">
        <v>5779</v>
      </c>
      <c r="S1589" s="33">
        <v>0</v>
      </c>
      <c r="T1589" s="13">
        <v>35.56</v>
      </c>
      <c r="U1589" s="13">
        <v>16.713200000000001</v>
      </c>
      <c r="V1589" s="21">
        <f>Table10[[#This Row],[Profit]]/Table10[[#This Row],[Sales]]</f>
        <v>0.47</v>
      </c>
    </row>
    <row r="1590" spans="1:22" x14ac:dyDescent="0.2">
      <c r="A1590">
        <v>1589</v>
      </c>
      <c r="B1590" t="s">
        <v>10137</v>
      </c>
      <c r="C1590" s="1">
        <v>42635</v>
      </c>
      <c r="D1590" s="22">
        <f>MONTH(Table10[[#This Row],[Order Date]])</f>
        <v>9</v>
      </c>
      <c r="E1590" t="s">
        <v>6954</v>
      </c>
      <c r="F1590" t="s">
        <v>6955</v>
      </c>
      <c r="G1590" s="23" t="s">
        <v>64</v>
      </c>
      <c r="H1590" s="23" t="s">
        <v>65</v>
      </c>
      <c r="I1590" t="s">
        <v>439</v>
      </c>
      <c r="J1590" t="s">
        <v>22</v>
      </c>
      <c r="K1590" s="22">
        <v>2</v>
      </c>
      <c r="L1590" s="1">
        <v>42641</v>
      </c>
      <c r="M1590" s="22">
        <f>Table10[[#This Row],[Ship Date]]-Table10[[#This Row],[Order Date]]</f>
        <v>6</v>
      </c>
      <c r="N1590" t="s">
        <v>45</v>
      </c>
      <c r="O1590" t="s">
        <v>23</v>
      </c>
      <c r="P1590" t="s">
        <v>212</v>
      </c>
      <c r="Q1590" t="s">
        <v>95</v>
      </c>
      <c r="R1590" t="s">
        <v>5779</v>
      </c>
      <c r="S1590" s="33">
        <v>0</v>
      </c>
      <c r="T1590" s="13">
        <v>97.98</v>
      </c>
      <c r="U1590" s="13">
        <v>27.4344</v>
      </c>
      <c r="V1590" s="21">
        <f>Table10[[#This Row],[Profit]]/Table10[[#This Row],[Sales]]</f>
        <v>0.27999999999999997</v>
      </c>
    </row>
    <row r="1591" spans="1:22" x14ac:dyDescent="0.2">
      <c r="A1591">
        <v>1590</v>
      </c>
      <c r="B1591" t="s">
        <v>4794</v>
      </c>
      <c r="C1591" s="1">
        <v>42636</v>
      </c>
      <c r="D1591" s="22">
        <f>MONTH(Table10[[#This Row],[Order Date]])</f>
        <v>9</v>
      </c>
      <c r="E1591" t="s">
        <v>4795</v>
      </c>
      <c r="F1591" t="s">
        <v>4796</v>
      </c>
      <c r="G1591" s="23" t="s">
        <v>28</v>
      </c>
      <c r="H1591" s="23" t="s">
        <v>58</v>
      </c>
      <c r="I1591" t="s">
        <v>953</v>
      </c>
      <c r="J1591" t="s">
        <v>36</v>
      </c>
      <c r="K1591" s="22">
        <v>6</v>
      </c>
      <c r="L1591" s="1">
        <v>42640</v>
      </c>
      <c r="M1591" s="22">
        <f>Table10[[#This Row],[Ship Date]]-Table10[[#This Row],[Order Date]]</f>
        <v>4</v>
      </c>
      <c r="N1591" t="s">
        <v>45</v>
      </c>
      <c r="O1591" t="s">
        <v>23</v>
      </c>
      <c r="P1591" t="s">
        <v>441</v>
      </c>
      <c r="Q1591" t="s">
        <v>133</v>
      </c>
      <c r="R1591" t="s">
        <v>659</v>
      </c>
      <c r="S1591" s="33">
        <v>0.2</v>
      </c>
      <c r="T1591" s="13">
        <v>532.70399999999995</v>
      </c>
      <c r="U1591" s="13">
        <v>-26.635200000000001</v>
      </c>
      <c r="V1591" s="21">
        <f>Table10[[#This Row],[Profit]]/Table10[[#This Row],[Sales]]</f>
        <v>-5.000000000000001E-2</v>
      </c>
    </row>
    <row r="1592" spans="1:22" x14ac:dyDescent="0.2">
      <c r="A1592">
        <v>1591</v>
      </c>
      <c r="B1592" t="s">
        <v>4794</v>
      </c>
      <c r="C1592" s="1">
        <v>42636</v>
      </c>
      <c r="D1592" s="22">
        <f>MONTH(Table10[[#This Row],[Order Date]])</f>
        <v>9</v>
      </c>
      <c r="E1592" t="s">
        <v>4797</v>
      </c>
      <c r="F1592" t="s">
        <v>4798</v>
      </c>
      <c r="G1592" s="23" t="s">
        <v>41</v>
      </c>
      <c r="H1592" s="23" t="s">
        <v>61</v>
      </c>
      <c r="I1592" t="s">
        <v>953</v>
      </c>
      <c r="J1592" t="s">
        <v>36</v>
      </c>
      <c r="K1592" s="22">
        <v>2</v>
      </c>
      <c r="L1592" s="1">
        <v>42640</v>
      </c>
      <c r="M1592" s="22">
        <f>Table10[[#This Row],[Ship Date]]-Table10[[#This Row],[Order Date]]</f>
        <v>4</v>
      </c>
      <c r="N1592" t="s">
        <v>45</v>
      </c>
      <c r="O1592" t="s">
        <v>23</v>
      </c>
      <c r="P1592" t="s">
        <v>441</v>
      </c>
      <c r="Q1592" t="s">
        <v>133</v>
      </c>
      <c r="R1592" t="s">
        <v>659</v>
      </c>
      <c r="S1592" s="33">
        <v>0.2</v>
      </c>
      <c r="T1592" s="13">
        <v>4.9119999999999999</v>
      </c>
      <c r="U1592" s="13">
        <v>0.307</v>
      </c>
      <c r="V1592" s="21">
        <f>Table10[[#This Row],[Profit]]/Table10[[#This Row],[Sales]]</f>
        <v>6.25E-2</v>
      </c>
    </row>
    <row r="1593" spans="1:22" x14ac:dyDescent="0.2">
      <c r="A1593">
        <v>1592</v>
      </c>
      <c r="B1593" t="s">
        <v>6185</v>
      </c>
      <c r="C1593" s="1">
        <v>42636</v>
      </c>
      <c r="D1593" s="22">
        <f>MONTH(Table10[[#This Row],[Order Date]])</f>
        <v>9</v>
      </c>
      <c r="E1593" t="s">
        <v>1366</v>
      </c>
      <c r="F1593" t="s">
        <v>1367</v>
      </c>
      <c r="G1593" s="23" t="s">
        <v>41</v>
      </c>
      <c r="H1593" s="23" t="s">
        <v>53</v>
      </c>
      <c r="I1593" t="s">
        <v>1176</v>
      </c>
      <c r="J1593" t="s">
        <v>22</v>
      </c>
      <c r="K1593" s="22">
        <v>5</v>
      </c>
      <c r="L1593" s="1">
        <v>42641</v>
      </c>
      <c r="M1593" s="22">
        <f>Table10[[#This Row],[Ship Date]]-Table10[[#This Row],[Order Date]]</f>
        <v>5</v>
      </c>
      <c r="N1593" t="s">
        <v>20</v>
      </c>
      <c r="O1593" t="s">
        <v>23</v>
      </c>
      <c r="P1593" t="s">
        <v>1125</v>
      </c>
      <c r="Q1593" t="s">
        <v>26</v>
      </c>
      <c r="R1593" t="s">
        <v>440</v>
      </c>
      <c r="S1593" s="33">
        <v>0</v>
      </c>
      <c r="T1593" s="13">
        <v>118.25</v>
      </c>
      <c r="U1593" s="13">
        <v>34.292499999999997</v>
      </c>
      <c r="V1593" s="21">
        <f>Table10[[#This Row],[Profit]]/Table10[[#This Row],[Sales]]</f>
        <v>0.28999999999999998</v>
      </c>
    </row>
    <row r="1594" spans="1:22" x14ac:dyDescent="0.2">
      <c r="A1594">
        <v>1593</v>
      </c>
      <c r="B1594" t="s">
        <v>6185</v>
      </c>
      <c r="C1594" s="1">
        <v>42636</v>
      </c>
      <c r="D1594" s="22">
        <f>MONTH(Table10[[#This Row],[Order Date]])</f>
        <v>9</v>
      </c>
      <c r="E1594" t="s">
        <v>4545</v>
      </c>
      <c r="F1594" t="s">
        <v>4546</v>
      </c>
      <c r="G1594" s="23" t="s">
        <v>28</v>
      </c>
      <c r="H1594" s="23" t="s">
        <v>32</v>
      </c>
      <c r="I1594" t="s">
        <v>1176</v>
      </c>
      <c r="J1594" t="s">
        <v>22</v>
      </c>
      <c r="K1594" s="22">
        <v>3</v>
      </c>
      <c r="L1594" s="1">
        <v>42641</v>
      </c>
      <c r="M1594" s="22">
        <f>Table10[[#This Row],[Ship Date]]-Table10[[#This Row],[Order Date]]</f>
        <v>5</v>
      </c>
      <c r="N1594" t="s">
        <v>20</v>
      </c>
      <c r="O1594" t="s">
        <v>23</v>
      </c>
      <c r="P1594" t="s">
        <v>1125</v>
      </c>
      <c r="Q1594" t="s">
        <v>26</v>
      </c>
      <c r="R1594" t="s">
        <v>440</v>
      </c>
      <c r="S1594" s="33">
        <v>0</v>
      </c>
      <c r="T1594" s="13">
        <v>368.97</v>
      </c>
      <c r="U1594" s="13">
        <v>81.173400000000001</v>
      </c>
      <c r="V1594" s="21">
        <f>Table10[[#This Row],[Profit]]/Table10[[#This Row],[Sales]]</f>
        <v>0.21999999999999997</v>
      </c>
    </row>
    <row r="1595" spans="1:22" x14ac:dyDescent="0.2">
      <c r="A1595">
        <v>1594</v>
      </c>
      <c r="B1595" t="s">
        <v>7328</v>
      </c>
      <c r="C1595" s="1">
        <v>42636</v>
      </c>
      <c r="D1595" s="22">
        <f>MONTH(Table10[[#This Row],[Order Date]])</f>
        <v>9</v>
      </c>
      <c r="E1595" t="s">
        <v>7329</v>
      </c>
      <c r="F1595" t="s">
        <v>7330</v>
      </c>
      <c r="G1595" s="23" t="s">
        <v>41</v>
      </c>
      <c r="H1595" s="23" t="s">
        <v>513</v>
      </c>
      <c r="I1595" t="s">
        <v>5789</v>
      </c>
      <c r="J1595" t="s">
        <v>36</v>
      </c>
      <c r="K1595" s="22">
        <v>2</v>
      </c>
      <c r="L1595" s="1">
        <v>42639</v>
      </c>
      <c r="M1595" s="22">
        <f>Table10[[#This Row],[Ship Date]]-Table10[[#This Row],[Order Date]]</f>
        <v>3</v>
      </c>
      <c r="N1595" t="s">
        <v>20</v>
      </c>
      <c r="O1595" t="s">
        <v>23</v>
      </c>
      <c r="P1595" t="s">
        <v>87</v>
      </c>
      <c r="Q1595" t="s">
        <v>39</v>
      </c>
      <c r="R1595" t="s">
        <v>86</v>
      </c>
      <c r="S1595" s="33">
        <v>0</v>
      </c>
      <c r="T1595" s="13">
        <v>13.68</v>
      </c>
      <c r="U1595" s="13">
        <v>3.6936</v>
      </c>
      <c r="V1595" s="21">
        <f>Table10[[#This Row],[Profit]]/Table10[[#This Row],[Sales]]</f>
        <v>0.27</v>
      </c>
    </row>
    <row r="1596" spans="1:22" x14ac:dyDescent="0.2">
      <c r="A1596">
        <v>1595</v>
      </c>
      <c r="B1596" t="s">
        <v>7375</v>
      </c>
      <c r="C1596" s="1">
        <v>42636</v>
      </c>
      <c r="D1596" s="22">
        <f>MONTH(Table10[[#This Row],[Order Date]])</f>
        <v>9</v>
      </c>
      <c r="E1596" t="s">
        <v>154</v>
      </c>
      <c r="F1596" t="s">
        <v>156</v>
      </c>
      <c r="G1596" s="23" t="s">
        <v>41</v>
      </c>
      <c r="H1596" s="23" t="s">
        <v>155</v>
      </c>
      <c r="I1596" t="s">
        <v>35</v>
      </c>
      <c r="J1596" t="s">
        <v>36</v>
      </c>
      <c r="K1596" s="22">
        <v>2</v>
      </c>
      <c r="L1596" s="1">
        <v>42639</v>
      </c>
      <c r="M1596" s="22">
        <f>Table10[[#This Row],[Ship Date]]-Table10[[#This Row],[Order Date]]</f>
        <v>3</v>
      </c>
      <c r="N1596" t="s">
        <v>169</v>
      </c>
      <c r="O1596" t="s">
        <v>23</v>
      </c>
      <c r="P1596" t="s">
        <v>38</v>
      </c>
      <c r="Q1596" t="s">
        <v>39</v>
      </c>
      <c r="R1596" t="s">
        <v>836</v>
      </c>
      <c r="S1596" s="33">
        <v>0</v>
      </c>
      <c r="T1596" s="13">
        <v>4.08</v>
      </c>
      <c r="U1596" s="13">
        <v>1.9176</v>
      </c>
      <c r="V1596" s="21">
        <f>Table10[[#This Row],[Profit]]/Table10[[#This Row],[Sales]]</f>
        <v>0.47</v>
      </c>
    </row>
    <row r="1597" spans="1:22" x14ac:dyDescent="0.2">
      <c r="A1597">
        <v>1596</v>
      </c>
      <c r="B1597" t="s">
        <v>7375</v>
      </c>
      <c r="C1597" s="1">
        <v>42636</v>
      </c>
      <c r="D1597" s="22">
        <f>MONTH(Table10[[#This Row],[Order Date]])</f>
        <v>9</v>
      </c>
      <c r="E1597" t="s">
        <v>626</v>
      </c>
      <c r="F1597" t="s">
        <v>627</v>
      </c>
      <c r="G1597" s="23" t="s">
        <v>41</v>
      </c>
      <c r="H1597" s="23" t="s">
        <v>42</v>
      </c>
      <c r="I1597" t="s">
        <v>35</v>
      </c>
      <c r="J1597" t="s">
        <v>36</v>
      </c>
      <c r="K1597" s="22">
        <v>3</v>
      </c>
      <c r="L1597" s="1">
        <v>42639</v>
      </c>
      <c r="M1597" s="22">
        <f>Table10[[#This Row],[Ship Date]]-Table10[[#This Row],[Order Date]]</f>
        <v>3</v>
      </c>
      <c r="N1597" t="s">
        <v>169</v>
      </c>
      <c r="O1597" t="s">
        <v>23</v>
      </c>
      <c r="P1597" t="s">
        <v>38</v>
      </c>
      <c r="Q1597" t="s">
        <v>39</v>
      </c>
      <c r="R1597" t="s">
        <v>836</v>
      </c>
      <c r="S1597" s="33">
        <v>0</v>
      </c>
      <c r="T1597" s="13">
        <v>18.899999999999999</v>
      </c>
      <c r="U1597" s="13">
        <v>8.6940000000000008</v>
      </c>
      <c r="V1597" s="21">
        <f>Table10[[#This Row],[Profit]]/Table10[[#This Row],[Sales]]</f>
        <v>0.46000000000000008</v>
      </c>
    </row>
    <row r="1598" spans="1:22" x14ac:dyDescent="0.2">
      <c r="A1598">
        <v>1597</v>
      </c>
      <c r="B1598" t="s">
        <v>7623</v>
      </c>
      <c r="C1598" s="1">
        <v>42636</v>
      </c>
      <c r="D1598" s="22">
        <f>MONTH(Table10[[#This Row],[Order Date]])</f>
        <v>9</v>
      </c>
      <c r="E1598" t="s">
        <v>2134</v>
      </c>
      <c r="F1598" t="s">
        <v>2135</v>
      </c>
      <c r="G1598" s="23" t="s">
        <v>41</v>
      </c>
      <c r="H1598" s="23" t="s">
        <v>68</v>
      </c>
      <c r="I1598" t="s">
        <v>4868</v>
      </c>
      <c r="J1598" t="s">
        <v>92</v>
      </c>
      <c r="K1598" s="22">
        <v>7</v>
      </c>
      <c r="L1598" s="1">
        <v>42641</v>
      </c>
      <c r="M1598" s="22">
        <f>Table10[[#This Row],[Ship Date]]-Table10[[#This Row],[Order Date]]</f>
        <v>5</v>
      </c>
      <c r="N1598" t="s">
        <v>20</v>
      </c>
      <c r="O1598" t="s">
        <v>23</v>
      </c>
      <c r="P1598" t="s">
        <v>238</v>
      </c>
      <c r="Q1598" t="s">
        <v>133</v>
      </c>
      <c r="R1598" t="s">
        <v>237</v>
      </c>
      <c r="S1598" s="33">
        <v>0.2</v>
      </c>
      <c r="T1598" s="13">
        <v>10.528</v>
      </c>
      <c r="U1598" s="13">
        <v>3.6848000000000001</v>
      </c>
      <c r="V1598" s="21">
        <f>Table10[[#This Row],[Profit]]/Table10[[#This Row],[Sales]]</f>
        <v>0.35</v>
      </c>
    </row>
    <row r="1599" spans="1:22" x14ac:dyDescent="0.2">
      <c r="A1599">
        <v>1598</v>
      </c>
      <c r="B1599" t="s">
        <v>7883</v>
      </c>
      <c r="C1599" s="1">
        <v>42636</v>
      </c>
      <c r="D1599" s="22">
        <f>MONTH(Table10[[#This Row],[Order Date]])</f>
        <v>9</v>
      </c>
      <c r="E1599" t="s">
        <v>3578</v>
      </c>
      <c r="F1599" t="s">
        <v>3579</v>
      </c>
      <c r="G1599" s="23" t="s">
        <v>41</v>
      </c>
      <c r="H1599" s="23" t="s">
        <v>82</v>
      </c>
      <c r="I1599" t="s">
        <v>1427</v>
      </c>
      <c r="J1599" t="s">
        <v>92</v>
      </c>
      <c r="K1599" s="22">
        <v>3</v>
      </c>
      <c r="L1599" s="1">
        <v>42639</v>
      </c>
      <c r="M1599" s="22">
        <f>Table10[[#This Row],[Ship Date]]-Table10[[#This Row],[Order Date]]</f>
        <v>3</v>
      </c>
      <c r="N1599" t="s">
        <v>20</v>
      </c>
      <c r="O1599" t="s">
        <v>23</v>
      </c>
      <c r="P1599" t="s">
        <v>441</v>
      </c>
      <c r="Q1599" t="s">
        <v>133</v>
      </c>
      <c r="R1599" t="s">
        <v>2174</v>
      </c>
      <c r="S1599" s="33">
        <v>0.2</v>
      </c>
      <c r="T1599" s="13">
        <v>11.952</v>
      </c>
      <c r="U1599" s="13">
        <v>4.0338000000000003</v>
      </c>
      <c r="V1599" s="21">
        <f>Table10[[#This Row],[Profit]]/Table10[[#This Row],[Sales]]</f>
        <v>0.33750000000000002</v>
      </c>
    </row>
    <row r="1600" spans="1:22" x14ac:dyDescent="0.2">
      <c r="A1600">
        <v>1599</v>
      </c>
      <c r="B1600" t="s">
        <v>7883</v>
      </c>
      <c r="C1600" s="1">
        <v>42636</v>
      </c>
      <c r="D1600" s="22">
        <f>MONTH(Table10[[#This Row],[Order Date]])</f>
        <v>9</v>
      </c>
      <c r="E1600" t="s">
        <v>5470</v>
      </c>
      <c r="F1600" t="s">
        <v>5471</v>
      </c>
      <c r="G1600" s="23" t="s">
        <v>28</v>
      </c>
      <c r="H1600" s="23" t="s">
        <v>58</v>
      </c>
      <c r="I1600" t="s">
        <v>1427</v>
      </c>
      <c r="J1600" t="s">
        <v>92</v>
      </c>
      <c r="K1600" s="22">
        <v>4</v>
      </c>
      <c r="L1600" s="1">
        <v>42639</v>
      </c>
      <c r="M1600" s="22">
        <f>Table10[[#This Row],[Ship Date]]-Table10[[#This Row],[Order Date]]</f>
        <v>3</v>
      </c>
      <c r="N1600" t="s">
        <v>20</v>
      </c>
      <c r="O1600" t="s">
        <v>23</v>
      </c>
      <c r="P1600" t="s">
        <v>441</v>
      </c>
      <c r="Q1600" t="s">
        <v>133</v>
      </c>
      <c r="R1600" t="s">
        <v>2174</v>
      </c>
      <c r="S1600" s="33">
        <v>0.2</v>
      </c>
      <c r="T1600" s="13">
        <v>28</v>
      </c>
      <c r="U1600" s="13">
        <v>7.7</v>
      </c>
      <c r="V1600" s="21">
        <f>Table10[[#This Row],[Profit]]/Table10[[#This Row],[Sales]]</f>
        <v>0.27500000000000002</v>
      </c>
    </row>
    <row r="1601" spans="1:22" x14ac:dyDescent="0.2">
      <c r="A1601">
        <v>1600</v>
      </c>
      <c r="B1601" t="s">
        <v>7883</v>
      </c>
      <c r="C1601" s="1">
        <v>42636</v>
      </c>
      <c r="D1601" s="22">
        <f>MONTH(Table10[[#This Row],[Order Date]])</f>
        <v>9</v>
      </c>
      <c r="E1601" t="s">
        <v>2401</v>
      </c>
      <c r="F1601" t="s">
        <v>2402</v>
      </c>
      <c r="G1601" s="23" t="s">
        <v>41</v>
      </c>
      <c r="H1601" s="23" t="s">
        <v>68</v>
      </c>
      <c r="I1601" t="s">
        <v>1427</v>
      </c>
      <c r="J1601" t="s">
        <v>92</v>
      </c>
      <c r="K1601" s="22">
        <v>7</v>
      </c>
      <c r="L1601" s="1">
        <v>42639</v>
      </c>
      <c r="M1601" s="22">
        <f>Table10[[#This Row],[Ship Date]]-Table10[[#This Row],[Order Date]]</f>
        <v>3</v>
      </c>
      <c r="N1601" t="s">
        <v>20</v>
      </c>
      <c r="O1601" t="s">
        <v>23</v>
      </c>
      <c r="P1601" t="s">
        <v>441</v>
      </c>
      <c r="Q1601" t="s">
        <v>133</v>
      </c>
      <c r="R1601" t="s">
        <v>2174</v>
      </c>
      <c r="S1601" s="33">
        <v>0.7</v>
      </c>
      <c r="T1601" s="13">
        <v>12.201000000000001</v>
      </c>
      <c r="U1601" s="13">
        <v>-9.7607999999999997</v>
      </c>
      <c r="V1601" s="21">
        <f>Table10[[#This Row],[Profit]]/Table10[[#This Row],[Sales]]</f>
        <v>-0.79999999999999993</v>
      </c>
    </row>
    <row r="1602" spans="1:22" x14ac:dyDescent="0.2">
      <c r="A1602">
        <v>1601</v>
      </c>
      <c r="B1602" t="s">
        <v>9780</v>
      </c>
      <c r="C1602" s="1">
        <v>42636</v>
      </c>
      <c r="D1602" s="22">
        <f>MONTH(Table10[[#This Row],[Order Date]])</f>
        <v>9</v>
      </c>
      <c r="E1602" t="s">
        <v>3170</v>
      </c>
      <c r="F1602" t="s">
        <v>3171</v>
      </c>
      <c r="G1602" s="23" t="s">
        <v>41</v>
      </c>
      <c r="H1602" s="23" t="s">
        <v>68</v>
      </c>
      <c r="I1602" t="s">
        <v>2324</v>
      </c>
      <c r="J1602" t="s">
        <v>36</v>
      </c>
      <c r="K1602" s="22">
        <v>4</v>
      </c>
      <c r="L1602" s="1">
        <v>42640</v>
      </c>
      <c r="M1602" s="22">
        <f>Table10[[#This Row],[Ship Date]]-Table10[[#This Row],[Order Date]]</f>
        <v>4</v>
      </c>
      <c r="N1602" t="s">
        <v>45</v>
      </c>
      <c r="O1602" t="s">
        <v>23</v>
      </c>
      <c r="P1602" t="s">
        <v>87</v>
      </c>
      <c r="Q1602" t="s">
        <v>39</v>
      </c>
      <c r="R1602" t="s">
        <v>86</v>
      </c>
      <c r="S1602" s="33">
        <v>0.2</v>
      </c>
      <c r="T1602" s="13">
        <v>13.215999999999999</v>
      </c>
      <c r="U1602" s="13">
        <v>4.4603999999999999</v>
      </c>
      <c r="V1602" s="21">
        <f>Table10[[#This Row],[Profit]]/Table10[[#This Row],[Sales]]</f>
        <v>0.33750000000000002</v>
      </c>
    </row>
    <row r="1603" spans="1:22" x14ac:dyDescent="0.2">
      <c r="A1603">
        <v>1602</v>
      </c>
      <c r="B1603" t="s">
        <v>9780</v>
      </c>
      <c r="C1603" s="1">
        <v>42636</v>
      </c>
      <c r="D1603" s="22">
        <f>MONTH(Table10[[#This Row],[Order Date]])</f>
        <v>9</v>
      </c>
      <c r="E1603" t="s">
        <v>1359</v>
      </c>
      <c r="F1603" t="s">
        <v>1360</v>
      </c>
      <c r="G1603" s="23" t="s">
        <v>28</v>
      </c>
      <c r="H1603" s="23" t="s">
        <v>32</v>
      </c>
      <c r="I1603" t="s">
        <v>2324</v>
      </c>
      <c r="J1603" t="s">
        <v>36</v>
      </c>
      <c r="K1603" s="22">
        <v>3</v>
      </c>
      <c r="L1603" s="1">
        <v>42640</v>
      </c>
      <c r="M1603" s="22">
        <f>Table10[[#This Row],[Ship Date]]-Table10[[#This Row],[Order Date]]</f>
        <v>4</v>
      </c>
      <c r="N1603" t="s">
        <v>45</v>
      </c>
      <c r="O1603" t="s">
        <v>23</v>
      </c>
      <c r="P1603" t="s">
        <v>87</v>
      </c>
      <c r="Q1603" t="s">
        <v>39</v>
      </c>
      <c r="R1603" t="s">
        <v>86</v>
      </c>
      <c r="S1603" s="33">
        <v>0.2</v>
      </c>
      <c r="T1603" s="13">
        <v>184.75200000000001</v>
      </c>
      <c r="U1603" s="13">
        <v>-20.784600000000001</v>
      </c>
      <c r="V1603" s="21">
        <f>Table10[[#This Row],[Profit]]/Table10[[#This Row],[Sales]]</f>
        <v>-0.1125</v>
      </c>
    </row>
    <row r="1604" spans="1:22" x14ac:dyDescent="0.2">
      <c r="A1604">
        <v>1603</v>
      </c>
      <c r="B1604" t="s">
        <v>3206</v>
      </c>
      <c r="C1604" s="1">
        <v>42637</v>
      </c>
      <c r="D1604" s="22">
        <f>MONTH(Table10[[#This Row],[Order Date]])</f>
        <v>9</v>
      </c>
      <c r="E1604" t="s">
        <v>2184</v>
      </c>
      <c r="F1604" t="s">
        <v>2185</v>
      </c>
      <c r="G1604" s="23" t="s">
        <v>28</v>
      </c>
      <c r="H1604" s="23" t="s">
        <v>32</v>
      </c>
      <c r="I1604" t="s">
        <v>101</v>
      </c>
      <c r="J1604" t="s">
        <v>22</v>
      </c>
      <c r="K1604" s="22">
        <v>2</v>
      </c>
      <c r="L1604" s="1">
        <v>42644</v>
      </c>
      <c r="M1604" s="22">
        <f>Table10[[#This Row],[Ship Date]]-Table10[[#This Row],[Order Date]]</f>
        <v>7</v>
      </c>
      <c r="N1604" t="s">
        <v>45</v>
      </c>
      <c r="O1604" t="s">
        <v>23</v>
      </c>
      <c r="P1604" t="s">
        <v>441</v>
      </c>
      <c r="Q1604" t="s">
        <v>133</v>
      </c>
      <c r="R1604" t="s">
        <v>440</v>
      </c>
      <c r="S1604" s="33">
        <v>0.3</v>
      </c>
      <c r="T1604" s="13">
        <v>155.37200000000001</v>
      </c>
      <c r="U1604" s="13">
        <v>-13.317600000000001</v>
      </c>
      <c r="V1604" s="21">
        <f>Table10[[#This Row],[Profit]]/Table10[[#This Row],[Sales]]</f>
        <v>-8.5714285714285715E-2</v>
      </c>
    </row>
    <row r="1605" spans="1:22" x14ac:dyDescent="0.2">
      <c r="A1605">
        <v>1604</v>
      </c>
      <c r="B1605" t="s">
        <v>4743</v>
      </c>
      <c r="C1605" s="1">
        <v>42637</v>
      </c>
      <c r="D1605" s="22">
        <f>MONTH(Table10[[#This Row],[Order Date]])</f>
        <v>9</v>
      </c>
      <c r="E1605" t="s">
        <v>733</v>
      </c>
      <c r="F1605" t="s">
        <v>734</v>
      </c>
      <c r="G1605" s="23" t="s">
        <v>41</v>
      </c>
      <c r="H1605" s="23" t="s">
        <v>53</v>
      </c>
      <c r="I1605" t="s">
        <v>1190</v>
      </c>
      <c r="J1605" t="s">
        <v>36</v>
      </c>
      <c r="K1605" s="22">
        <v>2</v>
      </c>
      <c r="L1605" s="1">
        <v>42639</v>
      </c>
      <c r="M1605" s="22">
        <f>Table10[[#This Row],[Ship Date]]-Table10[[#This Row],[Order Date]]</f>
        <v>2</v>
      </c>
      <c r="N1605" t="s">
        <v>20</v>
      </c>
      <c r="O1605" t="s">
        <v>23</v>
      </c>
      <c r="P1605" t="s">
        <v>38</v>
      </c>
      <c r="Q1605" t="s">
        <v>39</v>
      </c>
      <c r="R1605" t="s">
        <v>37</v>
      </c>
      <c r="S1605" s="33">
        <v>0</v>
      </c>
      <c r="T1605" s="13">
        <v>41.96</v>
      </c>
      <c r="U1605" s="13">
        <v>2.9371999999999998</v>
      </c>
      <c r="V1605" s="21">
        <f>Table10[[#This Row],[Profit]]/Table10[[#This Row],[Sales]]</f>
        <v>6.9999999999999993E-2</v>
      </c>
    </row>
    <row r="1606" spans="1:22" x14ac:dyDescent="0.2">
      <c r="A1606">
        <v>1605</v>
      </c>
      <c r="B1606" t="s">
        <v>4743</v>
      </c>
      <c r="C1606" s="1">
        <v>42637</v>
      </c>
      <c r="D1606" s="22">
        <f>MONTH(Table10[[#This Row],[Order Date]])</f>
        <v>9</v>
      </c>
      <c r="E1606" t="s">
        <v>4744</v>
      </c>
      <c r="F1606" t="s">
        <v>4745</v>
      </c>
      <c r="G1606" s="23" t="s">
        <v>41</v>
      </c>
      <c r="H1606" s="23" t="s">
        <v>82</v>
      </c>
      <c r="I1606" t="s">
        <v>1190</v>
      </c>
      <c r="J1606" t="s">
        <v>36</v>
      </c>
      <c r="K1606" s="22">
        <v>5</v>
      </c>
      <c r="L1606" s="1">
        <v>42639</v>
      </c>
      <c r="M1606" s="22">
        <f>Table10[[#This Row],[Ship Date]]-Table10[[#This Row],[Order Date]]</f>
        <v>2</v>
      </c>
      <c r="N1606" t="s">
        <v>20</v>
      </c>
      <c r="O1606" t="s">
        <v>23</v>
      </c>
      <c r="P1606" t="s">
        <v>38</v>
      </c>
      <c r="Q1606" t="s">
        <v>39</v>
      </c>
      <c r="R1606" t="s">
        <v>37</v>
      </c>
      <c r="S1606" s="33">
        <v>0</v>
      </c>
      <c r="T1606" s="13">
        <v>41.7</v>
      </c>
      <c r="U1606" s="13">
        <v>20.85</v>
      </c>
      <c r="V1606" s="21">
        <f>Table10[[#This Row],[Profit]]/Table10[[#This Row],[Sales]]</f>
        <v>0.5</v>
      </c>
    </row>
    <row r="1607" spans="1:22" x14ac:dyDescent="0.2">
      <c r="A1607">
        <v>1606</v>
      </c>
      <c r="B1607" t="s">
        <v>7441</v>
      </c>
      <c r="C1607" s="1">
        <v>42637</v>
      </c>
      <c r="D1607" s="22">
        <f>MONTH(Table10[[#This Row],[Order Date]])</f>
        <v>9</v>
      </c>
      <c r="E1607" t="s">
        <v>4759</v>
      </c>
      <c r="F1607" t="s">
        <v>4760</v>
      </c>
      <c r="G1607" s="23" t="s">
        <v>28</v>
      </c>
      <c r="H1607" s="23" t="s">
        <v>58</v>
      </c>
      <c r="I1607" t="s">
        <v>3648</v>
      </c>
      <c r="J1607" t="s">
        <v>36</v>
      </c>
      <c r="K1607" s="22">
        <v>5</v>
      </c>
      <c r="L1607" s="1">
        <v>42637</v>
      </c>
      <c r="M1607" s="22">
        <f>Table10[[#This Row],[Ship Date]]-Table10[[#This Row],[Order Date]]</f>
        <v>0</v>
      </c>
      <c r="N1607" t="s">
        <v>1141</v>
      </c>
      <c r="O1607" t="s">
        <v>23</v>
      </c>
      <c r="P1607" t="s">
        <v>38</v>
      </c>
      <c r="Q1607" t="s">
        <v>39</v>
      </c>
      <c r="R1607" t="s">
        <v>114</v>
      </c>
      <c r="S1607" s="33">
        <v>0</v>
      </c>
      <c r="T1607" s="13">
        <v>63.2</v>
      </c>
      <c r="U1607" s="13">
        <v>23.384</v>
      </c>
      <c r="V1607" s="21">
        <f>Table10[[#This Row],[Profit]]/Table10[[#This Row],[Sales]]</f>
        <v>0.37</v>
      </c>
    </row>
    <row r="1608" spans="1:22" x14ac:dyDescent="0.2">
      <c r="A1608">
        <v>1607</v>
      </c>
      <c r="B1608" t="s">
        <v>7645</v>
      </c>
      <c r="C1608" s="1">
        <v>42637</v>
      </c>
      <c r="D1608" s="22">
        <f>MONTH(Table10[[#This Row],[Order Date]])</f>
        <v>9</v>
      </c>
      <c r="E1608" t="s">
        <v>982</v>
      </c>
      <c r="F1608" t="s">
        <v>983</v>
      </c>
      <c r="G1608" s="23" t="s">
        <v>28</v>
      </c>
      <c r="H1608" s="23" t="s">
        <v>58</v>
      </c>
      <c r="I1608" t="s">
        <v>5152</v>
      </c>
      <c r="J1608" t="s">
        <v>92</v>
      </c>
      <c r="K1608" s="22">
        <v>2</v>
      </c>
      <c r="L1608" s="1">
        <v>42644</v>
      </c>
      <c r="M1608" s="22">
        <f>Table10[[#This Row],[Ship Date]]-Table10[[#This Row],[Order Date]]</f>
        <v>7</v>
      </c>
      <c r="N1608" t="s">
        <v>45</v>
      </c>
      <c r="O1608" t="s">
        <v>23</v>
      </c>
      <c r="P1608" t="s">
        <v>405</v>
      </c>
      <c r="Q1608" t="s">
        <v>39</v>
      </c>
      <c r="R1608" t="s">
        <v>404</v>
      </c>
      <c r="S1608" s="33">
        <v>0.2</v>
      </c>
      <c r="T1608" s="13">
        <v>21.44</v>
      </c>
      <c r="U1608" s="13">
        <v>7.5039999999999996</v>
      </c>
      <c r="V1608" s="21">
        <f>Table10[[#This Row],[Profit]]/Table10[[#This Row],[Sales]]</f>
        <v>0.35</v>
      </c>
    </row>
    <row r="1609" spans="1:22" x14ac:dyDescent="0.2">
      <c r="A1609">
        <v>1608</v>
      </c>
      <c r="B1609" t="s">
        <v>7645</v>
      </c>
      <c r="C1609" s="1">
        <v>42637</v>
      </c>
      <c r="D1609" s="22">
        <f>MONTH(Table10[[#This Row],[Order Date]])</f>
        <v>9</v>
      </c>
      <c r="E1609" t="s">
        <v>3658</v>
      </c>
      <c r="F1609" t="s">
        <v>3659</v>
      </c>
      <c r="G1609" s="23" t="s">
        <v>41</v>
      </c>
      <c r="H1609" s="23" t="s">
        <v>53</v>
      </c>
      <c r="I1609" t="s">
        <v>5152</v>
      </c>
      <c r="J1609" t="s">
        <v>92</v>
      </c>
      <c r="K1609" s="22">
        <v>9</v>
      </c>
      <c r="L1609" s="1">
        <v>42644</v>
      </c>
      <c r="M1609" s="22">
        <f>Table10[[#This Row],[Ship Date]]-Table10[[#This Row],[Order Date]]</f>
        <v>7</v>
      </c>
      <c r="N1609" t="s">
        <v>45</v>
      </c>
      <c r="O1609" t="s">
        <v>23</v>
      </c>
      <c r="P1609" t="s">
        <v>405</v>
      </c>
      <c r="Q1609" t="s">
        <v>39</v>
      </c>
      <c r="R1609" t="s">
        <v>404</v>
      </c>
      <c r="S1609" s="33">
        <v>0.2</v>
      </c>
      <c r="T1609" s="13">
        <v>511.05599999999998</v>
      </c>
      <c r="U1609" s="13">
        <v>-95.822999999999993</v>
      </c>
      <c r="V1609" s="21">
        <f>Table10[[#This Row],[Profit]]/Table10[[#This Row],[Sales]]</f>
        <v>-0.1875</v>
      </c>
    </row>
    <row r="1610" spans="1:22" x14ac:dyDescent="0.2">
      <c r="A1610">
        <v>1609</v>
      </c>
      <c r="B1610" t="s">
        <v>7658</v>
      </c>
      <c r="C1610" s="1">
        <v>42637</v>
      </c>
      <c r="D1610" s="22">
        <f>MONTH(Table10[[#This Row],[Order Date]])</f>
        <v>9</v>
      </c>
      <c r="E1610" t="s">
        <v>4280</v>
      </c>
      <c r="F1610" t="s">
        <v>4281</v>
      </c>
      <c r="G1610" s="23" t="s">
        <v>41</v>
      </c>
      <c r="H1610" s="23" t="s">
        <v>68</v>
      </c>
      <c r="I1610" t="s">
        <v>4134</v>
      </c>
      <c r="J1610" t="s">
        <v>22</v>
      </c>
      <c r="K1610" s="22">
        <v>1</v>
      </c>
      <c r="L1610" s="1">
        <v>42643</v>
      </c>
      <c r="M1610" s="22">
        <f>Table10[[#This Row],[Ship Date]]-Table10[[#This Row],[Order Date]]</f>
        <v>6</v>
      </c>
      <c r="N1610" t="s">
        <v>45</v>
      </c>
      <c r="O1610" t="s">
        <v>23</v>
      </c>
      <c r="P1610" t="s">
        <v>573</v>
      </c>
      <c r="Q1610" t="s">
        <v>95</v>
      </c>
      <c r="R1610" t="s">
        <v>6465</v>
      </c>
      <c r="S1610" s="33">
        <v>0</v>
      </c>
      <c r="T1610" s="13">
        <v>6.38</v>
      </c>
      <c r="U1610" s="13">
        <v>2.9348000000000001</v>
      </c>
      <c r="V1610" s="21">
        <f>Table10[[#This Row],[Profit]]/Table10[[#This Row],[Sales]]</f>
        <v>0.46</v>
      </c>
    </row>
    <row r="1611" spans="1:22" x14ac:dyDescent="0.2">
      <c r="A1611">
        <v>1610</v>
      </c>
      <c r="B1611" t="s">
        <v>7658</v>
      </c>
      <c r="C1611" s="1">
        <v>42637</v>
      </c>
      <c r="D1611" s="22">
        <f>MONTH(Table10[[#This Row],[Order Date]])</f>
        <v>9</v>
      </c>
      <c r="E1611" t="s">
        <v>249</v>
      </c>
      <c r="F1611" t="s">
        <v>250</v>
      </c>
      <c r="G1611" s="23" t="s">
        <v>41</v>
      </c>
      <c r="H1611" s="23" t="s">
        <v>82</v>
      </c>
      <c r="I1611" t="s">
        <v>4134</v>
      </c>
      <c r="J1611" t="s">
        <v>22</v>
      </c>
      <c r="K1611" s="22">
        <v>1</v>
      </c>
      <c r="L1611" s="1">
        <v>42643</v>
      </c>
      <c r="M1611" s="22">
        <f>Table10[[#This Row],[Ship Date]]-Table10[[#This Row],[Order Date]]</f>
        <v>6</v>
      </c>
      <c r="N1611" t="s">
        <v>45</v>
      </c>
      <c r="O1611" t="s">
        <v>23</v>
      </c>
      <c r="P1611" t="s">
        <v>573</v>
      </c>
      <c r="Q1611" t="s">
        <v>95</v>
      </c>
      <c r="R1611" t="s">
        <v>6465</v>
      </c>
      <c r="S1611" s="33">
        <v>0</v>
      </c>
      <c r="T1611" s="13">
        <v>6.48</v>
      </c>
      <c r="U1611" s="13">
        <v>3.1103999999999998</v>
      </c>
      <c r="V1611" s="21">
        <f>Table10[[#This Row],[Profit]]/Table10[[#This Row],[Sales]]</f>
        <v>0.47999999999999993</v>
      </c>
    </row>
    <row r="1612" spans="1:22" x14ac:dyDescent="0.2">
      <c r="A1612">
        <v>1611</v>
      </c>
      <c r="B1612" t="s">
        <v>7778</v>
      </c>
      <c r="C1612" s="1">
        <v>42637</v>
      </c>
      <c r="D1612" s="22">
        <f>MONTH(Table10[[#This Row],[Order Date]])</f>
        <v>9</v>
      </c>
      <c r="E1612" t="s">
        <v>408</v>
      </c>
      <c r="F1612" t="s">
        <v>409</v>
      </c>
      <c r="G1612" s="23" t="s">
        <v>28</v>
      </c>
      <c r="H1612" s="23" t="s">
        <v>58</v>
      </c>
      <c r="I1612" t="s">
        <v>587</v>
      </c>
      <c r="J1612" t="s">
        <v>22</v>
      </c>
      <c r="K1612" s="22">
        <v>3</v>
      </c>
      <c r="L1612" s="1">
        <v>42641</v>
      </c>
      <c r="M1612" s="22">
        <f>Table10[[#This Row],[Ship Date]]-Table10[[#This Row],[Order Date]]</f>
        <v>4</v>
      </c>
      <c r="N1612" t="s">
        <v>45</v>
      </c>
      <c r="O1612" t="s">
        <v>23</v>
      </c>
      <c r="P1612" t="s">
        <v>226</v>
      </c>
      <c r="Q1612" t="s">
        <v>95</v>
      </c>
      <c r="R1612" t="s">
        <v>476</v>
      </c>
      <c r="S1612" s="33">
        <v>0</v>
      </c>
      <c r="T1612" s="13">
        <v>127.95</v>
      </c>
      <c r="U1612" s="13">
        <v>21.7515</v>
      </c>
      <c r="V1612" s="21">
        <f>Table10[[#This Row],[Profit]]/Table10[[#This Row],[Sales]]</f>
        <v>0.16999999999999998</v>
      </c>
    </row>
    <row r="1613" spans="1:22" x14ac:dyDescent="0.2">
      <c r="A1613">
        <v>1612</v>
      </c>
      <c r="B1613" t="s">
        <v>8018</v>
      </c>
      <c r="C1613" s="1">
        <v>42637</v>
      </c>
      <c r="D1613" s="22">
        <f>MONTH(Table10[[#This Row],[Order Date]])</f>
        <v>9</v>
      </c>
      <c r="E1613" t="s">
        <v>1336</v>
      </c>
      <c r="F1613" t="s">
        <v>1337</v>
      </c>
      <c r="G1613" s="23" t="s">
        <v>41</v>
      </c>
      <c r="H1613" s="23" t="s">
        <v>68</v>
      </c>
      <c r="I1613" t="s">
        <v>1142</v>
      </c>
      <c r="J1613" t="s">
        <v>36</v>
      </c>
      <c r="K1613" s="22">
        <v>7</v>
      </c>
      <c r="L1613" s="1">
        <v>42639</v>
      </c>
      <c r="M1613" s="22">
        <f>Table10[[#This Row],[Ship Date]]-Table10[[#This Row],[Order Date]]</f>
        <v>2</v>
      </c>
      <c r="N1613" t="s">
        <v>169</v>
      </c>
      <c r="O1613" t="s">
        <v>23</v>
      </c>
      <c r="P1613" t="s">
        <v>189</v>
      </c>
      <c r="Q1613" t="s">
        <v>95</v>
      </c>
      <c r="R1613" t="s">
        <v>2731</v>
      </c>
      <c r="S1613" s="33">
        <v>0.8</v>
      </c>
      <c r="T1613" s="13">
        <v>442.37200000000001</v>
      </c>
      <c r="U1613" s="13">
        <v>-729.91380000000004</v>
      </c>
      <c r="V1613" s="21">
        <f>Table10[[#This Row],[Profit]]/Table10[[#This Row],[Sales]]</f>
        <v>-1.6500000000000001</v>
      </c>
    </row>
    <row r="1614" spans="1:22" x14ac:dyDescent="0.2">
      <c r="A1614">
        <v>1613</v>
      </c>
      <c r="B1614" t="s">
        <v>8034</v>
      </c>
      <c r="C1614" s="1">
        <v>42637</v>
      </c>
      <c r="D1614" s="22">
        <f>MONTH(Table10[[#This Row],[Order Date]])</f>
        <v>9</v>
      </c>
      <c r="E1614" t="s">
        <v>7007</v>
      </c>
      <c r="F1614" t="s">
        <v>7008</v>
      </c>
      <c r="G1614" s="23" t="s">
        <v>41</v>
      </c>
      <c r="H1614" s="23" t="s">
        <v>155</v>
      </c>
      <c r="I1614" t="s">
        <v>4217</v>
      </c>
      <c r="J1614" t="s">
        <v>36</v>
      </c>
      <c r="K1614" s="22">
        <v>5</v>
      </c>
      <c r="L1614" s="1">
        <v>42641</v>
      </c>
      <c r="M1614" s="22">
        <f>Table10[[#This Row],[Ship Date]]-Table10[[#This Row],[Order Date]]</f>
        <v>4</v>
      </c>
      <c r="N1614" t="s">
        <v>45</v>
      </c>
      <c r="O1614" t="s">
        <v>23</v>
      </c>
      <c r="P1614" t="s">
        <v>38</v>
      </c>
      <c r="Q1614" t="s">
        <v>39</v>
      </c>
      <c r="R1614" t="s">
        <v>37</v>
      </c>
      <c r="S1614" s="33">
        <v>0</v>
      </c>
      <c r="T1614" s="13">
        <v>304.89999999999998</v>
      </c>
      <c r="U1614" s="13">
        <v>143.303</v>
      </c>
      <c r="V1614" s="21">
        <f>Table10[[#This Row],[Profit]]/Table10[[#This Row],[Sales]]</f>
        <v>0.47000000000000003</v>
      </c>
    </row>
    <row r="1615" spans="1:22" x14ac:dyDescent="0.2">
      <c r="A1615">
        <v>1614</v>
      </c>
      <c r="B1615" t="s">
        <v>8034</v>
      </c>
      <c r="C1615" s="1">
        <v>42637</v>
      </c>
      <c r="D1615" s="22">
        <f>MONTH(Table10[[#This Row],[Order Date]])</f>
        <v>9</v>
      </c>
      <c r="E1615" t="s">
        <v>4082</v>
      </c>
      <c r="F1615" t="s">
        <v>4083</v>
      </c>
      <c r="G1615" s="23" t="s">
        <v>28</v>
      </c>
      <c r="H1615" s="23" t="s">
        <v>32</v>
      </c>
      <c r="I1615" t="s">
        <v>4217</v>
      </c>
      <c r="J1615" t="s">
        <v>36</v>
      </c>
      <c r="K1615" s="22">
        <v>5</v>
      </c>
      <c r="L1615" s="1">
        <v>42641</v>
      </c>
      <c r="M1615" s="22">
        <f>Table10[[#This Row],[Ship Date]]-Table10[[#This Row],[Order Date]]</f>
        <v>4</v>
      </c>
      <c r="N1615" t="s">
        <v>45</v>
      </c>
      <c r="O1615" t="s">
        <v>23</v>
      </c>
      <c r="P1615" t="s">
        <v>38</v>
      </c>
      <c r="Q1615" t="s">
        <v>39</v>
      </c>
      <c r="R1615" t="s">
        <v>37</v>
      </c>
      <c r="S1615" s="33">
        <v>0.2</v>
      </c>
      <c r="T1615" s="13">
        <v>563.24</v>
      </c>
      <c r="U1615" s="13">
        <v>56.323999999999998</v>
      </c>
      <c r="V1615" s="21">
        <f>Table10[[#This Row],[Profit]]/Table10[[#This Row],[Sales]]</f>
        <v>9.9999999999999992E-2</v>
      </c>
    </row>
    <row r="1616" spans="1:22" x14ac:dyDescent="0.2">
      <c r="A1616">
        <v>1615</v>
      </c>
      <c r="B1616" t="s">
        <v>3377</v>
      </c>
      <c r="C1616" s="1">
        <v>42638</v>
      </c>
      <c r="D1616" s="22">
        <f>MONTH(Table10[[#This Row],[Order Date]])</f>
        <v>9</v>
      </c>
      <c r="E1616" t="s">
        <v>2532</v>
      </c>
      <c r="F1616" t="s">
        <v>2533</v>
      </c>
      <c r="G1616" s="23" t="s">
        <v>28</v>
      </c>
      <c r="H1616" s="23" t="s">
        <v>50</v>
      </c>
      <c r="I1616" t="s">
        <v>3378</v>
      </c>
      <c r="J1616" t="s">
        <v>22</v>
      </c>
      <c r="K1616" s="22">
        <v>3</v>
      </c>
      <c r="L1616" s="1">
        <v>42643</v>
      </c>
      <c r="M1616" s="22">
        <f>Table10[[#This Row],[Ship Date]]-Table10[[#This Row],[Order Date]]</f>
        <v>5</v>
      </c>
      <c r="N1616" t="s">
        <v>45</v>
      </c>
      <c r="O1616" t="s">
        <v>23</v>
      </c>
      <c r="P1616" t="s">
        <v>277</v>
      </c>
      <c r="Q1616" t="s">
        <v>39</v>
      </c>
      <c r="R1616" t="s">
        <v>481</v>
      </c>
      <c r="S1616" s="33">
        <v>0.5</v>
      </c>
      <c r="T1616" s="13">
        <v>393.16500000000002</v>
      </c>
      <c r="U1616" s="13">
        <v>-204.44579999999999</v>
      </c>
      <c r="V1616" s="21">
        <f>Table10[[#This Row],[Profit]]/Table10[[#This Row],[Sales]]</f>
        <v>-0.51999999999999991</v>
      </c>
    </row>
    <row r="1617" spans="1:22" x14ac:dyDescent="0.2">
      <c r="A1617">
        <v>1616</v>
      </c>
      <c r="B1617" t="s">
        <v>3461</v>
      </c>
      <c r="C1617" s="1">
        <v>42638</v>
      </c>
      <c r="D1617" s="22">
        <f>MONTH(Table10[[#This Row],[Order Date]])</f>
        <v>9</v>
      </c>
      <c r="E1617" t="s">
        <v>2193</v>
      </c>
      <c r="F1617" t="s">
        <v>2194</v>
      </c>
      <c r="G1617" s="23" t="s">
        <v>41</v>
      </c>
      <c r="H1617" s="23" t="s">
        <v>42</v>
      </c>
      <c r="I1617" t="s">
        <v>3462</v>
      </c>
      <c r="J1617" t="s">
        <v>36</v>
      </c>
      <c r="K1617" s="22">
        <v>4</v>
      </c>
      <c r="L1617" s="1">
        <v>42644</v>
      </c>
      <c r="M1617" s="22">
        <f>Table10[[#This Row],[Ship Date]]-Table10[[#This Row],[Order Date]]</f>
        <v>6</v>
      </c>
      <c r="N1617" t="s">
        <v>45</v>
      </c>
      <c r="O1617" t="s">
        <v>23</v>
      </c>
      <c r="P1617" t="s">
        <v>94</v>
      </c>
      <c r="Q1617" t="s">
        <v>95</v>
      </c>
      <c r="R1617" t="s">
        <v>3463</v>
      </c>
      <c r="S1617" s="33">
        <v>0.2</v>
      </c>
      <c r="T1617" s="13">
        <v>15.936</v>
      </c>
      <c r="U1617" s="13">
        <v>5.1791999999999998</v>
      </c>
      <c r="V1617" s="21">
        <f>Table10[[#This Row],[Profit]]/Table10[[#This Row],[Sales]]</f>
        <v>0.32500000000000001</v>
      </c>
    </row>
    <row r="1618" spans="1:22" x14ac:dyDescent="0.2">
      <c r="A1618">
        <v>1617</v>
      </c>
      <c r="B1618" t="s">
        <v>6470</v>
      </c>
      <c r="C1618" s="1">
        <v>42638</v>
      </c>
      <c r="D1618" s="22">
        <f>MONTH(Table10[[#This Row],[Order Date]])</f>
        <v>9</v>
      </c>
      <c r="E1618" t="s">
        <v>4744</v>
      </c>
      <c r="F1618" t="s">
        <v>4745</v>
      </c>
      <c r="G1618" s="23" t="s">
        <v>41</v>
      </c>
      <c r="H1618" s="23" t="s">
        <v>82</v>
      </c>
      <c r="I1618" t="s">
        <v>6265</v>
      </c>
      <c r="J1618" t="s">
        <v>36</v>
      </c>
      <c r="K1618" s="22">
        <v>9</v>
      </c>
      <c r="L1618" s="1">
        <v>42642</v>
      </c>
      <c r="M1618" s="22">
        <f>Table10[[#This Row],[Ship Date]]-Table10[[#This Row],[Order Date]]</f>
        <v>4</v>
      </c>
      <c r="N1618" t="s">
        <v>45</v>
      </c>
      <c r="O1618" t="s">
        <v>23</v>
      </c>
      <c r="P1618" t="s">
        <v>374</v>
      </c>
      <c r="Q1618" t="s">
        <v>39</v>
      </c>
      <c r="R1618" t="s">
        <v>3775</v>
      </c>
      <c r="S1618" s="33">
        <v>0.2</v>
      </c>
      <c r="T1618" s="13">
        <v>60.048000000000002</v>
      </c>
      <c r="U1618" s="13">
        <v>22.518000000000001</v>
      </c>
      <c r="V1618" s="21">
        <f>Table10[[#This Row],[Profit]]/Table10[[#This Row],[Sales]]</f>
        <v>0.375</v>
      </c>
    </row>
    <row r="1619" spans="1:22" x14ac:dyDescent="0.2">
      <c r="A1619">
        <v>1618</v>
      </c>
      <c r="B1619" t="s">
        <v>6470</v>
      </c>
      <c r="C1619" s="1">
        <v>42638</v>
      </c>
      <c r="D1619" s="22">
        <f>MONTH(Table10[[#This Row],[Order Date]])</f>
        <v>9</v>
      </c>
      <c r="E1619" t="s">
        <v>6289</v>
      </c>
      <c r="F1619" t="s">
        <v>6290</v>
      </c>
      <c r="G1619" s="23" t="s">
        <v>41</v>
      </c>
      <c r="H1619" s="23" t="s">
        <v>68</v>
      </c>
      <c r="I1619" t="s">
        <v>6265</v>
      </c>
      <c r="J1619" t="s">
        <v>36</v>
      </c>
      <c r="K1619" s="22">
        <v>1</v>
      </c>
      <c r="L1619" s="1">
        <v>42642</v>
      </c>
      <c r="M1619" s="22">
        <f>Table10[[#This Row],[Ship Date]]-Table10[[#This Row],[Order Date]]</f>
        <v>4</v>
      </c>
      <c r="N1619" t="s">
        <v>45</v>
      </c>
      <c r="O1619" t="s">
        <v>23</v>
      </c>
      <c r="P1619" t="s">
        <v>374</v>
      </c>
      <c r="Q1619" t="s">
        <v>39</v>
      </c>
      <c r="R1619" t="s">
        <v>3775</v>
      </c>
      <c r="S1619" s="33">
        <v>0.7</v>
      </c>
      <c r="T1619" s="13">
        <v>5.0220000000000002</v>
      </c>
      <c r="U1619" s="13">
        <v>-3.5154000000000001</v>
      </c>
      <c r="V1619" s="21">
        <f>Table10[[#This Row],[Profit]]/Table10[[#This Row],[Sales]]</f>
        <v>-0.7</v>
      </c>
    </row>
    <row r="1620" spans="1:22" x14ac:dyDescent="0.2">
      <c r="A1620">
        <v>1619</v>
      </c>
      <c r="B1620" t="s">
        <v>6820</v>
      </c>
      <c r="C1620" s="1">
        <v>42638</v>
      </c>
      <c r="D1620" s="22">
        <f>MONTH(Table10[[#This Row],[Order Date]])</f>
        <v>9</v>
      </c>
      <c r="E1620" t="s">
        <v>599</v>
      </c>
      <c r="F1620" t="s">
        <v>600</v>
      </c>
      <c r="G1620" s="23" t="s">
        <v>41</v>
      </c>
      <c r="H1620" s="23" t="s">
        <v>61</v>
      </c>
      <c r="I1620" t="s">
        <v>3642</v>
      </c>
      <c r="J1620" t="s">
        <v>22</v>
      </c>
      <c r="K1620" s="22">
        <v>4</v>
      </c>
      <c r="L1620" s="1">
        <v>42644</v>
      </c>
      <c r="M1620" s="22">
        <f>Table10[[#This Row],[Ship Date]]-Table10[[#This Row],[Order Date]]</f>
        <v>6</v>
      </c>
      <c r="N1620" t="s">
        <v>45</v>
      </c>
      <c r="O1620" t="s">
        <v>23</v>
      </c>
      <c r="P1620" t="s">
        <v>38</v>
      </c>
      <c r="Q1620" t="s">
        <v>39</v>
      </c>
      <c r="R1620" t="s">
        <v>114</v>
      </c>
      <c r="S1620" s="33">
        <v>0</v>
      </c>
      <c r="T1620" s="13">
        <v>16.559999999999999</v>
      </c>
      <c r="U1620" s="13">
        <v>6.9551999999999996</v>
      </c>
      <c r="V1620" s="21">
        <f>Table10[[#This Row],[Profit]]/Table10[[#This Row],[Sales]]</f>
        <v>0.42</v>
      </c>
    </row>
    <row r="1621" spans="1:22" x14ac:dyDescent="0.2">
      <c r="A1621">
        <v>1620</v>
      </c>
      <c r="B1621" t="s">
        <v>7615</v>
      </c>
      <c r="C1621" s="1">
        <v>42638</v>
      </c>
      <c r="D1621" s="22">
        <f>MONTH(Table10[[#This Row],[Order Date]])</f>
        <v>9</v>
      </c>
      <c r="E1621" t="s">
        <v>1043</v>
      </c>
      <c r="F1621" t="s">
        <v>1044</v>
      </c>
      <c r="G1621" s="23" t="s">
        <v>64</v>
      </c>
      <c r="H1621" s="23" t="s">
        <v>144</v>
      </c>
      <c r="I1621" t="s">
        <v>2049</v>
      </c>
      <c r="J1621" t="s">
        <v>36</v>
      </c>
      <c r="K1621" s="22">
        <v>5</v>
      </c>
      <c r="L1621" s="1">
        <v>42643</v>
      </c>
      <c r="M1621" s="22">
        <f>Table10[[#This Row],[Ship Date]]-Table10[[#This Row],[Order Date]]</f>
        <v>5</v>
      </c>
      <c r="N1621" t="s">
        <v>45</v>
      </c>
      <c r="O1621" t="s">
        <v>23</v>
      </c>
      <c r="P1621" t="s">
        <v>103</v>
      </c>
      <c r="Q1621" t="s">
        <v>95</v>
      </c>
      <c r="R1621" t="s">
        <v>6850</v>
      </c>
      <c r="S1621" s="33">
        <v>0</v>
      </c>
      <c r="T1621" s="13">
        <v>499.95</v>
      </c>
      <c r="U1621" s="13">
        <v>174.98249999999999</v>
      </c>
      <c r="V1621" s="21">
        <f>Table10[[#This Row],[Profit]]/Table10[[#This Row],[Sales]]</f>
        <v>0.35</v>
      </c>
    </row>
    <row r="1622" spans="1:22" x14ac:dyDescent="0.2">
      <c r="A1622">
        <v>1621</v>
      </c>
      <c r="B1622" t="s">
        <v>7615</v>
      </c>
      <c r="C1622" s="1">
        <v>42638</v>
      </c>
      <c r="D1622" s="22">
        <f>MONTH(Table10[[#This Row],[Order Date]])</f>
        <v>9</v>
      </c>
      <c r="E1622" t="s">
        <v>4619</v>
      </c>
      <c r="F1622" t="s">
        <v>4620</v>
      </c>
      <c r="G1622" s="23" t="s">
        <v>41</v>
      </c>
      <c r="H1622" s="23" t="s">
        <v>61</v>
      </c>
      <c r="I1622" t="s">
        <v>2049</v>
      </c>
      <c r="J1622" t="s">
        <v>36</v>
      </c>
      <c r="K1622" s="22">
        <v>1</v>
      </c>
      <c r="L1622" s="1">
        <v>42643</v>
      </c>
      <c r="M1622" s="22">
        <f>Table10[[#This Row],[Ship Date]]-Table10[[#This Row],[Order Date]]</f>
        <v>5</v>
      </c>
      <c r="N1622" t="s">
        <v>45</v>
      </c>
      <c r="O1622" t="s">
        <v>23</v>
      </c>
      <c r="P1622" t="s">
        <v>103</v>
      </c>
      <c r="Q1622" t="s">
        <v>95</v>
      </c>
      <c r="R1622" t="s">
        <v>6850</v>
      </c>
      <c r="S1622" s="33">
        <v>0</v>
      </c>
      <c r="T1622" s="13">
        <v>3.04</v>
      </c>
      <c r="U1622" s="13">
        <v>1.0336000000000001</v>
      </c>
      <c r="V1622" s="21">
        <f>Table10[[#This Row],[Profit]]/Table10[[#This Row],[Sales]]</f>
        <v>0.34</v>
      </c>
    </row>
    <row r="1623" spans="1:22" x14ac:dyDescent="0.2">
      <c r="A1623">
        <v>1622</v>
      </c>
      <c r="B1623" t="s">
        <v>7615</v>
      </c>
      <c r="C1623" s="1">
        <v>42638</v>
      </c>
      <c r="D1623" s="22">
        <f>MONTH(Table10[[#This Row],[Order Date]])</f>
        <v>9</v>
      </c>
      <c r="E1623" t="s">
        <v>182</v>
      </c>
      <c r="F1623" t="s">
        <v>183</v>
      </c>
      <c r="G1623" s="23" t="s">
        <v>28</v>
      </c>
      <c r="H1623" s="23" t="s">
        <v>32</v>
      </c>
      <c r="I1623" t="s">
        <v>2049</v>
      </c>
      <c r="J1623" t="s">
        <v>36</v>
      </c>
      <c r="K1623" s="22">
        <v>2</v>
      </c>
      <c r="L1623" s="1">
        <v>42643</v>
      </c>
      <c r="M1623" s="22">
        <f>Table10[[#This Row],[Ship Date]]-Table10[[#This Row],[Order Date]]</f>
        <v>5</v>
      </c>
      <c r="N1623" t="s">
        <v>45</v>
      </c>
      <c r="O1623" t="s">
        <v>23</v>
      </c>
      <c r="P1623" t="s">
        <v>103</v>
      </c>
      <c r="Q1623" t="s">
        <v>95</v>
      </c>
      <c r="R1623" t="s">
        <v>6850</v>
      </c>
      <c r="S1623" s="33">
        <v>0</v>
      </c>
      <c r="T1623" s="13">
        <v>201.96</v>
      </c>
      <c r="U1623" s="13">
        <v>50.49</v>
      </c>
      <c r="V1623" s="21">
        <f>Table10[[#This Row],[Profit]]/Table10[[#This Row],[Sales]]</f>
        <v>0.25</v>
      </c>
    </row>
    <row r="1624" spans="1:22" x14ac:dyDescent="0.2">
      <c r="A1624">
        <v>1623</v>
      </c>
      <c r="B1624" t="s">
        <v>7615</v>
      </c>
      <c r="C1624" s="1">
        <v>42638</v>
      </c>
      <c r="D1624" s="22">
        <f>MONTH(Table10[[#This Row],[Order Date]])</f>
        <v>9</v>
      </c>
      <c r="E1624" t="s">
        <v>5512</v>
      </c>
      <c r="F1624" t="s">
        <v>5513</v>
      </c>
      <c r="G1624" s="23" t="s">
        <v>28</v>
      </c>
      <c r="H1624" s="23" t="s">
        <v>58</v>
      </c>
      <c r="I1624" t="s">
        <v>2049</v>
      </c>
      <c r="J1624" t="s">
        <v>36</v>
      </c>
      <c r="K1624" s="22">
        <v>11</v>
      </c>
      <c r="L1624" s="1">
        <v>42643</v>
      </c>
      <c r="M1624" s="22">
        <f>Table10[[#This Row],[Ship Date]]-Table10[[#This Row],[Order Date]]</f>
        <v>5</v>
      </c>
      <c r="N1624" t="s">
        <v>45</v>
      </c>
      <c r="O1624" t="s">
        <v>23</v>
      </c>
      <c r="P1624" t="s">
        <v>103</v>
      </c>
      <c r="Q1624" t="s">
        <v>95</v>
      </c>
      <c r="R1624" t="s">
        <v>6850</v>
      </c>
      <c r="S1624" s="33">
        <v>0</v>
      </c>
      <c r="T1624" s="13">
        <v>68.64</v>
      </c>
      <c r="U1624" s="13">
        <v>17.16</v>
      </c>
      <c r="V1624" s="21">
        <f>Table10[[#This Row],[Profit]]/Table10[[#This Row],[Sales]]</f>
        <v>0.25</v>
      </c>
    </row>
    <row r="1625" spans="1:22" x14ac:dyDescent="0.2">
      <c r="A1625">
        <v>1624</v>
      </c>
      <c r="B1625" t="s">
        <v>8845</v>
      </c>
      <c r="C1625" s="1">
        <v>42638</v>
      </c>
      <c r="D1625" s="22">
        <f>MONTH(Table10[[#This Row],[Order Date]])</f>
        <v>9</v>
      </c>
      <c r="E1625" t="s">
        <v>2913</v>
      </c>
      <c r="F1625" t="s">
        <v>2914</v>
      </c>
      <c r="G1625" s="23" t="s">
        <v>41</v>
      </c>
      <c r="H1625" s="23" t="s">
        <v>71</v>
      </c>
      <c r="I1625" t="s">
        <v>5837</v>
      </c>
      <c r="J1625" t="s">
        <v>22</v>
      </c>
      <c r="K1625" s="22">
        <v>1</v>
      </c>
      <c r="L1625" s="1">
        <v>42642</v>
      </c>
      <c r="M1625" s="22">
        <f>Table10[[#This Row],[Ship Date]]-Table10[[#This Row],[Order Date]]</f>
        <v>4</v>
      </c>
      <c r="N1625" t="s">
        <v>45</v>
      </c>
      <c r="O1625" t="s">
        <v>23</v>
      </c>
      <c r="P1625" t="s">
        <v>441</v>
      </c>
      <c r="Q1625" t="s">
        <v>133</v>
      </c>
      <c r="R1625" t="s">
        <v>1920</v>
      </c>
      <c r="S1625" s="33">
        <v>0.2</v>
      </c>
      <c r="T1625" s="13">
        <v>286.25599999999997</v>
      </c>
      <c r="U1625" s="13">
        <v>17.890999999999998</v>
      </c>
      <c r="V1625" s="21">
        <f>Table10[[#This Row],[Profit]]/Table10[[#This Row],[Sales]]</f>
        <v>6.25E-2</v>
      </c>
    </row>
    <row r="1626" spans="1:22" x14ac:dyDescent="0.2">
      <c r="A1626">
        <v>1625</v>
      </c>
      <c r="B1626" t="s">
        <v>8845</v>
      </c>
      <c r="C1626" s="1">
        <v>42638</v>
      </c>
      <c r="D1626" s="22">
        <f>MONTH(Table10[[#This Row],[Order Date]])</f>
        <v>9</v>
      </c>
      <c r="E1626" t="s">
        <v>1592</v>
      </c>
      <c r="F1626" t="s">
        <v>1593</v>
      </c>
      <c r="G1626" s="23" t="s">
        <v>41</v>
      </c>
      <c r="H1626" s="23" t="s">
        <v>53</v>
      </c>
      <c r="I1626" t="s">
        <v>5837</v>
      </c>
      <c r="J1626" t="s">
        <v>22</v>
      </c>
      <c r="K1626" s="22">
        <v>2</v>
      </c>
      <c r="L1626" s="1">
        <v>42642</v>
      </c>
      <c r="M1626" s="22">
        <f>Table10[[#This Row],[Ship Date]]-Table10[[#This Row],[Order Date]]</f>
        <v>4</v>
      </c>
      <c r="N1626" t="s">
        <v>45</v>
      </c>
      <c r="O1626" t="s">
        <v>23</v>
      </c>
      <c r="P1626" t="s">
        <v>441</v>
      </c>
      <c r="Q1626" t="s">
        <v>133</v>
      </c>
      <c r="R1626" t="s">
        <v>1920</v>
      </c>
      <c r="S1626" s="33">
        <v>0.2</v>
      </c>
      <c r="T1626" s="13">
        <v>24.224</v>
      </c>
      <c r="U1626" s="13">
        <v>-4.8448000000000002</v>
      </c>
      <c r="V1626" s="21">
        <f>Table10[[#This Row],[Profit]]/Table10[[#This Row],[Sales]]</f>
        <v>-0.2</v>
      </c>
    </row>
    <row r="1627" spans="1:22" x14ac:dyDescent="0.2">
      <c r="A1627">
        <v>1626</v>
      </c>
      <c r="B1627" t="s">
        <v>8845</v>
      </c>
      <c r="C1627" s="1">
        <v>42638</v>
      </c>
      <c r="D1627" s="22">
        <f>MONTH(Table10[[#This Row],[Order Date]])</f>
        <v>9</v>
      </c>
      <c r="E1627" t="s">
        <v>3254</v>
      </c>
      <c r="F1627" t="s">
        <v>3255</v>
      </c>
      <c r="G1627" s="23" t="s">
        <v>41</v>
      </c>
      <c r="H1627" s="23" t="s">
        <v>53</v>
      </c>
      <c r="I1627" t="s">
        <v>5837</v>
      </c>
      <c r="J1627" t="s">
        <v>22</v>
      </c>
      <c r="K1627" s="22">
        <v>3</v>
      </c>
      <c r="L1627" s="1">
        <v>42642</v>
      </c>
      <c r="M1627" s="22">
        <f>Table10[[#This Row],[Ship Date]]-Table10[[#This Row],[Order Date]]</f>
        <v>4</v>
      </c>
      <c r="N1627" t="s">
        <v>45</v>
      </c>
      <c r="O1627" t="s">
        <v>23</v>
      </c>
      <c r="P1627" t="s">
        <v>441</v>
      </c>
      <c r="Q1627" t="s">
        <v>133</v>
      </c>
      <c r="R1627" t="s">
        <v>1920</v>
      </c>
      <c r="S1627" s="33">
        <v>0.2</v>
      </c>
      <c r="T1627" s="13">
        <v>331.536</v>
      </c>
      <c r="U1627" s="13">
        <v>-82.884</v>
      </c>
      <c r="V1627" s="21">
        <f>Table10[[#This Row],[Profit]]/Table10[[#This Row],[Sales]]</f>
        <v>-0.25</v>
      </c>
    </row>
    <row r="1628" spans="1:22" x14ac:dyDescent="0.2">
      <c r="A1628">
        <v>1627</v>
      </c>
      <c r="B1628" t="s">
        <v>9900</v>
      </c>
      <c r="C1628" s="1">
        <v>42638</v>
      </c>
      <c r="D1628" s="22">
        <f>MONTH(Table10[[#This Row],[Order Date]])</f>
        <v>9</v>
      </c>
      <c r="E1628" t="s">
        <v>674</v>
      </c>
      <c r="F1628" t="s">
        <v>675</v>
      </c>
      <c r="G1628" s="23" t="s">
        <v>28</v>
      </c>
      <c r="H1628" s="23" t="s">
        <v>29</v>
      </c>
      <c r="I1628" t="s">
        <v>3267</v>
      </c>
      <c r="J1628" t="s">
        <v>36</v>
      </c>
      <c r="K1628" s="22">
        <v>2</v>
      </c>
      <c r="L1628" s="1">
        <v>42640</v>
      </c>
      <c r="M1628" s="22">
        <f>Table10[[#This Row],[Ship Date]]-Table10[[#This Row],[Order Date]]</f>
        <v>2</v>
      </c>
      <c r="N1628" t="s">
        <v>169</v>
      </c>
      <c r="O1628" t="s">
        <v>23</v>
      </c>
      <c r="P1628" t="s">
        <v>38</v>
      </c>
      <c r="Q1628" t="s">
        <v>39</v>
      </c>
      <c r="R1628" t="s">
        <v>114</v>
      </c>
      <c r="S1628" s="33">
        <v>0.15</v>
      </c>
      <c r="T1628" s="13">
        <v>477.666</v>
      </c>
      <c r="U1628" s="13">
        <v>84.293999999999997</v>
      </c>
      <c r="V1628" s="21">
        <f>Table10[[#This Row],[Profit]]/Table10[[#This Row],[Sales]]</f>
        <v>0.1764705882352941</v>
      </c>
    </row>
    <row r="1629" spans="1:22" x14ac:dyDescent="0.2">
      <c r="A1629">
        <v>1628</v>
      </c>
      <c r="B1629" t="s">
        <v>10069</v>
      </c>
      <c r="C1629" s="1">
        <v>42638</v>
      </c>
      <c r="D1629" s="22">
        <f>MONTH(Table10[[#This Row],[Order Date]])</f>
        <v>9</v>
      </c>
      <c r="E1629" t="s">
        <v>2872</v>
      </c>
      <c r="F1629" t="s">
        <v>2873</v>
      </c>
      <c r="G1629" s="23" t="s">
        <v>41</v>
      </c>
      <c r="H1629" s="23" t="s">
        <v>82</v>
      </c>
      <c r="I1629" t="s">
        <v>2156</v>
      </c>
      <c r="J1629" t="s">
        <v>22</v>
      </c>
      <c r="K1629" s="22">
        <v>5</v>
      </c>
      <c r="L1629" s="1">
        <v>42644</v>
      </c>
      <c r="M1629" s="22">
        <f>Table10[[#This Row],[Ship Date]]-Table10[[#This Row],[Order Date]]</f>
        <v>6</v>
      </c>
      <c r="N1629" t="s">
        <v>45</v>
      </c>
      <c r="O1629" t="s">
        <v>23</v>
      </c>
      <c r="P1629" t="s">
        <v>38</v>
      </c>
      <c r="Q1629" t="s">
        <v>39</v>
      </c>
      <c r="R1629" t="s">
        <v>1037</v>
      </c>
      <c r="S1629" s="33">
        <v>0</v>
      </c>
      <c r="T1629" s="13">
        <v>10.9</v>
      </c>
      <c r="U1629" s="13">
        <v>5.1230000000000002</v>
      </c>
      <c r="V1629" s="21">
        <f>Table10[[#This Row],[Profit]]/Table10[[#This Row],[Sales]]</f>
        <v>0.47000000000000003</v>
      </c>
    </row>
    <row r="1630" spans="1:22" x14ac:dyDescent="0.2">
      <c r="A1630">
        <v>1629</v>
      </c>
      <c r="B1630" t="s">
        <v>10069</v>
      </c>
      <c r="C1630" s="1">
        <v>42638</v>
      </c>
      <c r="D1630" s="22">
        <f>MONTH(Table10[[#This Row],[Order Date]])</f>
        <v>9</v>
      </c>
      <c r="E1630" t="s">
        <v>1476</v>
      </c>
      <c r="F1630" t="s">
        <v>1477</v>
      </c>
      <c r="G1630" s="23" t="s">
        <v>41</v>
      </c>
      <c r="H1630" s="23" t="s">
        <v>42</v>
      </c>
      <c r="I1630" t="s">
        <v>2156</v>
      </c>
      <c r="J1630" t="s">
        <v>22</v>
      </c>
      <c r="K1630" s="22">
        <v>2</v>
      </c>
      <c r="L1630" s="1">
        <v>42644</v>
      </c>
      <c r="M1630" s="22">
        <f>Table10[[#This Row],[Ship Date]]-Table10[[#This Row],[Order Date]]</f>
        <v>6</v>
      </c>
      <c r="N1630" t="s">
        <v>45</v>
      </c>
      <c r="O1630" t="s">
        <v>23</v>
      </c>
      <c r="P1630" t="s">
        <v>38</v>
      </c>
      <c r="Q1630" t="s">
        <v>39</v>
      </c>
      <c r="R1630" t="s">
        <v>1037</v>
      </c>
      <c r="S1630" s="33">
        <v>0</v>
      </c>
      <c r="T1630" s="13">
        <v>29.6</v>
      </c>
      <c r="U1630" s="13">
        <v>14.8</v>
      </c>
      <c r="V1630" s="21">
        <f>Table10[[#This Row],[Profit]]/Table10[[#This Row],[Sales]]</f>
        <v>0.5</v>
      </c>
    </row>
    <row r="1631" spans="1:22" x14ac:dyDescent="0.2">
      <c r="A1631">
        <v>1630</v>
      </c>
      <c r="B1631" t="s">
        <v>10069</v>
      </c>
      <c r="C1631" s="1">
        <v>42638</v>
      </c>
      <c r="D1631" s="22">
        <f>MONTH(Table10[[#This Row],[Order Date]])</f>
        <v>9</v>
      </c>
      <c r="E1631" t="s">
        <v>4033</v>
      </c>
      <c r="F1631" t="s">
        <v>4034</v>
      </c>
      <c r="G1631" s="23" t="s">
        <v>41</v>
      </c>
      <c r="H1631" s="23" t="s">
        <v>42</v>
      </c>
      <c r="I1631" t="s">
        <v>2156</v>
      </c>
      <c r="J1631" t="s">
        <v>22</v>
      </c>
      <c r="K1631" s="22">
        <v>1</v>
      </c>
      <c r="L1631" s="1">
        <v>42644</v>
      </c>
      <c r="M1631" s="22">
        <f>Table10[[#This Row],[Ship Date]]-Table10[[#This Row],[Order Date]]</f>
        <v>6</v>
      </c>
      <c r="N1631" t="s">
        <v>45</v>
      </c>
      <c r="O1631" t="s">
        <v>23</v>
      </c>
      <c r="P1631" t="s">
        <v>38</v>
      </c>
      <c r="Q1631" t="s">
        <v>39</v>
      </c>
      <c r="R1631" t="s">
        <v>1037</v>
      </c>
      <c r="S1631" s="33">
        <v>0</v>
      </c>
      <c r="T1631" s="13">
        <v>4.9800000000000004</v>
      </c>
      <c r="U1631" s="13">
        <v>2.2907999999999999</v>
      </c>
      <c r="V1631" s="21">
        <f>Table10[[#This Row],[Profit]]/Table10[[#This Row],[Sales]]</f>
        <v>0.45999999999999996</v>
      </c>
    </row>
    <row r="1632" spans="1:22" x14ac:dyDescent="0.2">
      <c r="A1632">
        <v>1631</v>
      </c>
      <c r="B1632" t="s">
        <v>10069</v>
      </c>
      <c r="C1632" s="1">
        <v>42638</v>
      </c>
      <c r="D1632" s="22">
        <f>MONTH(Table10[[#This Row],[Order Date]])</f>
        <v>9</v>
      </c>
      <c r="E1632" t="s">
        <v>6920</v>
      </c>
      <c r="F1632" t="s">
        <v>6921</v>
      </c>
      <c r="G1632" s="23" t="s">
        <v>64</v>
      </c>
      <c r="H1632" s="23" t="s">
        <v>1075</v>
      </c>
      <c r="I1632" t="s">
        <v>2156</v>
      </c>
      <c r="J1632" t="s">
        <v>22</v>
      </c>
      <c r="K1632" s="22">
        <v>3</v>
      </c>
      <c r="L1632" s="1">
        <v>42644</v>
      </c>
      <c r="M1632" s="22">
        <f>Table10[[#This Row],[Ship Date]]-Table10[[#This Row],[Order Date]]</f>
        <v>6</v>
      </c>
      <c r="N1632" t="s">
        <v>45</v>
      </c>
      <c r="O1632" t="s">
        <v>23</v>
      </c>
      <c r="P1632" t="s">
        <v>38</v>
      </c>
      <c r="Q1632" t="s">
        <v>39</v>
      </c>
      <c r="R1632" t="s">
        <v>1037</v>
      </c>
      <c r="S1632" s="33">
        <v>0.2</v>
      </c>
      <c r="T1632" s="13">
        <v>479.976</v>
      </c>
      <c r="U1632" s="13">
        <v>161.99189999999999</v>
      </c>
      <c r="V1632" s="21">
        <f>Table10[[#This Row],[Profit]]/Table10[[#This Row],[Sales]]</f>
        <v>0.33749999999999997</v>
      </c>
    </row>
    <row r="1633" spans="1:22" x14ac:dyDescent="0.2">
      <c r="A1633">
        <v>1632</v>
      </c>
      <c r="B1633" t="s">
        <v>10069</v>
      </c>
      <c r="C1633" s="1">
        <v>42638</v>
      </c>
      <c r="D1633" s="22">
        <f>MONTH(Table10[[#This Row],[Order Date]])</f>
        <v>9</v>
      </c>
      <c r="E1633" t="s">
        <v>7128</v>
      </c>
      <c r="F1633" t="s">
        <v>7129</v>
      </c>
      <c r="G1633" s="23" t="s">
        <v>64</v>
      </c>
      <c r="H1633" s="23" t="s">
        <v>65</v>
      </c>
      <c r="I1633" t="s">
        <v>2156</v>
      </c>
      <c r="J1633" t="s">
        <v>22</v>
      </c>
      <c r="K1633" s="22">
        <v>8</v>
      </c>
      <c r="L1633" s="1">
        <v>42644</v>
      </c>
      <c r="M1633" s="22">
        <f>Table10[[#This Row],[Ship Date]]-Table10[[#This Row],[Order Date]]</f>
        <v>6</v>
      </c>
      <c r="N1633" t="s">
        <v>45</v>
      </c>
      <c r="O1633" t="s">
        <v>23</v>
      </c>
      <c r="P1633" t="s">
        <v>38</v>
      </c>
      <c r="Q1633" t="s">
        <v>39</v>
      </c>
      <c r="R1633" t="s">
        <v>1037</v>
      </c>
      <c r="S1633" s="33">
        <v>0.2</v>
      </c>
      <c r="T1633" s="13">
        <v>44.735999999999997</v>
      </c>
      <c r="U1633" s="13">
        <v>4.4736000000000002</v>
      </c>
      <c r="V1633" s="21">
        <f>Table10[[#This Row],[Profit]]/Table10[[#This Row],[Sales]]</f>
        <v>0.1</v>
      </c>
    </row>
    <row r="1634" spans="1:22" x14ac:dyDescent="0.2">
      <c r="A1634">
        <v>1633</v>
      </c>
      <c r="B1634" t="s">
        <v>10069</v>
      </c>
      <c r="C1634" s="1">
        <v>42638</v>
      </c>
      <c r="D1634" s="22">
        <f>MONTH(Table10[[#This Row],[Order Date]])</f>
        <v>9</v>
      </c>
      <c r="E1634" t="s">
        <v>2846</v>
      </c>
      <c r="F1634" t="s">
        <v>2847</v>
      </c>
      <c r="G1634" s="23" t="s">
        <v>41</v>
      </c>
      <c r="H1634" s="23" t="s">
        <v>61</v>
      </c>
      <c r="I1634" t="s">
        <v>2156</v>
      </c>
      <c r="J1634" t="s">
        <v>22</v>
      </c>
      <c r="K1634" s="22">
        <v>2</v>
      </c>
      <c r="L1634" s="1">
        <v>42644</v>
      </c>
      <c r="M1634" s="22">
        <f>Table10[[#This Row],[Ship Date]]-Table10[[#This Row],[Order Date]]</f>
        <v>6</v>
      </c>
      <c r="N1634" t="s">
        <v>45</v>
      </c>
      <c r="O1634" t="s">
        <v>23</v>
      </c>
      <c r="P1634" t="s">
        <v>38</v>
      </c>
      <c r="Q1634" t="s">
        <v>39</v>
      </c>
      <c r="R1634" t="s">
        <v>1037</v>
      </c>
      <c r="S1634" s="33">
        <v>0</v>
      </c>
      <c r="T1634" s="13">
        <v>5.76</v>
      </c>
      <c r="U1634" s="13">
        <v>1.6704000000000001</v>
      </c>
      <c r="V1634" s="21">
        <f>Table10[[#This Row],[Profit]]/Table10[[#This Row],[Sales]]</f>
        <v>0.29000000000000004</v>
      </c>
    </row>
    <row r="1635" spans="1:22" x14ac:dyDescent="0.2">
      <c r="A1635">
        <v>1634</v>
      </c>
      <c r="B1635" t="s">
        <v>10069</v>
      </c>
      <c r="C1635" s="1">
        <v>42638</v>
      </c>
      <c r="D1635" s="22">
        <f>MONTH(Table10[[#This Row],[Order Date]])</f>
        <v>9</v>
      </c>
      <c r="E1635" t="s">
        <v>2272</v>
      </c>
      <c r="F1635" t="s">
        <v>2273</v>
      </c>
      <c r="G1635" s="23" t="s">
        <v>28</v>
      </c>
      <c r="H1635" s="23" t="s">
        <v>32</v>
      </c>
      <c r="I1635" t="s">
        <v>2156</v>
      </c>
      <c r="J1635" t="s">
        <v>22</v>
      </c>
      <c r="K1635" s="22">
        <v>4</v>
      </c>
      <c r="L1635" s="1">
        <v>42644</v>
      </c>
      <c r="M1635" s="22">
        <f>Table10[[#This Row],[Ship Date]]-Table10[[#This Row],[Order Date]]</f>
        <v>6</v>
      </c>
      <c r="N1635" t="s">
        <v>45</v>
      </c>
      <c r="O1635" t="s">
        <v>23</v>
      </c>
      <c r="P1635" t="s">
        <v>38</v>
      </c>
      <c r="Q1635" t="s">
        <v>39</v>
      </c>
      <c r="R1635" t="s">
        <v>1037</v>
      </c>
      <c r="S1635" s="33">
        <v>0.2</v>
      </c>
      <c r="T1635" s="13">
        <v>483.13600000000002</v>
      </c>
      <c r="U1635" s="13">
        <v>60.392000000000003</v>
      </c>
      <c r="V1635" s="21">
        <f>Table10[[#This Row],[Profit]]/Table10[[#This Row],[Sales]]</f>
        <v>0.125</v>
      </c>
    </row>
    <row r="1636" spans="1:22" x14ac:dyDescent="0.2">
      <c r="A1636">
        <v>1635</v>
      </c>
      <c r="B1636" t="s">
        <v>1405</v>
      </c>
      <c r="C1636" s="1">
        <v>42639</v>
      </c>
      <c r="D1636" s="22">
        <f>MONTH(Table10[[#This Row],[Order Date]])</f>
        <v>9</v>
      </c>
      <c r="E1636" t="s">
        <v>1406</v>
      </c>
      <c r="F1636" t="s">
        <v>1407</v>
      </c>
      <c r="G1636" s="23" t="s">
        <v>28</v>
      </c>
      <c r="H1636" s="23" t="s">
        <v>32</v>
      </c>
      <c r="I1636" t="s">
        <v>1314</v>
      </c>
      <c r="J1636" t="s">
        <v>22</v>
      </c>
      <c r="K1636" s="22">
        <v>3</v>
      </c>
      <c r="L1636" s="1">
        <v>42644</v>
      </c>
      <c r="M1636" s="22">
        <f>Table10[[#This Row],[Ship Date]]-Table10[[#This Row],[Order Date]]</f>
        <v>5</v>
      </c>
      <c r="N1636" t="s">
        <v>45</v>
      </c>
      <c r="O1636" t="s">
        <v>23</v>
      </c>
      <c r="P1636" t="s">
        <v>189</v>
      </c>
      <c r="Q1636" t="s">
        <v>95</v>
      </c>
      <c r="R1636" t="s">
        <v>319</v>
      </c>
      <c r="S1636" s="33">
        <v>0.3</v>
      </c>
      <c r="T1636" s="13">
        <v>747.55799999999999</v>
      </c>
      <c r="U1636" s="13">
        <v>-96.114599999999996</v>
      </c>
      <c r="V1636" s="21">
        <f>Table10[[#This Row],[Profit]]/Table10[[#This Row],[Sales]]</f>
        <v>-0.12857142857142856</v>
      </c>
    </row>
    <row r="1637" spans="1:22" x14ac:dyDescent="0.2">
      <c r="A1637">
        <v>1636</v>
      </c>
      <c r="B1637" t="s">
        <v>1405</v>
      </c>
      <c r="C1637" s="1">
        <v>42639</v>
      </c>
      <c r="D1637" s="22">
        <f>MONTH(Table10[[#This Row],[Order Date]])</f>
        <v>9</v>
      </c>
      <c r="E1637" t="s">
        <v>1408</v>
      </c>
      <c r="F1637" t="s">
        <v>591</v>
      </c>
      <c r="G1637" s="23" t="s">
        <v>41</v>
      </c>
      <c r="H1637" s="23" t="s">
        <v>155</v>
      </c>
      <c r="I1637" t="s">
        <v>1314</v>
      </c>
      <c r="J1637" t="s">
        <v>22</v>
      </c>
      <c r="K1637" s="22">
        <v>2</v>
      </c>
      <c r="L1637" s="1">
        <v>42644</v>
      </c>
      <c r="M1637" s="22">
        <f>Table10[[#This Row],[Ship Date]]-Table10[[#This Row],[Order Date]]</f>
        <v>5</v>
      </c>
      <c r="N1637" t="s">
        <v>45</v>
      </c>
      <c r="O1637" t="s">
        <v>23</v>
      </c>
      <c r="P1637" t="s">
        <v>189</v>
      </c>
      <c r="Q1637" t="s">
        <v>95</v>
      </c>
      <c r="R1637" t="s">
        <v>319</v>
      </c>
      <c r="S1637" s="33">
        <v>0.2</v>
      </c>
      <c r="T1637" s="13">
        <v>8.9280000000000008</v>
      </c>
      <c r="U1637" s="13">
        <v>3.3479999999999999</v>
      </c>
      <c r="V1637" s="21">
        <f>Table10[[#This Row],[Profit]]/Table10[[#This Row],[Sales]]</f>
        <v>0.37499999999999994</v>
      </c>
    </row>
    <row r="1638" spans="1:22" x14ac:dyDescent="0.2">
      <c r="A1638">
        <v>1637</v>
      </c>
      <c r="B1638" t="s">
        <v>5138</v>
      </c>
      <c r="C1638" s="1">
        <v>42639</v>
      </c>
      <c r="D1638" s="22">
        <f>MONTH(Table10[[#This Row],[Order Date]])</f>
        <v>9</v>
      </c>
      <c r="E1638" t="s">
        <v>3083</v>
      </c>
      <c r="F1638" t="s">
        <v>3084</v>
      </c>
      <c r="G1638" s="23" t="s">
        <v>28</v>
      </c>
      <c r="H1638" s="23" t="s">
        <v>29</v>
      </c>
      <c r="I1638" t="s">
        <v>518</v>
      </c>
      <c r="J1638" t="s">
        <v>36</v>
      </c>
      <c r="K1638" s="22">
        <v>5</v>
      </c>
      <c r="L1638" s="1">
        <v>42644</v>
      </c>
      <c r="M1638" s="22">
        <f>Table10[[#This Row],[Ship Date]]-Table10[[#This Row],[Order Date]]</f>
        <v>5</v>
      </c>
      <c r="N1638" t="s">
        <v>45</v>
      </c>
      <c r="O1638" t="s">
        <v>23</v>
      </c>
      <c r="P1638" t="s">
        <v>38</v>
      </c>
      <c r="Q1638" t="s">
        <v>39</v>
      </c>
      <c r="R1638" t="s">
        <v>1042</v>
      </c>
      <c r="S1638" s="33">
        <v>0.15</v>
      </c>
      <c r="T1638" s="13">
        <v>424.95749999999998</v>
      </c>
      <c r="U1638" s="13">
        <v>19.998000000000001</v>
      </c>
      <c r="V1638" s="21">
        <f>Table10[[#This Row],[Profit]]/Table10[[#This Row],[Sales]]</f>
        <v>4.7058823529411771E-2</v>
      </c>
    </row>
    <row r="1639" spans="1:22" x14ac:dyDescent="0.2">
      <c r="A1639">
        <v>1638</v>
      </c>
      <c r="B1639" t="s">
        <v>6439</v>
      </c>
      <c r="C1639" s="1">
        <v>42639</v>
      </c>
      <c r="D1639" s="22">
        <f>MONTH(Table10[[#This Row],[Order Date]])</f>
        <v>9</v>
      </c>
      <c r="E1639" t="s">
        <v>2210</v>
      </c>
      <c r="F1639" t="s">
        <v>2211</v>
      </c>
      <c r="G1639" s="23" t="s">
        <v>41</v>
      </c>
      <c r="H1639" s="23" t="s">
        <v>71</v>
      </c>
      <c r="I1639" t="s">
        <v>177</v>
      </c>
      <c r="J1639" t="s">
        <v>92</v>
      </c>
      <c r="K1639" s="22">
        <v>6</v>
      </c>
      <c r="L1639" s="1">
        <v>42643</v>
      </c>
      <c r="M1639" s="22">
        <f>Table10[[#This Row],[Ship Date]]-Table10[[#This Row],[Order Date]]</f>
        <v>4</v>
      </c>
      <c r="N1639" t="s">
        <v>45</v>
      </c>
      <c r="O1639" t="s">
        <v>23</v>
      </c>
      <c r="P1639" t="s">
        <v>87</v>
      </c>
      <c r="Q1639" t="s">
        <v>39</v>
      </c>
      <c r="R1639" t="s">
        <v>6440</v>
      </c>
      <c r="S1639" s="33">
        <v>0</v>
      </c>
      <c r="T1639" s="13">
        <v>236.88</v>
      </c>
      <c r="U1639" s="13">
        <v>66.326400000000007</v>
      </c>
      <c r="V1639" s="21">
        <f>Table10[[#This Row],[Profit]]/Table10[[#This Row],[Sales]]</f>
        <v>0.28000000000000003</v>
      </c>
    </row>
    <row r="1640" spans="1:22" x14ac:dyDescent="0.2">
      <c r="A1640">
        <v>1639</v>
      </c>
      <c r="B1640" t="s">
        <v>6439</v>
      </c>
      <c r="C1640" s="1">
        <v>42639</v>
      </c>
      <c r="D1640" s="22">
        <f>MONTH(Table10[[#This Row],[Order Date]])</f>
        <v>9</v>
      </c>
      <c r="E1640" t="s">
        <v>400</v>
      </c>
      <c r="F1640" t="s">
        <v>401</v>
      </c>
      <c r="G1640" s="23" t="s">
        <v>41</v>
      </c>
      <c r="H1640" s="23" t="s">
        <v>82</v>
      </c>
      <c r="I1640" t="s">
        <v>177</v>
      </c>
      <c r="J1640" t="s">
        <v>92</v>
      </c>
      <c r="K1640" s="22">
        <v>5</v>
      </c>
      <c r="L1640" s="1">
        <v>42643</v>
      </c>
      <c r="M1640" s="22">
        <f>Table10[[#This Row],[Ship Date]]-Table10[[#This Row],[Order Date]]</f>
        <v>4</v>
      </c>
      <c r="N1640" t="s">
        <v>45</v>
      </c>
      <c r="O1640" t="s">
        <v>23</v>
      </c>
      <c r="P1640" t="s">
        <v>87</v>
      </c>
      <c r="Q1640" t="s">
        <v>39</v>
      </c>
      <c r="R1640" t="s">
        <v>6440</v>
      </c>
      <c r="S1640" s="33">
        <v>0</v>
      </c>
      <c r="T1640" s="13">
        <v>29.9</v>
      </c>
      <c r="U1640" s="13">
        <v>14.651</v>
      </c>
      <c r="V1640" s="21">
        <f>Table10[[#This Row],[Profit]]/Table10[[#This Row],[Sales]]</f>
        <v>0.49</v>
      </c>
    </row>
    <row r="1641" spans="1:22" x14ac:dyDescent="0.2">
      <c r="A1641">
        <v>1640</v>
      </c>
      <c r="B1641" t="s">
        <v>6439</v>
      </c>
      <c r="C1641" s="1">
        <v>42639</v>
      </c>
      <c r="D1641" s="22">
        <f>MONTH(Table10[[#This Row],[Order Date]])</f>
        <v>9</v>
      </c>
      <c r="E1641" t="s">
        <v>3758</v>
      </c>
      <c r="F1641" t="s">
        <v>3759</v>
      </c>
      <c r="G1641" s="23" t="s">
        <v>64</v>
      </c>
      <c r="H1641" s="23" t="s">
        <v>144</v>
      </c>
      <c r="I1641" t="s">
        <v>177</v>
      </c>
      <c r="J1641" t="s">
        <v>92</v>
      </c>
      <c r="K1641" s="22">
        <v>4</v>
      </c>
      <c r="L1641" s="1">
        <v>42643</v>
      </c>
      <c r="M1641" s="22">
        <f>Table10[[#This Row],[Ship Date]]-Table10[[#This Row],[Order Date]]</f>
        <v>4</v>
      </c>
      <c r="N1641" t="s">
        <v>45</v>
      </c>
      <c r="O1641" t="s">
        <v>23</v>
      </c>
      <c r="P1641" t="s">
        <v>87</v>
      </c>
      <c r="Q1641" t="s">
        <v>39</v>
      </c>
      <c r="R1641" t="s">
        <v>6440</v>
      </c>
      <c r="S1641" s="33">
        <v>0</v>
      </c>
      <c r="T1641" s="13">
        <v>100</v>
      </c>
      <c r="U1641" s="13">
        <v>21</v>
      </c>
      <c r="V1641" s="21">
        <f>Table10[[#This Row],[Profit]]/Table10[[#This Row],[Sales]]</f>
        <v>0.21</v>
      </c>
    </row>
    <row r="1642" spans="1:22" x14ac:dyDescent="0.2">
      <c r="A1642">
        <v>1641</v>
      </c>
      <c r="B1642" t="s">
        <v>6557</v>
      </c>
      <c r="C1642" s="1">
        <v>42639</v>
      </c>
      <c r="D1642" s="22">
        <f>MONTH(Table10[[#This Row],[Order Date]])</f>
        <v>9</v>
      </c>
      <c r="E1642" t="s">
        <v>6559</v>
      </c>
      <c r="F1642" t="s">
        <v>6560</v>
      </c>
      <c r="G1642" s="23" t="s">
        <v>41</v>
      </c>
      <c r="H1642" s="23" t="s">
        <v>82</v>
      </c>
      <c r="I1642" t="s">
        <v>6399</v>
      </c>
      <c r="J1642" t="s">
        <v>36</v>
      </c>
      <c r="K1642" s="22">
        <v>1</v>
      </c>
      <c r="L1642" s="1">
        <v>42644</v>
      </c>
      <c r="M1642" s="22">
        <f>Table10[[#This Row],[Ship Date]]-Table10[[#This Row],[Order Date]]</f>
        <v>5</v>
      </c>
      <c r="N1642" t="s">
        <v>20</v>
      </c>
      <c r="O1642" t="s">
        <v>23</v>
      </c>
      <c r="P1642" t="s">
        <v>433</v>
      </c>
      <c r="Q1642" t="s">
        <v>95</v>
      </c>
      <c r="R1642" t="s">
        <v>6558</v>
      </c>
      <c r="S1642" s="33">
        <v>0</v>
      </c>
      <c r="T1642" s="13">
        <v>9.99</v>
      </c>
      <c r="U1642" s="13">
        <v>4.4954999999999998</v>
      </c>
      <c r="V1642" s="21">
        <f>Table10[[#This Row],[Profit]]/Table10[[#This Row],[Sales]]</f>
        <v>0.44999999999999996</v>
      </c>
    </row>
    <row r="1643" spans="1:22" x14ac:dyDescent="0.2">
      <c r="A1643">
        <v>1642</v>
      </c>
      <c r="B1643" t="s">
        <v>7310</v>
      </c>
      <c r="C1643" s="1">
        <v>42639</v>
      </c>
      <c r="D1643" s="22">
        <f>MONTH(Table10[[#This Row],[Order Date]])</f>
        <v>9</v>
      </c>
      <c r="E1643" t="s">
        <v>1564</v>
      </c>
      <c r="F1643" t="s">
        <v>1565</v>
      </c>
      <c r="G1643" s="23" t="s">
        <v>41</v>
      </c>
      <c r="H1643" s="23" t="s">
        <v>53</v>
      </c>
      <c r="I1643" t="s">
        <v>2344</v>
      </c>
      <c r="J1643" t="s">
        <v>22</v>
      </c>
      <c r="K1643" s="22">
        <v>3</v>
      </c>
      <c r="L1643" s="1">
        <v>42639</v>
      </c>
      <c r="M1643" s="22">
        <f>Table10[[#This Row],[Ship Date]]-Table10[[#This Row],[Order Date]]</f>
        <v>0</v>
      </c>
      <c r="N1643" t="s">
        <v>1141</v>
      </c>
      <c r="O1643" t="s">
        <v>23</v>
      </c>
      <c r="P1643" t="s">
        <v>38</v>
      </c>
      <c r="Q1643" t="s">
        <v>39</v>
      </c>
      <c r="R1643" t="s">
        <v>684</v>
      </c>
      <c r="S1643" s="33">
        <v>0</v>
      </c>
      <c r="T1643" s="13">
        <v>51.45</v>
      </c>
      <c r="U1643" s="13">
        <v>13.891500000000001</v>
      </c>
      <c r="V1643" s="21">
        <f>Table10[[#This Row],[Profit]]/Table10[[#This Row],[Sales]]</f>
        <v>0.27</v>
      </c>
    </row>
    <row r="1644" spans="1:22" x14ac:dyDescent="0.2">
      <c r="A1644">
        <v>1643</v>
      </c>
      <c r="B1644" t="s">
        <v>7310</v>
      </c>
      <c r="C1644" s="1">
        <v>42639</v>
      </c>
      <c r="D1644" s="22">
        <f>MONTH(Table10[[#This Row],[Order Date]])</f>
        <v>9</v>
      </c>
      <c r="E1644" t="s">
        <v>3274</v>
      </c>
      <c r="F1644" t="s">
        <v>3275</v>
      </c>
      <c r="G1644" s="23" t="s">
        <v>41</v>
      </c>
      <c r="H1644" s="23" t="s">
        <v>42</v>
      </c>
      <c r="I1644" t="s">
        <v>2344</v>
      </c>
      <c r="J1644" t="s">
        <v>22</v>
      </c>
      <c r="K1644" s="22">
        <v>3</v>
      </c>
      <c r="L1644" s="1">
        <v>42639</v>
      </c>
      <c r="M1644" s="22">
        <f>Table10[[#This Row],[Ship Date]]-Table10[[#This Row],[Order Date]]</f>
        <v>0</v>
      </c>
      <c r="N1644" t="s">
        <v>1141</v>
      </c>
      <c r="O1644" t="s">
        <v>23</v>
      </c>
      <c r="P1644" t="s">
        <v>38</v>
      </c>
      <c r="Q1644" t="s">
        <v>39</v>
      </c>
      <c r="R1644" t="s">
        <v>684</v>
      </c>
      <c r="S1644" s="33">
        <v>0</v>
      </c>
      <c r="T1644" s="13">
        <v>7.83</v>
      </c>
      <c r="U1644" s="13">
        <v>3.6017999999999999</v>
      </c>
      <c r="V1644" s="21">
        <f>Table10[[#This Row],[Profit]]/Table10[[#This Row],[Sales]]</f>
        <v>0.45999999999999996</v>
      </c>
    </row>
    <row r="1645" spans="1:22" x14ac:dyDescent="0.2">
      <c r="A1645">
        <v>1644</v>
      </c>
      <c r="B1645" t="s">
        <v>7310</v>
      </c>
      <c r="C1645" s="1">
        <v>42639</v>
      </c>
      <c r="D1645" s="22">
        <f>MONTH(Table10[[#This Row],[Order Date]])</f>
        <v>9</v>
      </c>
      <c r="E1645" t="s">
        <v>6735</v>
      </c>
      <c r="F1645" t="s">
        <v>6736</v>
      </c>
      <c r="G1645" s="23" t="s">
        <v>41</v>
      </c>
      <c r="H1645" s="23" t="s">
        <v>61</v>
      </c>
      <c r="I1645" t="s">
        <v>2344</v>
      </c>
      <c r="J1645" t="s">
        <v>22</v>
      </c>
      <c r="K1645" s="22">
        <v>5</v>
      </c>
      <c r="L1645" s="1">
        <v>42639</v>
      </c>
      <c r="M1645" s="22">
        <f>Table10[[#This Row],[Ship Date]]-Table10[[#This Row],[Order Date]]</f>
        <v>0</v>
      </c>
      <c r="N1645" t="s">
        <v>1141</v>
      </c>
      <c r="O1645" t="s">
        <v>23</v>
      </c>
      <c r="P1645" t="s">
        <v>38</v>
      </c>
      <c r="Q1645" t="s">
        <v>39</v>
      </c>
      <c r="R1645" t="s">
        <v>684</v>
      </c>
      <c r="S1645" s="33">
        <v>0</v>
      </c>
      <c r="T1645" s="13">
        <v>35.4</v>
      </c>
      <c r="U1645" s="13">
        <v>13.452</v>
      </c>
      <c r="V1645" s="21">
        <f>Table10[[#This Row],[Profit]]/Table10[[#This Row],[Sales]]</f>
        <v>0.38</v>
      </c>
    </row>
    <row r="1646" spans="1:22" x14ac:dyDescent="0.2">
      <c r="A1646">
        <v>1645</v>
      </c>
      <c r="B1646" t="s">
        <v>7310</v>
      </c>
      <c r="C1646" s="1">
        <v>42639</v>
      </c>
      <c r="D1646" s="22">
        <f>MONTH(Table10[[#This Row],[Order Date]])</f>
        <v>9</v>
      </c>
      <c r="E1646" t="s">
        <v>1566</v>
      </c>
      <c r="F1646" t="s">
        <v>1567</v>
      </c>
      <c r="G1646" s="23" t="s">
        <v>41</v>
      </c>
      <c r="H1646" s="23" t="s">
        <v>82</v>
      </c>
      <c r="I1646" t="s">
        <v>2344</v>
      </c>
      <c r="J1646" t="s">
        <v>22</v>
      </c>
      <c r="K1646" s="22">
        <v>5</v>
      </c>
      <c r="L1646" s="1">
        <v>42639</v>
      </c>
      <c r="M1646" s="22">
        <f>Table10[[#This Row],[Ship Date]]-Table10[[#This Row],[Order Date]]</f>
        <v>0</v>
      </c>
      <c r="N1646" t="s">
        <v>1141</v>
      </c>
      <c r="O1646" t="s">
        <v>23</v>
      </c>
      <c r="P1646" t="s">
        <v>38</v>
      </c>
      <c r="Q1646" t="s">
        <v>39</v>
      </c>
      <c r="R1646" t="s">
        <v>684</v>
      </c>
      <c r="S1646" s="33">
        <v>0</v>
      </c>
      <c r="T1646" s="13">
        <v>29.9</v>
      </c>
      <c r="U1646" s="13">
        <v>13.455</v>
      </c>
      <c r="V1646" s="21">
        <f>Table10[[#This Row],[Profit]]/Table10[[#This Row],[Sales]]</f>
        <v>0.45</v>
      </c>
    </row>
    <row r="1647" spans="1:22" x14ac:dyDescent="0.2">
      <c r="A1647">
        <v>1646</v>
      </c>
      <c r="B1647" t="s">
        <v>7679</v>
      </c>
      <c r="C1647" s="1">
        <v>42639</v>
      </c>
      <c r="D1647" s="22">
        <f>MONTH(Table10[[#This Row],[Order Date]])</f>
        <v>9</v>
      </c>
      <c r="E1647" t="s">
        <v>2861</v>
      </c>
      <c r="F1647" t="s">
        <v>2862</v>
      </c>
      <c r="G1647" s="23" t="s">
        <v>41</v>
      </c>
      <c r="H1647" s="23" t="s">
        <v>82</v>
      </c>
      <c r="I1647" t="s">
        <v>492</v>
      </c>
      <c r="J1647" t="s">
        <v>36</v>
      </c>
      <c r="K1647" s="22">
        <v>2</v>
      </c>
      <c r="L1647" s="1">
        <v>42643</v>
      </c>
      <c r="M1647" s="22">
        <f>Table10[[#This Row],[Ship Date]]-Table10[[#This Row],[Order Date]]</f>
        <v>4</v>
      </c>
      <c r="N1647" t="s">
        <v>45</v>
      </c>
      <c r="O1647" t="s">
        <v>23</v>
      </c>
      <c r="P1647" t="s">
        <v>38</v>
      </c>
      <c r="Q1647" t="s">
        <v>39</v>
      </c>
      <c r="R1647" t="s">
        <v>114</v>
      </c>
      <c r="S1647" s="33">
        <v>0</v>
      </c>
      <c r="T1647" s="13">
        <v>12.96</v>
      </c>
      <c r="U1647" s="13">
        <v>6.2207999999999997</v>
      </c>
      <c r="V1647" s="21">
        <f>Table10[[#This Row],[Profit]]/Table10[[#This Row],[Sales]]</f>
        <v>0.47999999999999993</v>
      </c>
    </row>
    <row r="1648" spans="1:22" x14ac:dyDescent="0.2">
      <c r="A1648">
        <v>1647</v>
      </c>
      <c r="B1648" t="s">
        <v>8848</v>
      </c>
      <c r="C1648" s="1">
        <v>42639</v>
      </c>
      <c r="D1648" s="22">
        <f>MONTH(Table10[[#This Row],[Order Date]])</f>
        <v>9</v>
      </c>
      <c r="E1648" t="s">
        <v>4832</v>
      </c>
      <c r="F1648" t="s">
        <v>4833</v>
      </c>
      <c r="G1648" s="23" t="s">
        <v>64</v>
      </c>
      <c r="H1648" s="23" t="s">
        <v>144</v>
      </c>
      <c r="I1648" t="s">
        <v>1417</v>
      </c>
      <c r="J1648" t="s">
        <v>92</v>
      </c>
      <c r="K1648" s="22">
        <v>3</v>
      </c>
      <c r="L1648" s="1">
        <v>42644</v>
      </c>
      <c r="M1648" s="22">
        <f>Table10[[#This Row],[Ship Date]]-Table10[[#This Row],[Order Date]]</f>
        <v>5</v>
      </c>
      <c r="N1648" t="s">
        <v>45</v>
      </c>
      <c r="O1648" t="s">
        <v>23</v>
      </c>
      <c r="P1648" t="s">
        <v>48</v>
      </c>
      <c r="Q1648" t="s">
        <v>26</v>
      </c>
      <c r="R1648" t="s">
        <v>5021</v>
      </c>
      <c r="S1648" s="33">
        <v>0.2</v>
      </c>
      <c r="T1648" s="13">
        <v>431.976</v>
      </c>
      <c r="U1648" s="13">
        <v>-75.595799999999997</v>
      </c>
      <c r="V1648" s="21">
        <f>Table10[[#This Row],[Profit]]/Table10[[#This Row],[Sales]]</f>
        <v>-0.17499999999999999</v>
      </c>
    </row>
    <row r="1649" spans="1:22" x14ac:dyDescent="0.2">
      <c r="A1649">
        <v>1648</v>
      </c>
      <c r="B1649" t="s">
        <v>9172</v>
      </c>
      <c r="C1649" s="1">
        <v>42639</v>
      </c>
      <c r="D1649" s="22">
        <f>MONTH(Table10[[#This Row],[Order Date]])</f>
        <v>9</v>
      </c>
      <c r="E1649" t="s">
        <v>3152</v>
      </c>
      <c r="F1649" t="s">
        <v>7822</v>
      </c>
      <c r="G1649" s="23" t="s">
        <v>41</v>
      </c>
      <c r="H1649" s="23" t="s">
        <v>68</v>
      </c>
      <c r="I1649" t="s">
        <v>4910</v>
      </c>
      <c r="J1649" t="s">
        <v>22</v>
      </c>
      <c r="K1649" s="22">
        <v>2</v>
      </c>
      <c r="L1649" s="1">
        <v>42644</v>
      </c>
      <c r="M1649" s="22">
        <f>Table10[[#This Row],[Ship Date]]-Table10[[#This Row],[Order Date]]</f>
        <v>5</v>
      </c>
      <c r="N1649" t="s">
        <v>45</v>
      </c>
      <c r="O1649" t="s">
        <v>23</v>
      </c>
      <c r="P1649" t="s">
        <v>94</v>
      </c>
      <c r="Q1649" t="s">
        <v>95</v>
      </c>
      <c r="R1649" t="s">
        <v>165</v>
      </c>
      <c r="S1649" s="33">
        <v>0.8</v>
      </c>
      <c r="T1649" s="13">
        <v>15.624000000000001</v>
      </c>
      <c r="U1649" s="13">
        <v>-24.9984</v>
      </c>
      <c r="V1649" s="21">
        <f>Table10[[#This Row],[Profit]]/Table10[[#This Row],[Sales]]</f>
        <v>-1.5999999999999999</v>
      </c>
    </row>
    <row r="1650" spans="1:22" x14ac:dyDescent="0.2">
      <c r="A1650">
        <v>1649</v>
      </c>
      <c r="B1650" t="s">
        <v>9636</v>
      </c>
      <c r="C1650" s="1">
        <v>42639</v>
      </c>
      <c r="D1650" s="22">
        <f>MONTH(Table10[[#This Row],[Order Date]])</f>
        <v>9</v>
      </c>
      <c r="E1650" t="s">
        <v>8006</v>
      </c>
      <c r="F1650" t="s">
        <v>8007</v>
      </c>
      <c r="G1650" s="23" t="s">
        <v>41</v>
      </c>
      <c r="H1650" s="23" t="s">
        <v>71</v>
      </c>
      <c r="I1650" t="s">
        <v>7183</v>
      </c>
      <c r="J1650" t="s">
        <v>36</v>
      </c>
      <c r="K1650" s="22">
        <v>2</v>
      </c>
      <c r="L1650" s="1">
        <v>42643</v>
      </c>
      <c r="M1650" s="22">
        <f>Table10[[#This Row],[Ship Date]]-Table10[[#This Row],[Order Date]]</f>
        <v>4</v>
      </c>
      <c r="N1650" t="s">
        <v>45</v>
      </c>
      <c r="O1650" t="s">
        <v>23</v>
      </c>
      <c r="P1650" t="s">
        <v>94</v>
      </c>
      <c r="Q1650" t="s">
        <v>95</v>
      </c>
      <c r="R1650" t="s">
        <v>165</v>
      </c>
      <c r="S1650" s="33">
        <v>0.8</v>
      </c>
      <c r="T1650" s="13">
        <v>93.031999999999996</v>
      </c>
      <c r="U1650" s="13">
        <v>-251.18639999999999</v>
      </c>
      <c r="V1650" s="21">
        <f>Table10[[#This Row],[Profit]]/Table10[[#This Row],[Sales]]</f>
        <v>-2.7</v>
      </c>
    </row>
    <row r="1651" spans="1:22" x14ac:dyDescent="0.2">
      <c r="A1651">
        <v>1650</v>
      </c>
      <c r="B1651" t="s">
        <v>9636</v>
      </c>
      <c r="C1651" s="1">
        <v>42639</v>
      </c>
      <c r="D1651" s="22">
        <f>MONTH(Table10[[#This Row],[Order Date]])</f>
        <v>9</v>
      </c>
      <c r="E1651" t="s">
        <v>300</v>
      </c>
      <c r="F1651" t="s">
        <v>301</v>
      </c>
      <c r="G1651" s="23" t="s">
        <v>28</v>
      </c>
      <c r="H1651" s="23" t="s">
        <v>32</v>
      </c>
      <c r="I1651" t="s">
        <v>7183</v>
      </c>
      <c r="J1651" t="s">
        <v>36</v>
      </c>
      <c r="K1651" s="22">
        <v>5</v>
      </c>
      <c r="L1651" s="1">
        <v>42643</v>
      </c>
      <c r="M1651" s="22">
        <f>Table10[[#This Row],[Ship Date]]-Table10[[#This Row],[Order Date]]</f>
        <v>4</v>
      </c>
      <c r="N1651" t="s">
        <v>45</v>
      </c>
      <c r="O1651" t="s">
        <v>23</v>
      </c>
      <c r="P1651" t="s">
        <v>94</v>
      </c>
      <c r="Q1651" t="s">
        <v>95</v>
      </c>
      <c r="R1651" t="s">
        <v>165</v>
      </c>
      <c r="S1651" s="33">
        <v>0.3</v>
      </c>
      <c r="T1651" s="13">
        <v>454.96499999999997</v>
      </c>
      <c r="U1651" s="13">
        <v>-136.48949999999999</v>
      </c>
      <c r="V1651" s="21">
        <f>Table10[[#This Row],[Profit]]/Table10[[#This Row],[Sales]]</f>
        <v>-0.3</v>
      </c>
    </row>
    <row r="1652" spans="1:22" x14ac:dyDescent="0.2">
      <c r="A1652">
        <v>1651</v>
      </c>
      <c r="B1652" t="s">
        <v>9819</v>
      </c>
      <c r="C1652" s="1">
        <v>42639</v>
      </c>
      <c r="D1652" s="22">
        <f>MONTH(Table10[[#This Row],[Order Date]])</f>
        <v>9</v>
      </c>
      <c r="E1652" t="s">
        <v>2835</v>
      </c>
      <c r="F1652" t="s">
        <v>2836</v>
      </c>
      <c r="G1652" s="23" t="s">
        <v>41</v>
      </c>
      <c r="H1652" s="23" t="s">
        <v>68</v>
      </c>
      <c r="I1652" t="s">
        <v>4591</v>
      </c>
      <c r="J1652" t="s">
        <v>36</v>
      </c>
      <c r="K1652" s="22">
        <v>2</v>
      </c>
      <c r="L1652" s="1">
        <v>42640</v>
      </c>
      <c r="M1652" s="22">
        <f>Table10[[#This Row],[Ship Date]]-Table10[[#This Row],[Order Date]]</f>
        <v>1</v>
      </c>
      <c r="N1652" t="s">
        <v>169</v>
      </c>
      <c r="O1652" t="s">
        <v>23</v>
      </c>
      <c r="P1652" t="s">
        <v>94</v>
      </c>
      <c r="Q1652" t="s">
        <v>95</v>
      </c>
      <c r="R1652" t="s">
        <v>165</v>
      </c>
      <c r="S1652" s="33">
        <v>0.8</v>
      </c>
      <c r="T1652" s="13">
        <v>6.8159999999999998</v>
      </c>
      <c r="U1652" s="13">
        <v>-11.587199999999999</v>
      </c>
      <c r="V1652" s="21">
        <f>Table10[[#This Row],[Profit]]/Table10[[#This Row],[Sales]]</f>
        <v>-1.7</v>
      </c>
    </row>
    <row r="1653" spans="1:22" x14ac:dyDescent="0.2">
      <c r="A1653">
        <v>1652</v>
      </c>
      <c r="B1653" t="s">
        <v>4840</v>
      </c>
      <c r="C1653" s="1">
        <v>42640</v>
      </c>
      <c r="D1653" s="22">
        <f>MONTH(Table10[[#This Row],[Order Date]])</f>
        <v>9</v>
      </c>
      <c r="E1653" t="s">
        <v>4841</v>
      </c>
      <c r="F1653" t="s">
        <v>4842</v>
      </c>
      <c r="G1653" s="23" t="s">
        <v>28</v>
      </c>
      <c r="H1653" s="23" t="s">
        <v>29</v>
      </c>
      <c r="I1653" t="s">
        <v>3303</v>
      </c>
      <c r="J1653" t="s">
        <v>36</v>
      </c>
      <c r="K1653" s="22">
        <v>7</v>
      </c>
      <c r="L1653" s="1">
        <v>42646</v>
      </c>
      <c r="M1653" s="22">
        <f>Table10[[#This Row],[Ship Date]]-Table10[[#This Row],[Order Date]]</f>
        <v>6</v>
      </c>
      <c r="N1653" t="s">
        <v>45</v>
      </c>
      <c r="O1653" t="s">
        <v>23</v>
      </c>
      <c r="P1653" t="s">
        <v>94</v>
      </c>
      <c r="Q1653" t="s">
        <v>95</v>
      </c>
      <c r="R1653" t="s">
        <v>1488</v>
      </c>
      <c r="S1653" s="33">
        <v>0.32</v>
      </c>
      <c r="T1653" s="13">
        <v>956.66480000000001</v>
      </c>
      <c r="U1653" s="13">
        <v>-225.0976</v>
      </c>
      <c r="V1653" s="21">
        <f>Table10[[#This Row],[Profit]]/Table10[[#This Row],[Sales]]</f>
        <v>-0.23529411764705882</v>
      </c>
    </row>
    <row r="1654" spans="1:22" x14ac:dyDescent="0.2">
      <c r="A1654">
        <v>1653</v>
      </c>
      <c r="B1654" t="s">
        <v>7443</v>
      </c>
      <c r="C1654" s="1">
        <v>42640</v>
      </c>
      <c r="D1654" s="22">
        <f>MONTH(Table10[[#This Row],[Order Date]])</f>
        <v>9</v>
      </c>
      <c r="E1654" t="s">
        <v>1736</v>
      </c>
      <c r="F1654" t="s">
        <v>1737</v>
      </c>
      <c r="G1654" s="23" t="s">
        <v>41</v>
      </c>
      <c r="H1654" s="23" t="s">
        <v>68</v>
      </c>
      <c r="I1654" t="s">
        <v>2296</v>
      </c>
      <c r="J1654" t="s">
        <v>36</v>
      </c>
      <c r="K1654" s="22">
        <v>3</v>
      </c>
      <c r="L1654" s="1">
        <v>42645</v>
      </c>
      <c r="M1654" s="22">
        <f>Table10[[#This Row],[Ship Date]]-Table10[[#This Row],[Order Date]]</f>
        <v>5</v>
      </c>
      <c r="N1654" t="s">
        <v>45</v>
      </c>
      <c r="O1654" t="s">
        <v>23</v>
      </c>
      <c r="P1654" t="s">
        <v>441</v>
      </c>
      <c r="Q1654" t="s">
        <v>133</v>
      </c>
      <c r="R1654" t="s">
        <v>2174</v>
      </c>
      <c r="S1654" s="33">
        <v>0.7</v>
      </c>
      <c r="T1654" s="13">
        <v>2.907</v>
      </c>
      <c r="U1654" s="13">
        <v>-2.0348999999999999</v>
      </c>
      <c r="V1654" s="21">
        <f>Table10[[#This Row],[Profit]]/Table10[[#This Row],[Sales]]</f>
        <v>-0.7</v>
      </c>
    </row>
    <row r="1655" spans="1:22" x14ac:dyDescent="0.2">
      <c r="A1655">
        <v>1654</v>
      </c>
      <c r="B1655" t="s">
        <v>8388</v>
      </c>
      <c r="C1655" s="1">
        <v>42640</v>
      </c>
      <c r="D1655" s="22">
        <f>MONTH(Table10[[#This Row],[Order Date]])</f>
        <v>9</v>
      </c>
      <c r="E1655" t="s">
        <v>7191</v>
      </c>
      <c r="F1655" t="s">
        <v>7192</v>
      </c>
      <c r="G1655" s="23" t="s">
        <v>64</v>
      </c>
      <c r="H1655" s="23" t="s">
        <v>65</v>
      </c>
      <c r="I1655" t="s">
        <v>3837</v>
      </c>
      <c r="J1655" t="s">
        <v>22</v>
      </c>
      <c r="K1655" s="22">
        <v>2</v>
      </c>
      <c r="L1655" s="1">
        <v>42646</v>
      </c>
      <c r="M1655" s="22">
        <f>Table10[[#This Row],[Ship Date]]-Table10[[#This Row],[Order Date]]</f>
        <v>6</v>
      </c>
      <c r="N1655" t="s">
        <v>45</v>
      </c>
      <c r="O1655" t="s">
        <v>23</v>
      </c>
      <c r="P1655" t="s">
        <v>87</v>
      </c>
      <c r="Q1655" t="s">
        <v>39</v>
      </c>
      <c r="R1655" t="s">
        <v>86</v>
      </c>
      <c r="S1655" s="33">
        <v>0.2</v>
      </c>
      <c r="T1655" s="13">
        <v>1001.5839999999999</v>
      </c>
      <c r="U1655" s="13">
        <v>125.19799999999999</v>
      </c>
      <c r="V1655" s="21">
        <f>Table10[[#This Row],[Profit]]/Table10[[#This Row],[Sales]]</f>
        <v>0.125</v>
      </c>
    </row>
    <row r="1656" spans="1:22" x14ac:dyDescent="0.2">
      <c r="A1656">
        <v>1655</v>
      </c>
      <c r="B1656" t="s">
        <v>8523</v>
      </c>
      <c r="C1656" s="1">
        <v>42640</v>
      </c>
      <c r="D1656" s="22">
        <f>MONTH(Table10[[#This Row],[Order Date]])</f>
        <v>9</v>
      </c>
      <c r="E1656" t="s">
        <v>4693</v>
      </c>
      <c r="F1656" t="s">
        <v>4694</v>
      </c>
      <c r="G1656" s="23" t="s">
        <v>41</v>
      </c>
      <c r="H1656" s="23" t="s">
        <v>82</v>
      </c>
      <c r="I1656" t="s">
        <v>3761</v>
      </c>
      <c r="J1656" t="s">
        <v>22</v>
      </c>
      <c r="K1656" s="22">
        <v>3</v>
      </c>
      <c r="L1656" s="1">
        <v>42642</v>
      </c>
      <c r="M1656" s="22">
        <f>Table10[[#This Row],[Ship Date]]-Table10[[#This Row],[Order Date]]</f>
        <v>2</v>
      </c>
      <c r="N1656" t="s">
        <v>20</v>
      </c>
      <c r="O1656" t="s">
        <v>23</v>
      </c>
      <c r="P1656" t="s">
        <v>1125</v>
      </c>
      <c r="Q1656" t="s">
        <v>26</v>
      </c>
      <c r="R1656" t="s">
        <v>1537</v>
      </c>
      <c r="S1656" s="33">
        <v>0</v>
      </c>
      <c r="T1656" s="13">
        <v>17.940000000000001</v>
      </c>
      <c r="U1656" s="13">
        <v>8.7905999999999995</v>
      </c>
      <c r="V1656" s="21">
        <f>Table10[[#This Row],[Profit]]/Table10[[#This Row],[Sales]]</f>
        <v>0.48999999999999994</v>
      </c>
    </row>
    <row r="1657" spans="1:22" x14ac:dyDescent="0.2">
      <c r="A1657">
        <v>1656</v>
      </c>
      <c r="B1657" t="s">
        <v>8523</v>
      </c>
      <c r="C1657" s="1">
        <v>42640</v>
      </c>
      <c r="D1657" s="22">
        <f>MONTH(Table10[[#This Row],[Order Date]])</f>
        <v>9</v>
      </c>
      <c r="E1657" t="s">
        <v>688</v>
      </c>
      <c r="F1657" t="s">
        <v>689</v>
      </c>
      <c r="G1657" s="23" t="s">
        <v>41</v>
      </c>
      <c r="H1657" s="23" t="s">
        <v>61</v>
      </c>
      <c r="I1657" t="s">
        <v>3761</v>
      </c>
      <c r="J1657" t="s">
        <v>22</v>
      </c>
      <c r="K1657" s="22">
        <v>3</v>
      </c>
      <c r="L1657" s="1">
        <v>42642</v>
      </c>
      <c r="M1657" s="22">
        <f>Table10[[#This Row],[Ship Date]]-Table10[[#This Row],[Order Date]]</f>
        <v>2</v>
      </c>
      <c r="N1657" t="s">
        <v>20</v>
      </c>
      <c r="O1657" t="s">
        <v>23</v>
      </c>
      <c r="P1657" t="s">
        <v>1125</v>
      </c>
      <c r="Q1657" t="s">
        <v>26</v>
      </c>
      <c r="R1657" t="s">
        <v>1537</v>
      </c>
      <c r="S1657" s="33">
        <v>0</v>
      </c>
      <c r="T1657" s="13">
        <v>13.89</v>
      </c>
      <c r="U1657" s="13">
        <v>4.5837000000000003</v>
      </c>
      <c r="V1657" s="21">
        <f>Table10[[#This Row],[Profit]]/Table10[[#This Row],[Sales]]</f>
        <v>0.33</v>
      </c>
    </row>
    <row r="1658" spans="1:22" x14ac:dyDescent="0.2">
      <c r="A1658">
        <v>1657</v>
      </c>
      <c r="B1658" t="s">
        <v>1166</v>
      </c>
      <c r="C1658" s="1">
        <v>42641</v>
      </c>
      <c r="D1658" s="22">
        <f>MONTH(Table10[[#This Row],[Order Date]])</f>
        <v>9</v>
      </c>
      <c r="E1658" t="s">
        <v>1169</v>
      </c>
      <c r="F1658" t="s">
        <v>1170</v>
      </c>
      <c r="G1658" s="23" t="s">
        <v>41</v>
      </c>
      <c r="H1658" s="23" t="s">
        <v>82</v>
      </c>
      <c r="I1658" t="s">
        <v>1167</v>
      </c>
      <c r="J1658" t="s">
        <v>36</v>
      </c>
      <c r="K1658" s="22">
        <v>4</v>
      </c>
      <c r="L1658" s="1">
        <v>42644</v>
      </c>
      <c r="M1658" s="22">
        <f>Table10[[#This Row],[Ship Date]]-Table10[[#This Row],[Order Date]]</f>
        <v>3</v>
      </c>
      <c r="N1658" t="s">
        <v>169</v>
      </c>
      <c r="O1658" t="s">
        <v>23</v>
      </c>
      <c r="P1658" t="s">
        <v>189</v>
      </c>
      <c r="Q1658" t="s">
        <v>95</v>
      </c>
      <c r="R1658" t="s">
        <v>1168</v>
      </c>
      <c r="S1658" s="33">
        <v>0.2</v>
      </c>
      <c r="T1658" s="13">
        <v>99.135999999999996</v>
      </c>
      <c r="U1658" s="13">
        <v>30.98</v>
      </c>
      <c r="V1658" s="21">
        <f>Table10[[#This Row],[Profit]]/Table10[[#This Row],[Sales]]</f>
        <v>0.3125</v>
      </c>
    </row>
    <row r="1659" spans="1:22" x14ac:dyDescent="0.2">
      <c r="A1659">
        <v>1658</v>
      </c>
      <c r="B1659" t="s">
        <v>2360</v>
      </c>
      <c r="C1659" s="1">
        <v>42642</v>
      </c>
      <c r="D1659" s="22">
        <f>MONTH(Table10[[#This Row],[Order Date]])</f>
        <v>9</v>
      </c>
      <c r="E1659" t="s">
        <v>2362</v>
      </c>
      <c r="F1659" t="s">
        <v>2363</v>
      </c>
      <c r="G1659" s="23" t="s">
        <v>41</v>
      </c>
      <c r="H1659" s="23" t="s">
        <v>42</v>
      </c>
      <c r="I1659" t="s">
        <v>2361</v>
      </c>
      <c r="J1659" t="s">
        <v>36</v>
      </c>
      <c r="K1659" s="22">
        <v>4</v>
      </c>
      <c r="L1659" s="1">
        <v>42645</v>
      </c>
      <c r="M1659" s="22">
        <f>Table10[[#This Row],[Ship Date]]-Table10[[#This Row],[Order Date]]</f>
        <v>3</v>
      </c>
      <c r="N1659" t="s">
        <v>169</v>
      </c>
      <c r="O1659" t="s">
        <v>23</v>
      </c>
      <c r="P1659" t="s">
        <v>132</v>
      </c>
      <c r="Q1659" t="s">
        <v>133</v>
      </c>
      <c r="R1659" t="s">
        <v>131</v>
      </c>
      <c r="S1659" s="33">
        <v>0.2</v>
      </c>
      <c r="T1659" s="13">
        <v>15.936</v>
      </c>
      <c r="U1659" s="13">
        <v>5.1791999999999998</v>
      </c>
      <c r="V1659" s="21">
        <f>Table10[[#This Row],[Profit]]/Table10[[#This Row],[Sales]]</f>
        <v>0.32500000000000001</v>
      </c>
    </row>
    <row r="1660" spans="1:22" x14ac:dyDescent="0.2">
      <c r="A1660">
        <v>1659</v>
      </c>
      <c r="B1660" t="s">
        <v>2792</v>
      </c>
      <c r="C1660" s="1">
        <v>42642</v>
      </c>
      <c r="D1660" s="22">
        <f>MONTH(Table10[[#This Row],[Order Date]])</f>
        <v>9</v>
      </c>
      <c r="E1660" t="s">
        <v>2794</v>
      </c>
      <c r="F1660" t="s">
        <v>2795</v>
      </c>
      <c r="G1660" s="23" t="s">
        <v>41</v>
      </c>
      <c r="H1660" s="23" t="s">
        <v>61</v>
      </c>
      <c r="I1660" t="s">
        <v>2793</v>
      </c>
      <c r="J1660" t="s">
        <v>92</v>
      </c>
      <c r="K1660" s="22">
        <v>7</v>
      </c>
      <c r="L1660" s="1">
        <v>42643</v>
      </c>
      <c r="M1660" s="22">
        <f>Table10[[#This Row],[Ship Date]]-Table10[[#This Row],[Order Date]]</f>
        <v>1</v>
      </c>
      <c r="N1660" t="s">
        <v>169</v>
      </c>
      <c r="O1660" t="s">
        <v>23</v>
      </c>
      <c r="P1660" t="s">
        <v>226</v>
      </c>
      <c r="Q1660" t="s">
        <v>95</v>
      </c>
      <c r="R1660" t="s">
        <v>440</v>
      </c>
      <c r="S1660" s="33">
        <v>0</v>
      </c>
      <c r="T1660" s="13">
        <v>40.880000000000003</v>
      </c>
      <c r="U1660" s="13">
        <v>10.6288</v>
      </c>
      <c r="V1660" s="21">
        <f>Table10[[#This Row],[Profit]]/Table10[[#This Row],[Sales]]</f>
        <v>0.26</v>
      </c>
    </row>
    <row r="1661" spans="1:22" x14ac:dyDescent="0.2">
      <c r="A1661">
        <v>1660</v>
      </c>
      <c r="B1661" t="s">
        <v>3847</v>
      </c>
      <c r="C1661" s="1">
        <v>42642</v>
      </c>
      <c r="D1661" s="22">
        <f>MONTH(Table10[[#This Row],[Order Date]])</f>
        <v>9</v>
      </c>
      <c r="E1661" t="s">
        <v>2198</v>
      </c>
      <c r="F1661" t="s">
        <v>2199</v>
      </c>
      <c r="G1661" s="23" t="s">
        <v>41</v>
      </c>
      <c r="H1661" s="23" t="s">
        <v>82</v>
      </c>
      <c r="I1661" t="s">
        <v>3848</v>
      </c>
      <c r="J1661" t="s">
        <v>22</v>
      </c>
      <c r="K1661" s="22">
        <v>1</v>
      </c>
      <c r="L1661" s="1">
        <v>42644</v>
      </c>
      <c r="M1661" s="22">
        <f>Table10[[#This Row],[Ship Date]]-Table10[[#This Row],[Order Date]]</f>
        <v>2</v>
      </c>
      <c r="N1661" t="s">
        <v>20</v>
      </c>
      <c r="O1661" t="s">
        <v>23</v>
      </c>
      <c r="P1661" t="s">
        <v>38</v>
      </c>
      <c r="Q1661" t="s">
        <v>39</v>
      </c>
      <c r="R1661" t="s">
        <v>37</v>
      </c>
      <c r="S1661" s="33">
        <v>0</v>
      </c>
      <c r="T1661" s="13">
        <v>18.97</v>
      </c>
      <c r="U1661" s="13">
        <v>9.1056000000000008</v>
      </c>
      <c r="V1661" s="21">
        <f>Table10[[#This Row],[Profit]]/Table10[[#This Row],[Sales]]</f>
        <v>0.48000000000000009</v>
      </c>
    </row>
    <row r="1662" spans="1:22" x14ac:dyDescent="0.2">
      <c r="A1662">
        <v>1661</v>
      </c>
      <c r="B1662" t="s">
        <v>5986</v>
      </c>
      <c r="C1662" s="1">
        <v>42642</v>
      </c>
      <c r="D1662" s="22">
        <f>MONTH(Table10[[#This Row],[Order Date]])</f>
        <v>9</v>
      </c>
      <c r="E1662" t="s">
        <v>5739</v>
      </c>
      <c r="F1662" t="s">
        <v>5740</v>
      </c>
      <c r="G1662" s="23" t="s">
        <v>64</v>
      </c>
      <c r="H1662" s="23" t="s">
        <v>144</v>
      </c>
      <c r="I1662" t="s">
        <v>2187</v>
      </c>
      <c r="J1662" t="s">
        <v>22</v>
      </c>
      <c r="K1662" s="22">
        <v>3</v>
      </c>
      <c r="L1662" s="1">
        <v>42646</v>
      </c>
      <c r="M1662" s="22">
        <f>Table10[[#This Row],[Ship Date]]-Table10[[#This Row],[Order Date]]</f>
        <v>4</v>
      </c>
      <c r="N1662" t="s">
        <v>45</v>
      </c>
      <c r="O1662" t="s">
        <v>23</v>
      </c>
      <c r="P1662" t="s">
        <v>320</v>
      </c>
      <c r="Q1662" t="s">
        <v>26</v>
      </c>
      <c r="R1662" t="s">
        <v>3448</v>
      </c>
      <c r="S1662" s="33">
        <v>0</v>
      </c>
      <c r="T1662" s="13">
        <v>209.97</v>
      </c>
      <c r="U1662" s="13">
        <v>71.389799999999994</v>
      </c>
      <c r="V1662" s="21">
        <f>Table10[[#This Row],[Profit]]/Table10[[#This Row],[Sales]]</f>
        <v>0.33999999999999997</v>
      </c>
    </row>
    <row r="1663" spans="1:22" x14ac:dyDescent="0.2">
      <c r="A1663">
        <v>1662</v>
      </c>
      <c r="B1663" t="s">
        <v>5986</v>
      </c>
      <c r="C1663" s="1">
        <v>42642</v>
      </c>
      <c r="D1663" s="22">
        <f>MONTH(Table10[[#This Row],[Order Date]])</f>
        <v>9</v>
      </c>
      <c r="E1663" t="s">
        <v>1851</v>
      </c>
      <c r="F1663" t="s">
        <v>1852</v>
      </c>
      <c r="G1663" s="23" t="s">
        <v>41</v>
      </c>
      <c r="H1663" s="23" t="s">
        <v>68</v>
      </c>
      <c r="I1663" t="s">
        <v>2187</v>
      </c>
      <c r="J1663" t="s">
        <v>22</v>
      </c>
      <c r="K1663" s="22">
        <v>3</v>
      </c>
      <c r="L1663" s="1">
        <v>42646</v>
      </c>
      <c r="M1663" s="22">
        <f>Table10[[#This Row],[Ship Date]]-Table10[[#This Row],[Order Date]]</f>
        <v>4</v>
      </c>
      <c r="N1663" t="s">
        <v>45</v>
      </c>
      <c r="O1663" t="s">
        <v>23</v>
      </c>
      <c r="P1663" t="s">
        <v>320</v>
      </c>
      <c r="Q1663" t="s">
        <v>26</v>
      </c>
      <c r="R1663" t="s">
        <v>3448</v>
      </c>
      <c r="S1663" s="33">
        <v>0</v>
      </c>
      <c r="T1663" s="13">
        <v>62.94</v>
      </c>
      <c r="U1663" s="13">
        <v>30.211200000000002</v>
      </c>
      <c r="V1663" s="21">
        <f>Table10[[#This Row],[Profit]]/Table10[[#This Row],[Sales]]</f>
        <v>0.48000000000000004</v>
      </c>
    </row>
    <row r="1664" spans="1:22" x14ac:dyDescent="0.2">
      <c r="A1664">
        <v>1663</v>
      </c>
      <c r="B1664" t="s">
        <v>5986</v>
      </c>
      <c r="C1664" s="1">
        <v>42642</v>
      </c>
      <c r="D1664" s="22">
        <f>MONTH(Table10[[#This Row],[Order Date]])</f>
        <v>9</v>
      </c>
      <c r="E1664" t="s">
        <v>506</v>
      </c>
      <c r="F1664" t="s">
        <v>507</v>
      </c>
      <c r="G1664" s="23" t="s">
        <v>41</v>
      </c>
      <c r="H1664" s="23" t="s">
        <v>61</v>
      </c>
      <c r="I1664" t="s">
        <v>2187</v>
      </c>
      <c r="J1664" t="s">
        <v>22</v>
      </c>
      <c r="K1664" s="22">
        <v>9</v>
      </c>
      <c r="L1664" s="1">
        <v>42646</v>
      </c>
      <c r="M1664" s="22">
        <f>Table10[[#This Row],[Ship Date]]-Table10[[#This Row],[Order Date]]</f>
        <v>4</v>
      </c>
      <c r="N1664" t="s">
        <v>45</v>
      </c>
      <c r="O1664" t="s">
        <v>23</v>
      </c>
      <c r="P1664" t="s">
        <v>320</v>
      </c>
      <c r="Q1664" t="s">
        <v>26</v>
      </c>
      <c r="R1664" t="s">
        <v>3448</v>
      </c>
      <c r="S1664" s="33">
        <v>0</v>
      </c>
      <c r="T1664" s="13">
        <v>25.92</v>
      </c>
      <c r="U1664" s="13">
        <v>7.7759999999999998</v>
      </c>
      <c r="V1664" s="21">
        <f>Table10[[#This Row],[Profit]]/Table10[[#This Row],[Sales]]</f>
        <v>0.3</v>
      </c>
    </row>
    <row r="1665" spans="1:22" x14ac:dyDescent="0.2">
      <c r="A1665">
        <v>1664</v>
      </c>
      <c r="B1665" t="s">
        <v>7414</v>
      </c>
      <c r="C1665" s="1">
        <v>42642</v>
      </c>
      <c r="D1665" s="22">
        <f>MONTH(Table10[[#This Row],[Order Date]])</f>
        <v>9</v>
      </c>
      <c r="E1665" t="s">
        <v>4629</v>
      </c>
      <c r="F1665" t="s">
        <v>4630</v>
      </c>
      <c r="G1665" s="23" t="s">
        <v>41</v>
      </c>
      <c r="H1665" s="23" t="s">
        <v>68</v>
      </c>
      <c r="I1665" t="s">
        <v>3554</v>
      </c>
      <c r="J1665" t="s">
        <v>22</v>
      </c>
      <c r="K1665" s="22">
        <v>5</v>
      </c>
      <c r="L1665" s="1">
        <v>42646</v>
      </c>
      <c r="M1665" s="22">
        <f>Table10[[#This Row],[Ship Date]]-Table10[[#This Row],[Order Date]]</f>
        <v>4</v>
      </c>
      <c r="N1665" t="s">
        <v>45</v>
      </c>
      <c r="O1665" t="s">
        <v>23</v>
      </c>
      <c r="P1665" t="s">
        <v>38</v>
      </c>
      <c r="Q1665" t="s">
        <v>39</v>
      </c>
      <c r="R1665" t="s">
        <v>114</v>
      </c>
      <c r="S1665" s="33">
        <v>0.2</v>
      </c>
      <c r="T1665" s="13">
        <v>27.24</v>
      </c>
      <c r="U1665" s="13">
        <v>9.5340000000000007</v>
      </c>
      <c r="V1665" s="21">
        <f>Table10[[#This Row],[Profit]]/Table10[[#This Row],[Sales]]</f>
        <v>0.35000000000000003</v>
      </c>
    </row>
    <row r="1666" spans="1:22" x14ac:dyDescent="0.2">
      <c r="A1666">
        <v>1665</v>
      </c>
      <c r="B1666" t="s">
        <v>9040</v>
      </c>
      <c r="C1666" s="1">
        <v>42642</v>
      </c>
      <c r="D1666" s="22">
        <f>MONTH(Table10[[#This Row],[Order Date]])</f>
        <v>9</v>
      </c>
      <c r="E1666" t="s">
        <v>2878</v>
      </c>
      <c r="F1666" t="s">
        <v>2879</v>
      </c>
      <c r="G1666" s="23" t="s">
        <v>41</v>
      </c>
      <c r="H1666" s="23" t="s">
        <v>61</v>
      </c>
      <c r="I1666" t="s">
        <v>5560</v>
      </c>
      <c r="J1666" t="s">
        <v>36</v>
      </c>
      <c r="K1666" s="22">
        <v>4</v>
      </c>
      <c r="L1666" s="1">
        <v>42644</v>
      </c>
      <c r="M1666" s="22">
        <f>Table10[[#This Row],[Ship Date]]-Table10[[#This Row],[Order Date]]</f>
        <v>2</v>
      </c>
      <c r="N1666" t="s">
        <v>20</v>
      </c>
      <c r="O1666" t="s">
        <v>23</v>
      </c>
      <c r="P1666" t="s">
        <v>277</v>
      </c>
      <c r="Q1666" t="s">
        <v>39</v>
      </c>
      <c r="R1666" t="s">
        <v>7053</v>
      </c>
      <c r="S1666" s="33">
        <v>0.2</v>
      </c>
      <c r="T1666" s="13">
        <v>10.496</v>
      </c>
      <c r="U1666" s="13">
        <v>1.1808000000000001</v>
      </c>
      <c r="V1666" s="21">
        <f>Table10[[#This Row],[Profit]]/Table10[[#This Row],[Sales]]</f>
        <v>0.1125</v>
      </c>
    </row>
    <row r="1667" spans="1:22" x14ac:dyDescent="0.2">
      <c r="A1667">
        <v>1666</v>
      </c>
      <c r="B1667" t="s">
        <v>9772</v>
      </c>
      <c r="C1667" s="1">
        <v>42642</v>
      </c>
      <c r="D1667" s="22">
        <f>MONTH(Table10[[#This Row],[Order Date]])</f>
        <v>9</v>
      </c>
      <c r="E1667" t="s">
        <v>3942</v>
      </c>
      <c r="F1667" t="s">
        <v>3943</v>
      </c>
      <c r="G1667" s="23" t="s">
        <v>64</v>
      </c>
      <c r="H1667" s="23" t="s">
        <v>65</v>
      </c>
      <c r="I1667" t="s">
        <v>197</v>
      </c>
      <c r="J1667" t="s">
        <v>36</v>
      </c>
      <c r="K1667" s="22">
        <v>3</v>
      </c>
      <c r="L1667" s="1">
        <v>42646</v>
      </c>
      <c r="M1667" s="22">
        <f>Table10[[#This Row],[Ship Date]]-Table10[[#This Row],[Order Date]]</f>
        <v>4</v>
      </c>
      <c r="N1667" t="s">
        <v>45</v>
      </c>
      <c r="O1667" t="s">
        <v>23</v>
      </c>
      <c r="P1667" t="s">
        <v>374</v>
      </c>
      <c r="Q1667" t="s">
        <v>39</v>
      </c>
      <c r="R1667" t="s">
        <v>284</v>
      </c>
      <c r="S1667" s="33">
        <v>0.2</v>
      </c>
      <c r="T1667" s="13">
        <v>859.2</v>
      </c>
      <c r="U1667" s="13">
        <v>75.180000000000007</v>
      </c>
      <c r="V1667" s="21">
        <f>Table10[[#This Row],[Profit]]/Table10[[#This Row],[Sales]]</f>
        <v>8.7500000000000008E-2</v>
      </c>
    </row>
    <row r="1668" spans="1:22" x14ac:dyDescent="0.2">
      <c r="A1668">
        <v>1667</v>
      </c>
      <c r="B1668" t="s">
        <v>10139</v>
      </c>
      <c r="C1668" s="1">
        <v>42642</v>
      </c>
      <c r="D1668" s="22">
        <f>MONTH(Table10[[#This Row],[Order Date]])</f>
        <v>9</v>
      </c>
      <c r="E1668" t="s">
        <v>5815</v>
      </c>
      <c r="F1668" t="s">
        <v>5816</v>
      </c>
      <c r="G1668" s="23" t="s">
        <v>64</v>
      </c>
      <c r="H1668" s="23" t="s">
        <v>144</v>
      </c>
      <c r="I1668" t="s">
        <v>4575</v>
      </c>
      <c r="J1668" t="s">
        <v>22</v>
      </c>
      <c r="K1668" s="22">
        <v>1</v>
      </c>
      <c r="L1668" s="1">
        <v>42646</v>
      </c>
      <c r="M1668" s="22">
        <f>Table10[[#This Row],[Ship Date]]-Table10[[#This Row],[Order Date]]</f>
        <v>4</v>
      </c>
      <c r="N1668" t="s">
        <v>45</v>
      </c>
      <c r="O1668" t="s">
        <v>23</v>
      </c>
      <c r="P1668" t="s">
        <v>38</v>
      </c>
      <c r="Q1668" t="s">
        <v>39</v>
      </c>
      <c r="R1668" t="s">
        <v>37</v>
      </c>
      <c r="S1668" s="33">
        <v>0</v>
      </c>
      <c r="T1668" s="13">
        <v>36.24</v>
      </c>
      <c r="U1668" s="13">
        <v>15.220800000000001</v>
      </c>
      <c r="V1668" s="21">
        <f>Table10[[#This Row],[Profit]]/Table10[[#This Row],[Sales]]</f>
        <v>0.42</v>
      </c>
    </row>
    <row r="1669" spans="1:22" x14ac:dyDescent="0.2">
      <c r="A1669">
        <v>1668</v>
      </c>
      <c r="B1669" t="s">
        <v>6592</v>
      </c>
      <c r="C1669" s="1">
        <v>42643</v>
      </c>
      <c r="D1669" s="22">
        <f>MONTH(Table10[[#This Row],[Order Date]])</f>
        <v>9</v>
      </c>
      <c r="E1669" t="s">
        <v>700</v>
      </c>
      <c r="F1669" t="s">
        <v>701</v>
      </c>
      <c r="G1669" s="23" t="s">
        <v>41</v>
      </c>
      <c r="H1669" s="23" t="s">
        <v>68</v>
      </c>
      <c r="I1669" t="s">
        <v>5771</v>
      </c>
      <c r="J1669" t="s">
        <v>22</v>
      </c>
      <c r="K1669" s="22">
        <v>2</v>
      </c>
      <c r="L1669" s="1">
        <v>42646</v>
      </c>
      <c r="M1669" s="22">
        <f>Table10[[#This Row],[Ship Date]]-Table10[[#This Row],[Order Date]]</f>
        <v>3</v>
      </c>
      <c r="N1669" t="s">
        <v>169</v>
      </c>
      <c r="O1669" t="s">
        <v>23</v>
      </c>
      <c r="P1669" t="s">
        <v>189</v>
      </c>
      <c r="Q1669" t="s">
        <v>95</v>
      </c>
      <c r="R1669" t="s">
        <v>1168</v>
      </c>
      <c r="S1669" s="33">
        <v>0.8</v>
      </c>
      <c r="T1669" s="13">
        <v>1.964</v>
      </c>
      <c r="U1669" s="13">
        <v>-3.2406000000000001</v>
      </c>
      <c r="V1669" s="21">
        <f>Table10[[#This Row],[Profit]]/Table10[[#This Row],[Sales]]</f>
        <v>-1.6500000000000001</v>
      </c>
    </row>
    <row r="1670" spans="1:22" x14ac:dyDescent="0.2">
      <c r="A1670">
        <v>1669</v>
      </c>
      <c r="B1670" t="s">
        <v>8422</v>
      </c>
      <c r="C1670" s="1">
        <v>42643</v>
      </c>
      <c r="D1670" s="22">
        <f>MONTH(Table10[[#This Row],[Order Date]])</f>
        <v>9</v>
      </c>
      <c r="E1670" t="s">
        <v>4328</v>
      </c>
      <c r="F1670" t="s">
        <v>4329</v>
      </c>
      <c r="G1670" s="23" t="s">
        <v>28</v>
      </c>
      <c r="H1670" s="23" t="s">
        <v>29</v>
      </c>
      <c r="I1670" t="s">
        <v>3062</v>
      </c>
      <c r="J1670" t="s">
        <v>22</v>
      </c>
      <c r="K1670" s="22">
        <v>5</v>
      </c>
      <c r="L1670" s="1">
        <v>42647</v>
      </c>
      <c r="M1670" s="22">
        <f>Table10[[#This Row],[Ship Date]]-Table10[[#This Row],[Order Date]]</f>
        <v>4</v>
      </c>
      <c r="N1670" t="s">
        <v>45</v>
      </c>
      <c r="O1670" t="s">
        <v>23</v>
      </c>
      <c r="P1670" t="s">
        <v>238</v>
      </c>
      <c r="Q1670" t="s">
        <v>133</v>
      </c>
      <c r="R1670" t="s">
        <v>237</v>
      </c>
      <c r="S1670" s="33">
        <v>0.2</v>
      </c>
      <c r="T1670" s="13">
        <v>523.91999999999996</v>
      </c>
      <c r="U1670" s="13">
        <v>-26.196000000000002</v>
      </c>
      <c r="V1670" s="21">
        <f>Table10[[#This Row],[Profit]]/Table10[[#This Row],[Sales]]</f>
        <v>-5.000000000000001E-2</v>
      </c>
    </row>
    <row r="1671" spans="1:22" x14ac:dyDescent="0.2">
      <c r="A1671">
        <v>1670</v>
      </c>
      <c r="B1671" t="s">
        <v>2772</v>
      </c>
      <c r="C1671" s="1">
        <v>42644</v>
      </c>
      <c r="D1671" s="22">
        <f>MONTH(Table10[[#This Row],[Order Date]])</f>
        <v>10</v>
      </c>
      <c r="E1671" t="s">
        <v>272</v>
      </c>
      <c r="F1671" t="s">
        <v>273</v>
      </c>
      <c r="G1671" s="23" t="s">
        <v>28</v>
      </c>
      <c r="H1671" s="23" t="s">
        <v>32</v>
      </c>
      <c r="I1671" t="s">
        <v>2773</v>
      </c>
      <c r="J1671" t="s">
        <v>22</v>
      </c>
      <c r="K1671" s="22">
        <v>4</v>
      </c>
      <c r="L1671" s="1">
        <v>42645</v>
      </c>
      <c r="M1671" s="22">
        <f>Table10[[#This Row],[Ship Date]]-Table10[[#This Row],[Order Date]]</f>
        <v>1</v>
      </c>
      <c r="N1671" t="s">
        <v>169</v>
      </c>
      <c r="O1671" t="s">
        <v>23</v>
      </c>
      <c r="P1671" t="s">
        <v>38</v>
      </c>
      <c r="Q1671" t="s">
        <v>39</v>
      </c>
      <c r="R1671" t="s">
        <v>114</v>
      </c>
      <c r="S1671" s="33">
        <v>0.2</v>
      </c>
      <c r="T1671" s="13">
        <v>194.84800000000001</v>
      </c>
      <c r="U1671" s="13">
        <v>12.178000000000001</v>
      </c>
      <c r="V1671" s="21">
        <f>Table10[[#This Row],[Profit]]/Table10[[#This Row],[Sales]]</f>
        <v>6.25E-2</v>
      </c>
    </row>
    <row r="1672" spans="1:22" x14ac:dyDescent="0.2">
      <c r="A1672">
        <v>1671</v>
      </c>
      <c r="B1672" t="s">
        <v>3113</v>
      </c>
      <c r="C1672" s="1">
        <v>42644</v>
      </c>
      <c r="D1672" s="22">
        <f>MONTH(Table10[[#This Row],[Order Date]])</f>
        <v>10</v>
      </c>
      <c r="E1672" t="s">
        <v>542</v>
      </c>
      <c r="F1672" t="s">
        <v>543</v>
      </c>
      <c r="G1672" s="23" t="s">
        <v>64</v>
      </c>
      <c r="H1672" s="23" t="s">
        <v>65</v>
      </c>
      <c r="I1672" t="s">
        <v>3114</v>
      </c>
      <c r="J1672" t="s">
        <v>22</v>
      </c>
      <c r="K1672" s="22">
        <v>2</v>
      </c>
      <c r="L1672" s="1">
        <v>42645</v>
      </c>
      <c r="M1672" s="22">
        <f>Table10[[#This Row],[Ship Date]]-Table10[[#This Row],[Order Date]]</f>
        <v>1</v>
      </c>
      <c r="N1672" t="s">
        <v>169</v>
      </c>
      <c r="O1672" t="s">
        <v>23</v>
      </c>
      <c r="P1672" t="s">
        <v>226</v>
      </c>
      <c r="Q1672" t="s">
        <v>95</v>
      </c>
      <c r="R1672" t="s">
        <v>2898</v>
      </c>
      <c r="S1672" s="33">
        <v>0</v>
      </c>
      <c r="T1672" s="13">
        <v>69.900000000000006</v>
      </c>
      <c r="U1672" s="13">
        <v>18.873000000000001</v>
      </c>
      <c r="V1672" s="21">
        <f>Table10[[#This Row],[Profit]]/Table10[[#This Row],[Sales]]</f>
        <v>0.27</v>
      </c>
    </row>
    <row r="1673" spans="1:22" x14ac:dyDescent="0.2">
      <c r="A1673">
        <v>1672</v>
      </c>
      <c r="B1673" t="s">
        <v>3113</v>
      </c>
      <c r="C1673" s="1">
        <v>42644</v>
      </c>
      <c r="D1673" s="22">
        <f>MONTH(Table10[[#This Row],[Order Date]])</f>
        <v>10</v>
      </c>
      <c r="E1673" t="s">
        <v>3096</v>
      </c>
      <c r="F1673" t="s">
        <v>3097</v>
      </c>
      <c r="G1673" s="23" t="s">
        <v>28</v>
      </c>
      <c r="H1673" s="23" t="s">
        <v>58</v>
      </c>
      <c r="I1673" t="s">
        <v>3114</v>
      </c>
      <c r="J1673" t="s">
        <v>22</v>
      </c>
      <c r="K1673" s="22">
        <v>5</v>
      </c>
      <c r="L1673" s="1">
        <v>42645</v>
      </c>
      <c r="M1673" s="22">
        <f>Table10[[#This Row],[Ship Date]]-Table10[[#This Row],[Order Date]]</f>
        <v>1</v>
      </c>
      <c r="N1673" t="s">
        <v>169</v>
      </c>
      <c r="O1673" t="s">
        <v>23</v>
      </c>
      <c r="P1673" t="s">
        <v>226</v>
      </c>
      <c r="Q1673" t="s">
        <v>95</v>
      </c>
      <c r="R1673" t="s">
        <v>2898</v>
      </c>
      <c r="S1673" s="33">
        <v>0</v>
      </c>
      <c r="T1673" s="13">
        <v>41.85</v>
      </c>
      <c r="U1673" s="13">
        <v>10.881</v>
      </c>
      <c r="V1673" s="21">
        <f>Table10[[#This Row],[Profit]]/Table10[[#This Row],[Sales]]</f>
        <v>0.26</v>
      </c>
    </row>
    <row r="1674" spans="1:22" x14ac:dyDescent="0.2">
      <c r="A1674">
        <v>1673</v>
      </c>
      <c r="B1674" t="s">
        <v>4604</v>
      </c>
      <c r="C1674" s="1">
        <v>42644</v>
      </c>
      <c r="D1674" s="22">
        <f>MONTH(Table10[[#This Row],[Order Date]])</f>
        <v>10</v>
      </c>
      <c r="E1674" t="s">
        <v>4495</v>
      </c>
      <c r="F1674" t="s">
        <v>4496</v>
      </c>
      <c r="G1674" s="23" t="s">
        <v>28</v>
      </c>
      <c r="H1674" s="23" t="s">
        <v>50</v>
      </c>
      <c r="I1674" t="s">
        <v>3062</v>
      </c>
      <c r="J1674" t="s">
        <v>22</v>
      </c>
      <c r="K1674" s="22">
        <v>1</v>
      </c>
      <c r="L1674" s="1">
        <v>42648</v>
      </c>
      <c r="M1674" s="22">
        <f>Table10[[#This Row],[Ship Date]]-Table10[[#This Row],[Order Date]]</f>
        <v>4</v>
      </c>
      <c r="N1674" t="s">
        <v>45</v>
      </c>
      <c r="O1674" t="s">
        <v>23</v>
      </c>
      <c r="P1674" t="s">
        <v>238</v>
      </c>
      <c r="Q1674" t="s">
        <v>133</v>
      </c>
      <c r="R1674" t="s">
        <v>237</v>
      </c>
      <c r="S1674" s="33">
        <v>0.4</v>
      </c>
      <c r="T1674" s="13">
        <v>330.58800000000002</v>
      </c>
      <c r="U1674" s="13">
        <v>-115.7058</v>
      </c>
      <c r="V1674" s="21">
        <f>Table10[[#This Row],[Profit]]/Table10[[#This Row],[Sales]]</f>
        <v>-0.35</v>
      </c>
    </row>
    <row r="1675" spans="1:22" x14ac:dyDescent="0.2">
      <c r="A1675">
        <v>1674</v>
      </c>
      <c r="B1675" t="s">
        <v>5154</v>
      </c>
      <c r="C1675" s="1">
        <v>42644</v>
      </c>
      <c r="D1675" s="22">
        <f>MONTH(Table10[[#This Row],[Order Date]])</f>
        <v>10</v>
      </c>
      <c r="E1675" t="s">
        <v>800</v>
      </c>
      <c r="F1675" t="s">
        <v>1581</v>
      </c>
      <c r="G1675" s="23" t="s">
        <v>64</v>
      </c>
      <c r="H1675" s="23" t="s">
        <v>144</v>
      </c>
      <c r="I1675" t="s">
        <v>5155</v>
      </c>
      <c r="J1675" t="s">
        <v>22</v>
      </c>
      <c r="K1675" s="22">
        <v>3</v>
      </c>
      <c r="L1675" s="1">
        <v>42644</v>
      </c>
      <c r="M1675" s="22">
        <f>Table10[[#This Row],[Ship Date]]-Table10[[#This Row],[Order Date]]</f>
        <v>0</v>
      </c>
      <c r="N1675" t="s">
        <v>1141</v>
      </c>
      <c r="O1675" t="s">
        <v>23</v>
      </c>
      <c r="P1675" t="s">
        <v>94</v>
      </c>
      <c r="Q1675" t="s">
        <v>95</v>
      </c>
      <c r="R1675" t="s">
        <v>1430</v>
      </c>
      <c r="S1675" s="33">
        <v>0.2</v>
      </c>
      <c r="T1675" s="13">
        <v>79.512</v>
      </c>
      <c r="U1675" s="13">
        <v>20.8719</v>
      </c>
      <c r="V1675" s="21">
        <f>Table10[[#This Row],[Profit]]/Table10[[#This Row],[Sales]]</f>
        <v>0.26250000000000001</v>
      </c>
    </row>
    <row r="1676" spans="1:22" x14ac:dyDescent="0.2">
      <c r="A1676">
        <v>1675</v>
      </c>
      <c r="B1676" t="s">
        <v>5154</v>
      </c>
      <c r="C1676" s="1">
        <v>42644</v>
      </c>
      <c r="D1676" s="22">
        <f>MONTH(Table10[[#This Row],[Order Date]])</f>
        <v>10</v>
      </c>
      <c r="E1676" t="s">
        <v>930</v>
      </c>
      <c r="F1676" t="s">
        <v>167</v>
      </c>
      <c r="G1676" s="23" t="s">
        <v>41</v>
      </c>
      <c r="H1676" s="23" t="s">
        <v>82</v>
      </c>
      <c r="I1676" t="s">
        <v>5155</v>
      </c>
      <c r="J1676" t="s">
        <v>22</v>
      </c>
      <c r="K1676" s="22">
        <v>1</v>
      </c>
      <c r="L1676" s="1">
        <v>42644</v>
      </c>
      <c r="M1676" s="22">
        <f>Table10[[#This Row],[Ship Date]]-Table10[[#This Row],[Order Date]]</f>
        <v>0</v>
      </c>
      <c r="N1676" t="s">
        <v>1141</v>
      </c>
      <c r="O1676" t="s">
        <v>23</v>
      </c>
      <c r="P1676" t="s">
        <v>94</v>
      </c>
      <c r="Q1676" t="s">
        <v>95</v>
      </c>
      <c r="R1676" t="s">
        <v>1430</v>
      </c>
      <c r="S1676" s="33">
        <v>0.2</v>
      </c>
      <c r="T1676" s="13">
        <v>28.352</v>
      </c>
      <c r="U1676" s="13">
        <v>9.5687999999999995</v>
      </c>
      <c r="V1676" s="21">
        <f>Table10[[#This Row],[Profit]]/Table10[[#This Row],[Sales]]</f>
        <v>0.33749999999999997</v>
      </c>
    </row>
    <row r="1677" spans="1:22" x14ac:dyDescent="0.2">
      <c r="A1677">
        <v>1676</v>
      </c>
      <c r="B1677" t="s">
        <v>8559</v>
      </c>
      <c r="C1677" s="1">
        <v>42644</v>
      </c>
      <c r="D1677" s="22">
        <f>MONTH(Table10[[#This Row],[Order Date]])</f>
        <v>10</v>
      </c>
      <c r="E1677" t="s">
        <v>1077</v>
      </c>
      <c r="F1677" t="s">
        <v>1078</v>
      </c>
      <c r="G1677" s="23" t="s">
        <v>41</v>
      </c>
      <c r="H1677" s="23" t="s">
        <v>68</v>
      </c>
      <c r="I1677" t="s">
        <v>3880</v>
      </c>
      <c r="J1677" t="s">
        <v>22</v>
      </c>
      <c r="K1677" s="22">
        <v>4</v>
      </c>
      <c r="L1677" s="1">
        <v>42649</v>
      </c>
      <c r="M1677" s="22">
        <f>Table10[[#This Row],[Ship Date]]-Table10[[#This Row],[Order Date]]</f>
        <v>5</v>
      </c>
      <c r="N1677" t="s">
        <v>20</v>
      </c>
      <c r="O1677" t="s">
        <v>23</v>
      </c>
      <c r="P1677" t="s">
        <v>48</v>
      </c>
      <c r="Q1677" t="s">
        <v>26</v>
      </c>
      <c r="R1677" t="s">
        <v>2050</v>
      </c>
      <c r="S1677" s="33">
        <v>0.7</v>
      </c>
      <c r="T1677" s="13">
        <v>5.3879999999999999</v>
      </c>
      <c r="U1677" s="13">
        <v>-4.49</v>
      </c>
      <c r="V1677" s="21">
        <f>Table10[[#This Row],[Profit]]/Table10[[#This Row],[Sales]]</f>
        <v>-0.83333333333333337</v>
      </c>
    </row>
    <row r="1678" spans="1:22" x14ac:dyDescent="0.2">
      <c r="A1678">
        <v>1677</v>
      </c>
      <c r="B1678" t="s">
        <v>8559</v>
      </c>
      <c r="C1678" s="1">
        <v>42644</v>
      </c>
      <c r="D1678" s="22">
        <f>MONTH(Table10[[#This Row],[Order Date]])</f>
        <v>10</v>
      </c>
      <c r="E1678" t="s">
        <v>4102</v>
      </c>
      <c r="F1678" t="s">
        <v>2673</v>
      </c>
      <c r="G1678" s="23" t="s">
        <v>41</v>
      </c>
      <c r="H1678" s="23" t="s">
        <v>61</v>
      </c>
      <c r="I1678" t="s">
        <v>3880</v>
      </c>
      <c r="J1678" t="s">
        <v>22</v>
      </c>
      <c r="K1678" s="22">
        <v>8</v>
      </c>
      <c r="L1678" s="1">
        <v>42649</v>
      </c>
      <c r="M1678" s="22">
        <f>Table10[[#This Row],[Ship Date]]-Table10[[#This Row],[Order Date]]</f>
        <v>5</v>
      </c>
      <c r="N1678" t="s">
        <v>20</v>
      </c>
      <c r="O1678" t="s">
        <v>23</v>
      </c>
      <c r="P1678" t="s">
        <v>48</v>
      </c>
      <c r="Q1678" t="s">
        <v>26</v>
      </c>
      <c r="R1678" t="s">
        <v>2050</v>
      </c>
      <c r="S1678" s="33">
        <v>0.2</v>
      </c>
      <c r="T1678" s="13">
        <v>30.975999999999999</v>
      </c>
      <c r="U1678" s="13">
        <v>5.0335999999999999</v>
      </c>
      <c r="V1678" s="21">
        <f>Table10[[#This Row],[Profit]]/Table10[[#This Row],[Sales]]</f>
        <v>0.16250000000000001</v>
      </c>
    </row>
    <row r="1679" spans="1:22" x14ac:dyDescent="0.2">
      <c r="A1679">
        <v>1678</v>
      </c>
      <c r="B1679" t="s">
        <v>5515</v>
      </c>
      <c r="C1679" s="1">
        <v>42645</v>
      </c>
      <c r="D1679" s="22">
        <f>MONTH(Table10[[#This Row],[Order Date]])</f>
        <v>10</v>
      </c>
      <c r="E1679" t="s">
        <v>1934</v>
      </c>
      <c r="F1679" t="s">
        <v>1935</v>
      </c>
      <c r="G1679" s="23" t="s">
        <v>41</v>
      </c>
      <c r="H1679" s="23" t="s">
        <v>71</v>
      </c>
      <c r="I1679" t="s">
        <v>5121</v>
      </c>
      <c r="J1679" t="s">
        <v>36</v>
      </c>
      <c r="K1679" s="22">
        <v>3</v>
      </c>
      <c r="L1679" s="1">
        <v>42649</v>
      </c>
      <c r="M1679" s="22">
        <f>Table10[[#This Row],[Ship Date]]-Table10[[#This Row],[Order Date]]</f>
        <v>4</v>
      </c>
      <c r="N1679" t="s">
        <v>45</v>
      </c>
      <c r="O1679" t="s">
        <v>23</v>
      </c>
      <c r="P1679" t="s">
        <v>238</v>
      </c>
      <c r="Q1679" t="s">
        <v>133</v>
      </c>
      <c r="R1679" t="s">
        <v>237</v>
      </c>
      <c r="S1679" s="33">
        <v>0</v>
      </c>
      <c r="T1679" s="13">
        <v>61.44</v>
      </c>
      <c r="U1679" s="13">
        <v>16.588799999999999</v>
      </c>
      <c r="V1679" s="21">
        <f>Table10[[#This Row],[Profit]]/Table10[[#This Row],[Sales]]</f>
        <v>0.27</v>
      </c>
    </row>
    <row r="1680" spans="1:22" x14ac:dyDescent="0.2">
      <c r="A1680">
        <v>1679</v>
      </c>
      <c r="B1680" t="s">
        <v>6812</v>
      </c>
      <c r="C1680" s="1">
        <v>42645</v>
      </c>
      <c r="D1680" s="22">
        <f>MONTH(Table10[[#This Row],[Order Date]])</f>
        <v>10</v>
      </c>
      <c r="E1680" t="s">
        <v>1618</v>
      </c>
      <c r="F1680" t="s">
        <v>1619</v>
      </c>
      <c r="G1680" s="23" t="s">
        <v>41</v>
      </c>
      <c r="H1680" s="23" t="s">
        <v>68</v>
      </c>
      <c r="I1680" t="s">
        <v>3222</v>
      </c>
      <c r="J1680" t="s">
        <v>22</v>
      </c>
      <c r="K1680" s="22">
        <v>6</v>
      </c>
      <c r="L1680" s="1">
        <v>42646</v>
      </c>
      <c r="M1680" s="22">
        <f>Table10[[#This Row],[Ship Date]]-Table10[[#This Row],[Order Date]]</f>
        <v>1</v>
      </c>
      <c r="N1680" t="s">
        <v>169</v>
      </c>
      <c r="O1680" t="s">
        <v>23</v>
      </c>
      <c r="P1680" t="s">
        <v>277</v>
      </c>
      <c r="Q1680" t="s">
        <v>39</v>
      </c>
      <c r="R1680" t="s">
        <v>481</v>
      </c>
      <c r="S1680" s="33">
        <v>0.7</v>
      </c>
      <c r="T1680" s="13">
        <v>54.792000000000002</v>
      </c>
      <c r="U1680" s="13">
        <v>-40.180799999999998</v>
      </c>
      <c r="V1680" s="21">
        <f>Table10[[#This Row],[Profit]]/Table10[[#This Row],[Sales]]</f>
        <v>-0.73333333333333328</v>
      </c>
    </row>
    <row r="1681" spans="1:22" x14ac:dyDescent="0.2">
      <c r="A1681">
        <v>1680</v>
      </c>
      <c r="B1681" t="s">
        <v>8343</v>
      </c>
      <c r="C1681" s="1">
        <v>42645</v>
      </c>
      <c r="D1681" s="22">
        <f>MONTH(Table10[[#This Row],[Order Date]])</f>
        <v>10</v>
      </c>
      <c r="E1681" t="s">
        <v>2473</v>
      </c>
      <c r="F1681" t="s">
        <v>2474</v>
      </c>
      <c r="G1681" s="23" t="s">
        <v>41</v>
      </c>
      <c r="H1681" s="23" t="s">
        <v>53</v>
      </c>
      <c r="I1681" t="s">
        <v>4397</v>
      </c>
      <c r="J1681" t="s">
        <v>36</v>
      </c>
      <c r="K1681" s="22">
        <v>2</v>
      </c>
      <c r="L1681" s="1">
        <v>42652</v>
      </c>
      <c r="M1681" s="22">
        <f>Table10[[#This Row],[Ship Date]]-Table10[[#This Row],[Order Date]]</f>
        <v>7</v>
      </c>
      <c r="N1681" t="s">
        <v>45</v>
      </c>
      <c r="O1681" t="s">
        <v>23</v>
      </c>
      <c r="P1681" t="s">
        <v>226</v>
      </c>
      <c r="Q1681" t="s">
        <v>95</v>
      </c>
      <c r="R1681" t="s">
        <v>3766</v>
      </c>
      <c r="S1681" s="33">
        <v>0</v>
      </c>
      <c r="T1681" s="13">
        <v>32.479999999999997</v>
      </c>
      <c r="U1681" s="13">
        <v>4.8719999999999999</v>
      </c>
      <c r="V1681" s="21">
        <f>Table10[[#This Row],[Profit]]/Table10[[#This Row],[Sales]]</f>
        <v>0.15000000000000002</v>
      </c>
    </row>
    <row r="1682" spans="1:22" x14ac:dyDescent="0.2">
      <c r="A1682">
        <v>1681</v>
      </c>
      <c r="B1682" t="s">
        <v>8343</v>
      </c>
      <c r="C1682" s="1">
        <v>42645</v>
      </c>
      <c r="D1682" s="22">
        <f>MONTH(Table10[[#This Row],[Order Date]])</f>
        <v>10</v>
      </c>
      <c r="E1682" t="s">
        <v>5105</v>
      </c>
      <c r="F1682" t="s">
        <v>5106</v>
      </c>
      <c r="G1682" s="23" t="s">
        <v>64</v>
      </c>
      <c r="H1682" s="23" t="s">
        <v>1075</v>
      </c>
      <c r="I1682" t="s">
        <v>4397</v>
      </c>
      <c r="J1682" t="s">
        <v>36</v>
      </c>
      <c r="K1682" s="22">
        <v>5</v>
      </c>
      <c r="L1682" s="1">
        <v>42652</v>
      </c>
      <c r="M1682" s="22">
        <f>Table10[[#This Row],[Ship Date]]-Table10[[#This Row],[Order Date]]</f>
        <v>7</v>
      </c>
      <c r="N1682" t="s">
        <v>45</v>
      </c>
      <c r="O1682" t="s">
        <v>23</v>
      </c>
      <c r="P1682" t="s">
        <v>226</v>
      </c>
      <c r="Q1682" t="s">
        <v>95</v>
      </c>
      <c r="R1682" t="s">
        <v>3766</v>
      </c>
      <c r="S1682" s="33">
        <v>0</v>
      </c>
      <c r="T1682" s="13">
        <v>17499.95</v>
      </c>
      <c r="U1682" s="13">
        <v>8399.9760000000006</v>
      </c>
      <c r="V1682" s="21">
        <f>Table10[[#This Row],[Profit]]/Table10[[#This Row],[Sales]]</f>
        <v>0.48000000000000004</v>
      </c>
    </row>
    <row r="1683" spans="1:22" x14ac:dyDescent="0.2">
      <c r="A1683">
        <v>1682</v>
      </c>
      <c r="B1683" t="s">
        <v>8343</v>
      </c>
      <c r="C1683" s="1">
        <v>42645</v>
      </c>
      <c r="D1683" s="22">
        <f>MONTH(Table10[[#This Row],[Order Date]])</f>
        <v>10</v>
      </c>
      <c r="E1683" t="s">
        <v>5683</v>
      </c>
      <c r="F1683" t="s">
        <v>5684</v>
      </c>
      <c r="G1683" s="23" t="s">
        <v>41</v>
      </c>
      <c r="H1683" s="23" t="s">
        <v>68</v>
      </c>
      <c r="I1683" t="s">
        <v>4397</v>
      </c>
      <c r="J1683" t="s">
        <v>36</v>
      </c>
      <c r="K1683" s="22">
        <v>2</v>
      </c>
      <c r="L1683" s="1">
        <v>42652</v>
      </c>
      <c r="M1683" s="22">
        <f>Table10[[#This Row],[Ship Date]]-Table10[[#This Row],[Order Date]]</f>
        <v>7</v>
      </c>
      <c r="N1683" t="s">
        <v>45</v>
      </c>
      <c r="O1683" t="s">
        <v>23</v>
      </c>
      <c r="P1683" t="s">
        <v>226</v>
      </c>
      <c r="Q1683" t="s">
        <v>95</v>
      </c>
      <c r="R1683" t="s">
        <v>3766</v>
      </c>
      <c r="S1683" s="33">
        <v>0</v>
      </c>
      <c r="T1683" s="13">
        <v>735.98</v>
      </c>
      <c r="U1683" s="13">
        <v>331.19099999999997</v>
      </c>
      <c r="V1683" s="21">
        <f>Table10[[#This Row],[Profit]]/Table10[[#This Row],[Sales]]</f>
        <v>0.44999999999999996</v>
      </c>
    </row>
    <row r="1684" spans="1:22" x14ac:dyDescent="0.2">
      <c r="A1684">
        <v>1683</v>
      </c>
      <c r="B1684" t="s">
        <v>8343</v>
      </c>
      <c r="C1684" s="1">
        <v>42645</v>
      </c>
      <c r="D1684" s="22">
        <f>MONTH(Table10[[#This Row],[Order Date]])</f>
        <v>10</v>
      </c>
      <c r="E1684" t="s">
        <v>2386</v>
      </c>
      <c r="F1684" t="s">
        <v>2387</v>
      </c>
      <c r="G1684" s="23" t="s">
        <v>41</v>
      </c>
      <c r="H1684" s="23" t="s">
        <v>68</v>
      </c>
      <c r="I1684" t="s">
        <v>4397</v>
      </c>
      <c r="J1684" t="s">
        <v>36</v>
      </c>
      <c r="K1684" s="22">
        <v>7</v>
      </c>
      <c r="L1684" s="1">
        <v>42652</v>
      </c>
      <c r="M1684" s="22">
        <f>Table10[[#This Row],[Ship Date]]-Table10[[#This Row],[Order Date]]</f>
        <v>7</v>
      </c>
      <c r="N1684" t="s">
        <v>45</v>
      </c>
      <c r="O1684" t="s">
        <v>23</v>
      </c>
      <c r="P1684" t="s">
        <v>226</v>
      </c>
      <c r="Q1684" t="s">
        <v>95</v>
      </c>
      <c r="R1684" t="s">
        <v>3766</v>
      </c>
      <c r="S1684" s="33">
        <v>0</v>
      </c>
      <c r="T1684" s="13">
        <v>34.369999999999997</v>
      </c>
      <c r="U1684" s="13">
        <v>16.8413</v>
      </c>
      <c r="V1684" s="21">
        <f>Table10[[#This Row],[Profit]]/Table10[[#This Row],[Sales]]</f>
        <v>0.49000000000000005</v>
      </c>
    </row>
    <row r="1685" spans="1:22" x14ac:dyDescent="0.2">
      <c r="A1685">
        <v>1684</v>
      </c>
      <c r="B1685" t="s">
        <v>8343</v>
      </c>
      <c r="C1685" s="1">
        <v>42645</v>
      </c>
      <c r="D1685" s="22">
        <f>MONTH(Table10[[#This Row],[Order Date]])</f>
        <v>10</v>
      </c>
      <c r="E1685" t="s">
        <v>771</v>
      </c>
      <c r="F1685" t="s">
        <v>772</v>
      </c>
      <c r="G1685" s="23" t="s">
        <v>41</v>
      </c>
      <c r="H1685" s="23" t="s">
        <v>61</v>
      </c>
      <c r="I1685" t="s">
        <v>4397</v>
      </c>
      <c r="J1685" t="s">
        <v>36</v>
      </c>
      <c r="K1685" s="22">
        <v>2</v>
      </c>
      <c r="L1685" s="1">
        <v>42652</v>
      </c>
      <c r="M1685" s="22">
        <f>Table10[[#This Row],[Ship Date]]-Table10[[#This Row],[Order Date]]</f>
        <v>7</v>
      </c>
      <c r="N1685" t="s">
        <v>45</v>
      </c>
      <c r="O1685" t="s">
        <v>23</v>
      </c>
      <c r="P1685" t="s">
        <v>226</v>
      </c>
      <c r="Q1685" t="s">
        <v>95</v>
      </c>
      <c r="R1685" t="s">
        <v>3766</v>
      </c>
      <c r="S1685" s="33">
        <v>0</v>
      </c>
      <c r="T1685" s="13">
        <v>33.96</v>
      </c>
      <c r="U1685" s="13">
        <v>9.5088000000000008</v>
      </c>
      <c r="V1685" s="21">
        <f>Table10[[#This Row],[Profit]]/Table10[[#This Row],[Sales]]</f>
        <v>0.28000000000000003</v>
      </c>
    </row>
    <row r="1686" spans="1:22" x14ac:dyDescent="0.2">
      <c r="A1686">
        <v>1685</v>
      </c>
      <c r="B1686" t="s">
        <v>2424</v>
      </c>
      <c r="C1686" s="1">
        <v>42646</v>
      </c>
      <c r="D1686" s="22">
        <f>MONTH(Table10[[#This Row],[Order Date]])</f>
        <v>10</v>
      </c>
      <c r="E1686" t="s">
        <v>2426</v>
      </c>
      <c r="F1686" t="s">
        <v>591</v>
      </c>
      <c r="G1686" s="23" t="s">
        <v>41</v>
      </c>
      <c r="H1686" s="23" t="s">
        <v>155</v>
      </c>
      <c r="I1686" t="s">
        <v>2425</v>
      </c>
      <c r="J1686" t="s">
        <v>22</v>
      </c>
      <c r="K1686" s="22">
        <v>2</v>
      </c>
      <c r="L1686" s="1">
        <v>42649</v>
      </c>
      <c r="M1686" s="22">
        <f>Table10[[#This Row],[Ship Date]]-Table10[[#This Row],[Order Date]]</f>
        <v>3</v>
      </c>
      <c r="N1686" t="s">
        <v>20</v>
      </c>
      <c r="O1686" t="s">
        <v>23</v>
      </c>
      <c r="P1686" t="s">
        <v>94</v>
      </c>
      <c r="Q1686" t="s">
        <v>95</v>
      </c>
      <c r="R1686" t="s">
        <v>165</v>
      </c>
      <c r="S1686" s="33">
        <v>0.2</v>
      </c>
      <c r="T1686" s="13">
        <v>15.648</v>
      </c>
      <c r="U1686" s="13">
        <v>5.0856000000000003</v>
      </c>
      <c r="V1686" s="21">
        <f>Table10[[#This Row],[Profit]]/Table10[[#This Row],[Sales]]</f>
        <v>0.32500000000000001</v>
      </c>
    </row>
    <row r="1687" spans="1:22" x14ac:dyDescent="0.2">
      <c r="A1687">
        <v>1686</v>
      </c>
      <c r="B1687" t="s">
        <v>2593</v>
      </c>
      <c r="C1687" s="1">
        <v>42646</v>
      </c>
      <c r="D1687" s="22">
        <f>MONTH(Table10[[#This Row],[Order Date]])</f>
        <v>10</v>
      </c>
      <c r="E1687" t="s">
        <v>2184</v>
      </c>
      <c r="F1687" t="s">
        <v>2185</v>
      </c>
      <c r="G1687" s="23" t="s">
        <v>28</v>
      </c>
      <c r="H1687" s="23" t="s">
        <v>32</v>
      </c>
      <c r="I1687" t="s">
        <v>137</v>
      </c>
      <c r="J1687" t="s">
        <v>22</v>
      </c>
      <c r="K1687" s="22">
        <v>6</v>
      </c>
      <c r="L1687" s="1">
        <v>42651</v>
      </c>
      <c r="M1687" s="22">
        <f>Table10[[#This Row],[Ship Date]]-Table10[[#This Row],[Order Date]]</f>
        <v>5</v>
      </c>
      <c r="N1687" t="s">
        <v>45</v>
      </c>
      <c r="O1687" t="s">
        <v>23</v>
      </c>
      <c r="P1687" t="s">
        <v>238</v>
      </c>
      <c r="Q1687" t="s">
        <v>133</v>
      </c>
      <c r="R1687" t="s">
        <v>237</v>
      </c>
      <c r="S1687" s="33">
        <v>0.1</v>
      </c>
      <c r="T1687" s="13">
        <v>599.29200000000003</v>
      </c>
      <c r="U1687" s="13">
        <v>93.223200000000006</v>
      </c>
      <c r="V1687" s="21">
        <f>Table10[[#This Row],[Profit]]/Table10[[#This Row],[Sales]]</f>
        <v>0.15555555555555556</v>
      </c>
    </row>
    <row r="1688" spans="1:22" x14ac:dyDescent="0.2">
      <c r="A1688">
        <v>1687</v>
      </c>
      <c r="B1688" t="s">
        <v>8088</v>
      </c>
      <c r="C1688" s="1">
        <v>42646</v>
      </c>
      <c r="D1688" s="22">
        <f>MONTH(Table10[[#This Row],[Order Date]])</f>
        <v>10</v>
      </c>
      <c r="E1688" t="s">
        <v>1007</v>
      </c>
      <c r="F1688" t="s">
        <v>1008</v>
      </c>
      <c r="G1688" s="23" t="s">
        <v>28</v>
      </c>
      <c r="H1688" s="23" t="s">
        <v>58</v>
      </c>
      <c r="I1688" t="s">
        <v>6534</v>
      </c>
      <c r="J1688" t="s">
        <v>36</v>
      </c>
      <c r="K1688" s="22">
        <v>5</v>
      </c>
      <c r="L1688" s="1">
        <v>42650</v>
      </c>
      <c r="M1688" s="22">
        <f>Table10[[#This Row],[Ship Date]]-Table10[[#This Row],[Order Date]]</f>
        <v>4</v>
      </c>
      <c r="N1688" t="s">
        <v>45</v>
      </c>
      <c r="O1688" t="s">
        <v>23</v>
      </c>
      <c r="P1688" t="s">
        <v>94</v>
      </c>
      <c r="Q1688" t="s">
        <v>95</v>
      </c>
      <c r="R1688" t="s">
        <v>669</v>
      </c>
      <c r="S1688" s="33">
        <v>0.6</v>
      </c>
      <c r="T1688" s="13">
        <v>38.08</v>
      </c>
      <c r="U1688" s="13">
        <v>-29.512</v>
      </c>
      <c r="V1688" s="21">
        <f>Table10[[#This Row],[Profit]]/Table10[[#This Row],[Sales]]</f>
        <v>-0.77500000000000002</v>
      </c>
    </row>
    <row r="1689" spans="1:22" x14ac:dyDescent="0.2">
      <c r="A1689">
        <v>1688</v>
      </c>
      <c r="B1689" t="s">
        <v>8936</v>
      </c>
      <c r="C1689" s="1">
        <v>42646</v>
      </c>
      <c r="D1689" s="22">
        <f>MONTH(Table10[[#This Row],[Order Date]])</f>
        <v>10</v>
      </c>
      <c r="E1689" t="s">
        <v>2200</v>
      </c>
      <c r="F1689" t="s">
        <v>2201</v>
      </c>
      <c r="G1689" s="23" t="s">
        <v>41</v>
      </c>
      <c r="H1689" s="23" t="s">
        <v>42</v>
      </c>
      <c r="I1689" t="s">
        <v>4982</v>
      </c>
      <c r="J1689" t="s">
        <v>92</v>
      </c>
      <c r="K1689" s="22">
        <v>2</v>
      </c>
      <c r="L1689" s="1">
        <v>42650</v>
      </c>
      <c r="M1689" s="22">
        <f>Table10[[#This Row],[Ship Date]]-Table10[[#This Row],[Order Date]]</f>
        <v>4</v>
      </c>
      <c r="N1689" t="s">
        <v>45</v>
      </c>
      <c r="O1689" t="s">
        <v>23</v>
      </c>
      <c r="P1689" t="s">
        <v>38</v>
      </c>
      <c r="Q1689" t="s">
        <v>39</v>
      </c>
      <c r="R1689" t="s">
        <v>7705</v>
      </c>
      <c r="S1689" s="33">
        <v>0</v>
      </c>
      <c r="T1689" s="13">
        <v>6.16</v>
      </c>
      <c r="U1689" s="13">
        <v>2.9567999999999999</v>
      </c>
      <c r="V1689" s="21">
        <f>Table10[[#This Row],[Profit]]/Table10[[#This Row],[Sales]]</f>
        <v>0.48</v>
      </c>
    </row>
    <row r="1690" spans="1:22" x14ac:dyDescent="0.2">
      <c r="A1690">
        <v>1689</v>
      </c>
      <c r="B1690" t="s">
        <v>8936</v>
      </c>
      <c r="C1690" s="1">
        <v>42646</v>
      </c>
      <c r="D1690" s="22">
        <f>MONTH(Table10[[#This Row],[Order Date]])</f>
        <v>10</v>
      </c>
      <c r="E1690" t="s">
        <v>472</v>
      </c>
      <c r="F1690" t="s">
        <v>473</v>
      </c>
      <c r="G1690" s="23" t="s">
        <v>28</v>
      </c>
      <c r="H1690" s="23" t="s">
        <v>32</v>
      </c>
      <c r="I1690" t="s">
        <v>4982</v>
      </c>
      <c r="J1690" t="s">
        <v>92</v>
      </c>
      <c r="K1690" s="22">
        <v>4</v>
      </c>
      <c r="L1690" s="1">
        <v>42650</v>
      </c>
      <c r="M1690" s="22">
        <f>Table10[[#This Row],[Ship Date]]-Table10[[#This Row],[Order Date]]</f>
        <v>4</v>
      </c>
      <c r="N1690" t="s">
        <v>45</v>
      </c>
      <c r="O1690" t="s">
        <v>23</v>
      </c>
      <c r="P1690" t="s">
        <v>38</v>
      </c>
      <c r="Q1690" t="s">
        <v>39</v>
      </c>
      <c r="R1690" t="s">
        <v>7705</v>
      </c>
      <c r="S1690" s="33">
        <v>0.2</v>
      </c>
      <c r="T1690" s="13">
        <v>915.13599999999997</v>
      </c>
      <c r="U1690" s="13">
        <v>102.9528</v>
      </c>
      <c r="V1690" s="21">
        <f>Table10[[#This Row],[Profit]]/Table10[[#This Row],[Sales]]</f>
        <v>0.1125</v>
      </c>
    </row>
    <row r="1691" spans="1:22" x14ac:dyDescent="0.2">
      <c r="A1691">
        <v>1690</v>
      </c>
      <c r="B1691" t="s">
        <v>8936</v>
      </c>
      <c r="C1691" s="1">
        <v>42646</v>
      </c>
      <c r="D1691" s="22">
        <f>MONTH(Table10[[#This Row],[Order Date]])</f>
        <v>10</v>
      </c>
      <c r="E1691" t="s">
        <v>5889</v>
      </c>
      <c r="F1691" t="s">
        <v>5890</v>
      </c>
      <c r="G1691" s="23" t="s">
        <v>41</v>
      </c>
      <c r="H1691" s="23" t="s">
        <v>82</v>
      </c>
      <c r="I1691" t="s">
        <v>4982</v>
      </c>
      <c r="J1691" t="s">
        <v>92</v>
      </c>
      <c r="K1691" s="22">
        <v>2</v>
      </c>
      <c r="L1691" s="1">
        <v>42650</v>
      </c>
      <c r="M1691" s="22">
        <f>Table10[[#This Row],[Ship Date]]-Table10[[#This Row],[Order Date]]</f>
        <v>4</v>
      </c>
      <c r="N1691" t="s">
        <v>45</v>
      </c>
      <c r="O1691" t="s">
        <v>23</v>
      </c>
      <c r="P1691" t="s">
        <v>38</v>
      </c>
      <c r="Q1691" t="s">
        <v>39</v>
      </c>
      <c r="R1691" t="s">
        <v>7705</v>
      </c>
      <c r="S1691" s="33">
        <v>0</v>
      </c>
      <c r="T1691" s="13">
        <v>8.56</v>
      </c>
      <c r="U1691" s="13">
        <v>3.8519999999999999</v>
      </c>
      <c r="V1691" s="21">
        <f>Table10[[#This Row],[Profit]]/Table10[[#This Row],[Sales]]</f>
        <v>0.44999999999999996</v>
      </c>
    </row>
    <row r="1692" spans="1:22" x14ac:dyDescent="0.2">
      <c r="A1692">
        <v>1691</v>
      </c>
      <c r="B1692" t="s">
        <v>8936</v>
      </c>
      <c r="C1692" s="1">
        <v>42646</v>
      </c>
      <c r="D1692" s="22">
        <f>MONTH(Table10[[#This Row],[Order Date]])</f>
        <v>10</v>
      </c>
      <c r="E1692" t="s">
        <v>4203</v>
      </c>
      <c r="F1692" t="s">
        <v>4204</v>
      </c>
      <c r="G1692" s="23" t="s">
        <v>41</v>
      </c>
      <c r="H1692" s="23" t="s">
        <v>82</v>
      </c>
      <c r="I1692" t="s">
        <v>4982</v>
      </c>
      <c r="J1692" t="s">
        <v>92</v>
      </c>
      <c r="K1692" s="22">
        <v>2</v>
      </c>
      <c r="L1692" s="1">
        <v>42650</v>
      </c>
      <c r="M1692" s="22">
        <f>Table10[[#This Row],[Ship Date]]-Table10[[#This Row],[Order Date]]</f>
        <v>4</v>
      </c>
      <c r="N1692" t="s">
        <v>45</v>
      </c>
      <c r="O1692" t="s">
        <v>23</v>
      </c>
      <c r="P1692" t="s">
        <v>38</v>
      </c>
      <c r="Q1692" t="s">
        <v>39</v>
      </c>
      <c r="R1692" t="s">
        <v>7705</v>
      </c>
      <c r="S1692" s="33">
        <v>0</v>
      </c>
      <c r="T1692" s="13">
        <v>97.82</v>
      </c>
      <c r="U1692" s="13">
        <v>45.9754</v>
      </c>
      <c r="V1692" s="21">
        <f>Table10[[#This Row],[Profit]]/Table10[[#This Row],[Sales]]</f>
        <v>0.47000000000000003</v>
      </c>
    </row>
    <row r="1693" spans="1:22" x14ac:dyDescent="0.2">
      <c r="A1693">
        <v>1692</v>
      </c>
      <c r="B1693" t="s">
        <v>6659</v>
      </c>
      <c r="C1693" s="1">
        <v>42647</v>
      </c>
      <c r="D1693" s="22">
        <f>MONTH(Table10[[#This Row],[Order Date]])</f>
        <v>10</v>
      </c>
      <c r="E1693" t="s">
        <v>2627</v>
      </c>
      <c r="F1693" t="s">
        <v>2628</v>
      </c>
      <c r="G1693" s="23" t="s">
        <v>41</v>
      </c>
      <c r="H1693" s="23" t="s">
        <v>155</v>
      </c>
      <c r="I1693" t="s">
        <v>2719</v>
      </c>
      <c r="J1693" t="s">
        <v>22</v>
      </c>
      <c r="K1693" s="22">
        <v>7</v>
      </c>
      <c r="L1693" s="1">
        <v>42647</v>
      </c>
      <c r="M1693" s="22">
        <f>Table10[[#This Row],[Ship Date]]-Table10[[#This Row],[Order Date]]</f>
        <v>0</v>
      </c>
      <c r="N1693" t="s">
        <v>1141</v>
      </c>
      <c r="O1693" t="s">
        <v>23</v>
      </c>
      <c r="P1693" t="s">
        <v>94</v>
      </c>
      <c r="Q1693" t="s">
        <v>95</v>
      </c>
      <c r="R1693" t="s">
        <v>6660</v>
      </c>
      <c r="S1693" s="33">
        <v>0.2</v>
      </c>
      <c r="T1693" s="13">
        <v>59.752000000000002</v>
      </c>
      <c r="U1693" s="13">
        <v>19.4194</v>
      </c>
      <c r="V1693" s="21">
        <f>Table10[[#This Row],[Profit]]/Table10[[#This Row],[Sales]]</f>
        <v>0.32499999999999996</v>
      </c>
    </row>
    <row r="1694" spans="1:22" x14ac:dyDescent="0.2">
      <c r="A1694">
        <v>1693</v>
      </c>
      <c r="B1694" t="s">
        <v>8814</v>
      </c>
      <c r="C1694" s="1">
        <v>42647</v>
      </c>
      <c r="D1694" s="22">
        <f>MONTH(Table10[[#This Row],[Order Date]])</f>
        <v>10</v>
      </c>
      <c r="E1694" t="s">
        <v>3455</v>
      </c>
      <c r="F1694" t="s">
        <v>3456</v>
      </c>
      <c r="G1694" s="23" t="s">
        <v>41</v>
      </c>
      <c r="H1694" s="23" t="s">
        <v>68</v>
      </c>
      <c r="I1694" t="s">
        <v>5338</v>
      </c>
      <c r="J1694" t="s">
        <v>92</v>
      </c>
      <c r="K1694" s="22">
        <v>1</v>
      </c>
      <c r="L1694" s="1">
        <v>42651</v>
      </c>
      <c r="M1694" s="22">
        <f>Table10[[#This Row],[Ship Date]]-Table10[[#This Row],[Order Date]]</f>
        <v>4</v>
      </c>
      <c r="N1694" t="s">
        <v>45</v>
      </c>
      <c r="O1694" t="s">
        <v>23</v>
      </c>
      <c r="P1694" t="s">
        <v>1235</v>
      </c>
      <c r="Q1694" t="s">
        <v>133</v>
      </c>
      <c r="R1694" t="s">
        <v>3161</v>
      </c>
      <c r="S1694" s="33">
        <v>0</v>
      </c>
      <c r="T1694" s="13">
        <v>30.4</v>
      </c>
      <c r="U1694" s="13">
        <v>13.984</v>
      </c>
      <c r="V1694" s="21">
        <f>Table10[[#This Row],[Profit]]/Table10[[#This Row],[Sales]]</f>
        <v>0.46</v>
      </c>
    </row>
    <row r="1695" spans="1:22" x14ac:dyDescent="0.2">
      <c r="A1695">
        <v>1694</v>
      </c>
      <c r="B1695" t="s">
        <v>8814</v>
      </c>
      <c r="C1695" s="1">
        <v>42647</v>
      </c>
      <c r="D1695" s="22">
        <f>MONTH(Table10[[#This Row],[Order Date]])</f>
        <v>10</v>
      </c>
      <c r="E1695" t="s">
        <v>1074</v>
      </c>
      <c r="F1695" t="s">
        <v>1076</v>
      </c>
      <c r="G1695" s="23" t="s">
        <v>64</v>
      </c>
      <c r="H1695" s="23" t="s">
        <v>1075</v>
      </c>
      <c r="I1695" t="s">
        <v>5338</v>
      </c>
      <c r="J1695" t="s">
        <v>92</v>
      </c>
      <c r="K1695" s="22">
        <v>9</v>
      </c>
      <c r="L1695" s="1">
        <v>42651</v>
      </c>
      <c r="M1695" s="22">
        <f>Table10[[#This Row],[Ship Date]]-Table10[[#This Row],[Order Date]]</f>
        <v>4</v>
      </c>
      <c r="N1695" t="s">
        <v>45</v>
      </c>
      <c r="O1695" t="s">
        <v>23</v>
      </c>
      <c r="P1695" t="s">
        <v>1235</v>
      </c>
      <c r="Q1695" t="s">
        <v>133</v>
      </c>
      <c r="R1695" t="s">
        <v>3161</v>
      </c>
      <c r="S1695" s="33">
        <v>0</v>
      </c>
      <c r="T1695" s="13">
        <v>5399.91</v>
      </c>
      <c r="U1695" s="13">
        <v>2591.9567999999999</v>
      </c>
      <c r="V1695" s="21">
        <f>Table10[[#This Row],[Profit]]/Table10[[#This Row],[Sales]]</f>
        <v>0.48</v>
      </c>
    </row>
    <row r="1696" spans="1:22" x14ac:dyDescent="0.2">
      <c r="A1696">
        <v>1695</v>
      </c>
      <c r="B1696" t="s">
        <v>8814</v>
      </c>
      <c r="C1696" s="1">
        <v>42647</v>
      </c>
      <c r="D1696" s="22">
        <f>MONTH(Table10[[#This Row],[Order Date]])</f>
        <v>10</v>
      </c>
      <c r="E1696" t="s">
        <v>7186</v>
      </c>
      <c r="F1696" t="s">
        <v>7187</v>
      </c>
      <c r="G1696" s="23" t="s">
        <v>41</v>
      </c>
      <c r="H1696" s="23" t="s">
        <v>53</v>
      </c>
      <c r="I1696" t="s">
        <v>5338</v>
      </c>
      <c r="J1696" t="s">
        <v>92</v>
      </c>
      <c r="K1696" s="22">
        <v>3</v>
      </c>
      <c r="L1696" s="1">
        <v>42651</v>
      </c>
      <c r="M1696" s="22">
        <f>Table10[[#This Row],[Ship Date]]-Table10[[#This Row],[Order Date]]</f>
        <v>4</v>
      </c>
      <c r="N1696" t="s">
        <v>45</v>
      </c>
      <c r="O1696" t="s">
        <v>23</v>
      </c>
      <c r="P1696" t="s">
        <v>1235</v>
      </c>
      <c r="Q1696" t="s">
        <v>133</v>
      </c>
      <c r="R1696" t="s">
        <v>3161</v>
      </c>
      <c r="S1696" s="33">
        <v>0</v>
      </c>
      <c r="T1696" s="13">
        <v>119.1</v>
      </c>
      <c r="U1696" s="13">
        <v>34.539000000000001</v>
      </c>
      <c r="V1696" s="21">
        <f>Table10[[#This Row],[Profit]]/Table10[[#This Row],[Sales]]</f>
        <v>0.29000000000000004</v>
      </c>
    </row>
    <row r="1697" spans="1:22" x14ac:dyDescent="0.2">
      <c r="A1697">
        <v>1696</v>
      </c>
      <c r="B1697" t="s">
        <v>9082</v>
      </c>
      <c r="C1697" s="1">
        <v>42647</v>
      </c>
      <c r="D1697" s="22">
        <f>MONTH(Table10[[#This Row],[Order Date]])</f>
        <v>10</v>
      </c>
      <c r="E1697" t="s">
        <v>3368</v>
      </c>
      <c r="F1697" t="s">
        <v>3369</v>
      </c>
      <c r="G1697" s="23" t="s">
        <v>28</v>
      </c>
      <c r="H1697" s="23" t="s">
        <v>50</v>
      </c>
      <c r="I1697" t="s">
        <v>1752</v>
      </c>
      <c r="J1697" t="s">
        <v>22</v>
      </c>
      <c r="K1697" s="22">
        <v>2</v>
      </c>
      <c r="L1697" s="1">
        <v>42652</v>
      </c>
      <c r="M1697" s="22">
        <f>Table10[[#This Row],[Ship Date]]-Table10[[#This Row],[Order Date]]</f>
        <v>5</v>
      </c>
      <c r="N1697" t="s">
        <v>45</v>
      </c>
      <c r="O1697" t="s">
        <v>23</v>
      </c>
      <c r="P1697" t="s">
        <v>2408</v>
      </c>
      <c r="Q1697" t="s">
        <v>133</v>
      </c>
      <c r="R1697" t="s">
        <v>3967</v>
      </c>
      <c r="S1697" s="33">
        <v>0.3</v>
      </c>
      <c r="T1697" s="13">
        <v>239.37200000000001</v>
      </c>
      <c r="U1697" s="13">
        <v>-23.937200000000001</v>
      </c>
      <c r="V1697" s="21">
        <f>Table10[[#This Row],[Profit]]/Table10[[#This Row],[Sales]]</f>
        <v>-9.9999999999999992E-2</v>
      </c>
    </row>
    <row r="1698" spans="1:22" x14ac:dyDescent="0.2">
      <c r="A1698">
        <v>1697</v>
      </c>
      <c r="B1698" t="s">
        <v>9530</v>
      </c>
      <c r="C1698" s="1">
        <v>42647</v>
      </c>
      <c r="D1698" s="22">
        <f>MONTH(Table10[[#This Row],[Order Date]])</f>
        <v>10</v>
      </c>
      <c r="E1698" t="s">
        <v>5766</v>
      </c>
      <c r="F1698" t="s">
        <v>5767</v>
      </c>
      <c r="G1698" s="23" t="s">
        <v>64</v>
      </c>
      <c r="H1698" s="23" t="s">
        <v>65</v>
      </c>
      <c r="I1698" t="s">
        <v>5937</v>
      </c>
      <c r="J1698" t="s">
        <v>36</v>
      </c>
      <c r="K1698" s="22">
        <v>3</v>
      </c>
      <c r="L1698" s="1">
        <v>42651</v>
      </c>
      <c r="M1698" s="22">
        <f>Table10[[#This Row],[Ship Date]]-Table10[[#This Row],[Order Date]]</f>
        <v>4</v>
      </c>
      <c r="N1698" t="s">
        <v>45</v>
      </c>
      <c r="O1698" t="s">
        <v>23</v>
      </c>
      <c r="P1698" t="s">
        <v>48</v>
      </c>
      <c r="Q1698" t="s">
        <v>26</v>
      </c>
      <c r="R1698" t="s">
        <v>9531</v>
      </c>
      <c r="S1698" s="33">
        <v>0.2</v>
      </c>
      <c r="T1698" s="13">
        <v>52.68</v>
      </c>
      <c r="U1698" s="13">
        <v>19.754999999999999</v>
      </c>
      <c r="V1698" s="21">
        <f>Table10[[#This Row],[Profit]]/Table10[[#This Row],[Sales]]</f>
        <v>0.375</v>
      </c>
    </row>
    <row r="1699" spans="1:22" x14ac:dyDescent="0.2">
      <c r="A1699">
        <v>1698</v>
      </c>
      <c r="B1699" t="s">
        <v>9530</v>
      </c>
      <c r="C1699" s="1">
        <v>42647</v>
      </c>
      <c r="D1699" s="22">
        <f>MONTH(Table10[[#This Row],[Order Date]])</f>
        <v>10</v>
      </c>
      <c r="E1699" t="s">
        <v>2631</v>
      </c>
      <c r="F1699" t="s">
        <v>2632</v>
      </c>
      <c r="G1699" s="23" t="s">
        <v>28</v>
      </c>
      <c r="H1699" s="23" t="s">
        <v>58</v>
      </c>
      <c r="I1699" t="s">
        <v>5937</v>
      </c>
      <c r="J1699" t="s">
        <v>36</v>
      </c>
      <c r="K1699" s="22">
        <v>3</v>
      </c>
      <c r="L1699" s="1">
        <v>42651</v>
      </c>
      <c r="M1699" s="22">
        <f>Table10[[#This Row],[Ship Date]]-Table10[[#This Row],[Order Date]]</f>
        <v>4</v>
      </c>
      <c r="N1699" t="s">
        <v>45</v>
      </c>
      <c r="O1699" t="s">
        <v>23</v>
      </c>
      <c r="P1699" t="s">
        <v>48</v>
      </c>
      <c r="Q1699" t="s">
        <v>26</v>
      </c>
      <c r="R1699" t="s">
        <v>9531</v>
      </c>
      <c r="S1699" s="33">
        <v>0.2</v>
      </c>
      <c r="T1699" s="13">
        <v>11.568</v>
      </c>
      <c r="U1699" s="13">
        <v>2.6027999999999998</v>
      </c>
      <c r="V1699" s="21">
        <f>Table10[[#This Row],[Profit]]/Table10[[#This Row],[Sales]]</f>
        <v>0.22499999999999998</v>
      </c>
    </row>
    <row r="1700" spans="1:22" x14ac:dyDescent="0.2">
      <c r="A1700">
        <v>1699</v>
      </c>
      <c r="B1700" t="s">
        <v>8020</v>
      </c>
      <c r="C1700" s="1">
        <v>42649</v>
      </c>
      <c r="D1700" s="22">
        <f>MONTH(Table10[[#This Row],[Order Date]])</f>
        <v>10</v>
      </c>
      <c r="E1700" t="s">
        <v>290</v>
      </c>
      <c r="F1700" t="s">
        <v>291</v>
      </c>
      <c r="G1700" s="23" t="s">
        <v>41</v>
      </c>
      <c r="H1700" s="23" t="s">
        <v>68</v>
      </c>
      <c r="I1700" t="s">
        <v>757</v>
      </c>
      <c r="J1700" t="s">
        <v>22</v>
      </c>
      <c r="K1700" s="22">
        <v>5</v>
      </c>
      <c r="L1700" s="1">
        <v>42649</v>
      </c>
      <c r="M1700" s="22">
        <f>Table10[[#This Row],[Ship Date]]-Table10[[#This Row],[Order Date]]</f>
        <v>0</v>
      </c>
      <c r="N1700" t="s">
        <v>1141</v>
      </c>
      <c r="O1700" t="s">
        <v>23</v>
      </c>
      <c r="P1700" t="s">
        <v>573</v>
      </c>
      <c r="Q1700" t="s">
        <v>95</v>
      </c>
      <c r="R1700" t="s">
        <v>4017</v>
      </c>
      <c r="S1700" s="33">
        <v>0</v>
      </c>
      <c r="T1700" s="13">
        <v>28.85</v>
      </c>
      <c r="U1700" s="13">
        <v>14.425000000000001</v>
      </c>
      <c r="V1700" s="21">
        <f>Table10[[#This Row],[Profit]]/Table10[[#This Row],[Sales]]</f>
        <v>0.5</v>
      </c>
    </row>
    <row r="1701" spans="1:22" x14ac:dyDescent="0.2">
      <c r="A1701">
        <v>1700</v>
      </c>
      <c r="B1701" t="s">
        <v>8796</v>
      </c>
      <c r="C1701" s="1">
        <v>42649</v>
      </c>
      <c r="D1701" s="22">
        <f>MONTH(Table10[[#This Row],[Order Date]])</f>
        <v>10</v>
      </c>
      <c r="E1701" t="s">
        <v>8797</v>
      </c>
      <c r="F1701" t="s">
        <v>8798</v>
      </c>
      <c r="G1701" s="23" t="s">
        <v>64</v>
      </c>
      <c r="H1701" s="23" t="s">
        <v>602</v>
      </c>
      <c r="I1701" t="s">
        <v>5787</v>
      </c>
      <c r="J1701" t="s">
        <v>92</v>
      </c>
      <c r="K1701" s="22">
        <v>6</v>
      </c>
      <c r="L1701" s="1">
        <v>42650</v>
      </c>
      <c r="M1701" s="22">
        <f>Table10[[#This Row],[Ship Date]]-Table10[[#This Row],[Order Date]]</f>
        <v>1</v>
      </c>
      <c r="N1701" t="s">
        <v>169</v>
      </c>
      <c r="O1701" t="s">
        <v>23</v>
      </c>
      <c r="P1701" t="s">
        <v>405</v>
      </c>
      <c r="Q1701" t="s">
        <v>39</v>
      </c>
      <c r="R1701" t="s">
        <v>3177</v>
      </c>
      <c r="S1701" s="33">
        <v>0.7</v>
      </c>
      <c r="T1701" s="13">
        <v>703.71</v>
      </c>
      <c r="U1701" s="13">
        <v>-938.28</v>
      </c>
      <c r="V1701" s="21">
        <f>Table10[[#This Row],[Profit]]/Table10[[#This Row],[Sales]]</f>
        <v>-1.3333333333333333</v>
      </c>
    </row>
    <row r="1702" spans="1:22" x14ac:dyDescent="0.2">
      <c r="A1702">
        <v>1701</v>
      </c>
      <c r="B1702" t="s">
        <v>8796</v>
      </c>
      <c r="C1702" s="1">
        <v>42649</v>
      </c>
      <c r="D1702" s="22">
        <f>MONTH(Table10[[#This Row],[Order Date]])</f>
        <v>10</v>
      </c>
      <c r="E1702" t="s">
        <v>1805</v>
      </c>
      <c r="F1702" t="s">
        <v>1806</v>
      </c>
      <c r="G1702" s="23" t="s">
        <v>41</v>
      </c>
      <c r="H1702" s="23" t="s">
        <v>68</v>
      </c>
      <c r="I1702" t="s">
        <v>5787</v>
      </c>
      <c r="J1702" t="s">
        <v>92</v>
      </c>
      <c r="K1702" s="22">
        <v>4</v>
      </c>
      <c r="L1702" s="1">
        <v>42650</v>
      </c>
      <c r="M1702" s="22">
        <f>Table10[[#This Row],[Ship Date]]-Table10[[#This Row],[Order Date]]</f>
        <v>1</v>
      </c>
      <c r="N1702" t="s">
        <v>169</v>
      </c>
      <c r="O1702" t="s">
        <v>23</v>
      </c>
      <c r="P1702" t="s">
        <v>405</v>
      </c>
      <c r="Q1702" t="s">
        <v>39</v>
      </c>
      <c r="R1702" t="s">
        <v>3177</v>
      </c>
      <c r="S1702" s="33">
        <v>0.7</v>
      </c>
      <c r="T1702" s="13">
        <v>17.904</v>
      </c>
      <c r="U1702" s="13">
        <v>-14.92</v>
      </c>
      <c r="V1702" s="21">
        <f>Table10[[#This Row],[Profit]]/Table10[[#This Row],[Sales]]</f>
        <v>-0.83333333333333337</v>
      </c>
    </row>
    <row r="1703" spans="1:22" x14ac:dyDescent="0.2">
      <c r="A1703">
        <v>1702</v>
      </c>
      <c r="B1703" t="s">
        <v>8796</v>
      </c>
      <c r="C1703" s="1">
        <v>42649</v>
      </c>
      <c r="D1703" s="22">
        <f>MONTH(Table10[[#This Row],[Order Date]])</f>
        <v>10</v>
      </c>
      <c r="E1703" t="s">
        <v>4380</v>
      </c>
      <c r="F1703" t="s">
        <v>4381</v>
      </c>
      <c r="G1703" s="23" t="s">
        <v>41</v>
      </c>
      <c r="H1703" s="23" t="s">
        <v>68</v>
      </c>
      <c r="I1703" t="s">
        <v>5787</v>
      </c>
      <c r="J1703" t="s">
        <v>92</v>
      </c>
      <c r="K1703" s="22">
        <v>4</v>
      </c>
      <c r="L1703" s="1">
        <v>42650</v>
      </c>
      <c r="M1703" s="22">
        <f>Table10[[#This Row],[Ship Date]]-Table10[[#This Row],[Order Date]]</f>
        <v>1</v>
      </c>
      <c r="N1703" t="s">
        <v>169</v>
      </c>
      <c r="O1703" t="s">
        <v>23</v>
      </c>
      <c r="P1703" t="s">
        <v>405</v>
      </c>
      <c r="Q1703" t="s">
        <v>39</v>
      </c>
      <c r="R1703" t="s">
        <v>3177</v>
      </c>
      <c r="S1703" s="33">
        <v>0.7</v>
      </c>
      <c r="T1703" s="13">
        <v>11.976000000000001</v>
      </c>
      <c r="U1703" s="13">
        <v>-9.1815999999999995</v>
      </c>
      <c r="V1703" s="21">
        <f>Table10[[#This Row],[Profit]]/Table10[[#This Row],[Sales]]</f>
        <v>-0.76666666666666661</v>
      </c>
    </row>
    <row r="1704" spans="1:22" x14ac:dyDescent="0.2">
      <c r="A1704">
        <v>1703</v>
      </c>
      <c r="B1704" t="s">
        <v>8796</v>
      </c>
      <c r="C1704" s="1">
        <v>42649</v>
      </c>
      <c r="D1704" s="22">
        <f>MONTH(Table10[[#This Row],[Order Date]])</f>
        <v>10</v>
      </c>
      <c r="E1704" t="s">
        <v>6419</v>
      </c>
      <c r="F1704" t="s">
        <v>6420</v>
      </c>
      <c r="G1704" s="23" t="s">
        <v>64</v>
      </c>
      <c r="H1704" s="23" t="s">
        <v>144</v>
      </c>
      <c r="I1704" t="s">
        <v>5787</v>
      </c>
      <c r="J1704" t="s">
        <v>92</v>
      </c>
      <c r="K1704" s="22">
        <v>5</v>
      </c>
      <c r="L1704" s="1">
        <v>42650</v>
      </c>
      <c r="M1704" s="22">
        <f>Table10[[#This Row],[Ship Date]]-Table10[[#This Row],[Order Date]]</f>
        <v>1</v>
      </c>
      <c r="N1704" t="s">
        <v>169</v>
      </c>
      <c r="O1704" t="s">
        <v>23</v>
      </c>
      <c r="P1704" t="s">
        <v>405</v>
      </c>
      <c r="Q1704" t="s">
        <v>39</v>
      </c>
      <c r="R1704" t="s">
        <v>3177</v>
      </c>
      <c r="S1704" s="33">
        <v>0.2</v>
      </c>
      <c r="T1704" s="13">
        <v>67.959999999999994</v>
      </c>
      <c r="U1704" s="13">
        <v>0.84950000000000003</v>
      </c>
      <c r="V1704" s="21">
        <f>Table10[[#This Row],[Profit]]/Table10[[#This Row],[Sales]]</f>
        <v>1.2500000000000002E-2</v>
      </c>
    </row>
    <row r="1705" spans="1:22" x14ac:dyDescent="0.2">
      <c r="A1705">
        <v>1704</v>
      </c>
      <c r="B1705" t="s">
        <v>5939</v>
      </c>
      <c r="C1705" s="1">
        <v>42650</v>
      </c>
      <c r="D1705" s="22">
        <f>MONTH(Table10[[#This Row],[Order Date]])</f>
        <v>10</v>
      </c>
      <c r="E1705" t="s">
        <v>2835</v>
      </c>
      <c r="F1705" t="s">
        <v>2836</v>
      </c>
      <c r="G1705" s="23" t="s">
        <v>41</v>
      </c>
      <c r="H1705" s="23" t="s">
        <v>68</v>
      </c>
      <c r="I1705" t="s">
        <v>4946</v>
      </c>
      <c r="J1705" t="s">
        <v>22</v>
      </c>
      <c r="K1705" s="22">
        <v>2</v>
      </c>
      <c r="L1705" s="1">
        <v>42656</v>
      </c>
      <c r="M1705" s="22">
        <f>Table10[[#This Row],[Ship Date]]-Table10[[#This Row],[Order Date]]</f>
        <v>6</v>
      </c>
      <c r="N1705" t="s">
        <v>45</v>
      </c>
      <c r="O1705" t="s">
        <v>23</v>
      </c>
      <c r="P1705" t="s">
        <v>38</v>
      </c>
      <c r="Q1705" t="s">
        <v>39</v>
      </c>
      <c r="R1705" t="s">
        <v>37</v>
      </c>
      <c r="S1705" s="33">
        <v>0.2</v>
      </c>
      <c r="T1705" s="13">
        <v>27.263999999999999</v>
      </c>
      <c r="U1705" s="13">
        <v>8.8607999999999993</v>
      </c>
      <c r="V1705" s="21">
        <f>Table10[[#This Row],[Profit]]/Table10[[#This Row],[Sales]]</f>
        <v>0.32500000000000001</v>
      </c>
    </row>
    <row r="1706" spans="1:22" x14ac:dyDescent="0.2">
      <c r="A1706">
        <v>1705</v>
      </c>
      <c r="B1706" t="s">
        <v>6993</v>
      </c>
      <c r="C1706" s="1">
        <v>42650</v>
      </c>
      <c r="D1706" s="22">
        <f>MONTH(Table10[[#This Row],[Order Date]])</f>
        <v>10</v>
      </c>
      <c r="E1706" t="s">
        <v>5648</v>
      </c>
      <c r="F1706" t="s">
        <v>5649</v>
      </c>
      <c r="G1706" s="23" t="s">
        <v>64</v>
      </c>
      <c r="H1706" s="23" t="s">
        <v>602</v>
      </c>
      <c r="I1706" t="s">
        <v>2868</v>
      </c>
      <c r="J1706" t="s">
        <v>36</v>
      </c>
      <c r="K1706" s="22">
        <v>3</v>
      </c>
      <c r="L1706" s="1">
        <v>42652</v>
      </c>
      <c r="M1706" s="22">
        <f>Table10[[#This Row],[Ship Date]]-Table10[[#This Row],[Order Date]]</f>
        <v>2</v>
      </c>
      <c r="N1706" t="s">
        <v>169</v>
      </c>
      <c r="O1706" t="s">
        <v>23</v>
      </c>
      <c r="P1706" t="s">
        <v>87</v>
      </c>
      <c r="Q1706" t="s">
        <v>39</v>
      </c>
      <c r="R1706" t="s">
        <v>4135</v>
      </c>
      <c r="S1706" s="33">
        <v>0.2</v>
      </c>
      <c r="T1706" s="13">
        <v>837.6</v>
      </c>
      <c r="U1706" s="13">
        <v>62.82</v>
      </c>
      <c r="V1706" s="21">
        <f>Table10[[#This Row],[Profit]]/Table10[[#This Row],[Sales]]</f>
        <v>7.4999999999999997E-2</v>
      </c>
    </row>
    <row r="1707" spans="1:22" x14ac:dyDescent="0.2">
      <c r="A1707">
        <v>1706</v>
      </c>
      <c r="B1707" t="s">
        <v>7174</v>
      </c>
      <c r="C1707" s="1">
        <v>42650</v>
      </c>
      <c r="D1707" s="22">
        <f>MONTH(Table10[[#This Row],[Order Date]])</f>
        <v>10</v>
      </c>
      <c r="E1707" t="s">
        <v>7175</v>
      </c>
      <c r="F1707" t="s">
        <v>7176</v>
      </c>
      <c r="G1707" s="23" t="s">
        <v>41</v>
      </c>
      <c r="H1707" s="23" t="s">
        <v>82</v>
      </c>
      <c r="I1707" t="s">
        <v>5763</v>
      </c>
      <c r="J1707" t="s">
        <v>22</v>
      </c>
      <c r="K1707" s="22">
        <v>2</v>
      </c>
      <c r="L1707" s="1">
        <v>42655</v>
      </c>
      <c r="M1707" s="22">
        <f>Table10[[#This Row],[Ship Date]]-Table10[[#This Row],[Order Date]]</f>
        <v>5</v>
      </c>
      <c r="N1707" t="s">
        <v>45</v>
      </c>
      <c r="O1707" t="s">
        <v>23</v>
      </c>
      <c r="P1707" t="s">
        <v>38</v>
      </c>
      <c r="Q1707" t="s">
        <v>39</v>
      </c>
      <c r="R1707" t="s">
        <v>37</v>
      </c>
      <c r="S1707" s="33">
        <v>0</v>
      </c>
      <c r="T1707" s="13">
        <v>10.56</v>
      </c>
      <c r="U1707" s="13">
        <v>5.0688000000000004</v>
      </c>
      <c r="V1707" s="21">
        <f>Table10[[#This Row],[Profit]]/Table10[[#This Row],[Sales]]</f>
        <v>0.48000000000000004</v>
      </c>
    </row>
    <row r="1708" spans="1:22" x14ac:dyDescent="0.2">
      <c r="A1708">
        <v>1707</v>
      </c>
      <c r="B1708" t="s">
        <v>8092</v>
      </c>
      <c r="C1708" s="1">
        <v>42650</v>
      </c>
      <c r="D1708" s="22">
        <f>MONTH(Table10[[#This Row],[Order Date]])</f>
        <v>10</v>
      </c>
      <c r="E1708" t="s">
        <v>350</v>
      </c>
      <c r="F1708" t="s">
        <v>351</v>
      </c>
      <c r="G1708" s="23" t="s">
        <v>41</v>
      </c>
      <c r="H1708" s="23" t="s">
        <v>42</v>
      </c>
      <c r="I1708" t="s">
        <v>4572</v>
      </c>
      <c r="J1708" t="s">
        <v>92</v>
      </c>
      <c r="K1708" s="22">
        <v>2</v>
      </c>
      <c r="L1708" s="1">
        <v>42653</v>
      </c>
      <c r="M1708" s="22">
        <f>Table10[[#This Row],[Ship Date]]-Table10[[#This Row],[Order Date]]</f>
        <v>3</v>
      </c>
      <c r="N1708" t="s">
        <v>169</v>
      </c>
      <c r="O1708" t="s">
        <v>23</v>
      </c>
      <c r="P1708" t="s">
        <v>132</v>
      </c>
      <c r="Q1708" t="s">
        <v>133</v>
      </c>
      <c r="R1708" t="s">
        <v>131</v>
      </c>
      <c r="S1708" s="33">
        <v>0.2</v>
      </c>
      <c r="T1708" s="13">
        <v>4.9279999999999999</v>
      </c>
      <c r="U1708" s="13">
        <v>1.7248000000000001</v>
      </c>
      <c r="V1708" s="21">
        <f>Table10[[#This Row],[Profit]]/Table10[[#This Row],[Sales]]</f>
        <v>0.35000000000000003</v>
      </c>
    </row>
    <row r="1709" spans="1:22" x14ac:dyDescent="0.2">
      <c r="A1709">
        <v>1708</v>
      </c>
      <c r="B1709" t="s">
        <v>9000</v>
      </c>
      <c r="C1709" s="1">
        <v>42650</v>
      </c>
      <c r="D1709" s="22">
        <f>MONTH(Table10[[#This Row],[Order Date]])</f>
        <v>10</v>
      </c>
      <c r="E1709" t="s">
        <v>5725</v>
      </c>
      <c r="F1709" t="s">
        <v>5726</v>
      </c>
      <c r="G1709" s="23" t="s">
        <v>41</v>
      </c>
      <c r="H1709" s="23" t="s">
        <v>240</v>
      </c>
      <c r="I1709" t="s">
        <v>3678</v>
      </c>
      <c r="J1709" t="s">
        <v>22</v>
      </c>
      <c r="K1709" s="22">
        <v>12</v>
      </c>
      <c r="L1709" s="1">
        <v>42654</v>
      </c>
      <c r="M1709" s="22">
        <f>Table10[[#This Row],[Ship Date]]-Table10[[#This Row],[Order Date]]</f>
        <v>4</v>
      </c>
      <c r="N1709" t="s">
        <v>45</v>
      </c>
      <c r="O1709" t="s">
        <v>23</v>
      </c>
      <c r="P1709" t="s">
        <v>87</v>
      </c>
      <c r="Q1709" t="s">
        <v>39</v>
      </c>
      <c r="R1709" t="s">
        <v>1715</v>
      </c>
      <c r="S1709" s="33">
        <v>0</v>
      </c>
      <c r="T1709" s="13">
        <v>93.36</v>
      </c>
      <c r="U1709" s="13">
        <v>0.93359999999999999</v>
      </c>
      <c r="V1709" s="21">
        <f>Table10[[#This Row],[Profit]]/Table10[[#This Row],[Sales]]</f>
        <v>0.01</v>
      </c>
    </row>
    <row r="1710" spans="1:22" x14ac:dyDescent="0.2">
      <c r="A1710">
        <v>1709</v>
      </c>
      <c r="B1710" t="s">
        <v>5027</v>
      </c>
      <c r="C1710" s="1">
        <v>42651</v>
      </c>
      <c r="D1710" s="22">
        <f>MONTH(Table10[[#This Row],[Order Date]])</f>
        <v>10</v>
      </c>
      <c r="E1710" t="s">
        <v>5028</v>
      </c>
      <c r="F1710" t="s">
        <v>5029</v>
      </c>
      <c r="G1710" s="23" t="s">
        <v>28</v>
      </c>
      <c r="H1710" s="23" t="s">
        <v>58</v>
      </c>
      <c r="I1710" t="s">
        <v>2241</v>
      </c>
      <c r="J1710" t="s">
        <v>36</v>
      </c>
      <c r="K1710" s="22">
        <v>8</v>
      </c>
      <c r="L1710" s="1">
        <v>42657</v>
      </c>
      <c r="M1710" s="22">
        <f>Table10[[#This Row],[Ship Date]]-Table10[[#This Row],[Order Date]]</f>
        <v>6</v>
      </c>
      <c r="N1710" t="s">
        <v>45</v>
      </c>
      <c r="O1710" t="s">
        <v>23</v>
      </c>
      <c r="P1710" t="s">
        <v>94</v>
      </c>
      <c r="Q1710" t="s">
        <v>95</v>
      </c>
      <c r="R1710" t="s">
        <v>165</v>
      </c>
      <c r="S1710" s="33">
        <v>0.6</v>
      </c>
      <c r="T1710" s="13">
        <v>51.712000000000003</v>
      </c>
      <c r="U1710" s="13">
        <v>-32.32</v>
      </c>
      <c r="V1710" s="21">
        <f>Table10[[#This Row],[Profit]]/Table10[[#This Row],[Sales]]</f>
        <v>-0.625</v>
      </c>
    </row>
    <row r="1711" spans="1:22" x14ac:dyDescent="0.2">
      <c r="A1711">
        <v>1710</v>
      </c>
      <c r="B1711" t="s">
        <v>7530</v>
      </c>
      <c r="C1711" s="1">
        <v>42651</v>
      </c>
      <c r="D1711" s="22">
        <f>MONTH(Table10[[#This Row],[Order Date]])</f>
        <v>10</v>
      </c>
      <c r="E1711" t="s">
        <v>3826</v>
      </c>
      <c r="F1711" t="s">
        <v>3827</v>
      </c>
      <c r="G1711" s="23" t="s">
        <v>41</v>
      </c>
      <c r="H1711" s="23" t="s">
        <v>82</v>
      </c>
      <c r="I1711" t="s">
        <v>297</v>
      </c>
      <c r="J1711" t="s">
        <v>22</v>
      </c>
      <c r="K1711" s="22">
        <v>2</v>
      </c>
      <c r="L1711" s="1">
        <v>42651</v>
      </c>
      <c r="M1711" s="22">
        <f>Table10[[#This Row],[Ship Date]]-Table10[[#This Row],[Order Date]]</f>
        <v>0</v>
      </c>
      <c r="N1711" t="s">
        <v>1141</v>
      </c>
      <c r="O1711" t="s">
        <v>23</v>
      </c>
      <c r="P1711" t="s">
        <v>38</v>
      </c>
      <c r="Q1711" t="s">
        <v>39</v>
      </c>
      <c r="R1711" t="s">
        <v>37</v>
      </c>
      <c r="S1711" s="33">
        <v>0</v>
      </c>
      <c r="T1711" s="13">
        <v>61.96</v>
      </c>
      <c r="U1711" s="13">
        <v>27.882000000000001</v>
      </c>
      <c r="V1711" s="21">
        <f>Table10[[#This Row],[Profit]]/Table10[[#This Row],[Sales]]</f>
        <v>0.45</v>
      </c>
    </row>
    <row r="1712" spans="1:22" x14ac:dyDescent="0.2">
      <c r="A1712">
        <v>1711</v>
      </c>
      <c r="B1712" t="s">
        <v>7710</v>
      </c>
      <c r="C1712" s="1">
        <v>42651</v>
      </c>
      <c r="D1712" s="22">
        <f>MONTH(Table10[[#This Row],[Order Date]])</f>
        <v>10</v>
      </c>
      <c r="E1712" t="s">
        <v>4928</v>
      </c>
      <c r="F1712" t="s">
        <v>4929</v>
      </c>
      <c r="G1712" s="23" t="s">
        <v>41</v>
      </c>
      <c r="H1712" s="23" t="s">
        <v>42</v>
      </c>
      <c r="I1712" t="s">
        <v>2394</v>
      </c>
      <c r="J1712" t="s">
        <v>92</v>
      </c>
      <c r="K1712" s="22">
        <v>6</v>
      </c>
      <c r="L1712" s="1">
        <v>42658</v>
      </c>
      <c r="M1712" s="22">
        <f>Table10[[#This Row],[Ship Date]]-Table10[[#This Row],[Order Date]]</f>
        <v>7</v>
      </c>
      <c r="N1712" t="s">
        <v>45</v>
      </c>
      <c r="O1712" t="s">
        <v>23</v>
      </c>
      <c r="P1712" t="s">
        <v>94</v>
      </c>
      <c r="Q1712" t="s">
        <v>95</v>
      </c>
      <c r="R1712" t="s">
        <v>598</v>
      </c>
      <c r="S1712" s="33">
        <v>0.2</v>
      </c>
      <c r="T1712" s="13">
        <v>60.143999999999998</v>
      </c>
      <c r="U1712" s="13">
        <v>20.2986</v>
      </c>
      <c r="V1712" s="21">
        <f>Table10[[#This Row],[Profit]]/Table10[[#This Row],[Sales]]</f>
        <v>0.33750000000000002</v>
      </c>
    </row>
    <row r="1713" spans="1:22" x14ac:dyDescent="0.2">
      <c r="A1713">
        <v>1712</v>
      </c>
      <c r="B1713" t="s">
        <v>7836</v>
      </c>
      <c r="C1713" s="1">
        <v>42651</v>
      </c>
      <c r="D1713" s="22">
        <f>MONTH(Table10[[#This Row],[Order Date]])</f>
        <v>10</v>
      </c>
      <c r="E1713" t="s">
        <v>3041</v>
      </c>
      <c r="F1713" t="s">
        <v>3042</v>
      </c>
      <c r="G1713" s="23" t="s">
        <v>41</v>
      </c>
      <c r="H1713" s="23" t="s">
        <v>53</v>
      </c>
      <c r="I1713" t="s">
        <v>1071</v>
      </c>
      <c r="J1713" t="s">
        <v>22</v>
      </c>
      <c r="K1713" s="22">
        <v>5</v>
      </c>
      <c r="L1713" s="1">
        <v>42656</v>
      </c>
      <c r="M1713" s="22">
        <f>Table10[[#This Row],[Ship Date]]-Table10[[#This Row],[Order Date]]</f>
        <v>5</v>
      </c>
      <c r="N1713" t="s">
        <v>45</v>
      </c>
      <c r="O1713" t="s">
        <v>23</v>
      </c>
      <c r="P1713" t="s">
        <v>80</v>
      </c>
      <c r="Q1713" t="s">
        <v>26</v>
      </c>
      <c r="R1713" t="s">
        <v>414</v>
      </c>
      <c r="S1713" s="33">
        <v>0.2</v>
      </c>
      <c r="T1713" s="13">
        <v>387.72</v>
      </c>
      <c r="U1713" s="13">
        <v>-67.850999999999999</v>
      </c>
      <c r="V1713" s="21">
        <f>Table10[[#This Row],[Profit]]/Table10[[#This Row],[Sales]]</f>
        <v>-0.17499999999999999</v>
      </c>
    </row>
    <row r="1714" spans="1:22" x14ac:dyDescent="0.2">
      <c r="A1714">
        <v>1713</v>
      </c>
      <c r="B1714" t="s">
        <v>5312</v>
      </c>
      <c r="C1714" s="1">
        <v>42652</v>
      </c>
      <c r="D1714" s="22">
        <f>MONTH(Table10[[#This Row],[Order Date]])</f>
        <v>10</v>
      </c>
      <c r="E1714" t="s">
        <v>4018</v>
      </c>
      <c r="F1714" t="s">
        <v>4019</v>
      </c>
      <c r="G1714" s="23" t="s">
        <v>64</v>
      </c>
      <c r="H1714" s="23" t="s">
        <v>65</v>
      </c>
      <c r="I1714" t="s">
        <v>1307</v>
      </c>
      <c r="J1714" t="s">
        <v>36</v>
      </c>
      <c r="K1714" s="22">
        <v>4</v>
      </c>
      <c r="L1714" s="1">
        <v>42658</v>
      </c>
      <c r="M1714" s="22">
        <f>Table10[[#This Row],[Ship Date]]-Table10[[#This Row],[Order Date]]</f>
        <v>6</v>
      </c>
      <c r="N1714" t="s">
        <v>45</v>
      </c>
      <c r="O1714" t="s">
        <v>23</v>
      </c>
      <c r="P1714" t="s">
        <v>441</v>
      </c>
      <c r="Q1714" t="s">
        <v>133</v>
      </c>
      <c r="R1714" t="s">
        <v>246</v>
      </c>
      <c r="S1714" s="33">
        <v>0.4</v>
      </c>
      <c r="T1714" s="13">
        <v>23.975999999999999</v>
      </c>
      <c r="U1714" s="13">
        <v>-15.5844</v>
      </c>
      <c r="V1714" s="21">
        <f>Table10[[#This Row],[Profit]]/Table10[[#This Row],[Sales]]</f>
        <v>-0.65</v>
      </c>
    </row>
    <row r="1715" spans="1:22" x14ac:dyDescent="0.2">
      <c r="A1715">
        <v>1714</v>
      </c>
      <c r="B1715" t="s">
        <v>8160</v>
      </c>
      <c r="C1715" s="1">
        <v>42652</v>
      </c>
      <c r="D1715" s="22">
        <f>MONTH(Table10[[#This Row],[Order Date]])</f>
        <v>10</v>
      </c>
      <c r="E1715" t="s">
        <v>7922</v>
      </c>
      <c r="F1715" t="s">
        <v>7923</v>
      </c>
      <c r="G1715" s="23" t="s">
        <v>41</v>
      </c>
      <c r="H1715" s="23" t="s">
        <v>82</v>
      </c>
      <c r="I1715" t="s">
        <v>1910</v>
      </c>
      <c r="J1715" t="s">
        <v>36</v>
      </c>
      <c r="K1715" s="22">
        <v>4</v>
      </c>
      <c r="L1715" s="1">
        <v>42654</v>
      </c>
      <c r="M1715" s="22">
        <f>Table10[[#This Row],[Ship Date]]-Table10[[#This Row],[Order Date]]</f>
        <v>2</v>
      </c>
      <c r="N1715" t="s">
        <v>20</v>
      </c>
      <c r="O1715" t="s">
        <v>23</v>
      </c>
      <c r="P1715" t="s">
        <v>132</v>
      </c>
      <c r="Q1715" t="s">
        <v>133</v>
      </c>
      <c r="R1715" t="s">
        <v>131</v>
      </c>
      <c r="S1715" s="33">
        <v>0.2</v>
      </c>
      <c r="T1715" s="13">
        <v>19.135999999999999</v>
      </c>
      <c r="U1715" s="13">
        <v>5.98</v>
      </c>
      <c r="V1715" s="21">
        <f>Table10[[#This Row],[Profit]]/Table10[[#This Row],[Sales]]</f>
        <v>0.31250000000000006</v>
      </c>
    </row>
    <row r="1716" spans="1:22" x14ac:dyDescent="0.2">
      <c r="A1716">
        <v>1715</v>
      </c>
      <c r="B1716" t="s">
        <v>8160</v>
      </c>
      <c r="C1716" s="1">
        <v>42652</v>
      </c>
      <c r="D1716" s="22">
        <f>MONTH(Table10[[#This Row],[Order Date]])</f>
        <v>10</v>
      </c>
      <c r="E1716" t="s">
        <v>1971</v>
      </c>
      <c r="F1716" t="s">
        <v>1972</v>
      </c>
      <c r="G1716" s="23" t="s">
        <v>28</v>
      </c>
      <c r="H1716" s="23" t="s">
        <v>58</v>
      </c>
      <c r="I1716" t="s">
        <v>1910</v>
      </c>
      <c r="J1716" t="s">
        <v>36</v>
      </c>
      <c r="K1716" s="22">
        <v>4</v>
      </c>
      <c r="L1716" s="1">
        <v>42654</v>
      </c>
      <c r="M1716" s="22">
        <f>Table10[[#This Row],[Ship Date]]-Table10[[#This Row],[Order Date]]</f>
        <v>2</v>
      </c>
      <c r="N1716" t="s">
        <v>20</v>
      </c>
      <c r="O1716" t="s">
        <v>23</v>
      </c>
      <c r="P1716" t="s">
        <v>132</v>
      </c>
      <c r="Q1716" t="s">
        <v>133</v>
      </c>
      <c r="R1716" t="s">
        <v>131</v>
      </c>
      <c r="S1716" s="33">
        <v>0.2</v>
      </c>
      <c r="T1716" s="13">
        <v>332.83199999999999</v>
      </c>
      <c r="U1716" s="13">
        <v>-24.962399999999999</v>
      </c>
      <c r="V1716" s="21">
        <f>Table10[[#This Row],[Profit]]/Table10[[#This Row],[Sales]]</f>
        <v>-7.4999999999999997E-2</v>
      </c>
    </row>
    <row r="1717" spans="1:22" x14ac:dyDescent="0.2">
      <c r="A1717">
        <v>1716</v>
      </c>
      <c r="B1717" t="s">
        <v>8665</v>
      </c>
      <c r="C1717" s="1">
        <v>42652</v>
      </c>
      <c r="D1717" s="22">
        <f>MONTH(Table10[[#This Row],[Order Date]])</f>
        <v>10</v>
      </c>
      <c r="E1717" t="s">
        <v>3637</v>
      </c>
      <c r="F1717" t="s">
        <v>3638</v>
      </c>
      <c r="G1717" s="23" t="s">
        <v>41</v>
      </c>
      <c r="H1717" s="23" t="s">
        <v>61</v>
      </c>
      <c r="I1717" t="s">
        <v>4652</v>
      </c>
      <c r="J1717" t="s">
        <v>92</v>
      </c>
      <c r="K1717" s="22">
        <v>1</v>
      </c>
      <c r="L1717" s="1">
        <v>42657</v>
      </c>
      <c r="M1717" s="22">
        <f>Table10[[#This Row],[Ship Date]]-Table10[[#This Row],[Order Date]]</f>
        <v>5</v>
      </c>
      <c r="N1717" t="s">
        <v>45</v>
      </c>
      <c r="O1717" t="s">
        <v>23</v>
      </c>
      <c r="P1717" t="s">
        <v>277</v>
      </c>
      <c r="Q1717" t="s">
        <v>39</v>
      </c>
      <c r="R1717" t="s">
        <v>481</v>
      </c>
      <c r="S1717" s="33">
        <v>0.2</v>
      </c>
      <c r="T1717" s="13">
        <v>1.4079999999999999</v>
      </c>
      <c r="U1717" s="13">
        <v>0.15840000000000001</v>
      </c>
      <c r="V1717" s="21">
        <f>Table10[[#This Row],[Profit]]/Table10[[#This Row],[Sales]]</f>
        <v>0.11250000000000002</v>
      </c>
    </row>
    <row r="1718" spans="1:22" x14ac:dyDescent="0.2">
      <c r="A1718">
        <v>1717</v>
      </c>
      <c r="B1718" t="s">
        <v>8665</v>
      </c>
      <c r="C1718" s="1">
        <v>42652</v>
      </c>
      <c r="D1718" s="22">
        <f>MONTH(Table10[[#This Row],[Order Date]])</f>
        <v>10</v>
      </c>
      <c r="E1718" t="s">
        <v>3722</v>
      </c>
      <c r="F1718" t="s">
        <v>3723</v>
      </c>
      <c r="G1718" s="23" t="s">
        <v>28</v>
      </c>
      <c r="H1718" s="23" t="s">
        <v>58</v>
      </c>
      <c r="I1718" t="s">
        <v>4652</v>
      </c>
      <c r="J1718" t="s">
        <v>92</v>
      </c>
      <c r="K1718" s="22">
        <v>2</v>
      </c>
      <c r="L1718" s="1">
        <v>42657</v>
      </c>
      <c r="M1718" s="22">
        <f>Table10[[#This Row],[Ship Date]]-Table10[[#This Row],[Order Date]]</f>
        <v>5</v>
      </c>
      <c r="N1718" t="s">
        <v>45</v>
      </c>
      <c r="O1718" t="s">
        <v>23</v>
      </c>
      <c r="P1718" t="s">
        <v>277</v>
      </c>
      <c r="Q1718" t="s">
        <v>39</v>
      </c>
      <c r="R1718" t="s">
        <v>481</v>
      </c>
      <c r="S1718" s="33">
        <v>0.2</v>
      </c>
      <c r="T1718" s="13">
        <v>169.56800000000001</v>
      </c>
      <c r="U1718" s="13">
        <v>0</v>
      </c>
      <c r="V1718" s="21">
        <f>Table10[[#This Row],[Profit]]/Table10[[#This Row],[Sales]]</f>
        <v>0</v>
      </c>
    </row>
    <row r="1719" spans="1:22" x14ac:dyDescent="0.2">
      <c r="A1719">
        <v>1718</v>
      </c>
      <c r="B1719" t="s">
        <v>8610</v>
      </c>
      <c r="C1719" s="1">
        <v>42653</v>
      </c>
      <c r="D1719" s="22">
        <f>MONTH(Table10[[#This Row],[Order Date]])</f>
        <v>10</v>
      </c>
      <c r="E1719" t="s">
        <v>1730</v>
      </c>
      <c r="F1719" t="s">
        <v>1731</v>
      </c>
      <c r="G1719" s="23" t="s">
        <v>41</v>
      </c>
      <c r="H1719" s="23" t="s">
        <v>513</v>
      </c>
      <c r="I1719" t="s">
        <v>3179</v>
      </c>
      <c r="J1719" t="s">
        <v>36</v>
      </c>
      <c r="K1719" s="22">
        <v>2</v>
      </c>
      <c r="L1719" s="1">
        <v>42657</v>
      </c>
      <c r="M1719" s="22">
        <f>Table10[[#This Row],[Ship Date]]-Table10[[#This Row],[Order Date]]</f>
        <v>4</v>
      </c>
      <c r="N1719" t="s">
        <v>45</v>
      </c>
      <c r="O1719" t="s">
        <v>23</v>
      </c>
      <c r="P1719" t="s">
        <v>80</v>
      </c>
      <c r="Q1719" t="s">
        <v>26</v>
      </c>
      <c r="R1719" t="s">
        <v>3963</v>
      </c>
      <c r="S1719" s="33">
        <v>0.2</v>
      </c>
      <c r="T1719" s="13">
        <v>20.608000000000001</v>
      </c>
      <c r="U1719" s="13">
        <v>-4.3792</v>
      </c>
      <c r="V1719" s="21">
        <f>Table10[[#This Row],[Profit]]/Table10[[#This Row],[Sales]]</f>
        <v>-0.21249999999999999</v>
      </c>
    </row>
    <row r="1720" spans="1:22" x14ac:dyDescent="0.2">
      <c r="A1720">
        <v>1719</v>
      </c>
      <c r="B1720" t="s">
        <v>8610</v>
      </c>
      <c r="C1720" s="1">
        <v>42653</v>
      </c>
      <c r="D1720" s="22">
        <f>MONTH(Table10[[#This Row],[Order Date]])</f>
        <v>10</v>
      </c>
      <c r="E1720" t="s">
        <v>901</v>
      </c>
      <c r="F1720" t="s">
        <v>902</v>
      </c>
      <c r="G1720" s="23" t="s">
        <v>41</v>
      </c>
      <c r="H1720" s="23" t="s">
        <v>68</v>
      </c>
      <c r="I1720" t="s">
        <v>3179</v>
      </c>
      <c r="J1720" t="s">
        <v>36</v>
      </c>
      <c r="K1720" s="22">
        <v>3</v>
      </c>
      <c r="L1720" s="1">
        <v>42657</v>
      </c>
      <c r="M1720" s="22">
        <f>Table10[[#This Row],[Ship Date]]-Table10[[#This Row],[Order Date]]</f>
        <v>4</v>
      </c>
      <c r="N1720" t="s">
        <v>45</v>
      </c>
      <c r="O1720" t="s">
        <v>23</v>
      </c>
      <c r="P1720" t="s">
        <v>80</v>
      </c>
      <c r="Q1720" t="s">
        <v>26</v>
      </c>
      <c r="R1720" t="s">
        <v>3963</v>
      </c>
      <c r="S1720" s="33">
        <v>0.7</v>
      </c>
      <c r="T1720" s="13">
        <v>4.0949999999999998</v>
      </c>
      <c r="U1720" s="13">
        <v>-2.73</v>
      </c>
      <c r="V1720" s="21">
        <f>Table10[[#This Row],[Profit]]/Table10[[#This Row],[Sales]]</f>
        <v>-0.66666666666666674</v>
      </c>
    </row>
    <row r="1721" spans="1:22" x14ac:dyDescent="0.2">
      <c r="A1721">
        <v>1720</v>
      </c>
      <c r="B1721" t="s">
        <v>8979</v>
      </c>
      <c r="C1721" s="1">
        <v>42653</v>
      </c>
      <c r="D1721" s="22">
        <f>MONTH(Table10[[#This Row],[Order Date]])</f>
        <v>10</v>
      </c>
      <c r="E1721" t="s">
        <v>8980</v>
      </c>
      <c r="F1721" t="s">
        <v>8981</v>
      </c>
      <c r="G1721" s="23" t="s">
        <v>28</v>
      </c>
      <c r="H1721" s="23" t="s">
        <v>29</v>
      </c>
      <c r="I1721" t="s">
        <v>4392</v>
      </c>
      <c r="J1721" t="s">
        <v>36</v>
      </c>
      <c r="K1721" s="22">
        <v>3</v>
      </c>
      <c r="L1721" s="1">
        <v>42655</v>
      </c>
      <c r="M1721" s="22">
        <f>Table10[[#This Row],[Ship Date]]-Table10[[#This Row],[Order Date]]</f>
        <v>2</v>
      </c>
      <c r="N1721" t="s">
        <v>169</v>
      </c>
      <c r="O1721" t="s">
        <v>23</v>
      </c>
      <c r="P1721" t="s">
        <v>405</v>
      </c>
      <c r="Q1721" t="s">
        <v>39</v>
      </c>
      <c r="R1721" t="s">
        <v>711</v>
      </c>
      <c r="S1721" s="33">
        <v>0.7</v>
      </c>
      <c r="T1721" s="13">
        <v>90.882000000000005</v>
      </c>
      <c r="U1721" s="13">
        <v>-190.85220000000001</v>
      </c>
      <c r="V1721" s="21">
        <f>Table10[[#This Row],[Profit]]/Table10[[#This Row],[Sales]]</f>
        <v>-2.1</v>
      </c>
    </row>
    <row r="1722" spans="1:22" x14ac:dyDescent="0.2">
      <c r="A1722">
        <v>1721</v>
      </c>
      <c r="B1722" t="s">
        <v>8979</v>
      </c>
      <c r="C1722" s="1">
        <v>42653</v>
      </c>
      <c r="D1722" s="22">
        <f>MONTH(Table10[[#This Row],[Order Date]])</f>
        <v>10</v>
      </c>
      <c r="E1722" t="s">
        <v>7380</v>
      </c>
      <c r="F1722" t="s">
        <v>7381</v>
      </c>
      <c r="G1722" s="23" t="s">
        <v>64</v>
      </c>
      <c r="H1722" s="23" t="s">
        <v>65</v>
      </c>
      <c r="I1722" t="s">
        <v>4392</v>
      </c>
      <c r="J1722" t="s">
        <v>36</v>
      </c>
      <c r="K1722" s="22">
        <v>1</v>
      </c>
      <c r="L1722" s="1">
        <v>42655</v>
      </c>
      <c r="M1722" s="22">
        <f>Table10[[#This Row],[Ship Date]]-Table10[[#This Row],[Order Date]]</f>
        <v>2</v>
      </c>
      <c r="N1722" t="s">
        <v>169</v>
      </c>
      <c r="O1722" t="s">
        <v>23</v>
      </c>
      <c r="P1722" t="s">
        <v>405</v>
      </c>
      <c r="Q1722" t="s">
        <v>39</v>
      </c>
      <c r="R1722" t="s">
        <v>711</v>
      </c>
      <c r="S1722" s="33">
        <v>0.2</v>
      </c>
      <c r="T1722" s="13">
        <v>15.992000000000001</v>
      </c>
      <c r="U1722" s="13">
        <v>-2.9984999999999999</v>
      </c>
      <c r="V1722" s="21">
        <f>Table10[[#This Row],[Profit]]/Table10[[#This Row],[Sales]]</f>
        <v>-0.18749999999999997</v>
      </c>
    </row>
    <row r="1723" spans="1:22" x14ac:dyDescent="0.2">
      <c r="A1723">
        <v>1722</v>
      </c>
      <c r="B1723" t="s">
        <v>8979</v>
      </c>
      <c r="C1723" s="1">
        <v>42653</v>
      </c>
      <c r="D1723" s="22">
        <f>MONTH(Table10[[#This Row],[Order Date]])</f>
        <v>10</v>
      </c>
      <c r="E1723" t="s">
        <v>1816</v>
      </c>
      <c r="F1723" t="s">
        <v>1817</v>
      </c>
      <c r="G1723" s="23" t="s">
        <v>28</v>
      </c>
      <c r="H1723" s="23" t="s">
        <v>32</v>
      </c>
      <c r="I1723" t="s">
        <v>4392</v>
      </c>
      <c r="J1723" t="s">
        <v>36</v>
      </c>
      <c r="K1723" s="22">
        <v>1</v>
      </c>
      <c r="L1723" s="1">
        <v>42655</v>
      </c>
      <c r="M1723" s="22">
        <f>Table10[[#This Row],[Ship Date]]-Table10[[#This Row],[Order Date]]</f>
        <v>2</v>
      </c>
      <c r="N1723" t="s">
        <v>169</v>
      </c>
      <c r="O1723" t="s">
        <v>23</v>
      </c>
      <c r="P1723" t="s">
        <v>405</v>
      </c>
      <c r="Q1723" t="s">
        <v>39</v>
      </c>
      <c r="R1723" t="s">
        <v>711</v>
      </c>
      <c r="S1723" s="33">
        <v>0.2</v>
      </c>
      <c r="T1723" s="13">
        <v>120.78400000000001</v>
      </c>
      <c r="U1723" s="13">
        <v>13.588200000000001</v>
      </c>
      <c r="V1723" s="21">
        <f>Table10[[#This Row],[Profit]]/Table10[[#This Row],[Sales]]</f>
        <v>0.1125</v>
      </c>
    </row>
    <row r="1724" spans="1:22" x14ac:dyDescent="0.2">
      <c r="A1724">
        <v>1723</v>
      </c>
      <c r="B1724" t="s">
        <v>10068</v>
      </c>
      <c r="C1724" s="1">
        <v>42653</v>
      </c>
      <c r="D1724" s="22">
        <f>MONTH(Table10[[#This Row],[Order Date]])</f>
        <v>10</v>
      </c>
      <c r="E1724" t="s">
        <v>5470</v>
      </c>
      <c r="F1724" t="s">
        <v>5471</v>
      </c>
      <c r="G1724" s="23" t="s">
        <v>28</v>
      </c>
      <c r="H1724" s="23" t="s">
        <v>58</v>
      </c>
      <c r="I1724" t="s">
        <v>4484</v>
      </c>
      <c r="J1724" t="s">
        <v>22</v>
      </c>
      <c r="K1724" s="22">
        <v>4</v>
      </c>
      <c r="L1724" s="1">
        <v>42655</v>
      </c>
      <c r="M1724" s="22">
        <f>Table10[[#This Row],[Ship Date]]-Table10[[#This Row],[Order Date]]</f>
        <v>2</v>
      </c>
      <c r="N1724" t="s">
        <v>169</v>
      </c>
      <c r="O1724" t="s">
        <v>23</v>
      </c>
      <c r="P1724" t="s">
        <v>94</v>
      </c>
      <c r="Q1724" t="s">
        <v>95</v>
      </c>
      <c r="R1724" t="s">
        <v>2898</v>
      </c>
      <c r="S1724" s="33">
        <v>0.6</v>
      </c>
      <c r="T1724" s="13">
        <v>14</v>
      </c>
      <c r="U1724" s="13">
        <v>-6.3</v>
      </c>
      <c r="V1724" s="21">
        <f>Table10[[#This Row],[Profit]]/Table10[[#This Row],[Sales]]</f>
        <v>-0.45</v>
      </c>
    </row>
    <row r="1725" spans="1:22" x14ac:dyDescent="0.2">
      <c r="A1725">
        <v>1724</v>
      </c>
      <c r="B1725" t="s">
        <v>10068</v>
      </c>
      <c r="C1725" s="1">
        <v>42653</v>
      </c>
      <c r="D1725" s="22">
        <f>MONTH(Table10[[#This Row],[Order Date]])</f>
        <v>10</v>
      </c>
      <c r="E1725" t="s">
        <v>2755</v>
      </c>
      <c r="F1725" t="s">
        <v>2756</v>
      </c>
      <c r="G1725" s="23" t="s">
        <v>41</v>
      </c>
      <c r="H1725" s="23" t="s">
        <v>68</v>
      </c>
      <c r="I1725" t="s">
        <v>4484</v>
      </c>
      <c r="J1725" t="s">
        <v>22</v>
      </c>
      <c r="K1725" s="22">
        <v>2</v>
      </c>
      <c r="L1725" s="1">
        <v>42655</v>
      </c>
      <c r="M1725" s="22">
        <f>Table10[[#This Row],[Ship Date]]-Table10[[#This Row],[Order Date]]</f>
        <v>2</v>
      </c>
      <c r="N1725" t="s">
        <v>169</v>
      </c>
      <c r="O1725" t="s">
        <v>23</v>
      </c>
      <c r="P1725" t="s">
        <v>94</v>
      </c>
      <c r="Q1725" t="s">
        <v>95</v>
      </c>
      <c r="R1725" t="s">
        <v>2898</v>
      </c>
      <c r="S1725" s="33">
        <v>0.8</v>
      </c>
      <c r="T1725" s="13">
        <v>16.391999999999999</v>
      </c>
      <c r="U1725" s="13">
        <v>-26.2272</v>
      </c>
      <c r="V1725" s="21">
        <f>Table10[[#This Row],[Profit]]/Table10[[#This Row],[Sales]]</f>
        <v>-1.6</v>
      </c>
    </row>
    <row r="1726" spans="1:22" x14ac:dyDescent="0.2">
      <c r="A1726">
        <v>1725</v>
      </c>
      <c r="B1726" t="s">
        <v>10030</v>
      </c>
      <c r="C1726" s="1">
        <v>42654</v>
      </c>
      <c r="D1726" s="22">
        <f>MONTH(Table10[[#This Row],[Order Date]])</f>
        <v>10</v>
      </c>
      <c r="E1726" t="s">
        <v>5201</v>
      </c>
      <c r="F1726" t="s">
        <v>5202</v>
      </c>
      <c r="G1726" s="23" t="s">
        <v>41</v>
      </c>
      <c r="H1726" s="23" t="s">
        <v>61</v>
      </c>
      <c r="I1726" t="s">
        <v>1617</v>
      </c>
      <c r="J1726" t="s">
        <v>22</v>
      </c>
      <c r="K1726" s="22">
        <v>2</v>
      </c>
      <c r="L1726" s="1">
        <v>42658</v>
      </c>
      <c r="M1726" s="22">
        <f>Table10[[#This Row],[Ship Date]]-Table10[[#This Row],[Order Date]]</f>
        <v>4</v>
      </c>
      <c r="N1726" t="s">
        <v>45</v>
      </c>
      <c r="O1726" t="s">
        <v>23</v>
      </c>
      <c r="P1726" t="s">
        <v>189</v>
      </c>
      <c r="Q1726" t="s">
        <v>95</v>
      </c>
      <c r="R1726" t="s">
        <v>271</v>
      </c>
      <c r="S1726" s="33">
        <v>0.2</v>
      </c>
      <c r="T1726" s="13">
        <v>5.3440000000000003</v>
      </c>
      <c r="U1726" s="13">
        <v>0.66800000000000004</v>
      </c>
      <c r="V1726" s="21">
        <f>Table10[[#This Row],[Profit]]/Table10[[#This Row],[Sales]]</f>
        <v>0.125</v>
      </c>
    </row>
    <row r="1727" spans="1:22" x14ac:dyDescent="0.2">
      <c r="A1727">
        <v>1726</v>
      </c>
      <c r="B1727" t="s">
        <v>10030</v>
      </c>
      <c r="C1727" s="1">
        <v>42654</v>
      </c>
      <c r="D1727" s="22">
        <f>MONTH(Table10[[#This Row],[Order Date]])</f>
        <v>10</v>
      </c>
      <c r="E1727" t="s">
        <v>4168</v>
      </c>
      <c r="F1727" t="s">
        <v>4169</v>
      </c>
      <c r="G1727" s="23" t="s">
        <v>41</v>
      </c>
      <c r="H1727" s="23" t="s">
        <v>61</v>
      </c>
      <c r="I1727" t="s">
        <v>1617</v>
      </c>
      <c r="J1727" t="s">
        <v>22</v>
      </c>
      <c r="K1727" s="22">
        <v>3</v>
      </c>
      <c r="L1727" s="1">
        <v>42658</v>
      </c>
      <c r="M1727" s="22">
        <f>Table10[[#This Row],[Ship Date]]-Table10[[#This Row],[Order Date]]</f>
        <v>4</v>
      </c>
      <c r="N1727" t="s">
        <v>45</v>
      </c>
      <c r="O1727" t="s">
        <v>23</v>
      </c>
      <c r="P1727" t="s">
        <v>189</v>
      </c>
      <c r="Q1727" t="s">
        <v>95</v>
      </c>
      <c r="R1727" t="s">
        <v>271</v>
      </c>
      <c r="S1727" s="33">
        <v>0.2</v>
      </c>
      <c r="T1727" s="13">
        <v>27.72</v>
      </c>
      <c r="U1727" s="13">
        <v>3.4649999999999999</v>
      </c>
      <c r="V1727" s="21">
        <f>Table10[[#This Row],[Profit]]/Table10[[#This Row],[Sales]]</f>
        <v>0.125</v>
      </c>
    </row>
    <row r="1728" spans="1:22" x14ac:dyDescent="0.2">
      <c r="A1728">
        <v>1727</v>
      </c>
      <c r="B1728" t="s">
        <v>499</v>
      </c>
      <c r="C1728" s="1">
        <v>42656</v>
      </c>
      <c r="D1728" s="22">
        <f>MONTH(Table10[[#This Row],[Order Date]])</f>
        <v>10</v>
      </c>
      <c r="E1728" t="s">
        <v>502</v>
      </c>
      <c r="F1728" t="s">
        <v>503</v>
      </c>
      <c r="G1728" s="23" t="s">
        <v>41</v>
      </c>
      <c r="H1728" s="23" t="s">
        <v>82</v>
      </c>
      <c r="I1728" t="s">
        <v>500</v>
      </c>
      <c r="J1728" t="s">
        <v>22</v>
      </c>
      <c r="K1728" s="22">
        <v>3</v>
      </c>
      <c r="L1728" s="1">
        <v>42662</v>
      </c>
      <c r="M1728" s="22">
        <f>Table10[[#This Row],[Ship Date]]-Table10[[#This Row],[Order Date]]</f>
        <v>6</v>
      </c>
      <c r="N1728" t="s">
        <v>45</v>
      </c>
      <c r="O1728" t="s">
        <v>23</v>
      </c>
      <c r="P1728" t="s">
        <v>38</v>
      </c>
      <c r="Q1728" t="s">
        <v>39</v>
      </c>
      <c r="R1728" t="s">
        <v>501</v>
      </c>
      <c r="S1728" s="33">
        <v>0</v>
      </c>
      <c r="T1728" s="13">
        <v>20.04</v>
      </c>
      <c r="U1728" s="13">
        <v>9.6191999999999993</v>
      </c>
      <c r="V1728" s="21">
        <f>Table10[[#This Row],[Profit]]/Table10[[#This Row],[Sales]]</f>
        <v>0.48</v>
      </c>
    </row>
    <row r="1729" spans="1:22" x14ac:dyDescent="0.2">
      <c r="A1729">
        <v>1728</v>
      </c>
      <c r="B1729" t="s">
        <v>499</v>
      </c>
      <c r="C1729" s="1">
        <v>42656</v>
      </c>
      <c r="D1729" s="22">
        <f>MONTH(Table10[[#This Row],[Order Date]])</f>
        <v>10</v>
      </c>
      <c r="E1729" t="s">
        <v>504</v>
      </c>
      <c r="F1729" t="s">
        <v>505</v>
      </c>
      <c r="G1729" s="23" t="s">
        <v>41</v>
      </c>
      <c r="H1729" s="23" t="s">
        <v>82</v>
      </c>
      <c r="I1729" t="s">
        <v>500</v>
      </c>
      <c r="J1729" t="s">
        <v>22</v>
      </c>
      <c r="K1729" s="22">
        <v>1</v>
      </c>
      <c r="L1729" s="1">
        <v>42662</v>
      </c>
      <c r="M1729" s="22">
        <f>Table10[[#This Row],[Ship Date]]-Table10[[#This Row],[Order Date]]</f>
        <v>6</v>
      </c>
      <c r="N1729" t="s">
        <v>45</v>
      </c>
      <c r="O1729" t="s">
        <v>23</v>
      </c>
      <c r="P1729" t="s">
        <v>38</v>
      </c>
      <c r="Q1729" t="s">
        <v>39</v>
      </c>
      <c r="R1729" t="s">
        <v>501</v>
      </c>
      <c r="S1729" s="33">
        <v>0</v>
      </c>
      <c r="T1729" s="13">
        <v>35.44</v>
      </c>
      <c r="U1729" s="13">
        <v>16.6568</v>
      </c>
      <c r="V1729" s="21">
        <f>Table10[[#This Row],[Profit]]/Table10[[#This Row],[Sales]]</f>
        <v>0.47000000000000003</v>
      </c>
    </row>
    <row r="1730" spans="1:22" x14ac:dyDescent="0.2">
      <c r="A1730">
        <v>1729</v>
      </c>
      <c r="B1730" t="s">
        <v>499</v>
      </c>
      <c r="C1730" s="1">
        <v>42656</v>
      </c>
      <c r="D1730" s="22">
        <f>MONTH(Table10[[#This Row],[Order Date]])</f>
        <v>10</v>
      </c>
      <c r="E1730" t="s">
        <v>506</v>
      </c>
      <c r="F1730" t="s">
        <v>507</v>
      </c>
      <c r="G1730" s="23" t="s">
        <v>41</v>
      </c>
      <c r="H1730" s="23" t="s">
        <v>61</v>
      </c>
      <c r="I1730" t="s">
        <v>500</v>
      </c>
      <c r="J1730" t="s">
        <v>22</v>
      </c>
      <c r="K1730" s="22">
        <v>4</v>
      </c>
      <c r="L1730" s="1">
        <v>42662</v>
      </c>
      <c r="M1730" s="22">
        <f>Table10[[#This Row],[Ship Date]]-Table10[[#This Row],[Order Date]]</f>
        <v>6</v>
      </c>
      <c r="N1730" t="s">
        <v>45</v>
      </c>
      <c r="O1730" t="s">
        <v>23</v>
      </c>
      <c r="P1730" t="s">
        <v>38</v>
      </c>
      <c r="Q1730" t="s">
        <v>39</v>
      </c>
      <c r="R1730" t="s">
        <v>501</v>
      </c>
      <c r="S1730" s="33">
        <v>0</v>
      </c>
      <c r="T1730" s="13">
        <v>11.52</v>
      </c>
      <c r="U1730" s="13">
        <v>3.456</v>
      </c>
      <c r="V1730" s="21">
        <f>Table10[[#This Row],[Profit]]/Table10[[#This Row],[Sales]]</f>
        <v>0.3</v>
      </c>
    </row>
    <row r="1731" spans="1:22" x14ac:dyDescent="0.2">
      <c r="A1731">
        <v>1730</v>
      </c>
      <c r="B1731" t="s">
        <v>499</v>
      </c>
      <c r="C1731" s="1">
        <v>42656</v>
      </c>
      <c r="D1731" s="22">
        <f>MONTH(Table10[[#This Row],[Order Date]])</f>
        <v>10</v>
      </c>
      <c r="E1731" t="s">
        <v>508</v>
      </c>
      <c r="F1731" t="s">
        <v>509</v>
      </c>
      <c r="G1731" s="23" t="s">
        <v>41</v>
      </c>
      <c r="H1731" s="23" t="s">
        <v>240</v>
      </c>
      <c r="I1731" t="s">
        <v>500</v>
      </c>
      <c r="J1731" t="s">
        <v>22</v>
      </c>
      <c r="K1731" s="22">
        <v>2</v>
      </c>
      <c r="L1731" s="1">
        <v>42662</v>
      </c>
      <c r="M1731" s="22">
        <f>Table10[[#This Row],[Ship Date]]-Table10[[#This Row],[Order Date]]</f>
        <v>6</v>
      </c>
      <c r="N1731" t="s">
        <v>45</v>
      </c>
      <c r="O1731" t="s">
        <v>23</v>
      </c>
      <c r="P1731" t="s">
        <v>38</v>
      </c>
      <c r="Q1731" t="s">
        <v>39</v>
      </c>
      <c r="R1731" t="s">
        <v>501</v>
      </c>
      <c r="S1731" s="33">
        <v>0</v>
      </c>
      <c r="T1731" s="13">
        <v>4.0199999999999996</v>
      </c>
      <c r="U1731" s="13">
        <v>1.9698</v>
      </c>
      <c r="V1731" s="21">
        <f>Table10[[#This Row],[Profit]]/Table10[[#This Row],[Sales]]</f>
        <v>0.49000000000000005</v>
      </c>
    </row>
    <row r="1732" spans="1:22" x14ac:dyDescent="0.2">
      <c r="A1732">
        <v>1731</v>
      </c>
      <c r="B1732" t="s">
        <v>499</v>
      </c>
      <c r="C1732" s="1">
        <v>42656</v>
      </c>
      <c r="D1732" s="22">
        <f>MONTH(Table10[[#This Row],[Order Date]])</f>
        <v>10</v>
      </c>
      <c r="E1732" t="s">
        <v>510</v>
      </c>
      <c r="F1732" t="s">
        <v>511</v>
      </c>
      <c r="G1732" s="23" t="s">
        <v>41</v>
      </c>
      <c r="H1732" s="23" t="s">
        <v>68</v>
      </c>
      <c r="I1732" t="s">
        <v>500</v>
      </c>
      <c r="J1732" t="s">
        <v>22</v>
      </c>
      <c r="K1732" s="22">
        <v>3</v>
      </c>
      <c r="L1732" s="1">
        <v>42662</v>
      </c>
      <c r="M1732" s="22">
        <f>Table10[[#This Row],[Ship Date]]-Table10[[#This Row],[Order Date]]</f>
        <v>6</v>
      </c>
      <c r="N1732" t="s">
        <v>45</v>
      </c>
      <c r="O1732" t="s">
        <v>23</v>
      </c>
      <c r="P1732" t="s">
        <v>38</v>
      </c>
      <c r="Q1732" t="s">
        <v>39</v>
      </c>
      <c r="R1732" t="s">
        <v>501</v>
      </c>
      <c r="S1732" s="33">
        <v>0.2</v>
      </c>
      <c r="T1732" s="13">
        <v>76.176000000000002</v>
      </c>
      <c r="U1732" s="13">
        <v>26.6616</v>
      </c>
      <c r="V1732" s="21">
        <f>Table10[[#This Row],[Profit]]/Table10[[#This Row],[Sales]]</f>
        <v>0.35</v>
      </c>
    </row>
    <row r="1733" spans="1:22" x14ac:dyDescent="0.2">
      <c r="A1733">
        <v>1732</v>
      </c>
      <c r="B1733" t="s">
        <v>499</v>
      </c>
      <c r="C1733" s="1">
        <v>42656</v>
      </c>
      <c r="D1733" s="22">
        <f>MONTH(Table10[[#This Row],[Order Date]])</f>
        <v>10</v>
      </c>
      <c r="E1733" t="s">
        <v>512</v>
      </c>
      <c r="F1733" t="s">
        <v>514</v>
      </c>
      <c r="G1733" s="23" t="s">
        <v>41</v>
      </c>
      <c r="H1733" s="23" t="s">
        <v>513</v>
      </c>
      <c r="I1733" t="s">
        <v>500</v>
      </c>
      <c r="J1733" t="s">
        <v>22</v>
      </c>
      <c r="K1733" s="22">
        <v>6</v>
      </c>
      <c r="L1733" s="1">
        <v>42662</v>
      </c>
      <c r="M1733" s="22">
        <f>Table10[[#This Row],[Ship Date]]-Table10[[#This Row],[Order Date]]</f>
        <v>6</v>
      </c>
      <c r="N1733" t="s">
        <v>45</v>
      </c>
      <c r="O1733" t="s">
        <v>23</v>
      </c>
      <c r="P1733" t="s">
        <v>38</v>
      </c>
      <c r="Q1733" t="s">
        <v>39</v>
      </c>
      <c r="R1733" t="s">
        <v>501</v>
      </c>
      <c r="S1733" s="33">
        <v>0</v>
      </c>
      <c r="T1733" s="13">
        <v>65.88</v>
      </c>
      <c r="U1733" s="13">
        <v>18.446400000000001</v>
      </c>
      <c r="V1733" s="21">
        <f>Table10[[#This Row],[Profit]]/Table10[[#This Row],[Sales]]</f>
        <v>0.28000000000000003</v>
      </c>
    </row>
    <row r="1734" spans="1:22" x14ac:dyDescent="0.2">
      <c r="A1734">
        <v>1733</v>
      </c>
      <c r="B1734" t="s">
        <v>499</v>
      </c>
      <c r="C1734" s="1">
        <v>42656</v>
      </c>
      <c r="D1734" s="22">
        <f>MONTH(Table10[[#This Row],[Order Date]])</f>
        <v>10</v>
      </c>
      <c r="E1734" t="s">
        <v>231</v>
      </c>
      <c r="F1734" t="s">
        <v>232</v>
      </c>
      <c r="G1734" s="23" t="s">
        <v>28</v>
      </c>
      <c r="H1734" s="23" t="s">
        <v>58</v>
      </c>
      <c r="I1734" t="s">
        <v>500</v>
      </c>
      <c r="J1734" t="s">
        <v>22</v>
      </c>
      <c r="K1734" s="22">
        <v>14</v>
      </c>
      <c r="L1734" s="1">
        <v>42662</v>
      </c>
      <c r="M1734" s="22">
        <f>Table10[[#This Row],[Ship Date]]-Table10[[#This Row],[Order Date]]</f>
        <v>6</v>
      </c>
      <c r="N1734" t="s">
        <v>45</v>
      </c>
      <c r="O1734" t="s">
        <v>23</v>
      </c>
      <c r="P1734" t="s">
        <v>38</v>
      </c>
      <c r="Q1734" t="s">
        <v>39</v>
      </c>
      <c r="R1734" t="s">
        <v>501</v>
      </c>
      <c r="S1734" s="33">
        <v>0</v>
      </c>
      <c r="T1734" s="13">
        <v>43.12</v>
      </c>
      <c r="U1734" s="13">
        <v>20.697600000000001</v>
      </c>
      <c r="V1734" s="21">
        <f>Table10[[#This Row],[Profit]]/Table10[[#This Row],[Sales]]</f>
        <v>0.48000000000000004</v>
      </c>
    </row>
    <row r="1735" spans="1:22" x14ac:dyDescent="0.2">
      <c r="A1735">
        <v>1734</v>
      </c>
      <c r="B1735" t="s">
        <v>4113</v>
      </c>
      <c r="C1735" s="1">
        <v>42656</v>
      </c>
      <c r="D1735" s="22">
        <f>MONTH(Table10[[#This Row],[Order Date]])</f>
        <v>10</v>
      </c>
      <c r="E1735" t="s">
        <v>1083</v>
      </c>
      <c r="F1735" t="s">
        <v>1084</v>
      </c>
      <c r="G1735" s="23" t="s">
        <v>28</v>
      </c>
      <c r="H1735" s="23" t="s">
        <v>50</v>
      </c>
      <c r="I1735" t="s">
        <v>4114</v>
      </c>
      <c r="J1735" t="s">
        <v>36</v>
      </c>
      <c r="K1735" s="22">
        <v>5</v>
      </c>
      <c r="L1735" s="1">
        <v>42660</v>
      </c>
      <c r="M1735" s="22">
        <f>Table10[[#This Row],[Ship Date]]-Table10[[#This Row],[Order Date]]</f>
        <v>4</v>
      </c>
      <c r="N1735" t="s">
        <v>45</v>
      </c>
      <c r="O1735" t="s">
        <v>23</v>
      </c>
      <c r="P1735" t="s">
        <v>405</v>
      </c>
      <c r="Q1735" t="s">
        <v>39</v>
      </c>
      <c r="R1735" t="s">
        <v>404</v>
      </c>
      <c r="S1735" s="33">
        <v>0.5</v>
      </c>
      <c r="T1735" s="13">
        <v>727.45</v>
      </c>
      <c r="U1735" s="13">
        <v>-465.56799999999998</v>
      </c>
      <c r="V1735" s="21">
        <f>Table10[[#This Row],[Profit]]/Table10[[#This Row],[Sales]]</f>
        <v>-0.6399999999999999</v>
      </c>
    </row>
    <row r="1736" spans="1:22" x14ac:dyDescent="0.2">
      <c r="A1736">
        <v>1735</v>
      </c>
      <c r="B1736" t="s">
        <v>4113</v>
      </c>
      <c r="C1736" s="1">
        <v>42656</v>
      </c>
      <c r="D1736" s="22">
        <f>MONTH(Table10[[#This Row],[Order Date]])</f>
        <v>10</v>
      </c>
      <c r="E1736" t="s">
        <v>4115</v>
      </c>
      <c r="F1736" t="s">
        <v>4116</v>
      </c>
      <c r="G1736" s="23" t="s">
        <v>28</v>
      </c>
      <c r="H1736" s="23" t="s">
        <v>58</v>
      </c>
      <c r="I1736" t="s">
        <v>4114</v>
      </c>
      <c r="J1736" t="s">
        <v>36</v>
      </c>
      <c r="K1736" s="22">
        <v>3</v>
      </c>
      <c r="L1736" s="1">
        <v>42660</v>
      </c>
      <c r="M1736" s="22">
        <f>Table10[[#This Row],[Ship Date]]-Table10[[#This Row],[Order Date]]</f>
        <v>4</v>
      </c>
      <c r="N1736" t="s">
        <v>45</v>
      </c>
      <c r="O1736" t="s">
        <v>23</v>
      </c>
      <c r="P1736" t="s">
        <v>405</v>
      </c>
      <c r="Q1736" t="s">
        <v>39</v>
      </c>
      <c r="R1736" t="s">
        <v>404</v>
      </c>
      <c r="S1736" s="33">
        <v>0.2</v>
      </c>
      <c r="T1736" s="13">
        <v>24.96</v>
      </c>
      <c r="U1736" s="13">
        <v>4.3680000000000003</v>
      </c>
      <c r="V1736" s="21">
        <f>Table10[[#This Row],[Profit]]/Table10[[#This Row],[Sales]]</f>
        <v>0.17500000000000002</v>
      </c>
    </row>
    <row r="1737" spans="1:22" x14ac:dyDescent="0.2">
      <c r="A1737">
        <v>1736</v>
      </c>
      <c r="B1737" t="s">
        <v>4526</v>
      </c>
      <c r="C1737" s="1">
        <v>42656</v>
      </c>
      <c r="D1737" s="22">
        <f>MONTH(Table10[[#This Row],[Order Date]])</f>
        <v>10</v>
      </c>
      <c r="E1737" t="s">
        <v>2257</v>
      </c>
      <c r="F1737" t="s">
        <v>2258</v>
      </c>
      <c r="G1737" s="23" t="s">
        <v>64</v>
      </c>
      <c r="H1737" s="23" t="s">
        <v>144</v>
      </c>
      <c r="I1737" t="s">
        <v>532</v>
      </c>
      <c r="J1737" t="s">
        <v>22</v>
      </c>
      <c r="K1737" s="22">
        <v>3</v>
      </c>
      <c r="L1737" s="1">
        <v>42662</v>
      </c>
      <c r="M1737" s="22">
        <f>Table10[[#This Row],[Ship Date]]-Table10[[#This Row],[Order Date]]</f>
        <v>6</v>
      </c>
      <c r="N1737" t="s">
        <v>45</v>
      </c>
      <c r="O1737" t="s">
        <v>23</v>
      </c>
      <c r="P1737" t="s">
        <v>94</v>
      </c>
      <c r="Q1737" t="s">
        <v>95</v>
      </c>
      <c r="R1737" t="s">
        <v>1753</v>
      </c>
      <c r="S1737" s="33">
        <v>0.2</v>
      </c>
      <c r="T1737" s="13">
        <v>191.976</v>
      </c>
      <c r="U1737" s="13">
        <v>23.997</v>
      </c>
      <c r="V1737" s="21">
        <f>Table10[[#This Row],[Profit]]/Table10[[#This Row],[Sales]]</f>
        <v>0.125</v>
      </c>
    </row>
    <row r="1738" spans="1:22" x14ac:dyDescent="0.2">
      <c r="A1738">
        <v>1737</v>
      </c>
      <c r="B1738" t="s">
        <v>4526</v>
      </c>
      <c r="C1738" s="1">
        <v>42656</v>
      </c>
      <c r="D1738" s="22">
        <f>MONTH(Table10[[#This Row],[Order Date]])</f>
        <v>10</v>
      </c>
      <c r="E1738" t="s">
        <v>4527</v>
      </c>
      <c r="F1738" t="s">
        <v>4528</v>
      </c>
      <c r="G1738" s="23" t="s">
        <v>41</v>
      </c>
      <c r="H1738" s="23" t="s">
        <v>82</v>
      </c>
      <c r="I1738" t="s">
        <v>532</v>
      </c>
      <c r="J1738" t="s">
        <v>22</v>
      </c>
      <c r="K1738" s="22">
        <v>2</v>
      </c>
      <c r="L1738" s="1">
        <v>42662</v>
      </c>
      <c r="M1738" s="22">
        <f>Table10[[#This Row],[Ship Date]]-Table10[[#This Row],[Order Date]]</f>
        <v>6</v>
      </c>
      <c r="N1738" t="s">
        <v>45</v>
      </c>
      <c r="O1738" t="s">
        <v>23</v>
      </c>
      <c r="P1738" t="s">
        <v>94</v>
      </c>
      <c r="Q1738" t="s">
        <v>95</v>
      </c>
      <c r="R1738" t="s">
        <v>1753</v>
      </c>
      <c r="S1738" s="33">
        <v>0.2</v>
      </c>
      <c r="T1738" s="13">
        <v>8.2880000000000003</v>
      </c>
      <c r="U1738" s="13">
        <v>3.0044</v>
      </c>
      <c r="V1738" s="21">
        <f>Table10[[#This Row],[Profit]]/Table10[[#This Row],[Sales]]</f>
        <v>0.36249999999999999</v>
      </c>
    </row>
    <row r="1739" spans="1:22" x14ac:dyDescent="0.2">
      <c r="A1739">
        <v>1738</v>
      </c>
      <c r="B1739" t="s">
        <v>4526</v>
      </c>
      <c r="C1739" s="1">
        <v>42656</v>
      </c>
      <c r="D1739" s="22">
        <f>MONTH(Table10[[#This Row],[Order Date]])</f>
        <v>10</v>
      </c>
      <c r="E1739" t="s">
        <v>1994</v>
      </c>
      <c r="F1739" t="s">
        <v>1995</v>
      </c>
      <c r="G1739" s="23" t="s">
        <v>28</v>
      </c>
      <c r="H1739" s="23" t="s">
        <v>58</v>
      </c>
      <c r="I1739" t="s">
        <v>532</v>
      </c>
      <c r="J1739" t="s">
        <v>22</v>
      </c>
      <c r="K1739" s="22">
        <v>5</v>
      </c>
      <c r="L1739" s="1">
        <v>42662</v>
      </c>
      <c r="M1739" s="22">
        <f>Table10[[#This Row],[Ship Date]]-Table10[[#This Row],[Order Date]]</f>
        <v>6</v>
      </c>
      <c r="N1739" t="s">
        <v>45</v>
      </c>
      <c r="O1739" t="s">
        <v>23</v>
      </c>
      <c r="P1739" t="s">
        <v>94</v>
      </c>
      <c r="Q1739" t="s">
        <v>95</v>
      </c>
      <c r="R1739" t="s">
        <v>1753</v>
      </c>
      <c r="S1739" s="33">
        <v>0.6</v>
      </c>
      <c r="T1739" s="13">
        <v>139.91999999999999</v>
      </c>
      <c r="U1739" s="13">
        <v>-150.41399999999999</v>
      </c>
      <c r="V1739" s="21">
        <f>Table10[[#This Row],[Profit]]/Table10[[#This Row],[Sales]]</f>
        <v>-1.075</v>
      </c>
    </row>
    <row r="1740" spans="1:22" x14ac:dyDescent="0.2">
      <c r="A1740">
        <v>1739</v>
      </c>
      <c r="B1740" t="s">
        <v>4526</v>
      </c>
      <c r="C1740" s="1">
        <v>42656</v>
      </c>
      <c r="D1740" s="22">
        <f>MONTH(Table10[[#This Row],[Order Date]])</f>
        <v>10</v>
      </c>
      <c r="E1740" t="s">
        <v>4129</v>
      </c>
      <c r="F1740" t="s">
        <v>4130</v>
      </c>
      <c r="G1740" s="23" t="s">
        <v>41</v>
      </c>
      <c r="H1740" s="23" t="s">
        <v>61</v>
      </c>
      <c r="I1740" t="s">
        <v>532</v>
      </c>
      <c r="J1740" t="s">
        <v>22</v>
      </c>
      <c r="K1740" s="22">
        <v>1</v>
      </c>
      <c r="L1740" s="1">
        <v>42662</v>
      </c>
      <c r="M1740" s="22">
        <f>Table10[[#This Row],[Ship Date]]-Table10[[#This Row],[Order Date]]</f>
        <v>6</v>
      </c>
      <c r="N1740" t="s">
        <v>45</v>
      </c>
      <c r="O1740" t="s">
        <v>23</v>
      </c>
      <c r="P1740" t="s">
        <v>94</v>
      </c>
      <c r="Q1740" t="s">
        <v>95</v>
      </c>
      <c r="R1740" t="s">
        <v>1753</v>
      </c>
      <c r="S1740" s="33">
        <v>0.2</v>
      </c>
      <c r="T1740" s="13">
        <v>15.872</v>
      </c>
      <c r="U1740" s="13">
        <v>1.1903999999999999</v>
      </c>
      <c r="V1740" s="21">
        <f>Table10[[#This Row],[Profit]]/Table10[[#This Row],[Sales]]</f>
        <v>7.4999999999999997E-2</v>
      </c>
    </row>
    <row r="1741" spans="1:22" x14ac:dyDescent="0.2">
      <c r="A1741">
        <v>1740</v>
      </c>
      <c r="B1741" t="s">
        <v>4526</v>
      </c>
      <c r="C1741" s="1">
        <v>42656</v>
      </c>
      <c r="D1741" s="22">
        <f>MONTH(Table10[[#This Row],[Order Date]])</f>
        <v>10</v>
      </c>
      <c r="E1741" t="s">
        <v>1077</v>
      </c>
      <c r="F1741" t="s">
        <v>1078</v>
      </c>
      <c r="G1741" s="23" t="s">
        <v>41</v>
      </c>
      <c r="H1741" s="23" t="s">
        <v>68</v>
      </c>
      <c r="I1741" t="s">
        <v>532</v>
      </c>
      <c r="J1741" t="s">
        <v>22</v>
      </c>
      <c r="K1741" s="22">
        <v>7</v>
      </c>
      <c r="L1741" s="1">
        <v>42662</v>
      </c>
      <c r="M1741" s="22">
        <f>Table10[[#This Row],[Ship Date]]-Table10[[#This Row],[Order Date]]</f>
        <v>6</v>
      </c>
      <c r="N1741" t="s">
        <v>45</v>
      </c>
      <c r="O1741" t="s">
        <v>23</v>
      </c>
      <c r="P1741" t="s">
        <v>94</v>
      </c>
      <c r="Q1741" t="s">
        <v>95</v>
      </c>
      <c r="R1741" t="s">
        <v>1753</v>
      </c>
      <c r="S1741" s="33">
        <v>0.8</v>
      </c>
      <c r="T1741" s="13">
        <v>6.2859999999999996</v>
      </c>
      <c r="U1741" s="13">
        <v>-11.000500000000001</v>
      </c>
      <c r="V1741" s="21">
        <f>Table10[[#This Row],[Profit]]/Table10[[#This Row],[Sales]]</f>
        <v>-1.7500000000000002</v>
      </c>
    </row>
    <row r="1742" spans="1:22" x14ac:dyDescent="0.2">
      <c r="A1742">
        <v>1741</v>
      </c>
      <c r="B1742" t="s">
        <v>8129</v>
      </c>
      <c r="C1742" s="1">
        <v>42656</v>
      </c>
      <c r="D1742" s="22">
        <f>MONTH(Table10[[#This Row],[Order Date]])</f>
        <v>10</v>
      </c>
      <c r="E1742" t="s">
        <v>3167</v>
      </c>
      <c r="F1742" t="s">
        <v>3168</v>
      </c>
      <c r="G1742" s="23" t="s">
        <v>41</v>
      </c>
      <c r="H1742" s="23" t="s">
        <v>61</v>
      </c>
      <c r="I1742" t="s">
        <v>2241</v>
      </c>
      <c r="J1742" t="s">
        <v>36</v>
      </c>
      <c r="K1742" s="22">
        <v>5</v>
      </c>
      <c r="L1742" s="1">
        <v>42663</v>
      </c>
      <c r="M1742" s="22">
        <f>Table10[[#This Row],[Ship Date]]-Table10[[#This Row],[Order Date]]</f>
        <v>7</v>
      </c>
      <c r="N1742" t="s">
        <v>45</v>
      </c>
      <c r="O1742" t="s">
        <v>23</v>
      </c>
      <c r="P1742" t="s">
        <v>238</v>
      </c>
      <c r="Q1742" t="s">
        <v>133</v>
      </c>
      <c r="R1742" t="s">
        <v>237</v>
      </c>
      <c r="S1742" s="33">
        <v>0</v>
      </c>
      <c r="T1742" s="13">
        <v>34.700000000000003</v>
      </c>
      <c r="U1742" s="13">
        <v>12.492000000000001</v>
      </c>
      <c r="V1742" s="21">
        <f>Table10[[#This Row],[Profit]]/Table10[[#This Row],[Sales]]</f>
        <v>0.36</v>
      </c>
    </row>
    <row r="1743" spans="1:22" x14ac:dyDescent="0.2">
      <c r="A1743">
        <v>1742</v>
      </c>
      <c r="B1743" t="s">
        <v>8129</v>
      </c>
      <c r="C1743" s="1">
        <v>42656</v>
      </c>
      <c r="D1743" s="22">
        <f>MONTH(Table10[[#This Row],[Order Date]])</f>
        <v>10</v>
      </c>
      <c r="E1743" t="s">
        <v>4673</v>
      </c>
      <c r="F1743" t="s">
        <v>4674</v>
      </c>
      <c r="G1743" s="23" t="s">
        <v>41</v>
      </c>
      <c r="H1743" s="23" t="s">
        <v>53</v>
      </c>
      <c r="I1743" t="s">
        <v>2241</v>
      </c>
      <c r="J1743" t="s">
        <v>36</v>
      </c>
      <c r="K1743" s="22">
        <v>3</v>
      </c>
      <c r="L1743" s="1">
        <v>42663</v>
      </c>
      <c r="M1743" s="22">
        <f>Table10[[#This Row],[Ship Date]]-Table10[[#This Row],[Order Date]]</f>
        <v>7</v>
      </c>
      <c r="N1743" t="s">
        <v>45</v>
      </c>
      <c r="O1743" t="s">
        <v>23</v>
      </c>
      <c r="P1743" t="s">
        <v>238</v>
      </c>
      <c r="Q1743" t="s">
        <v>133</v>
      </c>
      <c r="R1743" t="s">
        <v>237</v>
      </c>
      <c r="S1743" s="33">
        <v>0</v>
      </c>
      <c r="T1743" s="13">
        <v>99.87</v>
      </c>
      <c r="U1743" s="13">
        <v>23.968800000000002</v>
      </c>
      <c r="V1743" s="21">
        <f>Table10[[#This Row],[Profit]]/Table10[[#This Row],[Sales]]</f>
        <v>0.24000000000000002</v>
      </c>
    </row>
    <row r="1744" spans="1:22" x14ac:dyDescent="0.2">
      <c r="A1744">
        <v>1743</v>
      </c>
      <c r="B1744" t="s">
        <v>8129</v>
      </c>
      <c r="C1744" s="1">
        <v>42656</v>
      </c>
      <c r="D1744" s="22">
        <f>MONTH(Table10[[#This Row],[Order Date]])</f>
        <v>10</v>
      </c>
      <c r="E1744" t="s">
        <v>4407</v>
      </c>
      <c r="F1744" t="s">
        <v>4408</v>
      </c>
      <c r="G1744" s="23" t="s">
        <v>41</v>
      </c>
      <c r="H1744" s="23" t="s">
        <v>82</v>
      </c>
      <c r="I1744" t="s">
        <v>2241</v>
      </c>
      <c r="J1744" t="s">
        <v>36</v>
      </c>
      <c r="K1744" s="22">
        <v>2</v>
      </c>
      <c r="L1744" s="1">
        <v>42663</v>
      </c>
      <c r="M1744" s="22">
        <f>Table10[[#This Row],[Ship Date]]-Table10[[#This Row],[Order Date]]</f>
        <v>7</v>
      </c>
      <c r="N1744" t="s">
        <v>45</v>
      </c>
      <c r="O1744" t="s">
        <v>23</v>
      </c>
      <c r="P1744" t="s">
        <v>238</v>
      </c>
      <c r="Q1744" t="s">
        <v>133</v>
      </c>
      <c r="R1744" t="s">
        <v>237</v>
      </c>
      <c r="S1744" s="33">
        <v>0</v>
      </c>
      <c r="T1744" s="13">
        <v>37.94</v>
      </c>
      <c r="U1744" s="13">
        <v>18.211200000000002</v>
      </c>
      <c r="V1744" s="21">
        <f>Table10[[#This Row],[Profit]]/Table10[[#This Row],[Sales]]</f>
        <v>0.48000000000000009</v>
      </c>
    </row>
    <row r="1745" spans="1:22" x14ac:dyDescent="0.2">
      <c r="A1745">
        <v>1744</v>
      </c>
      <c r="B1745" t="s">
        <v>8129</v>
      </c>
      <c r="C1745" s="1">
        <v>42656</v>
      </c>
      <c r="D1745" s="22">
        <f>MONTH(Table10[[#This Row],[Order Date]])</f>
        <v>10</v>
      </c>
      <c r="E1745" t="s">
        <v>5736</v>
      </c>
      <c r="F1745" t="s">
        <v>5737</v>
      </c>
      <c r="G1745" s="23" t="s">
        <v>41</v>
      </c>
      <c r="H1745" s="23" t="s">
        <v>42</v>
      </c>
      <c r="I1745" t="s">
        <v>2241</v>
      </c>
      <c r="J1745" t="s">
        <v>36</v>
      </c>
      <c r="K1745" s="22">
        <v>5</v>
      </c>
      <c r="L1745" s="1">
        <v>42663</v>
      </c>
      <c r="M1745" s="22">
        <f>Table10[[#This Row],[Ship Date]]-Table10[[#This Row],[Order Date]]</f>
        <v>7</v>
      </c>
      <c r="N1745" t="s">
        <v>45</v>
      </c>
      <c r="O1745" t="s">
        <v>23</v>
      </c>
      <c r="P1745" t="s">
        <v>238</v>
      </c>
      <c r="Q1745" t="s">
        <v>133</v>
      </c>
      <c r="R1745" t="s">
        <v>237</v>
      </c>
      <c r="S1745" s="33">
        <v>0</v>
      </c>
      <c r="T1745" s="13">
        <v>24.9</v>
      </c>
      <c r="U1745" s="13">
        <v>11.454000000000001</v>
      </c>
      <c r="V1745" s="21">
        <f>Table10[[#This Row],[Profit]]/Table10[[#This Row],[Sales]]</f>
        <v>0.46000000000000008</v>
      </c>
    </row>
    <row r="1746" spans="1:22" x14ac:dyDescent="0.2">
      <c r="A1746">
        <v>1745</v>
      </c>
      <c r="B1746" t="s">
        <v>8129</v>
      </c>
      <c r="C1746" s="1">
        <v>42656</v>
      </c>
      <c r="D1746" s="22">
        <f>MONTH(Table10[[#This Row],[Order Date]])</f>
        <v>10</v>
      </c>
      <c r="E1746" t="s">
        <v>3098</v>
      </c>
      <c r="F1746" t="s">
        <v>3099</v>
      </c>
      <c r="G1746" s="23" t="s">
        <v>28</v>
      </c>
      <c r="H1746" s="23" t="s">
        <v>58</v>
      </c>
      <c r="I1746" t="s">
        <v>2241</v>
      </c>
      <c r="J1746" t="s">
        <v>36</v>
      </c>
      <c r="K1746" s="22">
        <v>3</v>
      </c>
      <c r="L1746" s="1">
        <v>42663</v>
      </c>
      <c r="M1746" s="22">
        <f>Table10[[#This Row],[Ship Date]]-Table10[[#This Row],[Order Date]]</f>
        <v>7</v>
      </c>
      <c r="N1746" t="s">
        <v>45</v>
      </c>
      <c r="O1746" t="s">
        <v>23</v>
      </c>
      <c r="P1746" t="s">
        <v>238</v>
      </c>
      <c r="Q1746" t="s">
        <v>133</v>
      </c>
      <c r="R1746" t="s">
        <v>237</v>
      </c>
      <c r="S1746" s="33">
        <v>0</v>
      </c>
      <c r="T1746" s="13">
        <v>82.26</v>
      </c>
      <c r="U1746" s="13">
        <v>33.726599999999998</v>
      </c>
      <c r="V1746" s="21">
        <f>Table10[[#This Row],[Profit]]/Table10[[#This Row],[Sales]]</f>
        <v>0.40999999999999992</v>
      </c>
    </row>
    <row r="1747" spans="1:22" x14ac:dyDescent="0.2">
      <c r="A1747">
        <v>1746</v>
      </c>
      <c r="B1747" t="s">
        <v>3515</v>
      </c>
      <c r="C1747" s="1">
        <v>42657</v>
      </c>
      <c r="D1747" s="22">
        <f>MONTH(Table10[[#This Row],[Order Date]])</f>
        <v>10</v>
      </c>
      <c r="E1747" t="s">
        <v>3516</v>
      </c>
      <c r="F1747" t="s">
        <v>3517</v>
      </c>
      <c r="G1747" s="23" t="s">
        <v>64</v>
      </c>
      <c r="H1747" s="23" t="s">
        <v>144</v>
      </c>
      <c r="I1747" t="s">
        <v>2118</v>
      </c>
      <c r="J1747" t="s">
        <v>36</v>
      </c>
      <c r="K1747" s="22">
        <v>3</v>
      </c>
      <c r="L1747" s="1">
        <v>42661</v>
      </c>
      <c r="M1747" s="22">
        <f>Table10[[#This Row],[Ship Date]]-Table10[[#This Row],[Order Date]]</f>
        <v>4</v>
      </c>
      <c r="N1747" t="s">
        <v>45</v>
      </c>
      <c r="O1747" t="s">
        <v>23</v>
      </c>
      <c r="P1747" t="s">
        <v>87</v>
      </c>
      <c r="Q1747" t="s">
        <v>39</v>
      </c>
      <c r="R1747" t="s">
        <v>86</v>
      </c>
      <c r="S1747" s="33">
        <v>0</v>
      </c>
      <c r="T1747" s="13">
        <v>177</v>
      </c>
      <c r="U1747" s="13">
        <v>30.09</v>
      </c>
      <c r="V1747" s="21">
        <f>Table10[[#This Row],[Profit]]/Table10[[#This Row],[Sales]]</f>
        <v>0.17</v>
      </c>
    </row>
    <row r="1748" spans="1:22" x14ac:dyDescent="0.2">
      <c r="A1748">
        <v>1747</v>
      </c>
      <c r="B1748" t="s">
        <v>6235</v>
      </c>
      <c r="C1748" s="1">
        <v>42657</v>
      </c>
      <c r="D1748" s="22">
        <f>MONTH(Table10[[#This Row],[Order Date]])</f>
        <v>10</v>
      </c>
      <c r="E1748" t="s">
        <v>6237</v>
      </c>
      <c r="F1748" t="s">
        <v>6238</v>
      </c>
      <c r="G1748" s="23" t="s">
        <v>28</v>
      </c>
      <c r="H1748" s="23" t="s">
        <v>32</v>
      </c>
      <c r="I1748" t="s">
        <v>6236</v>
      </c>
      <c r="J1748" t="s">
        <v>22</v>
      </c>
      <c r="K1748" s="22">
        <v>1</v>
      </c>
      <c r="L1748" s="1">
        <v>42663</v>
      </c>
      <c r="M1748" s="22">
        <f>Table10[[#This Row],[Ship Date]]-Table10[[#This Row],[Order Date]]</f>
        <v>6</v>
      </c>
      <c r="N1748" t="s">
        <v>45</v>
      </c>
      <c r="O1748" t="s">
        <v>23</v>
      </c>
      <c r="P1748" t="s">
        <v>80</v>
      </c>
      <c r="Q1748" t="s">
        <v>26</v>
      </c>
      <c r="R1748" t="s">
        <v>1345</v>
      </c>
      <c r="S1748" s="33">
        <v>0.2</v>
      </c>
      <c r="T1748" s="13">
        <v>102.592</v>
      </c>
      <c r="U1748" s="13">
        <v>10.2592</v>
      </c>
      <c r="V1748" s="21">
        <f>Table10[[#This Row],[Profit]]/Table10[[#This Row],[Sales]]</f>
        <v>0.1</v>
      </c>
    </row>
    <row r="1749" spans="1:22" x14ac:dyDescent="0.2">
      <c r="A1749">
        <v>1748</v>
      </c>
      <c r="B1749" t="s">
        <v>6235</v>
      </c>
      <c r="C1749" s="1">
        <v>42657</v>
      </c>
      <c r="D1749" s="22">
        <f>MONTH(Table10[[#This Row],[Order Date]])</f>
        <v>10</v>
      </c>
      <c r="E1749" t="s">
        <v>2479</v>
      </c>
      <c r="F1749" t="s">
        <v>2480</v>
      </c>
      <c r="G1749" s="23" t="s">
        <v>64</v>
      </c>
      <c r="H1749" s="23" t="s">
        <v>144</v>
      </c>
      <c r="I1749" t="s">
        <v>6236</v>
      </c>
      <c r="J1749" t="s">
        <v>22</v>
      </c>
      <c r="K1749" s="22">
        <v>1</v>
      </c>
      <c r="L1749" s="1">
        <v>42663</v>
      </c>
      <c r="M1749" s="22">
        <f>Table10[[#This Row],[Ship Date]]-Table10[[#This Row],[Order Date]]</f>
        <v>6</v>
      </c>
      <c r="N1749" t="s">
        <v>45</v>
      </c>
      <c r="O1749" t="s">
        <v>23</v>
      </c>
      <c r="P1749" t="s">
        <v>80</v>
      </c>
      <c r="Q1749" t="s">
        <v>26</v>
      </c>
      <c r="R1749" t="s">
        <v>1345</v>
      </c>
      <c r="S1749" s="33">
        <v>0.2</v>
      </c>
      <c r="T1749" s="13">
        <v>22.704000000000001</v>
      </c>
      <c r="U1749" s="13">
        <v>5.9598000000000004</v>
      </c>
      <c r="V1749" s="21">
        <f>Table10[[#This Row],[Profit]]/Table10[[#This Row],[Sales]]</f>
        <v>0.26250000000000001</v>
      </c>
    </row>
    <row r="1750" spans="1:22" x14ac:dyDescent="0.2">
      <c r="A1750">
        <v>1749</v>
      </c>
      <c r="B1750" t="s">
        <v>6235</v>
      </c>
      <c r="C1750" s="1">
        <v>42657</v>
      </c>
      <c r="D1750" s="22">
        <f>MONTH(Table10[[#This Row],[Order Date]])</f>
        <v>10</v>
      </c>
      <c r="E1750" t="s">
        <v>5204</v>
      </c>
      <c r="F1750" t="s">
        <v>5205</v>
      </c>
      <c r="G1750" s="23" t="s">
        <v>41</v>
      </c>
      <c r="H1750" s="23" t="s">
        <v>82</v>
      </c>
      <c r="I1750" t="s">
        <v>6236</v>
      </c>
      <c r="J1750" t="s">
        <v>22</v>
      </c>
      <c r="K1750" s="22">
        <v>3</v>
      </c>
      <c r="L1750" s="1">
        <v>42663</v>
      </c>
      <c r="M1750" s="22">
        <f>Table10[[#This Row],[Ship Date]]-Table10[[#This Row],[Order Date]]</f>
        <v>6</v>
      </c>
      <c r="N1750" t="s">
        <v>45</v>
      </c>
      <c r="O1750" t="s">
        <v>23</v>
      </c>
      <c r="P1750" t="s">
        <v>80</v>
      </c>
      <c r="Q1750" t="s">
        <v>26</v>
      </c>
      <c r="R1750" t="s">
        <v>1345</v>
      </c>
      <c r="S1750" s="33">
        <v>0.2</v>
      </c>
      <c r="T1750" s="13">
        <v>93.024000000000001</v>
      </c>
      <c r="U1750" s="13">
        <v>33.721200000000003</v>
      </c>
      <c r="V1750" s="21">
        <f>Table10[[#This Row],[Profit]]/Table10[[#This Row],[Sales]]</f>
        <v>0.36250000000000004</v>
      </c>
    </row>
    <row r="1751" spans="1:22" x14ac:dyDescent="0.2">
      <c r="A1751">
        <v>1750</v>
      </c>
      <c r="B1751" t="s">
        <v>6235</v>
      </c>
      <c r="C1751" s="1">
        <v>42657</v>
      </c>
      <c r="D1751" s="22">
        <f>MONTH(Table10[[#This Row],[Order Date]])</f>
        <v>10</v>
      </c>
      <c r="E1751" t="s">
        <v>5391</v>
      </c>
      <c r="F1751" t="s">
        <v>1147</v>
      </c>
      <c r="G1751" s="23" t="s">
        <v>41</v>
      </c>
      <c r="H1751" s="23" t="s">
        <v>513</v>
      </c>
      <c r="I1751" t="s">
        <v>6236</v>
      </c>
      <c r="J1751" t="s">
        <v>22</v>
      </c>
      <c r="K1751" s="22">
        <v>2</v>
      </c>
      <c r="L1751" s="1">
        <v>42663</v>
      </c>
      <c r="M1751" s="22">
        <f>Table10[[#This Row],[Ship Date]]-Table10[[#This Row],[Order Date]]</f>
        <v>6</v>
      </c>
      <c r="N1751" t="s">
        <v>45</v>
      </c>
      <c r="O1751" t="s">
        <v>23</v>
      </c>
      <c r="P1751" t="s">
        <v>80</v>
      </c>
      <c r="Q1751" t="s">
        <v>26</v>
      </c>
      <c r="R1751" t="s">
        <v>1345</v>
      </c>
      <c r="S1751" s="33">
        <v>0.2</v>
      </c>
      <c r="T1751" s="13">
        <v>12.768000000000001</v>
      </c>
      <c r="U1751" s="13">
        <v>1.4363999999999999</v>
      </c>
      <c r="V1751" s="21">
        <f>Table10[[#This Row],[Profit]]/Table10[[#This Row],[Sales]]</f>
        <v>0.11249999999999999</v>
      </c>
    </row>
    <row r="1752" spans="1:22" x14ac:dyDescent="0.2">
      <c r="A1752">
        <v>1751</v>
      </c>
      <c r="B1752" t="s">
        <v>6235</v>
      </c>
      <c r="C1752" s="1">
        <v>42657</v>
      </c>
      <c r="D1752" s="22">
        <f>MONTH(Table10[[#This Row],[Order Date]])</f>
        <v>10</v>
      </c>
      <c r="E1752" t="s">
        <v>1596</v>
      </c>
      <c r="F1752" t="s">
        <v>1597</v>
      </c>
      <c r="G1752" s="23" t="s">
        <v>41</v>
      </c>
      <c r="H1752" s="23" t="s">
        <v>155</v>
      </c>
      <c r="I1752" t="s">
        <v>6236</v>
      </c>
      <c r="J1752" t="s">
        <v>22</v>
      </c>
      <c r="K1752" s="22">
        <v>4</v>
      </c>
      <c r="L1752" s="1">
        <v>42663</v>
      </c>
      <c r="M1752" s="22">
        <f>Table10[[#This Row],[Ship Date]]-Table10[[#This Row],[Order Date]]</f>
        <v>6</v>
      </c>
      <c r="N1752" t="s">
        <v>45</v>
      </c>
      <c r="O1752" t="s">
        <v>23</v>
      </c>
      <c r="P1752" t="s">
        <v>80</v>
      </c>
      <c r="Q1752" t="s">
        <v>26</v>
      </c>
      <c r="R1752" t="s">
        <v>1345</v>
      </c>
      <c r="S1752" s="33">
        <v>0.2</v>
      </c>
      <c r="T1752" s="13">
        <v>35.008000000000003</v>
      </c>
      <c r="U1752" s="13">
        <v>13.128</v>
      </c>
      <c r="V1752" s="21">
        <f>Table10[[#This Row],[Profit]]/Table10[[#This Row],[Sales]]</f>
        <v>0.375</v>
      </c>
    </row>
    <row r="1753" spans="1:22" x14ac:dyDescent="0.2">
      <c r="A1753">
        <v>1752</v>
      </c>
      <c r="B1753" t="s">
        <v>6235</v>
      </c>
      <c r="C1753" s="1">
        <v>42657</v>
      </c>
      <c r="D1753" s="22">
        <f>MONTH(Table10[[#This Row],[Order Date]])</f>
        <v>10</v>
      </c>
      <c r="E1753" t="s">
        <v>495</v>
      </c>
      <c r="F1753" t="s">
        <v>496</v>
      </c>
      <c r="G1753" s="23" t="s">
        <v>41</v>
      </c>
      <c r="H1753" s="23" t="s">
        <v>82</v>
      </c>
      <c r="I1753" t="s">
        <v>6236</v>
      </c>
      <c r="J1753" t="s">
        <v>22</v>
      </c>
      <c r="K1753" s="22">
        <v>1</v>
      </c>
      <c r="L1753" s="1">
        <v>42663</v>
      </c>
      <c r="M1753" s="22">
        <f>Table10[[#This Row],[Ship Date]]-Table10[[#This Row],[Order Date]]</f>
        <v>6</v>
      </c>
      <c r="N1753" t="s">
        <v>45</v>
      </c>
      <c r="O1753" t="s">
        <v>23</v>
      </c>
      <c r="P1753" t="s">
        <v>80</v>
      </c>
      <c r="Q1753" t="s">
        <v>26</v>
      </c>
      <c r="R1753" t="s">
        <v>1345</v>
      </c>
      <c r="S1753" s="33">
        <v>0.2</v>
      </c>
      <c r="T1753" s="13">
        <v>39.152000000000001</v>
      </c>
      <c r="U1753" s="13">
        <v>14.682</v>
      </c>
      <c r="V1753" s="21">
        <f>Table10[[#This Row],[Profit]]/Table10[[#This Row],[Sales]]</f>
        <v>0.375</v>
      </c>
    </row>
    <row r="1754" spans="1:22" x14ac:dyDescent="0.2">
      <c r="A1754">
        <v>1753</v>
      </c>
      <c r="B1754" t="s">
        <v>9880</v>
      </c>
      <c r="C1754" s="1">
        <v>42657</v>
      </c>
      <c r="D1754" s="22">
        <f>MONTH(Table10[[#This Row],[Order Date]])</f>
        <v>10</v>
      </c>
      <c r="E1754" t="s">
        <v>8419</v>
      </c>
      <c r="F1754" t="s">
        <v>8420</v>
      </c>
      <c r="G1754" s="23" t="s">
        <v>64</v>
      </c>
      <c r="H1754" s="23" t="s">
        <v>65</v>
      </c>
      <c r="I1754" t="s">
        <v>3427</v>
      </c>
      <c r="J1754" t="s">
        <v>36</v>
      </c>
      <c r="K1754" s="22">
        <v>7</v>
      </c>
      <c r="L1754" s="1">
        <v>42661</v>
      </c>
      <c r="M1754" s="22">
        <f>Table10[[#This Row],[Ship Date]]-Table10[[#This Row],[Order Date]]</f>
        <v>4</v>
      </c>
      <c r="N1754" t="s">
        <v>45</v>
      </c>
      <c r="O1754" t="s">
        <v>23</v>
      </c>
      <c r="P1754" t="s">
        <v>238</v>
      </c>
      <c r="Q1754" t="s">
        <v>133</v>
      </c>
      <c r="R1754" t="s">
        <v>237</v>
      </c>
      <c r="S1754" s="33">
        <v>0</v>
      </c>
      <c r="T1754" s="13">
        <v>1091.93</v>
      </c>
      <c r="U1754" s="13">
        <v>272.98250000000002</v>
      </c>
      <c r="V1754" s="21">
        <f>Table10[[#This Row],[Profit]]/Table10[[#This Row],[Sales]]</f>
        <v>0.25</v>
      </c>
    </row>
    <row r="1755" spans="1:22" x14ac:dyDescent="0.2">
      <c r="A1755">
        <v>1754</v>
      </c>
      <c r="B1755" t="s">
        <v>9880</v>
      </c>
      <c r="C1755" s="1">
        <v>42657</v>
      </c>
      <c r="D1755" s="22">
        <f>MONTH(Table10[[#This Row],[Order Date]])</f>
        <v>10</v>
      </c>
      <c r="E1755" t="s">
        <v>1106</v>
      </c>
      <c r="F1755" t="s">
        <v>1275</v>
      </c>
      <c r="G1755" s="23" t="s">
        <v>41</v>
      </c>
      <c r="H1755" s="23" t="s">
        <v>82</v>
      </c>
      <c r="I1755" t="s">
        <v>3427</v>
      </c>
      <c r="J1755" t="s">
        <v>36</v>
      </c>
      <c r="K1755" s="22">
        <v>2</v>
      </c>
      <c r="L1755" s="1">
        <v>42661</v>
      </c>
      <c r="M1755" s="22">
        <f>Table10[[#This Row],[Ship Date]]-Table10[[#This Row],[Order Date]]</f>
        <v>4</v>
      </c>
      <c r="N1755" t="s">
        <v>45</v>
      </c>
      <c r="O1755" t="s">
        <v>23</v>
      </c>
      <c r="P1755" t="s">
        <v>238</v>
      </c>
      <c r="Q1755" t="s">
        <v>133</v>
      </c>
      <c r="R1755" t="s">
        <v>237</v>
      </c>
      <c r="S1755" s="33">
        <v>0</v>
      </c>
      <c r="T1755" s="13">
        <v>111.96</v>
      </c>
      <c r="U1755" s="13">
        <v>54.860399999999998</v>
      </c>
      <c r="V1755" s="21">
        <f>Table10[[#This Row],[Profit]]/Table10[[#This Row],[Sales]]</f>
        <v>0.49</v>
      </c>
    </row>
    <row r="1756" spans="1:22" x14ac:dyDescent="0.2">
      <c r="A1756">
        <v>1755</v>
      </c>
      <c r="B1756" t="s">
        <v>9885</v>
      </c>
      <c r="C1756" s="1">
        <v>42657</v>
      </c>
      <c r="D1756" s="22">
        <f>MONTH(Table10[[#This Row],[Order Date]])</f>
        <v>10</v>
      </c>
      <c r="E1756" t="s">
        <v>2635</v>
      </c>
      <c r="F1756" t="s">
        <v>2636</v>
      </c>
      <c r="G1756" s="23" t="s">
        <v>64</v>
      </c>
      <c r="H1756" s="23" t="s">
        <v>144</v>
      </c>
      <c r="I1756" t="s">
        <v>5195</v>
      </c>
      <c r="J1756" t="s">
        <v>22</v>
      </c>
      <c r="K1756" s="22">
        <v>5</v>
      </c>
      <c r="L1756" s="1">
        <v>42662</v>
      </c>
      <c r="M1756" s="22">
        <f>Table10[[#This Row],[Ship Date]]-Table10[[#This Row],[Order Date]]</f>
        <v>5</v>
      </c>
      <c r="N1756" t="s">
        <v>45</v>
      </c>
      <c r="O1756" t="s">
        <v>23</v>
      </c>
      <c r="P1756" t="s">
        <v>103</v>
      </c>
      <c r="Q1756" t="s">
        <v>95</v>
      </c>
      <c r="R1756" t="s">
        <v>3630</v>
      </c>
      <c r="S1756" s="33">
        <v>0</v>
      </c>
      <c r="T1756" s="13">
        <v>1649.75</v>
      </c>
      <c r="U1756" s="13">
        <v>544.41750000000002</v>
      </c>
      <c r="V1756" s="21">
        <f>Table10[[#This Row],[Profit]]/Table10[[#This Row],[Sales]]</f>
        <v>0.33</v>
      </c>
    </row>
    <row r="1757" spans="1:22" x14ac:dyDescent="0.2">
      <c r="A1757">
        <v>1756</v>
      </c>
      <c r="B1757" t="s">
        <v>4539</v>
      </c>
      <c r="C1757" s="1">
        <v>42658</v>
      </c>
      <c r="D1757" s="22">
        <f>MONTH(Table10[[#This Row],[Order Date]])</f>
        <v>10</v>
      </c>
      <c r="E1757" t="s">
        <v>4542</v>
      </c>
      <c r="F1757" t="s">
        <v>4543</v>
      </c>
      <c r="G1757" s="23" t="s">
        <v>41</v>
      </c>
      <c r="H1757" s="23" t="s">
        <v>82</v>
      </c>
      <c r="I1757" t="s">
        <v>4540</v>
      </c>
      <c r="J1757" t="s">
        <v>92</v>
      </c>
      <c r="K1757" s="22">
        <v>2</v>
      </c>
      <c r="L1757" s="1">
        <v>42664</v>
      </c>
      <c r="M1757" s="22">
        <f>Table10[[#This Row],[Ship Date]]-Table10[[#This Row],[Order Date]]</f>
        <v>6</v>
      </c>
      <c r="N1757" t="s">
        <v>45</v>
      </c>
      <c r="O1757" t="s">
        <v>23</v>
      </c>
      <c r="P1757" t="s">
        <v>109</v>
      </c>
      <c r="Q1757" t="s">
        <v>39</v>
      </c>
      <c r="R1757" t="s">
        <v>4541</v>
      </c>
      <c r="S1757" s="33">
        <v>0</v>
      </c>
      <c r="T1757" s="13">
        <v>45.68</v>
      </c>
      <c r="U1757" s="13">
        <v>21.012799999999999</v>
      </c>
      <c r="V1757" s="21">
        <f>Table10[[#This Row],[Profit]]/Table10[[#This Row],[Sales]]</f>
        <v>0.45999999999999996</v>
      </c>
    </row>
    <row r="1758" spans="1:22" x14ac:dyDescent="0.2">
      <c r="A1758">
        <v>1757</v>
      </c>
      <c r="B1758" t="s">
        <v>4539</v>
      </c>
      <c r="C1758" s="1">
        <v>42658</v>
      </c>
      <c r="D1758" s="22">
        <f>MONTH(Table10[[#This Row],[Order Date]])</f>
        <v>10</v>
      </c>
      <c r="E1758" t="s">
        <v>3802</v>
      </c>
      <c r="F1758" t="s">
        <v>3803</v>
      </c>
      <c r="G1758" s="23" t="s">
        <v>41</v>
      </c>
      <c r="H1758" s="23" t="s">
        <v>82</v>
      </c>
      <c r="I1758" t="s">
        <v>4540</v>
      </c>
      <c r="J1758" t="s">
        <v>92</v>
      </c>
      <c r="K1758" s="22">
        <v>9</v>
      </c>
      <c r="L1758" s="1">
        <v>42664</v>
      </c>
      <c r="M1758" s="22">
        <f>Table10[[#This Row],[Ship Date]]-Table10[[#This Row],[Order Date]]</f>
        <v>6</v>
      </c>
      <c r="N1758" t="s">
        <v>45</v>
      </c>
      <c r="O1758" t="s">
        <v>23</v>
      </c>
      <c r="P1758" t="s">
        <v>109</v>
      </c>
      <c r="Q1758" t="s">
        <v>39</v>
      </c>
      <c r="R1758" t="s">
        <v>4541</v>
      </c>
      <c r="S1758" s="33">
        <v>0</v>
      </c>
      <c r="T1758" s="13">
        <v>60.12</v>
      </c>
      <c r="U1758" s="13">
        <v>28.857600000000001</v>
      </c>
      <c r="V1758" s="21">
        <f>Table10[[#This Row],[Profit]]/Table10[[#This Row],[Sales]]</f>
        <v>0.48000000000000004</v>
      </c>
    </row>
    <row r="1759" spans="1:22" x14ac:dyDescent="0.2">
      <c r="A1759">
        <v>1758</v>
      </c>
      <c r="B1759" t="s">
        <v>4539</v>
      </c>
      <c r="C1759" s="1">
        <v>42658</v>
      </c>
      <c r="D1759" s="22">
        <f>MONTH(Table10[[#This Row],[Order Date]])</f>
        <v>10</v>
      </c>
      <c r="E1759" t="s">
        <v>3968</v>
      </c>
      <c r="F1759" t="s">
        <v>3969</v>
      </c>
      <c r="G1759" s="23" t="s">
        <v>41</v>
      </c>
      <c r="H1759" s="23" t="s">
        <v>68</v>
      </c>
      <c r="I1759" t="s">
        <v>4540</v>
      </c>
      <c r="J1759" t="s">
        <v>92</v>
      </c>
      <c r="K1759" s="22">
        <v>5</v>
      </c>
      <c r="L1759" s="1">
        <v>42664</v>
      </c>
      <c r="M1759" s="22">
        <f>Table10[[#This Row],[Ship Date]]-Table10[[#This Row],[Order Date]]</f>
        <v>6</v>
      </c>
      <c r="N1759" t="s">
        <v>45</v>
      </c>
      <c r="O1759" t="s">
        <v>23</v>
      </c>
      <c r="P1759" t="s">
        <v>109</v>
      </c>
      <c r="Q1759" t="s">
        <v>39</v>
      </c>
      <c r="R1759" t="s">
        <v>4541</v>
      </c>
      <c r="S1759" s="33">
        <v>0.2</v>
      </c>
      <c r="T1759" s="13">
        <v>41.72</v>
      </c>
      <c r="U1759" s="13">
        <v>13.0375</v>
      </c>
      <c r="V1759" s="21">
        <f>Table10[[#This Row],[Profit]]/Table10[[#This Row],[Sales]]</f>
        <v>0.3125</v>
      </c>
    </row>
    <row r="1760" spans="1:22" x14ac:dyDescent="0.2">
      <c r="A1760">
        <v>1759</v>
      </c>
      <c r="B1760" t="s">
        <v>4539</v>
      </c>
      <c r="C1760" s="1">
        <v>42658</v>
      </c>
      <c r="D1760" s="22">
        <f>MONTH(Table10[[#This Row],[Order Date]])</f>
        <v>10</v>
      </c>
      <c r="E1760" t="s">
        <v>1451</v>
      </c>
      <c r="F1760" t="s">
        <v>1452</v>
      </c>
      <c r="G1760" s="23" t="s">
        <v>41</v>
      </c>
      <c r="H1760" s="23" t="s">
        <v>82</v>
      </c>
      <c r="I1760" t="s">
        <v>4540</v>
      </c>
      <c r="J1760" t="s">
        <v>92</v>
      </c>
      <c r="K1760" s="22">
        <v>8</v>
      </c>
      <c r="L1760" s="1">
        <v>42664</v>
      </c>
      <c r="M1760" s="22">
        <f>Table10[[#This Row],[Ship Date]]-Table10[[#This Row],[Order Date]]</f>
        <v>6</v>
      </c>
      <c r="N1760" t="s">
        <v>45</v>
      </c>
      <c r="O1760" t="s">
        <v>23</v>
      </c>
      <c r="P1760" t="s">
        <v>109</v>
      </c>
      <c r="Q1760" t="s">
        <v>39</v>
      </c>
      <c r="R1760" t="s">
        <v>4541</v>
      </c>
      <c r="S1760" s="33">
        <v>0</v>
      </c>
      <c r="T1760" s="13">
        <v>71.599999999999994</v>
      </c>
      <c r="U1760" s="13">
        <v>32.936</v>
      </c>
      <c r="V1760" s="21">
        <f>Table10[[#This Row],[Profit]]/Table10[[#This Row],[Sales]]</f>
        <v>0.46</v>
      </c>
    </row>
    <row r="1761" spans="1:22" x14ac:dyDescent="0.2">
      <c r="A1761">
        <v>1760</v>
      </c>
      <c r="B1761" t="s">
        <v>4987</v>
      </c>
      <c r="C1761" s="1">
        <v>42658</v>
      </c>
      <c r="D1761" s="22">
        <f>MONTH(Table10[[#This Row],[Order Date]])</f>
        <v>10</v>
      </c>
      <c r="E1761" t="s">
        <v>4988</v>
      </c>
      <c r="F1761" t="s">
        <v>4989</v>
      </c>
      <c r="G1761" s="23" t="s">
        <v>41</v>
      </c>
      <c r="H1761" s="23" t="s">
        <v>42</v>
      </c>
      <c r="I1761" t="s">
        <v>3875</v>
      </c>
      <c r="J1761" t="s">
        <v>92</v>
      </c>
      <c r="K1761" s="22">
        <v>7</v>
      </c>
      <c r="L1761" s="1">
        <v>42664</v>
      </c>
      <c r="M1761" s="22">
        <f>Table10[[#This Row],[Ship Date]]-Table10[[#This Row],[Order Date]]</f>
        <v>6</v>
      </c>
      <c r="N1761" t="s">
        <v>45</v>
      </c>
      <c r="O1761" t="s">
        <v>23</v>
      </c>
      <c r="P1761" t="s">
        <v>573</v>
      </c>
      <c r="Q1761" t="s">
        <v>95</v>
      </c>
      <c r="R1761" t="s">
        <v>4295</v>
      </c>
      <c r="S1761" s="33">
        <v>0</v>
      </c>
      <c r="T1761" s="13">
        <v>20.16</v>
      </c>
      <c r="U1761" s="13">
        <v>9.8783999999999992</v>
      </c>
      <c r="V1761" s="21">
        <f>Table10[[#This Row],[Profit]]/Table10[[#This Row],[Sales]]</f>
        <v>0.48999999999999994</v>
      </c>
    </row>
    <row r="1762" spans="1:22" x14ac:dyDescent="0.2">
      <c r="A1762">
        <v>1761</v>
      </c>
      <c r="B1762" t="s">
        <v>4987</v>
      </c>
      <c r="C1762" s="1">
        <v>42658</v>
      </c>
      <c r="D1762" s="22">
        <f>MONTH(Table10[[#This Row],[Order Date]])</f>
        <v>10</v>
      </c>
      <c r="E1762" t="s">
        <v>2081</v>
      </c>
      <c r="F1762" t="s">
        <v>2082</v>
      </c>
      <c r="G1762" s="23" t="s">
        <v>41</v>
      </c>
      <c r="H1762" s="23" t="s">
        <v>42</v>
      </c>
      <c r="I1762" t="s">
        <v>3875</v>
      </c>
      <c r="J1762" t="s">
        <v>92</v>
      </c>
      <c r="K1762" s="22">
        <v>6</v>
      </c>
      <c r="L1762" s="1">
        <v>42664</v>
      </c>
      <c r="M1762" s="22">
        <f>Table10[[#This Row],[Ship Date]]-Table10[[#This Row],[Order Date]]</f>
        <v>6</v>
      </c>
      <c r="N1762" t="s">
        <v>45</v>
      </c>
      <c r="O1762" t="s">
        <v>23</v>
      </c>
      <c r="P1762" t="s">
        <v>573</v>
      </c>
      <c r="Q1762" t="s">
        <v>95</v>
      </c>
      <c r="R1762" t="s">
        <v>4295</v>
      </c>
      <c r="S1762" s="33">
        <v>0</v>
      </c>
      <c r="T1762" s="13">
        <v>29.46</v>
      </c>
      <c r="U1762" s="13">
        <v>14.4354</v>
      </c>
      <c r="V1762" s="21">
        <f>Table10[[#This Row],[Profit]]/Table10[[#This Row],[Sales]]</f>
        <v>0.49</v>
      </c>
    </row>
    <row r="1763" spans="1:22" x14ac:dyDescent="0.2">
      <c r="A1763">
        <v>1762</v>
      </c>
      <c r="B1763" t="s">
        <v>4987</v>
      </c>
      <c r="C1763" s="1">
        <v>42658</v>
      </c>
      <c r="D1763" s="22">
        <f>MONTH(Table10[[#This Row],[Order Date]])</f>
        <v>10</v>
      </c>
      <c r="E1763" t="s">
        <v>4990</v>
      </c>
      <c r="F1763" t="s">
        <v>4991</v>
      </c>
      <c r="G1763" s="23" t="s">
        <v>41</v>
      </c>
      <c r="H1763" s="23" t="s">
        <v>71</v>
      </c>
      <c r="I1763" t="s">
        <v>3875</v>
      </c>
      <c r="J1763" t="s">
        <v>92</v>
      </c>
      <c r="K1763" s="22">
        <v>3</v>
      </c>
      <c r="L1763" s="1">
        <v>42664</v>
      </c>
      <c r="M1763" s="22">
        <f>Table10[[#This Row],[Ship Date]]-Table10[[#This Row],[Order Date]]</f>
        <v>6</v>
      </c>
      <c r="N1763" t="s">
        <v>45</v>
      </c>
      <c r="O1763" t="s">
        <v>23</v>
      </c>
      <c r="P1763" t="s">
        <v>573</v>
      </c>
      <c r="Q1763" t="s">
        <v>95</v>
      </c>
      <c r="R1763" t="s">
        <v>4295</v>
      </c>
      <c r="S1763" s="33">
        <v>0</v>
      </c>
      <c r="T1763" s="13">
        <v>868.59</v>
      </c>
      <c r="U1763" s="13">
        <v>251.89109999999999</v>
      </c>
      <c r="V1763" s="21">
        <f>Table10[[#This Row],[Profit]]/Table10[[#This Row],[Sales]]</f>
        <v>0.28999999999999998</v>
      </c>
    </row>
    <row r="1764" spans="1:22" x14ac:dyDescent="0.2">
      <c r="A1764">
        <v>1763</v>
      </c>
      <c r="B1764" t="s">
        <v>4987</v>
      </c>
      <c r="C1764" s="1">
        <v>42658</v>
      </c>
      <c r="D1764" s="22">
        <f>MONTH(Table10[[#This Row],[Order Date]])</f>
        <v>10</v>
      </c>
      <c r="E1764" t="s">
        <v>365</v>
      </c>
      <c r="F1764" t="s">
        <v>366</v>
      </c>
      <c r="G1764" s="23" t="s">
        <v>41</v>
      </c>
      <c r="H1764" s="23" t="s">
        <v>82</v>
      </c>
      <c r="I1764" t="s">
        <v>3875</v>
      </c>
      <c r="J1764" t="s">
        <v>92</v>
      </c>
      <c r="K1764" s="22">
        <v>2</v>
      </c>
      <c r="L1764" s="1">
        <v>42664</v>
      </c>
      <c r="M1764" s="22">
        <f>Table10[[#This Row],[Ship Date]]-Table10[[#This Row],[Order Date]]</f>
        <v>6</v>
      </c>
      <c r="N1764" t="s">
        <v>45</v>
      </c>
      <c r="O1764" t="s">
        <v>23</v>
      </c>
      <c r="P1764" t="s">
        <v>573</v>
      </c>
      <c r="Q1764" t="s">
        <v>95</v>
      </c>
      <c r="R1764" t="s">
        <v>4295</v>
      </c>
      <c r="S1764" s="33">
        <v>0</v>
      </c>
      <c r="T1764" s="13">
        <v>12.96</v>
      </c>
      <c r="U1764" s="13">
        <v>6.2207999999999997</v>
      </c>
      <c r="V1764" s="21">
        <f>Table10[[#This Row],[Profit]]/Table10[[#This Row],[Sales]]</f>
        <v>0.47999999999999993</v>
      </c>
    </row>
    <row r="1765" spans="1:22" x14ac:dyDescent="0.2">
      <c r="A1765">
        <v>1764</v>
      </c>
      <c r="B1765" t="s">
        <v>4987</v>
      </c>
      <c r="C1765" s="1">
        <v>42658</v>
      </c>
      <c r="D1765" s="22">
        <f>MONTH(Table10[[#This Row],[Order Date]])</f>
        <v>10</v>
      </c>
      <c r="E1765" t="s">
        <v>3068</v>
      </c>
      <c r="F1765" t="s">
        <v>3069</v>
      </c>
      <c r="G1765" s="23" t="s">
        <v>64</v>
      </c>
      <c r="H1765" s="23" t="s">
        <v>65</v>
      </c>
      <c r="I1765" t="s">
        <v>3875</v>
      </c>
      <c r="J1765" t="s">
        <v>92</v>
      </c>
      <c r="K1765" s="22">
        <v>1</v>
      </c>
      <c r="L1765" s="1">
        <v>42664</v>
      </c>
      <c r="M1765" s="22">
        <f>Table10[[#This Row],[Ship Date]]-Table10[[#This Row],[Order Date]]</f>
        <v>6</v>
      </c>
      <c r="N1765" t="s">
        <v>45</v>
      </c>
      <c r="O1765" t="s">
        <v>23</v>
      </c>
      <c r="P1765" t="s">
        <v>573</v>
      </c>
      <c r="Q1765" t="s">
        <v>95</v>
      </c>
      <c r="R1765" t="s">
        <v>4295</v>
      </c>
      <c r="S1765" s="33">
        <v>0</v>
      </c>
      <c r="T1765" s="13">
        <v>5.5</v>
      </c>
      <c r="U1765" s="13">
        <v>1.375</v>
      </c>
      <c r="V1765" s="21">
        <f>Table10[[#This Row],[Profit]]/Table10[[#This Row],[Sales]]</f>
        <v>0.25</v>
      </c>
    </row>
    <row r="1766" spans="1:22" x14ac:dyDescent="0.2">
      <c r="A1766">
        <v>1765</v>
      </c>
      <c r="B1766" t="s">
        <v>4987</v>
      </c>
      <c r="C1766" s="1">
        <v>42658</v>
      </c>
      <c r="D1766" s="22">
        <f>MONTH(Table10[[#This Row],[Order Date]])</f>
        <v>10</v>
      </c>
      <c r="E1766" t="s">
        <v>3455</v>
      </c>
      <c r="F1766" t="s">
        <v>3456</v>
      </c>
      <c r="G1766" s="23" t="s">
        <v>41</v>
      </c>
      <c r="H1766" s="23" t="s">
        <v>68</v>
      </c>
      <c r="I1766" t="s">
        <v>3875</v>
      </c>
      <c r="J1766" t="s">
        <v>92</v>
      </c>
      <c r="K1766" s="22">
        <v>4</v>
      </c>
      <c r="L1766" s="1">
        <v>42664</v>
      </c>
      <c r="M1766" s="22">
        <f>Table10[[#This Row],[Ship Date]]-Table10[[#This Row],[Order Date]]</f>
        <v>6</v>
      </c>
      <c r="N1766" t="s">
        <v>45</v>
      </c>
      <c r="O1766" t="s">
        <v>23</v>
      </c>
      <c r="P1766" t="s">
        <v>573</v>
      </c>
      <c r="Q1766" t="s">
        <v>95</v>
      </c>
      <c r="R1766" t="s">
        <v>4295</v>
      </c>
      <c r="S1766" s="33">
        <v>0</v>
      </c>
      <c r="T1766" s="13">
        <v>121.6</v>
      </c>
      <c r="U1766" s="13">
        <v>55.936</v>
      </c>
      <c r="V1766" s="21">
        <f>Table10[[#This Row],[Profit]]/Table10[[#This Row],[Sales]]</f>
        <v>0.46</v>
      </c>
    </row>
    <row r="1767" spans="1:22" x14ac:dyDescent="0.2">
      <c r="A1767">
        <v>1766</v>
      </c>
      <c r="B1767" t="s">
        <v>6146</v>
      </c>
      <c r="C1767" s="1">
        <v>42658</v>
      </c>
      <c r="D1767" s="22">
        <f>MONTH(Table10[[#This Row],[Order Date]])</f>
        <v>10</v>
      </c>
      <c r="E1767" t="s">
        <v>4251</v>
      </c>
      <c r="F1767" t="s">
        <v>4252</v>
      </c>
      <c r="G1767" s="23" t="s">
        <v>41</v>
      </c>
      <c r="H1767" s="23" t="s">
        <v>68</v>
      </c>
      <c r="I1767" t="s">
        <v>3182</v>
      </c>
      <c r="J1767" t="s">
        <v>36</v>
      </c>
      <c r="K1767" s="22">
        <v>7</v>
      </c>
      <c r="L1767" s="1">
        <v>42663</v>
      </c>
      <c r="M1767" s="22">
        <f>Table10[[#This Row],[Ship Date]]-Table10[[#This Row],[Order Date]]</f>
        <v>5</v>
      </c>
      <c r="N1767" t="s">
        <v>45</v>
      </c>
      <c r="O1767" t="s">
        <v>23</v>
      </c>
      <c r="P1767" t="s">
        <v>285</v>
      </c>
      <c r="Q1767" t="s">
        <v>26</v>
      </c>
      <c r="R1767" t="s">
        <v>284</v>
      </c>
      <c r="S1767" s="33">
        <v>0</v>
      </c>
      <c r="T1767" s="13">
        <v>232.96</v>
      </c>
      <c r="U1767" s="13">
        <v>116.48</v>
      </c>
      <c r="V1767" s="21">
        <f>Table10[[#This Row],[Profit]]/Table10[[#This Row],[Sales]]</f>
        <v>0.5</v>
      </c>
    </row>
    <row r="1768" spans="1:22" x14ac:dyDescent="0.2">
      <c r="A1768">
        <v>1767</v>
      </c>
      <c r="B1768" t="s">
        <v>6146</v>
      </c>
      <c r="C1768" s="1">
        <v>42658</v>
      </c>
      <c r="D1768" s="22">
        <f>MONTH(Table10[[#This Row],[Order Date]])</f>
        <v>10</v>
      </c>
      <c r="E1768" t="s">
        <v>5572</v>
      </c>
      <c r="F1768" t="s">
        <v>5573</v>
      </c>
      <c r="G1768" s="23" t="s">
        <v>41</v>
      </c>
      <c r="H1768" s="23" t="s">
        <v>155</v>
      </c>
      <c r="I1768" t="s">
        <v>3182</v>
      </c>
      <c r="J1768" t="s">
        <v>36</v>
      </c>
      <c r="K1768" s="22">
        <v>6</v>
      </c>
      <c r="L1768" s="1">
        <v>42663</v>
      </c>
      <c r="M1768" s="22">
        <f>Table10[[#This Row],[Ship Date]]-Table10[[#This Row],[Order Date]]</f>
        <v>5</v>
      </c>
      <c r="N1768" t="s">
        <v>45</v>
      </c>
      <c r="O1768" t="s">
        <v>23</v>
      </c>
      <c r="P1768" t="s">
        <v>285</v>
      </c>
      <c r="Q1768" t="s">
        <v>26</v>
      </c>
      <c r="R1768" t="s">
        <v>284</v>
      </c>
      <c r="S1768" s="33">
        <v>0</v>
      </c>
      <c r="T1768" s="13">
        <v>66.540000000000006</v>
      </c>
      <c r="U1768" s="13">
        <v>32.604599999999998</v>
      </c>
      <c r="V1768" s="21">
        <f>Table10[[#This Row],[Profit]]/Table10[[#This Row],[Sales]]</f>
        <v>0.48999999999999994</v>
      </c>
    </row>
    <row r="1769" spans="1:22" x14ac:dyDescent="0.2">
      <c r="A1769">
        <v>1768</v>
      </c>
      <c r="B1769" t="s">
        <v>6146</v>
      </c>
      <c r="C1769" s="1">
        <v>42658</v>
      </c>
      <c r="D1769" s="22">
        <f>MONTH(Table10[[#This Row],[Order Date]])</f>
        <v>10</v>
      </c>
      <c r="E1769" t="s">
        <v>1177</v>
      </c>
      <c r="F1769" t="s">
        <v>1178</v>
      </c>
      <c r="G1769" s="23" t="s">
        <v>41</v>
      </c>
      <c r="H1769" s="23" t="s">
        <v>71</v>
      </c>
      <c r="I1769" t="s">
        <v>3182</v>
      </c>
      <c r="J1769" t="s">
        <v>36</v>
      </c>
      <c r="K1769" s="22">
        <v>3</v>
      </c>
      <c r="L1769" s="1">
        <v>42663</v>
      </c>
      <c r="M1769" s="22">
        <f>Table10[[#This Row],[Ship Date]]-Table10[[#This Row],[Order Date]]</f>
        <v>5</v>
      </c>
      <c r="N1769" t="s">
        <v>45</v>
      </c>
      <c r="O1769" t="s">
        <v>23</v>
      </c>
      <c r="P1769" t="s">
        <v>285</v>
      </c>
      <c r="Q1769" t="s">
        <v>26</v>
      </c>
      <c r="R1769" t="s">
        <v>284</v>
      </c>
      <c r="S1769" s="33">
        <v>0</v>
      </c>
      <c r="T1769" s="13">
        <v>43.26</v>
      </c>
      <c r="U1769" s="13">
        <v>14.2758</v>
      </c>
      <c r="V1769" s="21">
        <f>Table10[[#This Row],[Profit]]/Table10[[#This Row],[Sales]]</f>
        <v>0.33</v>
      </c>
    </row>
    <row r="1770" spans="1:22" x14ac:dyDescent="0.2">
      <c r="A1770">
        <v>1769</v>
      </c>
      <c r="B1770" t="s">
        <v>8638</v>
      </c>
      <c r="C1770" s="1">
        <v>42659</v>
      </c>
      <c r="D1770" s="22">
        <f>MONTH(Table10[[#This Row],[Order Date]])</f>
        <v>10</v>
      </c>
      <c r="E1770" t="s">
        <v>73</v>
      </c>
      <c r="F1770" t="s">
        <v>74</v>
      </c>
      <c r="G1770" s="23" t="s">
        <v>28</v>
      </c>
      <c r="H1770" s="23" t="s">
        <v>50</v>
      </c>
      <c r="I1770" t="s">
        <v>1785</v>
      </c>
      <c r="J1770" t="s">
        <v>36</v>
      </c>
      <c r="K1770" s="22">
        <v>1</v>
      </c>
      <c r="L1770" s="1">
        <v>42663</v>
      </c>
      <c r="M1770" s="22">
        <f>Table10[[#This Row],[Ship Date]]-Table10[[#This Row],[Order Date]]</f>
        <v>4</v>
      </c>
      <c r="N1770" t="s">
        <v>45</v>
      </c>
      <c r="O1770" t="s">
        <v>23</v>
      </c>
      <c r="P1770" t="s">
        <v>238</v>
      </c>
      <c r="Q1770" t="s">
        <v>133</v>
      </c>
      <c r="R1770" t="s">
        <v>237</v>
      </c>
      <c r="S1770" s="33">
        <v>0.4</v>
      </c>
      <c r="T1770" s="13">
        <v>142.18199999999999</v>
      </c>
      <c r="U1770" s="13">
        <v>-37.915199999999999</v>
      </c>
      <c r="V1770" s="21">
        <f>Table10[[#This Row],[Profit]]/Table10[[#This Row],[Sales]]</f>
        <v>-0.26666666666666666</v>
      </c>
    </row>
    <row r="1771" spans="1:22" x14ac:dyDescent="0.2">
      <c r="A1771">
        <v>1770</v>
      </c>
      <c r="B1771" t="s">
        <v>3542</v>
      </c>
      <c r="C1771" s="1">
        <v>42660</v>
      </c>
      <c r="D1771" s="22">
        <f>MONTH(Table10[[#This Row],[Order Date]])</f>
        <v>10</v>
      </c>
      <c r="E1771" t="s">
        <v>436</v>
      </c>
      <c r="F1771" t="s">
        <v>437</v>
      </c>
      <c r="G1771" s="23" t="s">
        <v>41</v>
      </c>
      <c r="H1771" s="23" t="s">
        <v>68</v>
      </c>
      <c r="I1771" t="s">
        <v>565</v>
      </c>
      <c r="J1771" t="s">
        <v>92</v>
      </c>
      <c r="K1771" s="22">
        <v>5</v>
      </c>
      <c r="L1771" s="1">
        <v>42663</v>
      </c>
      <c r="M1771" s="22">
        <f>Table10[[#This Row],[Ship Date]]-Table10[[#This Row],[Order Date]]</f>
        <v>3</v>
      </c>
      <c r="N1771" t="s">
        <v>169</v>
      </c>
      <c r="O1771" t="s">
        <v>23</v>
      </c>
      <c r="P1771" t="s">
        <v>38</v>
      </c>
      <c r="Q1771" t="s">
        <v>39</v>
      </c>
      <c r="R1771" t="s">
        <v>114</v>
      </c>
      <c r="S1771" s="33">
        <v>0.2</v>
      </c>
      <c r="T1771" s="13">
        <v>18.16</v>
      </c>
      <c r="U1771" s="13">
        <v>6.5830000000000002</v>
      </c>
      <c r="V1771" s="21">
        <f>Table10[[#This Row],[Profit]]/Table10[[#This Row],[Sales]]</f>
        <v>0.36249999999999999</v>
      </c>
    </row>
    <row r="1772" spans="1:22" x14ac:dyDescent="0.2">
      <c r="A1772">
        <v>1771</v>
      </c>
      <c r="B1772" t="s">
        <v>9204</v>
      </c>
      <c r="C1772" s="1">
        <v>42660</v>
      </c>
      <c r="D1772" s="22">
        <f>MONTH(Table10[[#This Row],[Order Date]])</f>
        <v>10</v>
      </c>
      <c r="E1772" t="s">
        <v>6587</v>
      </c>
      <c r="F1772" t="s">
        <v>6588</v>
      </c>
      <c r="G1772" s="23" t="s">
        <v>28</v>
      </c>
      <c r="H1772" s="23" t="s">
        <v>29</v>
      </c>
      <c r="I1772" t="s">
        <v>3319</v>
      </c>
      <c r="J1772" t="s">
        <v>92</v>
      </c>
      <c r="K1772" s="22">
        <v>2</v>
      </c>
      <c r="L1772" s="1">
        <v>42664</v>
      </c>
      <c r="M1772" s="22">
        <f>Table10[[#This Row],[Ship Date]]-Table10[[#This Row],[Order Date]]</f>
        <v>4</v>
      </c>
      <c r="N1772" t="s">
        <v>45</v>
      </c>
      <c r="O1772" t="s">
        <v>23</v>
      </c>
      <c r="P1772" t="s">
        <v>38</v>
      </c>
      <c r="Q1772" t="s">
        <v>39</v>
      </c>
      <c r="R1772" t="s">
        <v>3080</v>
      </c>
      <c r="S1772" s="33">
        <v>0.15</v>
      </c>
      <c r="T1772" s="13">
        <v>120.666</v>
      </c>
      <c r="U1772" s="13">
        <v>21.294</v>
      </c>
      <c r="V1772" s="21">
        <f>Table10[[#This Row],[Profit]]/Table10[[#This Row],[Sales]]</f>
        <v>0.17647058823529413</v>
      </c>
    </row>
    <row r="1773" spans="1:22" x14ac:dyDescent="0.2">
      <c r="A1773">
        <v>1772</v>
      </c>
      <c r="B1773" t="s">
        <v>9515</v>
      </c>
      <c r="C1773" s="1">
        <v>42660</v>
      </c>
      <c r="D1773" s="22">
        <f>MONTH(Table10[[#This Row],[Order Date]])</f>
        <v>10</v>
      </c>
      <c r="E1773" t="s">
        <v>4846</v>
      </c>
      <c r="F1773" t="s">
        <v>4847</v>
      </c>
      <c r="G1773" s="23" t="s">
        <v>64</v>
      </c>
      <c r="H1773" s="23" t="s">
        <v>65</v>
      </c>
      <c r="I1773" t="s">
        <v>7475</v>
      </c>
      <c r="J1773" t="s">
        <v>92</v>
      </c>
      <c r="K1773" s="22">
        <v>3</v>
      </c>
      <c r="L1773" s="1">
        <v>42664</v>
      </c>
      <c r="M1773" s="22">
        <f>Table10[[#This Row],[Ship Date]]-Table10[[#This Row],[Order Date]]</f>
        <v>4</v>
      </c>
      <c r="N1773" t="s">
        <v>20</v>
      </c>
      <c r="O1773" t="s">
        <v>23</v>
      </c>
      <c r="P1773" t="s">
        <v>528</v>
      </c>
      <c r="Q1773" t="s">
        <v>95</v>
      </c>
      <c r="R1773" t="s">
        <v>341</v>
      </c>
      <c r="S1773" s="33">
        <v>0</v>
      </c>
      <c r="T1773" s="13">
        <v>449.97</v>
      </c>
      <c r="U1773" s="13">
        <v>220.4853</v>
      </c>
      <c r="V1773" s="21">
        <f>Table10[[#This Row],[Profit]]/Table10[[#This Row],[Sales]]</f>
        <v>0.48999999999999994</v>
      </c>
    </row>
    <row r="1774" spans="1:22" x14ac:dyDescent="0.2">
      <c r="A1774">
        <v>1773</v>
      </c>
      <c r="B1774" t="s">
        <v>9515</v>
      </c>
      <c r="C1774" s="1">
        <v>42660</v>
      </c>
      <c r="D1774" s="22">
        <f>MONTH(Table10[[#This Row],[Order Date]])</f>
        <v>10</v>
      </c>
      <c r="E1774" t="s">
        <v>4886</v>
      </c>
      <c r="F1774" t="s">
        <v>4887</v>
      </c>
      <c r="G1774" s="23" t="s">
        <v>41</v>
      </c>
      <c r="H1774" s="23" t="s">
        <v>71</v>
      </c>
      <c r="I1774" t="s">
        <v>7475</v>
      </c>
      <c r="J1774" t="s">
        <v>92</v>
      </c>
      <c r="K1774" s="22">
        <v>7</v>
      </c>
      <c r="L1774" s="1">
        <v>42664</v>
      </c>
      <c r="M1774" s="22">
        <f>Table10[[#This Row],[Ship Date]]-Table10[[#This Row],[Order Date]]</f>
        <v>4</v>
      </c>
      <c r="N1774" t="s">
        <v>20</v>
      </c>
      <c r="O1774" t="s">
        <v>23</v>
      </c>
      <c r="P1774" t="s">
        <v>528</v>
      </c>
      <c r="Q1774" t="s">
        <v>95</v>
      </c>
      <c r="R1774" t="s">
        <v>341</v>
      </c>
      <c r="S1774" s="33">
        <v>0</v>
      </c>
      <c r="T1774" s="13">
        <v>1927.59</v>
      </c>
      <c r="U1774" s="13">
        <v>751.76009999999997</v>
      </c>
      <c r="V1774" s="21">
        <f>Table10[[#This Row],[Profit]]/Table10[[#This Row],[Sales]]</f>
        <v>0.39</v>
      </c>
    </row>
    <row r="1775" spans="1:22" x14ac:dyDescent="0.2">
      <c r="A1775">
        <v>1774</v>
      </c>
      <c r="B1775" t="s">
        <v>9694</v>
      </c>
      <c r="C1775" s="1">
        <v>42660</v>
      </c>
      <c r="D1775" s="22">
        <f>MONTH(Table10[[#This Row],[Order Date]])</f>
        <v>10</v>
      </c>
      <c r="E1775" t="s">
        <v>1478</v>
      </c>
      <c r="F1775" t="s">
        <v>1479</v>
      </c>
      <c r="G1775" s="23" t="s">
        <v>28</v>
      </c>
      <c r="H1775" s="23" t="s">
        <v>29</v>
      </c>
      <c r="I1775" t="s">
        <v>6975</v>
      </c>
      <c r="J1775" t="s">
        <v>22</v>
      </c>
      <c r="K1775" s="22">
        <v>1</v>
      </c>
      <c r="L1775" s="1">
        <v>42663</v>
      </c>
      <c r="M1775" s="22">
        <f>Table10[[#This Row],[Ship Date]]-Table10[[#This Row],[Order Date]]</f>
        <v>3</v>
      </c>
      <c r="N1775" t="s">
        <v>169</v>
      </c>
      <c r="O1775" t="s">
        <v>23</v>
      </c>
      <c r="P1775" t="s">
        <v>695</v>
      </c>
      <c r="Q1775" t="s">
        <v>133</v>
      </c>
      <c r="R1775" t="s">
        <v>4366</v>
      </c>
      <c r="S1775" s="33">
        <v>0</v>
      </c>
      <c r="T1775" s="13">
        <v>120.98</v>
      </c>
      <c r="U1775" s="13">
        <v>12.098000000000001</v>
      </c>
      <c r="V1775" s="21">
        <f>Table10[[#This Row],[Profit]]/Table10[[#This Row],[Sales]]</f>
        <v>0.1</v>
      </c>
    </row>
    <row r="1776" spans="1:22" x14ac:dyDescent="0.2">
      <c r="A1776">
        <v>1775</v>
      </c>
      <c r="B1776" t="s">
        <v>9694</v>
      </c>
      <c r="C1776" s="1">
        <v>42660</v>
      </c>
      <c r="D1776" s="22">
        <f>MONTH(Table10[[#This Row],[Order Date]])</f>
        <v>10</v>
      </c>
      <c r="E1776" t="s">
        <v>1336</v>
      </c>
      <c r="F1776" t="s">
        <v>1337</v>
      </c>
      <c r="G1776" s="23" t="s">
        <v>41</v>
      </c>
      <c r="H1776" s="23" t="s">
        <v>68</v>
      </c>
      <c r="I1776" t="s">
        <v>6975</v>
      </c>
      <c r="J1776" t="s">
        <v>22</v>
      </c>
      <c r="K1776" s="22">
        <v>1</v>
      </c>
      <c r="L1776" s="1">
        <v>42663</v>
      </c>
      <c r="M1776" s="22">
        <f>Table10[[#This Row],[Ship Date]]-Table10[[#This Row],[Order Date]]</f>
        <v>3</v>
      </c>
      <c r="N1776" t="s">
        <v>169</v>
      </c>
      <c r="O1776" t="s">
        <v>23</v>
      </c>
      <c r="P1776" t="s">
        <v>695</v>
      </c>
      <c r="Q1776" t="s">
        <v>133</v>
      </c>
      <c r="R1776" t="s">
        <v>4366</v>
      </c>
      <c r="S1776" s="33">
        <v>0</v>
      </c>
      <c r="T1776" s="13">
        <v>315.98</v>
      </c>
      <c r="U1776" s="13">
        <v>148.51060000000001</v>
      </c>
      <c r="V1776" s="21">
        <f>Table10[[#This Row],[Profit]]/Table10[[#This Row],[Sales]]</f>
        <v>0.47000000000000003</v>
      </c>
    </row>
    <row r="1777" spans="1:22" x14ac:dyDescent="0.2">
      <c r="A1777">
        <v>1776</v>
      </c>
      <c r="B1777" t="s">
        <v>5408</v>
      </c>
      <c r="C1777" s="1">
        <v>42661</v>
      </c>
      <c r="D1777" s="22">
        <f>MONTH(Table10[[#This Row],[Order Date]])</f>
        <v>10</v>
      </c>
      <c r="E1777" t="s">
        <v>1359</v>
      </c>
      <c r="F1777" t="s">
        <v>1360</v>
      </c>
      <c r="G1777" s="23" t="s">
        <v>28</v>
      </c>
      <c r="H1777" s="23" t="s">
        <v>32</v>
      </c>
      <c r="I1777" t="s">
        <v>1617</v>
      </c>
      <c r="J1777" t="s">
        <v>22</v>
      </c>
      <c r="K1777" s="22">
        <v>5</v>
      </c>
      <c r="L1777" s="1">
        <v>42665</v>
      </c>
      <c r="M1777" s="22">
        <f>Table10[[#This Row],[Ship Date]]-Table10[[#This Row],[Order Date]]</f>
        <v>4</v>
      </c>
      <c r="N1777" t="s">
        <v>45</v>
      </c>
      <c r="O1777" t="s">
        <v>23</v>
      </c>
      <c r="P1777" t="s">
        <v>277</v>
      </c>
      <c r="Q1777" t="s">
        <v>39</v>
      </c>
      <c r="R1777" t="s">
        <v>3595</v>
      </c>
      <c r="S1777" s="33">
        <v>0.2</v>
      </c>
      <c r="T1777" s="13">
        <v>307.92</v>
      </c>
      <c r="U1777" s="13">
        <v>-34.640999999999998</v>
      </c>
      <c r="V1777" s="21">
        <f>Table10[[#This Row],[Profit]]/Table10[[#This Row],[Sales]]</f>
        <v>-0.11249999999999999</v>
      </c>
    </row>
    <row r="1778" spans="1:22" x14ac:dyDescent="0.2">
      <c r="A1778">
        <v>1777</v>
      </c>
      <c r="B1778" t="s">
        <v>1552</v>
      </c>
      <c r="C1778" s="1">
        <v>42663</v>
      </c>
      <c r="D1778" s="22">
        <f>MONTH(Table10[[#This Row],[Order Date]])</f>
        <v>10</v>
      </c>
      <c r="E1778" t="s">
        <v>327</v>
      </c>
      <c r="F1778" t="s">
        <v>328</v>
      </c>
      <c r="G1778" s="23" t="s">
        <v>41</v>
      </c>
      <c r="H1778" s="23" t="s">
        <v>61</v>
      </c>
      <c r="I1778" t="s">
        <v>1252</v>
      </c>
      <c r="J1778" t="s">
        <v>22</v>
      </c>
      <c r="K1778" s="22">
        <v>3</v>
      </c>
      <c r="L1778" s="1">
        <v>42666</v>
      </c>
      <c r="M1778" s="22">
        <f>Table10[[#This Row],[Ship Date]]-Table10[[#This Row],[Order Date]]</f>
        <v>3</v>
      </c>
      <c r="N1778" t="s">
        <v>169</v>
      </c>
      <c r="O1778" t="s">
        <v>23</v>
      </c>
      <c r="P1778" t="s">
        <v>441</v>
      </c>
      <c r="Q1778" t="s">
        <v>133</v>
      </c>
      <c r="R1778" t="s">
        <v>536</v>
      </c>
      <c r="S1778" s="33">
        <v>0.2</v>
      </c>
      <c r="T1778" s="13">
        <v>7.1520000000000001</v>
      </c>
      <c r="U1778" s="13">
        <v>0.71519999999999995</v>
      </c>
      <c r="V1778" s="21">
        <f>Table10[[#This Row],[Profit]]/Table10[[#This Row],[Sales]]</f>
        <v>9.9999999999999992E-2</v>
      </c>
    </row>
    <row r="1779" spans="1:22" x14ac:dyDescent="0.2">
      <c r="A1779">
        <v>1778</v>
      </c>
      <c r="B1779" t="s">
        <v>7977</v>
      </c>
      <c r="C1779" s="1">
        <v>42663</v>
      </c>
      <c r="D1779" s="22">
        <f>MONTH(Table10[[#This Row],[Order Date]])</f>
        <v>10</v>
      </c>
      <c r="E1779" t="s">
        <v>4914</v>
      </c>
      <c r="F1779" t="s">
        <v>4915</v>
      </c>
      <c r="G1779" s="23" t="s">
        <v>41</v>
      </c>
      <c r="H1779" s="23" t="s">
        <v>82</v>
      </c>
      <c r="I1779" t="s">
        <v>2344</v>
      </c>
      <c r="J1779" t="s">
        <v>22</v>
      </c>
      <c r="K1779" s="22">
        <v>7</v>
      </c>
      <c r="L1779" s="1">
        <v>42667</v>
      </c>
      <c r="M1779" s="22">
        <f>Table10[[#This Row],[Ship Date]]-Table10[[#This Row],[Order Date]]</f>
        <v>4</v>
      </c>
      <c r="N1779" t="s">
        <v>20</v>
      </c>
      <c r="O1779" t="s">
        <v>23</v>
      </c>
      <c r="P1779" t="s">
        <v>94</v>
      </c>
      <c r="Q1779" t="s">
        <v>95</v>
      </c>
      <c r="R1779" t="s">
        <v>165</v>
      </c>
      <c r="S1779" s="33">
        <v>0.2</v>
      </c>
      <c r="T1779" s="13">
        <v>51.015999999999998</v>
      </c>
      <c r="U1779" s="13">
        <v>15.942500000000001</v>
      </c>
      <c r="V1779" s="21">
        <f>Table10[[#This Row],[Profit]]/Table10[[#This Row],[Sales]]</f>
        <v>0.3125</v>
      </c>
    </row>
    <row r="1780" spans="1:22" x14ac:dyDescent="0.2">
      <c r="A1780">
        <v>1779</v>
      </c>
      <c r="B1780" t="s">
        <v>7977</v>
      </c>
      <c r="C1780" s="1">
        <v>42663</v>
      </c>
      <c r="D1780" s="22">
        <f>MONTH(Table10[[#This Row],[Order Date]])</f>
        <v>10</v>
      </c>
      <c r="E1780" t="s">
        <v>1883</v>
      </c>
      <c r="F1780" t="s">
        <v>498</v>
      </c>
      <c r="G1780" s="23" t="s">
        <v>41</v>
      </c>
      <c r="H1780" s="23" t="s">
        <v>240</v>
      </c>
      <c r="I1780" t="s">
        <v>2344</v>
      </c>
      <c r="J1780" t="s">
        <v>22</v>
      </c>
      <c r="K1780" s="22">
        <v>4</v>
      </c>
      <c r="L1780" s="1">
        <v>42667</v>
      </c>
      <c r="M1780" s="22">
        <f>Table10[[#This Row],[Ship Date]]-Table10[[#This Row],[Order Date]]</f>
        <v>4</v>
      </c>
      <c r="N1780" t="s">
        <v>20</v>
      </c>
      <c r="O1780" t="s">
        <v>23</v>
      </c>
      <c r="P1780" t="s">
        <v>94</v>
      </c>
      <c r="Q1780" t="s">
        <v>95</v>
      </c>
      <c r="R1780" t="s">
        <v>165</v>
      </c>
      <c r="S1780" s="33">
        <v>0.2</v>
      </c>
      <c r="T1780" s="13">
        <v>25.248000000000001</v>
      </c>
      <c r="U1780" s="13">
        <v>7.89</v>
      </c>
      <c r="V1780" s="21">
        <f>Table10[[#This Row],[Profit]]/Table10[[#This Row],[Sales]]</f>
        <v>0.3125</v>
      </c>
    </row>
    <row r="1781" spans="1:22" x14ac:dyDescent="0.2">
      <c r="A1781">
        <v>1780</v>
      </c>
      <c r="B1781" t="s">
        <v>7977</v>
      </c>
      <c r="C1781" s="1">
        <v>42663</v>
      </c>
      <c r="D1781" s="22">
        <f>MONTH(Table10[[#This Row],[Order Date]])</f>
        <v>10</v>
      </c>
      <c r="E1781" t="s">
        <v>1370</v>
      </c>
      <c r="F1781" t="s">
        <v>1371</v>
      </c>
      <c r="G1781" s="23" t="s">
        <v>28</v>
      </c>
      <c r="H1781" s="23" t="s">
        <v>32</v>
      </c>
      <c r="I1781" t="s">
        <v>2344</v>
      </c>
      <c r="J1781" t="s">
        <v>22</v>
      </c>
      <c r="K1781" s="22">
        <v>1</v>
      </c>
      <c r="L1781" s="1">
        <v>42667</v>
      </c>
      <c r="M1781" s="22">
        <f>Table10[[#This Row],[Ship Date]]-Table10[[#This Row],[Order Date]]</f>
        <v>4</v>
      </c>
      <c r="N1781" t="s">
        <v>20</v>
      </c>
      <c r="O1781" t="s">
        <v>23</v>
      </c>
      <c r="P1781" t="s">
        <v>94</v>
      </c>
      <c r="Q1781" t="s">
        <v>95</v>
      </c>
      <c r="R1781" t="s">
        <v>165</v>
      </c>
      <c r="S1781" s="33">
        <v>0.3</v>
      </c>
      <c r="T1781" s="13">
        <v>56.686</v>
      </c>
      <c r="U1781" s="13">
        <v>-14.5764</v>
      </c>
      <c r="V1781" s="21">
        <f>Table10[[#This Row],[Profit]]/Table10[[#This Row],[Sales]]</f>
        <v>-0.25714285714285712</v>
      </c>
    </row>
    <row r="1782" spans="1:22" x14ac:dyDescent="0.2">
      <c r="A1782">
        <v>1781</v>
      </c>
      <c r="B1782" t="s">
        <v>7985</v>
      </c>
      <c r="C1782" s="1">
        <v>42663</v>
      </c>
      <c r="D1782" s="22">
        <f>MONTH(Table10[[#This Row],[Order Date]])</f>
        <v>10</v>
      </c>
      <c r="E1782" t="s">
        <v>3547</v>
      </c>
      <c r="F1782" t="s">
        <v>3548</v>
      </c>
      <c r="G1782" s="23" t="s">
        <v>64</v>
      </c>
      <c r="H1782" s="23" t="s">
        <v>65</v>
      </c>
      <c r="I1782" t="s">
        <v>4316</v>
      </c>
      <c r="J1782" t="s">
        <v>22</v>
      </c>
      <c r="K1782" s="22">
        <v>6</v>
      </c>
      <c r="L1782" s="1">
        <v>42669</v>
      </c>
      <c r="M1782" s="22">
        <f>Table10[[#This Row],[Ship Date]]-Table10[[#This Row],[Order Date]]</f>
        <v>6</v>
      </c>
      <c r="N1782" t="s">
        <v>45</v>
      </c>
      <c r="O1782" t="s">
        <v>23</v>
      </c>
      <c r="P1782" t="s">
        <v>212</v>
      </c>
      <c r="Q1782" t="s">
        <v>95</v>
      </c>
      <c r="R1782" t="s">
        <v>2099</v>
      </c>
      <c r="S1782" s="33">
        <v>0</v>
      </c>
      <c r="T1782" s="13">
        <v>125.7</v>
      </c>
      <c r="U1782" s="13">
        <v>35.195999999999998</v>
      </c>
      <c r="V1782" s="21">
        <f>Table10[[#This Row],[Profit]]/Table10[[#This Row],[Sales]]</f>
        <v>0.27999999999999997</v>
      </c>
    </row>
    <row r="1783" spans="1:22" x14ac:dyDescent="0.2">
      <c r="A1783">
        <v>1782</v>
      </c>
      <c r="B1783" t="s">
        <v>7985</v>
      </c>
      <c r="C1783" s="1">
        <v>42663</v>
      </c>
      <c r="D1783" s="22">
        <f>MONTH(Table10[[#This Row],[Order Date]])</f>
        <v>10</v>
      </c>
      <c r="E1783" t="s">
        <v>2276</v>
      </c>
      <c r="F1783" t="s">
        <v>2277</v>
      </c>
      <c r="G1783" s="23" t="s">
        <v>64</v>
      </c>
      <c r="H1783" s="23" t="s">
        <v>65</v>
      </c>
      <c r="I1783" t="s">
        <v>4316</v>
      </c>
      <c r="J1783" t="s">
        <v>22</v>
      </c>
      <c r="K1783" s="22">
        <v>2</v>
      </c>
      <c r="L1783" s="1">
        <v>42669</v>
      </c>
      <c r="M1783" s="22">
        <f>Table10[[#This Row],[Ship Date]]-Table10[[#This Row],[Order Date]]</f>
        <v>6</v>
      </c>
      <c r="N1783" t="s">
        <v>45</v>
      </c>
      <c r="O1783" t="s">
        <v>23</v>
      </c>
      <c r="P1783" t="s">
        <v>212</v>
      </c>
      <c r="Q1783" t="s">
        <v>95</v>
      </c>
      <c r="R1783" t="s">
        <v>2099</v>
      </c>
      <c r="S1783" s="33">
        <v>0</v>
      </c>
      <c r="T1783" s="13">
        <v>191.98</v>
      </c>
      <c r="U1783" s="13">
        <v>51.834600000000002</v>
      </c>
      <c r="V1783" s="21">
        <f>Table10[[#This Row],[Profit]]/Table10[[#This Row],[Sales]]</f>
        <v>0.27</v>
      </c>
    </row>
    <row r="1784" spans="1:22" x14ac:dyDescent="0.2">
      <c r="A1784">
        <v>1783</v>
      </c>
      <c r="B1784" t="s">
        <v>7985</v>
      </c>
      <c r="C1784" s="1">
        <v>42663</v>
      </c>
      <c r="D1784" s="22">
        <f>MONTH(Table10[[#This Row],[Order Date]])</f>
        <v>10</v>
      </c>
      <c r="E1784" t="s">
        <v>1338</v>
      </c>
      <c r="F1784" t="s">
        <v>1339</v>
      </c>
      <c r="G1784" s="23" t="s">
        <v>41</v>
      </c>
      <c r="H1784" s="23" t="s">
        <v>53</v>
      </c>
      <c r="I1784" t="s">
        <v>4316</v>
      </c>
      <c r="J1784" t="s">
        <v>22</v>
      </c>
      <c r="K1784" s="22">
        <v>7</v>
      </c>
      <c r="L1784" s="1">
        <v>42669</v>
      </c>
      <c r="M1784" s="22">
        <f>Table10[[#This Row],[Ship Date]]-Table10[[#This Row],[Order Date]]</f>
        <v>6</v>
      </c>
      <c r="N1784" t="s">
        <v>45</v>
      </c>
      <c r="O1784" t="s">
        <v>23</v>
      </c>
      <c r="P1784" t="s">
        <v>212</v>
      </c>
      <c r="Q1784" t="s">
        <v>95</v>
      </c>
      <c r="R1784" t="s">
        <v>2099</v>
      </c>
      <c r="S1784" s="33">
        <v>0</v>
      </c>
      <c r="T1784" s="13">
        <v>20.86</v>
      </c>
      <c r="U1784" s="13">
        <v>1.4601999999999999</v>
      </c>
      <c r="V1784" s="21">
        <f>Table10[[#This Row],[Profit]]/Table10[[#This Row],[Sales]]</f>
        <v>6.9999999999999993E-2</v>
      </c>
    </row>
    <row r="1785" spans="1:22" x14ac:dyDescent="0.2">
      <c r="A1785">
        <v>1784</v>
      </c>
      <c r="B1785" t="s">
        <v>8216</v>
      </c>
      <c r="C1785" s="1">
        <v>42663</v>
      </c>
      <c r="D1785" s="22">
        <f>MONTH(Table10[[#This Row],[Order Date]])</f>
        <v>10</v>
      </c>
      <c r="E1785" t="s">
        <v>4384</v>
      </c>
      <c r="F1785" t="s">
        <v>4385</v>
      </c>
      <c r="G1785" s="23" t="s">
        <v>41</v>
      </c>
      <c r="H1785" s="23" t="s">
        <v>68</v>
      </c>
      <c r="I1785" t="s">
        <v>911</v>
      </c>
      <c r="J1785" t="s">
        <v>36</v>
      </c>
      <c r="K1785" s="22">
        <v>3</v>
      </c>
      <c r="L1785" s="1">
        <v>42665</v>
      </c>
      <c r="M1785" s="22">
        <f>Table10[[#This Row],[Ship Date]]-Table10[[#This Row],[Order Date]]</f>
        <v>2</v>
      </c>
      <c r="N1785" t="s">
        <v>169</v>
      </c>
      <c r="O1785" t="s">
        <v>23</v>
      </c>
      <c r="P1785" t="s">
        <v>38</v>
      </c>
      <c r="Q1785" t="s">
        <v>39</v>
      </c>
      <c r="R1785" t="s">
        <v>37</v>
      </c>
      <c r="S1785" s="33">
        <v>0.2</v>
      </c>
      <c r="T1785" s="13">
        <v>19.295999999999999</v>
      </c>
      <c r="U1785" s="13">
        <v>6.03</v>
      </c>
      <c r="V1785" s="21">
        <f>Table10[[#This Row],[Profit]]/Table10[[#This Row],[Sales]]</f>
        <v>0.3125</v>
      </c>
    </row>
    <row r="1786" spans="1:22" x14ac:dyDescent="0.2">
      <c r="A1786">
        <v>1785</v>
      </c>
      <c r="B1786" t="s">
        <v>9037</v>
      </c>
      <c r="C1786" s="1">
        <v>42663</v>
      </c>
      <c r="D1786" s="22">
        <f>MONTH(Table10[[#This Row],[Order Date]])</f>
        <v>10</v>
      </c>
      <c r="E1786" t="s">
        <v>1362</v>
      </c>
      <c r="F1786" t="s">
        <v>1363</v>
      </c>
      <c r="G1786" s="23" t="s">
        <v>28</v>
      </c>
      <c r="H1786" s="23" t="s">
        <v>58</v>
      </c>
      <c r="I1786" t="s">
        <v>9038</v>
      </c>
      <c r="J1786" t="s">
        <v>92</v>
      </c>
      <c r="K1786" s="22">
        <v>5</v>
      </c>
      <c r="L1786" s="1">
        <v>42669</v>
      </c>
      <c r="M1786" s="22">
        <f>Table10[[#This Row],[Ship Date]]-Table10[[#This Row],[Order Date]]</f>
        <v>6</v>
      </c>
      <c r="N1786" t="s">
        <v>45</v>
      </c>
      <c r="O1786" t="s">
        <v>23</v>
      </c>
      <c r="P1786" t="s">
        <v>285</v>
      </c>
      <c r="Q1786" t="s">
        <v>26</v>
      </c>
      <c r="R1786" t="s">
        <v>997</v>
      </c>
      <c r="S1786" s="33">
        <v>0</v>
      </c>
      <c r="T1786" s="13">
        <v>61.1</v>
      </c>
      <c r="U1786" s="13">
        <v>18.329999999999998</v>
      </c>
      <c r="V1786" s="21">
        <f>Table10[[#This Row],[Profit]]/Table10[[#This Row],[Sales]]</f>
        <v>0.3</v>
      </c>
    </row>
    <row r="1787" spans="1:22" x14ac:dyDescent="0.2">
      <c r="A1787">
        <v>1786</v>
      </c>
      <c r="B1787" t="s">
        <v>9145</v>
      </c>
      <c r="C1787" s="1">
        <v>42663</v>
      </c>
      <c r="D1787" s="22">
        <f>MONTH(Table10[[#This Row],[Order Date]])</f>
        <v>10</v>
      </c>
      <c r="E1787" t="s">
        <v>7112</v>
      </c>
      <c r="F1787" t="s">
        <v>7113</v>
      </c>
      <c r="G1787" s="23" t="s">
        <v>28</v>
      </c>
      <c r="H1787" s="23" t="s">
        <v>32</v>
      </c>
      <c r="I1787" t="s">
        <v>3698</v>
      </c>
      <c r="J1787" t="s">
        <v>36</v>
      </c>
      <c r="K1787" s="22">
        <v>4</v>
      </c>
      <c r="L1787" s="1">
        <v>42668</v>
      </c>
      <c r="M1787" s="22">
        <f>Table10[[#This Row],[Ship Date]]-Table10[[#This Row],[Order Date]]</f>
        <v>5</v>
      </c>
      <c r="N1787" t="s">
        <v>45</v>
      </c>
      <c r="O1787" t="s">
        <v>23</v>
      </c>
      <c r="P1787" t="s">
        <v>38</v>
      </c>
      <c r="Q1787" t="s">
        <v>39</v>
      </c>
      <c r="R1787" t="s">
        <v>8358</v>
      </c>
      <c r="S1787" s="33">
        <v>0.2</v>
      </c>
      <c r="T1787" s="13">
        <v>387.13600000000002</v>
      </c>
      <c r="U1787" s="13">
        <v>4.8391999999999999</v>
      </c>
      <c r="V1787" s="21">
        <f>Table10[[#This Row],[Profit]]/Table10[[#This Row],[Sales]]</f>
        <v>1.2499999999999999E-2</v>
      </c>
    </row>
    <row r="1788" spans="1:22" x14ac:dyDescent="0.2">
      <c r="A1788">
        <v>1787</v>
      </c>
      <c r="B1788" t="s">
        <v>1140</v>
      </c>
      <c r="C1788" s="1">
        <v>42664</v>
      </c>
      <c r="D1788" s="22">
        <f>MONTH(Table10[[#This Row],[Order Date]])</f>
        <v>10</v>
      </c>
      <c r="E1788" t="s">
        <v>1144</v>
      </c>
      <c r="F1788" t="s">
        <v>1145</v>
      </c>
      <c r="G1788" s="23" t="s">
        <v>41</v>
      </c>
      <c r="H1788" s="23" t="s">
        <v>68</v>
      </c>
      <c r="I1788" t="s">
        <v>1142</v>
      </c>
      <c r="J1788" t="s">
        <v>36</v>
      </c>
      <c r="K1788" s="22">
        <v>4</v>
      </c>
      <c r="L1788" s="1">
        <v>42664</v>
      </c>
      <c r="M1788" s="22">
        <f>Table10[[#This Row],[Ship Date]]-Table10[[#This Row],[Order Date]]</f>
        <v>0</v>
      </c>
      <c r="N1788" t="s">
        <v>1141</v>
      </c>
      <c r="O1788" t="s">
        <v>23</v>
      </c>
      <c r="P1788" t="s">
        <v>660</v>
      </c>
      <c r="Q1788" t="s">
        <v>133</v>
      </c>
      <c r="R1788" t="s">
        <v>1143</v>
      </c>
      <c r="S1788" s="33">
        <v>0</v>
      </c>
      <c r="T1788" s="13">
        <v>23.2</v>
      </c>
      <c r="U1788" s="13">
        <v>10.44</v>
      </c>
      <c r="V1788" s="21">
        <f>Table10[[#This Row],[Profit]]/Table10[[#This Row],[Sales]]</f>
        <v>0.45</v>
      </c>
    </row>
    <row r="1789" spans="1:22" x14ac:dyDescent="0.2">
      <c r="A1789">
        <v>1788</v>
      </c>
      <c r="B1789" t="s">
        <v>1140</v>
      </c>
      <c r="C1789" s="1">
        <v>42664</v>
      </c>
      <c r="D1789" s="22">
        <f>MONTH(Table10[[#This Row],[Order Date]])</f>
        <v>10</v>
      </c>
      <c r="E1789" t="s">
        <v>1146</v>
      </c>
      <c r="F1789" t="s">
        <v>1147</v>
      </c>
      <c r="G1789" s="23" t="s">
        <v>41</v>
      </c>
      <c r="H1789" s="23" t="s">
        <v>513</v>
      </c>
      <c r="I1789" t="s">
        <v>1142</v>
      </c>
      <c r="J1789" t="s">
        <v>36</v>
      </c>
      <c r="K1789" s="22">
        <v>2</v>
      </c>
      <c r="L1789" s="1">
        <v>42664</v>
      </c>
      <c r="M1789" s="22">
        <f>Table10[[#This Row],[Ship Date]]-Table10[[#This Row],[Order Date]]</f>
        <v>0</v>
      </c>
      <c r="N1789" t="s">
        <v>1141</v>
      </c>
      <c r="O1789" t="s">
        <v>23</v>
      </c>
      <c r="P1789" t="s">
        <v>660</v>
      </c>
      <c r="Q1789" t="s">
        <v>133</v>
      </c>
      <c r="R1789" t="s">
        <v>1143</v>
      </c>
      <c r="S1789" s="33">
        <v>0</v>
      </c>
      <c r="T1789" s="13">
        <v>7.36</v>
      </c>
      <c r="U1789" s="13">
        <v>0.1472</v>
      </c>
      <c r="V1789" s="21">
        <f>Table10[[#This Row],[Profit]]/Table10[[#This Row],[Sales]]</f>
        <v>0.02</v>
      </c>
    </row>
    <row r="1790" spans="1:22" x14ac:dyDescent="0.2">
      <c r="A1790">
        <v>1789</v>
      </c>
      <c r="B1790" t="s">
        <v>1140</v>
      </c>
      <c r="C1790" s="1">
        <v>42664</v>
      </c>
      <c r="D1790" s="22">
        <f>MONTH(Table10[[#This Row],[Order Date]])</f>
        <v>10</v>
      </c>
      <c r="E1790" t="s">
        <v>1148</v>
      </c>
      <c r="F1790" t="s">
        <v>1149</v>
      </c>
      <c r="G1790" s="23" t="s">
        <v>41</v>
      </c>
      <c r="H1790" s="23" t="s">
        <v>53</v>
      </c>
      <c r="I1790" t="s">
        <v>1142</v>
      </c>
      <c r="J1790" t="s">
        <v>36</v>
      </c>
      <c r="K1790" s="22">
        <v>7</v>
      </c>
      <c r="L1790" s="1">
        <v>42664</v>
      </c>
      <c r="M1790" s="22">
        <f>Table10[[#This Row],[Ship Date]]-Table10[[#This Row],[Order Date]]</f>
        <v>0</v>
      </c>
      <c r="N1790" t="s">
        <v>1141</v>
      </c>
      <c r="O1790" t="s">
        <v>23</v>
      </c>
      <c r="P1790" t="s">
        <v>660</v>
      </c>
      <c r="Q1790" t="s">
        <v>133</v>
      </c>
      <c r="R1790" t="s">
        <v>1143</v>
      </c>
      <c r="S1790" s="33">
        <v>0</v>
      </c>
      <c r="T1790" s="13">
        <v>104.79</v>
      </c>
      <c r="U1790" s="13">
        <v>29.341200000000001</v>
      </c>
      <c r="V1790" s="21">
        <f>Table10[[#This Row],[Profit]]/Table10[[#This Row],[Sales]]</f>
        <v>0.27999999999999997</v>
      </c>
    </row>
    <row r="1791" spans="1:22" x14ac:dyDescent="0.2">
      <c r="A1791">
        <v>1790</v>
      </c>
      <c r="B1791" t="s">
        <v>1140</v>
      </c>
      <c r="C1791" s="1">
        <v>42664</v>
      </c>
      <c r="D1791" s="22">
        <f>MONTH(Table10[[#This Row],[Order Date]])</f>
        <v>10</v>
      </c>
      <c r="E1791" t="s">
        <v>180</v>
      </c>
      <c r="F1791" t="s">
        <v>181</v>
      </c>
      <c r="G1791" s="23" t="s">
        <v>28</v>
      </c>
      <c r="H1791" s="23" t="s">
        <v>29</v>
      </c>
      <c r="I1791" t="s">
        <v>1142</v>
      </c>
      <c r="J1791" t="s">
        <v>36</v>
      </c>
      <c r="K1791" s="22">
        <v>4</v>
      </c>
      <c r="L1791" s="1">
        <v>42664</v>
      </c>
      <c r="M1791" s="22">
        <f>Table10[[#This Row],[Ship Date]]-Table10[[#This Row],[Order Date]]</f>
        <v>0</v>
      </c>
      <c r="N1791" t="s">
        <v>1141</v>
      </c>
      <c r="O1791" t="s">
        <v>23</v>
      </c>
      <c r="P1791" t="s">
        <v>660</v>
      </c>
      <c r="Q1791" t="s">
        <v>133</v>
      </c>
      <c r="R1791" t="s">
        <v>1143</v>
      </c>
      <c r="S1791" s="33">
        <v>0</v>
      </c>
      <c r="T1791" s="13">
        <v>1043.92</v>
      </c>
      <c r="U1791" s="13">
        <v>271.41919999999999</v>
      </c>
      <c r="V1791" s="21">
        <f>Table10[[#This Row],[Profit]]/Table10[[#This Row],[Sales]]</f>
        <v>0.25999999999999995</v>
      </c>
    </row>
    <row r="1792" spans="1:22" x14ac:dyDescent="0.2">
      <c r="A1792">
        <v>1791</v>
      </c>
      <c r="B1792" t="s">
        <v>2849</v>
      </c>
      <c r="C1792" s="1">
        <v>42664</v>
      </c>
      <c r="D1792" s="22">
        <f>MONTH(Table10[[#This Row],[Order Date]])</f>
        <v>10</v>
      </c>
      <c r="E1792" t="s">
        <v>2851</v>
      </c>
      <c r="F1792" t="s">
        <v>2852</v>
      </c>
      <c r="G1792" s="23" t="s">
        <v>41</v>
      </c>
      <c r="H1792" s="23" t="s">
        <v>82</v>
      </c>
      <c r="I1792" t="s">
        <v>2850</v>
      </c>
      <c r="J1792" t="s">
        <v>22</v>
      </c>
      <c r="K1792" s="22">
        <v>3</v>
      </c>
      <c r="L1792" s="1">
        <v>42670</v>
      </c>
      <c r="M1792" s="22">
        <f>Table10[[#This Row],[Ship Date]]-Table10[[#This Row],[Order Date]]</f>
        <v>6</v>
      </c>
      <c r="N1792" t="s">
        <v>45</v>
      </c>
      <c r="O1792" t="s">
        <v>23</v>
      </c>
      <c r="P1792" t="s">
        <v>38</v>
      </c>
      <c r="Q1792" t="s">
        <v>39</v>
      </c>
      <c r="R1792" t="s">
        <v>2513</v>
      </c>
      <c r="S1792" s="33">
        <v>0</v>
      </c>
      <c r="T1792" s="13">
        <v>22.92</v>
      </c>
      <c r="U1792" s="13">
        <v>11.2308</v>
      </c>
      <c r="V1792" s="21">
        <f>Table10[[#This Row],[Profit]]/Table10[[#This Row],[Sales]]</f>
        <v>0.49</v>
      </c>
    </row>
    <row r="1793" spans="1:22" x14ac:dyDescent="0.2">
      <c r="A1793">
        <v>1792</v>
      </c>
      <c r="B1793" t="s">
        <v>5298</v>
      </c>
      <c r="C1793" s="1">
        <v>42664</v>
      </c>
      <c r="D1793" s="22">
        <f>MONTH(Table10[[#This Row],[Order Date]])</f>
        <v>10</v>
      </c>
      <c r="E1793" t="s">
        <v>847</v>
      </c>
      <c r="F1793" t="s">
        <v>848</v>
      </c>
      <c r="G1793" s="23" t="s">
        <v>41</v>
      </c>
      <c r="H1793" s="23" t="s">
        <v>53</v>
      </c>
      <c r="I1793" t="s">
        <v>297</v>
      </c>
      <c r="J1793" t="s">
        <v>22</v>
      </c>
      <c r="K1793" s="22">
        <v>3</v>
      </c>
      <c r="L1793" s="1">
        <v>42668</v>
      </c>
      <c r="M1793" s="22">
        <f>Table10[[#This Row],[Ship Date]]-Table10[[#This Row],[Order Date]]</f>
        <v>4</v>
      </c>
      <c r="N1793" t="s">
        <v>45</v>
      </c>
      <c r="O1793" t="s">
        <v>23</v>
      </c>
      <c r="P1793" t="s">
        <v>38</v>
      </c>
      <c r="Q1793" t="s">
        <v>39</v>
      </c>
      <c r="R1793" t="s">
        <v>836</v>
      </c>
      <c r="S1793" s="33">
        <v>0</v>
      </c>
      <c r="T1793" s="13">
        <v>154.44</v>
      </c>
      <c r="U1793" s="13">
        <v>1.5444</v>
      </c>
      <c r="V1793" s="21">
        <f>Table10[[#This Row],[Profit]]/Table10[[#This Row],[Sales]]</f>
        <v>0.01</v>
      </c>
    </row>
    <row r="1794" spans="1:22" x14ac:dyDescent="0.2">
      <c r="A1794">
        <v>1793</v>
      </c>
      <c r="B1794" t="s">
        <v>5973</v>
      </c>
      <c r="C1794" s="1">
        <v>42664</v>
      </c>
      <c r="D1794" s="22">
        <f>MONTH(Table10[[#This Row],[Order Date]])</f>
        <v>10</v>
      </c>
      <c r="E1794" t="s">
        <v>3157</v>
      </c>
      <c r="F1794" t="s">
        <v>3158</v>
      </c>
      <c r="G1794" s="23" t="s">
        <v>41</v>
      </c>
      <c r="H1794" s="23" t="s">
        <v>68</v>
      </c>
      <c r="I1794" t="s">
        <v>3698</v>
      </c>
      <c r="J1794" t="s">
        <v>36</v>
      </c>
      <c r="K1794" s="22">
        <v>4</v>
      </c>
      <c r="L1794" s="1">
        <v>42669</v>
      </c>
      <c r="M1794" s="22">
        <f>Table10[[#This Row],[Ship Date]]-Table10[[#This Row],[Order Date]]</f>
        <v>5</v>
      </c>
      <c r="N1794" t="s">
        <v>45</v>
      </c>
      <c r="O1794" t="s">
        <v>23</v>
      </c>
      <c r="P1794" t="s">
        <v>218</v>
      </c>
      <c r="Q1794" t="s">
        <v>133</v>
      </c>
      <c r="R1794" t="s">
        <v>536</v>
      </c>
      <c r="S1794" s="33">
        <v>0</v>
      </c>
      <c r="T1794" s="13">
        <v>7.92</v>
      </c>
      <c r="U1794" s="13">
        <v>3.5640000000000001</v>
      </c>
      <c r="V1794" s="21">
        <f>Table10[[#This Row],[Profit]]/Table10[[#This Row],[Sales]]</f>
        <v>0.45</v>
      </c>
    </row>
    <row r="1795" spans="1:22" x14ac:dyDescent="0.2">
      <c r="A1795">
        <v>1794</v>
      </c>
      <c r="B1795" t="s">
        <v>6553</v>
      </c>
      <c r="C1795" s="1">
        <v>42664</v>
      </c>
      <c r="D1795" s="22">
        <f>MONTH(Table10[[#This Row],[Order Date]])</f>
        <v>10</v>
      </c>
      <c r="E1795" t="s">
        <v>3320</v>
      </c>
      <c r="F1795" t="s">
        <v>3321</v>
      </c>
      <c r="G1795" s="23" t="s">
        <v>64</v>
      </c>
      <c r="H1795" s="23" t="s">
        <v>144</v>
      </c>
      <c r="I1795" t="s">
        <v>2775</v>
      </c>
      <c r="J1795" t="s">
        <v>22</v>
      </c>
      <c r="K1795" s="22">
        <v>6</v>
      </c>
      <c r="L1795" s="1">
        <v>42665</v>
      </c>
      <c r="M1795" s="22">
        <f>Table10[[#This Row],[Ship Date]]-Table10[[#This Row],[Order Date]]</f>
        <v>1</v>
      </c>
      <c r="N1795" t="s">
        <v>169</v>
      </c>
      <c r="O1795" t="s">
        <v>23</v>
      </c>
      <c r="P1795" t="s">
        <v>2408</v>
      </c>
      <c r="Q1795" t="s">
        <v>133</v>
      </c>
      <c r="R1795" t="s">
        <v>3967</v>
      </c>
      <c r="S1795" s="33">
        <v>0</v>
      </c>
      <c r="T1795" s="13">
        <v>98.16</v>
      </c>
      <c r="U1795" s="13">
        <v>9.8160000000000007</v>
      </c>
      <c r="V1795" s="21">
        <f>Table10[[#This Row],[Profit]]/Table10[[#This Row],[Sales]]</f>
        <v>0.1</v>
      </c>
    </row>
    <row r="1796" spans="1:22" x14ac:dyDescent="0.2">
      <c r="A1796">
        <v>1795</v>
      </c>
      <c r="B1796" t="s">
        <v>7975</v>
      </c>
      <c r="C1796" s="1">
        <v>42664</v>
      </c>
      <c r="D1796" s="22">
        <f>MONTH(Table10[[#This Row],[Order Date]])</f>
        <v>10</v>
      </c>
      <c r="E1796" t="s">
        <v>6954</v>
      </c>
      <c r="F1796" t="s">
        <v>6955</v>
      </c>
      <c r="G1796" s="23" t="s">
        <v>64</v>
      </c>
      <c r="H1796" s="23" t="s">
        <v>65</v>
      </c>
      <c r="I1796" t="s">
        <v>4719</v>
      </c>
      <c r="J1796" t="s">
        <v>22</v>
      </c>
      <c r="K1796" s="22">
        <v>8</v>
      </c>
      <c r="L1796" s="1">
        <v>42670</v>
      </c>
      <c r="M1796" s="22">
        <f>Table10[[#This Row],[Ship Date]]-Table10[[#This Row],[Order Date]]</f>
        <v>6</v>
      </c>
      <c r="N1796" t="s">
        <v>45</v>
      </c>
      <c r="O1796" t="s">
        <v>23</v>
      </c>
      <c r="P1796" t="s">
        <v>441</v>
      </c>
      <c r="Q1796" t="s">
        <v>133</v>
      </c>
      <c r="R1796" t="s">
        <v>440</v>
      </c>
      <c r="S1796" s="33">
        <v>0.4</v>
      </c>
      <c r="T1796" s="13">
        <v>235.15199999999999</v>
      </c>
      <c r="U1796" s="13">
        <v>-47.0304</v>
      </c>
      <c r="V1796" s="21">
        <f>Table10[[#This Row],[Profit]]/Table10[[#This Row],[Sales]]</f>
        <v>-0.2</v>
      </c>
    </row>
    <row r="1797" spans="1:22" x14ac:dyDescent="0.2">
      <c r="A1797">
        <v>1796</v>
      </c>
      <c r="B1797" t="s">
        <v>8035</v>
      </c>
      <c r="C1797" s="1">
        <v>42664</v>
      </c>
      <c r="D1797" s="22">
        <f>MONTH(Table10[[#This Row],[Order Date]])</f>
        <v>10</v>
      </c>
      <c r="E1797" t="s">
        <v>4495</v>
      </c>
      <c r="F1797" t="s">
        <v>4496</v>
      </c>
      <c r="G1797" s="23" t="s">
        <v>28</v>
      </c>
      <c r="H1797" s="23" t="s">
        <v>50</v>
      </c>
      <c r="I1797" t="s">
        <v>746</v>
      </c>
      <c r="J1797" t="s">
        <v>36</v>
      </c>
      <c r="K1797" s="22">
        <v>2</v>
      </c>
      <c r="L1797" s="1">
        <v>42669</v>
      </c>
      <c r="M1797" s="22">
        <f>Table10[[#This Row],[Ship Date]]-Table10[[#This Row],[Order Date]]</f>
        <v>5</v>
      </c>
      <c r="N1797" t="s">
        <v>45</v>
      </c>
      <c r="O1797" t="s">
        <v>23</v>
      </c>
      <c r="P1797" t="s">
        <v>441</v>
      </c>
      <c r="Q1797" t="s">
        <v>133</v>
      </c>
      <c r="R1797" t="s">
        <v>990</v>
      </c>
      <c r="S1797" s="33">
        <v>0.4</v>
      </c>
      <c r="T1797" s="13">
        <v>661.17600000000004</v>
      </c>
      <c r="U1797" s="13">
        <v>-231.41159999999999</v>
      </c>
      <c r="V1797" s="21">
        <f>Table10[[#This Row],[Profit]]/Table10[[#This Row],[Sales]]</f>
        <v>-0.35</v>
      </c>
    </row>
    <row r="1798" spans="1:22" x14ac:dyDescent="0.2">
      <c r="A1798">
        <v>1797</v>
      </c>
      <c r="B1798" t="s">
        <v>8903</v>
      </c>
      <c r="C1798" s="1">
        <v>42664</v>
      </c>
      <c r="D1798" s="22">
        <f>MONTH(Table10[[#This Row],[Order Date]])</f>
        <v>10</v>
      </c>
      <c r="E1798" t="s">
        <v>3375</v>
      </c>
      <c r="F1798" t="s">
        <v>3376</v>
      </c>
      <c r="G1798" s="23" t="s">
        <v>41</v>
      </c>
      <c r="H1798" s="23" t="s">
        <v>61</v>
      </c>
      <c r="I1798" t="s">
        <v>3710</v>
      </c>
      <c r="J1798" t="s">
        <v>92</v>
      </c>
      <c r="K1798" s="22">
        <v>3</v>
      </c>
      <c r="L1798" s="1">
        <v>42669</v>
      </c>
      <c r="M1798" s="22">
        <f>Table10[[#This Row],[Ship Date]]-Table10[[#This Row],[Order Date]]</f>
        <v>5</v>
      </c>
      <c r="N1798" t="s">
        <v>20</v>
      </c>
      <c r="O1798" t="s">
        <v>23</v>
      </c>
      <c r="P1798" t="s">
        <v>1229</v>
      </c>
      <c r="Q1798" t="s">
        <v>39</v>
      </c>
      <c r="R1798" t="s">
        <v>3568</v>
      </c>
      <c r="S1798" s="33">
        <v>0</v>
      </c>
      <c r="T1798" s="13">
        <v>113.22</v>
      </c>
      <c r="U1798" s="13">
        <v>29.437200000000001</v>
      </c>
      <c r="V1798" s="21">
        <f>Table10[[#This Row],[Profit]]/Table10[[#This Row],[Sales]]</f>
        <v>0.26</v>
      </c>
    </row>
    <row r="1799" spans="1:22" x14ac:dyDescent="0.2">
      <c r="A1799">
        <v>1798</v>
      </c>
      <c r="B1799" t="s">
        <v>8903</v>
      </c>
      <c r="C1799" s="1">
        <v>42664</v>
      </c>
      <c r="D1799" s="22">
        <f>MONTH(Table10[[#This Row],[Order Date]])</f>
        <v>10</v>
      </c>
      <c r="E1799" t="s">
        <v>7961</v>
      </c>
      <c r="F1799" t="s">
        <v>7962</v>
      </c>
      <c r="G1799" s="23" t="s">
        <v>41</v>
      </c>
      <c r="H1799" s="23" t="s">
        <v>82</v>
      </c>
      <c r="I1799" t="s">
        <v>3710</v>
      </c>
      <c r="J1799" t="s">
        <v>92</v>
      </c>
      <c r="K1799" s="22">
        <v>6</v>
      </c>
      <c r="L1799" s="1">
        <v>42669</v>
      </c>
      <c r="M1799" s="22">
        <f>Table10[[#This Row],[Ship Date]]-Table10[[#This Row],[Order Date]]</f>
        <v>5</v>
      </c>
      <c r="N1799" t="s">
        <v>20</v>
      </c>
      <c r="O1799" t="s">
        <v>23</v>
      </c>
      <c r="P1799" t="s">
        <v>1229</v>
      </c>
      <c r="Q1799" t="s">
        <v>39</v>
      </c>
      <c r="R1799" t="s">
        <v>3568</v>
      </c>
      <c r="S1799" s="33">
        <v>0</v>
      </c>
      <c r="T1799" s="13">
        <v>35.880000000000003</v>
      </c>
      <c r="U1799" s="13">
        <v>17.581199999999999</v>
      </c>
      <c r="V1799" s="21">
        <f>Table10[[#This Row],[Profit]]/Table10[[#This Row],[Sales]]</f>
        <v>0.48999999999999994</v>
      </c>
    </row>
    <row r="1800" spans="1:22" x14ac:dyDescent="0.2">
      <c r="A1800">
        <v>1799</v>
      </c>
      <c r="B1800" t="s">
        <v>8903</v>
      </c>
      <c r="C1800" s="1">
        <v>42664</v>
      </c>
      <c r="D1800" s="22">
        <f>MONTH(Table10[[#This Row],[Order Date]])</f>
        <v>10</v>
      </c>
      <c r="E1800" t="s">
        <v>6481</v>
      </c>
      <c r="F1800" t="s">
        <v>6482</v>
      </c>
      <c r="G1800" s="23" t="s">
        <v>41</v>
      </c>
      <c r="H1800" s="23" t="s">
        <v>68</v>
      </c>
      <c r="I1800" t="s">
        <v>3710</v>
      </c>
      <c r="J1800" t="s">
        <v>92</v>
      </c>
      <c r="K1800" s="22">
        <v>3</v>
      </c>
      <c r="L1800" s="1">
        <v>42669</v>
      </c>
      <c r="M1800" s="22">
        <f>Table10[[#This Row],[Ship Date]]-Table10[[#This Row],[Order Date]]</f>
        <v>5</v>
      </c>
      <c r="N1800" t="s">
        <v>20</v>
      </c>
      <c r="O1800" t="s">
        <v>23</v>
      </c>
      <c r="P1800" t="s">
        <v>1229</v>
      </c>
      <c r="Q1800" t="s">
        <v>39</v>
      </c>
      <c r="R1800" t="s">
        <v>3568</v>
      </c>
      <c r="S1800" s="33">
        <v>0.2</v>
      </c>
      <c r="T1800" s="13">
        <v>4535.9759999999997</v>
      </c>
      <c r="U1800" s="13">
        <v>1644.2913000000001</v>
      </c>
      <c r="V1800" s="21">
        <f>Table10[[#This Row],[Profit]]/Table10[[#This Row],[Sales]]</f>
        <v>0.36250000000000004</v>
      </c>
    </row>
    <row r="1801" spans="1:22" x14ac:dyDescent="0.2">
      <c r="A1801">
        <v>1800</v>
      </c>
      <c r="B1801" t="s">
        <v>8906</v>
      </c>
      <c r="C1801" s="1">
        <v>42664</v>
      </c>
      <c r="D1801" s="22">
        <f>MONTH(Table10[[#This Row],[Order Date]])</f>
        <v>10</v>
      </c>
      <c r="E1801" t="s">
        <v>3540</v>
      </c>
      <c r="F1801" t="s">
        <v>5887</v>
      </c>
      <c r="G1801" s="23" t="s">
        <v>41</v>
      </c>
      <c r="H1801" s="23" t="s">
        <v>53</v>
      </c>
      <c r="I1801" t="s">
        <v>4088</v>
      </c>
      <c r="J1801" t="s">
        <v>22</v>
      </c>
      <c r="K1801" s="22">
        <v>9</v>
      </c>
      <c r="L1801" s="1">
        <v>42667</v>
      </c>
      <c r="M1801" s="22">
        <f>Table10[[#This Row],[Ship Date]]-Table10[[#This Row],[Order Date]]</f>
        <v>3</v>
      </c>
      <c r="N1801" t="s">
        <v>20</v>
      </c>
      <c r="O1801" t="s">
        <v>23</v>
      </c>
      <c r="P1801" t="s">
        <v>299</v>
      </c>
      <c r="Q1801" t="s">
        <v>26</v>
      </c>
      <c r="R1801" t="s">
        <v>293</v>
      </c>
      <c r="S1801" s="33">
        <v>0.2</v>
      </c>
      <c r="T1801" s="13">
        <v>111.672</v>
      </c>
      <c r="U1801" s="13">
        <v>6.9794999999999998</v>
      </c>
      <c r="V1801" s="21">
        <f>Table10[[#This Row],[Profit]]/Table10[[#This Row],[Sales]]</f>
        <v>6.25E-2</v>
      </c>
    </row>
    <row r="1802" spans="1:22" x14ac:dyDescent="0.2">
      <c r="A1802">
        <v>1801</v>
      </c>
      <c r="B1802" t="s">
        <v>9010</v>
      </c>
      <c r="C1802" s="1">
        <v>42664</v>
      </c>
      <c r="D1802" s="22">
        <f>MONTH(Table10[[#This Row],[Order Date]])</f>
        <v>10</v>
      </c>
      <c r="E1802" t="s">
        <v>665</v>
      </c>
      <c r="F1802" t="s">
        <v>666</v>
      </c>
      <c r="G1802" s="23" t="s">
        <v>64</v>
      </c>
      <c r="H1802" s="23" t="s">
        <v>144</v>
      </c>
      <c r="I1802" t="s">
        <v>4007</v>
      </c>
      <c r="J1802" t="s">
        <v>22</v>
      </c>
      <c r="K1802" s="22">
        <v>6</v>
      </c>
      <c r="L1802" s="1">
        <v>42668</v>
      </c>
      <c r="M1802" s="22">
        <f>Table10[[#This Row],[Ship Date]]-Table10[[#This Row],[Order Date]]</f>
        <v>4</v>
      </c>
      <c r="N1802" t="s">
        <v>45</v>
      </c>
      <c r="O1802" t="s">
        <v>23</v>
      </c>
      <c r="P1802" t="s">
        <v>94</v>
      </c>
      <c r="Q1802" t="s">
        <v>95</v>
      </c>
      <c r="R1802" t="s">
        <v>598</v>
      </c>
      <c r="S1802" s="33">
        <v>0.2</v>
      </c>
      <c r="T1802" s="13">
        <v>106.08</v>
      </c>
      <c r="U1802" s="13">
        <v>-9.282</v>
      </c>
      <c r="V1802" s="21">
        <f>Table10[[#This Row],[Profit]]/Table10[[#This Row],[Sales]]</f>
        <v>-8.7500000000000008E-2</v>
      </c>
    </row>
    <row r="1803" spans="1:22" x14ac:dyDescent="0.2">
      <c r="A1803">
        <v>1802</v>
      </c>
      <c r="B1803" t="s">
        <v>10005</v>
      </c>
      <c r="C1803" s="1">
        <v>42664</v>
      </c>
      <c r="D1803" s="22">
        <f>MONTH(Table10[[#This Row],[Order Date]])</f>
        <v>10</v>
      </c>
      <c r="E1803" t="s">
        <v>7198</v>
      </c>
      <c r="F1803" t="s">
        <v>7199</v>
      </c>
      <c r="G1803" s="23" t="s">
        <v>28</v>
      </c>
      <c r="H1803" s="23" t="s">
        <v>32</v>
      </c>
      <c r="I1803" t="s">
        <v>1725</v>
      </c>
      <c r="J1803" t="s">
        <v>22</v>
      </c>
      <c r="K1803" s="22">
        <v>3</v>
      </c>
      <c r="L1803" s="1">
        <v>42670</v>
      </c>
      <c r="M1803" s="22">
        <f>Table10[[#This Row],[Ship Date]]-Table10[[#This Row],[Order Date]]</f>
        <v>6</v>
      </c>
      <c r="N1803" t="s">
        <v>45</v>
      </c>
      <c r="O1803" t="s">
        <v>23</v>
      </c>
      <c r="P1803" t="s">
        <v>38</v>
      </c>
      <c r="Q1803" t="s">
        <v>39</v>
      </c>
      <c r="R1803" t="s">
        <v>37</v>
      </c>
      <c r="S1803" s="33">
        <v>0.2</v>
      </c>
      <c r="T1803" s="13">
        <v>242.136</v>
      </c>
      <c r="U1803" s="13">
        <v>12.1068</v>
      </c>
      <c r="V1803" s="21">
        <f>Table10[[#This Row],[Profit]]/Table10[[#This Row],[Sales]]</f>
        <v>0.05</v>
      </c>
    </row>
    <row r="1804" spans="1:22" x14ac:dyDescent="0.2">
      <c r="A1804">
        <v>1803</v>
      </c>
      <c r="B1804" t="s">
        <v>10005</v>
      </c>
      <c r="C1804" s="1">
        <v>42664</v>
      </c>
      <c r="D1804" s="22">
        <f>MONTH(Table10[[#This Row],[Order Date]])</f>
        <v>10</v>
      </c>
      <c r="E1804" t="s">
        <v>419</v>
      </c>
      <c r="F1804" t="s">
        <v>420</v>
      </c>
      <c r="G1804" s="23" t="s">
        <v>41</v>
      </c>
      <c r="H1804" s="23" t="s">
        <v>61</v>
      </c>
      <c r="I1804" t="s">
        <v>1725</v>
      </c>
      <c r="J1804" t="s">
        <v>22</v>
      </c>
      <c r="K1804" s="22">
        <v>3</v>
      </c>
      <c r="L1804" s="1">
        <v>42670</v>
      </c>
      <c r="M1804" s="22">
        <f>Table10[[#This Row],[Ship Date]]-Table10[[#This Row],[Order Date]]</f>
        <v>6</v>
      </c>
      <c r="N1804" t="s">
        <v>45</v>
      </c>
      <c r="O1804" t="s">
        <v>23</v>
      </c>
      <c r="P1804" t="s">
        <v>38</v>
      </c>
      <c r="Q1804" t="s">
        <v>39</v>
      </c>
      <c r="R1804" t="s">
        <v>37</v>
      </c>
      <c r="S1804" s="33">
        <v>0</v>
      </c>
      <c r="T1804" s="13">
        <v>12.39</v>
      </c>
      <c r="U1804" s="13">
        <v>5.6993999999999998</v>
      </c>
      <c r="V1804" s="21">
        <f>Table10[[#This Row],[Profit]]/Table10[[#This Row],[Sales]]</f>
        <v>0.45999999999999996</v>
      </c>
    </row>
    <row r="1805" spans="1:22" x14ac:dyDescent="0.2">
      <c r="A1805">
        <v>1804</v>
      </c>
      <c r="B1805" t="s">
        <v>10005</v>
      </c>
      <c r="C1805" s="1">
        <v>42664</v>
      </c>
      <c r="D1805" s="22">
        <f>MONTH(Table10[[#This Row],[Order Date]])</f>
        <v>10</v>
      </c>
      <c r="E1805" t="s">
        <v>6388</v>
      </c>
      <c r="F1805" t="s">
        <v>6389</v>
      </c>
      <c r="G1805" s="23" t="s">
        <v>28</v>
      </c>
      <c r="H1805" s="23" t="s">
        <v>58</v>
      </c>
      <c r="I1805" t="s">
        <v>1725</v>
      </c>
      <c r="J1805" t="s">
        <v>22</v>
      </c>
      <c r="K1805" s="22">
        <v>2</v>
      </c>
      <c r="L1805" s="1">
        <v>42670</v>
      </c>
      <c r="M1805" s="22">
        <f>Table10[[#This Row],[Ship Date]]-Table10[[#This Row],[Order Date]]</f>
        <v>6</v>
      </c>
      <c r="N1805" t="s">
        <v>45</v>
      </c>
      <c r="O1805" t="s">
        <v>23</v>
      </c>
      <c r="P1805" t="s">
        <v>38</v>
      </c>
      <c r="Q1805" t="s">
        <v>39</v>
      </c>
      <c r="R1805" t="s">
        <v>37</v>
      </c>
      <c r="S1805" s="33">
        <v>0</v>
      </c>
      <c r="T1805" s="13">
        <v>19.96</v>
      </c>
      <c r="U1805" s="13">
        <v>5.5888</v>
      </c>
      <c r="V1805" s="21">
        <f>Table10[[#This Row],[Profit]]/Table10[[#This Row],[Sales]]</f>
        <v>0.27999999999999997</v>
      </c>
    </row>
    <row r="1806" spans="1:22" x14ac:dyDescent="0.2">
      <c r="A1806">
        <v>1805</v>
      </c>
      <c r="B1806" t="s">
        <v>10005</v>
      </c>
      <c r="C1806" s="1">
        <v>42664</v>
      </c>
      <c r="D1806" s="22">
        <f>MONTH(Table10[[#This Row],[Order Date]])</f>
        <v>10</v>
      </c>
      <c r="E1806" t="s">
        <v>1443</v>
      </c>
      <c r="F1806" t="s">
        <v>1444</v>
      </c>
      <c r="G1806" s="23" t="s">
        <v>41</v>
      </c>
      <c r="H1806" s="23" t="s">
        <v>53</v>
      </c>
      <c r="I1806" t="s">
        <v>1725</v>
      </c>
      <c r="J1806" t="s">
        <v>22</v>
      </c>
      <c r="K1806" s="22">
        <v>3</v>
      </c>
      <c r="L1806" s="1">
        <v>42670</v>
      </c>
      <c r="M1806" s="22">
        <f>Table10[[#This Row],[Ship Date]]-Table10[[#This Row],[Order Date]]</f>
        <v>6</v>
      </c>
      <c r="N1806" t="s">
        <v>45</v>
      </c>
      <c r="O1806" t="s">
        <v>23</v>
      </c>
      <c r="P1806" t="s">
        <v>38</v>
      </c>
      <c r="Q1806" t="s">
        <v>39</v>
      </c>
      <c r="R1806" t="s">
        <v>37</v>
      </c>
      <c r="S1806" s="33">
        <v>0</v>
      </c>
      <c r="T1806" s="13">
        <v>340.92</v>
      </c>
      <c r="U1806" s="13">
        <v>3.4091999999999998</v>
      </c>
      <c r="V1806" s="21">
        <f>Table10[[#This Row],[Profit]]/Table10[[#This Row],[Sales]]</f>
        <v>9.9999999999999985E-3</v>
      </c>
    </row>
    <row r="1807" spans="1:22" x14ac:dyDescent="0.2">
      <c r="A1807">
        <v>1806</v>
      </c>
      <c r="B1807" t="s">
        <v>10056</v>
      </c>
      <c r="C1807" s="1">
        <v>42664</v>
      </c>
      <c r="D1807" s="22">
        <f>MONTH(Table10[[#This Row],[Order Date]])</f>
        <v>10</v>
      </c>
      <c r="E1807" t="s">
        <v>4050</v>
      </c>
      <c r="F1807" t="s">
        <v>4051</v>
      </c>
      <c r="G1807" s="23" t="s">
        <v>28</v>
      </c>
      <c r="H1807" s="23" t="s">
        <v>58</v>
      </c>
      <c r="I1807" t="s">
        <v>2946</v>
      </c>
      <c r="J1807" t="s">
        <v>92</v>
      </c>
      <c r="K1807" s="22">
        <v>2</v>
      </c>
      <c r="L1807" s="1">
        <v>42669</v>
      </c>
      <c r="M1807" s="22">
        <f>Table10[[#This Row],[Ship Date]]-Table10[[#This Row],[Order Date]]</f>
        <v>5</v>
      </c>
      <c r="N1807" t="s">
        <v>45</v>
      </c>
      <c r="O1807" t="s">
        <v>23</v>
      </c>
      <c r="P1807" t="s">
        <v>48</v>
      </c>
      <c r="Q1807" t="s">
        <v>26</v>
      </c>
      <c r="R1807" t="s">
        <v>47</v>
      </c>
      <c r="S1807" s="33">
        <v>0.2</v>
      </c>
      <c r="T1807" s="13">
        <v>45.567999999999998</v>
      </c>
      <c r="U1807" s="13">
        <v>9.6831999999999994</v>
      </c>
      <c r="V1807" s="21">
        <f>Table10[[#This Row],[Profit]]/Table10[[#This Row],[Sales]]</f>
        <v>0.21249999999999999</v>
      </c>
    </row>
    <row r="1808" spans="1:22" x14ac:dyDescent="0.2">
      <c r="A1808">
        <v>1807</v>
      </c>
      <c r="B1808" t="s">
        <v>10056</v>
      </c>
      <c r="C1808" s="1">
        <v>42664</v>
      </c>
      <c r="D1808" s="22">
        <f>MONTH(Table10[[#This Row],[Order Date]])</f>
        <v>10</v>
      </c>
      <c r="E1808" t="s">
        <v>4360</v>
      </c>
      <c r="F1808" t="s">
        <v>4361</v>
      </c>
      <c r="G1808" s="23" t="s">
        <v>41</v>
      </c>
      <c r="H1808" s="23" t="s">
        <v>68</v>
      </c>
      <c r="I1808" t="s">
        <v>2946</v>
      </c>
      <c r="J1808" t="s">
        <v>92</v>
      </c>
      <c r="K1808" s="22">
        <v>8</v>
      </c>
      <c r="L1808" s="1">
        <v>42669</v>
      </c>
      <c r="M1808" s="22">
        <f>Table10[[#This Row],[Ship Date]]-Table10[[#This Row],[Order Date]]</f>
        <v>5</v>
      </c>
      <c r="N1808" t="s">
        <v>45</v>
      </c>
      <c r="O1808" t="s">
        <v>23</v>
      </c>
      <c r="P1808" t="s">
        <v>48</v>
      </c>
      <c r="Q1808" t="s">
        <v>26</v>
      </c>
      <c r="R1808" t="s">
        <v>47</v>
      </c>
      <c r="S1808" s="33">
        <v>0.7</v>
      </c>
      <c r="T1808" s="13">
        <v>28.751999999999999</v>
      </c>
      <c r="U1808" s="13">
        <v>-21.084800000000001</v>
      </c>
      <c r="V1808" s="21">
        <f>Table10[[#This Row],[Profit]]/Table10[[#This Row],[Sales]]</f>
        <v>-0.73333333333333339</v>
      </c>
    </row>
    <row r="1809" spans="1:22" x14ac:dyDescent="0.2">
      <c r="A1809">
        <v>1808</v>
      </c>
      <c r="B1809" t="s">
        <v>2393</v>
      </c>
      <c r="C1809" s="1">
        <v>42665</v>
      </c>
      <c r="D1809" s="22">
        <f>MONTH(Table10[[#This Row],[Order Date]])</f>
        <v>10</v>
      </c>
      <c r="E1809" t="s">
        <v>1861</v>
      </c>
      <c r="F1809" t="s">
        <v>1862</v>
      </c>
      <c r="G1809" s="23" t="s">
        <v>28</v>
      </c>
      <c r="H1809" s="23" t="s">
        <v>58</v>
      </c>
      <c r="I1809" t="s">
        <v>2394</v>
      </c>
      <c r="J1809" t="s">
        <v>92</v>
      </c>
      <c r="K1809" s="22">
        <v>5</v>
      </c>
      <c r="L1809" s="1">
        <v>42667</v>
      </c>
      <c r="M1809" s="22">
        <f>Table10[[#This Row],[Ship Date]]-Table10[[#This Row],[Order Date]]</f>
        <v>2</v>
      </c>
      <c r="N1809" t="s">
        <v>169</v>
      </c>
      <c r="O1809" t="s">
        <v>23</v>
      </c>
      <c r="P1809" t="s">
        <v>212</v>
      </c>
      <c r="Q1809" t="s">
        <v>95</v>
      </c>
      <c r="R1809" t="s">
        <v>775</v>
      </c>
      <c r="S1809" s="33">
        <v>0</v>
      </c>
      <c r="T1809" s="13">
        <v>31.4</v>
      </c>
      <c r="U1809" s="13">
        <v>10.048</v>
      </c>
      <c r="V1809" s="21">
        <f>Table10[[#This Row],[Profit]]/Table10[[#This Row],[Sales]]</f>
        <v>0.32</v>
      </c>
    </row>
    <row r="1810" spans="1:22" x14ac:dyDescent="0.2">
      <c r="A1810">
        <v>1809</v>
      </c>
      <c r="B1810" t="s">
        <v>6387</v>
      </c>
      <c r="C1810" s="1">
        <v>42665</v>
      </c>
      <c r="D1810" s="22">
        <f>MONTH(Table10[[#This Row],[Order Date]])</f>
        <v>10</v>
      </c>
      <c r="E1810" t="s">
        <v>6388</v>
      </c>
      <c r="F1810" t="s">
        <v>6389</v>
      </c>
      <c r="G1810" s="23" t="s">
        <v>28</v>
      </c>
      <c r="H1810" s="23" t="s">
        <v>58</v>
      </c>
      <c r="I1810" t="s">
        <v>3841</v>
      </c>
      <c r="J1810" t="s">
        <v>22</v>
      </c>
      <c r="K1810" s="22">
        <v>4</v>
      </c>
      <c r="L1810" s="1">
        <v>42667</v>
      </c>
      <c r="M1810" s="22">
        <f>Table10[[#This Row],[Ship Date]]-Table10[[#This Row],[Order Date]]</f>
        <v>2</v>
      </c>
      <c r="N1810" t="s">
        <v>169</v>
      </c>
      <c r="O1810" t="s">
        <v>23</v>
      </c>
      <c r="P1810" t="s">
        <v>285</v>
      </c>
      <c r="Q1810" t="s">
        <v>26</v>
      </c>
      <c r="R1810" t="s">
        <v>1294</v>
      </c>
      <c r="S1810" s="33">
        <v>0</v>
      </c>
      <c r="T1810" s="13">
        <v>39.92</v>
      </c>
      <c r="U1810" s="13">
        <v>11.1776</v>
      </c>
      <c r="V1810" s="21">
        <f>Table10[[#This Row],[Profit]]/Table10[[#This Row],[Sales]]</f>
        <v>0.27999999999999997</v>
      </c>
    </row>
    <row r="1811" spans="1:22" x14ac:dyDescent="0.2">
      <c r="A1811">
        <v>1810</v>
      </c>
      <c r="B1811" t="s">
        <v>8199</v>
      </c>
      <c r="C1811" s="1">
        <v>42665</v>
      </c>
      <c r="D1811" s="22">
        <f>MONTH(Table10[[#This Row],[Order Date]])</f>
        <v>10</v>
      </c>
      <c r="E1811" t="s">
        <v>3802</v>
      </c>
      <c r="F1811" t="s">
        <v>3803</v>
      </c>
      <c r="G1811" s="23" t="s">
        <v>41</v>
      </c>
      <c r="H1811" s="23" t="s">
        <v>82</v>
      </c>
      <c r="I1811" t="s">
        <v>5253</v>
      </c>
      <c r="J1811" t="s">
        <v>22</v>
      </c>
      <c r="K1811" s="22">
        <v>1</v>
      </c>
      <c r="L1811" s="1">
        <v>42665</v>
      </c>
      <c r="M1811" s="22">
        <f>Table10[[#This Row],[Ship Date]]-Table10[[#This Row],[Order Date]]</f>
        <v>0</v>
      </c>
      <c r="N1811" t="s">
        <v>1141</v>
      </c>
      <c r="O1811" t="s">
        <v>23</v>
      </c>
      <c r="P1811" t="s">
        <v>87</v>
      </c>
      <c r="Q1811" t="s">
        <v>39</v>
      </c>
      <c r="R1811" t="s">
        <v>86</v>
      </c>
      <c r="S1811" s="33">
        <v>0</v>
      </c>
      <c r="T1811" s="13">
        <v>6.68</v>
      </c>
      <c r="U1811" s="13">
        <v>3.2063999999999999</v>
      </c>
      <c r="V1811" s="21">
        <f>Table10[[#This Row],[Profit]]/Table10[[#This Row],[Sales]]</f>
        <v>0.48</v>
      </c>
    </row>
    <row r="1812" spans="1:22" x14ac:dyDescent="0.2">
      <c r="A1812">
        <v>1811</v>
      </c>
      <c r="B1812" t="s">
        <v>8199</v>
      </c>
      <c r="C1812" s="1">
        <v>42665</v>
      </c>
      <c r="D1812" s="22">
        <f>MONTH(Table10[[#This Row],[Order Date]])</f>
        <v>10</v>
      </c>
      <c r="E1812" t="s">
        <v>6458</v>
      </c>
      <c r="F1812" t="s">
        <v>3726</v>
      </c>
      <c r="G1812" s="23" t="s">
        <v>41</v>
      </c>
      <c r="H1812" s="23" t="s">
        <v>61</v>
      </c>
      <c r="I1812" t="s">
        <v>5253</v>
      </c>
      <c r="J1812" t="s">
        <v>22</v>
      </c>
      <c r="K1812" s="22">
        <v>3</v>
      </c>
      <c r="L1812" s="1">
        <v>42665</v>
      </c>
      <c r="M1812" s="22">
        <f>Table10[[#This Row],[Ship Date]]-Table10[[#This Row],[Order Date]]</f>
        <v>0</v>
      </c>
      <c r="N1812" t="s">
        <v>1141</v>
      </c>
      <c r="O1812" t="s">
        <v>23</v>
      </c>
      <c r="P1812" t="s">
        <v>87</v>
      </c>
      <c r="Q1812" t="s">
        <v>39</v>
      </c>
      <c r="R1812" t="s">
        <v>86</v>
      </c>
      <c r="S1812" s="33">
        <v>0</v>
      </c>
      <c r="T1812" s="13">
        <v>8.34</v>
      </c>
      <c r="U1812" s="13">
        <v>2.2517999999999998</v>
      </c>
      <c r="V1812" s="21">
        <f>Table10[[#This Row],[Profit]]/Table10[[#This Row],[Sales]]</f>
        <v>0.26999999999999996</v>
      </c>
    </row>
    <row r="1813" spans="1:22" x14ac:dyDescent="0.2">
      <c r="A1813">
        <v>1812</v>
      </c>
      <c r="B1813" t="s">
        <v>8199</v>
      </c>
      <c r="C1813" s="1">
        <v>42665</v>
      </c>
      <c r="D1813" s="22">
        <f>MONTH(Table10[[#This Row],[Order Date]])</f>
        <v>10</v>
      </c>
      <c r="E1813" t="s">
        <v>8200</v>
      </c>
      <c r="F1813" t="s">
        <v>8201</v>
      </c>
      <c r="G1813" s="23" t="s">
        <v>28</v>
      </c>
      <c r="H1813" s="23" t="s">
        <v>58</v>
      </c>
      <c r="I1813" t="s">
        <v>5253</v>
      </c>
      <c r="J1813" t="s">
        <v>22</v>
      </c>
      <c r="K1813" s="22">
        <v>3</v>
      </c>
      <c r="L1813" s="1">
        <v>42665</v>
      </c>
      <c r="M1813" s="22">
        <f>Table10[[#This Row],[Ship Date]]-Table10[[#This Row],[Order Date]]</f>
        <v>0</v>
      </c>
      <c r="N1813" t="s">
        <v>1141</v>
      </c>
      <c r="O1813" t="s">
        <v>23</v>
      </c>
      <c r="P1813" t="s">
        <v>87</v>
      </c>
      <c r="Q1813" t="s">
        <v>39</v>
      </c>
      <c r="R1813" t="s">
        <v>86</v>
      </c>
      <c r="S1813" s="33">
        <v>0</v>
      </c>
      <c r="T1813" s="13">
        <v>101.94</v>
      </c>
      <c r="U1813" s="13">
        <v>30.582000000000001</v>
      </c>
      <c r="V1813" s="21">
        <f>Table10[[#This Row],[Profit]]/Table10[[#This Row],[Sales]]</f>
        <v>0.3</v>
      </c>
    </row>
    <row r="1814" spans="1:22" x14ac:dyDescent="0.2">
      <c r="A1814">
        <v>1813</v>
      </c>
      <c r="B1814" t="s">
        <v>1891</v>
      </c>
      <c r="C1814" s="1">
        <v>42666</v>
      </c>
      <c r="D1814" s="22">
        <f>MONTH(Table10[[#This Row],[Order Date]])</f>
        <v>10</v>
      </c>
      <c r="E1814" t="s">
        <v>286</v>
      </c>
      <c r="F1814" t="s">
        <v>287</v>
      </c>
      <c r="G1814" s="23" t="s">
        <v>41</v>
      </c>
      <c r="H1814" s="23" t="s">
        <v>82</v>
      </c>
      <c r="I1814" t="s">
        <v>1892</v>
      </c>
      <c r="J1814" t="s">
        <v>92</v>
      </c>
      <c r="K1814" s="22">
        <v>10</v>
      </c>
      <c r="L1814" s="1">
        <v>42672</v>
      </c>
      <c r="M1814" s="22">
        <f>Table10[[#This Row],[Ship Date]]-Table10[[#This Row],[Order Date]]</f>
        <v>6</v>
      </c>
      <c r="N1814" t="s">
        <v>45</v>
      </c>
      <c r="O1814" t="s">
        <v>23</v>
      </c>
      <c r="P1814" t="s">
        <v>238</v>
      </c>
      <c r="Q1814" t="s">
        <v>133</v>
      </c>
      <c r="R1814" t="s">
        <v>237</v>
      </c>
      <c r="S1814" s="33">
        <v>0</v>
      </c>
      <c r="T1814" s="13">
        <v>379.4</v>
      </c>
      <c r="U1814" s="13">
        <v>178.31800000000001</v>
      </c>
      <c r="V1814" s="21">
        <f>Table10[[#This Row],[Profit]]/Table10[[#This Row],[Sales]]</f>
        <v>0.47000000000000008</v>
      </c>
    </row>
    <row r="1815" spans="1:22" x14ac:dyDescent="0.2">
      <c r="A1815">
        <v>1814</v>
      </c>
      <c r="B1815" t="s">
        <v>4020</v>
      </c>
      <c r="C1815" s="1">
        <v>42666</v>
      </c>
      <c r="D1815" s="22">
        <f>MONTH(Table10[[#This Row],[Order Date]])</f>
        <v>10</v>
      </c>
      <c r="E1815" t="s">
        <v>4021</v>
      </c>
      <c r="F1815" t="s">
        <v>4022</v>
      </c>
      <c r="G1815" s="23" t="s">
        <v>28</v>
      </c>
      <c r="H1815" s="23" t="s">
        <v>58</v>
      </c>
      <c r="I1815" t="s">
        <v>722</v>
      </c>
      <c r="J1815" t="s">
        <v>36</v>
      </c>
      <c r="K1815" s="22">
        <v>7</v>
      </c>
      <c r="L1815" s="1">
        <v>42672</v>
      </c>
      <c r="M1815" s="22">
        <f>Table10[[#This Row],[Ship Date]]-Table10[[#This Row],[Order Date]]</f>
        <v>6</v>
      </c>
      <c r="N1815" t="s">
        <v>45</v>
      </c>
      <c r="O1815" t="s">
        <v>23</v>
      </c>
      <c r="P1815" t="s">
        <v>189</v>
      </c>
      <c r="Q1815" t="s">
        <v>95</v>
      </c>
      <c r="R1815" t="s">
        <v>271</v>
      </c>
      <c r="S1815" s="33">
        <v>0.6</v>
      </c>
      <c r="T1815" s="13">
        <v>16.155999999999999</v>
      </c>
      <c r="U1815" s="13">
        <v>-12.117000000000001</v>
      </c>
      <c r="V1815" s="21">
        <f>Table10[[#This Row],[Profit]]/Table10[[#This Row],[Sales]]</f>
        <v>-0.75000000000000011</v>
      </c>
    </row>
    <row r="1816" spans="1:22" x14ac:dyDescent="0.2">
      <c r="A1816">
        <v>1815</v>
      </c>
      <c r="B1816" t="s">
        <v>4020</v>
      </c>
      <c r="C1816" s="1">
        <v>42666</v>
      </c>
      <c r="D1816" s="22">
        <f>MONTH(Table10[[#This Row],[Order Date]])</f>
        <v>10</v>
      </c>
      <c r="E1816" t="s">
        <v>4023</v>
      </c>
      <c r="F1816" t="s">
        <v>4024</v>
      </c>
      <c r="G1816" s="23" t="s">
        <v>41</v>
      </c>
      <c r="H1816" s="23" t="s">
        <v>82</v>
      </c>
      <c r="I1816" t="s">
        <v>722</v>
      </c>
      <c r="J1816" t="s">
        <v>36</v>
      </c>
      <c r="K1816" s="22">
        <v>3</v>
      </c>
      <c r="L1816" s="1">
        <v>42672</v>
      </c>
      <c r="M1816" s="22">
        <f>Table10[[#This Row],[Ship Date]]-Table10[[#This Row],[Order Date]]</f>
        <v>6</v>
      </c>
      <c r="N1816" t="s">
        <v>45</v>
      </c>
      <c r="O1816" t="s">
        <v>23</v>
      </c>
      <c r="P1816" t="s">
        <v>189</v>
      </c>
      <c r="Q1816" t="s">
        <v>95</v>
      </c>
      <c r="R1816" t="s">
        <v>271</v>
      </c>
      <c r="S1816" s="33">
        <v>0.2</v>
      </c>
      <c r="T1816" s="13">
        <v>54.816000000000003</v>
      </c>
      <c r="U1816" s="13">
        <v>17.815200000000001</v>
      </c>
      <c r="V1816" s="21">
        <f>Table10[[#This Row],[Profit]]/Table10[[#This Row],[Sales]]</f>
        <v>0.32500000000000001</v>
      </c>
    </row>
    <row r="1817" spans="1:22" x14ac:dyDescent="0.2">
      <c r="A1817">
        <v>1816</v>
      </c>
      <c r="B1817" t="s">
        <v>7265</v>
      </c>
      <c r="C1817" s="1">
        <v>42666</v>
      </c>
      <c r="D1817" s="22">
        <f>MONTH(Table10[[#This Row],[Order Date]])</f>
        <v>10</v>
      </c>
      <c r="E1817" t="s">
        <v>944</v>
      </c>
      <c r="F1817" t="s">
        <v>945</v>
      </c>
      <c r="G1817" s="23" t="s">
        <v>41</v>
      </c>
      <c r="H1817" s="23" t="s">
        <v>240</v>
      </c>
      <c r="I1817" t="s">
        <v>3245</v>
      </c>
      <c r="J1817" t="s">
        <v>92</v>
      </c>
      <c r="K1817" s="22">
        <v>5</v>
      </c>
      <c r="L1817" s="1">
        <v>42671</v>
      </c>
      <c r="M1817" s="22">
        <f>Table10[[#This Row],[Ship Date]]-Table10[[#This Row],[Order Date]]</f>
        <v>5</v>
      </c>
      <c r="N1817" t="s">
        <v>45</v>
      </c>
      <c r="O1817" t="s">
        <v>23</v>
      </c>
      <c r="P1817" t="s">
        <v>87</v>
      </c>
      <c r="Q1817" t="s">
        <v>39</v>
      </c>
      <c r="R1817" t="s">
        <v>86</v>
      </c>
      <c r="S1817" s="33">
        <v>0</v>
      </c>
      <c r="T1817" s="13">
        <v>17.05</v>
      </c>
      <c r="U1817" s="13">
        <v>8.1839999999999993</v>
      </c>
      <c r="V1817" s="21">
        <f>Table10[[#This Row],[Profit]]/Table10[[#This Row],[Sales]]</f>
        <v>0.47999999999999993</v>
      </c>
    </row>
    <row r="1818" spans="1:22" x14ac:dyDescent="0.2">
      <c r="A1818">
        <v>1817</v>
      </c>
      <c r="B1818" t="s">
        <v>7616</v>
      </c>
      <c r="C1818" s="1">
        <v>42667</v>
      </c>
      <c r="D1818" s="22">
        <f>MONTH(Table10[[#This Row],[Order Date]])</f>
        <v>10</v>
      </c>
      <c r="E1818" t="s">
        <v>3758</v>
      </c>
      <c r="F1818" t="s">
        <v>3759</v>
      </c>
      <c r="G1818" s="23" t="s">
        <v>64</v>
      </c>
      <c r="H1818" s="23" t="s">
        <v>144</v>
      </c>
      <c r="I1818" t="s">
        <v>746</v>
      </c>
      <c r="J1818" t="s">
        <v>36</v>
      </c>
      <c r="K1818" s="22">
        <v>4</v>
      </c>
      <c r="L1818" s="1">
        <v>42671</v>
      </c>
      <c r="M1818" s="22">
        <f>Table10[[#This Row],[Ship Date]]-Table10[[#This Row],[Order Date]]</f>
        <v>4</v>
      </c>
      <c r="N1818" t="s">
        <v>20</v>
      </c>
      <c r="O1818" t="s">
        <v>23</v>
      </c>
      <c r="P1818" t="s">
        <v>38</v>
      </c>
      <c r="Q1818" t="s">
        <v>39</v>
      </c>
      <c r="R1818" t="s">
        <v>37</v>
      </c>
      <c r="S1818" s="33">
        <v>0</v>
      </c>
      <c r="T1818" s="13">
        <v>100</v>
      </c>
      <c r="U1818" s="13">
        <v>21</v>
      </c>
      <c r="V1818" s="21">
        <f>Table10[[#This Row],[Profit]]/Table10[[#This Row],[Sales]]</f>
        <v>0.21</v>
      </c>
    </row>
    <row r="1819" spans="1:22" x14ac:dyDescent="0.2">
      <c r="A1819">
        <v>1818</v>
      </c>
      <c r="B1819" t="s">
        <v>7616</v>
      </c>
      <c r="C1819" s="1">
        <v>42667</v>
      </c>
      <c r="D1819" s="22">
        <f>MONTH(Table10[[#This Row],[Order Date]])</f>
        <v>10</v>
      </c>
      <c r="E1819" t="s">
        <v>4832</v>
      </c>
      <c r="F1819" t="s">
        <v>4833</v>
      </c>
      <c r="G1819" s="23" t="s">
        <v>64</v>
      </c>
      <c r="H1819" s="23" t="s">
        <v>144</v>
      </c>
      <c r="I1819" t="s">
        <v>746</v>
      </c>
      <c r="J1819" t="s">
        <v>36</v>
      </c>
      <c r="K1819" s="22">
        <v>2</v>
      </c>
      <c r="L1819" s="1">
        <v>42671</v>
      </c>
      <c r="M1819" s="22">
        <f>Table10[[#This Row],[Ship Date]]-Table10[[#This Row],[Order Date]]</f>
        <v>4</v>
      </c>
      <c r="N1819" t="s">
        <v>20</v>
      </c>
      <c r="O1819" t="s">
        <v>23</v>
      </c>
      <c r="P1819" t="s">
        <v>38</v>
      </c>
      <c r="Q1819" t="s">
        <v>39</v>
      </c>
      <c r="R1819" t="s">
        <v>37</v>
      </c>
      <c r="S1819" s="33">
        <v>0</v>
      </c>
      <c r="T1819" s="13">
        <v>359.98</v>
      </c>
      <c r="U1819" s="13">
        <v>21.598800000000001</v>
      </c>
      <c r="V1819" s="21">
        <f>Table10[[#This Row],[Profit]]/Table10[[#This Row],[Sales]]</f>
        <v>0.06</v>
      </c>
    </row>
    <row r="1820" spans="1:22" x14ac:dyDescent="0.2">
      <c r="A1820">
        <v>1819</v>
      </c>
      <c r="B1820" t="s">
        <v>8036</v>
      </c>
      <c r="C1820" s="1">
        <v>42667</v>
      </c>
      <c r="D1820" s="22">
        <f>MONTH(Table10[[#This Row],[Order Date]])</f>
        <v>10</v>
      </c>
      <c r="E1820" t="s">
        <v>2876</v>
      </c>
      <c r="F1820" t="s">
        <v>2877</v>
      </c>
      <c r="G1820" s="23" t="s">
        <v>64</v>
      </c>
      <c r="H1820" s="23" t="s">
        <v>65</v>
      </c>
      <c r="I1820" t="s">
        <v>2504</v>
      </c>
      <c r="J1820" t="s">
        <v>92</v>
      </c>
      <c r="K1820" s="22">
        <v>3</v>
      </c>
      <c r="L1820" s="1">
        <v>42674</v>
      </c>
      <c r="M1820" s="22">
        <f>Table10[[#This Row],[Ship Date]]-Table10[[#This Row],[Order Date]]</f>
        <v>7</v>
      </c>
      <c r="N1820" t="s">
        <v>45</v>
      </c>
      <c r="O1820" t="s">
        <v>23</v>
      </c>
      <c r="P1820" t="s">
        <v>299</v>
      </c>
      <c r="Q1820" t="s">
        <v>26</v>
      </c>
      <c r="R1820" t="s">
        <v>7930</v>
      </c>
      <c r="S1820" s="33">
        <v>0.2</v>
      </c>
      <c r="T1820" s="13">
        <v>239.976</v>
      </c>
      <c r="U1820" s="13">
        <v>17.998200000000001</v>
      </c>
      <c r="V1820" s="21">
        <f>Table10[[#This Row],[Profit]]/Table10[[#This Row],[Sales]]</f>
        <v>7.4999999999999997E-2</v>
      </c>
    </row>
    <row r="1821" spans="1:22" x14ac:dyDescent="0.2">
      <c r="A1821">
        <v>1820</v>
      </c>
      <c r="B1821" t="s">
        <v>8231</v>
      </c>
      <c r="C1821" s="1">
        <v>42667</v>
      </c>
      <c r="D1821" s="22">
        <f>MONTH(Table10[[#This Row],[Order Date]])</f>
        <v>10</v>
      </c>
      <c r="E1821" t="s">
        <v>2238</v>
      </c>
      <c r="F1821" t="s">
        <v>2239</v>
      </c>
      <c r="G1821" s="23" t="s">
        <v>64</v>
      </c>
      <c r="H1821" s="23" t="s">
        <v>144</v>
      </c>
      <c r="I1821" t="s">
        <v>1500</v>
      </c>
      <c r="J1821" t="s">
        <v>22</v>
      </c>
      <c r="K1821" s="22">
        <v>1</v>
      </c>
      <c r="L1821" s="1">
        <v>42667</v>
      </c>
      <c r="M1821" s="22">
        <f>Table10[[#This Row],[Ship Date]]-Table10[[#This Row],[Order Date]]</f>
        <v>0</v>
      </c>
      <c r="N1821" t="s">
        <v>1141</v>
      </c>
      <c r="O1821" t="s">
        <v>23</v>
      </c>
      <c r="P1821" t="s">
        <v>38</v>
      </c>
      <c r="Q1821" t="s">
        <v>39</v>
      </c>
      <c r="R1821" t="s">
        <v>114</v>
      </c>
      <c r="S1821" s="33">
        <v>0</v>
      </c>
      <c r="T1821" s="13">
        <v>199.99</v>
      </c>
      <c r="U1821" s="13">
        <v>85.995699999999999</v>
      </c>
      <c r="V1821" s="21">
        <f>Table10[[#This Row],[Profit]]/Table10[[#This Row],[Sales]]</f>
        <v>0.43</v>
      </c>
    </row>
    <row r="1822" spans="1:22" x14ac:dyDescent="0.2">
      <c r="A1822">
        <v>1821</v>
      </c>
      <c r="B1822" t="s">
        <v>8871</v>
      </c>
      <c r="C1822" s="1">
        <v>42667</v>
      </c>
      <c r="D1822" s="22">
        <f>MONTH(Table10[[#This Row],[Order Date]])</f>
        <v>10</v>
      </c>
      <c r="E1822" t="s">
        <v>3209</v>
      </c>
      <c r="F1822" t="s">
        <v>3210</v>
      </c>
      <c r="G1822" s="23" t="s">
        <v>41</v>
      </c>
      <c r="H1822" s="23" t="s">
        <v>82</v>
      </c>
      <c r="I1822" t="s">
        <v>5661</v>
      </c>
      <c r="J1822" t="s">
        <v>36</v>
      </c>
      <c r="K1822" s="22">
        <v>3</v>
      </c>
      <c r="L1822" s="1">
        <v>42671</v>
      </c>
      <c r="M1822" s="22">
        <f>Table10[[#This Row],[Ship Date]]-Table10[[#This Row],[Order Date]]</f>
        <v>4</v>
      </c>
      <c r="N1822" t="s">
        <v>45</v>
      </c>
      <c r="O1822" t="s">
        <v>23</v>
      </c>
      <c r="P1822" t="s">
        <v>94</v>
      </c>
      <c r="Q1822" t="s">
        <v>95</v>
      </c>
      <c r="R1822" t="s">
        <v>165</v>
      </c>
      <c r="S1822" s="33">
        <v>0.2</v>
      </c>
      <c r="T1822" s="13">
        <v>15.552</v>
      </c>
      <c r="U1822" s="13">
        <v>5.4432</v>
      </c>
      <c r="V1822" s="21">
        <f>Table10[[#This Row],[Profit]]/Table10[[#This Row],[Sales]]</f>
        <v>0.35000000000000003</v>
      </c>
    </row>
    <row r="1823" spans="1:22" x14ac:dyDescent="0.2">
      <c r="A1823">
        <v>1822</v>
      </c>
      <c r="B1823" t="s">
        <v>9403</v>
      </c>
      <c r="C1823" s="1">
        <v>42667</v>
      </c>
      <c r="D1823" s="22">
        <f>MONTH(Table10[[#This Row],[Order Date]])</f>
        <v>10</v>
      </c>
      <c r="E1823" t="s">
        <v>1033</v>
      </c>
      <c r="F1823" t="s">
        <v>1034</v>
      </c>
      <c r="G1823" s="23" t="s">
        <v>64</v>
      </c>
      <c r="H1823" s="23" t="s">
        <v>144</v>
      </c>
      <c r="I1823" t="s">
        <v>3924</v>
      </c>
      <c r="J1823" t="s">
        <v>92</v>
      </c>
      <c r="K1823" s="22">
        <v>5</v>
      </c>
      <c r="L1823" s="1">
        <v>42671</v>
      </c>
      <c r="M1823" s="22">
        <f>Table10[[#This Row],[Ship Date]]-Table10[[#This Row],[Order Date]]</f>
        <v>4</v>
      </c>
      <c r="N1823" t="s">
        <v>45</v>
      </c>
      <c r="O1823" t="s">
        <v>23</v>
      </c>
      <c r="P1823" t="s">
        <v>38</v>
      </c>
      <c r="Q1823" t="s">
        <v>39</v>
      </c>
      <c r="R1823" t="s">
        <v>114</v>
      </c>
      <c r="S1823" s="33">
        <v>0</v>
      </c>
      <c r="T1823" s="13">
        <v>450</v>
      </c>
      <c r="U1823" s="13">
        <v>162</v>
      </c>
      <c r="V1823" s="21">
        <f>Table10[[#This Row],[Profit]]/Table10[[#This Row],[Sales]]</f>
        <v>0.36</v>
      </c>
    </row>
    <row r="1824" spans="1:22" x14ac:dyDescent="0.2">
      <c r="A1824">
        <v>1823</v>
      </c>
      <c r="B1824" t="s">
        <v>5322</v>
      </c>
      <c r="C1824" s="1">
        <v>42668</v>
      </c>
      <c r="D1824" s="22">
        <f>MONTH(Table10[[#This Row],[Order Date]])</f>
        <v>10</v>
      </c>
      <c r="E1824" t="s">
        <v>1609</v>
      </c>
      <c r="F1824" t="s">
        <v>1610</v>
      </c>
      <c r="G1824" s="23" t="s">
        <v>64</v>
      </c>
      <c r="H1824" s="23" t="s">
        <v>65</v>
      </c>
      <c r="I1824" t="s">
        <v>2400</v>
      </c>
      <c r="J1824" t="s">
        <v>36</v>
      </c>
      <c r="K1824" s="22">
        <v>5</v>
      </c>
      <c r="L1824" s="1">
        <v>42671</v>
      </c>
      <c r="M1824" s="22">
        <f>Table10[[#This Row],[Ship Date]]-Table10[[#This Row],[Order Date]]</f>
        <v>3</v>
      </c>
      <c r="N1824" t="s">
        <v>169</v>
      </c>
      <c r="O1824" t="s">
        <v>23</v>
      </c>
      <c r="P1824" t="s">
        <v>48</v>
      </c>
      <c r="Q1824" t="s">
        <v>26</v>
      </c>
      <c r="R1824" t="s">
        <v>1253</v>
      </c>
      <c r="S1824" s="33">
        <v>0.2</v>
      </c>
      <c r="T1824" s="13">
        <v>783.96</v>
      </c>
      <c r="U1824" s="13">
        <v>78.396000000000001</v>
      </c>
      <c r="V1824" s="21">
        <f>Table10[[#This Row],[Profit]]/Table10[[#This Row],[Sales]]</f>
        <v>9.9999999999999992E-2</v>
      </c>
    </row>
    <row r="1825" spans="1:22" x14ac:dyDescent="0.2">
      <c r="A1825">
        <v>1824</v>
      </c>
      <c r="B1825" t="s">
        <v>1458</v>
      </c>
      <c r="C1825" s="1">
        <v>42670</v>
      </c>
      <c r="D1825" s="22">
        <f>MONTH(Table10[[#This Row],[Order Date]])</f>
        <v>10</v>
      </c>
      <c r="E1825" t="s">
        <v>982</v>
      </c>
      <c r="F1825" t="s">
        <v>983</v>
      </c>
      <c r="G1825" s="23" t="s">
        <v>28</v>
      </c>
      <c r="H1825" s="23" t="s">
        <v>58</v>
      </c>
      <c r="I1825" t="s">
        <v>1459</v>
      </c>
      <c r="J1825" t="s">
        <v>22</v>
      </c>
      <c r="K1825" s="22">
        <v>3</v>
      </c>
      <c r="L1825" s="1">
        <v>42676</v>
      </c>
      <c r="M1825" s="22">
        <f>Table10[[#This Row],[Ship Date]]-Table10[[#This Row],[Order Date]]</f>
        <v>6</v>
      </c>
      <c r="N1825" t="s">
        <v>45</v>
      </c>
      <c r="O1825" t="s">
        <v>23</v>
      </c>
      <c r="P1825" t="s">
        <v>238</v>
      </c>
      <c r="Q1825" t="s">
        <v>133</v>
      </c>
      <c r="R1825" t="s">
        <v>246</v>
      </c>
      <c r="S1825" s="33">
        <v>0</v>
      </c>
      <c r="T1825" s="13">
        <v>40.200000000000003</v>
      </c>
      <c r="U1825" s="13">
        <v>19.295999999999999</v>
      </c>
      <c r="V1825" s="21">
        <f>Table10[[#This Row],[Profit]]/Table10[[#This Row],[Sales]]</f>
        <v>0.47999999999999993</v>
      </c>
    </row>
    <row r="1826" spans="1:22" x14ac:dyDescent="0.2">
      <c r="A1826">
        <v>1825</v>
      </c>
      <c r="B1826" t="s">
        <v>6727</v>
      </c>
      <c r="C1826" s="1">
        <v>42670</v>
      </c>
      <c r="D1826" s="22">
        <f>MONTH(Table10[[#This Row],[Order Date]])</f>
        <v>10</v>
      </c>
      <c r="E1826" t="s">
        <v>6613</v>
      </c>
      <c r="F1826" t="s">
        <v>1262</v>
      </c>
      <c r="G1826" s="23" t="s">
        <v>41</v>
      </c>
      <c r="H1826" s="23" t="s">
        <v>71</v>
      </c>
      <c r="I1826" t="s">
        <v>1222</v>
      </c>
      <c r="J1826" t="s">
        <v>36</v>
      </c>
      <c r="K1826" s="22">
        <v>4</v>
      </c>
      <c r="L1826" s="1">
        <v>42676</v>
      </c>
      <c r="M1826" s="22">
        <f>Table10[[#This Row],[Ship Date]]-Table10[[#This Row],[Order Date]]</f>
        <v>6</v>
      </c>
      <c r="N1826" t="s">
        <v>45</v>
      </c>
      <c r="O1826" t="s">
        <v>23</v>
      </c>
      <c r="P1826" t="s">
        <v>38</v>
      </c>
      <c r="Q1826" t="s">
        <v>39</v>
      </c>
      <c r="R1826" t="s">
        <v>114</v>
      </c>
      <c r="S1826" s="33">
        <v>0</v>
      </c>
      <c r="T1826" s="13">
        <v>43.92</v>
      </c>
      <c r="U1826" s="13">
        <v>11.8584</v>
      </c>
      <c r="V1826" s="21">
        <f>Table10[[#This Row],[Profit]]/Table10[[#This Row],[Sales]]</f>
        <v>0.26999999999999996</v>
      </c>
    </row>
    <row r="1827" spans="1:22" x14ac:dyDescent="0.2">
      <c r="A1827">
        <v>1826</v>
      </c>
      <c r="B1827" t="s">
        <v>6727</v>
      </c>
      <c r="C1827" s="1">
        <v>42670</v>
      </c>
      <c r="D1827" s="22">
        <f>MONTH(Table10[[#This Row],[Order Date]])</f>
        <v>10</v>
      </c>
      <c r="E1827" t="s">
        <v>3968</v>
      </c>
      <c r="F1827" t="s">
        <v>3969</v>
      </c>
      <c r="G1827" s="23" t="s">
        <v>41</v>
      </c>
      <c r="H1827" s="23" t="s">
        <v>68</v>
      </c>
      <c r="I1827" t="s">
        <v>1222</v>
      </c>
      <c r="J1827" t="s">
        <v>36</v>
      </c>
      <c r="K1827" s="22">
        <v>3</v>
      </c>
      <c r="L1827" s="1">
        <v>42676</v>
      </c>
      <c r="M1827" s="22">
        <f>Table10[[#This Row],[Ship Date]]-Table10[[#This Row],[Order Date]]</f>
        <v>6</v>
      </c>
      <c r="N1827" t="s">
        <v>45</v>
      </c>
      <c r="O1827" t="s">
        <v>23</v>
      </c>
      <c r="P1827" t="s">
        <v>38</v>
      </c>
      <c r="Q1827" t="s">
        <v>39</v>
      </c>
      <c r="R1827" t="s">
        <v>114</v>
      </c>
      <c r="S1827" s="33">
        <v>0.2</v>
      </c>
      <c r="T1827" s="13">
        <v>25.032</v>
      </c>
      <c r="U1827" s="13">
        <v>7.8224999999999998</v>
      </c>
      <c r="V1827" s="21">
        <f>Table10[[#This Row],[Profit]]/Table10[[#This Row],[Sales]]</f>
        <v>0.3125</v>
      </c>
    </row>
    <row r="1828" spans="1:22" x14ac:dyDescent="0.2">
      <c r="A1828">
        <v>1827</v>
      </c>
      <c r="B1828" t="s">
        <v>6814</v>
      </c>
      <c r="C1828" s="1">
        <v>42670</v>
      </c>
      <c r="D1828" s="22">
        <f>MONTH(Table10[[#This Row],[Order Date]])</f>
        <v>10</v>
      </c>
      <c r="E1828" t="s">
        <v>3480</v>
      </c>
      <c r="F1828" t="s">
        <v>3481</v>
      </c>
      <c r="G1828" s="23" t="s">
        <v>28</v>
      </c>
      <c r="H1828" s="23" t="s">
        <v>32</v>
      </c>
      <c r="I1828" t="s">
        <v>4442</v>
      </c>
      <c r="J1828" t="s">
        <v>22</v>
      </c>
      <c r="K1828" s="22">
        <v>1</v>
      </c>
      <c r="L1828" s="1">
        <v>42675</v>
      </c>
      <c r="M1828" s="22">
        <f>Table10[[#This Row],[Ship Date]]-Table10[[#This Row],[Order Date]]</f>
        <v>5</v>
      </c>
      <c r="N1828" t="s">
        <v>20</v>
      </c>
      <c r="O1828" t="s">
        <v>23</v>
      </c>
      <c r="P1828" t="s">
        <v>285</v>
      </c>
      <c r="Q1828" t="s">
        <v>26</v>
      </c>
      <c r="R1828" t="s">
        <v>6815</v>
      </c>
      <c r="S1828" s="33">
        <v>0</v>
      </c>
      <c r="T1828" s="13">
        <v>290.98</v>
      </c>
      <c r="U1828" s="13">
        <v>75.654799999999994</v>
      </c>
      <c r="V1828" s="21">
        <f>Table10[[#This Row],[Profit]]/Table10[[#This Row],[Sales]]</f>
        <v>0.25999999999999995</v>
      </c>
    </row>
    <row r="1829" spans="1:22" x14ac:dyDescent="0.2">
      <c r="A1829">
        <v>1828</v>
      </c>
      <c r="B1829" t="s">
        <v>9349</v>
      </c>
      <c r="C1829" s="1">
        <v>42670</v>
      </c>
      <c r="D1829" s="22">
        <f>MONTH(Table10[[#This Row],[Order Date]])</f>
        <v>10</v>
      </c>
      <c r="E1829" t="s">
        <v>8120</v>
      </c>
      <c r="F1829" t="s">
        <v>8121</v>
      </c>
      <c r="G1829" s="23" t="s">
        <v>41</v>
      </c>
      <c r="H1829" s="23" t="s">
        <v>68</v>
      </c>
      <c r="I1829" t="s">
        <v>422</v>
      </c>
      <c r="J1829" t="s">
        <v>92</v>
      </c>
      <c r="K1829" s="22">
        <v>4</v>
      </c>
      <c r="L1829" s="1">
        <v>42674</v>
      </c>
      <c r="M1829" s="22">
        <f>Table10[[#This Row],[Ship Date]]-Table10[[#This Row],[Order Date]]</f>
        <v>4</v>
      </c>
      <c r="N1829" t="s">
        <v>45</v>
      </c>
      <c r="O1829" t="s">
        <v>23</v>
      </c>
      <c r="P1829" t="s">
        <v>38</v>
      </c>
      <c r="Q1829" t="s">
        <v>39</v>
      </c>
      <c r="R1829" t="s">
        <v>114</v>
      </c>
      <c r="S1829" s="33">
        <v>0.2</v>
      </c>
      <c r="T1829" s="13">
        <v>67.135999999999996</v>
      </c>
      <c r="U1829" s="13">
        <v>25.175999999999998</v>
      </c>
      <c r="V1829" s="21">
        <f>Table10[[#This Row],[Profit]]/Table10[[#This Row],[Sales]]</f>
        <v>0.375</v>
      </c>
    </row>
    <row r="1830" spans="1:22" x14ac:dyDescent="0.2">
      <c r="A1830">
        <v>1829</v>
      </c>
      <c r="B1830" t="s">
        <v>9898</v>
      </c>
      <c r="C1830" s="1">
        <v>42670</v>
      </c>
      <c r="D1830" s="22">
        <f>MONTH(Table10[[#This Row],[Order Date]])</f>
        <v>10</v>
      </c>
      <c r="E1830" t="s">
        <v>4584</v>
      </c>
      <c r="F1830" t="s">
        <v>4585</v>
      </c>
      <c r="G1830" s="23" t="s">
        <v>28</v>
      </c>
      <c r="H1830" s="23" t="s">
        <v>32</v>
      </c>
      <c r="I1830" t="s">
        <v>4442</v>
      </c>
      <c r="J1830" t="s">
        <v>22</v>
      </c>
      <c r="K1830" s="22">
        <v>14</v>
      </c>
      <c r="L1830" s="1">
        <v>42674</v>
      </c>
      <c r="M1830" s="22">
        <f>Table10[[#This Row],[Ship Date]]-Table10[[#This Row],[Order Date]]</f>
        <v>4</v>
      </c>
      <c r="N1830" t="s">
        <v>45</v>
      </c>
      <c r="O1830" t="s">
        <v>23</v>
      </c>
      <c r="P1830" t="s">
        <v>238</v>
      </c>
      <c r="Q1830" t="s">
        <v>133</v>
      </c>
      <c r="R1830" t="s">
        <v>237</v>
      </c>
      <c r="S1830" s="33">
        <v>0.1</v>
      </c>
      <c r="T1830" s="13">
        <v>427.64400000000001</v>
      </c>
      <c r="U1830" s="13">
        <v>80.777199999999993</v>
      </c>
      <c r="V1830" s="21">
        <f>Table10[[#This Row],[Profit]]/Table10[[#This Row],[Sales]]</f>
        <v>0.18888888888888888</v>
      </c>
    </row>
    <row r="1831" spans="1:22" x14ac:dyDescent="0.2">
      <c r="A1831">
        <v>1830</v>
      </c>
      <c r="B1831" t="s">
        <v>9898</v>
      </c>
      <c r="C1831" s="1">
        <v>42670</v>
      </c>
      <c r="D1831" s="22">
        <f>MONTH(Table10[[#This Row],[Order Date]])</f>
        <v>10</v>
      </c>
      <c r="E1831" t="s">
        <v>737</v>
      </c>
      <c r="F1831" t="s">
        <v>738</v>
      </c>
      <c r="G1831" s="23" t="s">
        <v>41</v>
      </c>
      <c r="H1831" s="23" t="s">
        <v>240</v>
      </c>
      <c r="I1831" t="s">
        <v>4442</v>
      </c>
      <c r="J1831" t="s">
        <v>22</v>
      </c>
      <c r="K1831" s="22">
        <v>7</v>
      </c>
      <c r="L1831" s="1">
        <v>42674</v>
      </c>
      <c r="M1831" s="22">
        <f>Table10[[#This Row],[Ship Date]]-Table10[[#This Row],[Order Date]]</f>
        <v>4</v>
      </c>
      <c r="N1831" t="s">
        <v>45</v>
      </c>
      <c r="O1831" t="s">
        <v>23</v>
      </c>
      <c r="P1831" t="s">
        <v>238</v>
      </c>
      <c r="Q1831" t="s">
        <v>133</v>
      </c>
      <c r="R1831" t="s">
        <v>237</v>
      </c>
      <c r="S1831" s="33">
        <v>0</v>
      </c>
      <c r="T1831" s="13">
        <v>40.67</v>
      </c>
      <c r="U1831" s="13">
        <v>12.607699999999999</v>
      </c>
      <c r="V1831" s="21">
        <f>Table10[[#This Row],[Profit]]/Table10[[#This Row],[Sales]]</f>
        <v>0.31</v>
      </c>
    </row>
    <row r="1832" spans="1:22" x14ac:dyDescent="0.2">
      <c r="A1832">
        <v>1831</v>
      </c>
      <c r="B1832" t="s">
        <v>9898</v>
      </c>
      <c r="C1832" s="1">
        <v>42670</v>
      </c>
      <c r="D1832" s="22">
        <f>MONTH(Table10[[#This Row],[Order Date]])</f>
        <v>10</v>
      </c>
      <c r="E1832" t="s">
        <v>7756</v>
      </c>
      <c r="F1832" t="s">
        <v>7757</v>
      </c>
      <c r="G1832" s="23" t="s">
        <v>41</v>
      </c>
      <c r="H1832" s="23" t="s">
        <v>53</v>
      </c>
      <c r="I1832" t="s">
        <v>4442</v>
      </c>
      <c r="J1832" t="s">
        <v>22</v>
      </c>
      <c r="K1832" s="22">
        <v>2</v>
      </c>
      <c r="L1832" s="1">
        <v>42674</v>
      </c>
      <c r="M1832" s="22">
        <f>Table10[[#This Row],[Ship Date]]-Table10[[#This Row],[Order Date]]</f>
        <v>4</v>
      </c>
      <c r="N1832" t="s">
        <v>45</v>
      </c>
      <c r="O1832" t="s">
        <v>23</v>
      </c>
      <c r="P1832" t="s">
        <v>238</v>
      </c>
      <c r="Q1832" t="s">
        <v>133</v>
      </c>
      <c r="R1832" t="s">
        <v>237</v>
      </c>
      <c r="S1832" s="33">
        <v>0</v>
      </c>
      <c r="T1832" s="13">
        <v>33.479999999999997</v>
      </c>
      <c r="U1832" s="13">
        <v>1.3391999999999999</v>
      </c>
      <c r="V1832" s="21">
        <f>Table10[[#This Row],[Profit]]/Table10[[#This Row],[Sales]]</f>
        <v>0.04</v>
      </c>
    </row>
    <row r="1833" spans="1:22" x14ac:dyDescent="0.2">
      <c r="A1833">
        <v>1832</v>
      </c>
      <c r="B1833" t="s">
        <v>9898</v>
      </c>
      <c r="C1833" s="1">
        <v>42670</v>
      </c>
      <c r="D1833" s="22">
        <f>MONTH(Table10[[#This Row],[Order Date]])</f>
        <v>10</v>
      </c>
      <c r="E1833" t="s">
        <v>1797</v>
      </c>
      <c r="F1833" t="s">
        <v>1798</v>
      </c>
      <c r="G1833" s="23" t="s">
        <v>41</v>
      </c>
      <c r="H1833" s="23" t="s">
        <v>68</v>
      </c>
      <c r="I1833" t="s">
        <v>4442</v>
      </c>
      <c r="J1833" t="s">
        <v>22</v>
      </c>
      <c r="K1833" s="22">
        <v>2</v>
      </c>
      <c r="L1833" s="1">
        <v>42674</v>
      </c>
      <c r="M1833" s="22">
        <f>Table10[[#This Row],[Ship Date]]-Table10[[#This Row],[Order Date]]</f>
        <v>4</v>
      </c>
      <c r="N1833" t="s">
        <v>45</v>
      </c>
      <c r="O1833" t="s">
        <v>23</v>
      </c>
      <c r="P1833" t="s">
        <v>238</v>
      </c>
      <c r="Q1833" t="s">
        <v>133</v>
      </c>
      <c r="R1833" t="s">
        <v>237</v>
      </c>
      <c r="S1833" s="33">
        <v>0.2</v>
      </c>
      <c r="T1833" s="13">
        <v>9.7279999999999998</v>
      </c>
      <c r="U1833" s="13">
        <v>3.2831999999999999</v>
      </c>
      <c r="V1833" s="21">
        <f>Table10[[#This Row],[Profit]]/Table10[[#This Row],[Sales]]</f>
        <v>0.33750000000000002</v>
      </c>
    </row>
    <row r="1834" spans="1:22" x14ac:dyDescent="0.2">
      <c r="A1834">
        <v>1833</v>
      </c>
      <c r="B1834" t="s">
        <v>756</v>
      </c>
      <c r="C1834" s="1">
        <v>42671</v>
      </c>
      <c r="D1834" s="22">
        <f>MONTH(Table10[[#This Row],[Order Date]])</f>
        <v>10</v>
      </c>
      <c r="E1834" t="s">
        <v>670</v>
      </c>
      <c r="F1834" t="s">
        <v>671</v>
      </c>
      <c r="G1834" s="23" t="s">
        <v>41</v>
      </c>
      <c r="H1834" s="23" t="s">
        <v>53</v>
      </c>
      <c r="I1834" t="s">
        <v>757</v>
      </c>
      <c r="J1834" t="s">
        <v>22</v>
      </c>
      <c r="K1834" s="22">
        <v>6</v>
      </c>
      <c r="L1834" s="1">
        <v>42675</v>
      </c>
      <c r="M1834" s="22">
        <f>Table10[[#This Row],[Ship Date]]-Table10[[#This Row],[Order Date]]</f>
        <v>4</v>
      </c>
      <c r="N1834" t="s">
        <v>45</v>
      </c>
      <c r="O1834" t="s">
        <v>23</v>
      </c>
      <c r="P1834" t="s">
        <v>38</v>
      </c>
      <c r="Q1834" t="s">
        <v>39</v>
      </c>
      <c r="R1834" t="s">
        <v>37</v>
      </c>
      <c r="S1834" s="33">
        <v>0</v>
      </c>
      <c r="T1834" s="13">
        <v>93.06</v>
      </c>
      <c r="U1834" s="13">
        <v>26.056799999999999</v>
      </c>
      <c r="V1834" s="21">
        <f>Table10[[#This Row],[Profit]]/Table10[[#This Row],[Sales]]</f>
        <v>0.27999999999999997</v>
      </c>
    </row>
    <row r="1835" spans="1:22" x14ac:dyDescent="0.2">
      <c r="A1835">
        <v>1834</v>
      </c>
      <c r="B1835" t="s">
        <v>756</v>
      </c>
      <c r="C1835" s="1">
        <v>42671</v>
      </c>
      <c r="D1835" s="22">
        <f>MONTH(Table10[[#This Row],[Order Date]])</f>
        <v>10</v>
      </c>
      <c r="E1835" t="s">
        <v>758</v>
      </c>
      <c r="F1835" t="s">
        <v>759</v>
      </c>
      <c r="G1835" s="23" t="s">
        <v>64</v>
      </c>
      <c r="H1835" s="23" t="s">
        <v>65</v>
      </c>
      <c r="I1835" t="s">
        <v>757</v>
      </c>
      <c r="J1835" t="s">
        <v>22</v>
      </c>
      <c r="K1835" s="22">
        <v>3</v>
      </c>
      <c r="L1835" s="1">
        <v>42675</v>
      </c>
      <c r="M1835" s="22">
        <f>Table10[[#This Row],[Ship Date]]-Table10[[#This Row],[Order Date]]</f>
        <v>4</v>
      </c>
      <c r="N1835" t="s">
        <v>45</v>
      </c>
      <c r="O1835" t="s">
        <v>23</v>
      </c>
      <c r="P1835" t="s">
        <v>38</v>
      </c>
      <c r="Q1835" t="s">
        <v>39</v>
      </c>
      <c r="R1835" t="s">
        <v>37</v>
      </c>
      <c r="S1835" s="33">
        <v>0.2</v>
      </c>
      <c r="T1835" s="13">
        <v>302.37599999999998</v>
      </c>
      <c r="U1835" s="13">
        <v>22.6782</v>
      </c>
      <c r="V1835" s="21">
        <f>Table10[[#This Row],[Profit]]/Table10[[#This Row],[Sales]]</f>
        <v>7.5000000000000011E-2</v>
      </c>
    </row>
    <row r="1836" spans="1:22" x14ac:dyDescent="0.2">
      <c r="A1836">
        <v>1835</v>
      </c>
      <c r="B1836" t="s">
        <v>965</v>
      </c>
      <c r="C1836" s="1">
        <v>42671</v>
      </c>
      <c r="D1836" s="22">
        <f>MONTH(Table10[[#This Row],[Order Date]])</f>
        <v>10</v>
      </c>
      <c r="E1836" t="s">
        <v>967</v>
      </c>
      <c r="F1836" t="s">
        <v>968</v>
      </c>
      <c r="G1836" s="23" t="s">
        <v>41</v>
      </c>
      <c r="H1836" s="23" t="s">
        <v>82</v>
      </c>
      <c r="I1836" t="s">
        <v>516</v>
      </c>
      <c r="J1836" t="s">
        <v>36</v>
      </c>
      <c r="K1836" s="22">
        <v>5</v>
      </c>
      <c r="L1836" s="1">
        <v>42677</v>
      </c>
      <c r="M1836" s="22">
        <f>Table10[[#This Row],[Ship Date]]-Table10[[#This Row],[Order Date]]</f>
        <v>6</v>
      </c>
      <c r="N1836" t="s">
        <v>45</v>
      </c>
      <c r="O1836" t="s">
        <v>23</v>
      </c>
      <c r="P1836" t="s">
        <v>695</v>
      </c>
      <c r="Q1836" t="s">
        <v>133</v>
      </c>
      <c r="R1836" t="s">
        <v>966</v>
      </c>
      <c r="S1836" s="33">
        <v>0</v>
      </c>
      <c r="T1836" s="13">
        <v>32.4</v>
      </c>
      <c r="U1836" s="13">
        <v>15.552</v>
      </c>
      <c r="V1836" s="21">
        <f>Table10[[#This Row],[Profit]]/Table10[[#This Row],[Sales]]</f>
        <v>0.48</v>
      </c>
    </row>
    <row r="1837" spans="1:22" x14ac:dyDescent="0.2">
      <c r="A1837">
        <v>1836</v>
      </c>
      <c r="B1837" t="s">
        <v>965</v>
      </c>
      <c r="C1837" s="1">
        <v>42671</v>
      </c>
      <c r="D1837" s="22">
        <f>MONTH(Table10[[#This Row],[Order Date]])</f>
        <v>10</v>
      </c>
      <c r="E1837" t="s">
        <v>969</v>
      </c>
      <c r="F1837" t="s">
        <v>970</v>
      </c>
      <c r="G1837" s="23" t="s">
        <v>41</v>
      </c>
      <c r="H1837" s="23" t="s">
        <v>53</v>
      </c>
      <c r="I1837" t="s">
        <v>516</v>
      </c>
      <c r="J1837" t="s">
        <v>36</v>
      </c>
      <c r="K1837" s="22">
        <v>8</v>
      </c>
      <c r="L1837" s="1">
        <v>42677</v>
      </c>
      <c r="M1837" s="22">
        <f>Table10[[#This Row],[Ship Date]]-Table10[[#This Row],[Order Date]]</f>
        <v>6</v>
      </c>
      <c r="N1837" t="s">
        <v>45</v>
      </c>
      <c r="O1837" t="s">
        <v>23</v>
      </c>
      <c r="P1837" t="s">
        <v>695</v>
      </c>
      <c r="Q1837" t="s">
        <v>133</v>
      </c>
      <c r="R1837" t="s">
        <v>966</v>
      </c>
      <c r="S1837" s="33">
        <v>0</v>
      </c>
      <c r="T1837" s="13">
        <v>1082.48</v>
      </c>
      <c r="U1837" s="13">
        <v>10.8248</v>
      </c>
      <c r="V1837" s="21">
        <f>Table10[[#This Row],[Profit]]/Table10[[#This Row],[Sales]]</f>
        <v>0.01</v>
      </c>
    </row>
    <row r="1838" spans="1:22" x14ac:dyDescent="0.2">
      <c r="A1838">
        <v>1837</v>
      </c>
      <c r="B1838" t="s">
        <v>965</v>
      </c>
      <c r="C1838" s="1">
        <v>42671</v>
      </c>
      <c r="D1838" s="22">
        <f>MONTH(Table10[[#This Row],[Order Date]])</f>
        <v>10</v>
      </c>
      <c r="E1838" t="s">
        <v>971</v>
      </c>
      <c r="F1838" t="s">
        <v>972</v>
      </c>
      <c r="G1838" s="23" t="s">
        <v>41</v>
      </c>
      <c r="H1838" s="23" t="s">
        <v>82</v>
      </c>
      <c r="I1838" t="s">
        <v>516</v>
      </c>
      <c r="J1838" t="s">
        <v>36</v>
      </c>
      <c r="K1838" s="22">
        <v>3</v>
      </c>
      <c r="L1838" s="1">
        <v>42677</v>
      </c>
      <c r="M1838" s="22">
        <f>Table10[[#This Row],[Ship Date]]-Table10[[#This Row],[Order Date]]</f>
        <v>6</v>
      </c>
      <c r="N1838" t="s">
        <v>45</v>
      </c>
      <c r="O1838" t="s">
        <v>23</v>
      </c>
      <c r="P1838" t="s">
        <v>695</v>
      </c>
      <c r="Q1838" t="s">
        <v>133</v>
      </c>
      <c r="R1838" t="s">
        <v>966</v>
      </c>
      <c r="S1838" s="33">
        <v>0</v>
      </c>
      <c r="T1838" s="13">
        <v>56.91</v>
      </c>
      <c r="U1838" s="13">
        <v>27.316800000000001</v>
      </c>
      <c r="V1838" s="21">
        <f>Table10[[#This Row],[Profit]]/Table10[[#This Row],[Sales]]</f>
        <v>0.48000000000000004</v>
      </c>
    </row>
    <row r="1839" spans="1:22" x14ac:dyDescent="0.2">
      <c r="A1839">
        <v>1838</v>
      </c>
      <c r="B1839" t="s">
        <v>965</v>
      </c>
      <c r="C1839" s="1">
        <v>42671</v>
      </c>
      <c r="D1839" s="22">
        <f>MONTH(Table10[[#This Row],[Order Date]])</f>
        <v>10</v>
      </c>
      <c r="E1839" t="s">
        <v>973</v>
      </c>
      <c r="F1839" t="s">
        <v>974</v>
      </c>
      <c r="G1839" s="23" t="s">
        <v>28</v>
      </c>
      <c r="H1839" s="23" t="s">
        <v>58</v>
      </c>
      <c r="I1839" t="s">
        <v>516</v>
      </c>
      <c r="J1839" t="s">
        <v>36</v>
      </c>
      <c r="K1839" s="22">
        <v>4</v>
      </c>
      <c r="L1839" s="1">
        <v>42677</v>
      </c>
      <c r="M1839" s="22">
        <f>Table10[[#This Row],[Ship Date]]-Table10[[#This Row],[Order Date]]</f>
        <v>6</v>
      </c>
      <c r="N1839" t="s">
        <v>45</v>
      </c>
      <c r="O1839" t="s">
        <v>23</v>
      </c>
      <c r="P1839" t="s">
        <v>695</v>
      </c>
      <c r="Q1839" t="s">
        <v>133</v>
      </c>
      <c r="R1839" t="s">
        <v>966</v>
      </c>
      <c r="S1839" s="33">
        <v>0</v>
      </c>
      <c r="T1839" s="13">
        <v>77.599999999999994</v>
      </c>
      <c r="U1839" s="13">
        <v>38.024000000000001</v>
      </c>
      <c r="V1839" s="21">
        <f>Table10[[#This Row],[Profit]]/Table10[[#This Row],[Sales]]</f>
        <v>0.49000000000000005</v>
      </c>
    </row>
    <row r="1840" spans="1:22" x14ac:dyDescent="0.2">
      <c r="A1840">
        <v>1839</v>
      </c>
      <c r="B1840" t="s">
        <v>965</v>
      </c>
      <c r="C1840" s="1">
        <v>42671</v>
      </c>
      <c r="D1840" s="22">
        <f>MONTH(Table10[[#This Row],[Order Date]])</f>
        <v>10</v>
      </c>
      <c r="E1840" t="s">
        <v>975</v>
      </c>
      <c r="F1840" t="s">
        <v>976</v>
      </c>
      <c r="G1840" s="23" t="s">
        <v>41</v>
      </c>
      <c r="H1840" s="23" t="s">
        <v>68</v>
      </c>
      <c r="I1840" t="s">
        <v>516</v>
      </c>
      <c r="J1840" t="s">
        <v>36</v>
      </c>
      <c r="K1840" s="22">
        <v>1</v>
      </c>
      <c r="L1840" s="1">
        <v>42677</v>
      </c>
      <c r="M1840" s="22">
        <f>Table10[[#This Row],[Ship Date]]-Table10[[#This Row],[Order Date]]</f>
        <v>6</v>
      </c>
      <c r="N1840" t="s">
        <v>45</v>
      </c>
      <c r="O1840" t="s">
        <v>23</v>
      </c>
      <c r="P1840" t="s">
        <v>695</v>
      </c>
      <c r="Q1840" t="s">
        <v>133</v>
      </c>
      <c r="R1840" t="s">
        <v>966</v>
      </c>
      <c r="S1840" s="33">
        <v>0</v>
      </c>
      <c r="T1840" s="13">
        <v>14.28</v>
      </c>
      <c r="U1840" s="13">
        <v>6.5688000000000004</v>
      </c>
      <c r="V1840" s="21">
        <f>Table10[[#This Row],[Profit]]/Table10[[#This Row],[Sales]]</f>
        <v>0.46000000000000008</v>
      </c>
    </row>
    <row r="1841" spans="1:22" x14ac:dyDescent="0.2">
      <c r="A1841">
        <v>1840</v>
      </c>
      <c r="B1841" t="s">
        <v>1183</v>
      </c>
      <c r="C1841" s="1">
        <v>42671</v>
      </c>
      <c r="D1841" s="22">
        <f>MONTH(Table10[[#This Row],[Order Date]])</f>
        <v>10</v>
      </c>
      <c r="E1841" t="s">
        <v>1185</v>
      </c>
      <c r="F1841" t="s">
        <v>1186</v>
      </c>
      <c r="G1841" s="23" t="s">
        <v>41</v>
      </c>
      <c r="H1841" s="23" t="s">
        <v>82</v>
      </c>
      <c r="I1841" t="s">
        <v>1184</v>
      </c>
      <c r="J1841" t="s">
        <v>36</v>
      </c>
      <c r="K1841" s="22">
        <v>7</v>
      </c>
      <c r="L1841" s="1">
        <v>42672</v>
      </c>
      <c r="M1841" s="22">
        <f>Table10[[#This Row],[Ship Date]]-Table10[[#This Row],[Order Date]]</f>
        <v>1</v>
      </c>
      <c r="N1841" t="s">
        <v>169</v>
      </c>
      <c r="O1841" t="s">
        <v>23</v>
      </c>
      <c r="P1841" t="s">
        <v>38</v>
      </c>
      <c r="Q1841" t="s">
        <v>39</v>
      </c>
      <c r="R1841" t="s">
        <v>114</v>
      </c>
      <c r="S1841" s="33">
        <v>0</v>
      </c>
      <c r="T1841" s="13">
        <v>50.96</v>
      </c>
      <c r="U1841" s="13">
        <v>25.48</v>
      </c>
      <c r="V1841" s="21">
        <f>Table10[[#This Row],[Profit]]/Table10[[#This Row],[Sales]]</f>
        <v>0.5</v>
      </c>
    </row>
    <row r="1842" spans="1:22" x14ac:dyDescent="0.2">
      <c r="A1842">
        <v>1841</v>
      </c>
      <c r="B1842" t="s">
        <v>1183</v>
      </c>
      <c r="C1842" s="1">
        <v>42671</v>
      </c>
      <c r="D1842" s="22">
        <f>MONTH(Table10[[#This Row],[Order Date]])</f>
        <v>10</v>
      </c>
      <c r="E1842" t="s">
        <v>1187</v>
      </c>
      <c r="F1842" t="s">
        <v>1188</v>
      </c>
      <c r="G1842" s="23" t="s">
        <v>41</v>
      </c>
      <c r="H1842" s="23" t="s">
        <v>68</v>
      </c>
      <c r="I1842" t="s">
        <v>1184</v>
      </c>
      <c r="J1842" t="s">
        <v>36</v>
      </c>
      <c r="K1842" s="22">
        <v>3</v>
      </c>
      <c r="L1842" s="1">
        <v>42672</v>
      </c>
      <c r="M1842" s="22">
        <f>Table10[[#This Row],[Ship Date]]-Table10[[#This Row],[Order Date]]</f>
        <v>1</v>
      </c>
      <c r="N1842" t="s">
        <v>169</v>
      </c>
      <c r="O1842" t="s">
        <v>23</v>
      </c>
      <c r="P1842" t="s">
        <v>38</v>
      </c>
      <c r="Q1842" t="s">
        <v>39</v>
      </c>
      <c r="R1842" t="s">
        <v>114</v>
      </c>
      <c r="S1842" s="33">
        <v>0.2</v>
      </c>
      <c r="T1842" s="13">
        <v>49.536000000000001</v>
      </c>
      <c r="U1842" s="13">
        <v>17.337599999999998</v>
      </c>
      <c r="V1842" s="21">
        <f>Table10[[#This Row],[Profit]]/Table10[[#This Row],[Sales]]</f>
        <v>0.35</v>
      </c>
    </row>
    <row r="1843" spans="1:22" x14ac:dyDescent="0.2">
      <c r="A1843">
        <v>1842</v>
      </c>
      <c r="B1843" t="s">
        <v>3055</v>
      </c>
      <c r="C1843" s="1">
        <v>42671</v>
      </c>
      <c r="D1843" s="22">
        <f>MONTH(Table10[[#This Row],[Order Date]])</f>
        <v>10</v>
      </c>
      <c r="E1843" t="s">
        <v>3057</v>
      </c>
      <c r="F1843" t="s">
        <v>3058</v>
      </c>
      <c r="G1843" s="23" t="s">
        <v>28</v>
      </c>
      <c r="H1843" s="23" t="s">
        <v>58</v>
      </c>
      <c r="I1843" t="s">
        <v>2260</v>
      </c>
      <c r="J1843" t="s">
        <v>22</v>
      </c>
      <c r="K1843" s="22">
        <v>3</v>
      </c>
      <c r="L1843" s="1">
        <v>42671</v>
      </c>
      <c r="M1843" s="22">
        <f>Table10[[#This Row],[Ship Date]]-Table10[[#This Row],[Order Date]]</f>
        <v>0</v>
      </c>
      <c r="N1843" t="s">
        <v>1141</v>
      </c>
      <c r="O1843" t="s">
        <v>23</v>
      </c>
      <c r="P1843" t="s">
        <v>48</v>
      </c>
      <c r="Q1843" t="s">
        <v>26</v>
      </c>
      <c r="R1843" t="s">
        <v>3056</v>
      </c>
      <c r="S1843" s="33">
        <v>0.2</v>
      </c>
      <c r="T1843" s="13">
        <v>47.951999999999998</v>
      </c>
      <c r="U1843" s="13">
        <v>13.786199999999999</v>
      </c>
      <c r="V1843" s="21">
        <f>Table10[[#This Row],[Profit]]/Table10[[#This Row],[Sales]]</f>
        <v>0.28749999999999998</v>
      </c>
    </row>
    <row r="1844" spans="1:22" x14ac:dyDescent="0.2">
      <c r="A1844">
        <v>1843</v>
      </c>
      <c r="B1844" t="s">
        <v>3055</v>
      </c>
      <c r="C1844" s="1">
        <v>42671</v>
      </c>
      <c r="D1844" s="22">
        <f>MONTH(Table10[[#This Row],[Order Date]])</f>
        <v>10</v>
      </c>
      <c r="E1844" t="s">
        <v>2366</v>
      </c>
      <c r="F1844" t="s">
        <v>2367</v>
      </c>
      <c r="G1844" s="23" t="s">
        <v>41</v>
      </c>
      <c r="H1844" s="23" t="s">
        <v>68</v>
      </c>
      <c r="I1844" t="s">
        <v>2260</v>
      </c>
      <c r="J1844" t="s">
        <v>22</v>
      </c>
      <c r="K1844" s="22">
        <v>5</v>
      </c>
      <c r="L1844" s="1">
        <v>42671</v>
      </c>
      <c r="M1844" s="22">
        <f>Table10[[#This Row],[Ship Date]]-Table10[[#This Row],[Order Date]]</f>
        <v>0</v>
      </c>
      <c r="N1844" t="s">
        <v>1141</v>
      </c>
      <c r="O1844" t="s">
        <v>23</v>
      </c>
      <c r="P1844" t="s">
        <v>48</v>
      </c>
      <c r="Q1844" t="s">
        <v>26</v>
      </c>
      <c r="R1844" t="s">
        <v>3056</v>
      </c>
      <c r="S1844" s="33">
        <v>0.7</v>
      </c>
      <c r="T1844" s="13">
        <v>37.424999999999997</v>
      </c>
      <c r="U1844" s="13">
        <v>-29.94</v>
      </c>
      <c r="V1844" s="21">
        <f>Table10[[#This Row],[Profit]]/Table10[[#This Row],[Sales]]</f>
        <v>-0.8</v>
      </c>
    </row>
    <row r="1845" spans="1:22" x14ac:dyDescent="0.2">
      <c r="A1845">
        <v>1844</v>
      </c>
      <c r="B1845" t="s">
        <v>3055</v>
      </c>
      <c r="C1845" s="1">
        <v>42671</v>
      </c>
      <c r="D1845" s="22">
        <f>MONTH(Table10[[#This Row],[Order Date]])</f>
        <v>10</v>
      </c>
      <c r="E1845" t="s">
        <v>3059</v>
      </c>
      <c r="F1845" t="s">
        <v>3060</v>
      </c>
      <c r="G1845" s="23" t="s">
        <v>28</v>
      </c>
      <c r="H1845" s="23" t="s">
        <v>58</v>
      </c>
      <c r="I1845" t="s">
        <v>2260</v>
      </c>
      <c r="J1845" t="s">
        <v>22</v>
      </c>
      <c r="K1845" s="22">
        <v>2</v>
      </c>
      <c r="L1845" s="1">
        <v>42671</v>
      </c>
      <c r="M1845" s="22">
        <f>Table10[[#This Row],[Ship Date]]-Table10[[#This Row],[Order Date]]</f>
        <v>0</v>
      </c>
      <c r="N1845" t="s">
        <v>1141</v>
      </c>
      <c r="O1845" t="s">
        <v>23</v>
      </c>
      <c r="P1845" t="s">
        <v>48</v>
      </c>
      <c r="Q1845" t="s">
        <v>26</v>
      </c>
      <c r="R1845" t="s">
        <v>3056</v>
      </c>
      <c r="S1845" s="33">
        <v>0.2</v>
      </c>
      <c r="T1845" s="13">
        <v>63.968000000000004</v>
      </c>
      <c r="U1845" s="13">
        <v>0</v>
      </c>
      <c r="V1845" s="21">
        <f>Table10[[#This Row],[Profit]]/Table10[[#This Row],[Sales]]</f>
        <v>0</v>
      </c>
    </row>
    <row r="1846" spans="1:22" x14ac:dyDescent="0.2">
      <c r="A1846">
        <v>1845</v>
      </c>
      <c r="B1846" t="s">
        <v>3055</v>
      </c>
      <c r="C1846" s="1">
        <v>42671</v>
      </c>
      <c r="D1846" s="22">
        <f>MONTH(Table10[[#This Row],[Order Date]])</f>
        <v>10</v>
      </c>
      <c r="E1846" t="s">
        <v>1945</v>
      </c>
      <c r="F1846" t="s">
        <v>1946</v>
      </c>
      <c r="G1846" s="23" t="s">
        <v>28</v>
      </c>
      <c r="H1846" s="23" t="s">
        <v>58</v>
      </c>
      <c r="I1846" t="s">
        <v>2260</v>
      </c>
      <c r="J1846" t="s">
        <v>22</v>
      </c>
      <c r="K1846" s="22">
        <v>3</v>
      </c>
      <c r="L1846" s="1">
        <v>42671</v>
      </c>
      <c r="M1846" s="22">
        <f>Table10[[#This Row],[Ship Date]]-Table10[[#This Row],[Order Date]]</f>
        <v>0</v>
      </c>
      <c r="N1846" t="s">
        <v>1141</v>
      </c>
      <c r="O1846" t="s">
        <v>23</v>
      </c>
      <c r="P1846" t="s">
        <v>48</v>
      </c>
      <c r="Q1846" t="s">
        <v>26</v>
      </c>
      <c r="R1846" t="s">
        <v>3056</v>
      </c>
      <c r="S1846" s="33">
        <v>0.2</v>
      </c>
      <c r="T1846" s="13">
        <v>165.048</v>
      </c>
      <c r="U1846" s="13">
        <v>41.262</v>
      </c>
      <c r="V1846" s="21">
        <f>Table10[[#This Row],[Profit]]/Table10[[#This Row],[Sales]]</f>
        <v>0.25</v>
      </c>
    </row>
    <row r="1847" spans="1:22" x14ac:dyDescent="0.2">
      <c r="A1847">
        <v>1846</v>
      </c>
      <c r="B1847" t="s">
        <v>3107</v>
      </c>
      <c r="C1847" s="1">
        <v>42671</v>
      </c>
      <c r="D1847" s="22">
        <f>MONTH(Table10[[#This Row],[Order Date]])</f>
        <v>10</v>
      </c>
      <c r="E1847" t="s">
        <v>3110</v>
      </c>
      <c r="F1847" t="s">
        <v>3111</v>
      </c>
      <c r="G1847" s="23" t="s">
        <v>41</v>
      </c>
      <c r="H1847" s="23" t="s">
        <v>68</v>
      </c>
      <c r="I1847" t="s">
        <v>3108</v>
      </c>
      <c r="J1847" t="s">
        <v>36</v>
      </c>
      <c r="K1847" s="22">
        <v>4</v>
      </c>
      <c r="L1847" s="1">
        <v>42678</v>
      </c>
      <c r="M1847" s="22">
        <f>Table10[[#This Row],[Ship Date]]-Table10[[#This Row],[Order Date]]</f>
        <v>7</v>
      </c>
      <c r="N1847" t="s">
        <v>45</v>
      </c>
      <c r="O1847" t="s">
        <v>23</v>
      </c>
      <c r="P1847" t="s">
        <v>80</v>
      </c>
      <c r="Q1847" t="s">
        <v>26</v>
      </c>
      <c r="R1847" t="s">
        <v>3109</v>
      </c>
      <c r="S1847" s="33">
        <v>0.7</v>
      </c>
      <c r="T1847" s="13">
        <v>17.616</v>
      </c>
      <c r="U1847" s="13">
        <v>-14.0928</v>
      </c>
      <c r="V1847" s="21">
        <f>Table10[[#This Row],[Profit]]/Table10[[#This Row],[Sales]]</f>
        <v>-0.8</v>
      </c>
    </row>
    <row r="1848" spans="1:22" x14ac:dyDescent="0.2">
      <c r="A1848">
        <v>1847</v>
      </c>
      <c r="B1848" t="s">
        <v>6302</v>
      </c>
      <c r="C1848" s="1">
        <v>42671</v>
      </c>
      <c r="D1848" s="22">
        <f>MONTH(Table10[[#This Row],[Order Date]])</f>
        <v>10</v>
      </c>
      <c r="E1848" t="s">
        <v>3407</v>
      </c>
      <c r="F1848" t="s">
        <v>3408</v>
      </c>
      <c r="G1848" s="23" t="s">
        <v>41</v>
      </c>
      <c r="H1848" s="23" t="s">
        <v>68</v>
      </c>
      <c r="I1848" t="s">
        <v>1617</v>
      </c>
      <c r="J1848" t="s">
        <v>22</v>
      </c>
      <c r="K1848" s="22">
        <v>5</v>
      </c>
      <c r="L1848" s="1">
        <v>42676</v>
      </c>
      <c r="M1848" s="22">
        <f>Table10[[#This Row],[Ship Date]]-Table10[[#This Row],[Order Date]]</f>
        <v>5</v>
      </c>
      <c r="N1848" t="s">
        <v>45</v>
      </c>
      <c r="O1848" t="s">
        <v>23</v>
      </c>
      <c r="P1848" t="s">
        <v>48</v>
      </c>
      <c r="Q1848" t="s">
        <v>26</v>
      </c>
      <c r="R1848" t="s">
        <v>793</v>
      </c>
      <c r="S1848" s="33">
        <v>0.7</v>
      </c>
      <c r="T1848" s="13">
        <v>38.19</v>
      </c>
      <c r="U1848" s="13">
        <v>-26.733000000000001</v>
      </c>
      <c r="V1848" s="21">
        <f>Table10[[#This Row],[Profit]]/Table10[[#This Row],[Sales]]</f>
        <v>-0.70000000000000007</v>
      </c>
    </row>
    <row r="1849" spans="1:22" x14ac:dyDescent="0.2">
      <c r="A1849">
        <v>1848</v>
      </c>
      <c r="B1849" t="s">
        <v>7138</v>
      </c>
      <c r="C1849" s="1">
        <v>42671</v>
      </c>
      <c r="D1849" s="22">
        <f>MONTH(Table10[[#This Row],[Order Date]])</f>
        <v>10</v>
      </c>
      <c r="E1849" t="s">
        <v>599</v>
      </c>
      <c r="F1849" t="s">
        <v>600</v>
      </c>
      <c r="G1849" s="23" t="s">
        <v>41</v>
      </c>
      <c r="H1849" s="23" t="s">
        <v>61</v>
      </c>
      <c r="I1849" t="s">
        <v>5325</v>
      </c>
      <c r="J1849" t="s">
        <v>22</v>
      </c>
      <c r="K1849" s="22">
        <v>3</v>
      </c>
      <c r="L1849" s="1">
        <v>42675</v>
      </c>
      <c r="M1849" s="22">
        <f>Table10[[#This Row],[Ship Date]]-Table10[[#This Row],[Order Date]]</f>
        <v>4</v>
      </c>
      <c r="N1849" t="s">
        <v>20</v>
      </c>
      <c r="O1849" t="s">
        <v>23</v>
      </c>
      <c r="P1849" t="s">
        <v>238</v>
      </c>
      <c r="Q1849" t="s">
        <v>133</v>
      </c>
      <c r="R1849" t="s">
        <v>237</v>
      </c>
      <c r="S1849" s="33">
        <v>0</v>
      </c>
      <c r="T1849" s="13">
        <v>12.42</v>
      </c>
      <c r="U1849" s="13">
        <v>5.2164000000000001</v>
      </c>
      <c r="V1849" s="21">
        <f>Table10[[#This Row],[Profit]]/Table10[[#This Row],[Sales]]</f>
        <v>0.42000000000000004</v>
      </c>
    </row>
    <row r="1850" spans="1:22" x14ac:dyDescent="0.2">
      <c r="A1850">
        <v>1849</v>
      </c>
      <c r="B1850" t="s">
        <v>8565</v>
      </c>
      <c r="C1850" s="1">
        <v>42671</v>
      </c>
      <c r="D1850" s="22">
        <f>MONTH(Table10[[#This Row],[Order Date]])</f>
        <v>10</v>
      </c>
      <c r="E1850" t="s">
        <v>8566</v>
      </c>
      <c r="F1850" t="s">
        <v>8567</v>
      </c>
      <c r="G1850" s="23" t="s">
        <v>28</v>
      </c>
      <c r="H1850" s="23" t="s">
        <v>58</v>
      </c>
      <c r="I1850" t="s">
        <v>1124</v>
      </c>
      <c r="J1850" t="s">
        <v>36</v>
      </c>
      <c r="K1850" s="22">
        <v>5</v>
      </c>
      <c r="L1850" s="1">
        <v>42671</v>
      </c>
      <c r="M1850" s="22">
        <f>Table10[[#This Row],[Ship Date]]-Table10[[#This Row],[Order Date]]</f>
        <v>0</v>
      </c>
      <c r="N1850" t="s">
        <v>1141</v>
      </c>
      <c r="O1850" t="s">
        <v>23</v>
      </c>
      <c r="P1850" t="s">
        <v>238</v>
      </c>
      <c r="Q1850" t="s">
        <v>133</v>
      </c>
      <c r="R1850" t="s">
        <v>347</v>
      </c>
      <c r="S1850" s="33">
        <v>0</v>
      </c>
      <c r="T1850" s="13">
        <v>756.8</v>
      </c>
      <c r="U1850" s="13">
        <v>75.680000000000007</v>
      </c>
      <c r="V1850" s="21">
        <f>Table10[[#This Row],[Profit]]/Table10[[#This Row],[Sales]]</f>
        <v>0.10000000000000002</v>
      </c>
    </row>
    <row r="1851" spans="1:22" x14ac:dyDescent="0.2">
      <c r="A1851">
        <v>1850</v>
      </c>
      <c r="B1851" t="s">
        <v>3604</v>
      </c>
      <c r="C1851" s="1">
        <v>42672</v>
      </c>
      <c r="D1851" s="22">
        <f>MONTH(Table10[[#This Row],[Order Date]])</f>
        <v>10</v>
      </c>
      <c r="E1851" t="s">
        <v>3607</v>
      </c>
      <c r="F1851" t="s">
        <v>3608</v>
      </c>
      <c r="G1851" s="23" t="s">
        <v>41</v>
      </c>
      <c r="H1851" s="23" t="s">
        <v>53</v>
      </c>
      <c r="I1851" t="s">
        <v>3605</v>
      </c>
      <c r="J1851" t="s">
        <v>36</v>
      </c>
      <c r="K1851" s="22">
        <v>3</v>
      </c>
      <c r="L1851" s="1">
        <v>42676</v>
      </c>
      <c r="M1851" s="22">
        <f>Table10[[#This Row],[Ship Date]]-Table10[[#This Row],[Order Date]]</f>
        <v>4</v>
      </c>
      <c r="N1851" t="s">
        <v>45</v>
      </c>
      <c r="O1851" t="s">
        <v>23</v>
      </c>
      <c r="P1851" t="s">
        <v>695</v>
      </c>
      <c r="Q1851" t="s">
        <v>133</v>
      </c>
      <c r="R1851" t="s">
        <v>3606</v>
      </c>
      <c r="S1851" s="33">
        <v>0</v>
      </c>
      <c r="T1851" s="13">
        <v>40.74</v>
      </c>
      <c r="U1851" s="13">
        <v>0.40739999999999998</v>
      </c>
      <c r="V1851" s="21">
        <f>Table10[[#This Row],[Profit]]/Table10[[#This Row],[Sales]]</f>
        <v>9.9999999999999985E-3</v>
      </c>
    </row>
    <row r="1852" spans="1:22" x14ac:dyDescent="0.2">
      <c r="A1852">
        <v>1851</v>
      </c>
      <c r="B1852" t="s">
        <v>3604</v>
      </c>
      <c r="C1852" s="1">
        <v>42672</v>
      </c>
      <c r="D1852" s="22">
        <f>MONTH(Table10[[#This Row],[Order Date]])</f>
        <v>10</v>
      </c>
      <c r="E1852" t="s">
        <v>3609</v>
      </c>
      <c r="F1852" t="s">
        <v>3610</v>
      </c>
      <c r="G1852" s="23" t="s">
        <v>41</v>
      </c>
      <c r="H1852" s="23" t="s">
        <v>71</v>
      </c>
      <c r="I1852" t="s">
        <v>3605</v>
      </c>
      <c r="J1852" t="s">
        <v>36</v>
      </c>
      <c r="K1852" s="22">
        <v>3</v>
      </c>
      <c r="L1852" s="1">
        <v>42676</v>
      </c>
      <c r="M1852" s="22">
        <f>Table10[[#This Row],[Ship Date]]-Table10[[#This Row],[Order Date]]</f>
        <v>4</v>
      </c>
      <c r="N1852" t="s">
        <v>45</v>
      </c>
      <c r="O1852" t="s">
        <v>23</v>
      </c>
      <c r="P1852" t="s">
        <v>695</v>
      </c>
      <c r="Q1852" t="s">
        <v>133</v>
      </c>
      <c r="R1852" t="s">
        <v>3606</v>
      </c>
      <c r="S1852" s="33">
        <v>0</v>
      </c>
      <c r="T1852" s="13">
        <v>11.67</v>
      </c>
      <c r="U1852" s="13">
        <v>3.0341999999999998</v>
      </c>
      <c r="V1852" s="21">
        <f>Table10[[#This Row],[Profit]]/Table10[[#This Row],[Sales]]</f>
        <v>0.26</v>
      </c>
    </row>
    <row r="1853" spans="1:22" x14ac:dyDescent="0.2">
      <c r="A1853">
        <v>1852</v>
      </c>
      <c r="B1853" t="s">
        <v>5698</v>
      </c>
      <c r="C1853" s="1">
        <v>42672</v>
      </c>
      <c r="D1853" s="22">
        <f>MONTH(Table10[[#This Row],[Order Date]])</f>
        <v>10</v>
      </c>
      <c r="E1853" t="s">
        <v>982</v>
      </c>
      <c r="F1853" t="s">
        <v>983</v>
      </c>
      <c r="G1853" s="23" t="s">
        <v>28</v>
      </c>
      <c r="H1853" s="23" t="s">
        <v>58</v>
      </c>
      <c r="I1853" t="s">
        <v>1131</v>
      </c>
      <c r="J1853" t="s">
        <v>22</v>
      </c>
      <c r="K1853" s="22">
        <v>5</v>
      </c>
      <c r="L1853" s="1">
        <v>42674</v>
      </c>
      <c r="M1853" s="22">
        <f>Table10[[#This Row],[Ship Date]]-Table10[[#This Row],[Order Date]]</f>
        <v>2</v>
      </c>
      <c r="N1853" t="s">
        <v>169</v>
      </c>
      <c r="O1853" t="s">
        <v>23</v>
      </c>
      <c r="P1853" t="s">
        <v>212</v>
      </c>
      <c r="Q1853" t="s">
        <v>95</v>
      </c>
      <c r="R1853" t="s">
        <v>2912</v>
      </c>
      <c r="S1853" s="33">
        <v>0</v>
      </c>
      <c r="T1853" s="13">
        <v>67</v>
      </c>
      <c r="U1853" s="13">
        <v>32.159999999999997</v>
      </c>
      <c r="V1853" s="21">
        <f>Table10[[#This Row],[Profit]]/Table10[[#This Row],[Sales]]</f>
        <v>0.47999999999999993</v>
      </c>
    </row>
    <row r="1854" spans="1:22" x14ac:dyDescent="0.2">
      <c r="A1854">
        <v>1853</v>
      </c>
      <c r="B1854" t="s">
        <v>8000</v>
      </c>
      <c r="C1854" s="1">
        <v>42672</v>
      </c>
      <c r="D1854" s="22">
        <f>MONTH(Table10[[#This Row],[Order Date]])</f>
        <v>10</v>
      </c>
      <c r="E1854" t="s">
        <v>3110</v>
      </c>
      <c r="F1854" t="s">
        <v>3111</v>
      </c>
      <c r="G1854" s="23" t="s">
        <v>41</v>
      </c>
      <c r="H1854" s="23" t="s">
        <v>68</v>
      </c>
      <c r="I1854" t="s">
        <v>831</v>
      </c>
      <c r="J1854" t="s">
        <v>22</v>
      </c>
      <c r="K1854" s="22">
        <v>1</v>
      </c>
      <c r="L1854" s="1">
        <v>42675</v>
      </c>
      <c r="M1854" s="22">
        <f>Table10[[#This Row],[Ship Date]]-Table10[[#This Row],[Order Date]]</f>
        <v>3</v>
      </c>
      <c r="N1854" t="s">
        <v>20</v>
      </c>
      <c r="O1854" t="s">
        <v>23</v>
      </c>
      <c r="P1854" t="s">
        <v>38</v>
      </c>
      <c r="Q1854" t="s">
        <v>39</v>
      </c>
      <c r="R1854" t="s">
        <v>37</v>
      </c>
      <c r="S1854" s="33">
        <v>0.2</v>
      </c>
      <c r="T1854" s="13">
        <v>11.744</v>
      </c>
      <c r="U1854" s="13">
        <v>3.8168000000000002</v>
      </c>
      <c r="V1854" s="21">
        <f>Table10[[#This Row],[Profit]]/Table10[[#This Row],[Sales]]</f>
        <v>0.32500000000000001</v>
      </c>
    </row>
    <row r="1855" spans="1:22" x14ac:dyDescent="0.2">
      <c r="A1855">
        <v>1854</v>
      </c>
      <c r="B1855" t="s">
        <v>5817</v>
      </c>
      <c r="C1855" s="1">
        <v>42673</v>
      </c>
      <c r="D1855" s="22">
        <f>MONTH(Table10[[#This Row],[Order Date]])</f>
        <v>10</v>
      </c>
      <c r="E1855" t="s">
        <v>1754</v>
      </c>
      <c r="F1855" t="s">
        <v>1755</v>
      </c>
      <c r="G1855" s="23" t="s">
        <v>41</v>
      </c>
      <c r="H1855" s="23" t="s">
        <v>61</v>
      </c>
      <c r="I1855" t="s">
        <v>5114</v>
      </c>
      <c r="J1855" t="s">
        <v>22</v>
      </c>
      <c r="K1855" s="22">
        <v>2</v>
      </c>
      <c r="L1855" s="1">
        <v>42678</v>
      </c>
      <c r="M1855" s="22">
        <f>Table10[[#This Row],[Ship Date]]-Table10[[#This Row],[Order Date]]</f>
        <v>5</v>
      </c>
      <c r="N1855" t="s">
        <v>45</v>
      </c>
      <c r="O1855" t="s">
        <v>23</v>
      </c>
      <c r="P1855" t="s">
        <v>212</v>
      </c>
      <c r="Q1855" t="s">
        <v>95</v>
      </c>
      <c r="R1855" t="s">
        <v>5526</v>
      </c>
      <c r="S1855" s="33">
        <v>0</v>
      </c>
      <c r="T1855" s="13">
        <v>11.68</v>
      </c>
      <c r="U1855" s="13">
        <v>3.504</v>
      </c>
      <c r="V1855" s="21">
        <f>Table10[[#This Row],[Profit]]/Table10[[#This Row],[Sales]]</f>
        <v>0.3</v>
      </c>
    </row>
    <row r="1856" spans="1:22" x14ac:dyDescent="0.2">
      <c r="A1856">
        <v>1855</v>
      </c>
      <c r="B1856" t="s">
        <v>9695</v>
      </c>
      <c r="C1856" s="1">
        <v>42673</v>
      </c>
      <c r="D1856" s="22">
        <f>MONTH(Table10[[#This Row],[Order Date]])</f>
        <v>10</v>
      </c>
      <c r="E1856" t="s">
        <v>4360</v>
      </c>
      <c r="F1856" t="s">
        <v>4361</v>
      </c>
      <c r="G1856" s="23" t="s">
        <v>41</v>
      </c>
      <c r="H1856" s="23" t="s">
        <v>68</v>
      </c>
      <c r="I1856" t="s">
        <v>4217</v>
      </c>
      <c r="J1856" t="s">
        <v>36</v>
      </c>
      <c r="K1856" s="22">
        <v>3</v>
      </c>
      <c r="L1856" s="1">
        <v>42677</v>
      </c>
      <c r="M1856" s="22">
        <f>Table10[[#This Row],[Ship Date]]-Table10[[#This Row],[Order Date]]</f>
        <v>4</v>
      </c>
      <c r="N1856" t="s">
        <v>45</v>
      </c>
      <c r="O1856" t="s">
        <v>23</v>
      </c>
      <c r="P1856" t="s">
        <v>238</v>
      </c>
      <c r="Q1856" t="s">
        <v>133</v>
      </c>
      <c r="R1856" t="s">
        <v>237</v>
      </c>
      <c r="S1856" s="33">
        <v>0.2</v>
      </c>
      <c r="T1856" s="13">
        <v>28.751999999999999</v>
      </c>
      <c r="U1856" s="13">
        <v>10.0632</v>
      </c>
      <c r="V1856" s="21">
        <f>Table10[[#This Row],[Profit]]/Table10[[#This Row],[Sales]]</f>
        <v>0.35000000000000003</v>
      </c>
    </row>
    <row r="1857" spans="1:22" x14ac:dyDescent="0.2">
      <c r="A1857">
        <v>1856</v>
      </c>
      <c r="B1857" t="s">
        <v>9695</v>
      </c>
      <c r="C1857" s="1">
        <v>42673</v>
      </c>
      <c r="D1857" s="22">
        <f>MONTH(Table10[[#This Row],[Order Date]])</f>
        <v>10</v>
      </c>
      <c r="E1857" t="s">
        <v>4431</v>
      </c>
      <c r="F1857" t="s">
        <v>4432</v>
      </c>
      <c r="G1857" s="23" t="s">
        <v>41</v>
      </c>
      <c r="H1857" s="23" t="s">
        <v>61</v>
      </c>
      <c r="I1857" t="s">
        <v>4217</v>
      </c>
      <c r="J1857" t="s">
        <v>36</v>
      </c>
      <c r="K1857" s="22">
        <v>5</v>
      </c>
      <c r="L1857" s="1">
        <v>42677</v>
      </c>
      <c r="M1857" s="22">
        <f>Table10[[#This Row],[Ship Date]]-Table10[[#This Row],[Order Date]]</f>
        <v>4</v>
      </c>
      <c r="N1857" t="s">
        <v>45</v>
      </c>
      <c r="O1857" t="s">
        <v>23</v>
      </c>
      <c r="P1857" t="s">
        <v>238</v>
      </c>
      <c r="Q1857" t="s">
        <v>133</v>
      </c>
      <c r="R1857" t="s">
        <v>237</v>
      </c>
      <c r="S1857" s="33">
        <v>0</v>
      </c>
      <c r="T1857" s="13">
        <v>114.95</v>
      </c>
      <c r="U1857" s="13">
        <v>32.186</v>
      </c>
      <c r="V1857" s="21">
        <f>Table10[[#This Row],[Profit]]/Table10[[#This Row],[Sales]]</f>
        <v>0.27999999999999997</v>
      </c>
    </row>
    <row r="1858" spans="1:22" x14ac:dyDescent="0.2">
      <c r="A1858">
        <v>1857</v>
      </c>
      <c r="B1858" t="s">
        <v>10001</v>
      </c>
      <c r="C1858" s="1">
        <v>42673</v>
      </c>
      <c r="D1858" s="22">
        <f>MONTH(Table10[[#This Row],[Order Date]])</f>
        <v>10</v>
      </c>
      <c r="E1858" t="s">
        <v>2768</v>
      </c>
      <c r="F1858" t="s">
        <v>2769</v>
      </c>
      <c r="G1858" s="23" t="s">
        <v>41</v>
      </c>
      <c r="H1858" s="23" t="s">
        <v>240</v>
      </c>
      <c r="I1858" t="s">
        <v>6384</v>
      </c>
      <c r="J1858" t="s">
        <v>22</v>
      </c>
      <c r="K1858" s="22">
        <v>2</v>
      </c>
      <c r="L1858" s="1">
        <v>42678</v>
      </c>
      <c r="M1858" s="22">
        <f>Table10[[#This Row],[Ship Date]]-Table10[[#This Row],[Order Date]]</f>
        <v>5</v>
      </c>
      <c r="N1858" t="s">
        <v>45</v>
      </c>
      <c r="O1858" t="s">
        <v>23</v>
      </c>
      <c r="P1858" t="s">
        <v>38</v>
      </c>
      <c r="Q1858" t="s">
        <v>39</v>
      </c>
      <c r="R1858" t="s">
        <v>10002</v>
      </c>
      <c r="S1858" s="33">
        <v>0</v>
      </c>
      <c r="T1858" s="13">
        <v>3.62</v>
      </c>
      <c r="U1858" s="13">
        <v>1.1946000000000001</v>
      </c>
      <c r="V1858" s="21">
        <f>Table10[[#This Row],[Profit]]/Table10[[#This Row],[Sales]]</f>
        <v>0.33</v>
      </c>
    </row>
    <row r="1859" spans="1:22" x14ac:dyDescent="0.2">
      <c r="A1859">
        <v>1858</v>
      </c>
      <c r="B1859" t="s">
        <v>4899</v>
      </c>
      <c r="C1859" s="1">
        <v>42674</v>
      </c>
      <c r="D1859" s="22">
        <f>MONTH(Table10[[#This Row],[Order Date]])</f>
        <v>10</v>
      </c>
      <c r="E1859" t="s">
        <v>4082</v>
      </c>
      <c r="F1859" t="s">
        <v>4083</v>
      </c>
      <c r="G1859" s="23" t="s">
        <v>28</v>
      </c>
      <c r="H1859" s="23" t="s">
        <v>32</v>
      </c>
      <c r="I1859" t="s">
        <v>1655</v>
      </c>
      <c r="J1859" t="s">
        <v>22</v>
      </c>
      <c r="K1859" s="22">
        <v>5</v>
      </c>
      <c r="L1859" s="1">
        <v>42680</v>
      </c>
      <c r="M1859" s="22">
        <f>Table10[[#This Row],[Ship Date]]-Table10[[#This Row],[Order Date]]</f>
        <v>6</v>
      </c>
      <c r="N1859" t="s">
        <v>45</v>
      </c>
      <c r="O1859" t="s">
        <v>23</v>
      </c>
      <c r="P1859" t="s">
        <v>132</v>
      </c>
      <c r="Q1859" t="s">
        <v>133</v>
      </c>
      <c r="R1859" t="s">
        <v>131</v>
      </c>
      <c r="S1859" s="33">
        <v>0.3</v>
      </c>
      <c r="T1859" s="13">
        <v>492.83499999999998</v>
      </c>
      <c r="U1859" s="13">
        <v>-14.081</v>
      </c>
      <c r="V1859" s="21">
        <f>Table10[[#This Row],[Profit]]/Table10[[#This Row],[Sales]]</f>
        <v>-2.8571428571428571E-2</v>
      </c>
    </row>
    <row r="1860" spans="1:22" x14ac:dyDescent="0.2">
      <c r="A1860">
        <v>1859</v>
      </c>
      <c r="B1860" t="s">
        <v>6220</v>
      </c>
      <c r="C1860" s="1">
        <v>42674</v>
      </c>
      <c r="D1860" s="22">
        <f>MONTH(Table10[[#This Row],[Order Date]])</f>
        <v>10</v>
      </c>
      <c r="E1860" t="s">
        <v>5430</v>
      </c>
      <c r="F1860" t="s">
        <v>5431</v>
      </c>
      <c r="G1860" s="23" t="s">
        <v>41</v>
      </c>
      <c r="H1860" s="23" t="s">
        <v>53</v>
      </c>
      <c r="I1860" t="s">
        <v>516</v>
      </c>
      <c r="J1860" t="s">
        <v>36</v>
      </c>
      <c r="K1860" s="22">
        <v>7</v>
      </c>
      <c r="L1860" s="1">
        <v>42678</v>
      </c>
      <c r="M1860" s="22">
        <f>Table10[[#This Row],[Ship Date]]-Table10[[#This Row],[Order Date]]</f>
        <v>4</v>
      </c>
      <c r="N1860" t="s">
        <v>45</v>
      </c>
      <c r="O1860" t="s">
        <v>23</v>
      </c>
      <c r="P1860" t="s">
        <v>38</v>
      </c>
      <c r="Q1860" t="s">
        <v>39</v>
      </c>
      <c r="R1860" t="s">
        <v>37</v>
      </c>
      <c r="S1860" s="33">
        <v>0</v>
      </c>
      <c r="T1860" s="13">
        <v>1085.42</v>
      </c>
      <c r="U1860" s="13">
        <v>282.20920000000001</v>
      </c>
      <c r="V1860" s="21">
        <f>Table10[[#This Row],[Profit]]/Table10[[#This Row],[Sales]]</f>
        <v>0.26</v>
      </c>
    </row>
    <row r="1861" spans="1:22" x14ac:dyDescent="0.2">
      <c r="A1861">
        <v>1860</v>
      </c>
      <c r="B1861" t="s">
        <v>7935</v>
      </c>
      <c r="C1861" s="1">
        <v>42674</v>
      </c>
      <c r="D1861" s="22">
        <f>MONTH(Table10[[#This Row],[Order Date]])</f>
        <v>10</v>
      </c>
      <c r="E1861" t="s">
        <v>1650</v>
      </c>
      <c r="F1861" t="s">
        <v>1651</v>
      </c>
      <c r="G1861" s="23" t="s">
        <v>41</v>
      </c>
      <c r="H1861" s="23" t="s">
        <v>82</v>
      </c>
      <c r="I1861" t="s">
        <v>2783</v>
      </c>
      <c r="J1861" t="s">
        <v>22</v>
      </c>
      <c r="K1861" s="22">
        <v>6</v>
      </c>
      <c r="L1861" s="1">
        <v>42678</v>
      </c>
      <c r="M1861" s="22">
        <f>Table10[[#This Row],[Ship Date]]-Table10[[#This Row],[Order Date]]</f>
        <v>4</v>
      </c>
      <c r="N1861" t="s">
        <v>20</v>
      </c>
      <c r="O1861" t="s">
        <v>23</v>
      </c>
      <c r="P1861" t="s">
        <v>48</v>
      </c>
      <c r="Q1861" t="s">
        <v>26</v>
      </c>
      <c r="R1861" t="s">
        <v>6510</v>
      </c>
      <c r="S1861" s="33">
        <v>0.2</v>
      </c>
      <c r="T1861" s="13">
        <v>32.064</v>
      </c>
      <c r="U1861" s="13">
        <v>11.2224</v>
      </c>
      <c r="V1861" s="21">
        <f>Table10[[#This Row],[Profit]]/Table10[[#This Row],[Sales]]</f>
        <v>0.35000000000000003</v>
      </c>
    </row>
    <row r="1862" spans="1:22" x14ac:dyDescent="0.2">
      <c r="A1862">
        <v>1861</v>
      </c>
      <c r="B1862" t="s">
        <v>8115</v>
      </c>
      <c r="C1862" s="1">
        <v>42674</v>
      </c>
      <c r="D1862" s="22">
        <f>MONTH(Table10[[#This Row],[Order Date]])</f>
        <v>10</v>
      </c>
      <c r="E1862" t="s">
        <v>512</v>
      </c>
      <c r="F1862" t="s">
        <v>514</v>
      </c>
      <c r="G1862" s="23" t="s">
        <v>41</v>
      </c>
      <c r="H1862" s="23" t="s">
        <v>513</v>
      </c>
      <c r="I1862" t="s">
        <v>2206</v>
      </c>
      <c r="J1862" t="s">
        <v>36</v>
      </c>
      <c r="K1862" s="22">
        <v>2</v>
      </c>
      <c r="L1862" s="1">
        <v>42679</v>
      </c>
      <c r="M1862" s="22">
        <f>Table10[[#This Row],[Ship Date]]-Table10[[#This Row],[Order Date]]</f>
        <v>5</v>
      </c>
      <c r="N1862" t="s">
        <v>45</v>
      </c>
      <c r="O1862" t="s">
        <v>23</v>
      </c>
      <c r="P1862" t="s">
        <v>573</v>
      </c>
      <c r="Q1862" t="s">
        <v>95</v>
      </c>
      <c r="R1862" t="s">
        <v>4017</v>
      </c>
      <c r="S1862" s="33">
        <v>0</v>
      </c>
      <c r="T1862" s="13">
        <v>21.96</v>
      </c>
      <c r="U1862" s="13">
        <v>6.1487999999999996</v>
      </c>
      <c r="V1862" s="21">
        <f>Table10[[#This Row],[Profit]]/Table10[[#This Row],[Sales]]</f>
        <v>0.27999999999999997</v>
      </c>
    </row>
    <row r="1863" spans="1:22" x14ac:dyDescent="0.2">
      <c r="A1863">
        <v>1862</v>
      </c>
      <c r="B1863" t="s">
        <v>8115</v>
      </c>
      <c r="C1863" s="1">
        <v>42674</v>
      </c>
      <c r="D1863" s="22">
        <f>MONTH(Table10[[#This Row],[Order Date]])</f>
        <v>10</v>
      </c>
      <c r="E1863" t="s">
        <v>4545</v>
      </c>
      <c r="F1863" t="s">
        <v>4546</v>
      </c>
      <c r="G1863" s="23" t="s">
        <v>28</v>
      </c>
      <c r="H1863" s="23" t="s">
        <v>32</v>
      </c>
      <c r="I1863" t="s">
        <v>2206</v>
      </c>
      <c r="J1863" t="s">
        <v>36</v>
      </c>
      <c r="K1863" s="22">
        <v>3</v>
      </c>
      <c r="L1863" s="1">
        <v>42679</v>
      </c>
      <c r="M1863" s="22">
        <f>Table10[[#This Row],[Ship Date]]-Table10[[#This Row],[Order Date]]</f>
        <v>5</v>
      </c>
      <c r="N1863" t="s">
        <v>45</v>
      </c>
      <c r="O1863" t="s">
        <v>23</v>
      </c>
      <c r="P1863" t="s">
        <v>573</v>
      </c>
      <c r="Q1863" t="s">
        <v>95</v>
      </c>
      <c r="R1863" t="s">
        <v>4017</v>
      </c>
      <c r="S1863" s="33">
        <v>0</v>
      </c>
      <c r="T1863" s="13">
        <v>368.97</v>
      </c>
      <c r="U1863" s="13">
        <v>81.173400000000001</v>
      </c>
      <c r="V1863" s="21">
        <f>Table10[[#This Row],[Profit]]/Table10[[#This Row],[Sales]]</f>
        <v>0.21999999999999997</v>
      </c>
    </row>
    <row r="1864" spans="1:22" x14ac:dyDescent="0.2">
      <c r="A1864">
        <v>1863</v>
      </c>
      <c r="B1864" t="s">
        <v>8115</v>
      </c>
      <c r="C1864" s="1">
        <v>42674</v>
      </c>
      <c r="D1864" s="22">
        <f>MONTH(Table10[[#This Row],[Order Date]])</f>
        <v>10</v>
      </c>
      <c r="E1864" t="s">
        <v>6096</v>
      </c>
      <c r="F1864" t="s">
        <v>6097</v>
      </c>
      <c r="G1864" s="23" t="s">
        <v>41</v>
      </c>
      <c r="H1864" s="23" t="s">
        <v>61</v>
      </c>
      <c r="I1864" t="s">
        <v>2206</v>
      </c>
      <c r="J1864" t="s">
        <v>36</v>
      </c>
      <c r="K1864" s="22">
        <v>3</v>
      </c>
      <c r="L1864" s="1">
        <v>42679</v>
      </c>
      <c r="M1864" s="22">
        <f>Table10[[#This Row],[Ship Date]]-Table10[[#This Row],[Order Date]]</f>
        <v>5</v>
      </c>
      <c r="N1864" t="s">
        <v>45</v>
      </c>
      <c r="O1864" t="s">
        <v>23</v>
      </c>
      <c r="P1864" t="s">
        <v>573</v>
      </c>
      <c r="Q1864" t="s">
        <v>95</v>
      </c>
      <c r="R1864" t="s">
        <v>4017</v>
      </c>
      <c r="S1864" s="33">
        <v>0</v>
      </c>
      <c r="T1864" s="13">
        <v>12.39</v>
      </c>
      <c r="U1864" s="13">
        <v>3.4691999999999998</v>
      </c>
      <c r="V1864" s="21">
        <f>Table10[[#This Row],[Profit]]/Table10[[#This Row],[Sales]]</f>
        <v>0.27999999999999997</v>
      </c>
    </row>
    <row r="1865" spans="1:22" x14ac:dyDescent="0.2">
      <c r="A1865">
        <v>1864</v>
      </c>
      <c r="B1865" t="s">
        <v>8115</v>
      </c>
      <c r="C1865" s="1">
        <v>42674</v>
      </c>
      <c r="D1865" s="22">
        <f>MONTH(Table10[[#This Row],[Order Date]])</f>
        <v>10</v>
      </c>
      <c r="E1865" t="s">
        <v>5352</v>
      </c>
      <c r="F1865" t="s">
        <v>5353</v>
      </c>
      <c r="G1865" s="23" t="s">
        <v>41</v>
      </c>
      <c r="H1865" s="23" t="s">
        <v>53</v>
      </c>
      <c r="I1865" t="s">
        <v>2206</v>
      </c>
      <c r="J1865" t="s">
        <v>36</v>
      </c>
      <c r="K1865" s="22">
        <v>3</v>
      </c>
      <c r="L1865" s="1">
        <v>42679</v>
      </c>
      <c r="M1865" s="22">
        <f>Table10[[#This Row],[Ship Date]]-Table10[[#This Row],[Order Date]]</f>
        <v>5</v>
      </c>
      <c r="N1865" t="s">
        <v>45</v>
      </c>
      <c r="O1865" t="s">
        <v>23</v>
      </c>
      <c r="P1865" t="s">
        <v>573</v>
      </c>
      <c r="Q1865" t="s">
        <v>95</v>
      </c>
      <c r="R1865" t="s">
        <v>4017</v>
      </c>
      <c r="S1865" s="33">
        <v>0</v>
      </c>
      <c r="T1865" s="13">
        <v>332.94</v>
      </c>
      <c r="U1865" s="13">
        <v>9.9882000000000009</v>
      </c>
      <c r="V1865" s="21">
        <f>Table10[[#This Row],[Profit]]/Table10[[#This Row],[Sales]]</f>
        <v>3.0000000000000002E-2</v>
      </c>
    </row>
    <row r="1866" spans="1:22" x14ac:dyDescent="0.2">
      <c r="A1866">
        <v>1865</v>
      </c>
      <c r="B1866" t="s">
        <v>10033</v>
      </c>
      <c r="C1866" s="1">
        <v>42674</v>
      </c>
      <c r="D1866" s="22">
        <f>MONTH(Table10[[#This Row],[Order Date]])</f>
        <v>10</v>
      </c>
      <c r="E1866" t="s">
        <v>3992</v>
      </c>
      <c r="F1866" t="s">
        <v>3993</v>
      </c>
      <c r="G1866" s="23" t="s">
        <v>28</v>
      </c>
      <c r="H1866" s="23" t="s">
        <v>32</v>
      </c>
      <c r="I1866" t="s">
        <v>1814</v>
      </c>
      <c r="J1866" t="s">
        <v>36</v>
      </c>
      <c r="K1866" s="22">
        <v>5</v>
      </c>
      <c r="L1866" s="1">
        <v>42679</v>
      </c>
      <c r="M1866" s="22">
        <f>Table10[[#This Row],[Ship Date]]-Table10[[#This Row],[Order Date]]</f>
        <v>5</v>
      </c>
      <c r="N1866" t="s">
        <v>45</v>
      </c>
      <c r="O1866" t="s">
        <v>23</v>
      </c>
      <c r="P1866" t="s">
        <v>38</v>
      </c>
      <c r="Q1866" t="s">
        <v>39</v>
      </c>
      <c r="R1866" t="s">
        <v>114</v>
      </c>
      <c r="S1866" s="33">
        <v>0.2</v>
      </c>
      <c r="T1866" s="13">
        <v>1403.92</v>
      </c>
      <c r="U1866" s="13">
        <v>70.195999999999998</v>
      </c>
      <c r="V1866" s="21">
        <f>Table10[[#This Row],[Profit]]/Table10[[#This Row],[Sales]]</f>
        <v>4.9999999999999996E-2</v>
      </c>
    </row>
    <row r="1867" spans="1:22" x14ac:dyDescent="0.2">
      <c r="A1867">
        <v>1866</v>
      </c>
      <c r="B1867" t="s">
        <v>3365</v>
      </c>
      <c r="C1867" s="1">
        <v>42675</v>
      </c>
      <c r="D1867" s="22">
        <f>MONTH(Table10[[#This Row],[Order Date]])</f>
        <v>11</v>
      </c>
      <c r="E1867" t="s">
        <v>221</v>
      </c>
      <c r="F1867" t="s">
        <v>222</v>
      </c>
      <c r="G1867" s="23" t="s">
        <v>64</v>
      </c>
      <c r="H1867" s="23" t="s">
        <v>65</v>
      </c>
      <c r="I1867" t="s">
        <v>3366</v>
      </c>
      <c r="J1867" t="s">
        <v>92</v>
      </c>
      <c r="K1867" s="22">
        <v>2</v>
      </c>
      <c r="L1867" s="1">
        <v>42679</v>
      </c>
      <c r="M1867" s="22">
        <f>Table10[[#This Row],[Ship Date]]-Table10[[#This Row],[Order Date]]</f>
        <v>4</v>
      </c>
      <c r="N1867" t="s">
        <v>45</v>
      </c>
      <c r="O1867" t="s">
        <v>23</v>
      </c>
      <c r="P1867" t="s">
        <v>285</v>
      </c>
      <c r="Q1867" t="s">
        <v>26</v>
      </c>
      <c r="R1867" t="s">
        <v>1744</v>
      </c>
      <c r="S1867" s="33">
        <v>0</v>
      </c>
      <c r="T1867" s="13">
        <v>21.8</v>
      </c>
      <c r="U1867" s="13">
        <v>6.1040000000000001</v>
      </c>
      <c r="V1867" s="21">
        <f>Table10[[#This Row],[Profit]]/Table10[[#This Row],[Sales]]</f>
        <v>0.27999999999999997</v>
      </c>
    </row>
    <row r="1868" spans="1:22" x14ac:dyDescent="0.2">
      <c r="A1868">
        <v>1867</v>
      </c>
      <c r="B1868" t="s">
        <v>3365</v>
      </c>
      <c r="C1868" s="1">
        <v>42675</v>
      </c>
      <c r="D1868" s="22">
        <f>MONTH(Table10[[#This Row],[Order Date]])</f>
        <v>11</v>
      </c>
      <c r="E1868" t="s">
        <v>1902</v>
      </c>
      <c r="F1868" t="s">
        <v>1903</v>
      </c>
      <c r="G1868" s="23" t="s">
        <v>41</v>
      </c>
      <c r="H1868" s="23" t="s">
        <v>155</v>
      </c>
      <c r="I1868" t="s">
        <v>3366</v>
      </c>
      <c r="J1868" t="s">
        <v>92</v>
      </c>
      <c r="K1868" s="22">
        <v>3</v>
      </c>
      <c r="L1868" s="1">
        <v>42679</v>
      </c>
      <c r="M1868" s="22">
        <f>Table10[[#This Row],[Ship Date]]-Table10[[#This Row],[Order Date]]</f>
        <v>4</v>
      </c>
      <c r="N1868" t="s">
        <v>45</v>
      </c>
      <c r="O1868" t="s">
        <v>23</v>
      </c>
      <c r="P1868" t="s">
        <v>285</v>
      </c>
      <c r="Q1868" t="s">
        <v>26</v>
      </c>
      <c r="R1868" t="s">
        <v>1744</v>
      </c>
      <c r="S1868" s="33">
        <v>0</v>
      </c>
      <c r="T1868" s="13">
        <v>251.79</v>
      </c>
      <c r="U1868" s="13">
        <v>118.3413</v>
      </c>
      <c r="V1868" s="21">
        <f>Table10[[#This Row],[Profit]]/Table10[[#This Row],[Sales]]</f>
        <v>0.47000000000000003</v>
      </c>
    </row>
    <row r="1869" spans="1:22" x14ac:dyDescent="0.2">
      <c r="A1869">
        <v>1868</v>
      </c>
      <c r="B1869" t="s">
        <v>5884</v>
      </c>
      <c r="C1869" s="1">
        <v>42675</v>
      </c>
      <c r="D1869" s="22">
        <f>MONTH(Table10[[#This Row],[Order Date]])</f>
        <v>11</v>
      </c>
      <c r="E1869" t="s">
        <v>3540</v>
      </c>
      <c r="F1869" t="s">
        <v>5887</v>
      </c>
      <c r="G1869" s="23" t="s">
        <v>41</v>
      </c>
      <c r="H1869" s="23" t="s">
        <v>53</v>
      </c>
      <c r="I1869" t="s">
        <v>5885</v>
      </c>
      <c r="J1869" t="s">
        <v>36</v>
      </c>
      <c r="K1869" s="22">
        <v>9</v>
      </c>
      <c r="L1869" s="1">
        <v>42678</v>
      </c>
      <c r="M1869" s="22">
        <f>Table10[[#This Row],[Ship Date]]-Table10[[#This Row],[Order Date]]</f>
        <v>3</v>
      </c>
      <c r="N1869" t="s">
        <v>169</v>
      </c>
      <c r="O1869" t="s">
        <v>23</v>
      </c>
      <c r="P1869" t="s">
        <v>94</v>
      </c>
      <c r="Q1869" t="s">
        <v>95</v>
      </c>
      <c r="R1869" t="s">
        <v>5886</v>
      </c>
      <c r="S1869" s="33">
        <v>0.2</v>
      </c>
      <c r="T1869" s="13">
        <v>111.672</v>
      </c>
      <c r="U1869" s="13">
        <v>6.9794999999999998</v>
      </c>
      <c r="V1869" s="21">
        <f>Table10[[#This Row],[Profit]]/Table10[[#This Row],[Sales]]</f>
        <v>6.25E-2</v>
      </c>
    </row>
    <row r="1870" spans="1:22" x14ac:dyDescent="0.2">
      <c r="A1870">
        <v>1869</v>
      </c>
      <c r="B1870" t="s">
        <v>6454</v>
      </c>
      <c r="C1870" s="1">
        <v>42675</v>
      </c>
      <c r="D1870" s="22">
        <f>MONTH(Table10[[#This Row],[Order Date]])</f>
        <v>11</v>
      </c>
      <c r="E1870" t="s">
        <v>2479</v>
      </c>
      <c r="F1870" t="s">
        <v>2480</v>
      </c>
      <c r="G1870" s="23" t="s">
        <v>64</v>
      </c>
      <c r="H1870" s="23" t="s">
        <v>144</v>
      </c>
      <c r="I1870" t="s">
        <v>1467</v>
      </c>
      <c r="J1870" t="s">
        <v>22</v>
      </c>
      <c r="K1870" s="22">
        <v>3</v>
      </c>
      <c r="L1870" s="1">
        <v>42681</v>
      </c>
      <c r="M1870" s="22">
        <f>Table10[[#This Row],[Ship Date]]-Table10[[#This Row],[Order Date]]</f>
        <v>6</v>
      </c>
      <c r="N1870" t="s">
        <v>45</v>
      </c>
      <c r="O1870" t="s">
        <v>23</v>
      </c>
      <c r="P1870" t="s">
        <v>189</v>
      </c>
      <c r="Q1870" t="s">
        <v>95</v>
      </c>
      <c r="R1870" t="s">
        <v>271</v>
      </c>
      <c r="S1870" s="33">
        <v>0.2</v>
      </c>
      <c r="T1870" s="13">
        <v>68.111999999999995</v>
      </c>
      <c r="U1870" s="13">
        <v>17.8794</v>
      </c>
      <c r="V1870" s="21">
        <f>Table10[[#This Row],[Profit]]/Table10[[#This Row],[Sales]]</f>
        <v>0.26250000000000001</v>
      </c>
    </row>
    <row r="1871" spans="1:22" x14ac:dyDescent="0.2">
      <c r="A1871">
        <v>1870</v>
      </c>
      <c r="B1871" t="s">
        <v>430</v>
      </c>
      <c r="C1871" s="1">
        <v>42677</v>
      </c>
      <c r="D1871" s="22">
        <f>MONTH(Table10[[#This Row],[Order Date]])</f>
        <v>11</v>
      </c>
      <c r="E1871" t="s">
        <v>434</v>
      </c>
      <c r="F1871" t="s">
        <v>435</v>
      </c>
      <c r="G1871" s="23" t="s">
        <v>41</v>
      </c>
      <c r="H1871" s="23" t="s">
        <v>61</v>
      </c>
      <c r="I1871" t="s">
        <v>431</v>
      </c>
      <c r="J1871" t="s">
        <v>22</v>
      </c>
      <c r="K1871" s="22">
        <v>2</v>
      </c>
      <c r="L1871" s="1">
        <v>42684</v>
      </c>
      <c r="M1871" s="22">
        <f>Table10[[#This Row],[Ship Date]]-Table10[[#This Row],[Order Date]]</f>
        <v>7</v>
      </c>
      <c r="N1871" t="s">
        <v>45</v>
      </c>
      <c r="O1871" t="s">
        <v>23</v>
      </c>
      <c r="P1871" t="s">
        <v>433</v>
      </c>
      <c r="Q1871" t="s">
        <v>95</v>
      </c>
      <c r="R1871" t="s">
        <v>432</v>
      </c>
      <c r="S1871" s="33">
        <v>0</v>
      </c>
      <c r="T1871" s="13">
        <v>75.959999999999994</v>
      </c>
      <c r="U1871" s="13">
        <v>22.788</v>
      </c>
      <c r="V1871" s="21">
        <f>Table10[[#This Row],[Profit]]/Table10[[#This Row],[Sales]]</f>
        <v>0.30000000000000004</v>
      </c>
    </row>
    <row r="1872" spans="1:22" x14ac:dyDescent="0.2">
      <c r="A1872">
        <v>1871</v>
      </c>
      <c r="B1872" t="s">
        <v>430</v>
      </c>
      <c r="C1872" s="1">
        <v>42677</v>
      </c>
      <c r="D1872" s="22">
        <f>MONTH(Table10[[#This Row],[Order Date]])</f>
        <v>11</v>
      </c>
      <c r="E1872" t="s">
        <v>436</v>
      </c>
      <c r="F1872" t="s">
        <v>437</v>
      </c>
      <c r="G1872" s="23" t="s">
        <v>41</v>
      </c>
      <c r="H1872" s="23" t="s">
        <v>68</v>
      </c>
      <c r="I1872" t="s">
        <v>431</v>
      </c>
      <c r="J1872" t="s">
        <v>22</v>
      </c>
      <c r="K1872" s="22">
        <v>6</v>
      </c>
      <c r="L1872" s="1">
        <v>42684</v>
      </c>
      <c r="M1872" s="22">
        <f>Table10[[#This Row],[Ship Date]]-Table10[[#This Row],[Order Date]]</f>
        <v>7</v>
      </c>
      <c r="N1872" t="s">
        <v>45</v>
      </c>
      <c r="O1872" t="s">
        <v>23</v>
      </c>
      <c r="P1872" t="s">
        <v>433</v>
      </c>
      <c r="Q1872" t="s">
        <v>95</v>
      </c>
      <c r="R1872" t="s">
        <v>432</v>
      </c>
      <c r="S1872" s="33">
        <v>0</v>
      </c>
      <c r="T1872" s="13">
        <v>27.24</v>
      </c>
      <c r="U1872" s="13">
        <v>13.3476</v>
      </c>
      <c r="V1872" s="21">
        <f>Table10[[#This Row],[Profit]]/Table10[[#This Row],[Sales]]</f>
        <v>0.49000000000000005</v>
      </c>
    </row>
    <row r="1873" spans="1:22" x14ac:dyDescent="0.2">
      <c r="A1873">
        <v>1872</v>
      </c>
      <c r="B1873" t="s">
        <v>1713</v>
      </c>
      <c r="C1873" s="1">
        <v>42677</v>
      </c>
      <c r="D1873" s="22">
        <f>MONTH(Table10[[#This Row],[Order Date]])</f>
        <v>11</v>
      </c>
      <c r="E1873" t="s">
        <v>1716</v>
      </c>
      <c r="F1873" t="s">
        <v>1717</v>
      </c>
      <c r="G1873" s="23" t="s">
        <v>41</v>
      </c>
      <c r="H1873" s="23" t="s">
        <v>61</v>
      </c>
      <c r="I1873" t="s">
        <v>1714</v>
      </c>
      <c r="J1873" t="s">
        <v>22</v>
      </c>
      <c r="K1873" s="22">
        <v>3</v>
      </c>
      <c r="L1873" s="1">
        <v>42681</v>
      </c>
      <c r="M1873" s="22">
        <f>Table10[[#This Row],[Ship Date]]-Table10[[#This Row],[Order Date]]</f>
        <v>4</v>
      </c>
      <c r="N1873" t="s">
        <v>45</v>
      </c>
      <c r="O1873" t="s">
        <v>23</v>
      </c>
      <c r="P1873" t="s">
        <v>87</v>
      </c>
      <c r="Q1873" t="s">
        <v>39</v>
      </c>
      <c r="R1873" t="s">
        <v>1715</v>
      </c>
      <c r="S1873" s="33">
        <v>0</v>
      </c>
      <c r="T1873" s="13">
        <v>8.82</v>
      </c>
      <c r="U1873" s="13">
        <v>2.3814000000000002</v>
      </c>
      <c r="V1873" s="21">
        <f>Table10[[#This Row],[Profit]]/Table10[[#This Row],[Sales]]</f>
        <v>0.27</v>
      </c>
    </row>
    <row r="1874" spans="1:22" x14ac:dyDescent="0.2">
      <c r="A1874">
        <v>1873</v>
      </c>
      <c r="B1874" t="s">
        <v>4923</v>
      </c>
      <c r="C1874" s="1">
        <v>42677</v>
      </c>
      <c r="D1874" s="22">
        <f>MONTH(Table10[[#This Row],[Order Date]])</f>
        <v>11</v>
      </c>
      <c r="E1874" t="s">
        <v>4924</v>
      </c>
      <c r="F1874" t="s">
        <v>4925</v>
      </c>
      <c r="G1874" s="23" t="s">
        <v>28</v>
      </c>
      <c r="H1874" s="23" t="s">
        <v>32</v>
      </c>
      <c r="I1874" t="s">
        <v>3116</v>
      </c>
      <c r="J1874" t="s">
        <v>22</v>
      </c>
      <c r="K1874" s="22">
        <v>2</v>
      </c>
      <c r="L1874" s="1">
        <v>42680</v>
      </c>
      <c r="M1874" s="22">
        <f>Table10[[#This Row],[Ship Date]]-Table10[[#This Row],[Order Date]]</f>
        <v>3</v>
      </c>
      <c r="N1874" t="s">
        <v>169</v>
      </c>
      <c r="O1874" t="s">
        <v>23</v>
      </c>
      <c r="P1874" t="s">
        <v>38</v>
      </c>
      <c r="Q1874" t="s">
        <v>39</v>
      </c>
      <c r="R1874" t="s">
        <v>37</v>
      </c>
      <c r="S1874" s="33">
        <v>0.2</v>
      </c>
      <c r="T1874" s="13">
        <v>217.584</v>
      </c>
      <c r="U1874" s="13">
        <v>-29.9178</v>
      </c>
      <c r="V1874" s="21">
        <f>Table10[[#This Row],[Profit]]/Table10[[#This Row],[Sales]]</f>
        <v>-0.13749999999999998</v>
      </c>
    </row>
    <row r="1875" spans="1:22" x14ac:dyDescent="0.2">
      <c r="A1875">
        <v>1874</v>
      </c>
      <c r="B1875" t="s">
        <v>4923</v>
      </c>
      <c r="C1875" s="1">
        <v>42677</v>
      </c>
      <c r="D1875" s="22">
        <f>MONTH(Table10[[#This Row],[Order Date]])</f>
        <v>11</v>
      </c>
      <c r="E1875" t="s">
        <v>4926</v>
      </c>
      <c r="F1875" t="s">
        <v>4927</v>
      </c>
      <c r="G1875" s="23" t="s">
        <v>64</v>
      </c>
      <c r="H1875" s="23" t="s">
        <v>144</v>
      </c>
      <c r="I1875" t="s">
        <v>3116</v>
      </c>
      <c r="J1875" t="s">
        <v>22</v>
      </c>
      <c r="K1875" s="22">
        <v>5</v>
      </c>
      <c r="L1875" s="1">
        <v>42680</v>
      </c>
      <c r="M1875" s="22">
        <f>Table10[[#This Row],[Ship Date]]-Table10[[#This Row],[Order Date]]</f>
        <v>3</v>
      </c>
      <c r="N1875" t="s">
        <v>169</v>
      </c>
      <c r="O1875" t="s">
        <v>23</v>
      </c>
      <c r="P1875" t="s">
        <v>38</v>
      </c>
      <c r="Q1875" t="s">
        <v>39</v>
      </c>
      <c r="R1875" t="s">
        <v>37</v>
      </c>
      <c r="S1875" s="33">
        <v>0</v>
      </c>
      <c r="T1875" s="13">
        <v>82.95</v>
      </c>
      <c r="U1875" s="13">
        <v>29.032499999999999</v>
      </c>
      <c r="V1875" s="21">
        <f>Table10[[#This Row],[Profit]]/Table10[[#This Row],[Sales]]</f>
        <v>0.35</v>
      </c>
    </row>
    <row r="1876" spans="1:22" x14ac:dyDescent="0.2">
      <c r="A1876">
        <v>1875</v>
      </c>
      <c r="B1876" t="s">
        <v>4923</v>
      </c>
      <c r="C1876" s="1">
        <v>42677</v>
      </c>
      <c r="D1876" s="22">
        <f>MONTH(Table10[[#This Row],[Order Date]])</f>
        <v>11</v>
      </c>
      <c r="E1876" t="s">
        <v>4928</v>
      </c>
      <c r="F1876" t="s">
        <v>4929</v>
      </c>
      <c r="G1876" s="23" t="s">
        <v>41</v>
      </c>
      <c r="H1876" s="23" t="s">
        <v>42</v>
      </c>
      <c r="I1876" t="s">
        <v>3116</v>
      </c>
      <c r="J1876" t="s">
        <v>22</v>
      </c>
      <c r="K1876" s="22">
        <v>7</v>
      </c>
      <c r="L1876" s="1">
        <v>42680</v>
      </c>
      <c r="M1876" s="22">
        <f>Table10[[#This Row],[Ship Date]]-Table10[[#This Row],[Order Date]]</f>
        <v>3</v>
      </c>
      <c r="N1876" t="s">
        <v>169</v>
      </c>
      <c r="O1876" t="s">
        <v>23</v>
      </c>
      <c r="P1876" t="s">
        <v>38</v>
      </c>
      <c r="Q1876" t="s">
        <v>39</v>
      </c>
      <c r="R1876" t="s">
        <v>37</v>
      </c>
      <c r="S1876" s="33">
        <v>0</v>
      </c>
      <c r="T1876" s="13">
        <v>87.71</v>
      </c>
      <c r="U1876" s="13">
        <v>41.223700000000001</v>
      </c>
      <c r="V1876" s="21">
        <f>Table10[[#This Row],[Profit]]/Table10[[#This Row],[Sales]]</f>
        <v>0.47000000000000003</v>
      </c>
    </row>
    <row r="1877" spans="1:22" x14ac:dyDescent="0.2">
      <c r="A1877">
        <v>1876</v>
      </c>
      <c r="B1877" t="s">
        <v>4923</v>
      </c>
      <c r="C1877" s="1">
        <v>42677</v>
      </c>
      <c r="D1877" s="22">
        <f>MONTH(Table10[[#This Row],[Order Date]])</f>
        <v>11</v>
      </c>
      <c r="E1877" t="s">
        <v>4886</v>
      </c>
      <c r="F1877" t="s">
        <v>4887</v>
      </c>
      <c r="G1877" s="23" t="s">
        <v>41</v>
      </c>
      <c r="H1877" s="23" t="s">
        <v>71</v>
      </c>
      <c r="I1877" t="s">
        <v>3116</v>
      </c>
      <c r="J1877" t="s">
        <v>22</v>
      </c>
      <c r="K1877" s="22">
        <v>4</v>
      </c>
      <c r="L1877" s="1">
        <v>42680</v>
      </c>
      <c r="M1877" s="22">
        <f>Table10[[#This Row],[Ship Date]]-Table10[[#This Row],[Order Date]]</f>
        <v>3</v>
      </c>
      <c r="N1877" t="s">
        <v>169</v>
      </c>
      <c r="O1877" t="s">
        <v>23</v>
      </c>
      <c r="P1877" t="s">
        <v>38</v>
      </c>
      <c r="Q1877" t="s">
        <v>39</v>
      </c>
      <c r="R1877" t="s">
        <v>37</v>
      </c>
      <c r="S1877" s="33">
        <v>0</v>
      </c>
      <c r="T1877" s="13">
        <v>1101.48</v>
      </c>
      <c r="U1877" s="13">
        <v>429.5772</v>
      </c>
      <c r="V1877" s="21">
        <f>Table10[[#This Row],[Profit]]/Table10[[#This Row],[Sales]]</f>
        <v>0.39</v>
      </c>
    </row>
    <row r="1878" spans="1:22" x14ac:dyDescent="0.2">
      <c r="A1878">
        <v>1877</v>
      </c>
      <c r="B1878" t="s">
        <v>6757</v>
      </c>
      <c r="C1878" s="1">
        <v>42677</v>
      </c>
      <c r="D1878" s="22">
        <f>MONTH(Table10[[#This Row],[Order Date]])</f>
        <v>11</v>
      </c>
      <c r="E1878" t="s">
        <v>2264</v>
      </c>
      <c r="F1878" t="s">
        <v>2265</v>
      </c>
      <c r="G1878" s="23" t="s">
        <v>41</v>
      </c>
      <c r="H1878" s="23" t="s">
        <v>240</v>
      </c>
      <c r="I1878" t="s">
        <v>2014</v>
      </c>
      <c r="J1878" t="s">
        <v>22</v>
      </c>
      <c r="K1878" s="22">
        <v>4</v>
      </c>
      <c r="L1878" s="1">
        <v>42682</v>
      </c>
      <c r="M1878" s="22">
        <f>Table10[[#This Row],[Ship Date]]-Table10[[#This Row],[Order Date]]</f>
        <v>5</v>
      </c>
      <c r="N1878" t="s">
        <v>20</v>
      </c>
      <c r="O1878" t="s">
        <v>23</v>
      </c>
      <c r="P1878" t="s">
        <v>25</v>
      </c>
      <c r="Q1878" t="s">
        <v>26</v>
      </c>
      <c r="R1878" t="s">
        <v>24</v>
      </c>
      <c r="S1878" s="33">
        <v>0</v>
      </c>
      <c r="T1878" s="13">
        <v>20</v>
      </c>
      <c r="U1878" s="13">
        <v>9.6</v>
      </c>
      <c r="V1878" s="21">
        <f>Table10[[#This Row],[Profit]]/Table10[[#This Row],[Sales]]</f>
        <v>0.48</v>
      </c>
    </row>
    <row r="1879" spans="1:22" x14ac:dyDescent="0.2">
      <c r="A1879">
        <v>1878</v>
      </c>
      <c r="B1879" t="s">
        <v>6757</v>
      </c>
      <c r="C1879" s="1">
        <v>42677</v>
      </c>
      <c r="D1879" s="22">
        <f>MONTH(Table10[[#This Row],[Order Date]])</f>
        <v>11</v>
      </c>
      <c r="E1879" t="s">
        <v>6292</v>
      </c>
      <c r="F1879" t="s">
        <v>6293</v>
      </c>
      <c r="G1879" s="23" t="s">
        <v>41</v>
      </c>
      <c r="H1879" s="23" t="s">
        <v>61</v>
      </c>
      <c r="I1879" t="s">
        <v>2014</v>
      </c>
      <c r="J1879" t="s">
        <v>22</v>
      </c>
      <c r="K1879" s="22">
        <v>3</v>
      </c>
      <c r="L1879" s="1">
        <v>42682</v>
      </c>
      <c r="M1879" s="22">
        <f>Table10[[#This Row],[Ship Date]]-Table10[[#This Row],[Order Date]]</f>
        <v>5</v>
      </c>
      <c r="N1879" t="s">
        <v>20</v>
      </c>
      <c r="O1879" t="s">
        <v>23</v>
      </c>
      <c r="P1879" t="s">
        <v>25</v>
      </c>
      <c r="Q1879" t="s">
        <v>26</v>
      </c>
      <c r="R1879" t="s">
        <v>24</v>
      </c>
      <c r="S1879" s="33">
        <v>0</v>
      </c>
      <c r="T1879" s="13">
        <v>7.98</v>
      </c>
      <c r="U1879" s="13">
        <v>2.0748000000000002</v>
      </c>
      <c r="V1879" s="21">
        <f>Table10[[#This Row],[Profit]]/Table10[[#This Row],[Sales]]</f>
        <v>0.26</v>
      </c>
    </row>
    <row r="1880" spans="1:22" x14ac:dyDescent="0.2">
      <c r="A1880">
        <v>1879</v>
      </c>
      <c r="B1880" t="s">
        <v>6757</v>
      </c>
      <c r="C1880" s="1">
        <v>42677</v>
      </c>
      <c r="D1880" s="22">
        <f>MONTH(Table10[[#This Row],[Order Date]])</f>
        <v>11</v>
      </c>
      <c r="E1880" t="s">
        <v>2631</v>
      </c>
      <c r="F1880" t="s">
        <v>2632</v>
      </c>
      <c r="G1880" s="23" t="s">
        <v>28</v>
      </c>
      <c r="H1880" s="23" t="s">
        <v>58</v>
      </c>
      <c r="I1880" t="s">
        <v>2014</v>
      </c>
      <c r="J1880" t="s">
        <v>22</v>
      </c>
      <c r="K1880" s="22">
        <v>5</v>
      </c>
      <c r="L1880" s="1">
        <v>42682</v>
      </c>
      <c r="M1880" s="22">
        <f>Table10[[#This Row],[Ship Date]]-Table10[[#This Row],[Order Date]]</f>
        <v>5</v>
      </c>
      <c r="N1880" t="s">
        <v>20</v>
      </c>
      <c r="O1880" t="s">
        <v>23</v>
      </c>
      <c r="P1880" t="s">
        <v>25</v>
      </c>
      <c r="Q1880" t="s">
        <v>26</v>
      </c>
      <c r="R1880" t="s">
        <v>24</v>
      </c>
      <c r="S1880" s="33">
        <v>0</v>
      </c>
      <c r="T1880" s="13">
        <v>24.1</v>
      </c>
      <c r="U1880" s="13">
        <v>9.1579999999999995</v>
      </c>
      <c r="V1880" s="21">
        <f>Table10[[#This Row],[Profit]]/Table10[[#This Row],[Sales]]</f>
        <v>0.37999999999999995</v>
      </c>
    </row>
    <row r="1881" spans="1:22" x14ac:dyDescent="0.2">
      <c r="A1881">
        <v>1880</v>
      </c>
      <c r="B1881" t="s">
        <v>6757</v>
      </c>
      <c r="C1881" s="1">
        <v>42677</v>
      </c>
      <c r="D1881" s="22">
        <f>MONTH(Table10[[#This Row],[Order Date]])</f>
        <v>11</v>
      </c>
      <c r="E1881" t="s">
        <v>5440</v>
      </c>
      <c r="F1881" t="s">
        <v>5441</v>
      </c>
      <c r="G1881" s="23" t="s">
        <v>41</v>
      </c>
      <c r="H1881" s="23" t="s">
        <v>61</v>
      </c>
      <c r="I1881" t="s">
        <v>2014</v>
      </c>
      <c r="J1881" t="s">
        <v>22</v>
      </c>
      <c r="K1881" s="22">
        <v>1</v>
      </c>
      <c r="L1881" s="1">
        <v>42682</v>
      </c>
      <c r="M1881" s="22">
        <f>Table10[[#This Row],[Ship Date]]-Table10[[#This Row],[Order Date]]</f>
        <v>5</v>
      </c>
      <c r="N1881" t="s">
        <v>20</v>
      </c>
      <c r="O1881" t="s">
        <v>23</v>
      </c>
      <c r="P1881" t="s">
        <v>25</v>
      </c>
      <c r="Q1881" t="s">
        <v>26</v>
      </c>
      <c r="R1881" t="s">
        <v>24</v>
      </c>
      <c r="S1881" s="33">
        <v>0</v>
      </c>
      <c r="T1881" s="13">
        <v>8.75</v>
      </c>
      <c r="U1881" s="13">
        <v>2.625</v>
      </c>
      <c r="V1881" s="21">
        <f>Table10[[#This Row],[Profit]]/Table10[[#This Row],[Sales]]</f>
        <v>0.3</v>
      </c>
    </row>
    <row r="1882" spans="1:22" x14ac:dyDescent="0.2">
      <c r="A1882">
        <v>1881</v>
      </c>
      <c r="B1882" t="s">
        <v>6757</v>
      </c>
      <c r="C1882" s="1">
        <v>42677</v>
      </c>
      <c r="D1882" s="22">
        <f>MONTH(Table10[[#This Row],[Order Date]])</f>
        <v>11</v>
      </c>
      <c r="E1882" t="s">
        <v>6758</v>
      </c>
      <c r="F1882" t="s">
        <v>6759</v>
      </c>
      <c r="G1882" s="23" t="s">
        <v>28</v>
      </c>
      <c r="H1882" s="23" t="s">
        <v>50</v>
      </c>
      <c r="I1882" t="s">
        <v>2014</v>
      </c>
      <c r="J1882" t="s">
        <v>22</v>
      </c>
      <c r="K1882" s="22">
        <v>3</v>
      </c>
      <c r="L1882" s="1">
        <v>42682</v>
      </c>
      <c r="M1882" s="22">
        <f>Table10[[#This Row],[Ship Date]]-Table10[[#This Row],[Order Date]]</f>
        <v>5</v>
      </c>
      <c r="N1882" t="s">
        <v>20</v>
      </c>
      <c r="O1882" t="s">
        <v>23</v>
      </c>
      <c r="P1882" t="s">
        <v>25</v>
      </c>
      <c r="Q1882" t="s">
        <v>26</v>
      </c>
      <c r="R1882" t="s">
        <v>24</v>
      </c>
      <c r="S1882" s="33">
        <v>0</v>
      </c>
      <c r="T1882" s="13">
        <v>842.94</v>
      </c>
      <c r="U1882" s="13">
        <v>160.15860000000001</v>
      </c>
      <c r="V1882" s="21">
        <f>Table10[[#This Row],[Profit]]/Table10[[#This Row],[Sales]]</f>
        <v>0.19</v>
      </c>
    </row>
    <row r="1883" spans="1:22" x14ac:dyDescent="0.2">
      <c r="A1883">
        <v>1882</v>
      </c>
      <c r="B1883" t="s">
        <v>6794</v>
      </c>
      <c r="C1883" s="1">
        <v>42677</v>
      </c>
      <c r="D1883" s="22">
        <f>MONTH(Table10[[#This Row],[Order Date]])</f>
        <v>11</v>
      </c>
      <c r="E1883" t="s">
        <v>2906</v>
      </c>
      <c r="F1883" t="s">
        <v>2907</v>
      </c>
      <c r="G1883" s="23" t="s">
        <v>41</v>
      </c>
      <c r="H1883" s="23" t="s">
        <v>240</v>
      </c>
      <c r="I1883" t="s">
        <v>1467</v>
      </c>
      <c r="J1883" t="s">
        <v>22</v>
      </c>
      <c r="K1883" s="22">
        <v>7</v>
      </c>
      <c r="L1883" s="1">
        <v>42682</v>
      </c>
      <c r="M1883" s="22">
        <f>Table10[[#This Row],[Ship Date]]-Table10[[#This Row],[Order Date]]</f>
        <v>5</v>
      </c>
      <c r="N1883" t="s">
        <v>45</v>
      </c>
      <c r="O1883" t="s">
        <v>23</v>
      </c>
      <c r="P1883" t="s">
        <v>38</v>
      </c>
      <c r="Q1883" t="s">
        <v>39</v>
      </c>
      <c r="R1883" t="s">
        <v>37</v>
      </c>
      <c r="S1883" s="33">
        <v>0</v>
      </c>
      <c r="T1883" s="13">
        <v>15.26</v>
      </c>
      <c r="U1883" s="13">
        <v>5.0358000000000001</v>
      </c>
      <c r="V1883" s="21">
        <f>Table10[[#This Row],[Profit]]/Table10[[#This Row],[Sales]]</f>
        <v>0.33</v>
      </c>
    </row>
    <row r="1884" spans="1:22" x14ac:dyDescent="0.2">
      <c r="A1884">
        <v>1883</v>
      </c>
      <c r="B1884" t="s">
        <v>6794</v>
      </c>
      <c r="C1884" s="1">
        <v>42677</v>
      </c>
      <c r="D1884" s="22">
        <f>MONTH(Table10[[#This Row],[Order Date]])</f>
        <v>11</v>
      </c>
      <c r="E1884" t="s">
        <v>6718</v>
      </c>
      <c r="F1884" t="s">
        <v>6719</v>
      </c>
      <c r="G1884" s="23" t="s">
        <v>41</v>
      </c>
      <c r="H1884" s="23" t="s">
        <v>71</v>
      </c>
      <c r="I1884" t="s">
        <v>1467</v>
      </c>
      <c r="J1884" t="s">
        <v>22</v>
      </c>
      <c r="K1884" s="22">
        <v>2</v>
      </c>
      <c r="L1884" s="1">
        <v>42682</v>
      </c>
      <c r="M1884" s="22">
        <f>Table10[[#This Row],[Ship Date]]-Table10[[#This Row],[Order Date]]</f>
        <v>5</v>
      </c>
      <c r="N1884" t="s">
        <v>45</v>
      </c>
      <c r="O1884" t="s">
        <v>23</v>
      </c>
      <c r="P1884" t="s">
        <v>38</v>
      </c>
      <c r="Q1884" t="s">
        <v>39</v>
      </c>
      <c r="R1884" t="s">
        <v>37</v>
      </c>
      <c r="S1884" s="33">
        <v>0</v>
      </c>
      <c r="T1884" s="13">
        <v>43.32</v>
      </c>
      <c r="U1884" s="13">
        <v>14.2956</v>
      </c>
      <c r="V1884" s="21">
        <f>Table10[[#This Row],[Profit]]/Table10[[#This Row],[Sales]]</f>
        <v>0.33</v>
      </c>
    </row>
    <row r="1885" spans="1:22" x14ac:dyDescent="0.2">
      <c r="A1885">
        <v>1884</v>
      </c>
      <c r="B1885" t="s">
        <v>6794</v>
      </c>
      <c r="C1885" s="1">
        <v>42677</v>
      </c>
      <c r="D1885" s="22">
        <f>MONTH(Table10[[#This Row],[Order Date]])</f>
        <v>11</v>
      </c>
      <c r="E1885" t="s">
        <v>436</v>
      </c>
      <c r="F1885" t="s">
        <v>437</v>
      </c>
      <c r="G1885" s="23" t="s">
        <v>41</v>
      </c>
      <c r="H1885" s="23" t="s">
        <v>68</v>
      </c>
      <c r="I1885" t="s">
        <v>1467</v>
      </c>
      <c r="J1885" t="s">
        <v>22</v>
      </c>
      <c r="K1885" s="22">
        <v>12</v>
      </c>
      <c r="L1885" s="1">
        <v>42682</v>
      </c>
      <c r="M1885" s="22">
        <f>Table10[[#This Row],[Ship Date]]-Table10[[#This Row],[Order Date]]</f>
        <v>5</v>
      </c>
      <c r="N1885" t="s">
        <v>45</v>
      </c>
      <c r="O1885" t="s">
        <v>23</v>
      </c>
      <c r="P1885" t="s">
        <v>38</v>
      </c>
      <c r="Q1885" t="s">
        <v>39</v>
      </c>
      <c r="R1885" t="s">
        <v>37</v>
      </c>
      <c r="S1885" s="33">
        <v>0.2</v>
      </c>
      <c r="T1885" s="13">
        <v>43.584000000000003</v>
      </c>
      <c r="U1885" s="13">
        <v>15.799200000000001</v>
      </c>
      <c r="V1885" s="21">
        <f>Table10[[#This Row],[Profit]]/Table10[[#This Row],[Sales]]</f>
        <v>0.36249999999999999</v>
      </c>
    </row>
    <row r="1886" spans="1:22" x14ac:dyDescent="0.2">
      <c r="A1886">
        <v>1885</v>
      </c>
      <c r="B1886" t="s">
        <v>6794</v>
      </c>
      <c r="C1886" s="1">
        <v>42677</v>
      </c>
      <c r="D1886" s="22">
        <f>MONTH(Table10[[#This Row],[Order Date]])</f>
        <v>11</v>
      </c>
      <c r="E1886" t="s">
        <v>6795</v>
      </c>
      <c r="F1886" t="s">
        <v>6796</v>
      </c>
      <c r="G1886" s="23" t="s">
        <v>41</v>
      </c>
      <c r="H1886" s="23" t="s">
        <v>82</v>
      </c>
      <c r="I1886" t="s">
        <v>1467</v>
      </c>
      <c r="J1886" t="s">
        <v>22</v>
      </c>
      <c r="K1886" s="22">
        <v>3</v>
      </c>
      <c r="L1886" s="1">
        <v>42682</v>
      </c>
      <c r="M1886" s="22">
        <f>Table10[[#This Row],[Ship Date]]-Table10[[#This Row],[Order Date]]</f>
        <v>5</v>
      </c>
      <c r="N1886" t="s">
        <v>45</v>
      </c>
      <c r="O1886" t="s">
        <v>23</v>
      </c>
      <c r="P1886" t="s">
        <v>38</v>
      </c>
      <c r="Q1886" t="s">
        <v>39</v>
      </c>
      <c r="R1886" t="s">
        <v>37</v>
      </c>
      <c r="S1886" s="33">
        <v>0</v>
      </c>
      <c r="T1886" s="13">
        <v>116.28</v>
      </c>
      <c r="U1886" s="13">
        <v>56.977200000000003</v>
      </c>
      <c r="V1886" s="21">
        <f>Table10[[#This Row],[Profit]]/Table10[[#This Row],[Sales]]</f>
        <v>0.49000000000000005</v>
      </c>
    </row>
    <row r="1887" spans="1:22" x14ac:dyDescent="0.2">
      <c r="A1887">
        <v>1886</v>
      </c>
      <c r="B1887" t="s">
        <v>6794</v>
      </c>
      <c r="C1887" s="1">
        <v>42677</v>
      </c>
      <c r="D1887" s="22">
        <f>MONTH(Table10[[#This Row],[Order Date]])</f>
        <v>11</v>
      </c>
      <c r="E1887" t="s">
        <v>2401</v>
      </c>
      <c r="F1887" t="s">
        <v>2402</v>
      </c>
      <c r="G1887" s="23" t="s">
        <v>41</v>
      </c>
      <c r="H1887" s="23" t="s">
        <v>68</v>
      </c>
      <c r="I1887" t="s">
        <v>1467</v>
      </c>
      <c r="J1887" t="s">
        <v>22</v>
      </c>
      <c r="K1887" s="22">
        <v>2</v>
      </c>
      <c r="L1887" s="1">
        <v>42682</v>
      </c>
      <c r="M1887" s="22">
        <f>Table10[[#This Row],[Ship Date]]-Table10[[#This Row],[Order Date]]</f>
        <v>5</v>
      </c>
      <c r="N1887" t="s">
        <v>45</v>
      </c>
      <c r="O1887" t="s">
        <v>23</v>
      </c>
      <c r="P1887" t="s">
        <v>38</v>
      </c>
      <c r="Q1887" t="s">
        <v>39</v>
      </c>
      <c r="R1887" t="s">
        <v>37</v>
      </c>
      <c r="S1887" s="33">
        <v>0.2</v>
      </c>
      <c r="T1887" s="13">
        <v>9.2959999999999994</v>
      </c>
      <c r="U1887" s="13">
        <v>3.0211999999999999</v>
      </c>
      <c r="V1887" s="21">
        <f>Table10[[#This Row],[Profit]]/Table10[[#This Row],[Sales]]</f>
        <v>0.32500000000000001</v>
      </c>
    </row>
    <row r="1888" spans="1:22" x14ac:dyDescent="0.2">
      <c r="A1888">
        <v>1887</v>
      </c>
      <c r="B1888" t="s">
        <v>6794</v>
      </c>
      <c r="C1888" s="1">
        <v>42677</v>
      </c>
      <c r="D1888" s="22">
        <f>MONTH(Table10[[#This Row],[Order Date]])</f>
        <v>11</v>
      </c>
      <c r="E1888" t="s">
        <v>4382</v>
      </c>
      <c r="F1888" t="s">
        <v>4640</v>
      </c>
      <c r="G1888" s="23" t="s">
        <v>41</v>
      </c>
      <c r="H1888" s="23" t="s">
        <v>82</v>
      </c>
      <c r="I1888" t="s">
        <v>1467</v>
      </c>
      <c r="J1888" t="s">
        <v>22</v>
      </c>
      <c r="K1888" s="22">
        <v>3</v>
      </c>
      <c r="L1888" s="1">
        <v>42682</v>
      </c>
      <c r="M1888" s="22">
        <f>Table10[[#This Row],[Ship Date]]-Table10[[#This Row],[Order Date]]</f>
        <v>5</v>
      </c>
      <c r="N1888" t="s">
        <v>45</v>
      </c>
      <c r="O1888" t="s">
        <v>23</v>
      </c>
      <c r="P1888" t="s">
        <v>38</v>
      </c>
      <c r="Q1888" t="s">
        <v>39</v>
      </c>
      <c r="R1888" t="s">
        <v>37</v>
      </c>
      <c r="S1888" s="33">
        <v>0</v>
      </c>
      <c r="T1888" s="13">
        <v>19.440000000000001</v>
      </c>
      <c r="U1888" s="13">
        <v>9.3312000000000008</v>
      </c>
      <c r="V1888" s="21">
        <f>Table10[[#This Row],[Profit]]/Table10[[#This Row],[Sales]]</f>
        <v>0.48000000000000004</v>
      </c>
    </row>
    <row r="1889" spans="1:22" x14ac:dyDescent="0.2">
      <c r="A1889">
        <v>1888</v>
      </c>
      <c r="B1889" t="s">
        <v>6794</v>
      </c>
      <c r="C1889" s="1">
        <v>42677</v>
      </c>
      <c r="D1889" s="22">
        <f>MONTH(Table10[[#This Row],[Order Date]])</f>
        <v>11</v>
      </c>
      <c r="E1889" t="s">
        <v>3788</v>
      </c>
      <c r="F1889" t="s">
        <v>3789</v>
      </c>
      <c r="G1889" s="23" t="s">
        <v>41</v>
      </c>
      <c r="H1889" s="23" t="s">
        <v>82</v>
      </c>
      <c r="I1889" t="s">
        <v>1467</v>
      </c>
      <c r="J1889" t="s">
        <v>22</v>
      </c>
      <c r="K1889" s="22">
        <v>3</v>
      </c>
      <c r="L1889" s="1">
        <v>42682</v>
      </c>
      <c r="M1889" s="22">
        <f>Table10[[#This Row],[Ship Date]]-Table10[[#This Row],[Order Date]]</f>
        <v>5</v>
      </c>
      <c r="N1889" t="s">
        <v>45</v>
      </c>
      <c r="O1889" t="s">
        <v>23</v>
      </c>
      <c r="P1889" t="s">
        <v>38</v>
      </c>
      <c r="Q1889" t="s">
        <v>39</v>
      </c>
      <c r="R1889" t="s">
        <v>37</v>
      </c>
      <c r="S1889" s="33">
        <v>0</v>
      </c>
      <c r="T1889" s="13">
        <v>314.55</v>
      </c>
      <c r="U1889" s="13">
        <v>150.98400000000001</v>
      </c>
      <c r="V1889" s="21">
        <f>Table10[[#This Row],[Profit]]/Table10[[#This Row],[Sales]]</f>
        <v>0.48000000000000004</v>
      </c>
    </row>
    <row r="1890" spans="1:22" x14ac:dyDescent="0.2">
      <c r="A1890">
        <v>1889</v>
      </c>
      <c r="B1890" t="s">
        <v>8481</v>
      </c>
      <c r="C1890" s="1">
        <v>42677</v>
      </c>
      <c r="D1890" s="22">
        <f>MONTH(Table10[[#This Row],[Order Date]])</f>
        <v>11</v>
      </c>
      <c r="E1890" t="s">
        <v>4307</v>
      </c>
      <c r="F1890" t="s">
        <v>4308</v>
      </c>
      <c r="G1890" s="23" t="s">
        <v>41</v>
      </c>
      <c r="H1890" s="23" t="s">
        <v>82</v>
      </c>
      <c r="I1890" t="s">
        <v>4692</v>
      </c>
      <c r="J1890" t="s">
        <v>36</v>
      </c>
      <c r="K1890" s="22">
        <v>2</v>
      </c>
      <c r="L1890" s="1">
        <v>42683</v>
      </c>
      <c r="M1890" s="22">
        <f>Table10[[#This Row],[Ship Date]]-Table10[[#This Row],[Order Date]]</f>
        <v>6</v>
      </c>
      <c r="N1890" t="s">
        <v>45</v>
      </c>
      <c r="O1890" t="s">
        <v>23</v>
      </c>
      <c r="P1890" t="s">
        <v>94</v>
      </c>
      <c r="Q1890" t="s">
        <v>95</v>
      </c>
      <c r="R1890" t="s">
        <v>718</v>
      </c>
      <c r="S1890" s="33">
        <v>0.2</v>
      </c>
      <c r="T1890" s="13">
        <v>9.2479999999999993</v>
      </c>
      <c r="U1890" s="13">
        <v>3.3523999999999998</v>
      </c>
      <c r="V1890" s="21">
        <f>Table10[[#This Row],[Profit]]/Table10[[#This Row],[Sales]]</f>
        <v>0.36249999999999999</v>
      </c>
    </row>
    <row r="1891" spans="1:22" x14ac:dyDescent="0.2">
      <c r="A1891">
        <v>1890</v>
      </c>
      <c r="B1891" t="s">
        <v>9545</v>
      </c>
      <c r="C1891" s="1">
        <v>42677</v>
      </c>
      <c r="D1891" s="22">
        <f>MONTH(Table10[[#This Row],[Order Date]])</f>
        <v>11</v>
      </c>
      <c r="E1891" t="s">
        <v>3157</v>
      </c>
      <c r="F1891" t="s">
        <v>3158</v>
      </c>
      <c r="G1891" s="23" t="s">
        <v>41</v>
      </c>
      <c r="H1891" s="23" t="s">
        <v>68</v>
      </c>
      <c r="I1891" t="s">
        <v>3774</v>
      </c>
      <c r="J1891" t="s">
        <v>22</v>
      </c>
      <c r="K1891" s="22">
        <v>7</v>
      </c>
      <c r="L1891" s="1">
        <v>42679</v>
      </c>
      <c r="M1891" s="22">
        <f>Table10[[#This Row],[Ship Date]]-Table10[[#This Row],[Order Date]]</f>
        <v>2</v>
      </c>
      <c r="N1891" t="s">
        <v>169</v>
      </c>
      <c r="O1891" t="s">
        <v>23</v>
      </c>
      <c r="P1891" t="s">
        <v>374</v>
      </c>
      <c r="Q1891" t="s">
        <v>39</v>
      </c>
      <c r="R1891" t="s">
        <v>373</v>
      </c>
      <c r="S1891" s="33">
        <v>0.7</v>
      </c>
      <c r="T1891" s="13">
        <v>4.1580000000000004</v>
      </c>
      <c r="U1891" s="13">
        <v>-3.4649999999999999</v>
      </c>
      <c r="V1891" s="21">
        <f>Table10[[#This Row],[Profit]]/Table10[[#This Row],[Sales]]</f>
        <v>-0.83333333333333326</v>
      </c>
    </row>
    <row r="1892" spans="1:22" x14ac:dyDescent="0.2">
      <c r="A1892">
        <v>1891</v>
      </c>
      <c r="B1892" t="s">
        <v>9545</v>
      </c>
      <c r="C1892" s="1">
        <v>42677</v>
      </c>
      <c r="D1892" s="22">
        <f>MONTH(Table10[[#This Row],[Order Date]])</f>
        <v>11</v>
      </c>
      <c r="E1892" t="s">
        <v>9546</v>
      </c>
      <c r="F1892" t="s">
        <v>9547</v>
      </c>
      <c r="G1892" s="23" t="s">
        <v>64</v>
      </c>
      <c r="H1892" s="23" t="s">
        <v>602</v>
      </c>
      <c r="I1892" t="s">
        <v>3774</v>
      </c>
      <c r="J1892" t="s">
        <v>22</v>
      </c>
      <c r="K1892" s="22">
        <v>3</v>
      </c>
      <c r="L1892" s="1">
        <v>42679</v>
      </c>
      <c r="M1892" s="22">
        <f>Table10[[#This Row],[Ship Date]]-Table10[[#This Row],[Order Date]]</f>
        <v>2</v>
      </c>
      <c r="N1892" t="s">
        <v>169</v>
      </c>
      <c r="O1892" t="s">
        <v>23</v>
      </c>
      <c r="P1892" t="s">
        <v>374</v>
      </c>
      <c r="Q1892" t="s">
        <v>39</v>
      </c>
      <c r="R1892" t="s">
        <v>373</v>
      </c>
      <c r="S1892" s="33">
        <v>0.7</v>
      </c>
      <c r="T1892" s="13">
        <v>179.99100000000001</v>
      </c>
      <c r="U1892" s="13">
        <v>-251.98740000000001</v>
      </c>
      <c r="V1892" s="21">
        <f>Table10[[#This Row],[Profit]]/Table10[[#This Row],[Sales]]</f>
        <v>-1.4</v>
      </c>
    </row>
    <row r="1893" spans="1:22" x14ac:dyDescent="0.2">
      <c r="A1893">
        <v>1892</v>
      </c>
      <c r="B1893" t="s">
        <v>9560</v>
      </c>
      <c r="C1893" s="1">
        <v>42677</v>
      </c>
      <c r="D1893" s="22">
        <f>MONTH(Table10[[#This Row],[Order Date]])</f>
        <v>11</v>
      </c>
      <c r="E1893" t="s">
        <v>1033</v>
      </c>
      <c r="F1893" t="s">
        <v>1034</v>
      </c>
      <c r="G1893" s="23" t="s">
        <v>64</v>
      </c>
      <c r="H1893" s="23" t="s">
        <v>144</v>
      </c>
      <c r="I1893" t="s">
        <v>5275</v>
      </c>
      <c r="J1893" t="s">
        <v>92</v>
      </c>
      <c r="K1893" s="22">
        <v>1</v>
      </c>
      <c r="L1893" s="1">
        <v>42681</v>
      </c>
      <c r="M1893" s="22">
        <f>Table10[[#This Row],[Ship Date]]-Table10[[#This Row],[Order Date]]</f>
        <v>4</v>
      </c>
      <c r="N1893" t="s">
        <v>45</v>
      </c>
      <c r="O1893" t="s">
        <v>23</v>
      </c>
      <c r="P1893" t="s">
        <v>132</v>
      </c>
      <c r="Q1893" t="s">
        <v>133</v>
      </c>
      <c r="R1893" t="s">
        <v>131</v>
      </c>
      <c r="S1893" s="33">
        <v>0.2</v>
      </c>
      <c r="T1893" s="13">
        <v>72</v>
      </c>
      <c r="U1893" s="13">
        <v>14.4</v>
      </c>
      <c r="V1893" s="21">
        <f>Table10[[#This Row],[Profit]]/Table10[[#This Row],[Sales]]</f>
        <v>0.2</v>
      </c>
    </row>
    <row r="1894" spans="1:22" x14ac:dyDescent="0.2">
      <c r="A1894">
        <v>1893</v>
      </c>
      <c r="B1894" t="s">
        <v>9560</v>
      </c>
      <c r="C1894" s="1">
        <v>42677</v>
      </c>
      <c r="D1894" s="22">
        <f>MONTH(Table10[[#This Row],[Order Date]])</f>
        <v>11</v>
      </c>
      <c r="E1894" t="s">
        <v>1291</v>
      </c>
      <c r="F1894" t="s">
        <v>1292</v>
      </c>
      <c r="G1894" s="23" t="s">
        <v>28</v>
      </c>
      <c r="H1894" s="23" t="s">
        <v>32</v>
      </c>
      <c r="I1894" t="s">
        <v>5275</v>
      </c>
      <c r="J1894" t="s">
        <v>92</v>
      </c>
      <c r="K1894" s="22">
        <v>7</v>
      </c>
      <c r="L1894" s="1">
        <v>42681</v>
      </c>
      <c r="M1894" s="22">
        <f>Table10[[#This Row],[Ship Date]]-Table10[[#This Row],[Order Date]]</f>
        <v>4</v>
      </c>
      <c r="N1894" t="s">
        <v>45</v>
      </c>
      <c r="O1894" t="s">
        <v>23</v>
      </c>
      <c r="P1894" t="s">
        <v>132</v>
      </c>
      <c r="Q1894" t="s">
        <v>133</v>
      </c>
      <c r="R1894" t="s">
        <v>131</v>
      </c>
      <c r="S1894" s="33">
        <v>0.3</v>
      </c>
      <c r="T1894" s="13">
        <v>470.15499999999997</v>
      </c>
      <c r="U1894" s="13">
        <v>-13.433</v>
      </c>
      <c r="V1894" s="21">
        <f>Table10[[#This Row],[Profit]]/Table10[[#This Row],[Sales]]</f>
        <v>-2.8571428571428574E-2</v>
      </c>
    </row>
    <row r="1895" spans="1:22" x14ac:dyDescent="0.2">
      <c r="A1895">
        <v>1894</v>
      </c>
      <c r="B1895" t="s">
        <v>1911</v>
      </c>
      <c r="C1895" s="1">
        <v>42678</v>
      </c>
      <c r="D1895" s="22">
        <f>MONTH(Table10[[#This Row],[Order Date]])</f>
        <v>11</v>
      </c>
      <c r="E1895" t="s">
        <v>442</v>
      </c>
      <c r="F1895" t="s">
        <v>443</v>
      </c>
      <c r="G1895" s="23" t="s">
        <v>41</v>
      </c>
      <c r="H1895" s="23" t="s">
        <v>240</v>
      </c>
      <c r="I1895" t="s">
        <v>868</v>
      </c>
      <c r="J1895" t="s">
        <v>22</v>
      </c>
      <c r="K1895" s="22">
        <v>3</v>
      </c>
      <c r="L1895" s="1">
        <v>42678</v>
      </c>
      <c r="M1895" s="22">
        <f>Table10[[#This Row],[Ship Date]]-Table10[[#This Row],[Order Date]]</f>
        <v>0</v>
      </c>
      <c r="N1895" t="s">
        <v>1141</v>
      </c>
      <c r="O1895" t="s">
        <v>23</v>
      </c>
      <c r="P1895" t="s">
        <v>25</v>
      </c>
      <c r="Q1895" t="s">
        <v>26</v>
      </c>
      <c r="R1895" t="s">
        <v>1303</v>
      </c>
      <c r="S1895" s="33">
        <v>0</v>
      </c>
      <c r="T1895" s="13">
        <v>10.74</v>
      </c>
      <c r="U1895" s="13">
        <v>5.2625999999999999</v>
      </c>
      <c r="V1895" s="21">
        <f>Table10[[#This Row],[Profit]]/Table10[[#This Row],[Sales]]</f>
        <v>0.49</v>
      </c>
    </row>
    <row r="1896" spans="1:22" x14ac:dyDescent="0.2">
      <c r="A1896">
        <v>1895</v>
      </c>
      <c r="B1896" t="s">
        <v>1993</v>
      </c>
      <c r="C1896" s="1">
        <v>42678</v>
      </c>
      <c r="D1896" s="22">
        <f>MONTH(Table10[[#This Row],[Order Date]])</f>
        <v>11</v>
      </c>
      <c r="E1896" t="s">
        <v>1994</v>
      </c>
      <c r="F1896" t="s">
        <v>1995</v>
      </c>
      <c r="G1896" s="23" t="s">
        <v>28</v>
      </c>
      <c r="H1896" s="23" t="s">
        <v>58</v>
      </c>
      <c r="I1896" t="s">
        <v>1184</v>
      </c>
      <c r="J1896" t="s">
        <v>36</v>
      </c>
      <c r="K1896" s="22">
        <v>3</v>
      </c>
      <c r="L1896" s="1">
        <v>42682</v>
      </c>
      <c r="M1896" s="22">
        <f>Table10[[#This Row],[Ship Date]]-Table10[[#This Row],[Order Date]]</f>
        <v>4</v>
      </c>
      <c r="N1896" t="s">
        <v>20</v>
      </c>
      <c r="O1896" t="s">
        <v>23</v>
      </c>
      <c r="P1896" t="s">
        <v>87</v>
      </c>
      <c r="Q1896" t="s">
        <v>39</v>
      </c>
      <c r="R1896" t="s">
        <v>86</v>
      </c>
      <c r="S1896" s="33">
        <v>0</v>
      </c>
      <c r="T1896" s="13">
        <v>209.88</v>
      </c>
      <c r="U1896" s="13">
        <v>35.679600000000001</v>
      </c>
      <c r="V1896" s="21">
        <f>Table10[[#This Row],[Profit]]/Table10[[#This Row],[Sales]]</f>
        <v>0.17</v>
      </c>
    </row>
    <row r="1897" spans="1:22" x14ac:dyDescent="0.2">
      <c r="A1897">
        <v>1896</v>
      </c>
      <c r="B1897" t="s">
        <v>5468</v>
      </c>
      <c r="C1897" s="1">
        <v>42678</v>
      </c>
      <c r="D1897" s="22">
        <f>MONTH(Table10[[#This Row],[Order Date]])</f>
        <v>11</v>
      </c>
      <c r="E1897" t="s">
        <v>1689</v>
      </c>
      <c r="F1897" t="s">
        <v>1690</v>
      </c>
      <c r="G1897" s="23" t="s">
        <v>28</v>
      </c>
      <c r="H1897" s="23" t="s">
        <v>58</v>
      </c>
      <c r="I1897" t="s">
        <v>2126</v>
      </c>
      <c r="J1897" t="s">
        <v>22</v>
      </c>
      <c r="K1897" s="22">
        <v>7</v>
      </c>
      <c r="L1897" s="1">
        <v>42679</v>
      </c>
      <c r="M1897" s="22">
        <f>Table10[[#This Row],[Ship Date]]-Table10[[#This Row],[Order Date]]</f>
        <v>1</v>
      </c>
      <c r="N1897" t="s">
        <v>169</v>
      </c>
      <c r="O1897" t="s">
        <v>23</v>
      </c>
      <c r="P1897" t="s">
        <v>38</v>
      </c>
      <c r="Q1897" t="s">
        <v>39</v>
      </c>
      <c r="R1897" t="s">
        <v>114</v>
      </c>
      <c r="S1897" s="33">
        <v>0</v>
      </c>
      <c r="T1897" s="13">
        <v>38.29</v>
      </c>
      <c r="U1897" s="13">
        <v>16.464700000000001</v>
      </c>
      <c r="V1897" s="21">
        <f>Table10[[#This Row],[Profit]]/Table10[[#This Row],[Sales]]</f>
        <v>0.43000000000000005</v>
      </c>
    </row>
    <row r="1898" spans="1:22" x14ac:dyDescent="0.2">
      <c r="A1898">
        <v>1897</v>
      </c>
      <c r="B1898" t="s">
        <v>7933</v>
      </c>
      <c r="C1898" s="1">
        <v>42678</v>
      </c>
      <c r="D1898" s="22">
        <f>MONTH(Table10[[#This Row],[Order Date]])</f>
        <v>11</v>
      </c>
      <c r="E1898" t="s">
        <v>993</v>
      </c>
      <c r="F1898" t="s">
        <v>994</v>
      </c>
      <c r="G1898" s="23" t="s">
        <v>41</v>
      </c>
      <c r="H1898" s="23" t="s">
        <v>61</v>
      </c>
      <c r="I1898" t="s">
        <v>4993</v>
      </c>
      <c r="J1898" t="s">
        <v>22</v>
      </c>
      <c r="K1898" s="22">
        <v>4</v>
      </c>
      <c r="L1898" s="1">
        <v>42678</v>
      </c>
      <c r="M1898" s="22">
        <f>Table10[[#This Row],[Ship Date]]-Table10[[#This Row],[Order Date]]</f>
        <v>0</v>
      </c>
      <c r="N1898" t="s">
        <v>1141</v>
      </c>
      <c r="O1898" t="s">
        <v>23</v>
      </c>
      <c r="P1898" t="s">
        <v>38</v>
      </c>
      <c r="Q1898" t="s">
        <v>39</v>
      </c>
      <c r="R1898" t="s">
        <v>6209</v>
      </c>
      <c r="S1898" s="33">
        <v>0</v>
      </c>
      <c r="T1898" s="13">
        <v>192.8</v>
      </c>
      <c r="U1898" s="13">
        <v>55.911999999999999</v>
      </c>
      <c r="V1898" s="21">
        <f>Table10[[#This Row],[Profit]]/Table10[[#This Row],[Sales]]</f>
        <v>0.28999999999999998</v>
      </c>
    </row>
    <row r="1899" spans="1:22" x14ac:dyDescent="0.2">
      <c r="A1899">
        <v>1898</v>
      </c>
      <c r="B1899" t="s">
        <v>8052</v>
      </c>
      <c r="C1899" s="1">
        <v>42678</v>
      </c>
      <c r="D1899" s="22">
        <f>MONTH(Table10[[#This Row],[Order Date]])</f>
        <v>11</v>
      </c>
      <c r="E1899" t="s">
        <v>6267</v>
      </c>
      <c r="F1899" t="s">
        <v>6268</v>
      </c>
      <c r="G1899" s="23" t="s">
        <v>41</v>
      </c>
      <c r="H1899" s="23" t="s">
        <v>513</v>
      </c>
      <c r="I1899" t="s">
        <v>6534</v>
      </c>
      <c r="J1899" t="s">
        <v>36</v>
      </c>
      <c r="K1899" s="22">
        <v>7</v>
      </c>
      <c r="L1899" s="1">
        <v>42680</v>
      </c>
      <c r="M1899" s="22">
        <f>Table10[[#This Row],[Ship Date]]-Table10[[#This Row],[Order Date]]</f>
        <v>2</v>
      </c>
      <c r="N1899" t="s">
        <v>20</v>
      </c>
      <c r="O1899" t="s">
        <v>23</v>
      </c>
      <c r="P1899" t="s">
        <v>374</v>
      </c>
      <c r="Q1899" t="s">
        <v>39</v>
      </c>
      <c r="R1899" t="s">
        <v>8053</v>
      </c>
      <c r="S1899" s="33">
        <v>0.2</v>
      </c>
      <c r="T1899" s="13">
        <v>17.584</v>
      </c>
      <c r="U1899" s="13">
        <v>-4.1761999999999997</v>
      </c>
      <c r="V1899" s="21">
        <f>Table10[[#This Row],[Profit]]/Table10[[#This Row],[Sales]]</f>
        <v>-0.23749999999999999</v>
      </c>
    </row>
    <row r="1900" spans="1:22" x14ac:dyDescent="0.2">
      <c r="A1900">
        <v>1899</v>
      </c>
      <c r="B1900" t="s">
        <v>8052</v>
      </c>
      <c r="C1900" s="1">
        <v>42678</v>
      </c>
      <c r="D1900" s="22">
        <f>MONTH(Table10[[#This Row],[Order Date]])</f>
        <v>11</v>
      </c>
      <c r="E1900" t="s">
        <v>6240</v>
      </c>
      <c r="F1900" t="s">
        <v>6241</v>
      </c>
      <c r="G1900" s="23" t="s">
        <v>28</v>
      </c>
      <c r="H1900" s="23" t="s">
        <v>32</v>
      </c>
      <c r="I1900" t="s">
        <v>6534</v>
      </c>
      <c r="J1900" t="s">
        <v>36</v>
      </c>
      <c r="K1900" s="22">
        <v>1</v>
      </c>
      <c r="L1900" s="1">
        <v>42680</v>
      </c>
      <c r="M1900" s="22">
        <f>Table10[[#This Row],[Ship Date]]-Table10[[#This Row],[Order Date]]</f>
        <v>2</v>
      </c>
      <c r="N1900" t="s">
        <v>20</v>
      </c>
      <c r="O1900" t="s">
        <v>23</v>
      </c>
      <c r="P1900" t="s">
        <v>374</v>
      </c>
      <c r="Q1900" t="s">
        <v>39</v>
      </c>
      <c r="R1900" t="s">
        <v>8053</v>
      </c>
      <c r="S1900" s="33">
        <v>0.2</v>
      </c>
      <c r="T1900" s="13">
        <v>104.78400000000001</v>
      </c>
      <c r="U1900" s="13">
        <v>-14.4078</v>
      </c>
      <c r="V1900" s="21">
        <f>Table10[[#This Row],[Profit]]/Table10[[#This Row],[Sales]]</f>
        <v>-0.13749999999999998</v>
      </c>
    </row>
    <row r="1901" spans="1:22" x14ac:dyDescent="0.2">
      <c r="A1901">
        <v>1900</v>
      </c>
      <c r="B1901" t="s">
        <v>8052</v>
      </c>
      <c r="C1901" s="1">
        <v>42678</v>
      </c>
      <c r="D1901" s="22">
        <f>MONTH(Table10[[#This Row],[Order Date]])</f>
        <v>11</v>
      </c>
      <c r="E1901" t="s">
        <v>6829</v>
      </c>
      <c r="F1901" t="s">
        <v>6830</v>
      </c>
      <c r="G1901" s="23" t="s">
        <v>41</v>
      </c>
      <c r="H1901" s="23" t="s">
        <v>82</v>
      </c>
      <c r="I1901" t="s">
        <v>6534</v>
      </c>
      <c r="J1901" t="s">
        <v>36</v>
      </c>
      <c r="K1901" s="22">
        <v>3</v>
      </c>
      <c r="L1901" s="1">
        <v>42680</v>
      </c>
      <c r="M1901" s="22">
        <f>Table10[[#This Row],[Ship Date]]-Table10[[#This Row],[Order Date]]</f>
        <v>2</v>
      </c>
      <c r="N1901" t="s">
        <v>20</v>
      </c>
      <c r="O1901" t="s">
        <v>23</v>
      </c>
      <c r="P1901" t="s">
        <v>374</v>
      </c>
      <c r="Q1901" t="s">
        <v>39</v>
      </c>
      <c r="R1901" t="s">
        <v>8053</v>
      </c>
      <c r="S1901" s="33">
        <v>0.2</v>
      </c>
      <c r="T1901" s="13">
        <v>47.951999999999998</v>
      </c>
      <c r="U1901" s="13">
        <v>16.783200000000001</v>
      </c>
      <c r="V1901" s="21">
        <f>Table10[[#This Row],[Profit]]/Table10[[#This Row],[Sales]]</f>
        <v>0.35000000000000003</v>
      </c>
    </row>
    <row r="1902" spans="1:22" x14ac:dyDescent="0.2">
      <c r="A1902">
        <v>1901</v>
      </c>
      <c r="B1902" t="s">
        <v>8052</v>
      </c>
      <c r="C1902" s="1">
        <v>42678</v>
      </c>
      <c r="D1902" s="22">
        <f>MONTH(Table10[[#This Row],[Order Date]])</f>
        <v>11</v>
      </c>
      <c r="E1902" t="s">
        <v>6537</v>
      </c>
      <c r="F1902" t="s">
        <v>6538</v>
      </c>
      <c r="G1902" s="23" t="s">
        <v>28</v>
      </c>
      <c r="H1902" s="23" t="s">
        <v>32</v>
      </c>
      <c r="I1902" t="s">
        <v>6534</v>
      </c>
      <c r="J1902" t="s">
        <v>36</v>
      </c>
      <c r="K1902" s="22">
        <v>3</v>
      </c>
      <c r="L1902" s="1">
        <v>42680</v>
      </c>
      <c r="M1902" s="22">
        <f>Table10[[#This Row],[Ship Date]]-Table10[[#This Row],[Order Date]]</f>
        <v>2</v>
      </c>
      <c r="N1902" t="s">
        <v>20</v>
      </c>
      <c r="O1902" t="s">
        <v>23</v>
      </c>
      <c r="P1902" t="s">
        <v>374</v>
      </c>
      <c r="Q1902" t="s">
        <v>39</v>
      </c>
      <c r="R1902" t="s">
        <v>8053</v>
      </c>
      <c r="S1902" s="33">
        <v>0.2</v>
      </c>
      <c r="T1902" s="13">
        <v>650.35199999999998</v>
      </c>
      <c r="U1902" s="13">
        <v>-97.552800000000005</v>
      </c>
      <c r="V1902" s="21">
        <f>Table10[[#This Row],[Profit]]/Table10[[#This Row],[Sales]]</f>
        <v>-0.15000000000000002</v>
      </c>
    </row>
    <row r="1903" spans="1:22" x14ac:dyDescent="0.2">
      <c r="A1903">
        <v>1902</v>
      </c>
      <c r="B1903" t="s">
        <v>8052</v>
      </c>
      <c r="C1903" s="1">
        <v>42678</v>
      </c>
      <c r="D1903" s="22">
        <f>MONTH(Table10[[#This Row],[Order Date]])</f>
        <v>11</v>
      </c>
      <c r="E1903" t="s">
        <v>1740</v>
      </c>
      <c r="F1903" t="s">
        <v>1741</v>
      </c>
      <c r="G1903" s="23" t="s">
        <v>41</v>
      </c>
      <c r="H1903" s="23" t="s">
        <v>42</v>
      </c>
      <c r="I1903" t="s">
        <v>6534</v>
      </c>
      <c r="J1903" t="s">
        <v>36</v>
      </c>
      <c r="K1903" s="22">
        <v>8</v>
      </c>
      <c r="L1903" s="1">
        <v>42680</v>
      </c>
      <c r="M1903" s="22">
        <f>Table10[[#This Row],[Ship Date]]-Table10[[#This Row],[Order Date]]</f>
        <v>2</v>
      </c>
      <c r="N1903" t="s">
        <v>20</v>
      </c>
      <c r="O1903" t="s">
        <v>23</v>
      </c>
      <c r="P1903" t="s">
        <v>374</v>
      </c>
      <c r="Q1903" t="s">
        <v>39</v>
      </c>
      <c r="R1903" t="s">
        <v>8053</v>
      </c>
      <c r="S1903" s="33">
        <v>0.2</v>
      </c>
      <c r="T1903" s="13">
        <v>629.18399999999997</v>
      </c>
      <c r="U1903" s="13">
        <v>228.07919999999999</v>
      </c>
      <c r="V1903" s="21">
        <f>Table10[[#This Row],[Profit]]/Table10[[#This Row],[Sales]]</f>
        <v>0.36249999999999999</v>
      </c>
    </row>
    <row r="1904" spans="1:22" x14ac:dyDescent="0.2">
      <c r="A1904">
        <v>1903</v>
      </c>
      <c r="B1904" t="s">
        <v>8052</v>
      </c>
      <c r="C1904" s="1">
        <v>42678</v>
      </c>
      <c r="D1904" s="22">
        <f>MONTH(Table10[[#This Row],[Order Date]])</f>
        <v>11</v>
      </c>
      <c r="E1904" t="s">
        <v>2198</v>
      </c>
      <c r="F1904" t="s">
        <v>2199</v>
      </c>
      <c r="G1904" s="23" t="s">
        <v>41</v>
      </c>
      <c r="H1904" s="23" t="s">
        <v>82</v>
      </c>
      <c r="I1904" t="s">
        <v>6534</v>
      </c>
      <c r="J1904" t="s">
        <v>36</v>
      </c>
      <c r="K1904" s="22">
        <v>1</v>
      </c>
      <c r="L1904" s="1">
        <v>42680</v>
      </c>
      <c r="M1904" s="22">
        <f>Table10[[#This Row],[Ship Date]]-Table10[[#This Row],[Order Date]]</f>
        <v>2</v>
      </c>
      <c r="N1904" t="s">
        <v>20</v>
      </c>
      <c r="O1904" t="s">
        <v>23</v>
      </c>
      <c r="P1904" t="s">
        <v>374</v>
      </c>
      <c r="Q1904" t="s">
        <v>39</v>
      </c>
      <c r="R1904" t="s">
        <v>8053</v>
      </c>
      <c r="S1904" s="33">
        <v>0.2</v>
      </c>
      <c r="T1904" s="13">
        <v>15.176</v>
      </c>
      <c r="U1904" s="13">
        <v>5.3116000000000003</v>
      </c>
      <c r="V1904" s="21">
        <f>Table10[[#This Row],[Profit]]/Table10[[#This Row],[Sales]]</f>
        <v>0.35000000000000003</v>
      </c>
    </row>
    <row r="1905" spans="1:22" x14ac:dyDescent="0.2">
      <c r="A1905">
        <v>1904</v>
      </c>
      <c r="B1905" t="s">
        <v>8287</v>
      </c>
      <c r="C1905" s="1">
        <v>42678</v>
      </c>
      <c r="D1905" s="22">
        <f>MONTH(Table10[[#This Row],[Order Date]])</f>
        <v>11</v>
      </c>
      <c r="E1905" t="s">
        <v>4152</v>
      </c>
      <c r="F1905" t="s">
        <v>4153</v>
      </c>
      <c r="G1905" s="23" t="s">
        <v>28</v>
      </c>
      <c r="H1905" s="23" t="s">
        <v>58</v>
      </c>
      <c r="I1905" t="s">
        <v>6154</v>
      </c>
      <c r="J1905" t="s">
        <v>36</v>
      </c>
      <c r="K1905" s="22">
        <v>6</v>
      </c>
      <c r="L1905" s="1">
        <v>42683</v>
      </c>
      <c r="M1905" s="22">
        <f>Table10[[#This Row],[Ship Date]]-Table10[[#This Row],[Order Date]]</f>
        <v>5</v>
      </c>
      <c r="N1905" t="s">
        <v>45</v>
      </c>
      <c r="O1905" t="s">
        <v>23</v>
      </c>
      <c r="P1905" t="s">
        <v>48</v>
      </c>
      <c r="Q1905" t="s">
        <v>26</v>
      </c>
      <c r="R1905" t="s">
        <v>1253</v>
      </c>
      <c r="S1905" s="33">
        <v>0.2</v>
      </c>
      <c r="T1905" s="13">
        <v>50.496000000000002</v>
      </c>
      <c r="U1905" s="13">
        <v>8.2056000000000004</v>
      </c>
      <c r="V1905" s="21">
        <f>Table10[[#This Row],[Profit]]/Table10[[#This Row],[Sales]]</f>
        <v>0.16250000000000001</v>
      </c>
    </row>
    <row r="1906" spans="1:22" x14ac:dyDescent="0.2">
      <c r="A1906">
        <v>1905</v>
      </c>
      <c r="B1906" t="s">
        <v>8311</v>
      </c>
      <c r="C1906" s="1">
        <v>42678</v>
      </c>
      <c r="D1906" s="22">
        <f>MONTH(Table10[[#This Row],[Order Date]])</f>
        <v>11</v>
      </c>
      <c r="E1906" t="s">
        <v>1081</v>
      </c>
      <c r="F1906" t="s">
        <v>1082</v>
      </c>
      <c r="G1906" s="23" t="s">
        <v>41</v>
      </c>
      <c r="H1906" s="23" t="s">
        <v>68</v>
      </c>
      <c r="I1906" t="s">
        <v>1487</v>
      </c>
      <c r="J1906" t="s">
        <v>92</v>
      </c>
      <c r="K1906" s="22">
        <v>2</v>
      </c>
      <c r="L1906" s="1">
        <v>42682</v>
      </c>
      <c r="M1906" s="22">
        <f>Table10[[#This Row],[Ship Date]]-Table10[[#This Row],[Order Date]]</f>
        <v>4</v>
      </c>
      <c r="N1906" t="s">
        <v>45</v>
      </c>
      <c r="O1906" t="s">
        <v>23</v>
      </c>
      <c r="P1906" t="s">
        <v>38</v>
      </c>
      <c r="Q1906" t="s">
        <v>39</v>
      </c>
      <c r="R1906" t="s">
        <v>37</v>
      </c>
      <c r="S1906" s="33">
        <v>0.2</v>
      </c>
      <c r="T1906" s="13">
        <v>7.7119999999999997</v>
      </c>
      <c r="U1906" s="13">
        <v>2.7955999999999999</v>
      </c>
      <c r="V1906" s="21">
        <f>Table10[[#This Row],[Profit]]/Table10[[#This Row],[Sales]]</f>
        <v>0.36249999999999999</v>
      </c>
    </row>
    <row r="1907" spans="1:22" x14ac:dyDescent="0.2">
      <c r="A1907">
        <v>1906</v>
      </c>
      <c r="B1907" t="s">
        <v>8311</v>
      </c>
      <c r="C1907" s="1">
        <v>42678</v>
      </c>
      <c r="D1907" s="22">
        <f>MONTH(Table10[[#This Row],[Order Date]])</f>
        <v>11</v>
      </c>
      <c r="E1907" t="s">
        <v>6218</v>
      </c>
      <c r="F1907" t="s">
        <v>6219</v>
      </c>
      <c r="G1907" s="23" t="s">
        <v>41</v>
      </c>
      <c r="H1907" s="23" t="s">
        <v>68</v>
      </c>
      <c r="I1907" t="s">
        <v>1487</v>
      </c>
      <c r="J1907" t="s">
        <v>92</v>
      </c>
      <c r="K1907" s="22">
        <v>1</v>
      </c>
      <c r="L1907" s="1">
        <v>42682</v>
      </c>
      <c r="M1907" s="22">
        <f>Table10[[#This Row],[Ship Date]]-Table10[[#This Row],[Order Date]]</f>
        <v>4</v>
      </c>
      <c r="N1907" t="s">
        <v>45</v>
      </c>
      <c r="O1907" t="s">
        <v>23</v>
      </c>
      <c r="P1907" t="s">
        <v>38</v>
      </c>
      <c r="Q1907" t="s">
        <v>39</v>
      </c>
      <c r="R1907" t="s">
        <v>37</v>
      </c>
      <c r="S1907" s="33">
        <v>0.2</v>
      </c>
      <c r="T1907" s="13">
        <v>4.1760000000000002</v>
      </c>
      <c r="U1907" s="13">
        <v>1.3049999999999999</v>
      </c>
      <c r="V1907" s="21">
        <f>Table10[[#This Row],[Profit]]/Table10[[#This Row],[Sales]]</f>
        <v>0.3125</v>
      </c>
    </row>
    <row r="1908" spans="1:22" x14ac:dyDescent="0.2">
      <c r="A1908">
        <v>1907</v>
      </c>
      <c r="B1908" t="s">
        <v>8311</v>
      </c>
      <c r="C1908" s="1">
        <v>42678</v>
      </c>
      <c r="D1908" s="22">
        <f>MONTH(Table10[[#This Row],[Order Date]])</f>
        <v>11</v>
      </c>
      <c r="E1908" t="s">
        <v>8312</v>
      </c>
      <c r="F1908" t="s">
        <v>8313</v>
      </c>
      <c r="G1908" s="23" t="s">
        <v>41</v>
      </c>
      <c r="H1908" s="23" t="s">
        <v>82</v>
      </c>
      <c r="I1908" t="s">
        <v>1487</v>
      </c>
      <c r="J1908" t="s">
        <v>92</v>
      </c>
      <c r="K1908" s="22">
        <v>6</v>
      </c>
      <c r="L1908" s="1">
        <v>42682</v>
      </c>
      <c r="M1908" s="22">
        <f>Table10[[#This Row],[Ship Date]]-Table10[[#This Row],[Order Date]]</f>
        <v>4</v>
      </c>
      <c r="N1908" t="s">
        <v>45</v>
      </c>
      <c r="O1908" t="s">
        <v>23</v>
      </c>
      <c r="P1908" t="s">
        <v>38</v>
      </c>
      <c r="Q1908" t="s">
        <v>39</v>
      </c>
      <c r="R1908" t="s">
        <v>37</v>
      </c>
      <c r="S1908" s="33">
        <v>0</v>
      </c>
      <c r="T1908" s="13">
        <v>38.880000000000003</v>
      </c>
      <c r="U1908" s="13">
        <v>18.662400000000002</v>
      </c>
      <c r="V1908" s="21">
        <f>Table10[[#This Row],[Profit]]/Table10[[#This Row],[Sales]]</f>
        <v>0.48000000000000004</v>
      </c>
    </row>
    <row r="1909" spans="1:22" x14ac:dyDescent="0.2">
      <c r="A1909">
        <v>1908</v>
      </c>
      <c r="B1909" t="s">
        <v>8887</v>
      </c>
      <c r="C1909" s="1">
        <v>42678</v>
      </c>
      <c r="D1909" s="22">
        <f>MONTH(Table10[[#This Row],[Order Date]])</f>
        <v>11</v>
      </c>
      <c r="E1909" t="s">
        <v>354</v>
      </c>
      <c r="F1909" t="s">
        <v>355</v>
      </c>
      <c r="G1909" s="23" t="s">
        <v>41</v>
      </c>
      <c r="H1909" s="23" t="s">
        <v>53</v>
      </c>
      <c r="I1909" t="s">
        <v>386</v>
      </c>
      <c r="J1909" t="s">
        <v>36</v>
      </c>
      <c r="K1909" s="22">
        <v>2</v>
      </c>
      <c r="L1909" s="1">
        <v>42680</v>
      </c>
      <c r="M1909" s="22">
        <f>Table10[[#This Row],[Ship Date]]-Table10[[#This Row],[Order Date]]</f>
        <v>2</v>
      </c>
      <c r="N1909" t="s">
        <v>20</v>
      </c>
      <c r="O1909" t="s">
        <v>23</v>
      </c>
      <c r="P1909" t="s">
        <v>80</v>
      </c>
      <c r="Q1909" t="s">
        <v>26</v>
      </c>
      <c r="R1909" t="s">
        <v>414</v>
      </c>
      <c r="S1909" s="33">
        <v>0.2</v>
      </c>
      <c r="T1909" s="13">
        <v>45.247999999999998</v>
      </c>
      <c r="U1909" s="13">
        <v>3.9592000000000001</v>
      </c>
      <c r="V1909" s="21">
        <f>Table10[[#This Row],[Profit]]/Table10[[#This Row],[Sales]]</f>
        <v>8.7500000000000008E-2</v>
      </c>
    </row>
    <row r="1910" spans="1:22" x14ac:dyDescent="0.2">
      <c r="A1910">
        <v>1909</v>
      </c>
      <c r="B1910" t="s">
        <v>8887</v>
      </c>
      <c r="C1910" s="1">
        <v>42678</v>
      </c>
      <c r="D1910" s="22">
        <f>MONTH(Table10[[#This Row],[Order Date]])</f>
        <v>11</v>
      </c>
      <c r="E1910" t="s">
        <v>978</v>
      </c>
      <c r="F1910" t="s">
        <v>979</v>
      </c>
      <c r="G1910" s="23" t="s">
        <v>28</v>
      </c>
      <c r="H1910" s="23" t="s">
        <v>50</v>
      </c>
      <c r="I1910" t="s">
        <v>386</v>
      </c>
      <c r="J1910" t="s">
        <v>36</v>
      </c>
      <c r="K1910" s="22">
        <v>10</v>
      </c>
      <c r="L1910" s="1">
        <v>42680</v>
      </c>
      <c r="M1910" s="22">
        <f>Table10[[#This Row],[Ship Date]]-Table10[[#This Row],[Order Date]]</f>
        <v>2</v>
      </c>
      <c r="N1910" t="s">
        <v>20</v>
      </c>
      <c r="O1910" t="s">
        <v>23</v>
      </c>
      <c r="P1910" t="s">
        <v>80</v>
      </c>
      <c r="Q1910" t="s">
        <v>26</v>
      </c>
      <c r="R1910" t="s">
        <v>414</v>
      </c>
      <c r="S1910" s="33">
        <v>0.4</v>
      </c>
      <c r="T1910" s="13">
        <v>876.3</v>
      </c>
      <c r="U1910" s="13">
        <v>-292.10000000000002</v>
      </c>
      <c r="V1910" s="21">
        <f>Table10[[#This Row],[Profit]]/Table10[[#This Row],[Sales]]</f>
        <v>-0.33333333333333337</v>
      </c>
    </row>
    <row r="1911" spans="1:22" x14ac:dyDescent="0.2">
      <c r="A1911">
        <v>1910</v>
      </c>
      <c r="B1911" t="s">
        <v>8887</v>
      </c>
      <c r="C1911" s="1">
        <v>42678</v>
      </c>
      <c r="D1911" s="22">
        <f>MONTH(Table10[[#This Row],[Order Date]])</f>
        <v>11</v>
      </c>
      <c r="E1911" t="s">
        <v>1422</v>
      </c>
      <c r="F1911" t="s">
        <v>1423</v>
      </c>
      <c r="G1911" s="23" t="s">
        <v>41</v>
      </c>
      <c r="H1911" s="23" t="s">
        <v>513</v>
      </c>
      <c r="I1911" t="s">
        <v>386</v>
      </c>
      <c r="J1911" t="s">
        <v>36</v>
      </c>
      <c r="K1911" s="22">
        <v>2</v>
      </c>
      <c r="L1911" s="1">
        <v>42680</v>
      </c>
      <c r="M1911" s="22">
        <f>Table10[[#This Row],[Ship Date]]-Table10[[#This Row],[Order Date]]</f>
        <v>2</v>
      </c>
      <c r="N1911" t="s">
        <v>20</v>
      </c>
      <c r="O1911" t="s">
        <v>23</v>
      </c>
      <c r="P1911" t="s">
        <v>80</v>
      </c>
      <c r="Q1911" t="s">
        <v>26</v>
      </c>
      <c r="R1911" t="s">
        <v>414</v>
      </c>
      <c r="S1911" s="33">
        <v>0.2</v>
      </c>
      <c r="T1911" s="13">
        <v>185.376</v>
      </c>
      <c r="U1911" s="13">
        <v>-34.758000000000003</v>
      </c>
      <c r="V1911" s="21">
        <f>Table10[[#This Row],[Profit]]/Table10[[#This Row],[Sales]]</f>
        <v>-0.1875</v>
      </c>
    </row>
    <row r="1912" spans="1:22" x14ac:dyDescent="0.2">
      <c r="A1912">
        <v>1911</v>
      </c>
      <c r="B1912" t="s">
        <v>9499</v>
      </c>
      <c r="C1912" s="1">
        <v>42678</v>
      </c>
      <c r="D1912" s="22">
        <f>MONTH(Table10[[#This Row],[Order Date]])</f>
        <v>11</v>
      </c>
      <c r="E1912" t="s">
        <v>7893</v>
      </c>
      <c r="F1912" t="s">
        <v>7894</v>
      </c>
      <c r="G1912" s="23" t="s">
        <v>64</v>
      </c>
      <c r="H1912" s="23" t="s">
        <v>602</v>
      </c>
      <c r="I1912" t="s">
        <v>5763</v>
      </c>
      <c r="J1912" t="s">
        <v>22</v>
      </c>
      <c r="K1912" s="22">
        <v>2</v>
      </c>
      <c r="L1912" s="1">
        <v>42682</v>
      </c>
      <c r="M1912" s="22">
        <f>Table10[[#This Row],[Ship Date]]-Table10[[#This Row],[Order Date]]</f>
        <v>4</v>
      </c>
      <c r="N1912" t="s">
        <v>45</v>
      </c>
      <c r="O1912" t="s">
        <v>23</v>
      </c>
      <c r="P1912" t="s">
        <v>38</v>
      </c>
      <c r="Q1912" t="s">
        <v>39</v>
      </c>
      <c r="R1912" t="s">
        <v>836</v>
      </c>
      <c r="S1912" s="33">
        <v>0.2</v>
      </c>
      <c r="T1912" s="13">
        <v>686.4</v>
      </c>
      <c r="U1912" s="13">
        <v>77.22</v>
      </c>
      <c r="V1912" s="21">
        <f>Table10[[#This Row],[Profit]]/Table10[[#This Row],[Sales]]</f>
        <v>0.1125</v>
      </c>
    </row>
    <row r="1913" spans="1:22" x14ac:dyDescent="0.2">
      <c r="A1913">
        <v>1912</v>
      </c>
      <c r="B1913" t="s">
        <v>9767</v>
      </c>
      <c r="C1913" s="1">
        <v>42678</v>
      </c>
      <c r="D1913" s="22">
        <f>MONTH(Table10[[#This Row],[Order Date]])</f>
        <v>11</v>
      </c>
      <c r="E1913" t="s">
        <v>5490</v>
      </c>
      <c r="F1913" t="s">
        <v>5491</v>
      </c>
      <c r="G1913" s="23" t="s">
        <v>28</v>
      </c>
      <c r="H1913" s="23" t="s">
        <v>58</v>
      </c>
      <c r="I1913" t="s">
        <v>2377</v>
      </c>
      <c r="J1913" t="s">
        <v>22</v>
      </c>
      <c r="K1913" s="22">
        <v>3</v>
      </c>
      <c r="L1913" s="1">
        <v>42682</v>
      </c>
      <c r="M1913" s="22">
        <f>Table10[[#This Row],[Ship Date]]-Table10[[#This Row],[Order Date]]</f>
        <v>4</v>
      </c>
      <c r="N1913" t="s">
        <v>45</v>
      </c>
      <c r="O1913" t="s">
        <v>23</v>
      </c>
      <c r="P1913" t="s">
        <v>94</v>
      </c>
      <c r="Q1913" t="s">
        <v>95</v>
      </c>
      <c r="R1913" t="s">
        <v>165</v>
      </c>
      <c r="S1913" s="33">
        <v>0.6</v>
      </c>
      <c r="T1913" s="13">
        <v>11.375999999999999</v>
      </c>
      <c r="U1913" s="13">
        <v>-5.6879999999999997</v>
      </c>
      <c r="V1913" s="21">
        <f>Table10[[#This Row],[Profit]]/Table10[[#This Row],[Sales]]</f>
        <v>-0.5</v>
      </c>
    </row>
    <row r="1914" spans="1:22" x14ac:dyDescent="0.2">
      <c r="A1914">
        <v>1913</v>
      </c>
      <c r="B1914" t="s">
        <v>9767</v>
      </c>
      <c r="C1914" s="1">
        <v>42678</v>
      </c>
      <c r="D1914" s="22">
        <f>MONTH(Table10[[#This Row],[Order Date]])</f>
        <v>11</v>
      </c>
      <c r="E1914" t="s">
        <v>1644</v>
      </c>
      <c r="F1914" t="s">
        <v>1645</v>
      </c>
      <c r="G1914" s="23" t="s">
        <v>28</v>
      </c>
      <c r="H1914" s="23" t="s">
        <v>58</v>
      </c>
      <c r="I1914" t="s">
        <v>2377</v>
      </c>
      <c r="J1914" t="s">
        <v>22</v>
      </c>
      <c r="K1914" s="22">
        <v>4</v>
      </c>
      <c r="L1914" s="1">
        <v>42682</v>
      </c>
      <c r="M1914" s="22">
        <f>Table10[[#This Row],[Ship Date]]-Table10[[#This Row],[Order Date]]</f>
        <v>4</v>
      </c>
      <c r="N1914" t="s">
        <v>45</v>
      </c>
      <c r="O1914" t="s">
        <v>23</v>
      </c>
      <c r="P1914" t="s">
        <v>94</v>
      </c>
      <c r="Q1914" t="s">
        <v>95</v>
      </c>
      <c r="R1914" t="s">
        <v>165</v>
      </c>
      <c r="S1914" s="33">
        <v>0.6</v>
      </c>
      <c r="T1914" s="13">
        <v>66.111999999999995</v>
      </c>
      <c r="U1914" s="13">
        <v>-84.2928</v>
      </c>
      <c r="V1914" s="21">
        <f>Table10[[#This Row],[Profit]]/Table10[[#This Row],[Sales]]</f>
        <v>-1.2750000000000001</v>
      </c>
    </row>
    <row r="1915" spans="1:22" x14ac:dyDescent="0.2">
      <c r="A1915">
        <v>1914</v>
      </c>
      <c r="B1915" t="s">
        <v>4902</v>
      </c>
      <c r="C1915" s="1">
        <v>42679</v>
      </c>
      <c r="D1915" s="22">
        <f>MONTH(Table10[[#This Row],[Order Date]])</f>
        <v>11</v>
      </c>
      <c r="E1915" t="s">
        <v>4903</v>
      </c>
      <c r="F1915" t="s">
        <v>4904</v>
      </c>
      <c r="G1915" s="23" t="s">
        <v>41</v>
      </c>
      <c r="H1915" s="23" t="s">
        <v>68</v>
      </c>
      <c r="I1915" t="s">
        <v>337</v>
      </c>
      <c r="J1915" t="s">
        <v>92</v>
      </c>
      <c r="K1915" s="22">
        <v>5</v>
      </c>
      <c r="L1915" s="1">
        <v>42684</v>
      </c>
      <c r="M1915" s="22">
        <f>Table10[[#This Row],[Ship Date]]-Table10[[#This Row],[Order Date]]</f>
        <v>5</v>
      </c>
      <c r="N1915" t="s">
        <v>45</v>
      </c>
      <c r="O1915" t="s">
        <v>23</v>
      </c>
      <c r="P1915" t="s">
        <v>38</v>
      </c>
      <c r="Q1915" t="s">
        <v>39</v>
      </c>
      <c r="R1915" t="s">
        <v>557</v>
      </c>
      <c r="S1915" s="33">
        <v>0.2</v>
      </c>
      <c r="T1915" s="13">
        <v>29.12</v>
      </c>
      <c r="U1915" s="13">
        <v>9.8279999999999994</v>
      </c>
      <c r="V1915" s="21">
        <f>Table10[[#This Row],[Profit]]/Table10[[#This Row],[Sales]]</f>
        <v>0.33749999999999997</v>
      </c>
    </row>
    <row r="1916" spans="1:22" x14ac:dyDescent="0.2">
      <c r="A1916">
        <v>1915</v>
      </c>
      <c r="B1916" t="s">
        <v>5309</v>
      </c>
      <c r="C1916" s="1">
        <v>42679</v>
      </c>
      <c r="D1916" s="22">
        <f>MONTH(Table10[[#This Row],[Order Date]])</f>
        <v>11</v>
      </c>
      <c r="E1916" t="s">
        <v>5310</v>
      </c>
      <c r="F1916" t="s">
        <v>5311</v>
      </c>
      <c r="G1916" s="23" t="s">
        <v>64</v>
      </c>
      <c r="H1916" s="23" t="s">
        <v>65</v>
      </c>
      <c r="I1916" t="s">
        <v>1184</v>
      </c>
      <c r="J1916" t="s">
        <v>36</v>
      </c>
      <c r="K1916" s="22">
        <v>2</v>
      </c>
      <c r="L1916" s="1">
        <v>42684</v>
      </c>
      <c r="M1916" s="22">
        <f>Table10[[#This Row],[Ship Date]]-Table10[[#This Row],[Order Date]]</f>
        <v>5</v>
      </c>
      <c r="N1916" t="s">
        <v>45</v>
      </c>
      <c r="O1916" t="s">
        <v>23</v>
      </c>
      <c r="P1916" t="s">
        <v>132</v>
      </c>
      <c r="Q1916" t="s">
        <v>133</v>
      </c>
      <c r="R1916" t="s">
        <v>131</v>
      </c>
      <c r="S1916" s="33">
        <v>0.4</v>
      </c>
      <c r="T1916" s="13">
        <v>23.988</v>
      </c>
      <c r="U1916" s="13">
        <v>-15.992000000000001</v>
      </c>
      <c r="V1916" s="21">
        <f>Table10[[#This Row],[Profit]]/Table10[[#This Row],[Sales]]</f>
        <v>-0.66666666666666674</v>
      </c>
    </row>
    <row r="1917" spans="1:22" x14ac:dyDescent="0.2">
      <c r="A1917">
        <v>1916</v>
      </c>
      <c r="B1917" t="s">
        <v>6631</v>
      </c>
      <c r="C1917" s="1">
        <v>42679</v>
      </c>
      <c r="D1917" s="22">
        <f>MONTH(Table10[[#This Row],[Order Date]])</f>
        <v>11</v>
      </c>
      <c r="E1917" t="s">
        <v>1998</v>
      </c>
      <c r="F1917" t="s">
        <v>1999</v>
      </c>
      <c r="G1917" s="23" t="s">
        <v>28</v>
      </c>
      <c r="H1917" s="23" t="s">
        <v>50</v>
      </c>
      <c r="I1917" t="s">
        <v>1617</v>
      </c>
      <c r="J1917" t="s">
        <v>22</v>
      </c>
      <c r="K1917" s="22">
        <v>8</v>
      </c>
      <c r="L1917" s="1">
        <v>42683</v>
      </c>
      <c r="M1917" s="22">
        <f>Table10[[#This Row],[Ship Date]]-Table10[[#This Row],[Order Date]]</f>
        <v>4</v>
      </c>
      <c r="N1917" t="s">
        <v>45</v>
      </c>
      <c r="O1917" t="s">
        <v>23</v>
      </c>
      <c r="P1917" t="s">
        <v>94</v>
      </c>
      <c r="Q1917" t="s">
        <v>95</v>
      </c>
      <c r="R1917" t="s">
        <v>165</v>
      </c>
      <c r="S1917" s="33">
        <v>0.3</v>
      </c>
      <c r="T1917" s="13">
        <v>863.12800000000004</v>
      </c>
      <c r="U1917" s="13">
        <v>-160.29519999999999</v>
      </c>
      <c r="V1917" s="21">
        <f>Table10[[#This Row],[Profit]]/Table10[[#This Row],[Sales]]</f>
        <v>-0.18571428571428569</v>
      </c>
    </row>
    <row r="1918" spans="1:22" x14ac:dyDescent="0.2">
      <c r="A1918">
        <v>1917</v>
      </c>
      <c r="B1918" t="s">
        <v>6631</v>
      </c>
      <c r="C1918" s="1">
        <v>42679</v>
      </c>
      <c r="D1918" s="22">
        <f>MONTH(Table10[[#This Row],[Order Date]])</f>
        <v>11</v>
      </c>
      <c r="E1918" t="s">
        <v>3421</v>
      </c>
      <c r="F1918" t="s">
        <v>1073</v>
      </c>
      <c r="G1918" s="23" t="s">
        <v>41</v>
      </c>
      <c r="H1918" s="23" t="s">
        <v>68</v>
      </c>
      <c r="I1918" t="s">
        <v>1617</v>
      </c>
      <c r="J1918" t="s">
        <v>22</v>
      </c>
      <c r="K1918" s="22">
        <v>3</v>
      </c>
      <c r="L1918" s="1">
        <v>42683</v>
      </c>
      <c r="M1918" s="22">
        <f>Table10[[#This Row],[Ship Date]]-Table10[[#This Row],[Order Date]]</f>
        <v>4</v>
      </c>
      <c r="N1918" t="s">
        <v>45</v>
      </c>
      <c r="O1918" t="s">
        <v>23</v>
      </c>
      <c r="P1918" t="s">
        <v>94</v>
      </c>
      <c r="Q1918" t="s">
        <v>95</v>
      </c>
      <c r="R1918" t="s">
        <v>165</v>
      </c>
      <c r="S1918" s="33">
        <v>0.8</v>
      </c>
      <c r="T1918" s="13">
        <v>3.5640000000000001</v>
      </c>
      <c r="U1918" s="13">
        <v>-6.2370000000000001</v>
      </c>
      <c r="V1918" s="21">
        <f>Table10[[#This Row],[Profit]]/Table10[[#This Row],[Sales]]</f>
        <v>-1.75</v>
      </c>
    </row>
    <row r="1919" spans="1:22" x14ac:dyDescent="0.2">
      <c r="A1919">
        <v>1918</v>
      </c>
      <c r="B1919" t="s">
        <v>6631</v>
      </c>
      <c r="C1919" s="1">
        <v>42679</v>
      </c>
      <c r="D1919" s="22">
        <f>MONTH(Table10[[#This Row],[Order Date]])</f>
        <v>11</v>
      </c>
      <c r="E1919" t="s">
        <v>4841</v>
      </c>
      <c r="F1919" t="s">
        <v>4842</v>
      </c>
      <c r="G1919" s="23" t="s">
        <v>28</v>
      </c>
      <c r="H1919" s="23" t="s">
        <v>29</v>
      </c>
      <c r="I1919" t="s">
        <v>1617</v>
      </c>
      <c r="J1919" t="s">
        <v>22</v>
      </c>
      <c r="K1919" s="22">
        <v>7</v>
      </c>
      <c r="L1919" s="1">
        <v>42683</v>
      </c>
      <c r="M1919" s="22">
        <f>Table10[[#This Row],[Ship Date]]-Table10[[#This Row],[Order Date]]</f>
        <v>4</v>
      </c>
      <c r="N1919" t="s">
        <v>45</v>
      </c>
      <c r="O1919" t="s">
        <v>23</v>
      </c>
      <c r="P1919" t="s">
        <v>94</v>
      </c>
      <c r="Q1919" t="s">
        <v>95</v>
      </c>
      <c r="R1919" t="s">
        <v>165</v>
      </c>
      <c r="S1919" s="33">
        <v>0.32</v>
      </c>
      <c r="T1919" s="13">
        <v>956.66480000000001</v>
      </c>
      <c r="U1919" s="13">
        <v>-225.0976</v>
      </c>
      <c r="V1919" s="21">
        <f>Table10[[#This Row],[Profit]]/Table10[[#This Row],[Sales]]</f>
        <v>-0.23529411764705882</v>
      </c>
    </row>
    <row r="1920" spans="1:22" x14ac:dyDescent="0.2">
      <c r="A1920">
        <v>1919</v>
      </c>
      <c r="B1920" t="s">
        <v>6631</v>
      </c>
      <c r="C1920" s="1">
        <v>42679</v>
      </c>
      <c r="D1920" s="22">
        <f>MONTH(Table10[[#This Row],[Order Date]])</f>
        <v>11</v>
      </c>
      <c r="E1920" t="s">
        <v>1851</v>
      </c>
      <c r="F1920" t="s">
        <v>1852</v>
      </c>
      <c r="G1920" s="23" t="s">
        <v>41</v>
      </c>
      <c r="H1920" s="23" t="s">
        <v>68</v>
      </c>
      <c r="I1920" t="s">
        <v>1617</v>
      </c>
      <c r="J1920" t="s">
        <v>22</v>
      </c>
      <c r="K1920" s="22">
        <v>3</v>
      </c>
      <c r="L1920" s="1">
        <v>42683</v>
      </c>
      <c r="M1920" s="22">
        <f>Table10[[#This Row],[Ship Date]]-Table10[[#This Row],[Order Date]]</f>
        <v>4</v>
      </c>
      <c r="N1920" t="s">
        <v>45</v>
      </c>
      <c r="O1920" t="s">
        <v>23</v>
      </c>
      <c r="P1920" t="s">
        <v>94</v>
      </c>
      <c r="Q1920" t="s">
        <v>95</v>
      </c>
      <c r="R1920" t="s">
        <v>165</v>
      </c>
      <c r="S1920" s="33">
        <v>0.8</v>
      </c>
      <c r="T1920" s="13">
        <v>12.587999999999999</v>
      </c>
      <c r="U1920" s="13">
        <v>-20.140799999999999</v>
      </c>
      <c r="V1920" s="21">
        <f>Table10[[#This Row],[Profit]]/Table10[[#This Row],[Sales]]</f>
        <v>-1.6</v>
      </c>
    </row>
    <row r="1921" spans="1:22" x14ac:dyDescent="0.2">
      <c r="A1921">
        <v>1920</v>
      </c>
      <c r="B1921" t="s">
        <v>6631</v>
      </c>
      <c r="C1921" s="1">
        <v>42679</v>
      </c>
      <c r="D1921" s="22">
        <f>MONTH(Table10[[#This Row],[Order Date]])</f>
        <v>11</v>
      </c>
      <c r="E1921" t="s">
        <v>5604</v>
      </c>
      <c r="F1921" t="s">
        <v>5605</v>
      </c>
      <c r="G1921" s="23" t="s">
        <v>64</v>
      </c>
      <c r="H1921" s="23" t="s">
        <v>144</v>
      </c>
      <c r="I1921" t="s">
        <v>1617</v>
      </c>
      <c r="J1921" t="s">
        <v>22</v>
      </c>
      <c r="K1921" s="22">
        <v>5</v>
      </c>
      <c r="L1921" s="1">
        <v>42683</v>
      </c>
      <c r="M1921" s="22">
        <f>Table10[[#This Row],[Ship Date]]-Table10[[#This Row],[Order Date]]</f>
        <v>4</v>
      </c>
      <c r="N1921" t="s">
        <v>45</v>
      </c>
      <c r="O1921" t="s">
        <v>23</v>
      </c>
      <c r="P1921" t="s">
        <v>94</v>
      </c>
      <c r="Q1921" t="s">
        <v>95</v>
      </c>
      <c r="R1921" t="s">
        <v>165</v>
      </c>
      <c r="S1921" s="33">
        <v>0.2</v>
      </c>
      <c r="T1921" s="13">
        <v>171.96</v>
      </c>
      <c r="U1921" s="13">
        <v>45.139499999999998</v>
      </c>
      <c r="V1921" s="21">
        <f>Table10[[#This Row],[Profit]]/Table10[[#This Row],[Sales]]</f>
        <v>0.26249999999999996</v>
      </c>
    </row>
    <row r="1922" spans="1:22" x14ac:dyDescent="0.2">
      <c r="A1922">
        <v>1921</v>
      </c>
      <c r="B1922" t="s">
        <v>6712</v>
      </c>
      <c r="C1922" s="1">
        <v>42679</v>
      </c>
      <c r="D1922" s="22">
        <f>MONTH(Table10[[#This Row],[Order Date]])</f>
        <v>11</v>
      </c>
      <c r="E1922" t="s">
        <v>1851</v>
      </c>
      <c r="F1922" t="s">
        <v>1852</v>
      </c>
      <c r="G1922" s="23" t="s">
        <v>41</v>
      </c>
      <c r="H1922" s="23" t="s">
        <v>68</v>
      </c>
      <c r="I1922" t="s">
        <v>5484</v>
      </c>
      <c r="J1922" t="s">
        <v>92</v>
      </c>
      <c r="K1922" s="22">
        <v>5</v>
      </c>
      <c r="L1922" s="1">
        <v>42684</v>
      </c>
      <c r="M1922" s="22">
        <f>Table10[[#This Row],[Ship Date]]-Table10[[#This Row],[Order Date]]</f>
        <v>5</v>
      </c>
      <c r="N1922" t="s">
        <v>45</v>
      </c>
      <c r="O1922" t="s">
        <v>23</v>
      </c>
      <c r="P1922" t="s">
        <v>226</v>
      </c>
      <c r="Q1922" t="s">
        <v>95</v>
      </c>
      <c r="R1922" t="s">
        <v>1308</v>
      </c>
      <c r="S1922" s="33">
        <v>0</v>
      </c>
      <c r="T1922" s="13">
        <v>104.9</v>
      </c>
      <c r="U1922" s="13">
        <v>50.351999999999997</v>
      </c>
      <c r="V1922" s="21">
        <f>Table10[[#This Row],[Profit]]/Table10[[#This Row],[Sales]]</f>
        <v>0.47999999999999993</v>
      </c>
    </row>
    <row r="1923" spans="1:22" x14ac:dyDescent="0.2">
      <c r="A1923">
        <v>1922</v>
      </c>
      <c r="B1923" t="s">
        <v>6712</v>
      </c>
      <c r="C1923" s="1">
        <v>42679</v>
      </c>
      <c r="D1923" s="22">
        <f>MONTH(Table10[[#This Row],[Order Date]])</f>
        <v>11</v>
      </c>
      <c r="E1923" t="s">
        <v>6135</v>
      </c>
      <c r="F1923" t="s">
        <v>6136</v>
      </c>
      <c r="G1923" s="23" t="s">
        <v>41</v>
      </c>
      <c r="H1923" s="23" t="s">
        <v>61</v>
      </c>
      <c r="I1923" t="s">
        <v>5484</v>
      </c>
      <c r="J1923" t="s">
        <v>92</v>
      </c>
      <c r="K1923" s="22">
        <v>2</v>
      </c>
      <c r="L1923" s="1">
        <v>42684</v>
      </c>
      <c r="M1923" s="22">
        <f>Table10[[#This Row],[Ship Date]]-Table10[[#This Row],[Order Date]]</f>
        <v>5</v>
      </c>
      <c r="N1923" t="s">
        <v>45</v>
      </c>
      <c r="O1923" t="s">
        <v>23</v>
      </c>
      <c r="P1923" t="s">
        <v>226</v>
      </c>
      <c r="Q1923" t="s">
        <v>95</v>
      </c>
      <c r="R1923" t="s">
        <v>1308</v>
      </c>
      <c r="S1923" s="33">
        <v>0</v>
      </c>
      <c r="T1923" s="13">
        <v>39.68</v>
      </c>
      <c r="U1923" s="13">
        <v>16.268799999999999</v>
      </c>
      <c r="V1923" s="21">
        <f>Table10[[#This Row],[Profit]]/Table10[[#This Row],[Sales]]</f>
        <v>0.41</v>
      </c>
    </row>
    <row r="1924" spans="1:22" x14ac:dyDescent="0.2">
      <c r="A1924">
        <v>1923</v>
      </c>
      <c r="B1924" t="s">
        <v>6712</v>
      </c>
      <c r="C1924" s="1">
        <v>42679</v>
      </c>
      <c r="D1924" s="22">
        <f>MONTH(Table10[[#This Row],[Order Date]])</f>
        <v>11</v>
      </c>
      <c r="E1924" t="s">
        <v>6713</v>
      </c>
      <c r="F1924" t="s">
        <v>6714</v>
      </c>
      <c r="G1924" s="23" t="s">
        <v>41</v>
      </c>
      <c r="H1924" s="23" t="s">
        <v>42</v>
      </c>
      <c r="I1924" t="s">
        <v>5484</v>
      </c>
      <c r="J1924" t="s">
        <v>92</v>
      </c>
      <c r="K1924" s="22">
        <v>5</v>
      </c>
      <c r="L1924" s="1">
        <v>42684</v>
      </c>
      <c r="M1924" s="22">
        <f>Table10[[#This Row],[Ship Date]]-Table10[[#This Row],[Order Date]]</f>
        <v>5</v>
      </c>
      <c r="N1924" t="s">
        <v>45</v>
      </c>
      <c r="O1924" t="s">
        <v>23</v>
      </c>
      <c r="P1924" t="s">
        <v>226</v>
      </c>
      <c r="Q1924" t="s">
        <v>95</v>
      </c>
      <c r="R1924" t="s">
        <v>1308</v>
      </c>
      <c r="S1924" s="33">
        <v>0</v>
      </c>
      <c r="T1924" s="13">
        <v>51.75</v>
      </c>
      <c r="U1924" s="13">
        <v>24.84</v>
      </c>
      <c r="V1924" s="21">
        <f>Table10[[#This Row],[Profit]]/Table10[[#This Row],[Sales]]</f>
        <v>0.48</v>
      </c>
    </row>
    <row r="1925" spans="1:22" x14ac:dyDescent="0.2">
      <c r="A1925">
        <v>1924</v>
      </c>
      <c r="B1925" t="s">
        <v>7291</v>
      </c>
      <c r="C1925" s="1">
        <v>42679</v>
      </c>
      <c r="D1925" s="22">
        <f>MONTH(Table10[[#This Row],[Order Date]])</f>
        <v>11</v>
      </c>
      <c r="E1925" t="s">
        <v>4251</v>
      </c>
      <c r="F1925" t="s">
        <v>4252</v>
      </c>
      <c r="G1925" s="23" t="s">
        <v>41</v>
      </c>
      <c r="H1925" s="23" t="s">
        <v>68</v>
      </c>
      <c r="I1925" t="s">
        <v>731</v>
      </c>
      <c r="J1925" t="s">
        <v>22</v>
      </c>
      <c r="K1925" s="22">
        <v>2</v>
      </c>
      <c r="L1925" s="1">
        <v>42682</v>
      </c>
      <c r="M1925" s="22">
        <f>Table10[[#This Row],[Ship Date]]-Table10[[#This Row],[Order Date]]</f>
        <v>3</v>
      </c>
      <c r="N1925" t="s">
        <v>169</v>
      </c>
      <c r="O1925" t="s">
        <v>23</v>
      </c>
      <c r="P1925" t="s">
        <v>38</v>
      </c>
      <c r="Q1925" t="s">
        <v>39</v>
      </c>
      <c r="R1925" t="s">
        <v>114</v>
      </c>
      <c r="S1925" s="33">
        <v>0.2</v>
      </c>
      <c r="T1925" s="13">
        <v>53.247999999999998</v>
      </c>
      <c r="U1925" s="13">
        <v>19.968</v>
      </c>
      <c r="V1925" s="21">
        <f>Table10[[#This Row],[Profit]]/Table10[[#This Row],[Sales]]</f>
        <v>0.375</v>
      </c>
    </row>
    <row r="1926" spans="1:22" x14ac:dyDescent="0.2">
      <c r="A1926">
        <v>1925</v>
      </c>
      <c r="B1926" t="s">
        <v>7666</v>
      </c>
      <c r="C1926" s="1">
        <v>42679</v>
      </c>
      <c r="D1926" s="22">
        <f>MONTH(Table10[[#This Row],[Order Date]])</f>
        <v>11</v>
      </c>
      <c r="E1926" t="s">
        <v>1984</v>
      </c>
      <c r="F1926" t="s">
        <v>1985</v>
      </c>
      <c r="G1926" s="23" t="s">
        <v>41</v>
      </c>
      <c r="H1926" s="23" t="s">
        <v>42</v>
      </c>
      <c r="I1926" t="s">
        <v>3227</v>
      </c>
      <c r="J1926" t="s">
        <v>22</v>
      </c>
      <c r="K1926" s="22">
        <v>1</v>
      </c>
      <c r="L1926" s="1">
        <v>42679</v>
      </c>
      <c r="M1926" s="22">
        <f>Table10[[#This Row],[Ship Date]]-Table10[[#This Row],[Order Date]]</f>
        <v>0</v>
      </c>
      <c r="N1926" t="s">
        <v>1141</v>
      </c>
      <c r="O1926" t="s">
        <v>23</v>
      </c>
      <c r="P1926" t="s">
        <v>94</v>
      </c>
      <c r="Q1926" t="s">
        <v>95</v>
      </c>
      <c r="R1926" t="s">
        <v>1753</v>
      </c>
      <c r="S1926" s="33">
        <v>0.2</v>
      </c>
      <c r="T1926" s="13">
        <v>11.84</v>
      </c>
      <c r="U1926" s="13">
        <v>4.4400000000000004</v>
      </c>
      <c r="V1926" s="21">
        <f>Table10[[#This Row],[Profit]]/Table10[[#This Row],[Sales]]</f>
        <v>0.37500000000000006</v>
      </c>
    </row>
    <row r="1927" spans="1:22" x14ac:dyDescent="0.2">
      <c r="A1927">
        <v>1926</v>
      </c>
      <c r="B1927" t="s">
        <v>8414</v>
      </c>
      <c r="C1927" s="1">
        <v>42679</v>
      </c>
      <c r="D1927" s="22">
        <f>MONTH(Table10[[#This Row],[Order Date]])</f>
        <v>11</v>
      </c>
      <c r="E1927" t="s">
        <v>8415</v>
      </c>
      <c r="F1927" t="s">
        <v>8416</v>
      </c>
      <c r="G1927" s="23" t="s">
        <v>64</v>
      </c>
      <c r="H1927" s="23" t="s">
        <v>144</v>
      </c>
      <c r="I1927" t="s">
        <v>3079</v>
      </c>
      <c r="J1927" t="s">
        <v>22</v>
      </c>
      <c r="K1927" s="22">
        <v>4</v>
      </c>
      <c r="L1927" s="1">
        <v>42683</v>
      </c>
      <c r="M1927" s="22">
        <f>Table10[[#This Row],[Ship Date]]-Table10[[#This Row],[Order Date]]</f>
        <v>4</v>
      </c>
      <c r="N1927" t="s">
        <v>45</v>
      </c>
      <c r="O1927" t="s">
        <v>23</v>
      </c>
      <c r="P1927" t="s">
        <v>87</v>
      </c>
      <c r="Q1927" t="s">
        <v>39</v>
      </c>
      <c r="R1927" t="s">
        <v>86</v>
      </c>
      <c r="S1927" s="33">
        <v>0</v>
      </c>
      <c r="T1927" s="13">
        <v>479.72</v>
      </c>
      <c r="U1927" s="13">
        <v>52.769199999999998</v>
      </c>
      <c r="V1927" s="21">
        <f>Table10[[#This Row],[Profit]]/Table10[[#This Row],[Sales]]</f>
        <v>0.10999999999999999</v>
      </c>
    </row>
    <row r="1928" spans="1:22" x14ac:dyDescent="0.2">
      <c r="A1928">
        <v>1927</v>
      </c>
      <c r="B1928" t="s">
        <v>8632</v>
      </c>
      <c r="C1928" s="1">
        <v>42679</v>
      </c>
      <c r="D1928" s="22">
        <f>MONTH(Table10[[#This Row],[Order Date]])</f>
        <v>11</v>
      </c>
      <c r="E1928" t="s">
        <v>5981</v>
      </c>
      <c r="F1928" t="s">
        <v>5982</v>
      </c>
      <c r="G1928" s="23" t="s">
        <v>64</v>
      </c>
      <c r="H1928" s="23" t="s">
        <v>144</v>
      </c>
      <c r="I1928" t="s">
        <v>831</v>
      </c>
      <c r="J1928" t="s">
        <v>22</v>
      </c>
      <c r="K1928" s="22">
        <v>4</v>
      </c>
      <c r="L1928" s="1">
        <v>42681</v>
      </c>
      <c r="M1928" s="22">
        <f>Table10[[#This Row],[Ship Date]]-Table10[[#This Row],[Order Date]]</f>
        <v>2</v>
      </c>
      <c r="N1928" t="s">
        <v>20</v>
      </c>
      <c r="O1928" t="s">
        <v>23</v>
      </c>
      <c r="P1928" t="s">
        <v>38</v>
      </c>
      <c r="Q1928" t="s">
        <v>39</v>
      </c>
      <c r="R1928" t="s">
        <v>557</v>
      </c>
      <c r="S1928" s="33">
        <v>0</v>
      </c>
      <c r="T1928" s="13">
        <v>72</v>
      </c>
      <c r="U1928" s="13">
        <v>12.96</v>
      </c>
      <c r="V1928" s="21">
        <f>Table10[[#This Row],[Profit]]/Table10[[#This Row],[Sales]]</f>
        <v>0.18000000000000002</v>
      </c>
    </row>
    <row r="1929" spans="1:22" x14ac:dyDescent="0.2">
      <c r="A1929">
        <v>1928</v>
      </c>
      <c r="B1929" t="s">
        <v>8632</v>
      </c>
      <c r="C1929" s="1">
        <v>42679</v>
      </c>
      <c r="D1929" s="22">
        <f>MONTH(Table10[[#This Row],[Order Date]])</f>
        <v>11</v>
      </c>
      <c r="E1929" t="s">
        <v>5476</v>
      </c>
      <c r="F1929" t="s">
        <v>5477</v>
      </c>
      <c r="G1929" s="23" t="s">
        <v>28</v>
      </c>
      <c r="H1929" s="23" t="s">
        <v>32</v>
      </c>
      <c r="I1929" t="s">
        <v>831</v>
      </c>
      <c r="J1929" t="s">
        <v>22</v>
      </c>
      <c r="K1929" s="22">
        <v>2</v>
      </c>
      <c r="L1929" s="1">
        <v>42681</v>
      </c>
      <c r="M1929" s="22">
        <f>Table10[[#This Row],[Ship Date]]-Table10[[#This Row],[Order Date]]</f>
        <v>2</v>
      </c>
      <c r="N1929" t="s">
        <v>20</v>
      </c>
      <c r="O1929" t="s">
        <v>23</v>
      </c>
      <c r="P1929" t="s">
        <v>38</v>
      </c>
      <c r="Q1929" t="s">
        <v>39</v>
      </c>
      <c r="R1929" t="s">
        <v>557</v>
      </c>
      <c r="S1929" s="33">
        <v>0.2</v>
      </c>
      <c r="T1929" s="13">
        <v>113.88800000000001</v>
      </c>
      <c r="U1929" s="13">
        <v>9.9651999999999994</v>
      </c>
      <c r="V1929" s="21">
        <f>Table10[[#This Row],[Profit]]/Table10[[#This Row],[Sales]]</f>
        <v>8.7499999999999994E-2</v>
      </c>
    </row>
    <row r="1930" spans="1:22" x14ac:dyDescent="0.2">
      <c r="A1930">
        <v>1929</v>
      </c>
      <c r="B1930" t="s">
        <v>8632</v>
      </c>
      <c r="C1930" s="1">
        <v>42679</v>
      </c>
      <c r="D1930" s="22">
        <f>MONTH(Table10[[#This Row],[Order Date]])</f>
        <v>11</v>
      </c>
      <c r="E1930" t="s">
        <v>1511</v>
      </c>
      <c r="F1930" t="s">
        <v>1512</v>
      </c>
      <c r="G1930" s="23" t="s">
        <v>41</v>
      </c>
      <c r="H1930" s="23" t="s">
        <v>155</v>
      </c>
      <c r="I1930" t="s">
        <v>831</v>
      </c>
      <c r="J1930" t="s">
        <v>22</v>
      </c>
      <c r="K1930" s="22">
        <v>3</v>
      </c>
      <c r="L1930" s="1">
        <v>42681</v>
      </c>
      <c r="M1930" s="22">
        <f>Table10[[#This Row],[Ship Date]]-Table10[[#This Row],[Order Date]]</f>
        <v>2</v>
      </c>
      <c r="N1930" t="s">
        <v>20</v>
      </c>
      <c r="O1930" t="s">
        <v>23</v>
      </c>
      <c r="P1930" t="s">
        <v>38</v>
      </c>
      <c r="Q1930" t="s">
        <v>39</v>
      </c>
      <c r="R1930" t="s">
        <v>557</v>
      </c>
      <c r="S1930" s="33">
        <v>0</v>
      </c>
      <c r="T1930" s="13">
        <v>158.13</v>
      </c>
      <c r="U1930" s="13">
        <v>77.483699999999999</v>
      </c>
      <c r="V1930" s="21">
        <f>Table10[[#This Row],[Profit]]/Table10[[#This Row],[Sales]]</f>
        <v>0.49</v>
      </c>
    </row>
    <row r="1931" spans="1:22" x14ac:dyDescent="0.2">
      <c r="A1931">
        <v>1930</v>
      </c>
      <c r="B1931" t="s">
        <v>9558</v>
      </c>
      <c r="C1931" s="1">
        <v>42679</v>
      </c>
      <c r="D1931" s="22">
        <f>MONTH(Table10[[#This Row],[Order Date]])</f>
        <v>11</v>
      </c>
      <c r="E1931" t="s">
        <v>5017</v>
      </c>
      <c r="F1931" t="s">
        <v>5018</v>
      </c>
      <c r="G1931" s="23" t="s">
        <v>28</v>
      </c>
      <c r="H1931" s="23" t="s">
        <v>58</v>
      </c>
      <c r="I1931" t="s">
        <v>7050</v>
      </c>
      <c r="J1931" t="s">
        <v>22</v>
      </c>
      <c r="K1931" s="22">
        <v>2</v>
      </c>
      <c r="L1931" s="1">
        <v>42681</v>
      </c>
      <c r="M1931" s="22">
        <f>Table10[[#This Row],[Ship Date]]-Table10[[#This Row],[Order Date]]</f>
        <v>2</v>
      </c>
      <c r="N1931" t="s">
        <v>169</v>
      </c>
      <c r="O1931" t="s">
        <v>23</v>
      </c>
      <c r="P1931" t="s">
        <v>285</v>
      </c>
      <c r="Q1931" t="s">
        <v>26</v>
      </c>
      <c r="R1931" t="s">
        <v>2621</v>
      </c>
      <c r="S1931" s="33">
        <v>0</v>
      </c>
      <c r="T1931" s="13">
        <v>273.95999999999998</v>
      </c>
      <c r="U1931" s="13">
        <v>71.229600000000005</v>
      </c>
      <c r="V1931" s="21">
        <f>Table10[[#This Row],[Profit]]/Table10[[#This Row],[Sales]]</f>
        <v>0.26000000000000006</v>
      </c>
    </row>
    <row r="1932" spans="1:22" x14ac:dyDescent="0.2">
      <c r="A1932">
        <v>1931</v>
      </c>
      <c r="B1932" t="s">
        <v>9558</v>
      </c>
      <c r="C1932" s="1">
        <v>42679</v>
      </c>
      <c r="D1932" s="22">
        <f>MONTH(Table10[[#This Row],[Order Date]])</f>
        <v>11</v>
      </c>
      <c r="E1932" t="s">
        <v>2168</v>
      </c>
      <c r="F1932" t="s">
        <v>2169</v>
      </c>
      <c r="G1932" s="23" t="s">
        <v>64</v>
      </c>
      <c r="H1932" s="23" t="s">
        <v>144</v>
      </c>
      <c r="I1932" t="s">
        <v>7050</v>
      </c>
      <c r="J1932" t="s">
        <v>22</v>
      </c>
      <c r="K1932" s="22">
        <v>3</v>
      </c>
      <c r="L1932" s="1">
        <v>42681</v>
      </c>
      <c r="M1932" s="22">
        <f>Table10[[#This Row],[Ship Date]]-Table10[[#This Row],[Order Date]]</f>
        <v>2</v>
      </c>
      <c r="N1932" t="s">
        <v>169</v>
      </c>
      <c r="O1932" t="s">
        <v>23</v>
      </c>
      <c r="P1932" t="s">
        <v>285</v>
      </c>
      <c r="Q1932" t="s">
        <v>26</v>
      </c>
      <c r="R1932" t="s">
        <v>2621</v>
      </c>
      <c r="S1932" s="33">
        <v>0</v>
      </c>
      <c r="T1932" s="13">
        <v>89.97</v>
      </c>
      <c r="U1932" s="13">
        <v>18.893699999999999</v>
      </c>
      <c r="V1932" s="21">
        <f>Table10[[#This Row],[Profit]]/Table10[[#This Row],[Sales]]</f>
        <v>0.21</v>
      </c>
    </row>
    <row r="1933" spans="1:22" x14ac:dyDescent="0.2">
      <c r="A1933">
        <v>1932</v>
      </c>
      <c r="B1933" t="s">
        <v>9558</v>
      </c>
      <c r="C1933" s="1">
        <v>42679</v>
      </c>
      <c r="D1933" s="22">
        <f>MONTH(Table10[[#This Row],[Order Date]])</f>
        <v>11</v>
      </c>
      <c r="E1933" t="s">
        <v>8566</v>
      </c>
      <c r="F1933" t="s">
        <v>8567</v>
      </c>
      <c r="G1933" s="23" t="s">
        <v>28</v>
      </c>
      <c r="H1933" s="23" t="s">
        <v>58</v>
      </c>
      <c r="I1933" t="s">
        <v>7050</v>
      </c>
      <c r="J1933" t="s">
        <v>22</v>
      </c>
      <c r="K1933" s="22">
        <v>5</v>
      </c>
      <c r="L1933" s="1">
        <v>42681</v>
      </c>
      <c r="M1933" s="22">
        <f>Table10[[#This Row],[Ship Date]]-Table10[[#This Row],[Order Date]]</f>
        <v>2</v>
      </c>
      <c r="N1933" t="s">
        <v>169</v>
      </c>
      <c r="O1933" t="s">
        <v>23</v>
      </c>
      <c r="P1933" t="s">
        <v>285</v>
      </c>
      <c r="Q1933" t="s">
        <v>26</v>
      </c>
      <c r="R1933" t="s">
        <v>2621</v>
      </c>
      <c r="S1933" s="33">
        <v>0</v>
      </c>
      <c r="T1933" s="13">
        <v>756.8</v>
      </c>
      <c r="U1933" s="13">
        <v>75.680000000000007</v>
      </c>
      <c r="V1933" s="21">
        <f>Table10[[#This Row],[Profit]]/Table10[[#This Row],[Sales]]</f>
        <v>0.10000000000000002</v>
      </c>
    </row>
    <row r="1934" spans="1:22" x14ac:dyDescent="0.2">
      <c r="A1934">
        <v>1933</v>
      </c>
      <c r="B1934" t="s">
        <v>486</v>
      </c>
      <c r="C1934" s="1">
        <v>42680</v>
      </c>
      <c r="D1934" s="22">
        <f>MONTH(Table10[[#This Row],[Order Date]])</f>
        <v>11</v>
      </c>
      <c r="E1934" t="s">
        <v>272</v>
      </c>
      <c r="F1934" t="s">
        <v>488</v>
      </c>
      <c r="G1934" s="23" t="s">
        <v>28</v>
      </c>
      <c r="H1934" s="23" t="s">
        <v>32</v>
      </c>
      <c r="I1934" t="s">
        <v>487</v>
      </c>
      <c r="J1934" t="s">
        <v>92</v>
      </c>
      <c r="K1934" s="22">
        <v>2</v>
      </c>
      <c r="L1934" s="1">
        <v>42684</v>
      </c>
      <c r="M1934" s="22">
        <f>Table10[[#This Row],[Ship Date]]-Table10[[#This Row],[Order Date]]</f>
        <v>4</v>
      </c>
      <c r="N1934" t="s">
        <v>20</v>
      </c>
      <c r="O1934" t="s">
        <v>23</v>
      </c>
      <c r="P1934" t="s">
        <v>38</v>
      </c>
      <c r="Q1934" t="s">
        <v>39</v>
      </c>
      <c r="R1934" t="s">
        <v>37</v>
      </c>
      <c r="S1934" s="33">
        <v>0.2</v>
      </c>
      <c r="T1934" s="13">
        <v>81.424000000000007</v>
      </c>
      <c r="U1934" s="13">
        <v>-9.1601999999999997</v>
      </c>
      <c r="V1934" s="21">
        <f>Table10[[#This Row],[Profit]]/Table10[[#This Row],[Sales]]</f>
        <v>-0.11249999999999999</v>
      </c>
    </row>
    <row r="1935" spans="1:22" x14ac:dyDescent="0.2">
      <c r="A1935">
        <v>1934</v>
      </c>
      <c r="B1935" t="s">
        <v>486</v>
      </c>
      <c r="C1935" s="1">
        <v>42680</v>
      </c>
      <c r="D1935" s="22">
        <f>MONTH(Table10[[#This Row],[Order Date]])</f>
        <v>11</v>
      </c>
      <c r="E1935" t="s">
        <v>489</v>
      </c>
      <c r="F1935" t="s">
        <v>490</v>
      </c>
      <c r="G1935" s="23" t="s">
        <v>28</v>
      </c>
      <c r="H1935" s="23" t="s">
        <v>58</v>
      </c>
      <c r="I1935" t="s">
        <v>487</v>
      </c>
      <c r="J1935" t="s">
        <v>92</v>
      </c>
      <c r="K1935" s="22">
        <v>3</v>
      </c>
      <c r="L1935" s="1">
        <v>42684</v>
      </c>
      <c r="M1935" s="22">
        <f>Table10[[#This Row],[Ship Date]]-Table10[[#This Row],[Order Date]]</f>
        <v>4</v>
      </c>
      <c r="N1935" t="s">
        <v>20</v>
      </c>
      <c r="O1935" t="s">
        <v>23</v>
      </c>
      <c r="P1935" t="s">
        <v>38</v>
      </c>
      <c r="Q1935" t="s">
        <v>39</v>
      </c>
      <c r="R1935" t="s">
        <v>37</v>
      </c>
      <c r="S1935" s="33">
        <v>0</v>
      </c>
      <c r="T1935" s="13">
        <v>238.56</v>
      </c>
      <c r="U1935" s="13">
        <v>26.241599999999998</v>
      </c>
      <c r="V1935" s="21">
        <f>Table10[[#This Row],[Profit]]/Table10[[#This Row],[Sales]]</f>
        <v>0.10999999999999999</v>
      </c>
    </row>
    <row r="1936" spans="1:22" x14ac:dyDescent="0.2">
      <c r="A1936">
        <v>1935</v>
      </c>
      <c r="B1936" t="s">
        <v>7153</v>
      </c>
      <c r="C1936" s="1">
        <v>42680</v>
      </c>
      <c r="D1936" s="22">
        <f>MONTH(Table10[[#This Row],[Order Date]])</f>
        <v>11</v>
      </c>
      <c r="E1936" t="s">
        <v>300</v>
      </c>
      <c r="F1936" t="s">
        <v>301</v>
      </c>
      <c r="G1936" s="23" t="s">
        <v>28</v>
      </c>
      <c r="H1936" s="23" t="s">
        <v>32</v>
      </c>
      <c r="I1936" t="s">
        <v>953</v>
      </c>
      <c r="J1936" t="s">
        <v>36</v>
      </c>
      <c r="K1936" s="22">
        <v>2</v>
      </c>
      <c r="L1936" s="1">
        <v>42683</v>
      </c>
      <c r="M1936" s="22">
        <f>Table10[[#This Row],[Ship Date]]-Table10[[#This Row],[Order Date]]</f>
        <v>3</v>
      </c>
      <c r="N1936" t="s">
        <v>169</v>
      </c>
      <c r="O1936" t="s">
        <v>23</v>
      </c>
      <c r="P1936" t="s">
        <v>48</v>
      </c>
      <c r="Q1936" t="s">
        <v>26</v>
      </c>
      <c r="R1936" t="s">
        <v>1345</v>
      </c>
      <c r="S1936" s="33">
        <v>0.2</v>
      </c>
      <c r="T1936" s="13">
        <v>207.98400000000001</v>
      </c>
      <c r="U1936" s="13">
        <v>-28.597799999999999</v>
      </c>
      <c r="V1936" s="21">
        <f>Table10[[#This Row],[Profit]]/Table10[[#This Row],[Sales]]</f>
        <v>-0.13749999999999998</v>
      </c>
    </row>
    <row r="1937" spans="1:22" x14ac:dyDescent="0.2">
      <c r="A1937">
        <v>1936</v>
      </c>
      <c r="B1937" t="s">
        <v>7153</v>
      </c>
      <c r="C1937" s="1">
        <v>42680</v>
      </c>
      <c r="D1937" s="22">
        <f>MONTH(Table10[[#This Row],[Order Date]])</f>
        <v>11</v>
      </c>
      <c r="E1937" t="s">
        <v>5347</v>
      </c>
      <c r="F1937" t="s">
        <v>5348</v>
      </c>
      <c r="G1937" s="23" t="s">
        <v>41</v>
      </c>
      <c r="H1937" s="23" t="s">
        <v>82</v>
      </c>
      <c r="I1937" t="s">
        <v>953</v>
      </c>
      <c r="J1937" t="s">
        <v>36</v>
      </c>
      <c r="K1937" s="22">
        <v>2</v>
      </c>
      <c r="L1937" s="1">
        <v>42683</v>
      </c>
      <c r="M1937" s="22">
        <f>Table10[[#This Row],[Ship Date]]-Table10[[#This Row],[Order Date]]</f>
        <v>3</v>
      </c>
      <c r="N1937" t="s">
        <v>169</v>
      </c>
      <c r="O1937" t="s">
        <v>23</v>
      </c>
      <c r="P1937" t="s">
        <v>48</v>
      </c>
      <c r="Q1937" t="s">
        <v>26</v>
      </c>
      <c r="R1937" t="s">
        <v>1345</v>
      </c>
      <c r="S1937" s="33">
        <v>0.2</v>
      </c>
      <c r="T1937" s="13">
        <v>36.112000000000002</v>
      </c>
      <c r="U1937" s="13">
        <v>12.639200000000001</v>
      </c>
      <c r="V1937" s="21">
        <f>Table10[[#This Row],[Profit]]/Table10[[#This Row],[Sales]]</f>
        <v>0.35</v>
      </c>
    </row>
    <row r="1938" spans="1:22" x14ac:dyDescent="0.2">
      <c r="A1938">
        <v>1937</v>
      </c>
      <c r="B1938" t="s">
        <v>7153</v>
      </c>
      <c r="C1938" s="1">
        <v>42680</v>
      </c>
      <c r="D1938" s="22">
        <f>MONTH(Table10[[#This Row],[Order Date]])</f>
        <v>11</v>
      </c>
      <c r="E1938" t="s">
        <v>2207</v>
      </c>
      <c r="F1938" t="s">
        <v>2208</v>
      </c>
      <c r="G1938" s="23" t="s">
        <v>28</v>
      </c>
      <c r="H1938" s="23" t="s">
        <v>58</v>
      </c>
      <c r="I1938" t="s">
        <v>953</v>
      </c>
      <c r="J1938" t="s">
        <v>36</v>
      </c>
      <c r="K1938" s="22">
        <v>2</v>
      </c>
      <c r="L1938" s="1">
        <v>42683</v>
      </c>
      <c r="M1938" s="22">
        <f>Table10[[#This Row],[Ship Date]]-Table10[[#This Row],[Order Date]]</f>
        <v>3</v>
      </c>
      <c r="N1938" t="s">
        <v>169</v>
      </c>
      <c r="O1938" t="s">
        <v>23</v>
      </c>
      <c r="P1938" t="s">
        <v>48</v>
      </c>
      <c r="Q1938" t="s">
        <v>26</v>
      </c>
      <c r="R1938" t="s">
        <v>1345</v>
      </c>
      <c r="S1938" s="33">
        <v>0.2</v>
      </c>
      <c r="T1938" s="13">
        <v>35.567999999999998</v>
      </c>
      <c r="U1938" s="13">
        <v>5.7797999999999998</v>
      </c>
      <c r="V1938" s="21">
        <f>Table10[[#This Row],[Profit]]/Table10[[#This Row],[Sales]]</f>
        <v>0.16250000000000001</v>
      </c>
    </row>
    <row r="1939" spans="1:22" x14ac:dyDescent="0.2">
      <c r="A1939">
        <v>1938</v>
      </c>
      <c r="B1939" t="s">
        <v>7153</v>
      </c>
      <c r="C1939" s="1">
        <v>42680</v>
      </c>
      <c r="D1939" s="22">
        <f>MONTH(Table10[[#This Row],[Order Date]])</f>
        <v>11</v>
      </c>
      <c r="E1939" t="s">
        <v>1439</v>
      </c>
      <c r="F1939" t="s">
        <v>1440</v>
      </c>
      <c r="G1939" s="23" t="s">
        <v>41</v>
      </c>
      <c r="H1939" s="23" t="s">
        <v>82</v>
      </c>
      <c r="I1939" t="s">
        <v>953</v>
      </c>
      <c r="J1939" t="s">
        <v>36</v>
      </c>
      <c r="K1939" s="22">
        <v>2</v>
      </c>
      <c r="L1939" s="1">
        <v>42683</v>
      </c>
      <c r="M1939" s="22">
        <f>Table10[[#This Row],[Ship Date]]-Table10[[#This Row],[Order Date]]</f>
        <v>3</v>
      </c>
      <c r="N1939" t="s">
        <v>169</v>
      </c>
      <c r="O1939" t="s">
        <v>23</v>
      </c>
      <c r="P1939" t="s">
        <v>48</v>
      </c>
      <c r="Q1939" t="s">
        <v>26</v>
      </c>
      <c r="R1939" t="s">
        <v>1345</v>
      </c>
      <c r="S1939" s="33">
        <v>0.2</v>
      </c>
      <c r="T1939" s="13">
        <v>88.768000000000001</v>
      </c>
      <c r="U1939" s="13">
        <v>31.0688</v>
      </c>
      <c r="V1939" s="21">
        <f>Table10[[#This Row],[Profit]]/Table10[[#This Row],[Sales]]</f>
        <v>0.35</v>
      </c>
    </row>
    <row r="1940" spans="1:22" x14ac:dyDescent="0.2">
      <c r="A1940">
        <v>1939</v>
      </c>
      <c r="B1940" t="s">
        <v>7159</v>
      </c>
      <c r="C1940" s="1">
        <v>42680</v>
      </c>
      <c r="D1940" s="22">
        <f>MONTH(Table10[[#This Row],[Order Date]])</f>
        <v>11</v>
      </c>
      <c r="E1940" t="s">
        <v>354</v>
      </c>
      <c r="F1940" t="s">
        <v>355</v>
      </c>
      <c r="G1940" s="23" t="s">
        <v>41</v>
      </c>
      <c r="H1940" s="23" t="s">
        <v>53</v>
      </c>
      <c r="I1940" t="s">
        <v>85</v>
      </c>
      <c r="J1940" t="s">
        <v>22</v>
      </c>
      <c r="K1940" s="22">
        <v>3</v>
      </c>
      <c r="L1940" s="1">
        <v>42684</v>
      </c>
      <c r="M1940" s="22">
        <f>Table10[[#This Row],[Ship Date]]-Table10[[#This Row],[Order Date]]</f>
        <v>4</v>
      </c>
      <c r="N1940" t="s">
        <v>20</v>
      </c>
      <c r="O1940" t="s">
        <v>23</v>
      </c>
      <c r="P1940" t="s">
        <v>38</v>
      </c>
      <c r="Q1940" t="s">
        <v>39</v>
      </c>
      <c r="R1940" t="s">
        <v>836</v>
      </c>
      <c r="S1940" s="33">
        <v>0</v>
      </c>
      <c r="T1940" s="13">
        <v>84.84</v>
      </c>
      <c r="U1940" s="13">
        <v>22.9068</v>
      </c>
      <c r="V1940" s="21">
        <f>Table10[[#This Row],[Profit]]/Table10[[#This Row],[Sales]]</f>
        <v>0.27</v>
      </c>
    </row>
    <row r="1941" spans="1:22" x14ac:dyDescent="0.2">
      <c r="A1941">
        <v>1940</v>
      </c>
      <c r="B1941" t="s">
        <v>592</v>
      </c>
      <c r="C1941" s="1">
        <v>42681</v>
      </c>
      <c r="D1941" s="22">
        <f>MONTH(Table10[[#This Row],[Order Date]])</f>
        <v>11</v>
      </c>
      <c r="E1941" t="s">
        <v>594</v>
      </c>
      <c r="F1941" t="s">
        <v>595</v>
      </c>
      <c r="G1941" s="23" t="s">
        <v>41</v>
      </c>
      <c r="H1941" s="23" t="s">
        <v>68</v>
      </c>
      <c r="I1941" t="s">
        <v>593</v>
      </c>
      <c r="J1941" t="s">
        <v>22</v>
      </c>
      <c r="K1941" s="22">
        <v>2</v>
      </c>
      <c r="L1941" s="1">
        <v>42685</v>
      </c>
      <c r="M1941" s="22">
        <f>Table10[[#This Row],[Ship Date]]-Table10[[#This Row],[Order Date]]</f>
        <v>4</v>
      </c>
      <c r="N1941" t="s">
        <v>45</v>
      </c>
      <c r="O1941" t="s">
        <v>23</v>
      </c>
      <c r="P1941" t="s">
        <v>87</v>
      </c>
      <c r="Q1941" t="s">
        <v>39</v>
      </c>
      <c r="R1941" t="s">
        <v>86</v>
      </c>
      <c r="S1941" s="33">
        <v>0.2</v>
      </c>
      <c r="T1941" s="13">
        <v>27.68</v>
      </c>
      <c r="U1941" s="13">
        <v>9.6880000000000006</v>
      </c>
      <c r="V1941" s="21">
        <f>Table10[[#This Row],[Profit]]/Table10[[#This Row],[Sales]]</f>
        <v>0.35000000000000003</v>
      </c>
    </row>
    <row r="1942" spans="1:22" x14ac:dyDescent="0.2">
      <c r="A1942">
        <v>1941</v>
      </c>
      <c r="B1942" t="s">
        <v>2301</v>
      </c>
      <c r="C1942" s="1">
        <v>42681</v>
      </c>
      <c r="D1942" s="22">
        <f>MONTH(Table10[[#This Row],[Order Date]])</f>
        <v>11</v>
      </c>
      <c r="E1942" t="s">
        <v>2303</v>
      </c>
      <c r="F1942" t="s">
        <v>2304</v>
      </c>
      <c r="G1942" s="23" t="s">
        <v>41</v>
      </c>
      <c r="H1942" s="23" t="s">
        <v>68</v>
      </c>
      <c r="I1942" t="s">
        <v>2302</v>
      </c>
      <c r="J1942" t="s">
        <v>36</v>
      </c>
      <c r="K1942" s="22">
        <v>4</v>
      </c>
      <c r="L1942" s="1">
        <v>42683</v>
      </c>
      <c r="M1942" s="22">
        <f>Table10[[#This Row],[Ship Date]]-Table10[[#This Row],[Order Date]]</f>
        <v>2</v>
      </c>
      <c r="N1942" t="s">
        <v>169</v>
      </c>
      <c r="O1942" t="s">
        <v>23</v>
      </c>
      <c r="P1942" t="s">
        <v>38</v>
      </c>
      <c r="Q1942" t="s">
        <v>39</v>
      </c>
      <c r="R1942" t="s">
        <v>37</v>
      </c>
      <c r="S1942" s="33">
        <v>0.2</v>
      </c>
      <c r="T1942" s="13">
        <v>37.44</v>
      </c>
      <c r="U1942" s="13">
        <v>11.7</v>
      </c>
      <c r="V1942" s="21">
        <f>Table10[[#This Row],[Profit]]/Table10[[#This Row],[Sales]]</f>
        <v>0.3125</v>
      </c>
    </row>
    <row r="1943" spans="1:22" x14ac:dyDescent="0.2">
      <c r="A1943">
        <v>1942</v>
      </c>
      <c r="B1943" t="s">
        <v>2301</v>
      </c>
      <c r="C1943" s="1">
        <v>42681</v>
      </c>
      <c r="D1943" s="22">
        <f>MONTH(Table10[[#This Row],[Order Date]])</f>
        <v>11</v>
      </c>
      <c r="E1943" t="s">
        <v>2305</v>
      </c>
      <c r="F1943" t="s">
        <v>2306</v>
      </c>
      <c r="G1943" s="23" t="s">
        <v>41</v>
      </c>
      <c r="H1943" s="23" t="s">
        <v>68</v>
      </c>
      <c r="I1943" t="s">
        <v>2302</v>
      </c>
      <c r="J1943" t="s">
        <v>36</v>
      </c>
      <c r="K1943" s="22">
        <v>4</v>
      </c>
      <c r="L1943" s="1">
        <v>42683</v>
      </c>
      <c r="M1943" s="22">
        <f>Table10[[#This Row],[Ship Date]]-Table10[[#This Row],[Order Date]]</f>
        <v>2</v>
      </c>
      <c r="N1943" t="s">
        <v>169</v>
      </c>
      <c r="O1943" t="s">
        <v>23</v>
      </c>
      <c r="P1943" t="s">
        <v>38</v>
      </c>
      <c r="Q1943" t="s">
        <v>39</v>
      </c>
      <c r="R1943" t="s">
        <v>37</v>
      </c>
      <c r="S1943" s="33">
        <v>0.2</v>
      </c>
      <c r="T1943" s="13">
        <v>26.975999999999999</v>
      </c>
      <c r="U1943" s="13">
        <v>8.7672000000000008</v>
      </c>
      <c r="V1943" s="21">
        <f>Table10[[#This Row],[Profit]]/Table10[[#This Row],[Sales]]</f>
        <v>0.32500000000000007</v>
      </c>
    </row>
    <row r="1944" spans="1:22" x14ac:dyDescent="0.2">
      <c r="A1944">
        <v>1943</v>
      </c>
      <c r="B1944" t="s">
        <v>2301</v>
      </c>
      <c r="C1944" s="1">
        <v>42681</v>
      </c>
      <c r="D1944" s="22">
        <f>MONTH(Table10[[#This Row],[Order Date]])</f>
        <v>11</v>
      </c>
      <c r="E1944" t="s">
        <v>2307</v>
      </c>
      <c r="F1944" t="s">
        <v>2308</v>
      </c>
      <c r="G1944" s="23" t="s">
        <v>41</v>
      </c>
      <c r="H1944" s="23" t="s">
        <v>513</v>
      </c>
      <c r="I1944" t="s">
        <v>2302</v>
      </c>
      <c r="J1944" t="s">
        <v>36</v>
      </c>
      <c r="K1944" s="22">
        <v>2</v>
      </c>
      <c r="L1944" s="1">
        <v>42683</v>
      </c>
      <c r="M1944" s="22">
        <f>Table10[[#This Row],[Ship Date]]-Table10[[#This Row],[Order Date]]</f>
        <v>2</v>
      </c>
      <c r="N1944" t="s">
        <v>169</v>
      </c>
      <c r="O1944" t="s">
        <v>23</v>
      </c>
      <c r="P1944" t="s">
        <v>38</v>
      </c>
      <c r="Q1944" t="s">
        <v>39</v>
      </c>
      <c r="R1944" t="s">
        <v>37</v>
      </c>
      <c r="S1944" s="33">
        <v>0</v>
      </c>
      <c r="T1944" s="13">
        <v>11.36</v>
      </c>
      <c r="U1944" s="13">
        <v>3.2944</v>
      </c>
      <c r="V1944" s="21">
        <f>Table10[[#This Row],[Profit]]/Table10[[#This Row],[Sales]]</f>
        <v>0.29000000000000004</v>
      </c>
    </row>
    <row r="1945" spans="1:22" x14ac:dyDescent="0.2">
      <c r="A1945">
        <v>1944</v>
      </c>
      <c r="B1945" t="s">
        <v>2301</v>
      </c>
      <c r="C1945" s="1">
        <v>42681</v>
      </c>
      <c r="D1945" s="22">
        <f>MONTH(Table10[[#This Row],[Order Date]])</f>
        <v>11</v>
      </c>
      <c r="E1945" t="s">
        <v>2309</v>
      </c>
      <c r="F1945" t="s">
        <v>2310</v>
      </c>
      <c r="G1945" s="23" t="s">
        <v>41</v>
      </c>
      <c r="H1945" s="23" t="s">
        <v>42</v>
      </c>
      <c r="I1945" t="s">
        <v>2302</v>
      </c>
      <c r="J1945" t="s">
        <v>36</v>
      </c>
      <c r="K1945" s="22">
        <v>2</v>
      </c>
      <c r="L1945" s="1">
        <v>42683</v>
      </c>
      <c r="M1945" s="22">
        <f>Table10[[#This Row],[Ship Date]]-Table10[[#This Row],[Order Date]]</f>
        <v>2</v>
      </c>
      <c r="N1945" t="s">
        <v>169</v>
      </c>
      <c r="O1945" t="s">
        <v>23</v>
      </c>
      <c r="P1945" t="s">
        <v>38</v>
      </c>
      <c r="Q1945" t="s">
        <v>39</v>
      </c>
      <c r="R1945" t="s">
        <v>37</v>
      </c>
      <c r="S1945" s="33">
        <v>0</v>
      </c>
      <c r="T1945" s="13">
        <v>14.62</v>
      </c>
      <c r="U1945" s="13">
        <v>6.8714000000000004</v>
      </c>
      <c r="V1945" s="21">
        <f>Table10[[#This Row],[Profit]]/Table10[[#This Row],[Sales]]</f>
        <v>0.47000000000000003</v>
      </c>
    </row>
    <row r="1946" spans="1:22" x14ac:dyDescent="0.2">
      <c r="A1946">
        <v>1945</v>
      </c>
      <c r="B1946" t="s">
        <v>3849</v>
      </c>
      <c r="C1946" s="1">
        <v>42681</v>
      </c>
      <c r="D1946" s="22">
        <f>MONTH(Table10[[#This Row],[Order Date]])</f>
        <v>11</v>
      </c>
      <c r="E1946" t="s">
        <v>2153</v>
      </c>
      <c r="F1946" t="s">
        <v>2154</v>
      </c>
      <c r="G1946" s="23" t="s">
        <v>28</v>
      </c>
      <c r="H1946" s="23" t="s">
        <v>58</v>
      </c>
      <c r="I1946" t="s">
        <v>877</v>
      </c>
      <c r="J1946" t="s">
        <v>36</v>
      </c>
      <c r="K1946" s="22">
        <v>3</v>
      </c>
      <c r="L1946" s="1">
        <v>42686</v>
      </c>
      <c r="M1946" s="22">
        <f>Table10[[#This Row],[Ship Date]]-Table10[[#This Row],[Order Date]]</f>
        <v>5</v>
      </c>
      <c r="N1946" t="s">
        <v>45</v>
      </c>
      <c r="O1946" t="s">
        <v>23</v>
      </c>
      <c r="P1946" t="s">
        <v>38</v>
      </c>
      <c r="Q1946" t="s">
        <v>39</v>
      </c>
      <c r="R1946" t="s">
        <v>114</v>
      </c>
      <c r="S1946" s="33">
        <v>0</v>
      </c>
      <c r="T1946" s="13">
        <v>14.82</v>
      </c>
      <c r="U1946" s="13">
        <v>6.2244000000000002</v>
      </c>
      <c r="V1946" s="21">
        <f>Table10[[#This Row],[Profit]]/Table10[[#This Row],[Sales]]</f>
        <v>0.42</v>
      </c>
    </row>
    <row r="1947" spans="1:22" x14ac:dyDescent="0.2">
      <c r="A1947">
        <v>1946</v>
      </c>
      <c r="B1947" t="s">
        <v>5594</v>
      </c>
      <c r="C1947" s="1">
        <v>42681</v>
      </c>
      <c r="D1947" s="22">
        <f>MONTH(Table10[[#This Row],[Order Date]])</f>
        <v>11</v>
      </c>
      <c r="E1947" t="s">
        <v>4387</v>
      </c>
      <c r="F1947" t="s">
        <v>4388</v>
      </c>
      <c r="G1947" s="23" t="s">
        <v>64</v>
      </c>
      <c r="H1947" s="23" t="s">
        <v>144</v>
      </c>
      <c r="I1947" t="s">
        <v>5370</v>
      </c>
      <c r="J1947" t="s">
        <v>36</v>
      </c>
      <c r="K1947" s="22">
        <v>3</v>
      </c>
      <c r="L1947" s="1">
        <v>42686</v>
      </c>
      <c r="M1947" s="22">
        <f>Table10[[#This Row],[Ship Date]]-Table10[[#This Row],[Order Date]]</f>
        <v>5</v>
      </c>
      <c r="N1947" t="s">
        <v>45</v>
      </c>
      <c r="O1947" t="s">
        <v>23</v>
      </c>
      <c r="P1947" t="s">
        <v>441</v>
      </c>
      <c r="Q1947" t="s">
        <v>133</v>
      </c>
      <c r="R1947" t="s">
        <v>536</v>
      </c>
      <c r="S1947" s="33">
        <v>0.2</v>
      </c>
      <c r="T1947" s="13">
        <v>119.976</v>
      </c>
      <c r="U1947" s="13">
        <v>22.4955</v>
      </c>
      <c r="V1947" s="21">
        <f>Table10[[#This Row],[Profit]]/Table10[[#This Row],[Sales]]</f>
        <v>0.1875</v>
      </c>
    </row>
    <row r="1948" spans="1:22" x14ac:dyDescent="0.2">
      <c r="A1948">
        <v>1947</v>
      </c>
      <c r="B1948" t="s">
        <v>7067</v>
      </c>
      <c r="C1948" s="1">
        <v>42681</v>
      </c>
      <c r="D1948" s="22">
        <f>MONTH(Table10[[#This Row],[Order Date]])</f>
        <v>11</v>
      </c>
      <c r="E1948" t="s">
        <v>3587</v>
      </c>
      <c r="F1948" t="s">
        <v>3588</v>
      </c>
      <c r="G1948" s="23" t="s">
        <v>41</v>
      </c>
      <c r="H1948" s="23" t="s">
        <v>240</v>
      </c>
      <c r="I1948" t="s">
        <v>5763</v>
      </c>
      <c r="J1948" t="s">
        <v>22</v>
      </c>
      <c r="K1948" s="22">
        <v>4</v>
      </c>
      <c r="L1948" s="1">
        <v>42683</v>
      </c>
      <c r="M1948" s="22">
        <f>Table10[[#This Row],[Ship Date]]-Table10[[#This Row],[Order Date]]</f>
        <v>2</v>
      </c>
      <c r="N1948" t="s">
        <v>169</v>
      </c>
      <c r="O1948" t="s">
        <v>23</v>
      </c>
      <c r="P1948" t="s">
        <v>695</v>
      </c>
      <c r="Q1948" t="s">
        <v>133</v>
      </c>
      <c r="R1948" t="s">
        <v>990</v>
      </c>
      <c r="S1948" s="33">
        <v>0</v>
      </c>
      <c r="T1948" s="13">
        <v>14.96</v>
      </c>
      <c r="U1948" s="13">
        <v>0.29920000000000002</v>
      </c>
      <c r="V1948" s="21">
        <f>Table10[[#This Row],[Profit]]/Table10[[#This Row],[Sales]]</f>
        <v>0.02</v>
      </c>
    </row>
    <row r="1949" spans="1:22" x14ac:dyDescent="0.2">
      <c r="A1949">
        <v>1948</v>
      </c>
      <c r="B1949" t="s">
        <v>7154</v>
      </c>
      <c r="C1949" s="1">
        <v>42681</v>
      </c>
      <c r="D1949" s="22">
        <f>MONTH(Table10[[#This Row],[Order Date]])</f>
        <v>11</v>
      </c>
      <c r="E1949" t="s">
        <v>5188</v>
      </c>
      <c r="F1949" t="s">
        <v>5189</v>
      </c>
      <c r="G1949" s="23" t="s">
        <v>41</v>
      </c>
      <c r="H1949" s="23" t="s">
        <v>82</v>
      </c>
      <c r="I1949" t="s">
        <v>2832</v>
      </c>
      <c r="J1949" t="s">
        <v>92</v>
      </c>
      <c r="K1949" s="22">
        <v>2</v>
      </c>
      <c r="L1949" s="1">
        <v>42686</v>
      </c>
      <c r="M1949" s="22">
        <f>Table10[[#This Row],[Ship Date]]-Table10[[#This Row],[Order Date]]</f>
        <v>5</v>
      </c>
      <c r="N1949" t="s">
        <v>45</v>
      </c>
      <c r="O1949" t="s">
        <v>23</v>
      </c>
      <c r="P1949" t="s">
        <v>38</v>
      </c>
      <c r="Q1949" t="s">
        <v>39</v>
      </c>
      <c r="R1949" t="s">
        <v>2061</v>
      </c>
      <c r="S1949" s="33">
        <v>0</v>
      </c>
      <c r="T1949" s="13">
        <v>12.9</v>
      </c>
      <c r="U1949" s="13">
        <v>6.3209999999999997</v>
      </c>
      <c r="V1949" s="21">
        <f>Table10[[#This Row],[Profit]]/Table10[[#This Row],[Sales]]</f>
        <v>0.49</v>
      </c>
    </row>
    <row r="1950" spans="1:22" x14ac:dyDescent="0.2">
      <c r="A1950">
        <v>1949</v>
      </c>
      <c r="B1950" t="s">
        <v>7774</v>
      </c>
      <c r="C1950" s="1">
        <v>42681</v>
      </c>
      <c r="D1950" s="22">
        <f>MONTH(Table10[[#This Row],[Order Date]])</f>
        <v>11</v>
      </c>
      <c r="E1950" t="s">
        <v>1528</v>
      </c>
      <c r="F1950" t="s">
        <v>1529</v>
      </c>
      <c r="G1950" s="23" t="s">
        <v>28</v>
      </c>
      <c r="H1950" s="23" t="s">
        <v>32</v>
      </c>
      <c r="I1950" t="s">
        <v>5484</v>
      </c>
      <c r="J1950" t="s">
        <v>92</v>
      </c>
      <c r="K1950" s="22">
        <v>4</v>
      </c>
      <c r="L1950" s="1">
        <v>42686</v>
      </c>
      <c r="M1950" s="22">
        <f>Table10[[#This Row],[Ship Date]]-Table10[[#This Row],[Order Date]]</f>
        <v>5</v>
      </c>
      <c r="N1950" t="s">
        <v>45</v>
      </c>
      <c r="O1950" t="s">
        <v>23</v>
      </c>
      <c r="P1950" t="s">
        <v>7776</v>
      </c>
      <c r="Q1950" t="s">
        <v>39</v>
      </c>
      <c r="R1950" t="s">
        <v>7775</v>
      </c>
      <c r="S1950" s="33">
        <v>0.2</v>
      </c>
      <c r="T1950" s="13">
        <v>1603.136</v>
      </c>
      <c r="U1950" s="13">
        <v>100.196</v>
      </c>
      <c r="V1950" s="21">
        <f>Table10[[#This Row],[Profit]]/Table10[[#This Row],[Sales]]</f>
        <v>6.25E-2</v>
      </c>
    </row>
    <row r="1951" spans="1:22" x14ac:dyDescent="0.2">
      <c r="A1951">
        <v>1950</v>
      </c>
      <c r="B1951" t="s">
        <v>9030</v>
      </c>
      <c r="C1951" s="1">
        <v>42681</v>
      </c>
      <c r="D1951" s="22">
        <f>MONTH(Table10[[#This Row],[Order Date]])</f>
        <v>11</v>
      </c>
      <c r="E1951" t="s">
        <v>1734</v>
      </c>
      <c r="F1951" t="s">
        <v>1735</v>
      </c>
      <c r="G1951" s="23" t="s">
        <v>64</v>
      </c>
      <c r="H1951" s="23" t="s">
        <v>65</v>
      </c>
      <c r="I1951" t="s">
        <v>4322</v>
      </c>
      <c r="J1951" t="s">
        <v>22</v>
      </c>
      <c r="K1951" s="22">
        <v>4</v>
      </c>
      <c r="L1951" s="1">
        <v>42683</v>
      </c>
      <c r="M1951" s="22">
        <f>Table10[[#This Row],[Ship Date]]-Table10[[#This Row],[Order Date]]</f>
        <v>2</v>
      </c>
      <c r="N1951" t="s">
        <v>169</v>
      </c>
      <c r="O1951" t="s">
        <v>23</v>
      </c>
      <c r="P1951" t="s">
        <v>238</v>
      </c>
      <c r="Q1951" t="s">
        <v>133</v>
      </c>
      <c r="R1951" t="s">
        <v>347</v>
      </c>
      <c r="S1951" s="33">
        <v>0</v>
      </c>
      <c r="T1951" s="13">
        <v>263.95999999999998</v>
      </c>
      <c r="U1951" s="13">
        <v>71.269199999999998</v>
      </c>
      <c r="V1951" s="21">
        <f>Table10[[#This Row],[Profit]]/Table10[[#This Row],[Sales]]</f>
        <v>0.27</v>
      </c>
    </row>
    <row r="1952" spans="1:22" x14ac:dyDescent="0.2">
      <c r="A1952">
        <v>1951</v>
      </c>
      <c r="B1952" t="s">
        <v>9030</v>
      </c>
      <c r="C1952" s="1">
        <v>42681</v>
      </c>
      <c r="D1952" s="22">
        <f>MONTH(Table10[[#This Row],[Order Date]])</f>
        <v>11</v>
      </c>
      <c r="E1952" t="s">
        <v>4296</v>
      </c>
      <c r="F1952" t="s">
        <v>4297</v>
      </c>
      <c r="G1952" s="23" t="s">
        <v>64</v>
      </c>
      <c r="H1952" s="23" t="s">
        <v>65</v>
      </c>
      <c r="I1952" t="s">
        <v>4322</v>
      </c>
      <c r="J1952" t="s">
        <v>22</v>
      </c>
      <c r="K1952" s="22">
        <v>3</v>
      </c>
      <c r="L1952" s="1">
        <v>42683</v>
      </c>
      <c r="M1952" s="22">
        <f>Table10[[#This Row],[Ship Date]]-Table10[[#This Row],[Order Date]]</f>
        <v>2</v>
      </c>
      <c r="N1952" t="s">
        <v>169</v>
      </c>
      <c r="O1952" t="s">
        <v>23</v>
      </c>
      <c r="P1952" t="s">
        <v>238</v>
      </c>
      <c r="Q1952" t="s">
        <v>133</v>
      </c>
      <c r="R1952" t="s">
        <v>347</v>
      </c>
      <c r="S1952" s="33">
        <v>0</v>
      </c>
      <c r="T1952" s="13">
        <v>359.97</v>
      </c>
      <c r="U1952" s="13">
        <v>100.7916</v>
      </c>
      <c r="V1952" s="21">
        <f>Table10[[#This Row],[Profit]]/Table10[[#This Row],[Sales]]</f>
        <v>0.27999999999999997</v>
      </c>
    </row>
    <row r="1953" spans="1:22" x14ac:dyDescent="0.2">
      <c r="A1953">
        <v>1952</v>
      </c>
      <c r="B1953" t="s">
        <v>9030</v>
      </c>
      <c r="C1953" s="1">
        <v>42681</v>
      </c>
      <c r="D1953" s="22">
        <f>MONTH(Table10[[#This Row],[Order Date]])</f>
        <v>11</v>
      </c>
      <c r="E1953" t="s">
        <v>4916</v>
      </c>
      <c r="F1953" t="s">
        <v>4917</v>
      </c>
      <c r="G1953" s="23" t="s">
        <v>41</v>
      </c>
      <c r="H1953" s="23" t="s">
        <v>82</v>
      </c>
      <c r="I1953" t="s">
        <v>4322</v>
      </c>
      <c r="J1953" t="s">
        <v>22</v>
      </c>
      <c r="K1953" s="22">
        <v>2</v>
      </c>
      <c r="L1953" s="1">
        <v>42683</v>
      </c>
      <c r="M1953" s="22">
        <f>Table10[[#This Row],[Ship Date]]-Table10[[#This Row],[Order Date]]</f>
        <v>2</v>
      </c>
      <c r="N1953" t="s">
        <v>169</v>
      </c>
      <c r="O1953" t="s">
        <v>23</v>
      </c>
      <c r="P1953" t="s">
        <v>238</v>
      </c>
      <c r="Q1953" t="s">
        <v>133</v>
      </c>
      <c r="R1953" t="s">
        <v>347</v>
      </c>
      <c r="S1953" s="33">
        <v>0</v>
      </c>
      <c r="T1953" s="13">
        <v>12.96</v>
      </c>
      <c r="U1953" s="13">
        <v>6.2207999999999997</v>
      </c>
      <c r="V1953" s="21">
        <f>Table10[[#This Row],[Profit]]/Table10[[#This Row],[Sales]]</f>
        <v>0.47999999999999993</v>
      </c>
    </row>
    <row r="1954" spans="1:22" x14ac:dyDescent="0.2">
      <c r="A1954">
        <v>1953</v>
      </c>
      <c r="B1954" t="s">
        <v>9030</v>
      </c>
      <c r="C1954" s="1">
        <v>42681</v>
      </c>
      <c r="D1954" s="22">
        <f>MONTH(Table10[[#This Row],[Order Date]])</f>
        <v>11</v>
      </c>
      <c r="E1954" t="s">
        <v>194</v>
      </c>
      <c r="F1954" t="s">
        <v>195</v>
      </c>
      <c r="G1954" s="23" t="s">
        <v>41</v>
      </c>
      <c r="H1954" s="23" t="s">
        <v>53</v>
      </c>
      <c r="I1954" t="s">
        <v>4322</v>
      </c>
      <c r="J1954" t="s">
        <v>22</v>
      </c>
      <c r="K1954" s="22">
        <v>3</v>
      </c>
      <c r="L1954" s="1">
        <v>42683</v>
      </c>
      <c r="M1954" s="22">
        <f>Table10[[#This Row],[Ship Date]]-Table10[[#This Row],[Order Date]]</f>
        <v>2</v>
      </c>
      <c r="N1954" t="s">
        <v>169</v>
      </c>
      <c r="O1954" t="s">
        <v>23</v>
      </c>
      <c r="P1954" t="s">
        <v>238</v>
      </c>
      <c r="Q1954" t="s">
        <v>133</v>
      </c>
      <c r="R1954" t="s">
        <v>347</v>
      </c>
      <c r="S1954" s="33">
        <v>0</v>
      </c>
      <c r="T1954" s="13">
        <v>116.82</v>
      </c>
      <c r="U1954" s="13">
        <v>5.8410000000000002</v>
      </c>
      <c r="V1954" s="21">
        <f>Table10[[#This Row],[Profit]]/Table10[[#This Row],[Sales]]</f>
        <v>0.05</v>
      </c>
    </row>
    <row r="1955" spans="1:22" x14ac:dyDescent="0.2">
      <c r="A1955">
        <v>1954</v>
      </c>
      <c r="B1955" t="s">
        <v>9030</v>
      </c>
      <c r="C1955" s="1">
        <v>42681</v>
      </c>
      <c r="D1955" s="22">
        <f>MONTH(Table10[[#This Row],[Order Date]])</f>
        <v>11</v>
      </c>
      <c r="E1955" t="s">
        <v>6271</v>
      </c>
      <c r="F1955" t="s">
        <v>6272</v>
      </c>
      <c r="G1955" s="23" t="s">
        <v>41</v>
      </c>
      <c r="H1955" s="23" t="s">
        <v>68</v>
      </c>
      <c r="I1955" t="s">
        <v>4322</v>
      </c>
      <c r="J1955" t="s">
        <v>22</v>
      </c>
      <c r="K1955" s="22">
        <v>2</v>
      </c>
      <c r="L1955" s="1">
        <v>42683</v>
      </c>
      <c r="M1955" s="22">
        <f>Table10[[#This Row],[Ship Date]]-Table10[[#This Row],[Order Date]]</f>
        <v>2</v>
      </c>
      <c r="N1955" t="s">
        <v>169</v>
      </c>
      <c r="O1955" t="s">
        <v>23</v>
      </c>
      <c r="P1955" t="s">
        <v>238</v>
      </c>
      <c r="Q1955" t="s">
        <v>133</v>
      </c>
      <c r="R1955" t="s">
        <v>347</v>
      </c>
      <c r="S1955" s="33">
        <v>0.2</v>
      </c>
      <c r="T1955" s="13">
        <v>276.78399999999999</v>
      </c>
      <c r="U1955" s="13">
        <v>89.954800000000006</v>
      </c>
      <c r="V1955" s="21">
        <f>Table10[[#This Row],[Profit]]/Table10[[#This Row],[Sales]]</f>
        <v>0.32500000000000001</v>
      </c>
    </row>
    <row r="1956" spans="1:22" x14ac:dyDescent="0.2">
      <c r="A1956">
        <v>1955</v>
      </c>
      <c r="B1956" t="s">
        <v>9114</v>
      </c>
      <c r="C1956" s="1">
        <v>42681</v>
      </c>
      <c r="D1956" s="22">
        <f>MONTH(Table10[[#This Row],[Order Date]])</f>
        <v>11</v>
      </c>
      <c r="E1956" t="s">
        <v>9115</v>
      </c>
      <c r="F1956" t="s">
        <v>9116</v>
      </c>
      <c r="G1956" s="23" t="s">
        <v>28</v>
      </c>
      <c r="H1956" s="23" t="s">
        <v>58</v>
      </c>
      <c r="I1956" t="s">
        <v>1961</v>
      </c>
      <c r="J1956" t="s">
        <v>22</v>
      </c>
      <c r="K1956" s="22">
        <v>5</v>
      </c>
      <c r="L1956" s="1">
        <v>42686</v>
      </c>
      <c r="M1956" s="22">
        <f>Table10[[#This Row],[Ship Date]]-Table10[[#This Row],[Order Date]]</f>
        <v>5</v>
      </c>
      <c r="N1956" t="s">
        <v>45</v>
      </c>
      <c r="O1956" t="s">
        <v>23</v>
      </c>
      <c r="P1956" t="s">
        <v>94</v>
      </c>
      <c r="Q1956" t="s">
        <v>95</v>
      </c>
      <c r="R1956" t="s">
        <v>718</v>
      </c>
      <c r="S1956" s="33">
        <v>0.6</v>
      </c>
      <c r="T1956" s="13">
        <v>44.46</v>
      </c>
      <c r="U1956" s="13">
        <v>-17.783999999999999</v>
      </c>
      <c r="V1956" s="21">
        <f>Table10[[#This Row],[Profit]]/Table10[[#This Row],[Sales]]</f>
        <v>-0.39999999999999997</v>
      </c>
    </row>
    <row r="1957" spans="1:22" x14ac:dyDescent="0.2">
      <c r="A1957">
        <v>1956</v>
      </c>
      <c r="B1957" t="s">
        <v>9114</v>
      </c>
      <c r="C1957" s="1">
        <v>42681</v>
      </c>
      <c r="D1957" s="22">
        <f>MONTH(Table10[[#This Row],[Order Date]])</f>
        <v>11</v>
      </c>
      <c r="E1957" t="s">
        <v>1820</v>
      </c>
      <c r="F1957" t="s">
        <v>1821</v>
      </c>
      <c r="G1957" s="23" t="s">
        <v>41</v>
      </c>
      <c r="H1957" s="23" t="s">
        <v>53</v>
      </c>
      <c r="I1957" t="s">
        <v>1961</v>
      </c>
      <c r="J1957" t="s">
        <v>22</v>
      </c>
      <c r="K1957" s="22">
        <v>3</v>
      </c>
      <c r="L1957" s="1">
        <v>42686</v>
      </c>
      <c r="M1957" s="22">
        <f>Table10[[#This Row],[Ship Date]]-Table10[[#This Row],[Order Date]]</f>
        <v>5</v>
      </c>
      <c r="N1957" t="s">
        <v>45</v>
      </c>
      <c r="O1957" t="s">
        <v>23</v>
      </c>
      <c r="P1957" t="s">
        <v>94</v>
      </c>
      <c r="Q1957" t="s">
        <v>95</v>
      </c>
      <c r="R1957" t="s">
        <v>718</v>
      </c>
      <c r="S1957" s="33">
        <v>0.2</v>
      </c>
      <c r="T1957" s="13">
        <v>314.08800000000002</v>
      </c>
      <c r="U1957" s="13">
        <v>19.630500000000001</v>
      </c>
      <c r="V1957" s="21">
        <f>Table10[[#This Row],[Profit]]/Table10[[#This Row],[Sales]]</f>
        <v>6.25E-2</v>
      </c>
    </row>
    <row r="1958" spans="1:22" x14ac:dyDescent="0.2">
      <c r="A1958">
        <v>1957</v>
      </c>
      <c r="B1958" t="s">
        <v>9609</v>
      </c>
      <c r="C1958" s="1">
        <v>42681</v>
      </c>
      <c r="D1958" s="22">
        <f>MONTH(Table10[[#This Row],[Order Date]])</f>
        <v>11</v>
      </c>
      <c r="E1958" t="s">
        <v>1160</v>
      </c>
      <c r="F1958" t="s">
        <v>1161</v>
      </c>
      <c r="G1958" s="23" t="s">
        <v>64</v>
      </c>
      <c r="H1958" s="23" t="s">
        <v>144</v>
      </c>
      <c r="I1958" t="s">
        <v>3738</v>
      </c>
      <c r="J1958" t="s">
        <v>36</v>
      </c>
      <c r="K1958" s="22">
        <v>3</v>
      </c>
      <c r="L1958" s="1">
        <v>42687</v>
      </c>
      <c r="M1958" s="22">
        <f>Table10[[#This Row],[Ship Date]]-Table10[[#This Row],[Order Date]]</f>
        <v>6</v>
      </c>
      <c r="N1958" t="s">
        <v>45</v>
      </c>
      <c r="O1958" t="s">
        <v>23</v>
      </c>
      <c r="P1958" t="s">
        <v>38</v>
      </c>
      <c r="Q1958" t="s">
        <v>39</v>
      </c>
      <c r="R1958" t="s">
        <v>114</v>
      </c>
      <c r="S1958" s="33">
        <v>0</v>
      </c>
      <c r="T1958" s="13">
        <v>479.97</v>
      </c>
      <c r="U1958" s="13">
        <v>163.18979999999999</v>
      </c>
      <c r="V1958" s="21">
        <f>Table10[[#This Row],[Profit]]/Table10[[#This Row],[Sales]]</f>
        <v>0.33999999999999997</v>
      </c>
    </row>
    <row r="1959" spans="1:22" x14ac:dyDescent="0.2">
      <c r="A1959">
        <v>1958</v>
      </c>
      <c r="B1959" t="s">
        <v>10007</v>
      </c>
      <c r="C1959" s="1">
        <v>42681</v>
      </c>
      <c r="D1959" s="22">
        <f>MONTH(Table10[[#This Row],[Order Date]])</f>
        <v>11</v>
      </c>
      <c r="E1959" t="s">
        <v>1322</v>
      </c>
      <c r="F1959" t="s">
        <v>1323</v>
      </c>
      <c r="G1959" s="23" t="s">
        <v>41</v>
      </c>
      <c r="H1959" s="23" t="s">
        <v>68</v>
      </c>
      <c r="I1959" t="s">
        <v>3243</v>
      </c>
      <c r="J1959" t="s">
        <v>22</v>
      </c>
      <c r="K1959" s="22">
        <v>2</v>
      </c>
      <c r="L1959" s="1">
        <v>42686</v>
      </c>
      <c r="M1959" s="22">
        <f>Table10[[#This Row],[Ship Date]]-Table10[[#This Row],[Order Date]]</f>
        <v>5</v>
      </c>
      <c r="N1959" t="s">
        <v>45</v>
      </c>
      <c r="O1959" t="s">
        <v>23</v>
      </c>
      <c r="P1959" t="s">
        <v>38</v>
      </c>
      <c r="Q1959" t="s">
        <v>39</v>
      </c>
      <c r="R1959" t="s">
        <v>114</v>
      </c>
      <c r="S1959" s="33">
        <v>0.2</v>
      </c>
      <c r="T1959" s="13">
        <v>57.584000000000003</v>
      </c>
      <c r="U1959" s="13">
        <v>20.154399999999999</v>
      </c>
      <c r="V1959" s="21">
        <f>Table10[[#This Row],[Profit]]/Table10[[#This Row],[Sales]]</f>
        <v>0.35</v>
      </c>
    </row>
    <row r="1960" spans="1:22" x14ac:dyDescent="0.2">
      <c r="A1960">
        <v>1959</v>
      </c>
      <c r="B1960" t="s">
        <v>19</v>
      </c>
      <c r="C1960" s="1">
        <v>42682</v>
      </c>
      <c r="D1960" s="22">
        <f>MONTH(Table10[[#This Row],[Order Date]])</f>
        <v>11</v>
      </c>
      <c r="E1960" t="s">
        <v>27</v>
      </c>
      <c r="F1960" t="s">
        <v>30</v>
      </c>
      <c r="G1960" s="23" t="s">
        <v>28</v>
      </c>
      <c r="H1960" s="23" t="s">
        <v>29</v>
      </c>
      <c r="I1960" t="s">
        <v>21</v>
      </c>
      <c r="J1960" t="s">
        <v>22</v>
      </c>
      <c r="K1960" s="22">
        <v>2</v>
      </c>
      <c r="L1960" s="1">
        <v>42685</v>
      </c>
      <c r="M1960" s="22">
        <f>Table10[[#This Row],[Ship Date]]-Table10[[#This Row],[Order Date]]</f>
        <v>3</v>
      </c>
      <c r="N1960" t="s">
        <v>20</v>
      </c>
      <c r="O1960" t="s">
        <v>23</v>
      </c>
      <c r="P1960" t="s">
        <v>25</v>
      </c>
      <c r="Q1960" t="s">
        <v>26</v>
      </c>
      <c r="R1960" t="s">
        <v>24</v>
      </c>
      <c r="S1960" s="33">
        <v>0</v>
      </c>
      <c r="T1960" s="13">
        <v>261.95999999999998</v>
      </c>
      <c r="U1960" s="13">
        <v>41.913600000000002</v>
      </c>
      <c r="V1960" s="21">
        <f>Table10[[#This Row],[Profit]]/Table10[[#This Row],[Sales]]</f>
        <v>0.16000000000000003</v>
      </c>
    </row>
    <row r="1961" spans="1:22" x14ac:dyDescent="0.2">
      <c r="A1961">
        <v>1960</v>
      </c>
      <c r="B1961" t="s">
        <v>19</v>
      </c>
      <c r="C1961" s="1">
        <v>42682</v>
      </c>
      <c r="D1961" s="22">
        <f>MONTH(Table10[[#This Row],[Order Date]])</f>
        <v>11</v>
      </c>
      <c r="E1961" t="s">
        <v>31</v>
      </c>
      <c r="F1961" t="s">
        <v>33</v>
      </c>
      <c r="G1961" s="23" t="s">
        <v>28</v>
      </c>
      <c r="H1961" s="23" t="s">
        <v>32</v>
      </c>
      <c r="I1961" t="s">
        <v>21</v>
      </c>
      <c r="J1961" t="s">
        <v>22</v>
      </c>
      <c r="K1961" s="22">
        <v>3</v>
      </c>
      <c r="L1961" s="1">
        <v>42685</v>
      </c>
      <c r="M1961" s="22">
        <f>Table10[[#This Row],[Ship Date]]-Table10[[#This Row],[Order Date]]</f>
        <v>3</v>
      </c>
      <c r="N1961" t="s">
        <v>20</v>
      </c>
      <c r="O1961" t="s">
        <v>23</v>
      </c>
      <c r="P1961" t="s">
        <v>25</v>
      </c>
      <c r="Q1961" t="s">
        <v>26</v>
      </c>
      <c r="R1961" t="s">
        <v>24</v>
      </c>
      <c r="S1961" s="33">
        <v>0</v>
      </c>
      <c r="T1961" s="13">
        <v>731.94</v>
      </c>
      <c r="U1961" s="13">
        <v>219.58199999999999</v>
      </c>
      <c r="V1961" s="21">
        <f>Table10[[#This Row],[Profit]]/Table10[[#This Row],[Sales]]</f>
        <v>0.3</v>
      </c>
    </row>
    <row r="1962" spans="1:22" x14ac:dyDescent="0.2">
      <c r="A1962">
        <v>1961</v>
      </c>
      <c r="B1962" t="s">
        <v>9357</v>
      </c>
      <c r="C1962" s="1">
        <v>42683</v>
      </c>
      <c r="D1962" s="22">
        <f>MONTH(Table10[[#This Row],[Order Date]])</f>
        <v>11</v>
      </c>
      <c r="E1962" t="s">
        <v>948</v>
      </c>
      <c r="F1962" t="s">
        <v>949</v>
      </c>
      <c r="G1962" s="23" t="s">
        <v>64</v>
      </c>
      <c r="H1962" s="23" t="s">
        <v>144</v>
      </c>
      <c r="I1962" t="s">
        <v>475</v>
      </c>
      <c r="J1962" t="s">
        <v>22</v>
      </c>
      <c r="K1962" s="22">
        <v>3</v>
      </c>
      <c r="L1962" s="1">
        <v>42688</v>
      </c>
      <c r="M1962" s="22">
        <f>Table10[[#This Row],[Ship Date]]-Table10[[#This Row],[Order Date]]</f>
        <v>5</v>
      </c>
      <c r="N1962" t="s">
        <v>45</v>
      </c>
      <c r="O1962" t="s">
        <v>23</v>
      </c>
      <c r="P1962" t="s">
        <v>38</v>
      </c>
      <c r="Q1962" t="s">
        <v>39</v>
      </c>
      <c r="R1962" t="s">
        <v>2815</v>
      </c>
      <c r="S1962" s="33">
        <v>0</v>
      </c>
      <c r="T1962" s="13">
        <v>479.97</v>
      </c>
      <c r="U1962" s="13">
        <v>177.5889</v>
      </c>
      <c r="V1962" s="21">
        <f>Table10[[#This Row],[Profit]]/Table10[[#This Row],[Sales]]</f>
        <v>0.37</v>
      </c>
    </row>
    <row r="1963" spans="1:22" x14ac:dyDescent="0.2">
      <c r="A1963">
        <v>1962</v>
      </c>
      <c r="B1963" t="s">
        <v>2420</v>
      </c>
      <c r="C1963" s="1">
        <v>42684</v>
      </c>
      <c r="D1963" s="22">
        <f>MONTH(Table10[[#This Row],[Order Date]])</f>
        <v>11</v>
      </c>
      <c r="E1963" t="s">
        <v>1155</v>
      </c>
      <c r="F1963" t="s">
        <v>1156</v>
      </c>
      <c r="G1963" s="23" t="s">
        <v>41</v>
      </c>
      <c r="H1963" s="23" t="s">
        <v>53</v>
      </c>
      <c r="I1963" t="s">
        <v>2421</v>
      </c>
      <c r="J1963" t="s">
        <v>36</v>
      </c>
      <c r="K1963" s="22">
        <v>7</v>
      </c>
      <c r="L1963" s="1">
        <v>42686</v>
      </c>
      <c r="M1963" s="22">
        <f>Table10[[#This Row],[Ship Date]]-Table10[[#This Row],[Order Date]]</f>
        <v>2</v>
      </c>
      <c r="N1963" t="s">
        <v>169</v>
      </c>
      <c r="O1963" t="s">
        <v>23</v>
      </c>
      <c r="P1963" t="s">
        <v>38</v>
      </c>
      <c r="Q1963" t="s">
        <v>39</v>
      </c>
      <c r="R1963" t="s">
        <v>114</v>
      </c>
      <c r="S1963" s="33">
        <v>0</v>
      </c>
      <c r="T1963" s="13">
        <v>155.82</v>
      </c>
      <c r="U1963" s="13">
        <v>42.071399999999997</v>
      </c>
      <c r="V1963" s="21">
        <f>Table10[[#This Row],[Profit]]/Table10[[#This Row],[Sales]]</f>
        <v>0.27</v>
      </c>
    </row>
    <row r="1964" spans="1:22" x14ac:dyDescent="0.2">
      <c r="A1964">
        <v>1963</v>
      </c>
      <c r="B1964" t="s">
        <v>2420</v>
      </c>
      <c r="C1964" s="1">
        <v>42684</v>
      </c>
      <c r="D1964" s="22">
        <f>MONTH(Table10[[#This Row],[Order Date]])</f>
        <v>11</v>
      </c>
      <c r="E1964" t="s">
        <v>2422</v>
      </c>
      <c r="F1964" t="s">
        <v>2423</v>
      </c>
      <c r="G1964" s="23" t="s">
        <v>41</v>
      </c>
      <c r="H1964" s="23" t="s">
        <v>68</v>
      </c>
      <c r="I1964" t="s">
        <v>2421</v>
      </c>
      <c r="J1964" t="s">
        <v>36</v>
      </c>
      <c r="K1964" s="22">
        <v>3</v>
      </c>
      <c r="L1964" s="1">
        <v>42686</v>
      </c>
      <c r="M1964" s="22">
        <f>Table10[[#This Row],[Ship Date]]-Table10[[#This Row],[Order Date]]</f>
        <v>2</v>
      </c>
      <c r="N1964" t="s">
        <v>169</v>
      </c>
      <c r="O1964" t="s">
        <v>23</v>
      </c>
      <c r="P1964" t="s">
        <v>38</v>
      </c>
      <c r="Q1964" t="s">
        <v>39</v>
      </c>
      <c r="R1964" t="s">
        <v>114</v>
      </c>
      <c r="S1964" s="33">
        <v>0.2</v>
      </c>
      <c r="T1964" s="13">
        <v>70.007999999999996</v>
      </c>
      <c r="U1964" s="13">
        <v>24.502800000000001</v>
      </c>
      <c r="V1964" s="21">
        <f>Table10[[#This Row],[Profit]]/Table10[[#This Row],[Sales]]</f>
        <v>0.35000000000000003</v>
      </c>
    </row>
    <row r="1965" spans="1:22" x14ac:dyDescent="0.2">
      <c r="A1965">
        <v>1964</v>
      </c>
      <c r="B1965" t="s">
        <v>3169</v>
      </c>
      <c r="C1965" s="1">
        <v>42684</v>
      </c>
      <c r="D1965" s="22">
        <f>MONTH(Table10[[#This Row],[Order Date]])</f>
        <v>11</v>
      </c>
      <c r="E1965" t="s">
        <v>3170</v>
      </c>
      <c r="F1965" t="s">
        <v>3171</v>
      </c>
      <c r="G1965" s="23" t="s">
        <v>41</v>
      </c>
      <c r="H1965" s="23" t="s">
        <v>68</v>
      </c>
      <c r="I1965" t="s">
        <v>1878</v>
      </c>
      <c r="J1965" t="s">
        <v>92</v>
      </c>
      <c r="K1965" s="22">
        <v>4</v>
      </c>
      <c r="L1965" s="1">
        <v>42686</v>
      </c>
      <c r="M1965" s="22">
        <f>Table10[[#This Row],[Ship Date]]-Table10[[#This Row],[Order Date]]</f>
        <v>2</v>
      </c>
      <c r="N1965" t="s">
        <v>169</v>
      </c>
      <c r="O1965" t="s">
        <v>23</v>
      </c>
      <c r="P1965" t="s">
        <v>38</v>
      </c>
      <c r="Q1965" t="s">
        <v>39</v>
      </c>
      <c r="R1965" t="s">
        <v>114</v>
      </c>
      <c r="S1965" s="33">
        <v>0.2</v>
      </c>
      <c r="T1965" s="13">
        <v>13.215999999999999</v>
      </c>
      <c r="U1965" s="13">
        <v>4.4603999999999999</v>
      </c>
      <c r="V1965" s="21">
        <f>Table10[[#This Row],[Profit]]/Table10[[#This Row],[Sales]]</f>
        <v>0.33750000000000002</v>
      </c>
    </row>
    <row r="1966" spans="1:22" x14ac:dyDescent="0.2">
      <c r="A1966">
        <v>1965</v>
      </c>
      <c r="B1966" t="s">
        <v>3169</v>
      </c>
      <c r="C1966" s="1">
        <v>42684</v>
      </c>
      <c r="D1966" s="22">
        <f>MONTH(Table10[[#This Row],[Order Date]])</f>
        <v>11</v>
      </c>
      <c r="E1966" t="s">
        <v>2957</v>
      </c>
      <c r="F1966" t="s">
        <v>2958</v>
      </c>
      <c r="G1966" s="23" t="s">
        <v>41</v>
      </c>
      <c r="H1966" s="23" t="s">
        <v>82</v>
      </c>
      <c r="I1966" t="s">
        <v>1878</v>
      </c>
      <c r="J1966" t="s">
        <v>92</v>
      </c>
      <c r="K1966" s="22">
        <v>5</v>
      </c>
      <c r="L1966" s="1">
        <v>42686</v>
      </c>
      <c r="M1966" s="22">
        <f>Table10[[#This Row],[Ship Date]]-Table10[[#This Row],[Order Date]]</f>
        <v>2</v>
      </c>
      <c r="N1966" t="s">
        <v>169</v>
      </c>
      <c r="O1966" t="s">
        <v>23</v>
      </c>
      <c r="P1966" t="s">
        <v>38</v>
      </c>
      <c r="Q1966" t="s">
        <v>39</v>
      </c>
      <c r="R1966" t="s">
        <v>114</v>
      </c>
      <c r="S1966" s="33">
        <v>0</v>
      </c>
      <c r="T1966" s="13">
        <v>32.4</v>
      </c>
      <c r="U1966" s="13">
        <v>15.552</v>
      </c>
      <c r="V1966" s="21">
        <f>Table10[[#This Row],[Profit]]/Table10[[#This Row],[Sales]]</f>
        <v>0.48</v>
      </c>
    </row>
    <row r="1967" spans="1:22" x14ac:dyDescent="0.2">
      <c r="A1967">
        <v>1966</v>
      </c>
      <c r="B1967" t="s">
        <v>4757</v>
      </c>
      <c r="C1967" s="1">
        <v>42684</v>
      </c>
      <c r="D1967" s="22">
        <f>MONTH(Table10[[#This Row],[Order Date]])</f>
        <v>11</v>
      </c>
      <c r="E1967" t="s">
        <v>3021</v>
      </c>
      <c r="F1967" t="s">
        <v>3022</v>
      </c>
      <c r="G1967" s="23" t="s">
        <v>41</v>
      </c>
      <c r="H1967" s="23" t="s">
        <v>61</v>
      </c>
      <c r="I1967" t="s">
        <v>2115</v>
      </c>
      <c r="J1967" t="s">
        <v>22</v>
      </c>
      <c r="K1967" s="22">
        <v>7</v>
      </c>
      <c r="L1967" s="1">
        <v>42689</v>
      </c>
      <c r="M1967" s="22">
        <f>Table10[[#This Row],[Ship Date]]-Table10[[#This Row],[Order Date]]</f>
        <v>5</v>
      </c>
      <c r="N1967" t="s">
        <v>45</v>
      </c>
      <c r="O1967" t="s">
        <v>23</v>
      </c>
      <c r="P1967" t="s">
        <v>1125</v>
      </c>
      <c r="Q1967" t="s">
        <v>26</v>
      </c>
      <c r="R1967" t="s">
        <v>1846</v>
      </c>
      <c r="S1967" s="33">
        <v>0</v>
      </c>
      <c r="T1967" s="13">
        <v>41.86</v>
      </c>
      <c r="U1967" s="13">
        <v>10.465</v>
      </c>
      <c r="V1967" s="21">
        <f>Table10[[#This Row],[Profit]]/Table10[[#This Row],[Sales]]</f>
        <v>0.25</v>
      </c>
    </row>
    <row r="1968" spans="1:22" x14ac:dyDescent="0.2">
      <c r="A1968">
        <v>1967</v>
      </c>
      <c r="B1968" t="s">
        <v>5392</v>
      </c>
      <c r="C1968" s="1">
        <v>42684</v>
      </c>
      <c r="D1968" s="22">
        <f>MONTH(Table10[[#This Row],[Order Date]])</f>
        <v>11</v>
      </c>
      <c r="E1968" t="s">
        <v>1146</v>
      </c>
      <c r="F1968" t="s">
        <v>1147</v>
      </c>
      <c r="G1968" s="23" t="s">
        <v>41</v>
      </c>
      <c r="H1968" s="23" t="s">
        <v>513</v>
      </c>
      <c r="I1968" t="s">
        <v>2312</v>
      </c>
      <c r="J1968" t="s">
        <v>22</v>
      </c>
      <c r="K1968" s="22">
        <v>5</v>
      </c>
      <c r="L1968" s="1">
        <v>42686</v>
      </c>
      <c r="M1968" s="22">
        <f>Table10[[#This Row],[Ship Date]]-Table10[[#This Row],[Order Date]]</f>
        <v>2</v>
      </c>
      <c r="N1968" t="s">
        <v>20</v>
      </c>
      <c r="O1968" t="s">
        <v>23</v>
      </c>
      <c r="P1968" t="s">
        <v>441</v>
      </c>
      <c r="Q1968" t="s">
        <v>133</v>
      </c>
      <c r="R1968" t="s">
        <v>2496</v>
      </c>
      <c r="S1968" s="33">
        <v>0.2</v>
      </c>
      <c r="T1968" s="13">
        <v>14.72</v>
      </c>
      <c r="U1968" s="13">
        <v>-3.3119999999999998</v>
      </c>
      <c r="V1968" s="21">
        <f>Table10[[#This Row],[Profit]]/Table10[[#This Row],[Sales]]</f>
        <v>-0.22499999999999998</v>
      </c>
    </row>
    <row r="1969" spans="1:22" x14ac:dyDescent="0.2">
      <c r="A1969">
        <v>1968</v>
      </c>
      <c r="B1969" t="s">
        <v>5392</v>
      </c>
      <c r="C1969" s="1">
        <v>42684</v>
      </c>
      <c r="D1969" s="22">
        <f>MONTH(Table10[[#This Row],[Order Date]])</f>
        <v>11</v>
      </c>
      <c r="E1969" t="s">
        <v>2473</v>
      </c>
      <c r="F1969" t="s">
        <v>2474</v>
      </c>
      <c r="G1969" s="23" t="s">
        <v>41</v>
      </c>
      <c r="H1969" s="23" t="s">
        <v>53</v>
      </c>
      <c r="I1969" t="s">
        <v>2312</v>
      </c>
      <c r="J1969" t="s">
        <v>22</v>
      </c>
      <c r="K1969" s="22">
        <v>3</v>
      </c>
      <c r="L1969" s="1">
        <v>42686</v>
      </c>
      <c r="M1969" s="22">
        <f>Table10[[#This Row],[Ship Date]]-Table10[[#This Row],[Order Date]]</f>
        <v>2</v>
      </c>
      <c r="N1969" t="s">
        <v>20</v>
      </c>
      <c r="O1969" t="s">
        <v>23</v>
      </c>
      <c r="P1969" t="s">
        <v>441</v>
      </c>
      <c r="Q1969" t="s">
        <v>133</v>
      </c>
      <c r="R1969" t="s">
        <v>2496</v>
      </c>
      <c r="S1969" s="33">
        <v>0.2</v>
      </c>
      <c r="T1969" s="13">
        <v>38.975999999999999</v>
      </c>
      <c r="U1969" s="13">
        <v>-2.4359999999999999</v>
      </c>
      <c r="V1969" s="21">
        <f>Table10[[#This Row],[Profit]]/Table10[[#This Row],[Sales]]</f>
        <v>-6.25E-2</v>
      </c>
    </row>
    <row r="1970" spans="1:22" x14ac:dyDescent="0.2">
      <c r="A1970">
        <v>1969</v>
      </c>
      <c r="B1970" t="s">
        <v>6089</v>
      </c>
      <c r="C1970" s="1">
        <v>42684</v>
      </c>
      <c r="D1970" s="22">
        <f>MONTH(Table10[[#This Row],[Order Date]])</f>
        <v>11</v>
      </c>
      <c r="E1970" t="s">
        <v>2568</v>
      </c>
      <c r="F1970" t="s">
        <v>2569</v>
      </c>
      <c r="G1970" s="23" t="s">
        <v>41</v>
      </c>
      <c r="H1970" s="23" t="s">
        <v>42</v>
      </c>
      <c r="I1970" t="s">
        <v>3344</v>
      </c>
      <c r="J1970" t="s">
        <v>92</v>
      </c>
      <c r="K1970" s="22">
        <v>4</v>
      </c>
      <c r="L1970" s="1">
        <v>42688</v>
      </c>
      <c r="M1970" s="22">
        <f>Table10[[#This Row],[Ship Date]]-Table10[[#This Row],[Order Date]]</f>
        <v>4</v>
      </c>
      <c r="N1970" t="s">
        <v>45</v>
      </c>
      <c r="O1970" t="s">
        <v>23</v>
      </c>
      <c r="P1970" t="s">
        <v>441</v>
      </c>
      <c r="Q1970" t="s">
        <v>133</v>
      </c>
      <c r="R1970" t="s">
        <v>284</v>
      </c>
      <c r="S1970" s="33">
        <v>0.2</v>
      </c>
      <c r="T1970" s="13">
        <v>9.2159999999999993</v>
      </c>
      <c r="U1970" s="13">
        <v>3.3408000000000002</v>
      </c>
      <c r="V1970" s="21">
        <f>Table10[[#This Row],[Profit]]/Table10[[#This Row],[Sales]]</f>
        <v>0.36250000000000004</v>
      </c>
    </row>
    <row r="1971" spans="1:22" x14ac:dyDescent="0.2">
      <c r="A1971">
        <v>1970</v>
      </c>
      <c r="B1971" t="s">
        <v>6089</v>
      </c>
      <c r="C1971" s="1">
        <v>42684</v>
      </c>
      <c r="D1971" s="22">
        <f>MONTH(Table10[[#This Row],[Order Date]])</f>
        <v>11</v>
      </c>
      <c r="E1971" t="s">
        <v>1489</v>
      </c>
      <c r="F1971" t="s">
        <v>1490</v>
      </c>
      <c r="G1971" s="23" t="s">
        <v>64</v>
      </c>
      <c r="H1971" s="23" t="s">
        <v>65</v>
      </c>
      <c r="I1971" t="s">
        <v>3344</v>
      </c>
      <c r="J1971" t="s">
        <v>92</v>
      </c>
      <c r="K1971" s="22">
        <v>7</v>
      </c>
      <c r="L1971" s="1">
        <v>42688</v>
      </c>
      <c r="M1971" s="22">
        <f>Table10[[#This Row],[Ship Date]]-Table10[[#This Row],[Order Date]]</f>
        <v>4</v>
      </c>
      <c r="N1971" t="s">
        <v>45</v>
      </c>
      <c r="O1971" t="s">
        <v>23</v>
      </c>
      <c r="P1971" t="s">
        <v>441</v>
      </c>
      <c r="Q1971" t="s">
        <v>133</v>
      </c>
      <c r="R1971" t="s">
        <v>284</v>
      </c>
      <c r="S1971" s="33">
        <v>0.4</v>
      </c>
      <c r="T1971" s="13">
        <v>41.957999999999998</v>
      </c>
      <c r="U1971" s="13">
        <v>-9.7902000000000005</v>
      </c>
      <c r="V1971" s="21">
        <f>Table10[[#This Row],[Profit]]/Table10[[#This Row],[Sales]]</f>
        <v>-0.23333333333333336</v>
      </c>
    </row>
    <row r="1972" spans="1:22" x14ac:dyDescent="0.2">
      <c r="A1972">
        <v>1971</v>
      </c>
      <c r="B1972" t="s">
        <v>6089</v>
      </c>
      <c r="C1972" s="1">
        <v>42684</v>
      </c>
      <c r="D1972" s="22">
        <f>MONTH(Table10[[#This Row],[Order Date]])</f>
        <v>11</v>
      </c>
      <c r="E1972" t="s">
        <v>6090</v>
      </c>
      <c r="F1972" t="s">
        <v>6091</v>
      </c>
      <c r="G1972" s="23" t="s">
        <v>41</v>
      </c>
      <c r="H1972" s="23" t="s">
        <v>82</v>
      </c>
      <c r="I1972" t="s">
        <v>3344</v>
      </c>
      <c r="J1972" t="s">
        <v>92</v>
      </c>
      <c r="K1972" s="22">
        <v>2</v>
      </c>
      <c r="L1972" s="1">
        <v>42688</v>
      </c>
      <c r="M1972" s="22">
        <f>Table10[[#This Row],[Ship Date]]-Table10[[#This Row],[Order Date]]</f>
        <v>4</v>
      </c>
      <c r="N1972" t="s">
        <v>45</v>
      </c>
      <c r="O1972" t="s">
        <v>23</v>
      </c>
      <c r="P1972" t="s">
        <v>441</v>
      </c>
      <c r="Q1972" t="s">
        <v>133</v>
      </c>
      <c r="R1972" t="s">
        <v>284</v>
      </c>
      <c r="S1972" s="33">
        <v>0.2</v>
      </c>
      <c r="T1972" s="13">
        <v>89.567999999999998</v>
      </c>
      <c r="U1972" s="13">
        <v>32.468400000000003</v>
      </c>
      <c r="V1972" s="21">
        <f>Table10[[#This Row],[Profit]]/Table10[[#This Row],[Sales]]</f>
        <v>0.36250000000000004</v>
      </c>
    </row>
    <row r="1973" spans="1:22" x14ac:dyDescent="0.2">
      <c r="A1973">
        <v>1972</v>
      </c>
      <c r="B1973" t="s">
        <v>6089</v>
      </c>
      <c r="C1973" s="1">
        <v>42684</v>
      </c>
      <c r="D1973" s="22">
        <f>MONTH(Table10[[#This Row],[Order Date]])</f>
        <v>11</v>
      </c>
      <c r="E1973" t="s">
        <v>4649</v>
      </c>
      <c r="F1973" t="s">
        <v>4650</v>
      </c>
      <c r="G1973" s="23" t="s">
        <v>41</v>
      </c>
      <c r="H1973" s="23" t="s">
        <v>82</v>
      </c>
      <c r="I1973" t="s">
        <v>3344</v>
      </c>
      <c r="J1973" t="s">
        <v>92</v>
      </c>
      <c r="K1973" s="22">
        <v>3</v>
      </c>
      <c r="L1973" s="1">
        <v>42688</v>
      </c>
      <c r="M1973" s="22">
        <f>Table10[[#This Row],[Ship Date]]-Table10[[#This Row],[Order Date]]</f>
        <v>4</v>
      </c>
      <c r="N1973" t="s">
        <v>45</v>
      </c>
      <c r="O1973" t="s">
        <v>23</v>
      </c>
      <c r="P1973" t="s">
        <v>441</v>
      </c>
      <c r="Q1973" t="s">
        <v>133</v>
      </c>
      <c r="R1973" t="s">
        <v>284</v>
      </c>
      <c r="S1973" s="33">
        <v>0.2</v>
      </c>
      <c r="T1973" s="13">
        <v>22.248000000000001</v>
      </c>
      <c r="U1973" s="13">
        <v>7.5087000000000002</v>
      </c>
      <c r="V1973" s="21">
        <f>Table10[[#This Row],[Profit]]/Table10[[#This Row],[Sales]]</f>
        <v>0.33749999999999997</v>
      </c>
    </row>
    <row r="1974" spans="1:22" x14ac:dyDescent="0.2">
      <c r="A1974">
        <v>1973</v>
      </c>
      <c r="B1974" t="s">
        <v>6089</v>
      </c>
      <c r="C1974" s="1">
        <v>42684</v>
      </c>
      <c r="D1974" s="22">
        <f>MONTH(Table10[[#This Row],[Order Date]])</f>
        <v>11</v>
      </c>
      <c r="E1974" t="s">
        <v>1879</v>
      </c>
      <c r="F1974" t="s">
        <v>1880</v>
      </c>
      <c r="G1974" s="23" t="s">
        <v>41</v>
      </c>
      <c r="H1974" s="23" t="s">
        <v>71</v>
      </c>
      <c r="I1974" t="s">
        <v>3344</v>
      </c>
      <c r="J1974" t="s">
        <v>92</v>
      </c>
      <c r="K1974" s="22">
        <v>4</v>
      </c>
      <c r="L1974" s="1">
        <v>42688</v>
      </c>
      <c r="M1974" s="22">
        <f>Table10[[#This Row],[Ship Date]]-Table10[[#This Row],[Order Date]]</f>
        <v>4</v>
      </c>
      <c r="N1974" t="s">
        <v>45</v>
      </c>
      <c r="O1974" t="s">
        <v>23</v>
      </c>
      <c r="P1974" t="s">
        <v>441</v>
      </c>
      <c r="Q1974" t="s">
        <v>133</v>
      </c>
      <c r="R1974" t="s">
        <v>284</v>
      </c>
      <c r="S1974" s="33">
        <v>0.2</v>
      </c>
      <c r="T1974" s="13">
        <v>334.88</v>
      </c>
      <c r="U1974" s="13">
        <v>29.302</v>
      </c>
      <c r="V1974" s="21">
        <f>Table10[[#This Row],[Profit]]/Table10[[#This Row],[Sales]]</f>
        <v>8.7499999999999994E-2</v>
      </c>
    </row>
    <row r="1975" spans="1:22" x14ac:dyDescent="0.2">
      <c r="A1975">
        <v>1974</v>
      </c>
      <c r="B1975" t="s">
        <v>6089</v>
      </c>
      <c r="C1975" s="1">
        <v>42684</v>
      </c>
      <c r="D1975" s="22">
        <f>MONTH(Table10[[#This Row],[Order Date]])</f>
        <v>11</v>
      </c>
      <c r="E1975" t="s">
        <v>3843</v>
      </c>
      <c r="F1975" t="s">
        <v>3844</v>
      </c>
      <c r="G1975" s="23" t="s">
        <v>28</v>
      </c>
      <c r="H1975" s="23" t="s">
        <v>58</v>
      </c>
      <c r="I1975" t="s">
        <v>3344</v>
      </c>
      <c r="J1975" t="s">
        <v>92</v>
      </c>
      <c r="K1975" s="22">
        <v>7</v>
      </c>
      <c r="L1975" s="1">
        <v>42688</v>
      </c>
      <c r="M1975" s="22">
        <f>Table10[[#This Row],[Ship Date]]-Table10[[#This Row],[Order Date]]</f>
        <v>4</v>
      </c>
      <c r="N1975" t="s">
        <v>45</v>
      </c>
      <c r="O1975" t="s">
        <v>23</v>
      </c>
      <c r="P1975" t="s">
        <v>441</v>
      </c>
      <c r="Q1975" t="s">
        <v>133</v>
      </c>
      <c r="R1975" t="s">
        <v>284</v>
      </c>
      <c r="S1975" s="33">
        <v>0.2</v>
      </c>
      <c r="T1975" s="13">
        <v>148.28800000000001</v>
      </c>
      <c r="U1975" s="13">
        <v>29.657599999999999</v>
      </c>
      <c r="V1975" s="21">
        <f>Table10[[#This Row],[Profit]]/Table10[[#This Row],[Sales]]</f>
        <v>0.19999999999999998</v>
      </c>
    </row>
    <row r="1976" spans="1:22" x14ac:dyDescent="0.2">
      <c r="A1976">
        <v>1975</v>
      </c>
      <c r="B1976" t="s">
        <v>6089</v>
      </c>
      <c r="C1976" s="1">
        <v>42684</v>
      </c>
      <c r="D1976" s="22">
        <f>MONTH(Table10[[#This Row],[Order Date]])</f>
        <v>11</v>
      </c>
      <c r="E1976" t="s">
        <v>3003</v>
      </c>
      <c r="F1976" t="s">
        <v>3004</v>
      </c>
      <c r="G1976" s="23" t="s">
        <v>41</v>
      </c>
      <c r="H1976" s="23" t="s">
        <v>82</v>
      </c>
      <c r="I1976" t="s">
        <v>3344</v>
      </c>
      <c r="J1976" t="s">
        <v>92</v>
      </c>
      <c r="K1976" s="22">
        <v>1</v>
      </c>
      <c r="L1976" s="1">
        <v>42688</v>
      </c>
      <c r="M1976" s="22">
        <f>Table10[[#This Row],[Ship Date]]-Table10[[#This Row],[Order Date]]</f>
        <v>4</v>
      </c>
      <c r="N1976" t="s">
        <v>45</v>
      </c>
      <c r="O1976" t="s">
        <v>23</v>
      </c>
      <c r="P1976" t="s">
        <v>441</v>
      </c>
      <c r="Q1976" t="s">
        <v>133</v>
      </c>
      <c r="R1976" t="s">
        <v>284</v>
      </c>
      <c r="S1976" s="33">
        <v>0.2</v>
      </c>
      <c r="T1976" s="13">
        <v>4.6239999999999997</v>
      </c>
      <c r="U1976" s="13">
        <v>1.6761999999999999</v>
      </c>
      <c r="V1976" s="21">
        <f>Table10[[#This Row],[Profit]]/Table10[[#This Row],[Sales]]</f>
        <v>0.36249999999999999</v>
      </c>
    </row>
    <row r="1977" spans="1:22" x14ac:dyDescent="0.2">
      <c r="A1977">
        <v>1976</v>
      </c>
      <c r="B1977" t="s">
        <v>6089</v>
      </c>
      <c r="C1977" s="1">
        <v>42684</v>
      </c>
      <c r="D1977" s="22">
        <f>MONTH(Table10[[#This Row],[Order Date]])</f>
        <v>11</v>
      </c>
      <c r="E1977" t="s">
        <v>4994</v>
      </c>
      <c r="F1977" t="s">
        <v>6092</v>
      </c>
      <c r="G1977" s="23" t="s">
        <v>64</v>
      </c>
      <c r="H1977" s="23" t="s">
        <v>144</v>
      </c>
      <c r="I1977" t="s">
        <v>3344</v>
      </c>
      <c r="J1977" t="s">
        <v>92</v>
      </c>
      <c r="K1977" s="22">
        <v>7</v>
      </c>
      <c r="L1977" s="1">
        <v>42688</v>
      </c>
      <c r="M1977" s="22">
        <f>Table10[[#This Row],[Ship Date]]-Table10[[#This Row],[Order Date]]</f>
        <v>4</v>
      </c>
      <c r="N1977" t="s">
        <v>45</v>
      </c>
      <c r="O1977" t="s">
        <v>23</v>
      </c>
      <c r="P1977" t="s">
        <v>441</v>
      </c>
      <c r="Q1977" t="s">
        <v>133</v>
      </c>
      <c r="R1977" t="s">
        <v>284</v>
      </c>
      <c r="S1977" s="33">
        <v>0.2</v>
      </c>
      <c r="T1977" s="13">
        <v>178.92</v>
      </c>
      <c r="U1977" s="13">
        <v>-29.0745</v>
      </c>
      <c r="V1977" s="21">
        <f>Table10[[#This Row],[Profit]]/Table10[[#This Row],[Sales]]</f>
        <v>-0.16250000000000001</v>
      </c>
    </row>
    <row r="1978" spans="1:22" x14ac:dyDescent="0.2">
      <c r="A1978">
        <v>1977</v>
      </c>
      <c r="B1978" t="s">
        <v>6089</v>
      </c>
      <c r="C1978" s="1">
        <v>42684</v>
      </c>
      <c r="D1978" s="22">
        <f>MONTH(Table10[[#This Row],[Order Date]])</f>
        <v>11</v>
      </c>
      <c r="E1978" t="s">
        <v>4251</v>
      </c>
      <c r="F1978" t="s">
        <v>4252</v>
      </c>
      <c r="G1978" s="23" t="s">
        <v>41</v>
      </c>
      <c r="H1978" s="23" t="s">
        <v>68</v>
      </c>
      <c r="I1978" t="s">
        <v>3344</v>
      </c>
      <c r="J1978" t="s">
        <v>92</v>
      </c>
      <c r="K1978" s="22">
        <v>7</v>
      </c>
      <c r="L1978" s="1">
        <v>42688</v>
      </c>
      <c r="M1978" s="22">
        <f>Table10[[#This Row],[Ship Date]]-Table10[[#This Row],[Order Date]]</f>
        <v>4</v>
      </c>
      <c r="N1978" t="s">
        <v>45</v>
      </c>
      <c r="O1978" t="s">
        <v>23</v>
      </c>
      <c r="P1978" t="s">
        <v>441</v>
      </c>
      <c r="Q1978" t="s">
        <v>133</v>
      </c>
      <c r="R1978" t="s">
        <v>284</v>
      </c>
      <c r="S1978" s="33">
        <v>0.7</v>
      </c>
      <c r="T1978" s="13">
        <v>69.888000000000005</v>
      </c>
      <c r="U1978" s="13">
        <v>-46.591999999999999</v>
      </c>
      <c r="V1978" s="21">
        <f>Table10[[#This Row],[Profit]]/Table10[[#This Row],[Sales]]</f>
        <v>-0.66666666666666663</v>
      </c>
    </row>
    <row r="1979" spans="1:22" x14ac:dyDescent="0.2">
      <c r="A1979">
        <v>1978</v>
      </c>
      <c r="B1979" t="s">
        <v>6313</v>
      </c>
      <c r="C1979" s="1">
        <v>42684</v>
      </c>
      <c r="D1979" s="22">
        <f>MONTH(Table10[[#This Row],[Order Date]])</f>
        <v>11</v>
      </c>
      <c r="E1979" t="s">
        <v>2227</v>
      </c>
      <c r="F1979" t="s">
        <v>2228</v>
      </c>
      <c r="G1979" s="23" t="s">
        <v>64</v>
      </c>
      <c r="H1979" s="23" t="s">
        <v>144</v>
      </c>
      <c r="I1979" t="s">
        <v>3519</v>
      </c>
      <c r="J1979" t="s">
        <v>22</v>
      </c>
      <c r="K1979" s="22">
        <v>7</v>
      </c>
      <c r="L1979" s="1">
        <v>42688</v>
      </c>
      <c r="M1979" s="22">
        <f>Table10[[#This Row],[Ship Date]]-Table10[[#This Row],[Order Date]]</f>
        <v>4</v>
      </c>
      <c r="N1979" t="s">
        <v>45</v>
      </c>
      <c r="O1979" t="s">
        <v>23</v>
      </c>
      <c r="P1979" t="s">
        <v>94</v>
      </c>
      <c r="Q1979" t="s">
        <v>95</v>
      </c>
      <c r="R1979" t="s">
        <v>165</v>
      </c>
      <c r="S1979" s="33">
        <v>0.2</v>
      </c>
      <c r="T1979" s="13">
        <v>279.94400000000002</v>
      </c>
      <c r="U1979" s="13">
        <v>48.990200000000002</v>
      </c>
      <c r="V1979" s="21">
        <f>Table10[[#This Row],[Profit]]/Table10[[#This Row],[Sales]]</f>
        <v>0.17499999999999999</v>
      </c>
    </row>
    <row r="1980" spans="1:22" x14ac:dyDescent="0.2">
      <c r="A1980">
        <v>1979</v>
      </c>
      <c r="B1980" t="s">
        <v>6811</v>
      </c>
      <c r="C1980" s="1">
        <v>42684</v>
      </c>
      <c r="D1980" s="22">
        <f>MONTH(Table10[[#This Row],[Order Date]])</f>
        <v>11</v>
      </c>
      <c r="E1980" t="s">
        <v>6370</v>
      </c>
      <c r="F1980" t="s">
        <v>6371</v>
      </c>
      <c r="G1980" s="23" t="s">
        <v>28</v>
      </c>
      <c r="H1980" s="23" t="s">
        <v>58</v>
      </c>
      <c r="I1980" t="s">
        <v>2663</v>
      </c>
      <c r="J1980" t="s">
        <v>36</v>
      </c>
      <c r="K1980" s="22">
        <v>2</v>
      </c>
      <c r="L1980" s="1">
        <v>42688</v>
      </c>
      <c r="M1980" s="22">
        <f>Table10[[#This Row],[Ship Date]]-Table10[[#This Row],[Order Date]]</f>
        <v>4</v>
      </c>
      <c r="N1980" t="s">
        <v>45</v>
      </c>
      <c r="O1980" t="s">
        <v>23</v>
      </c>
      <c r="P1980" t="s">
        <v>528</v>
      </c>
      <c r="Q1980" t="s">
        <v>95</v>
      </c>
      <c r="R1980" t="s">
        <v>284</v>
      </c>
      <c r="S1980" s="33">
        <v>0</v>
      </c>
      <c r="T1980" s="13">
        <v>37.299999999999997</v>
      </c>
      <c r="U1980" s="13">
        <v>17.158000000000001</v>
      </c>
      <c r="V1980" s="21">
        <f>Table10[[#This Row],[Profit]]/Table10[[#This Row],[Sales]]</f>
        <v>0.46000000000000008</v>
      </c>
    </row>
    <row r="1981" spans="1:22" x14ac:dyDescent="0.2">
      <c r="A1981">
        <v>1980</v>
      </c>
      <c r="B1981" t="s">
        <v>6811</v>
      </c>
      <c r="C1981" s="1">
        <v>42684</v>
      </c>
      <c r="D1981" s="22">
        <f>MONTH(Table10[[#This Row],[Order Date]])</f>
        <v>11</v>
      </c>
      <c r="E1981" t="s">
        <v>2755</v>
      </c>
      <c r="F1981" t="s">
        <v>2756</v>
      </c>
      <c r="G1981" s="23" t="s">
        <v>41</v>
      </c>
      <c r="H1981" s="23" t="s">
        <v>68</v>
      </c>
      <c r="I1981" t="s">
        <v>2663</v>
      </c>
      <c r="J1981" t="s">
        <v>36</v>
      </c>
      <c r="K1981" s="22">
        <v>2</v>
      </c>
      <c r="L1981" s="1">
        <v>42688</v>
      </c>
      <c r="M1981" s="22">
        <f>Table10[[#This Row],[Ship Date]]-Table10[[#This Row],[Order Date]]</f>
        <v>4</v>
      </c>
      <c r="N1981" t="s">
        <v>45</v>
      </c>
      <c r="O1981" t="s">
        <v>23</v>
      </c>
      <c r="P1981" t="s">
        <v>528</v>
      </c>
      <c r="Q1981" t="s">
        <v>95</v>
      </c>
      <c r="R1981" t="s">
        <v>284</v>
      </c>
      <c r="S1981" s="33">
        <v>0</v>
      </c>
      <c r="T1981" s="13">
        <v>81.96</v>
      </c>
      <c r="U1981" s="13">
        <v>39.340800000000002</v>
      </c>
      <c r="V1981" s="21">
        <f>Table10[[#This Row],[Profit]]/Table10[[#This Row],[Sales]]</f>
        <v>0.48000000000000004</v>
      </c>
    </row>
    <row r="1982" spans="1:22" x14ac:dyDescent="0.2">
      <c r="A1982">
        <v>1981</v>
      </c>
      <c r="B1982" t="s">
        <v>7081</v>
      </c>
      <c r="C1982" s="1">
        <v>42684</v>
      </c>
      <c r="D1982" s="22">
        <f>MONTH(Table10[[#This Row],[Order Date]])</f>
        <v>11</v>
      </c>
      <c r="E1982" t="s">
        <v>3407</v>
      </c>
      <c r="F1982" t="s">
        <v>3408</v>
      </c>
      <c r="G1982" s="23" t="s">
        <v>41</v>
      </c>
      <c r="H1982" s="23" t="s">
        <v>68</v>
      </c>
      <c r="I1982" t="s">
        <v>518</v>
      </c>
      <c r="J1982" t="s">
        <v>36</v>
      </c>
      <c r="K1982" s="22">
        <v>1</v>
      </c>
      <c r="L1982" s="1">
        <v>42688</v>
      </c>
      <c r="M1982" s="22">
        <f>Table10[[#This Row],[Ship Date]]-Table10[[#This Row],[Order Date]]</f>
        <v>4</v>
      </c>
      <c r="N1982" t="s">
        <v>45</v>
      </c>
      <c r="O1982" t="s">
        <v>23</v>
      </c>
      <c r="P1982" t="s">
        <v>238</v>
      </c>
      <c r="Q1982" t="s">
        <v>133</v>
      </c>
      <c r="R1982" t="s">
        <v>237</v>
      </c>
      <c r="S1982" s="33">
        <v>0.2</v>
      </c>
      <c r="T1982" s="13">
        <v>20.367999999999999</v>
      </c>
      <c r="U1982" s="13">
        <v>7.3834</v>
      </c>
      <c r="V1982" s="21">
        <f>Table10[[#This Row],[Profit]]/Table10[[#This Row],[Sales]]</f>
        <v>0.36250000000000004</v>
      </c>
    </row>
    <row r="1983" spans="1:22" x14ac:dyDescent="0.2">
      <c r="A1983">
        <v>1982</v>
      </c>
      <c r="B1983" t="s">
        <v>7081</v>
      </c>
      <c r="C1983" s="1">
        <v>42684</v>
      </c>
      <c r="D1983" s="22">
        <f>MONTH(Table10[[#This Row],[Order Date]])</f>
        <v>11</v>
      </c>
      <c r="E1983" t="s">
        <v>1224</v>
      </c>
      <c r="F1983" t="s">
        <v>1225</v>
      </c>
      <c r="G1983" s="23" t="s">
        <v>41</v>
      </c>
      <c r="H1983" s="23" t="s">
        <v>68</v>
      </c>
      <c r="I1983" t="s">
        <v>518</v>
      </c>
      <c r="J1983" t="s">
        <v>36</v>
      </c>
      <c r="K1983" s="22">
        <v>3</v>
      </c>
      <c r="L1983" s="1">
        <v>42688</v>
      </c>
      <c r="M1983" s="22">
        <f>Table10[[#This Row],[Ship Date]]-Table10[[#This Row],[Order Date]]</f>
        <v>4</v>
      </c>
      <c r="N1983" t="s">
        <v>45</v>
      </c>
      <c r="O1983" t="s">
        <v>23</v>
      </c>
      <c r="P1983" t="s">
        <v>238</v>
      </c>
      <c r="Q1983" t="s">
        <v>133</v>
      </c>
      <c r="R1983" t="s">
        <v>237</v>
      </c>
      <c r="S1983" s="33">
        <v>0.2</v>
      </c>
      <c r="T1983" s="13">
        <v>49.847999999999999</v>
      </c>
      <c r="U1983" s="13">
        <v>16.823699999999999</v>
      </c>
      <c r="V1983" s="21">
        <f>Table10[[#This Row],[Profit]]/Table10[[#This Row],[Sales]]</f>
        <v>0.33749999999999997</v>
      </c>
    </row>
    <row r="1984" spans="1:22" x14ac:dyDescent="0.2">
      <c r="A1984">
        <v>1983</v>
      </c>
      <c r="B1984" t="s">
        <v>7207</v>
      </c>
      <c r="C1984" s="1">
        <v>42684</v>
      </c>
      <c r="D1984" s="22">
        <f>MONTH(Table10[[#This Row],[Order Date]])</f>
        <v>11</v>
      </c>
      <c r="E1984" t="s">
        <v>5347</v>
      </c>
      <c r="F1984" t="s">
        <v>5348</v>
      </c>
      <c r="G1984" s="23" t="s">
        <v>41</v>
      </c>
      <c r="H1984" s="23" t="s">
        <v>82</v>
      </c>
      <c r="I1984" t="s">
        <v>3566</v>
      </c>
      <c r="J1984" t="s">
        <v>22</v>
      </c>
      <c r="K1984" s="22">
        <v>3</v>
      </c>
      <c r="L1984" s="1">
        <v>42687</v>
      </c>
      <c r="M1984" s="22">
        <f>Table10[[#This Row],[Ship Date]]-Table10[[#This Row],[Order Date]]</f>
        <v>3</v>
      </c>
      <c r="N1984" t="s">
        <v>20</v>
      </c>
      <c r="O1984" t="s">
        <v>23</v>
      </c>
      <c r="P1984" t="s">
        <v>38</v>
      </c>
      <c r="Q1984" t="s">
        <v>39</v>
      </c>
      <c r="R1984" t="s">
        <v>37</v>
      </c>
      <c r="S1984" s="33">
        <v>0</v>
      </c>
      <c r="T1984" s="13">
        <v>67.709999999999994</v>
      </c>
      <c r="U1984" s="13">
        <v>32.500799999999998</v>
      </c>
      <c r="V1984" s="21">
        <f>Table10[[#This Row],[Profit]]/Table10[[#This Row],[Sales]]</f>
        <v>0.48000000000000004</v>
      </c>
    </row>
    <row r="1985" spans="1:22" x14ac:dyDescent="0.2">
      <c r="A1985">
        <v>1984</v>
      </c>
      <c r="B1985" t="s">
        <v>7207</v>
      </c>
      <c r="C1985" s="1">
        <v>42684</v>
      </c>
      <c r="D1985" s="22">
        <f>MONTH(Table10[[#This Row],[Order Date]])</f>
        <v>11</v>
      </c>
      <c r="E1985" t="s">
        <v>2728</v>
      </c>
      <c r="F1985" t="s">
        <v>2729</v>
      </c>
      <c r="G1985" s="23" t="s">
        <v>41</v>
      </c>
      <c r="H1985" s="23" t="s">
        <v>71</v>
      </c>
      <c r="I1985" t="s">
        <v>3566</v>
      </c>
      <c r="J1985" t="s">
        <v>22</v>
      </c>
      <c r="K1985" s="22">
        <v>4</v>
      </c>
      <c r="L1985" s="1">
        <v>42687</v>
      </c>
      <c r="M1985" s="22">
        <f>Table10[[#This Row],[Ship Date]]-Table10[[#This Row],[Order Date]]</f>
        <v>3</v>
      </c>
      <c r="N1985" t="s">
        <v>20</v>
      </c>
      <c r="O1985" t="s">
        <v>23</v>
      </c>
      <c r="P1985" t="s">
        <v>38</v>
      </c>
      <c r="Q1985" t="s">
        <v>39</v>
      </c>
      <c r="R1985" t="s">
        <v>37</v>
      </c>
      <c r="S1985" s="33">
        <v>0</v>
      </c>
      <c r="T1985" s="13">
        <v>129.91999999999999</v>
      </c>
      <c r="U1985" s="13">
        <v>38.975999999999999</v>
      </c>
      <c r="V1985" s="21">
        <f>Table10[[#This Row],[Profit]]/Table10[[#This Row],[Sales]]</f>
        <v>0.30000000000000004</v>
      </c>
    </row>
    <row r="1986" spans="1:22" x14ac:dyDescent="0.2">
      <c r="A1986">
        <v>1985</v>
      </c>
      <c r="B1986" t="s">
        <v>7207</v>
      </c>
      <c r="C1986" s="1">
        <v>42684</v>
      </c>
      <c r="D1986" s="22">
        <f>MONTH(Table10[[#This Row],[Order Date]])</f>
        <v>11</v>
      </c>
      <c r="E1986" t="s">
        <v>2358</v>
      </c>
      <c r="F1986" t="s">
        <v>2359</v>
      </c>
      <c r="G1986" s="23" t="s">
        <v>28</v>
      </c>
      <c r="H1986" s="23" t="s">
        <v>58</v>
      </c>
      <c r="I1986" t="s">
        <v>3566</v>
      </c>
      <c r="J1986" t="s">
        <v>22</v>
      </c>
      <c r="K1986" s="22">
        <v>9</v>
      </c>
      <c r="L1986" s="1">
        <v>42687</v>
      </c>
      <c r="M1986" s="22">
        <f>Table10[[#This Row],[Ship Date]]-Table10[[#This Row],[Order Date]]</f>
        <v>3</v>
      </c>
      <c r="N1986" t="s">
        <v>20</v>
      </c>
      <c r="O1986" t="s">
        <v>23</v>
      </c>
      <c r="P1986" t="s">
        <v>38</v>
      </c>
      <c r="Q1986" t="s">
        <v>39</v>
      </c>
      <c r="R1986" t="s">
        <v>37</v>
      </c>
      <c r="S1986" s="33">
        <v>0</v>
      </c>
      <c r="T1986" s="13">
        <v>467.46</v>
      </c>
      <c r="U1986" s="13">
        <v>191.65860000000001</v>
      </c>
      <c r="V1986" s="21">
        <f>Table10[[#This Row],[Profit]]/Table10[[#This Row],[Sales]]</f>
        <v>0.41000000000000003</v>
      </c>
    </row>
    <row r="1987" spans="1:22" x14ac:dyDescent="0.2">
      <c r="A1987">
        <v>1986</v>
      </c>
      <c r="B1987" t="s">
        <v>7207</v>
      </c>
      <c r="C1987" s="1">
        <v>42684</v>
      </c>
      <c r="D1987" s="22">
        <f>MONTH(Table10[[#This Row],[Order Date]])</f>
        <v>11</v>
      </c>
      <c r="E1987" t="s">
        <v>6577</v>
      </c>
      <c r="F1987" t="s">
        <v>6578</v>
      </c>
      <c r="G1987" s="23" t="s">
        <v>41</v>
      </c>
      <c r="H1987" s="23" t="s">
        <v>82</v>
      </c>
      <c r="I1987" t="s">
        <v>3566</v>
      </c>
      <c r="J1987" t="s">
        <v>22</v>
      </c>
      <c r="K1987" s="22">
        <v>5</v>
      </c>
      <c r="L1987" s="1">
        <v>42687</v>
      </c>
      <c r="M1987" s="22">
        <f>Table10[[#This Row],[Ship Date]]-Table10[[#This Row],[Order Date]]</f>
        <v>3</v>
      </c>
      <c r="N1987" t="s">
        <v>20</v>
      </c>
      <c r="O1987" t="s">
        <v>23</v>
      </c>
      <c r="P1987" t="s">
        <v>38</v>
      </c>
      <c r="Q1987" t="s">
        <v>39</v>
      </c>
      <c r="R1987" t="s">
        <v>37</v>
      </c>
      <c r="S1987" s="33">
        <v>0</v>
      </c>
      <c r="T1987" s="13">
        <v>61.4</v>
      </c>
      <c r="U1987" s="13">
        <v>28.858000000000001</v>
      </c>
      <c r="V1987" s="21">
        <f>Table10[[#This Row],[Profit]]/Table10[[#This Row],[Sales]]</f>
        <v>0.47000000000000003</v>
      </c>
    </row>
    <row r="1988" spans="1:22" x14ac:dyDescent="0.2">
      <c r="A1988">
        <v>1987</v>
      </c>
      <c r="B1988" t="s">
        <v>7207</v>
      </c>
      <c r="C1988" s="1">
        <v>42684</v>
      </c>
      <c r="D1988" s="22">
        <f>MONTH(Table10[[#This Row],[Order Date]])</f>
        <v>11</v>
      </c>
      <c r="E1988" t="s">
        <v>2527</v>
      </c>
      <c r="F1988" t="s">
        <v>2528</v>
      </c>
      <c r="G1988" s="23" t="s">
        <v>41</v>
      </c>
      <c r="H1988" s="23" t="s">
        <v>53</v>
      </c>
      <c r="I1988" t="s">
        <v>3566</v>
      </c>
      <c r="J1988" t="s">
        <v>22</v>
      </c>
      <c r="K1988" s="22">
        <v>4</v>
      </c>
      <c r="L1988" s="1">
        <v>42687</v>
      </c>
      <c r="M1988" s="22">
        <f>Table10[[#This Row],[Ship Date]]-Table10[[#This Row],[Order Date]]</f>
        <v>3</v>
      </c>
      <c r="N1988" t="s">
        <v>20</v>
      </c>
      <c r="O1988" t="s">
        <v>23</v>
      </c>
      <c r="P1988" t="s">
        <v>38</v>
      </c>
      <c r="Q1988" t="s">
        <v>39</v>
      </c>
      <c r="R1988" t="s">
        <v>37</v>
      </c>
      <c r="S1988" s="33">
        <v>0</v>
      </c>
      <c r="T1988" s="13">
        <v>720.76</v>
      </c>
      <c r="U1988" s="13">
        <v>187.39760000000001</v>
      </c>
      <c r="V1988" s="21">
        <f>Table10[[#This Row],[Profit]]/Table10[[#This Row],[Sales]]</f>
        <v>0.26</v>
      </c>
    </row>
    <row r="1989" spans="1:22" x14ac:dyDescent="0.2">
      <c r="A1989">
        <v>1988</v>
      </c>
      <c r="B1989" t="s">
        <v>7207</v>
      </c>
      <c r="C1989" s="1">
        <v>42684</v>
      </c>
      <c r="D1989" s="22">
        <f>MONTH(Table10[[#This Row],[Order Date]])</f>
        <v>11</v>
      </c>
      <c r="E1989" t="s">
        <v>2993</v>
      </c>
      <c r="F1989" t="s">
        <v>2994</v>
      </c>
      <c r="G1989" s="23" t="s">
        <v>41</v>
      </c>
      <c r="H1989" s="23" t="s">
        <v>68</v>
      </c>
      <c r="I1989" t="s">
        <v>3566</v>
      </c>
      <c r="J1989" t="s">
        <v>22</v>
      </c>
      <c r="K1989" s="22">
        <v>3</v>
      </c>
      <c r="L1989" s="1">
        <v>42687</v>
      </c>
      <c r="M1989" s="22">
        <f>Table10[[#This Row],[Ship Date]]-Table10[[#This Row],[Order Date]]</f>
        <v>3</v>
      </c>
      <c r="N1989" t="s">
        <v>20</v>
      </c>
      <c r="O1989" t="s">
        <v>23</v>
      </c>
      <c r="P1989" t="s">
        <v>38</v>
      </c>
      <c r="Q1989" t="s">
        <v>39</v>
      </c>
      <c r="R1989" t="s">
        <v>37</v>
      </c>
      <c r="S1989" s="33">
        <v>0.2</v>
      </c>
      <c r="T1989" s="13">
        <v>5.1840000000000002</v>
      </c>
      <c r="U1989" s="13">
        <v>1.8144</v>
      </c>
      <c r="V1989" s="21">
        <f>Table10[[#This Row],[Profit]]/Table10[[#This Row],[Sales]]</f>
        <v>0.35</v>
      </c>
    </row>
    <row r="1990" spans="1:22" x14ac:dyDescent="0.2">
      <c r="A1990">
        <v>1989</v>
      </c>
      <c r="B1990" t="s">
        <v>7207</v>
      </c>
      <c r="C1990" s="1">
        <v>42684</v>
      </c>
      <c r="D1990" s="22">
        <f>MONTH(Table10[[#This Row],[Order Date]])</f>
        <v>11</v>
      </c>
      <c r="E1990" t="s">
        <v>6521</v>
      </c>
      <c r="F1990" t="s">
        <v>6522</v>
      </c>
      <c r="G1990" s="23" t="s">
        <v>41</v>
      </c>
      <c r="H1990" s="23" t="s">
        <v>61</v>
      </c>
      <c r="I1990" t="s">
        <v>3566</v>
      </c>
      <c r="J1990" t="s">
        <v>22</v>
      </c>
      <c r="K1990" s="22">
        <v>5</v>
      </c>
      <c r="L1990" s="1">
        <v>42687</v>
      </c>
      <c r="M1990" s="22">
        <f>Table10[[#This Row],[Ship Date]]-Table10[[#This Row],[Order Date]]</f>
        <v>3</v>
      </c>
      <c r="N1990" t="s">
        <v>20</v>
      </c>
      <c r="O1990" t="s">
        <v>23</v>
      </c>
      <c r="P1990" t="s">
        <v>38</v>
      </c>
      <c r="Q1990" t="s">
        <v>39</v>
      </c>
      <c r="R1990" t="s">
        <v>37</v>
      </c>
      <c r="S1990" s="33">
        <v>0</v>
      </c>
      <c r="T1990" s="13">
        <v>14.7</v>
      </c>
      <c r="U1990" s="13">
        <v>3.9689999999999999</v>
      </c>
      <c r="V1990" s="21">
        <f>Table10[[#This Row],[Profit]]/Table10[[#This Row],[Sales]]</f>
        <v>0.27</v>
      </c>
    </row>
    <row r="1991" spans="1:22" x14ac:dyDescent="0.2">
      <c r="A1991">
        <v>1990</v>
      </c>
      <c r="B1991" t="s">
        <v>8325</v>
      </c>
      <c r="C1991" s="1">
        <v>42684</v>
      </c>
      <c r="D1991" s="22">
        <f>MONTH(Table10[[#This Row],[Order Date]])</f>
        <v>11</v>
      </c>
      <c r="E1991" t="s">
        <v>6388</v>
      </c>
      <c r="F1991" t="s">
        <v>6389</v>
      </c>
      <c r="G1991" s="23" t="s">
        <v>28</v>
      </c>
      <c r="H1991" s="23" t="s">
        <v>58</v>
      </c>
      <c r="I1991" t="s">
        <v>3034</v>
      </c>
      <c r="J1991" t="s">
        <v>92</v>
      </c>
      <c r="K1991" s="22">
        <v>1</v>
      </c>
      <c r="L1991" s="1">
        <v>42689</v>
      </c>
      <c r="M1991" s="22">
        <f>Table10[[#This Row],[Ship Date]]-Table10[[#This Row],[Order Date]]</f>
        <v>5</v>
      </c>
      <c r="N1991" t="s">
        <v>45</v>
      </c>
      <c r="O1991" t="s">
        <v>23</v>
      </c>
      <c r="P1991" t="s">
        <v>38</v>
      </c>
      <c r="Q1991" t="s">
        <v>39</v>
      </c>
      <c r="R1991" t="s">
        <v>4790</v>
      </c>
      <c r="S1991" s="33">
        <v>0</v>
      </c>
      <c r="T1991" s="13">
        <v>9.98</v>
      </c>
      <c r="U1991" s="13">
        <v>2.7944</v>
      </c>
      <c r="V1991" s="21">
        <f>Table10[[#This Row],[Profit]]/Table10[[#This Row],[Sales]]</f>
        <v>0.27999999999999997</v>
      </c>
    </row>
    <row r="1992" spans="1:22" x14ac:dyDescent="0.2">
      <c r="A1992">
        <v>1991</v>
      </c>
      <c r="B1992" t="s">
        <v>9207</v>
      </c>
      <c r="C1992" s="1">
        <v>42684</v>
      </c>
      <c r="D1992" s="22">
        <f>MONTH(Table10[[#This Row],[Order Date]])</f>
        <v>11</v>
      </c>
      <c r="E1992" t="s">
        <v>3749</v>
      </c>
      <c r="F1992" t="s">
        <v>3750</v>
      </c>
      <c r="G1992" s="23" t="s">
        <v>41</v>
      </c>
      <c r="H1992" s="23" t="s">
        <v>53</v>
      </c>
      <c r="I1992" t="s">
        <v>1504</v>
      </c>
      <c r="J1992" t="s">
        <v>22</v>
      </c>
      <c r="K1992" s="22">
        <v>1</v>
      </c>
      <c r="L1992" s="1">
        <v>42687</v>
      </c>
      <c r="M1992" s="22">
        <f>Table10[[#This Row],[Ship Date]]-Table10[[#This Row],[Order Date]]</f>
        <v>3</v>
      </c>
      <c r="N1992" t="s">
        <v>169</v>
      </c>
      <c r="O1992" t="s">
        <v>23</v>
      </c>
      <c r="P1992" t="s">
        <v>38</v>
      </c>
      <c r="Q1992" t="s">
        <v>39</v>
      </c>
      <c r="R1992" t="s">
        <v>114</v>
      </c>
      <c r="S1992" s="33">
        <v>0</v>
      </c>
      <c r="T1992" s="13">
        <v>29.74</v>
      </c>
      <c r="U1992" s="13">
        <v>4.4610000000000003</v>
      </c>
      <c r="V1992" s="21">
        <f>Table10[[#This Row],[Profit]]/Table10[[#This Row],[Sales]]</f>
        <v>0.15000000000000002</v>
      </c>
    </row>
    <row r="1993" spans="1:22" x14ac:dyDescent="0.2">
      <c r="A1993">
        <v>1992</v>
      </c>
      <c r="B1993" t="s">
        <v>9327</v>
      </c>
      <c r="C1993" s="1">
        <v>42684</v>
      </c>
      <c r="D1993" s="22">
        <f>MONTH(Table10[[#This Row],[Order Date]])</f>
        <v>11</v>
      </c>
      <c r="E1993" t="s">
        <v>4669</v>
      </c>
      <c r="F1993" t="s">
        <v>4670</v>
      </c>
      <c r="G1993" s="23" t="s">
        <v>41</v>
      </c>
      <c r="H1993" s="23" t="s">
        <v>82</v>
      </c>
      <c r="I1993" t="s">
        <v>2029</v>
      </c>
      <c r="J1993" t="s">
        <v>22</v>
      </c>
      <c r="K1993" s="22">
        <v>6</v>
      </c>
      <c r="L1993" s="1">
        <v>42686</v>
      </c>
      <c r="M1993" s="22">
        <f>Table10[[#This Row],[Ship Date]]-Table10[[#This Row],[Order Date]]</f>
        <v>2</v>
      </c>
      <c r="N1993" t="s">
        <v>169</v>
      </c>
      <c r="O1993" t="s">
        <v>23</v>
      </c>
      <c r="P1993" t="s">
        <v>441</v>
      </c>
      <c r="Q1993" t="s">
        <v>133</v>
      </c>
      <c r="R1993" t="s">
        <v>246</v>
      </c>
      <c r="S1993" s="33">
        <v>0.2</v>
      </c>
      <c r="T1993" s="13">
        <v>31.103999999999999</v>
      </c>
      <c r="U1993" s="13">
        <v>10.8864</v>
      </c>
      <c r="V1993" s="21">
        <f>Table10[[#This Row],[Profit]]/Table10[[#This Row],[Sales]]</f>
        <v>0.35000000000000003</v>
      </c>
    </row>
    <row r="1994" spans="1:22" x14ac:dyDescent="0.2">
      <c r="A1994">
        <v>1993</v>
      </c>
      <c r="B1994" t="s">
        <v>9464</v>
      </c>
      <c r="C1994" s="1">
        <v>42684</v>
      </c>
      <c r="D1994" s="22">
        <f>MONTH(Table10[[#This Row],[Order Date]])</f>
        <v>11</v>
      </c>
      <c r="E1994" t="s">
        <v>7234</v>
      </c>
      <c r="F1994" t="s">
        <v>7235</v>
      </c>
      <c r="G1994" s="23" t="s">
        <v>64</v>
      </c>
      <c r="H1994" s="23" t="s">
        <v>65</v>
      </c>
      <c r="I1994" t="s">
        <v>7149</v>
      </c>
      <c r="J1994" t="s">
        <v>22</v>
      </c>
      <c r="K1994" s="22">
        <v>2</v>
      </c>
      <c r="L1994" s="1">
        <v>42686</v>
      </c>
      <c r="M1994" s="22">
        <f>Table10[[#This Row],[Ship Date]]-Table10[[#This Row],[Order Date]]</f>
        <v>2</v>
      </c>
      <c r="N1994" t="s">
        <v>169</v>
      </c>
      <c r="O1994" t="s">
        <v>23</v>
      </c>
      <c r="P1994" t="s">
        <v>573</v>
      </c>
      <c r="Q1994" t="s">
        <v>95</v>
      </c>
      <c r="R1994" t="s">
        <v>4295</v>
      </c>
      <c r="S1994" s="33">
        <v>0</v>
      </c>
      <c r="T1994" s="13">
        <v>221.98</v>
      </c>
      <c r="U1994" s="13">
        <v>62.154400000000003</v>
      </c>
      <c r="V1994" s="21">
        <f>Table10[[#This Row],[Profit]]/Table10[[#This Row],[Sales]]</f>
        <v>0.28000000000000003</v>
      </c>
    </row>
    <row r="1995" spans="1:22" x14ac:dyDescent="0.2">
      <c r="A1995">
        <v>1994</v>
      </c>
      <c r="B1995" t="s">
        <v>9464</v>
      </c>
      <c r="C1995" s="1">
        <v>42684</v>
      </c>
      <c r="D1995" s="22">
        <f>MONTH(Table10[[#This Row],[Order Date]])</f>
        <v>11</v>
      </c>
      <c r="E1995" t="s">
        <v>3899</v>
      </c>
      <c r="F1995" t="s">
        <v>3900</v>
      </c>
      <c r="G1995" s="23" t="s">
        <v>28</v>
      </c>
      <c r="H1995" s="23" t="s">
        <v>29</v>
      </c>
      <c r="I1995" t="s">
        <v>7149</v>
      </c>
      <c r="J1995" t="s">
        <v>22</v>
      </c>
      <c r="K1995" s="22">
        <v>2</v>
      </c>
      <c r="L1995" s="1">
        <v>42686</v>
      </c>
      <c r="M1995" s="22">
        <f>Table10[[#This Row],[Ship Date]]-Table10[[#This Row],[Order Date]]</f>
        <v>2</v>
      </c>
      <c r="N1995" t="s">
        <v>169</v>
      </c>
      <c r="O1995" t="s">
        <v>23</v>
      </c>
      <c r="P1995" t="s">
        <v>573</v>
      </c>
      <c r="Q1995" t="s">
        <v>95</v>
      </c>
      <c r="R1995" t="s">
        <v>4295</v>
      </c>
      <c r="S1995" s="33">
        <v>0</v>
      </c>
      <c r="T1995" s="13">
        <v>341.96</v>
      </c>
      <c r="U1995" s="13">
        <v>54.7136</v>
      </c>
      <c r="V1995" s="21">
        <f>Table10[[#This Row],[Profit]]/Table10[[#This Row],[Sales]]</f>
        <v>0.16</v>
      </c>
    </row>
    <row r="1996" spans="1:22" x14ac:dyDescent="0.2">
      <c r="A1996">
        <v>1995</v>
      </c>
      <c r="B1996" t="s">
        <v>9723</v>
      </c>
      <c r="C1996" s="1">
        <v>42684</v>
      </c>
      <c r="D1996" s="22">
        <f>MONTH(Table10[[#This Row],[Order Date]])</f>
        <v>11</v>
      </c>
      <c r="E1996" t="s">
        <v>901</v>
      </c>
      <c r="F1996" t="s">
        <v>902</v>
      </c>
      <c r="G1996" s="23" t="s">
        <v>41</v>
      </c>
      <c r="H1996" s="23" t="s">
        <v>68</v>
      </c>
      <c r="I1996" t="s">
        <v>2548</v>
      </c>
      <c r="J1996" t="s">
        <v>22</v>
      </c>
      <c r="K1996" s="22">
        <v>1</v>
      </c>
      <c r="L1996" s="1">
        <v>42688</v>
      </c>
      <c r="M1996" s="22">
        <f>Table10[[#This Row],[Ship Date]]-Table10[[#This Row],[Order Date]]</f>
        <v>4</v>
      </c>
      <c r="N1996" t="s">
        <v>45</v>
      </c>
      <c r="O1996" t="s">
        <v>23</v>
      </c>
      <c r="P1996" t="s">
        <v>238</v>
      </c>
      <c r="Q1996" t="s">
        <v>133</v>
      </c>
      <c r="R1996" t="s">
        <v>237</v>
      </c>
      <c r="S1996" s="33">
        <v>0.2</v>
      </c>
      <c r="T1996" s="13">
        <v>3.64</v>
      </c>
      <c r="U1996" s="13">
        <v>1.365</v>
      </c>
      <c r="V1996" s="21">
        <f>Table10[[#This Row],[Profit]]/Table10[[#This Row],[Sales]]</f>
        <v>0.375</v>
      </c>
    </row>
    <row r="1997" spans="1:22" x14ac:dyDescent="0.2">
      <c r="A1997">
        <v>1996</v>
      </c>
      <c r="B1997" t="s">
        <v>9723</v>
      </c>
      <c r="C1997" s="1">
        <v>42684</v>
      </c>
      <c r="D1997" s="22">
        <f>MONTH(Table10[[#This Row],[Order Date]])</f>
        <v>11</v>
      </c>
      <c r="E1997" t="s">
        <v>5243</v>
      </c>
      <c r="F1997" t="s">
        <v>5244</v>
      </c>
      <c r="G1997" s="23" t="s">
        <v>64</v>
      </c>
      <c r="H1997" s="23" t="s">
        <v>65</v>
      </c>
      <c r="I1997" t="s">
        <v>2548</v>
      </c>
      <c r="J1997" t="s">
        <v>22</v>
      </c>
      <c r="K1997" s="22">
        <v>7</v>
      </c>
      <c r="L1997" s="1">
        <v>42688</v>
      </c>
      <c r="M1997" s="22">
        <f>Table10[[#This Row],[Ship Date]]-Table10[[#This Row],[Order Date]]</f>
        <v>4</v>
      </c>
      <c r="N1997" t="s">
        <v>45</v>
      </c>
      <c r="O1997" t="s">
        <v>23</v>
      </c>
      <c r="P1997" t="s">
        <v>238</v>
      </c>
      <c r="Q1997" t="s">
        <v>133</v>
      </c>
      <c r="R1997" t="s">
        <v>237</v>
      </c>
      <c r="S1997" s="33">
        <v>0</v>
      </c>
      <c r="T1997" s="13">
        <v>881.93</v>
      </c>
      <c r="U1997" s="13">
        <v>220.48249999999999</v>
      </c>
      <c r="V1997" s="21">
        <f>Table10[[#This Row],[Profit]]/Table10[[#This Row],[Sales]]</f>
        <v>0.25</v>
      </c>
    </row>
    <row r="1998" spans="1:22" x14ac:dyDescent="0.2">
      <c r="A1998">
        <v>1997</v>
      </c>
      <c r="B1998" t="s">
        <v>3977</v>
      </c>
      <c r="C1998" s="1">
        <v>42685</v>
      </c>
      <c r="D1998" s="22">
        <f>MONTH(Table10[[#This Row],[Order Date]])</f>
        <v>11</v>
      </c>
      <c r="E1998" t="s">
        <v>2790</v>
      </c>
      <c r="F1998" t="s">
        <v>2791</v>
      </c>
      <c r="G1998" s="23" t="s">
        <v>64</v>
      </c>
      <c r="H1998" s="23" t="s">
        <v>144</v>
      </c>
      <c r="I1998" t="s">
        <v>3136</v>
      </c>
      <c r="J1998" t="s">
        <v>22</v>
      </c>
      <c r="K1998" s="22">
        <v>3</v>
      </c>
      <c r="L1998" s="1">
        <v>42690</v>
      </c>
      <c r="M1998" s="22">
        <f>Table10[[#This Row],[Ship Date]]-Table10[[#This Row],[Order Date]]</f>
        <v>5</v>
      </c>
      <c r="N1998" t="s">
        <v>45</v>
      </c>
      <c r="O1998" t="s">
        <v>23</v>
      </c>
      <c r="P1998" t="s">
        <v>238</v>
      </c>
      <c r="Q1998" t="s">
        <v>133</v>
      </c>
      <c r="R1998" t="s">
        <v>237</v>
      </c>
      <c r="S1998" s="33">
        <v>0</v>
      </c>
      <c r="T1998" s="13">
        <v>59.97</v>
      </c>
      <c r="U1998" s="13">
        <v>14.9925</v>
      </c>
      <c r="V1998" s="21">
        <f>Table10[[#This Row],[Profit]]/Table10[[#This Row],[Sales]]</f>
        <v>0.25</v>
      </c>
    </row>
    <row r="1999" spans="1:22" x14ac:dyDescent="0.2">
      <c r="A1999">
        <v>1998</v>
      </c>
      <c r="B1999" t="s">
        <v>3977</v>
      </c>
      <c r="C1999" s="1">
        <v>42685</v>
      </c>
      <c r="D1999" s="22">
        <f>MONTH(Table10[[#This Row],[Order Date]])</f>
        <v>11</v>
      </c>
      <c r="E1999" t="s">
        <v>824</v>
      </c>
      <c r="F1999" t="s">
        <v>825</v>
      </c>
      <c r="G1999" s="23" t="s">
        <v>41</v>
      </c>
      <c r="H1999" s="23" t="s">
        <v>53</v>
      </c>
      <c r="I1999" t="s">
        <v>3136</v>
      </c>
      <c r="J1999" t="s">
        <v>22</v>
      </c>
      <c r="K1999" s="22">
        <v>1</v>
      </c>
      <c r="L1999" s="1">
        <v>42690</v>
      </c>
      <c r="M1999" s="22">
        <f>Table10[[#This Row],[Ship Date]]-Table10[[#This Row],[Order Date]]</f>
        <v>5</v>
      </c>
      <c r="N1999" t="s">
        <v>45</v>
      </c>
      <c r="O1999" t="s">
        <v>23</v>
      </c>
      <c r="P1999" t="s">
        <v>238</v>
      </c>
      <c r="Q1999" t="s">
        <v>133</v>
      </c>
      <c r="R1999" t="s">
        <v>237</v>
      </c>
      <c r="S1999" s="33">
        <v>0</v>
      </c>
      <c r="T1999" s="13">
        <v>83.36</v>
      </c>
      <c r="U1999" s="13">
        <v>20.84</v>
      </c>
      <c r="V1999" s="21">
        <f>Table10[[#This Row],[Profit]]/Table10[[#This Row],[Sales]]</f>
        <v>0.25</v>
      </c>
    </row>
    <row r="2000" spans="1:22" x14ac:dyDescent="0.2">
      <c r="A2000">
        <v>1999</v>
      </c>
      <c r="B2000" t="s">
        <v>4983</v>
      </c>
      <c r="C2000" s="1">
        <v>42685</v>
      </c>
      <c r="D2000" s="22">
        <f>MONTH(Table10[[#This Row],[Order Date]])</f>
        <v>11</v>
      </c>
      <c r="E2000" t="s">
        <v>3675</v>
      </c>
      <c r="F2000" t="s">
        <v>3676</v>
      </c>
      <c r="G2000" s="23" t="s">
        <v>64</v>
      </c>
      <c r="H2000" s="23" t="s">
        <v>144</v>
      </c>
      <c r="I2000" t="s">
        <v>1355</v>
      </c>
      <c r="J2000" t="s">
        <v>36</v>
      </c>
      <c r="K2000" s="22">
        <v>4</v>
      </c>
      <c r="L2000" s="1">
        <v>42691</v>
      </c>
      <c r="M2000" s="22">
        <f>Table10[[#This Row],[Ship Date]]-Table10[[#This Row],[Order Date]]</f>
        <v>6</v>
      </c>
      <c r="N2000" t="s">
        <v>45</v>
      </c>
      <c r="O2000" t="s">
        <v>23</v>
      </c>
      <c r="P2000" t="s">
        <v>189</v>
      </c>
      <c r="Q2000" t="s">
        <v>95</v>
      </c>
      <c r="R2000" t="s">
        <v>271</v>
      </c>
      <c r="S2000" s="33">
        <v>0.2</v>
      </c>
      <c r="T2000" s="13">
        <v>95.968000000000004</v>
      </c>
      <c r="U2000" s="13">
        <v>1.1996</v>
      </c>
      <c r="V2000" s="21">
        <f>Table10[[#This Row],[Profit]]/Table10[[#This Row],[Sales]]</f>
        <v>1.2499999999999999E-2</v>
      </c>
    </row>
    <row r="2001" spans="1:22" x14ac:dyDescent="0.2">
      <c r="A2001">
        <v>2000</v>
      </c>
      <c r="B2001" t="s">
        <v>4983</v>
      </c>
      <c r="C2001" s="1">
        <v>42685</v>
      </c>
      <c r="D2001" s="22">
        <f>MONTH(Table10[[#This Row],[Order Date]])</f>
        <v>11</v>
      </c>
      <c r="E2001" t="s">
        <v>3012</v>
      </c>
      <c r="F2001" t="s">
        <v>3013</v>
      </c>
      <c r="G2001" s="23" t="s">
        <v>28</v>
      </c>
      <c r="H2001" s="23" t="s">
        <v>32</v>
      </c>
      <c r="I2001" t="s">
        <v>1355</v>
      </c>
      <c r="J2001" t="s">
        <v>36</v>
      </c>
      <c r="K2001" s="22">
        <v>2</v>
      </c>
      <c r="L2001" s="1">
        <v>42691</v>
      </c>
      <c r="M2001" s="22">
        <f>Table10[[#This Row],[Ship Date]]-Table10[[#This Row],[Order Date]]</f>
        <v>6</v>
      </c>
      <c r="N2001" t="s">
        <v>45</v>
      </c>
      <c r="O2001" t="s">
        <v>23</v>
      </c>
      <c r="P2001" t="s">
        <v>189</v>
      </c>
      <c r="Q2001" t="s">
        <v>95</v>
      </c>
      <c r="R2001" t="s">
        <v>271</v>
      </c>
      <c r="S2001" s="33">
        <v>0.3</v>
      </c>
      <c r="T2001" s="13">
        <v>47.991999999999997</v>
      </c>
      <c r="U2001" s="13">
        <v>-2.0568</v>
      </c>
      <c r="V2001" s="21">
        <f>Table10[[#This Row],[Profit]]/Table10[[#This Row],[Sales]]</f>
        <v>-4.2857142857142858E-2</v>
      </c>
    </row>
    <row r="2002" spans="1:22" x14ac:dyDescent="0.2">
      <c r="A2002">
        <v>2001</v>
      </c>
      <c r="B2002" t="s">
        <v>5308</v>
      </c>
      <c r="C2002" s="1">
        <v>42685</v>
      </c>
      <c r="D2002" s="22">
        <f>MONTH(Table10[[#This Row],[Order Date]])</f>
        <v>11</v>
      </c>
      <c r="E2002" t="s">
        <v>3306</v>
      </c>
      <c r="F2002" t="s">
        <v>3307</v>
      </c>
      <c r="G2002" s="23" t="s">
        <v>64</v>
      </c>
      <c r="H2002" s="23" t="s">
        <v>65</v>
      </c>
      <c r="I2002" t="s">
        <v>3243</v>
      </c>
      <c r="J2002" t="s">
        <v>22</v>
      </c>
      <c r="K2002" s="22">
        <v>2</v>
      </c>
      <c r="L2002" s="1">
        <v>42690</v>
      </c>
      <c r="M2002" s="22">
        <f>Table10[[#This Row],[Ship Date]]-Table10[[#This Row],[Order Date]]</f>
        <v>5</v>
      </c>
      <c r="N2002" t="s">
        <v>45</v>
      </c>
      <c r="O2002" t="s">
        <v>23</v>
      </c>
      <c r="P2002" t="s">
        <v>212</v>
      </c>
      <c r="Q2002" t="s">
        <v>95</v>
      </c>
      <c r="R2002" t="s">
        <v>775</v>
      </c>
      <c r="S2002" s="33">
        <v>0</v>
      </c>
      <c r="T2002" s="13">
        <v>257.98</v>
      </c>
      <c r="U2002" s="13">
        <v>74.8142</v>
      </c>
      <c r="V2002" s="21">
        <f>Table10[[#This Row],[Profit]]/Table10[[#This Row],[Sales]]</f>
        <v>0.28999999999999998</v>
      </c>
    </row>
    <row r="2003" spans="1:22" x14ac:dyDescent="0.2">
      <c r="A2003">
        <v>2002</v>
      </c>
      <c r="B2003" t="s">
        <v>5406</v>
      </c>
      <c r="C2003" s="1">
        <v>42685</v>
      </c>
      <c r="D2003" s="22">
        <f>MONTH(Table10[[#This Row],[Order Date]])</f>
        <v>11</v>
      </c>
      <c r="E2003" t="s">
        <v>2924</v>
      </c>
      <c r="F2003" t="s">
        <v>2925</v>
      </c>
      <c r="G2003" s="23" t="s">
        <v>28</v>
      </c>
      <c r="H2003" s="23" t="s">
        <v>58</v>
      </c>
      <c r="I2003" t="s">
        <v>2333</v>
      </c>
      <c r="J2003" t="s">
        <v>22</v>
      </c>
      <c r="K2003" s="22">
        <v>4</v>
      </c>
      <c r="L2003" s="1">
        <v>42690</v>
      </c>
      <c r="M2003" s="22">
        <f>Table10[[#This Row],[Ship Date]]-Table10[[#This Row],[Order Date]]</f>
        <v>5</v>
      </c>
      <c r="N2003" t="s">
        <v>20</v>
      </c>
      <c r="O2003" t="s">
        <v>23</v>
      </c>
      <c r="P2003" t="s">
        <v>38</v>
      </c>
      <c r="Q2003" t="s">
        <v>39</v>
      </c>
      <c r="R2003" t="s">
        <v>114</v>
      </c>
      <c r="S2003" s="33">
        <v>0</v>
      </c>
      <c r="T2003" s="13">
        <v>6.96</v>
      </c>
      <c r="U2003" s="13">
        <v>2.2271999999999998</v>
      </c>
      <c r="V2003" s="21">
        <f>Table10[[#This Row],[Profit]]/Table10[[#This Row],[Sales]]</f>
        <v>0.32</v>
      </c>
    </row>
    <row r="2004" spans="1:22" x14ac:dyDescent="0.2">
      <c r="A2004">
        <v>2003</v>
      </c>
      <c r="B2004" t="s">
        <v>6979</v>
      </c>
      <c r="C2004" s="1">
        <v>42685</v>
      </c>
      <c r="D2004" s="22">
        <f>MONTH(Table10[[#This Row],[Order Date]])</f>
        <v>11</v>
      </c>
      <c r="E2004" t="s">
        <v>369</v>
      </c>
      <c r="F2004" t="s">
        <v>370</v>
      </c>
      <c r="G2004" s="23" t="s">
        <v>41</v>
      </c>
      <c r="H2004" s="23" t="s">
        <v>68</v>
      </c>
      <c r="I2004" t="s">
        <v>5787</v>
      </c>
      <c r="J2004" t="s">
        <v>92</v>
      </c>
      <c r="K2004" s="22">
        <v>2</v>
      </c>
      <c r="L2004" s="1">
        <v>42689</v>
      </c>
      <c r="M2004" s="22">
        <f>Table10[[#This Row],[Ship Date]]-Table10[[#This Row],[Order Date]]</f>
        <v>4</v>
      </c>
      <c r="N2004" t="s">
        <v>45</v>
      </c>
      <c r="O2004" t="s">
        <v>23</v>
      </c>
      <c r="P2004" t="s">
        <v>48</v>
      </c>
      <c r="Q2004" t="s">
        <v>26</v>
      </c>
      <c r="R2004" t="s">
        <v>4191</v>
      </c>
      <c r="S2004" s="33">
        <v>0.7</v>
      </c>
      <c r="T2004" s="13">
        <v>9.8879999999999999</v>
      </c>
      <c r="U2004" s="13">
        <v>-6.9215999999999998</v>
      </c>
      <c r="V2004" s="21">
        <f>Table10[[#This Row],[Profit]]/Table10[[#This Row],[Sales]]</f>
        <v>-0.7</v>
      </c>
    </row>
    <row r="2005" spans="1:22" x14ac:dyDescent="0.2">
      <c r="A2005">
        <v>2004</v>
      </c>
      <c r="B2005" t="s">
        <v>6979</v>
      </c>
      <c r="C2005" s="1">
        <v>42685</v>
      </c>
      <c r="D2005" s="22">
        <f>MONTH(Table10[[#This Row],[Order Date]])</f>
        <v>11</v>
      </c>
      <c r="E2005" t="s">
        <v>529</v>
      </c>
      <c r="F2005" t="s">
        <v>530</v>
      </c>
      <c r="G2005" s="23" t="s">
        <v>41</v>
      </c>
      <c r="H2005" s="23" t="s">
        <v>71</v>
      </c>
      <c r="I2005" t="s">
        <v>5787</v>
      </c>
      <c r="J2005" t="s">
        <v>92</v>
      </c>
      <c r="K2005" s="22">
        <v>3</v>
      </c>
      <c r="L2005" s="1">
        <v>42689</v>
      </c>
      <c r="M2005" s="22">
        <f>Table10[[#This Row],[Ship Date]]-Table10[[#This Row],[Order Date]]</f>
        <v>4</v>
      </c>
      <c r="N2005" t="s">
        <v>45</v>
      </c>
      <c r="O2005" t="s">
        <v>23</v>
      </c>
      <c r="P2005" t="s">
        <v>48</v>
      </c>
      <c r="Q2005" t="s">
        <v>26</v>
      </c>
      <c r="R2005" t="s">
        <v>4191</v>
      </c>
      <c r="S2005" s="33">
        <v>0.2</v>
      </c>
      <c r="T2005" s="13">
        <v>671.54399999999998</v>
      </c>
      <c r="U2005" s="13">
        <v>50.3658</v>
      </c>
      <c r="V2005" s="21">
        <f>Table10[[#This Row],[Profit]]/Table10[[#This Row],[Sales]]</f>
        <v>7.4999999999999997E-2</v>
      </c>
    </row>
    <row r="2006" spans="1:22" x14ac:dyDescent="0.2">
      <c r="A2006">
        <v>2005</v>
      </c>
      <c r="B2006" t="s">
        <v>8473</v>
      </c>
      <c r="C2006" s="1">
        <v>42685</v>
      </c>
      <c r="D2006" s="22">
        <f>MONTH(Table10[[#This Row],[Order Date]])</f>
        <v>11</v>
      </c>
      <c r="E2006" t="s">
        <v>4224</v>
      </c>
      <c r="F2006" t="s">
        <v>2339</v>
      </c>
      <c r="G2006" s="23" t="s">
        <v>41</v>
      </c>
      <c r="H2006" s="23" t="s">
        <v>53</v>
      </c>
      <c r="I2006" t="s">
        <v>3648</v>
      </c>
      <c r="J2006" t="s">
        <v>36</v>
      </c>
      <c r="K2006" s="22">
        <v>3</v>
      </c>
      <c r="L2006" s="1">
        <v>42690</v>
      </c>
      <c r="M2006" s="22">
        <f>Table10[[#This Row],[Ship Date]]-Table10[[#This Row],[Order Date]]</f>
        <v>5</v>
      </c>
      <c r="N2006" t="s">
        <v>45</v>
      </c>
      <c r="O2006" t="s">
        <v>23</v>
      </c>
      <c r="P2006" t="s">
        <v>238</v>
      </c>
      <c r="Q2006" t="s">
        <v>133</v>
      </c>
      <c r="R2006" t="s">
        <v>237</v>
      </c>
      <c r="S2006" s="33">
        <v>0</v>
      </c>
      <c r="T2006" s="13">
        <v>28.14</v>
      </c>
      <c r="U2006" s="13">
        <v>7.8792</v>
      </c>
      <c r="V2006" s="21">
        <f>Table10[[#This Row],[Profit]]/Table10[[#This Row],[Sales]]</f>
        <v>0.27999999999999997</v>
      </c>
    </row>
    <row r="2007" spans="1:22" x14ac:dyDescent="0.2">
      <c r="A2007">
        <v>2006</v>
      </c>
      <c r="B2007" t="s">
        <v>8473</v>
      </c>
      <c r="C2007" s="1">
        <v>42685</v>
      </c>
      <c r="D2007" s="22">
        <f>MONTH(Table10[[#This Row],[Order Date]])</f>
        <v>11</v>
      </c>
      <c r="E2007" t="s">
        <v>5981</v>
      </c>
      <c r="F2007" t="s">
        <v>5982</v>
      </c>
      <c r="G2007" s="23" t="s">
        <v>64</v>
      </c>
      <c r="H2007" s="23" t="s">
        <v>144</v>
      </c>
      <c r="I2007" t="s">
        <v>3648</v>
      </c>
      <c r="J2007" t="s">
        <v>36</v>
      </c>
      <c r="K2007" s="22">
        <v>2</v>
      </c>
      <c r="L2007" s="1">
        <v>42690</v>
      </c>
      <c r="M2007" s="22">
        <f>Table10[[#This Row],[Ship Date]]-Table10[[#This Row],[Order Date]]</f>
        <v>5</v>
      </c>
      <c r="N2007" t="s">
        <v>45</v>
      </c>
      <c r="O2007" t="s">
        <v>23</v>
      </c>
      <c r="P2007" t="s">
        <v>238</v>
      </c>
      <c r="Q2007" t="s">
        <v>133</v>
      </c>
      <c r="R2007" t="s">
        <v>237</v>
      </c>
      <c r="S2007" s="33">
        <v>0</v>
      </c>
      <c r="T2007" s="13">
        <v>36</v>
      </c>
      <c r="U2007" s="13">
        <v>6.48</v>
      </c>
      <c r="V2007" s="21">
        <f>Table10[[#This Row],[Profit]]/Table10[[#This Row],[Sales]]</f>
        <v>0.18000000000000002</v>
      </c>
    </row>
    <row r="2008" spans="1:22" x14ac:dyDescent="0.2">
      <c r="A2008">
        <v>2007</v>
      </c>
      <c r="B2008" t="s">
        <v>8473</v>
      </c>
      <c r="C2008" s="1">
        <v>42685</v>
      </c>
      <c r="D2008" s="22">
        <f>MONTH(Table10[[#This Row],[Order Date]])</f>
        <v>11</v>
      </c>
      <c r="E2008" t="s">
        <v>1025</v>
      </c>
      <c r="F2008" t="s">
        <v>1026</v>
      </c>
      <c r="G2008" s="23" t="s">
        <v>41</v>
      </c>
      <c r="H2008" s="23" t="s">
        <v>61</v>
      </c>
      <c r="I2008" t="s">
        <v>3648</v>
      </c>
      <c r="J2008" t="s">
        <v>36</v>
      </c>
      <c r="K2008" s="22">
        <v>3</v>
      </c>
      <c r="L2008" s="1">
        <v>42690</v>
      </c>
      <c r="M2008" s="22">
        <f>Table10[[#This Row],[Ship Date]]-Table10[[#This Row],[Order Date]]</f>
        <v>5</v>
      </c>
      <c r="N2008" t="s">
        <v>45</v>
      </c>
      <c r="O2008" t="s">
        <v>23</v>
      </c>
      <c r="P2008" t="s">
        <v>238</v>
      </c>
      <c r="Q2008" t="s">
        <v>133</v>
      </c>
      <c r="R2008" t="s">
        <v>237</v>
      </c>
      <c r="S2008" s="33">
        <v>0</v>
      </c>
      <c r="T2008" s="13">
        <v>92.94</v>
      </c>
      <c r="U2008" s="13">
        <v>25.093800000000002</v>
      </c>
      <c r="V2008" s="21">
        <f>Table10[[#This Row],[Profit]]/Table10[[#This Row],[Sales]]</f>
        <v>0.27</v>
      </c>
    </row>
    <row r="2009" spans="1:22" x14ac:dyDescent="0.2">
      <c r="A2009">
        <v>2008</v>
      </c>
      <c r="B2009" t="s">
        <v>8473</v>
      </c>
      <c r="C2009" s="1">
        <v>42685</v>
      </c>
      <c r="D2009" s="22">
        <f>MONTH(Table10[[#This Row],[Order Date]])</f>
        <v>11</v>
      </c>
      <c r="E2009" t="s">
        <v>4287</v>
      </c>
      <c r="F2009" t="s">
        <v>4288</v>
      </c>
      <c r="G2009" s="23" t="s">
        <v>28</v>
      </c>
      <c r="H2009" s="23" t="s">
        <v>32</v>
      </c>
      <c r="I2009" t="s">
        <v>3648</v>
      </c>
      <c r="J2009" t="s">
        <v>36</v>
      </c>
      <c r="K2009" s="22">
        <v>3</v>
      </c>
      <c r="L2009" s="1">
        <v>42690</v>
      </c>
      <c r="M2009" s="22">
        <f>Table10[[#This Row],[Ship Date]]-Table10[[#This Row],[Order Date]]</f>
        <v>5</v>
      </c>
      <c r="N2009" t="s">
        <v>45</v>
      </c>
      <c r="O2009" t="s">
        <v>23</v>
      </c>
      <c r="P2009" t="s">
        <v>238</v>
      </c>
      <c r="Q2009" t="s">
        <v>133</v>
      </c>
      <c r="R2009" t="s">
        <v>237</v>
      </c>
      <c r="S2009" s="33">
        <v>0.1</v>
      </c>
      <c r="T2009" s="13">
        <v>245.64599999999999</v>
      </c>
      <c r="U2009" s="13">
        <v>8.1882000000000001</v>
      </c>
      <c r="V2009" s="21">
        <f>Table10[[#This Row],[Profit]]/Table10[[#This Row],[Sales]]</f>
        <v>3.3333333333333333E-2</v>
      </c>
    </row>
    <row r="2010" spans="1:22" x14ac:dyDescent="0.2">
      <c r="A2010">
        <v>2009</v>
      </c>
      <c r="B2010" t="s">
        <v>8473</v>
      </c>
      <c r="C2010" s="1">
        <v>42685</v>
      </c>
      <c r="D2010" s="22">
        <f>MONTH(Table10[[#This Row],[Order Date]])</f>
        <v>11</v>
      </c>
      <c r="E2010" t="s">
        <v>2441</v>
      </c>
      <c r="F2010" t="s">
        <v>2442</v>
      </c>
      <c r="G2010" s="23" t="s">
        <v>41</v>
      </c>
      <c r="H2010" s="23" t="s">
        <v>68</v>
      </c>
      <c r="I2010" t="s">
        <v>3648</v>
      </c>
      <c r="J2010" t="s">
        <v>36</v>
      </c>
      <c r="K2010" s="22">
        <v>3</v>
      </c>
      <c r="L2010" s="1">
        <v>42690</v>
      </c>
      <c r="M2010" s="22">
        <f>Table10[[#This Row],[Ship Date]]-Table10[[#This Row],[Order Date]]</f>
        <v>5</v>
      </c>
      <c r="N2010" t="s">
        <v>45</v>
      </c>
      <c r="O2010" t="s">
        <v>23</v>
      </c>
      <c r="P2010" t="s">
        <v>238</v>
      </c>
      <c r="Q2010" t="s">
        <v>133</v>
      </c>
      <c r="R2010" t="s">
        <v>237</v>
      </c>
      <c r="S2010" s="33">
        <v>0.2</v>
      </c>
      <c r="T2010" s="13">
        <v>55.008000000000003</v>
      </c>
      <c r="U2010" s="13">
        <v>17.190000000000001</v>
      </c>
      <c r="V2010" s="21">
        <f>Table10[[#This Row],[Profit]]/Table10[[#This Row],[Sales]]</f>
        <v>0.3125</v>
      </c>
    </row>
    <row r="2011" spans="1:22" x14ac:dyDescent="0.2">
      <c r="A2011">
        <v>2010</v>
      </c>
      <c r="B2011" t="s">
        <v>8473</v>
      </c>
      <c r="C2011" s="1">
        <v>42685</v>
      </c>
      <c r="D2011" s="22">
        <f>MONTH(Table10[[#This Row],[Order Date]])</f>
        <v>11</v>
      </c>
      <c r="E2011" t="s">
        <v>3110</v>
      </c>
      <c r="F2011" t="s">
        <v>3111</v>
      </c>
      <c r="G2011" s="23" t="s">
        <v>41</v>
      </c>
      <c r="H2011" s="23" t="s">
        <v>68</v>
      </c>
      <c r="I2011" t="s">
        <v>3648</v>
      </c>
      <c r="J2011" t="s">
        <v>36</v>
      </c>
      <c r="K2011" s="22">
        <v>3</v>
      </c>
      <c r="L2011" s="1">
        <v>42690</v>
      </c>
      <c r="M2011" s="22">
        <f>Table10[[#This Row],[Ship Date]]-Table10[[#This Row],[Order Date]]</f>
        <v>5</v>
      </c>
      <c r="N2011" t="s">
        <v>45</v>
      </c>
      <c r="O2011" t="s">
        <v>23</v>
      </c>
      <c r="P2011" t="s">
        <v>238</v>
      </c>
      <c r="Q2011" t="s">
        <v>133</v>
      </c>
      <c r="R2011" t="s">
        <v>237</v>
      </c>
      <c r="S2011" s="33">
        <v>0.2</v>
      </c>
      <c r="T2011" s="13">
        <v>35.231999999999999</v>
      </c>
      <c r="U2011" s="13">
        <v>11.4504</v>
      </c>
      <c r="V2011" s="21">
        <f>Table10[[#This Row],[Profit]]/Table10[[#This Row],[Sales]]</f>
        <v>0.32500000000000001</v>
      </c>
    </row>
    <row r="2012" spans="1:22" x14ac:dyDescent="0.2">
      <c r="A2012">
        <v>2011</v>
      </c>
      <c r="B2012" t="s">
        <v>9063</v>
      </c>
      <c r="C2012" s="1">
        <v>42685</v>
      </c>
      <c r="D2012" s="22">
        <f>MONTH(Table10[[#This Row],[Order Date]])</f>
        <v>11</v>
      </c>
      <c r="E2012" t="s">
        <v>428</v>
      </c>
      <c r="F2012" t="s">
        <v>429</v>
      </c>
      <c r="G2012" s="23" t="s">
        <v>28</v>
      </c>
      <c r="H2012" s="23" t="s">
        <v>58</v>
      </c>
      <c r="I2012" t="s">
        <v>1682</v>
      </c>
      <c r="J2012" t="s">
        <v>22</v>
      </c>
      <c r="K2012" s="22">
        <v>2</v>
      </c>
      <c r="L2012" s="1">
        <v>42690</v>
      </c>
      <c r="M2012" s="22">
        <f>Table10[[#This Row],[Ship Date]]-Table10[[#This Row],[Order Date]]</f>
        <v>5</v>
      </c>
      <c r="N2012" t="s">
        <v>45</v>
      </c>
      <c r="O2012" t="s">
        <v>23</v>
      </c>
      <c r="P2012" t="s">
        <v>38</v>
      </c>
      <c r="Q2012" t="s">
        <v>39</v>
      </c>
      <c r="R2012" t="s">
        <v>114</v>
      </c>
      <c r="S2012" s="33">
        <v>0</v>
      </c>
      <c r="T2012" s="13">
        <v>41.96</v>
      </c>
      <c r="U2012" s="13">
        <v>10.909599999999999</v>
      </c>
      <c r="V2012" s="21">
        <f>Table10[[#This Row],[Profit]]/Table10[[#This Row],[Sales]]</f>
        <v>0.25999999999999995</v>
      </c>
    </row>
    <row r="2013" spans="1:22" x14ac:dyDescent="0.2">
      <c r="A2013">
        <v>2012</v>
      </c>
      <c r="B2013" t="s">
        <v>9063</v>
      </c>
      <c r="C2013" s="1">
        <v>42685</v>
      </c>
      <c r="D2013" s="22">
        <f>MONTH(Table10[[#This Row],[Order Date]])</f>
        <v>11</v>
      </c>
      <c r="E2013" t="s">
        <v>1707</v>
      </c>
      <c r="F2013" t="s">
        <v>1708</v>
      </c>
      <c r="G2013" s="23" t="s">
        <v>28</v>
      </c>
      <c r="H2013" s="23" t="s">
        <v>32</v>
      </c>
      <c r="I2013" t="s">
        <v>1682</v>
      </c>
      <c r="J2013" t="s">
        <v>22</v>
      </c>
      <c r="K2013" s="22">
        <v>3</v>
      </c>
      <c r="L2013" s="1">
        <v>42690</v>
      </c>
      <c r="M2013" s="22">
        <f>Table10[[#This Row],[Ship Date]]-Table10[[#This Row],[Order Date]]</f>
        <v>5</v>
      </c>
      <c r="N2013" t="s">
        <v>45</v>
      </c>
      <c r="O2013" t="s">
        <v>23</v>
      </c>
      <c r="P2013" t="s">
        <v>38</v>
      </c>
      <c r="Q2013" t="s">
        <v>39</v>
      </c>
      <c r="R2013" t="s">
        <v>114</v>
      </c>
      <c r="S2013" s="33">
        <v>0.2</v>
      </c>
      <c r="T2013" s="13">
        <v>451.15199999999999</v>
      </c>
      <c r="U2013" s="13">
        <v>0</v>
      </c>
      <c r="V2013" s="21">
        <f>Table10[[#This Row],[Profit]]/Table10[[#This Row],[Sales]]</f>
        <v>0</v>
      </c>
    </row>
    <row r="2014" spans="1:22" x14ac:dyDescent="0.2">
      <c r="A2014">
        <v>2013</v>
      </c>
      <c r="B2014" t="s">
        <v>9063</v>
      </c>
      <c r="C2014" s="1">
        <v>42685</v>
      </c>
      <c r="D2014" s="22">
        <f>MONTH(Table10[[#This Row],[Order Date]])</f>
        <v>11</v>
      </c>
      <c r="E2014" t="s">
        <v>661</v>
      </c>
      <c r="F2014" t="s">
        <v>662</v>
      </c>
      <c r="G2014" s="23" t="s">
        <v>41</v>
      </c>
      <c r="H2014" s="23" t="s">
        <v>68</v>
      </c>
      <c r="I2014" t="s">
        <v>1682</v>
      </c>
      <c r="J2014" t="s">
        <v>22</v>
      </c>
      <c r="K2014" s="22">
        <v>11</v>
      </c>
      <c r="L2014" s="1">
        <v>42690</v>
      </c>
      <c r="M2014" s="22">
        <f>Table10[[#This Row],[Ship Date]]-Table10[[#This Row],[Order Date]]</f>
        <v>5</v>
      </c>
      <c r="N2014" t="s">
        <v>45</v>
      </c>
      <c r="O2014" t="s">
        <v>23</v>
      </c>
      <c r="P2014" t="s">
        <v>38</v>
      </c>
      <c r="Q2014" t="s">
        <v>39</v>
      </c>
      <c r="R2014" t="s">
        <v>114</v>
      </c>
      <c r="S2014" s="33">
        <v>0.2</v>
      </c>
      <c r="T2014" s="13">
        <v>31.504000000000001</v>
      </c>
      <c r="U2014" s="13">
        <v>11.026400000000001</v>
      </c>
      <c r="V2014" s="21">
        <f>Table10[[#This Row],[Profit]]/Table10[[#This Row],[Sales]]</f>
        <v>0.35000000000000003</v>
      </c>
    </row>
    <row r="2015" spans="1:22" x14ac:dyDescent="0.2">
      <c r="A2015">
        <v>2014</v>
      </c>
      <c r="B2015" t="s">
        <v>9267</v>
      </c>
      <c r="C2015" s="1">
        <v>42685</v>
      </c>
      <c r="D2015" s="22">
        <f>MONTH(Table10[[#This Row],[Order Date]])</f>
        <v>11</v>
      </c>
      <c r="E2015" t="s">
        <v>4704</v>
      </c>
      <c r="F2015" t="s">
        <v>4705</v>
      </c>
      <c r="G2015" s="23" t="s">
        <v>28</v>
      </c>
      <c r="H2015" s="23" t="s">
        <v>50</v>
      </c>
      <c r="I2015" t="s">
        <v>1184</v>
      </c>
      <c r="J2015" t="s">
        <v>36</v>
      </c>
      <c r="K2015" s="22">
        <v>6</v>
      </c>
      <c r="L2015" s="1">
        <v>42691</v>
      </c>
      <c r="M2015" s="22">
        <f>Table10[[#This Row],[Ship Date]]-Table10[[#This Row],[Order Date]]</f>
        <v>6</v>
      </c>
      <c r="N2015" t="s">
        <v>45</v>
      </c>
      <c r="O2015" t="s">
        <v>23</v>
      </c>
      <c r="P2015" t="s">
        <v>226</v>
      </c>
      <c r="Q2015" t="s">
        <v>95</v>
      </c>
      <c r="R2015" t="s">
        <v>5443</v>
      </c>
      <c r="S2015" s="33">
        <v>0</v>
      </c>
      <c r="T2015" s="13">
        <v>2678.94</v>
      </c>
      <c r="U2015" s="13">
        <v>241.1046</v>
      </c>
      <c r="V2015" s="21">
        <f>Table10[[#This Row],[Profit]]/Table10[[#This Row],[Sales]]</f>
        <v>0.09</v>
      </c>
    </row>
    <row r="2016" spans="1:22" x14ac:dyDescent="0.2">
      <c r="A2016">
        <v>2015</v>
      </c>
      <c r="B2016" t="s">
        <v>9807</v>
      </c>
      <c r="C2016" s="1">
        <v>42685</v>
      </c>
      <c r="D2016" s="22">
        <f>MONTH(Table10[[#This Row],[Order Date]])</f>
        <v>11</v>
      </c>
      <c r="E2016" t="s">
        <v>1716</v>
      </c>
      <c r="F2016" t="s">
        <v>1717</v>
      </c>
      <c r="G2016" s="23" t="s">
        <v>41</v>
      </c>
      <c r="H2016" s="23" t="s">
        <v>61</v>
      </c>
      <c r="I2016" t="s">
        <v>9808</v>
      </c>
      <c r="J2016" t="s">
        <v>22</v>
      </c>
      <c r="K2016" s="22">
        <v>6</v>
      </c>
      <c r="L2016" s="1">
        <v>42689</v>
      </c>
      <c r="M2016" s="22">
        <f>Table10[[#This Row],[Ship Date]]-Table10[[#This Row],[Order Date]]</f>
        <v>4</v>
      </c>
      <c r="N2016" t="s">
        <v>45</v>
      </c>
      <c r="O2016" t="s">
        <v>23</v>
      </c>
      <c r="P2016" t="s">
        <v>189</v>
      </c>
      <c r="Q2016" t="s">
        <v>95</v>
      </c>
      <c r="R2016" t="s">
        <v>9809</v>
      </c>
      <c r="S2016" s="33">
        <v>0.2</v>
      </c>
      <c r="T2016" s="13">
        <v>14.112</v>
      </c>
      <c r="U2016" s="13">
        <v>1.2347999999999999</v>
      </c>
      <c r="V2016" s="21">
        <f>Table10[[#This Row],[Profit]]/Table10[[#This Row],[Sales]]</f>
        <v>8.7499999999999994E-2</v>
      </c>
    </row>
    <row r="2017" spans="1:22" x14ac:dyDescent="0.2">
      <c r="A2017">
        <v>2016</v>
      </c>
      <c r="B2017" t="s">
        <v>2786</v>
      </c>
      <c r="C2017" s="1">
        <v>42686</v>
      </c>
      <c r="D2017" s="22">
        <f>MONTH(Table10[[#This Row],[Order Date]])</f>
        <v>11</v>
      </c>
      <c r="E2017" t="s">
        <v>2788</v>
      </c>
      <c r="F2017" t="s">
        <v>2789</v>
      </c>
      <c r="G2017" s="23" t="s">
        <v>41</v>
      </c>
      <c r="H2017" s="23" t="s">
        <v>68</v>
      </c>
      <c r="I2017" t="s">
        <v>2787</v>
      </c>
      <c r="J2017" t="s">
        <v>22</v>
      </c>
      <c r="K2017" s="22">
        <v>5</v>
      </c>
      <c r="L2017" s="1">
        <v>42693</v>
      </c>
      <c r="M2017" s="22">
        <f>Table10[[#This Row],[Ship Date]]-Table10[[#This Row],[Order Date]]</f>
        <v>7</v>
      </c>
      <c r="N2017" t="s">
        <v>45</v>
      </c>
      <c r="O2017" t="s">
        <v>23</v>
      </c>
      <c r="P2017" t="s">
        <v>277</v>
      </c>
      <c r="Q2017" t="s">
        <v>39</v>
      </c>
      <c r="R2017" t="s">
        <v>1613</v>
      </c>
      <c r="S2017" s="33">
        <v>0.7</v>
      </c>
      <c r="T2017" s="13">
        <v>6.27</v>
      </c>
      <c r="U2017" s="13">
        <v>-4.5979999999999999</v>
      </c>
      <c r="V2017" s="21">
        <f>Table10[[#This Row],[Profit]]/Table10[[#This Row],[Sales]]</f>
        <v>-0.73333333333333339</v>
      </c>
    </row>
    <row r="2018" spans="1:22" x14ac:dyDescent="0.2">
      <c r="A2018">
        <v>2017</v>
      </c>
      <c r="B2018" t="s">
        <v>2786</v>
      </c>
      <c r="C2018" s="1">
        <v>42686</v>
      </c>
      <c r="D2018" s="22">
        <f>MONTH(Table10[[#This Row],[Order Date]])</f>
        <v>11</v>
      </c>
      <c r="E2018" t="s">
        <v>921</v>
      </c>
      <c r="F2018" t="s">
        <v>922</v>
      </c>
      <c r="G2018" s="23" t="s">
        <v>41</v>
      </c>
      <c r="H2018" s="23" t="s">
        <v>68</v>
      </c>
      <c r="I2018" t="s">
        <v>2787</v>
      </c>
      <c r="J2018" t="s">
        <v>22</v>
      </c>
      <c r="K2018" s="22">
        <v>7</v>
      </c>
      <c r="L2018" s="1">
        <v>42693</v>
      </c>
      <c r="M2018" s="22">
        <f>Table10[[#This Row],[Ship Date]]-Table10[[#This Row],[Order Date]]</f>
        <v>7</v>
      </c>
      <c r="N2018" t="s">
        <v>45</v>
      </c>
      <c r="O2018" t="s">
        <v>23</v>
      </c>
      <c r="P2018" t="s">
        <v>277</v>
      </c>
      <c r="Q2018" t="s">
        <v>39</v>
      </c>
      <c r="R2018" t="s">
        <v>1613</v>
      </c>
      <c r="S2018" s="33">
        <v>0.7</v>
      </c>
      <c r="T2018" s="13">
        <v>4.3680000000000003</v>
      </c>
      <c r="U2018" s="13">
        <v>-3.3488000000000002</v>
      </c>
      <c r="V2018" s="21">
        <f>Table10[[#This Row],[Profit]]/Table10[[#This Row],[Sales]]</f>
        <v>-0.76666666666666661</v>
      </c>
    </row>
    <row r="2019" spans="1:22" x14ac:dyDescent="0.2">
      <c r="A2019">
        <v>2018</v>
      </c>
      <c r="B2019" t="s">
        <v>2786</v>
      </c>
      <c r="C2019" s="1">
        <v>42686</v>
      </c>
      <c r="D2019" s="22">
        <f>MONTH(Table10[[#This Row],[Order Date]])</f>
        <v>11</v>
      </c>
      <c r="E2019" t="s">
        <v>2790</v>
      </c>
      <c r="F2019" t="s">
        <v>2791</v>
      </c>
      <c r="G2019" s="23" t="s">
        <v>64</v>
      </c>
      <c r="H2019" s="23" t="s">
        <v>144</v>
      </c>
      <c r="I2019" t="s">
        <v>2787</v>
      </c>
      <c r="J2019" t="s">
        <v>22</v>
      </c>
      <c r="K2019" s="22">
        <v>2</v>
      </c>
      <c r="L2019" s="1">
        <v>42693</v>
      </c>
      <c r="M2019" s="22">
        <f>Table10[[#This Row],[Ship Date]]-Table10[[#This Row],[Order Date]]</f>
        <v>7</v>
      </c>
      <c r="N2019" t="s">
        <v>45</v>
      </c>
      <c r="O2019" t="s">
        <v>23</v>
      </c>
      <c r="P2019" t="s">
        <v>277</v>
      </c>
      <c r="Q2019" t="s">
        <v>39</v>
      </c>
      <c r="R2019" t="s">
        <v>1613</v>
      </c>
      <c r="S2019" s="33">
        <v>0.2</v>
      </c>
      <c r="T2019" s="13">
        <v>31.984000000000002</v>
      </c>
      <c r="U2019" s="13">
        <v>1.9990000000000001</v>
      </c>
      <c r="V2019" s="21">
        <f>Table10[[#This Row],[Profit]]/Table10[[#This Row],[Sales]]</f>
        <v>6.25E-2</v>
      </c>
    </row>
    <row r="2020" spans="1:22" x14ac:dyDescent="0.2">
      <c r="A2020">
        <v>2019</v>
      </c>
      <c r="B2020" t="s">
        <v>2896</v>
      </c>
      <c r="C2020" s="1">
        <v>42686</v>
      </c>
      <c r="D2020" s="22">
        <f>MONTH(Table10[[#This Row],[Order Date]])</f>
        <v>11</v>
      </c>
      <c r="E2020" t="s">
        <v>2899</v>
      </c>
      <c r="F2020" t="s">
        <v>2900</v>
      </c>
      <c r="G2020" s="23" t="s">
        <v>41</v>
      </c>
      <c r="H2020" s="23" t="s">
        <v>155</v>
      </c>
      <c r="I2020" t="s">
        <v>2897</v>
      </c>
      <c r="J2020" t="s">
        <v>36</v>
      </c>
      <c r="K2020" s="22">
        <v>8</v>
      </c>
      <c r="L2020" s="1">
        <v>42689</v>
      </c>
      <c r="M2020" s="22">
        <f>Table10[[#This Row],[Ship Date]]-Table10[[#This Row],[Order Date]]</f>
        <v>3</v>
      </c>
      <c r="N2020" t="s">
        <v>20</v>
      </c>
      <c r="O2020" t="s">
        <v>23</v>
      </c>
      <c r="P2020" t="s">
        <v>226</v>
      </c>
      <c r="Q2020" t="s">
        <v>95</v>
      </c>
      <c r="R2020" t="s">
        <v>2898</v>
      </c>
      <c r="S2020" s="33">
        <v>0</v>
      </c>
      <c r="T2020" s="13">
        <v>287.52</v>
      </c>
      <c r="U2020" s="13">
        <v>129.38399999999999</v>
      </c>
      <c r="V2020" s="21">
        <f>Table10[[#This Row],[Profit]]/Table10[[#This Row],[Sales]]</f>
        <v>0.44999999999999996</v>
      </c>
    </row>
    <row r="2021" spans="1:22" x14ac:dyDescent="0.2">
      <c r="A2021">
        <v>2020</v>
      </c>
      <c r="B2021" t="s">
        <v>2896</v>
      </c>
      <c r="C2021" s="1">
        <v>42686</v>
      </c>
      <c r="D2021" s="22">
        <f>MONTH(Table10[[#This Row],[Order Date]])</f>
        <v>11</v>
      </c>
      <c r="E2021" t="s">
        <v>1884</v>
      </c>
      <c r="F2021" t="s">
        <v>1885</v>
      </c>
      <c r="G2021" s="23" t="s">
        <v>41</v>
      </c>
      <c r="H2021" s="23" t="s">
        <v>71</v>
      </c>
      <c r="I2021" t="s">
        <v>2897</v>
      </c>
      <c r="J2021" t="s">
        <v>36</v>
      </c>
      <c r="K2021" s="22">
        <v>2</v>
      </c>
      <c r="L2021" s="1">
        <v>42689</v>
      </c>
      <c r="M2021" s="22">
        <f>Table10[[#This Row],[Ship Date]]-Table10[[#This Row],[Order Date]]</f>
        <v>3</v>
      </c>
      <c r="N2021" t="s">
        <v>20</v>
      </c>
      <c r="O2021" t="s">
        <v>23</v>
      </c>
      <c r="P2021" t="s">
        <v>226</v>
      </c>
      <c r="Q2021" t="s">
        <v>95</v>
      </c>
      <c r="R2021" t="s">
        <v>2898</v>
      </c>
      <c r="S2021" s="33">
        <v>0</v>
      </c>
      <c r="T2021" s="13">
        <v>37.68</v>
      </c>
      <c r="U2021" s="13">
        <v>10.5504</v>
      </c>
      <c r="V2021" s="21">
        <f>Table10[[#This Row],[Profit]]/Table10[[#This Row],[Sales]]</f>
        <v>0.27999999999999997</v>
      </c>
    </row>
    <row r="2022" spans="1:22" x14ac:dyDescent="0.2">
      <c r="A2022">
        <v>2021</v>
      </c>
      <c r="B2022" t="s">
        <v>2896</v>
      </c>
      <c r="C2022" s="1">
        <v>42686</v>
      </c>
      <c r="D2022" s="22">
        <f>MONTH(Table10[[#This Row],[Order Date]])</f>
        <v>11</v>
      </c>
      <c r="E2022" t="s">
        <v>2901</v>
      </c>
      <c r="F2022" t="s">
        <v>2902</v>
      </c>
      <c r="G2022" s="23" t="s">
        <v>41</v>
      </c>
      <c r="H2022" s="23" t="s">
        <v>82</v>
      </c>
      <c r="I2022" t="s">
        <v>2897</v>
      </c>
      <c r="J2022" t="s">
        <v>36</v>
      </c>
      <c r="K2022" s="22">
        <v>2</v>
      </c>
      <c r="L2022" s="1">
        <v>42689</v>
      </c>
      <c r="M2022" s="22">
        <f>Table10[[#This Row],[Ship Date]]-Table10[[#This Row],[Order Date]]</f>
        <v>3</v>
      </c>
      <c r="N2022" t="s">
        <v>20</v>
      </c>
      <c r="O2022" t="s">
        <v>23</v>
      </c>
      <c r="P2022" t="s">
        <v>226</v>
      </c>
      <c r="Q2022" t="s">
        <v>95</v>
      </c>
      <c r="R2022" t="s">
        <v>2898</v>
      </c>
      <c r="S2022" s="33">
        <v>0</v>
      </c>
      <c r="T2022" s="13">
        <v>19.98</v>
      </c>
      <c r="U2022" s="13">
        <v>8.9909999999999997</v>
      </c>
      <c r="V2022" s="21">
        <f>Table10[[#This Row],[Profit]]/Table10[[#This Row],[Sales]]</f>
        <v>0.44999999999999996</v>
      </c>
    </row>
    <row r="2023" spans="1:22" x14ac:dyDescent="0.2">
      <c r="A2023">
        <v>2022</v>
      </c>
      <c r="B2023" t="s">
        <v>2896</v>
      </c>
      <c r="C2023" s="1">
        <v>42686</v>
      </c>
      <c r="D2023" s="22">
        <f>MONTH(Table10[[#This Row],[Order Date]])</f>
        <v>11</v>
      </c>
      <c r="E2023" t="s">
        <v>1716</v>
      </c>
      <c r="F2023" t="s">
        <v>1717</v>
      </c>
      <c r="G2023" s="23" t="s">
        <v>41</v>
      </c>
      <c r="H2023" s="23" t="s">
        <v>61</v>
      </c>
      <c r="I2023" t="s">
        <v>2897</v>
      </c>
      <c r="J2023" t="s">
        <v>36</v>
      </c>
      <c r="K2023" s="22">
        <v>7</v>
      </c>
      <c r="L2023" s="1">
        <v>42689</v>
      </c>
      <c r="M2023" s="22">
        <f>Table10[[#This Row],[Ship Date]]-Table10[[#This Row],[Order Date]]</f>
        <v>3</v>
      </c>
      <c r="N2023" t="s">
        <v>20</v>
      </c>
      <c r="O2023" t="s">
        <v>23</v>
      </c>
      <c r="P2023" t="s">
        <v>226</v>
      </c>
      <c r="Q2023" t="s">
        <v>95</v>
      </c>
      <c r="R2023" t="s">
        <v>2898</v>
      </c>
      <c r="S2023" s="33">
        <v>0</v>
      </c>
      <c r="T2023" s="13">
        <v>20.58</v>
      </c>
      <c r="U2023" s="13">
        <v>5.5566000000000004</v>
      </c>
      <c r="V2023" s="21">
        <f>Table10[[#This Row],[Profit]]/Table10[[#This Row],[Sales]]</f>
        <v>0.27</v>
      </c>
    </row>
    <row r="2024" spans="1:22" x14ac:dyDescent="0.2">
      <c r="A2024">
        <v>2023</v>
      </c>
      <c r="B2024" t="s">
        <v>2896</v>
      </c>
      <c r="C2024" s="1">
        <v>42686</v>
      </c>
      <c r="D2024" s="22">
        <f>MONTH(Table10[[#This Row],[Order Date]])</f>
        <v>11</v>
      </c>
      <c r="E2024" t="s">
        <v>2903</v>
      </c>
      <c r="F2024" t="s">
        <v>2904</v>
      </c>
      <c r="G2024" s="23" t="s">
        <v>41</v>
      </c>
      <c r="H2024" s="23" t="s">
        <v>68</v>
      </c>
      <c r="I2024" t="s">
        <v>2897</v>
      </c>
      <c r="J2024" t="s">
        <v>36</v>
      </c>
      <c r="K2024" s="22">
        <v>2</v>
      </c>
      <c r="L2024" s="1">
        <v>42689</v>
      </c>
      <c r="M2024" s="22">
        <f>Table10[[#This Row],[Ship Date]]-Table10[[#This Row],[Order Date]]</f>
        <v>3</v>
      </c>
      <c r="N2024" t="s">
        <v>20</v>
      </c>
      <c r="O2024" t="s">
        <v>23</v>
      </c>
      <c r="P2024" t="s">
        <v>226</v>
      </c>
      <c r="Q2024" t="s">
        <v>95</v>
      </c>
      <c r="R2024" t="s">
        <v>2898</v>
      </c>
      <c r="S2024" s="33">
        <v>0</v>
      </c>
      <c r="T2024" s="13">
        <v>17.38</v>
      </c>
      <c r="U2024" s="13">
        <v>8.69</v>
      </c>
      <c r="V2024" s="21">
        <f>Table10[[#This Row],[Profit]]/Table10[[#This Row],[Sales]]</f>
        <v>0.5</v>
      </c>
    </row>
    <row r="2025" spans="1:22" x14ac:dyDescent="0.2">
      <c r="A2025">
        <v>2024</v>
      </c>
      <c r="B2025" t="s">
        <v>7912</v>
      </c>
      <c r="C2025" s="1">
        <v>42686</v>
      </c>
      <c r="D2025" s="22">
        <f>MONTH(Table10[[#This Row],[Order Date]])</f>
        <v>11</v>
      </c>
      <c r="E2025" t="s">
        <v>5673</v>
      </c>
      <c r="F2025" t="s">
        <v>5674</v>
      </c>
      <c r="G2025" s="23" t="s">
        <v>28</v>
      </c>
      <c r="H2025" s="23" t="s">
        <v>32</v>
      </c>
      <c r="I2025" t="s">
        <v>6384</v>
      </c>
      <c r="J2025" t="s">
        <v>22</v>
      </c>
      <c r="K2025" s="22">
        <v>7</v>
      </c>
      <c r="L2025" s="1">
        <v>42690</v>
      </c>
      <c r="M2025" s="22">
        <f>Table10[[#This Row],[Ship Date]]-Table10[[#This Row],[Order Date]]</f>
        <v>4</v>
      </c>
      <c r="N2025" t="s">
        <v>45</v>
      </c>
      <c r="O2025" t="s">
        <v>23</v>
      </c>
      <c r="P2025" t="s">
        <v>441</v>
      </c>
      <c r="Q2025" t="s">
        <v>133</v>
      </c>
      <c r="R2025" t="s">
        <v>3414</v>
      </c>
      <c r="S2025" s="33">
        <v>0.3</v>
      </c>
      <c r="T2025" s="13">
        <v>1474.8019999999999</v>
      </c>
      <c r="U2025" s="13">
        <v>-21.0686</v>
      </c>
      <c r="V2025" s="21">
        <f>Table10[[#This Row],[Profit]]/Table10[[#This Row],[Sales]]</f>
        <v>-1.4285714285714287E-2</v>
      </c>
    </row>
    <row r="2026" spans="1:22" x14ac:dyDescent="0.2">
      <c r="A2026">
        <v>2025</v>
      </c>
      <c r="B2026" t="s">
        <v>7912</v>
      </c>
      <c r="C2026" s="1">
        <v>42686</v>
      </c>
      <c r="D2026" s="22">
        <f>MONTH(Table10[[#This Row],[Order Date]])</f>
        <v>11</v>
      </c>
      <c r="E2026" t="s">
        <v>96</v>
      </c>
      <c r="F2026" t="s">
        <v>97</v>
      </c>
      <c r="G2026" s="23" t="s">
        <v>41</v>
      </c>
      <c r="H2026" s="23" t="s">
        <v>71</v>
      </c>
      <c r="I2026" t="s">
        <v>6384</v>
      </c>
      <c r="J2026" t="s">
        <v>22</v>
      </c>
      <c r="K2026" s="22">
        <v>2</v>
      </c>
      <c r="L2026" s="1">
        <v>42690</v>
      </c>
      <c r="M2026" s="22">
        <f>Table10[[#This Row],[Ship Date]]-Table10[[#This Row],[Order Date]]</f>
        <v>4</v>
      </c>
      <c r="N2026" t="s">
        <v>45</v>
      </c>
      <c r="O2026" t="s">
        <v>23</v>
      </c>
      <c r="P2026" t="s">
        <v>441</v>
      </c>
      <c r="Q2026" t="s">
        <v>133</v>
      </c>
      <c r="R2026" t="s">
        <v>3414</v>
      </c>
      <c r="S2026" s="33">
        <v>0.2</v>
      </c>
      <c r="T2026" s="13">
        <v>110.096</v>
      </c>
      <c r="U2026" s="13">
        <v>33.028799999999997</v>
      </c>
      <c r="V2026" s="21">
        <f>Table10[[#This Row],[Profit]]/Table10[[#This Row],[Sales]]</f>
        <v>0.3</v>
      </c>
    </row>
    <row r="2027" spans="1:22" x14ac:dyDescent="0.2">
      <c r="A2027">
        <v>2026</v>
      </c>
      <c r="B2027" t="s">
        <v>7912</v>
      </c>
      <c r="C2027" s="1">
        <v>42686</v>
      </c>
      <c r="D2027" s="22">
        <f>MONTH(Table10[[#This Row],[Order Date]])</f>
        <v>11</v>
      </c>
      <c r="E2027" t="s">
        <v>763</v>
      </c>
      <c r="F2027" t="s">
        <v>764</v>
      </c>
      <c r="G2027" s="23" t="s">
        <v>41</v>
      </c>
      <c r="H2027" s="23" t="s">
        <v>240</v>
      </c>
      <c r="I2027" t="s">
        <v>6384</v>
      </c>
      <c r="J2027" t="s">
        <v>22</v>
      </c>
      <c r="K2027" s="22">
        <v>6</v>
      </c>
      <c r="L2027" s="1">
        <v>42690</v>
      </c>
      <c r="M2027" s="22">
        <f>Table10[[#This Row],[Ship Date]]-Table10[[#This Row],[Order Date]]</f>
        <v>4</v>
      </c>
      <c r="N2027" t="s">
        <v>45</v>
      </c>
      <c r="O2027" t="s">
        <v>23</v>
      </c>
      <c r="P2027" t="s">
        <v>441</v>
      </c>
      <c r="Q2027" t="s">
        <v>133</v>
      </c>
      <c r="R2027" t="s">
        <v>3414</v>
      </c>
      <c r="S2027" s="33">
        <v>0.2</v>
      </c>
      <c r="T2027" s="13">
        <v>16.751999999999999</v>
      </c>
      <c r="U2027" s="13">
        <v>5.4443999999999999</v>
      </c>
      <c r="V2027" s="21">
        <f>Table10[[#This Row],[Profit]]/Table10[[#This Row],[Sales]]</f>
        <v>0.32500000000000001</v>
      </c>
    </row>
    <row r="2028" spans="1:22" x14ac:dyDescent="0.2">
      <c r="A2028">
        <v>2027</v>
      </c>
      <c r="B2028" t="s">
        <v>7912</v>
      </c>
      <c r="C2028" s="1">
        <v>42686</v>
      </c>
      <c r="D2028" s="22">
        <f>MONTH(Table10[[#This Row],[Order Date]])</f>
        <v>11</v>
      </c>
      <c r="E2028" t="s">
        <v>31</v>
      </c>
      <c r="F2028" t="s">
        <v>33</v>
      </c>
      <c r="G2028" s="23" t="s">
        <v>28</v>
      </c>
      <c r="H2028" s="23" t="s">
        <v>32</v>
      </c>
      <c r="I2028" t="s">
        <v>6384</v>
      </c>
      <c r="J2028" t="s">
        <v>22</v>
      </c>
      <c r="K2028" s="22">
        <v>9</v>
      </c>
      <c r="L2028" s="1">
        <v>42690</v>
      </c>
      <c r="M2028" s="22">
        <f>Table10[[#This Row],[Ship Date]]-Table10[[#This Row],[Order Date]]</f>
        <v>4</v>
      </c>
      <c r="N2028" t="s">
        <v>45</v>
      </c>
      <c r="O2028" t="s">
        <v>23</v>
      </c>
      <c r="P2028" t="s">
        <v>441</v>
      </c>
      <c r="Q2028" t="s">
        <v>133</v>
      </c>
      <c r="R2028" t="s">
        <v>3414</v>
      </c>
      <c r="S2028" s="33">
        <v>0.3</v>
      </c>
      <c r="T2028" s="13">
        <v>1537.0740000000001</v>
      </c>
      <c r="U2028" s="13">
        <v>0</v>
      </c>
      <c r="V2028" s="21">
        <f>Table10[[#This Row],[Profit]]/Table10[[#This Row],[Sales]]</f>
        <v>0</v>
      </c>
    </row>
    <row r="2029" spans="1:22" x14ac:dyDescent="0.2">
      <c r="A2029">
        <v>2028</v>
      </c>
      <c r="B2029" t="s">
        <v>7912</v>
      </c>
      <c r="C2029" s="1">
        <v>42686</v>
      </c>
      <c r="D2029" s="22">
        <f>MONTH(Table10[[#This Row],[Order Date]])</f>
        <v>11</v>
      </c>
      <c r="E2029" t="s">
        <v>2143</v>
      </c>
      <c r="F2029" t="s">
        <v>2144</v>
      </c>
      <c r="G2029" s="23" t="s">
        <v>28</v>
      </c>
      <c r="H2029" s="23" t="s">
        <v>32</v>
      </c>
      <c r="I2029" t="s">
        <v>6384</v>
      </c>
      <c r="J2029" t="s">
        <v>22</v>
      </c>
      <c r="K2029" s="22">
        <v>2</v>
      </c>
      <c r="L2029" s="1">
        <v>42690</v>
      </c>
      <c r="M2029" s="22">
        <f>Table10[[#This Row],[Ship Date]]-Table10[[#This Row],[Order Date]]</f>
        <v>4</v>
      </c>
      <c r="N2029" t="s">
        <v>45</v>
      </c>
      <c r="O2029" t="s">
        <v>23</v>
      </c>
      <c r="P2029" t="s">
        <v>441</v>
      </c>
      <c r="Q2029" t="s">
        <v>133</v>
      </c>
      <c r="R2029" t="s">
        <v>3414</v>
      </c>
      <c r="S2029" s="33">
        <v>0.3</v>
      </c>
      <c r="T2029" s="13">
        <v>449.37200000000001</v>
      </c>
      <c r="U2029" s="13">
        <v>-12.8392</v>
      </c>
      <c r="V2029" s="21">
        <f>Table10[[#This Row],[Profit]]/Table10[[#This Row],[Sales]]</f>
        <v>-2.8571428571428571E-2</v>
      </c>
    </row>
    <row r="2030" spans="1:22" x14ac:dyDescent="0.2">
      <c r="A2030">
        <v>2029</v>
      </c>
      <c r="B2030" t="s">
        <v>8558</v>
      </c>
      <c r="C2030" s="1">
        <v>42686</v>
      </c>
      <c r="D2030" s="22">
        <f>MONTH(Table10[[#This Row],[Order Date]])</f>
        <v>11</v>
      </c>
      <c r="E2030" t="s">
        <v>5665</v>
      </c>
      <c r="F2030" t="s">
        <v>5666</v>
      </c>
      <c r="G2030" s="23" t="s">
        <v>64</v>
      </c>
      <c r="H2030" s="23" t="s">
        <v>65</v>
      </c>
      <c r="I2030" t="s">
        <v>822</v>
      </c>
      <c r="J2030" t="s">
        <v>92</v>
      </c>
      <c r="K2030" s="22">
        <v>3</v>
      </c>
      <c r="L2030" s="1">
        <v>42689</v>
      </c>
      <c r="M2030" s="22">
        <f>Table10[[#This Row],[Ship Date]]-Table10[[#This Row],[Order Date]]</f>
        <v>3</v>
      </c>
      <c r="N2030" t="s">
        <v>169</v>
      </c>
      <c r="O2030" t="s">
        <v>23</v>
      </c>
      <c r="P2030" t="s">
        <v>38</v>
      </c>
      <c r="Q2030" t="s">
        <v>39</v>
      </c>
      <c r="R2030" t="s">
        <v>836</v>
      </c>
      <c r="S2030" s="33">
        <v>0.2</v>
      </c>
      <c r="T2030" s="13">
        <v>203.976</v>
      </c>
      <c r="U2030" s="13">
        <v>25.497</v>
      </c>
      <c r="V2030" s="21">
        <f>Table10[[#This Row],[Profit]]/Table10[[#This Row],[Sales]]</f>
        <v>0.125</v>
      </c>
    </row>
    <row r="2031" spans="1:22" x14ac:dyDescent="0.2">
      <c r="A2031">
        <v>2030</v>
      </c>
      <c r="B2031" t="s">
        <v>8558</v>
      </c>
      <c r="C2031" s="1">
        <v>42686</v>
      </c>
      <c r="D2031" s="22">
        <f>MONTH(Table10[[#This Row],[Order Date]])</f>
        <v>11</v>
      </c>
      <c r="E2031" t="s">
        <v>6758</v>
      </c>
      <c r="F2031" t="s">
        <v>6759</v>
      </c>
      <c r="G2031" s="23" t="s">
        <v>28</v>
      </c>
      <c r="H2031" s="23" t="s">
        <v>50</v>
      </c>
      <c r="I2031" t="s">
        <v>822</v>
      </c>
      <c r="J2031" t="s">
        <v>92</v>
      </c>
      <c r="K2031" s="22">
        <v>3</v>
      </c>
      <c r="L2031" s="1">
        <v>42689</v>
      </c>
      <c r="M2031" s="22">
        <f>Table10[[#This Row],[Ship Date]]-Table10[[#This Row],[Order Date]]</f>
        <v>3</v>
      </c>
      <c r="N2031" t="s">
        <v>169</v>
      </c>
      <c r="O2031" t="s">
        <v>23</v>
      </c>
      <c r="P2031" t="s">
        <v>38</v>
      </c>
      <c r="Q2031" t="s">
        <v>39</v>
      </c>
      <c r="R2031" t="s">
        <v>836</v>
      </c>
      <c r="S2031" s="33">
        <v>0.2</v>
      </c>
      <c r="T2031" s="13">
        <v>674.35199999999998</v>
      </c>
      <c r="U2031" s="13">
        <v>-8.4293999999999993</v>
      </c>
      <c r="V2031" s="21">
        <f>Table10[[#This Row],[Profit]]/Table10[[#This Row],[Sales]]</f>
        <v>-1.2499999999999999E-2</v>
      </c>
    </row>
    <row r="2032" spans="1:22" x14ac:dyDescent="0.2">
      <c r="A2032">
        <v>2031</v>
      </c>
      <c r="B2032" t="s">
        <v>8647</v>
      </c>
      <c r="C2032" s="1">
        <v>42686</v>
      </c>
      <c r="D2032" s="22">
        <f>MONTH(Table10[[#This Row],[Order Date]])</f>
        <v>11</v>
      </c>
      <c r="E2032" t="s">
        <v>4199</v>
      </c>
      <c r="F2032" t="s">
        <v>4200</v>
      </c>
      <c r="G2032" s="23" t="s">
        <v>28</v>
      </c>
      <c r="H2032" s="23" t="s">
        <v>58</v>
      </c>
      <c r="I2032" t="s">
        <v>556</v>
      </c>
      <c r="J2032" t="s">
        <v>36</v>
      </c>
      <c r="K2032" s="22">
        <v>6</v>
      </c>
      <c r="L2032" s="1">
        <v>42687</v>
      </c>
      <c r="M2032" s="22">
        <f>Table10[[#This Row],[Ship Date]]-Table10[[#This Row],[Order Date]]</f>
        <v>1</v>
      </c>
      <c r="N2032" t="s">
        <v>169</v>
      </c>
      <c r="O2032" t="s">
        <v>23</v>
      </c>
      <c r="P2032" t="s">
        <v>189</v>
      </c>
      <c r="Q2032" t="s">
        <v>95</v>
      </c>
      <c r="R2032" t="s">
        <v>271</v>
      </c>
      <c r="S2032" s="33">
        <v>0.6</v>
      </c>
      <c r="T2032" s="13">
        <v>22.751999999999999</v>
      </c>
      <c r="U2032" s="13">
        <v>-8.532</v>
      </c>
      <c r="V2032" s="21">
        <f>Table10[[#This Row],[Profit]]/Table10[[#This Row],[Sales]]</f>
        <v>-0.375</v>
      </c>
    </row>
    <row r="2033" spans="1:22" x14ac:dyDescent="0.2">
      <c r="A2033">
        <v>2032</v>
      </c>
      <c r="B2033" t="s">
        <v>2633</v>
      </c>
      <c r="C2033" s="1">
        <v>42687</v>
      </c>
      <c r="D2033" s="22">
        <f>MONTH(Table10[[#This Row],[Order Date]])</f>
        <v>11</v>
      </c>
      <c r="E2033" t="s">
        <v>2281</v>
      </c>
      <c r="F2033" t="s">
        <v>2282</v>
      </c>
      <c r="G2033" s="23" t="s">
        <v>41</v>
      </c>
      <c r="H2033" s="23" t="s">
        <v>61</v>
      </c>
      <c r="I2033" t="s">
        <v>664</v>
      </c>
      <c r="J2033" t="s">
        <v>92</v>
      </c>
      <c r="K2033" s="22">
        <v>2</v>
      </c>
      <c r="L2033" s="1">
        <v>42691</v>
      </c>
      <c r="M2033" s="22">
        <f>Table10[[#This Row],[Ship Date]]-Table10[[#This Row],[Order Date]]</f>
        <v>4</v>
      </c>
      <c r="N2033" t="s">
        <v>45</v>
      </c>
      <c r="O2033" t="s">
        <v>23</v>
      </c>
      <c r="P2033" t="s">
        <v>87</v>
      </c>
      <c r="Q2033" t="s">
        <v>39</v>
      </c>
      <c r="R2033" t="s">
        <v>1888</v>
      </c>
      <c r="S2033" s="33">
        <v>0</v>
      </c>
      <c r="T2033" s="13">
        <v>44.02</v>
      </c>
      <c r="U2033" s="13">
        <v>11.4452</v>
      </c>
      <c r="V2033" s="21">
        <f>Table10[[#This Row],[Profit]]/Table10[[#This Row],[Sales]]</f>
        <v>0.25999999999999995</v>
      </c>
    </row>
    <row r="2034" spans="1:22" x14ac:dyDescent="0.2">
      <c r="A2034">
        <v>2033</v>
      </c>
      <c r="B2034" t="s">
        <v>3500</v>
      </c>
      <c r="C2034" s="1">
        <v>42687</v>
      </c>
      <c r="D2034" s="22">
        <f>MONTH(Table10[[#This Row],[Order Date]])</f>
        <v>11</v>
      </c>
      <c r="E2034" t="s">
        <v>2266</v>
      </c>
      <c r="F2034" t="s">
        <v>2267</v>
      </c>
      <c r="G2034" s="23" t="s">
        <v>41</v>
      </c>
      <c r="H2034" s="23" t="s">
        <v>513</v>
      </c>
      <c r="I2034" t="s">
        <v>3501</v>
      </c>
      <c r="J2034" t="s">
        <v>22</v>
      </c>
      <c r="K2034" s="22">
        <v>7</v>
      </c>
      <c r="L2034" s="1">
        <v>42691</v>
      </c>
      <c r="M2034" s="22">
        <f>Table10[[#This Row],[Ship Date]]-Table10[[#This Row],[Order Date]]</f>
        <v>4</v>
      </c>
      <c r="N2034" t="s">
        <v>45</v>
      </c>
      <c r="O2034" t="s">
        <v>23</v>
      </c>
      <c r="P2034" t="s">
        <v>80</v>
      </c>
      <c r="Q2034" t="s">
        <v>26</v>
      </c>
      <c r="R2034" t="s">
        <v>3502</v>
      </c>
      <c r="S2034" s="33">
        <v>0.2</v>
      </c>
      <c r="T2034" s="13">
        <v>52.136000000000003</v>
      </c>
      <c r="U2034" s="13">
        <v>5.8653000000000004</v>
      </c>
      <c r="V2034" s="21">
        <f>Table10[[#This Row],[Profit]]/Table10[[#This Row],[Sales]]</f>
        <v>0.1125</v>
      </c>
    </row>
    <row r="2035" spans="1:22" x14ac:dyDescent="0.2">
      <c r="A2035">
        <v>2034</v>
      </c>
      <c r="B2035" t="s">
        <v>4010</v>
      </c>
      <c r="C2035" s="1">
        <v>42687</v>
      </c>
      <c r="D2035" s="22">
        <f>MONTH(Table10[[#This Row],[Order Date]])</f>
        <v>11</v>
      </c>
      <c r="E2035" t="s">
        <v>3490</v>
      </c>
      <c r="F2035" t="s">
        <v>3491</v>
      </c>
      <c r="G2035" s="23" t="s">
        <v>28</v>
      </c>
      <c r="H2035" s="23" t="s">
        <v>58</v>
      </c>
      <c r="I2035" t="s">
        <v>1647</v>
      </c>
      <c r="J2035" t="s">
        <v>92</v>
      </c>
      <c r="K2035" s="22">
        <v>1</v>
      </c>
      <c r="L2035" s="1">
        <v>42693</v>
      </c>
      <c r="M2035" s="22">
        <f>Table10[[#This Row],[Ship Date]]-Table10[[#This Row],[Order Date]]</f>
        <v>6</v>
      </c>
      <c r="N2035" t="s">
        <v>45</v>
      </c>
      <c r="O2035" t="s">
        <v>23</v>
      </c>
      <c r="P2035" t="s">
        <v>87</v>
      </c>
      <c r="Q2035" t="s">
        <v>39</v>
      </c>
      <c r="R2035" t="s">
        <v>1380</v>
      </c>
      <c r="S2035" s="33">
        <v>0</v>
      </c>
      <c r="T2035" s="13">
        <v>4.18</v>
      </c>
      <c r="U2035" s="13">
        <v>1.5047999999999999</v>
      </c>
      <c r="V2035" s="21">
        <f>Table10[[#This Row],[Profit]]/Table10[[#This Row],[Sales]]</f>
        <v>0.36</v>
      </c>
    </row>
    <row r="2036" spans="1:22" x14ac:dyDescent="0.2">
      <c r="A2036">
        <v>2035</v>
      </c>
      <c r="B2036" t="s">
        <v>4146</v>
      </c>
      <c r="C2036" s="1">
        <v>42687</v>
      </c>
      <c r="D2036" s="22">
        <f>MONTH(Table10[[#This Row],[Order Date]])</f>
        <v>11</v>
      </c>
      <c r="E2036" t="s">
        <v>3346</v>
      </c>
      <c r="F2036" t="s">
        <v>3347</v>
      </c>
      <c r="G2036" s="23" t="s">
        <v>41</v>
      </c>
      <c r="H2036" s="23" t="s">
        <v>82</v>
      </c>
      <c r="I2036" t="s">
        <v>1878</v>
      </c>
      <c r="J2036" t="s">
        <v>92</v>
      </c>
      <c r="K2036" s="22">
        <v>7</v>
      </c>
      <c r="L2036" s="1">
        <v>42691</v>
      </c>
      <c r="M2036" s="22">
        <f>Table10[[#This Row],[Ship Date]]-Table10[[#This Row],[Order Date]]</f>
        <v>4</v>
      </c>
      <c r="N2036" t="s">
        <v>45</v>
      </c>
      <c r="O2036" t="s">
        <v>23</v>
      </c>
      <c r="P2036" t="s">
        <v>132</v>
      </c>
      <c r="Q2036" t="s">
        <v>133</v>
      </c>
      <c r="R2036" t="s">
        <v>131</v>
      </c>
      <c r="S2036" s="33">
        <v>0.2</v>
      </c>
      <c r="T2036" s="13">
        <v>217.05600000000001</v>
      </c>
      <c r="U2036" s="13">
        <v>78.6828</v>
      </c>
      <c r="V2036" s="21">
        <f>Table10[[#This Row],[Profit]]/Table10[[#This Row],[Sales]]</f>
        <v>0.36249999999999999</v>
      </c>
    </row>
    <row r="2037" spans="1:22" x14ac:dyDescent="0.2">
      <c r="A2037">
        <v>2036</v>
      </c>
      <c r="B2037" t="s">
        <v>5786</v>
      </c>
      <c r="C2037" s="1">
        <v>42687</v>
      </c>
      <c r="D2037" s="22">
        <f>MONTH(Table10[[#This Row],[Order Date]])</f>
        <v>11</v>
      </c>
      <c r="E2037" t="s">
        <v>1574</v>
      </c>
      <c r="F2037" t="s">
        <v>1575</v>
      </c>
      <c r="G2037" s="23" t="s">
        <v>41</v>
      </c>
      <c r="H2037" s="23" t="s">
        <v>68</v>
      </c>
      <c r="I2037" t="s">
        <v>5787</v>
      </c>
      <c r="J2037" t="s">
        <v>92</v>
      </c>
      <c r="K2037" s="22">
        <v>2</v>
      </c>
      <c r="L2037" s="1">
        <v>42691</v>
      </c>
      <c r="M2037" s="22">
        <f>Table10[[#This Row],[Ship Date]]-Table10[[#This Row],[Order Date]]</f>
        <v>4</v>
      </c>
      <c r="N2037" t="s">
        <v>45</v>
      </c>
      <c r="O2037" t="s">
        <v>23</v>
      </c>
      <c r="P2037" t="s">
        <v>189</v>
      </c>
      <c r="Q2037" t="s">
        <v>95</v>
      </c>
      <c r="R2037" t="s">
        <v>5428</v>
      </c>
      <c r="S2037" s="33">
        <v>0.8</v>
      </c>
      <c r="T2037" s="13">
        <v>3.1360000000000001</v>
      </c>
      <c r="U2037" s="13">
        <v>-4.7039999999999997</v>
      </c>
      <c r="V2037" s="21">
        <f>Table10[[#This Row],[Profit]]/Table10[[#This Row],[Sales]]</f>
        <v>-1.4999999999999998</v>
      </c>
    </row>
    <row r="2038" spans="1:22" x14ac:dyDescent="0.2">
      <c r="A2038">
        <v>2037</v>
      </c>
      <c r="B2038" t="s">
        <v>6909</v>
      </c>
      <c r="C2038" s="1">
        <v>42687</v>
      </c>
      <c r="D2038" s="22">
        <f>MONTH(Table10[[#This Row],[Order Date]])</f>
        <v>11</v>
      </c>
      <c r="E2038" t="s">
        <v>643</v>
      </c>
      <c r="F2038" t="s">
        <v>644</v>
      </c>
      <c r="G2038" s="23" t="s">
        <v>41</v>
      </c>
      <c r="H2038" s="23" t="s">
        <v>53</v>
      </c>
      <c r="I2038" t="s">
        <v>2319</v>
      </c>
      <c r="J2038" t="s">
        <v>36</v>
      </c>
      <c r="K2038" s="22">
        <v>5</v>
      </c>
      <c r="L2038" s="1">
        <v>42692</v>
      </c>
      <c r="M2038" s="22">
        <f>Table10[[#This Row],[Ship Date]]-Table10[[#This Row],[Order Date]]</f>
        <v>5</v>
      </c>
      <c r="N2038" t="s">
        <v>45</v>
      </c>
      <c r="O2038" t="s">
        <v>23</v>
      </c>
      <c r="P2038" t="s">
        <v>238</v>
      </c>
      <c r="Q2038" t="s">
        <v>133</v>
      </c>
      <c r="R2038" t="s">
        <v>237</v>
      </c>
      <c r="S2038" s="33">
        <v>0</v>
      </c>
      <c r="T2038" s="13">
        <v>77.55</v>
      </c>
      <c r="U2038" s="13">
        <v>20.163</v>
      </c>
      <c r="V2038" s="21">
        <f>Table10[[#This Row],[Profit]]/Table10[[#This Row],[Sales]]</f>
        <v>0.26</v>
      </c>
    </row>
    <row r="2039" spans="1:22" x14ac:dyDescent="0.2">
      <c r="A2039">
        <v>2038</v>
      </c>
      <c r="B2039" t="s">
        <v>6909</v>
      </c>
      <c r="C2039" s="1">
        <v>42687</v>
      </c>
      <c r="D2039" s="22">
        <f>MONTH(Table10[[#This Row],[Order Date]])</f>
        <v>11</v>
      </c>
      <c r="E2039" t="s">
        <v>916</v>
      </c>
      <c r="F2039" t="s">
        <v>917</v>
      </c>
      <c r="G2039" s="23" t="s">
        <v>41</v>
      </c>
      <c r="H2039" s="23" t="s">
        <v>53</v>
      </c>
      <c r="I2039" t="s">
        <v>2319</v>
      </c>
      <c r="J2039" t="s">
        <v>36</v>
      </c>
      <c r="K2039" s="22">
        <v>2</v>
      </c>
      <c r="L2039" s="1">
        <v>42692</v>
      </c>
      <c r="M2039" s="22">
        <f>Table10[[#This Row],[Ship Date]]-Table10[[#This Row],[Order Date]]</f>
        <v>5</v>
      </c>
      <c r="N2039" t="s">
        <v>45</v>
      </c>
      <c r="O2039" t="s">
        <v>23</v>
      </c>
      <c r="P2039" t="s">
        <v>238</v>
      </c>
      <c r="Q2039" t="s">
        <v>133</v>
      </c>
      <c r="R2039" t="s">
        <v>237</v>
      </c>
      <c r="S2039" s="33">
        <v>0</v>
      </c>
      <c r="T2039" s="13">
        <v>24.88</v>
      </c>
      <c r="U2039" s="13">
        <v>6.9664000000000001</v>
      </c>
      <c r="V2039" s="21">
        <f>Table10[[#This Row],[Profit]]/Table10[[#This Row],[Sales]]</f>
        <v>0.28000000000000003</v>
      </c>
    </row>
    <row r="2040" spans="1:22" x14ac:dyDescent="0.2">
      <c r="A2040">
        <v>2039</v>
      </c>
      <c r="B2040" t="s">
        <v>6909</v>
      </c>
      <c r="C2040" s="1">
        <v>42687</v>
      </c>
      <c r="D2040" s="22">
        <f>MONTH(Table10[[#This Row],[Order Date]])</f>
        <v>11</v>
      </c>
      <c r="E2040" t="s">
        <v>5564</v>
      </c>
      <c r="F2040" t="s">
        <v>5565</v>
      </c>
      <c r="G2040" s="23" t="s">
        <v>41</v>
      </c>
      <c r="H2040" s="23" t="s">
        <v>61</v>
      </c>
      <c r="I2040" t="s">
        <v>2319</v>
      </c>
      <c r="J2040" t="s">
        <v>36</v>
      </c>
      <c r="K2040" s="22">
        <v>5</v>
      </c>
      <c r="L2040" s="1">
        <v>42692</v>
      </c>
      <c r="M2040" s="22">
        <f>Table10[[#This Row],[Ship Date]]-Table10[[#This Row],[Order Date]]</f>
        <v>5</v>
      </c>
      <c r="N2040" t="s">
        <v>45</v>
      </c>
      <c r="O2040" t="s">
        <v>23</v>
      </c>
      <c r="P2040" t="s">
        <v>238</v>
      </c>
      <c r="Q2040" t="s">
        <v>133</v>
      </c>
      <c r="R2040" t="s">
        <v>237</v>
      </c>
      <c r="S2040" s="33">
        <v>0</v>
      </c>
      <c r="T2040" s="13">
        <v>140.75</v>
      </c>
      <c r="U2040" s="13">
        <v>39.409999999999997</v>
      </c>
      <c r="V2040" s="21">
        <f>Table10[[#This Row],[Profit]]/Table10[[#This Row],[Sales]]</f>
        <v>0.27999999999999997</v>
      </c>
    </row>
    <row r="2041" spans="1:22" x14ac:dyDescent="0.2">
      <c r="A2041">
        <v>2040</v>
      </c>
      <c r="B2041" t="s">
        <v>6909</v>
      </c>
      <c r="C2041" s="1">
        <v>42687</v>
      </c>
      <c r="D2041" s="22">
        <f>MONTH(Table10[[#This Row],[Order Date]])</f>
        <v>11</v>
      </c>
      <c r="E2041" t="s">
        <v>2629</v>
      </c>
      <c r="F2041" t="s">
        <v>2630</v>
      </c>
      <c r="G2041" s="23" t="s">
        <v>41</v>
      </c>
      <c r="H2041" s="23" t="s">
        <v>53</v>
      </c>
      <c r="I2041" t="s">
        <v>2319</v>
      </c>
      <c r="J2041" t="s">
        <v>36</v>
      </c>
      <c r="K2041" s="22">
        <v>3</v>
      </c>
      <c r="L2041" s="1">
        <v>42692</v>
      </c>
      <c r="M2041" s="22">
        <f>Table10[[#This Row],[Ship Date]]-Table10[[#This Row],[Order Date]]</f>
        <v>5</v>
      </c>
      <c r="N2041" t="s">
        <v>45</v>
      </c>
      <c r="O2041" t="s">
        <v>23</v>
      </c>
      <c r="P2041" t="s">
        <v>238</v>
      </c>
      <c r="Q2041" t="s">
        <v>133</v>
      </c>
      <c r="R2041" t="s">
        <v>237</v>
      </c>
      <c r="S2041" s="33">
        <v>0</v>
      </c>
      <c r="T2041" s="13">
        <v>36.630000000000003</v>
      </c>
      <c r="U2041" s="13">
        <v>9.8901000000000003</v>
      </c>
      <c r="V2041" s="21">
        <f>Table10[[#This Row],[Profit]]/Table10[[#This Row],[Sales]]</f>
        <v>0.27</v>
      </c>
    </row>
    <row r="2042" spans="1:22" x14ac:dyDescent="0.2">
      <c r="A2042">
        <v>2041</v>
      </c>
      <c r="B2042" t="s">
        <v>7267</v>
      </c>
      <c r="C2042" s="1">
        <v>42687</v>
      </c>
      <c r="D2042" s="22">
        <f>MONTH(Table10[[#This Row],[Order Date]])</f>
        <v>11</v>
      </c>
      <c r="E2042" t="s">
        <v>1921</v>
      </c>
      <c r="F2042" t="s">
        <v>1922</v>
      </c>
      <c r="G2042" s="23" t="s">
        <v>28</v>
      </c>
      <c r="H2042" s="23" t="s">
        <v>58</v>
      </c>
      <c r="I2042" t="s">
        <v>6883</v>
      </c>
      <c r="J2042" t="s">
        <v>36</v>
      </c>
      <c r="K2042" s="22">
        <v>4</v>
      </c>
      <c r="L2042" s="1">
        <v>42691</v>
      </c>
      <c r="M2042" s="22">
        <f>Table10[[#This Row],[Ship Date]]-Table10[[#This Row],[Order Date]]</f>
        <v>4</v>
      </c>
      <c r="N2042" t="s">
        <v>45</v>
      </c>
      <c r="O2042" t="s">
        <v>23</v>
      </c>
      <c r="P2042" t="s">
        <v>573</v>
      </c>
      <c r="Q2042" t="s">
        <v>95</v>
      </c>
      <c r="R2042" t="s">
        <v>4295</v>
      </c>
      <c r="S2042" s="33">
        <v>0</v>
      </c>
      <c r="T2042" s="13">
        <v>30.36</v>
      </c>
      <c r="U2042" s="13">
        <v>13.0548</v>
      </c>
      <c r="V2042" s="21">
        <f>Table10[[#This Row],[Profit]]/Table10[[#This Row],[Sales]]</f>
        <v>0.43</v>
      </c>
    </row>
    <row r="2043" spans="1:22" x14ac:dyDescent="0.2">
      <c r="A2043">
        <v>2042</v>
      </c>
      <c r="B2043" t="s">
        <v>7915</v>
      </c>
      <c r="C2043" s="1">
        <v>42687</v>
      </c>
      <c r="D2043" s="22">
        <f>MONTH(Table10[[#This Row],[Order Date]])</f>
        <v>11</v>
      </c>
      <c r="E2043" t="s">
        <v>7916</v>
      </c>
      <c r="F2043" t="s">
        <v>7917</v>
      </c>
      <c r="G2043" s="23" t="s">
        <v>64</v>
      </c>
      <c r="H2043" s="23" t="s">
        <v>65</v>
      </c>
      <c r="I2043" t="s">
        <v>3522</v>
      </c>
      <c r="J2043" t="s">
        <v>92</v>
      </c>
      <c r="K2043" s="22">
        <v>4</v>
      </c>
      <c r="L2043" s="1">
        <v>42693</v>
      </c>
      <c r="M2043" s="22">
        <f>Table10[[#This Row],[Ship Date]]-Table10[[#This Row],[Order Date]]</f>
        <v>6</v>
      </c>
      <c r="N2043" t="s">
        <v>45</v>
      </c>
      <c r="O2043" t="s">
        <v>23</v>
      </c>
      <c r="P2043" t="s">
        <v>238</v>
      </c>
      <c r="Q2043" t="s">
        <v>133</v>
      </c>
      <c r="R2043" t="s">
        <v>237</v>
      </c>
      <c r="S2043" s="33">
        <v>0</v>
      </c>
      <c r="T2043" s="13">
        <v>2279.96</v>
      </c>
      <c r="U2043" s="13">
        <v>592.78959999999995</v>
      </c>
      <c r="V2043" s="21">
        <f>Table10[[#This Row],[Profit]]/Table10[[#This Row],[Sales]]</f>
        <v>0.25999999999999995</v>
      </c>
    </row>
    <row r="2044" spans="1:22" x14ac:dyDescent="0.2">
      <c r="A2044">
        <v>2043</v>
      </c>
      <c r="B2044" t="s">
        <v>7915</v>
      </c>
      <c r="C2044" s="1">
        <v>42687</v>
      </c>
      <c r="D2044" s="22">
        <f>MONTH(Table10[[#This Row],[Order Date]])</f>
        <v>11</v>
      </c>
      <c r="E2044" t="s">
        <v>2193</v>
      </c>
      <c r="F2044" t="s">
        <v>2194</v>
      </c>
      <c r="G2044" s="23" t="s">
        <v>41</v>
      </c>
      <c r="H2044" s="23" t="s">
        <v>42</v>
      </c>
      <c r="I2044" t="s">
        <v>3522</v>
      </c>
      <c r="J2044" t="s">
        <v>92</v>
      </c>
      <c r="K2044" s="22">
        <v>3</v>
      </c>
      <c r="L2044" s="1">
        <v>42693</v>
      </c>
      <c r="M2044" s="22">
        <f>Table10[[#This Row],[Ship Date]]-Table10[[#This Row],[Order Date]]</f>
        <v>6</v>
      </c>
      <c r="N2044" t="s">
        <v>45</v>
      </c>
      <c r="O2044" t="s">
        <v>23</v>
      </c>
      <c r="P2044" t="s">
        <v>238</v>
      </c>
      <c r="Q2044" t="s">
        <v>133</v>
      </c>
      <c r="R2044" t="s">
        <v>237</v>
      </c>
      <c r="S2044" s="33">
        <v>0</v>
      </c>
      <c r="T2044" s="13">
        <v>14.94</v>
      </c>
      <c r="U2044" s="13">
        <v>6.8723999999999998</v>
      </c>
      <c r="V2044" s="21">
        <f>Table10[[#This Row],[Profit]]/Table10[[#This Row],[Sales]]</f>
        <v>0.46</v>
      </c>
    </row>
    <row r="2045" spans="1:22" x14ac:dyDescent="0.2">
      <c r="A2045">
        <v>2044</v>
      </c>
      <c r="B2045" t="s">
        <v>8561</v>
      </c>
      <c r="C2045" s="1">
        <v>42687</v>
      </c>
      <c r="D2045" s="22">
        <f>MONTH(Table10[[#This Row],[Order Date]])</f>
        <v>11</v>
      </c>
      <c r="E2045" t="s">
        <v>152</v>
      </c>
      <c r="F2045" t="s">
        <v>4812</v>
      </c>
      <c r="G2045" s="23" t="s">
        <v>28</v>
      </c>
      <c r="H2045" s="23" t="s">
        <v>58</v>
      </c>
      <c r="I2045" t="s">
        <v>1351</v>
      </c>
      <c r="J2045" t="s">
        <v>92</v>
      </c>
      <c r="K2045" s="22">
        <v>2</v>
      </c>
      <c r="L2045" s="1">
        <v>42691</v>
      </c>
      <c r="M2045" s="22">
        <f>Table10[[#This Row],[Ship Date]]-Table10[[#This Row],[Order Date]]</f>
        <v>4</v>
      </c>
      <c r="N2045" t="s">
        <v>45</v>
      </c>
      <c r="O2045" t="s">
        <v>23</v>
      </c>
      <c r="P2045" t="s">
        <v>87</v>
      </c>
      <c r="Q2045" t="s">
        <v>39</v>
      </c>
      <c r="R2045" t="s">
        <v>86</v>
      </c>
      <c r="S2045" s="33">
        <v>0</v>
      </c>
      <c r="T2045" s="13">
        <v>19.54</v>
      </c>
      <c r="U2045" s="13">
        <v>7.2298</v>
      </c>
      <c r="V2045" s="21">
        <f>Table10[[#This Row],[Profit]]/Table10[[#This Row],[Sales]]</f>
        <v>0.37</v>
      </c>
    </row>
    <row r="2046" spans="1:22" x14ac:dyDescent="0.2">
      <c r="A2046">
        <v>2045</v>
      </c>
      <c r="B2046" t="s">
        <v>4657</v>
      </c>
      <c r="C2046" s="1">
        <v>42688</v>
      </c>
      <c r="D2046" s="22">
        <f>MONTH(Table10[[#This Row],[Order Date]])</f>
        <v>11</v>
      </c>
      <c r="E2046" t="s">
        <v>4658</v>
      </c>
      <c r="F2046" t="s">
        <v>4659</v>
      </c>
      <c r="G2046" s="23" t="s">
        <v>64</v>
      </c>
      <c r="H2046" s="23" t="s">
        <v>144</v>
      </c>
      <c r="I2046" t="s">
        <v>1612</v>
      </c>
      <c r="J2046" t="s">
        <v>22</v>
      </c>
      <c r="K2046" s="22">
        <v>2</v>
      </c>
      <c r="L2046" s="1">
        <v>42690</v>
      </c>
      <c r="M2046" s="22">
        <f>Table10[[#This Row],[Ship Date]]-Table10[[#This Row],[Order Date]]</f>
        <v>2</v>
      </c>
      <c r="N2046" t="s">
        <v>20</v>
      </c>
      <c r="O2046" t="s">
        <v>23</v>
      </c>
      <c r="P2046" t="s">
        <v>1125</v>
      </c>
      <c r="Q2046" t="s">
        <v>26</v>
      </c>
      <c r="R2046" t="s">
        <v>1537</v>
      </c>
      <c r="S2046" s="33">
        <v>0</v>
      </c>
      <c r="T2046" s="13">
        <v>499.98</v>
      </c>
      <c r="U2046" s="13">
        <v>114.9954</v>
      </c>
      <c r="V2046" s="21">
        <f>Table10[[#This Row],[Profit]]/Table10[[#This Row],[Sales]]</f>
        <v>0.23</v>
      </c>
    </row>
    <row r="2047" spans="1:22" x14ac:dyDescent="0.2">
      <c r="A2047">
        <v>2046</v>
      </c>
      <c r="B2047" t="s">
        <v>4657</v>
      </c>
      <c r="C2047" s="1">
        <v>42688</v>
      </c>
      <c r="D2047" s="22">
        <f>MONTH(Table10[[#This Row],[Order Date]])</f>
        <v>11</v>
      </c>
      <c r="E2047" t="s">
        <v>805</v>
      </c>
      <c r="F2047" t="s">
        <v>806</v>
      </c>
      <c r="G2047" s="23" t="s">
        <v>41</v>
      </c>
      <c r="H2047" s="23" t="s">
        <v>82</v>
      </c>
      <c r="I2047" t="s">
        <v>1612</v>
      </c>
      <c r="J2047" t="s">
        <v>22</v>
      </c>
      <c r="K2047" s="22">
        <v>1</v>
      </c>
      <c r="L2047" s="1">
        <v>42690</v>
      </c>
      <c r="M2047" s="22">
        <f>Table10[[#This Row],[Ship Date]]-Table10[[#This Row],[Order Date]]</f>
        <v>2</v>
      </c>
      <c r="N2047" t="s">
        <v>20</v>
      </c>
      <c r="O2047" t="s">
        <v>23</v>
      </c>
      <c r="P2047" t="s">
        <v>1125</v>
      </c>
      <c r="Q2047" t="s">
        <v>26</v>
      </c>
      <c r="R2047" t="s">
        <v>1537</v>
      </c>
      <c r="S2047" s="33">
        <v>0</v>
      </c>
      <c r="T2047" s="13">
        <v>5.28</v>
      </c>
      <c r="U2047" s="13">
        <v>2.3759999999999999</v>
      </c>
      <c r="V2047" s="21">
        <f>Table10[[#This Row],[Profit]]/Table10[[#This Row],[Sales]]</f>
        <v>0.44999999999999996</v>
      </c>
    </row>
    <row r="2048" spans="1:22" x14ac:dyDescent="0.2">
      <c r="A2048">
        <v>2047</v>
      </c>
      <c r="B2048" t="s">
        <v>4657</v>
      </c>
      <c r="C2048" s="1">
        <v>42688</v>
      </c>
      <c r="D2048" s="22">
        <f>MONTH(Table10[[#This Row],[Order Date]])</f>
        <v>11</v>
      </c>
      <c r="E2048" t="s">
        <v>3170</v>
      </c>
      <c r="F2048" t="s">
        <v>3171</v>
      </c>
      <c r="G2048" s="23" t="s">
        <v>41</v>
      </c>
      <c r="H2048" s="23" t="s">
        <v>68</v>
      </c>
      <c r="I2048" t="s">
        <v>1612</v>
      </c>
      <c r="J2048" t="s">
        <v>22</v>
      </c>
      <c r="K2048" s="22">
        <v>2</v>
      </c>
      <c r="L2048" s="1">
        <v>42690</v>
      </c>
      <c r="M2048" s="22">
        <f>Table10[[#This Row],[Ship Date]]-Table10[[#This Row],[Order Date]]</f>
        <v>2</v>
      </c>
      <c r="N2048" t="s">
        <v>20</v>
      </c>
      <c r="O2048" t="s">
        <v>23</v>
      </c>
      <c r="P2048" t="s">
        <v>1125</v>
      </c>
      <c r="Q2048" t="s">
        <v>26</v>
      </c>
      <c r="R2048" t="s">
        <v>1537</v>
      </c>
      <c r="S2048" s="33">
        <v>0</v>
      </c>
      <c r="T2048" s="13">
        <v>8.26</v>
      </c>
      <c r="U2048" s="13">
        <v>3.8822000000000001</v>
      </c>
      <c r="V2048" s="21">
        <f>Table10[[#This Row],[Profit]]/Table10[[#This Row],[Sales]]</f>
        <v>0.47000000000000003</v>
      </c>
    </row>
    <row r="2049" spans="1:22" x14ac:dyDescent="0.2">
      <c r="A2049">
        <v>2048</v>
      </c>
      <c r="B2049" t="s">
        <v>4966</v>
      </c>
      <c r="C2049" s="1">
        <v>42688</v>
      </c>
      <c r="D2049" s="22">
        <f>MONTH(Table10[[#This Row],[Order Date]])</f>
        <v>11</v>
      </c>
      <c r="E2049" t="s">
        <v>4412</v>
      </c>
      <c r="F2049" t="s">
        <v>4413</v>
      </c>
      <c r="G2049" s="23" t="s">
        <v>41</v>
      </c>
      <c r="H2049" s="23" t="s">
        <v>42</v>
      </c>
      <c r="I2049" t="s">
        <v>4967</v>
      </c>
      <c r="J2049" t="s">
        <v>22</v>
      </c>
      <c r="K2049" s="22">
        <v>2</v>
      </c>
      <c r="L2049" s="1">
        <v>42693</v>
      </c>
      <c r="M2049" s="22">
        <f>Table10[[#This Row],[Ship Date]]-Table10[[#This Row],[Order Date]]</f>
        <v>5</v>
      </c>
      <c r="N2049" t="s">
        <v>45</v>
      </c>
      <c r="O2049" t="s">
        <v>23</v>
      </c>
      <c r="P2049" t="s">
        <v>38</v>
      </c>
      <c r="Q2049" t="s">
        <v>39</v>
      </c>
      <c r="R2049" t="s">
        <v>114</v>
      </c>
      <c r="S2049" s="33">
        <v>0</v>
      </c>
      <c r="T2049" s="13">
        <v>7.38</v>
      </c>
      <c r="U2049" s="13">
        <v>3.4685999999999999</v>
      </c>
      <c r="V2049" s="21">
        <f>Table10[[#This Row],[Profit]]/Table10[[#This Row],[Sales]]</f>
        <v>0.47</v>
      </c>
    </row>
    <row r="2050" spans="1:22" x14ac:dyDescent="0.2">
      <c r="A2050">
        <v>2049</v>
      </c>
      <c r="B2050" t="s">
        <v>6832</v>
      </c>
      <c r="C2050" s="1">
        <v>42688</v>
      </c>
      <c r="D2050" s="22">
        <f>MONTH(Table10[[#This Row],[Order Date]])</f>
        <v>11</v>
      </c>
      <c r="E2050" t="s">
        <v>4302</v>
      </c>
      <c r="F2050" t="s">
        <v>4303</v>
      </c>
      <c r="G2050" s="23" t="s">
        <v>41</v>
      </c>
      <c r="H2050" s="23" t="s">
        <v>68</v>
      </c>
      <c r="I2050" t="s">
        <v>835</v>
      </c>
      <c r="J2050" t="s">
        <v>22</v>
      </c>
      <c r="K2050" s="22">
        <v>2</v>
      </c>
      <c r="L2050" s="1">
        <v>42692</v>
      </c>
      <c r="M2050" s="22">
        <f>Table10[[#This Row],[Ship Date]]-Table10[[#This Row],[Order Date]]</f>
        <v>4</v>
      </c>
      <c r="N2050" t="s">
        <v>45</v>
      </c>
      <c r="O2050" t="s">
        <v>23</v>
      </c>
      <c r="P2050" t="s">
        <v>94</v>
      </c>
      <c r="Q2050" t="s">
        <v>95</v>
      </c>
      <c r="R2050" t="s">
        <v>165</v>
      </c>
      <c r="S2050" s="33">
        <v>0.8</v>
      </c>
      <c r="T2050" s="13">
        <v>2.2959999999999998</v>
      </c>
      <c r="U2050" s="13">
        <v>-3.9032</v>
      </c>
      <c r="V2050" s="21">
        <f>Table10[[#This Row],[Profit]]/Table10[[#This Row],[Sales]]</f>
        <v>-1.7000000000000002</v>
      </c>
    </row>
    <row r="2051" spans="1:22" x14ac:dyDescent="0.2">
      <c r="A2051">
        <v>2050</v>
      </c>
      <c r="B2051" t="s">
        <v>6833</v>
      </c>
      <c r="C2051" s="1">
        <v>42688</v>
      </c>
      <c r="D2051" s="22">
        <f>MONTH(Table10[[#This Row],[Order Date]])</f>
        <v>11</v>
      </c>
      <c r="E2051" t="s">
        <v>2160</v>
      </c>
      <c r="F2051" t="s">
        <v>2161</v>
      </c>
      <c r="G2051" s="23" t="s">
        <v>28</v>
      </c>
      <c r="H2051" s="23" t="s">
        <v>32</v>
      </c>
      <c r="I2051" t="s">
        <v>705</v>
      </c>
      <c r="J2051" t="s">
        <v>22</v>
      </c>
      <c r="K2051" s="22">
        <v>2</v>
      </c>
      <c r="L2051" s="1">
        <v>42691</v>
      </c>
      <c r="M2051" s="22">
        <f>Table10[[#This Row],[Ship Date]]-Table10[[#This Row],[Order Date]]</f>
        <v>3</v>
      </c>
      <c r="N2051" t="s">
        <v>169</v>
      </c>
      <c r="O2051" t="s">
        <v>23</v>
      </c>
      <c r="P2051" t="s">
        <v>238</v>
      </c>
      <c r="Q2051" t="s">
        <v>133</v>
      </c>
      <c r="R2051" t="s">
        <v>237</v>
      </c>
      <c r="S2051" s="33">
        <v>0.1</v>
      </c>
      <c r="T2051" s="13">
        <v>408.00599999999997</v>
      </c>
      <c r="U2051" s="13">
        <v>72.534400000000005</v>
      </c>
      <c r="V2051" s="21">
        <f>Table10[[#This Row],[Profit]]/Table10[[#This Row],[Sales]]</f>
        <v>0.17777777777777781</v>
      </c>
    </row>
    <row r="2052" spans="1:22" x14ac:dyDescent="0.2">
      <c r="A2052">
        <v>2051</v>
      </c>
      <c r="B2052" t="s">
        <v>6833</v>
      </c>
      <c r="C2052" s="1">
        <v>42688</v>
      </c>
      <c r="D2052" s="22">
        <f>MONTH(Table10[[#This Row],[Order Date]])</f>
        <v>11</v>
      </c>
      <c r="E2052" t="s">
        <v>562</v>
      </c>
      <c r="F2052" t="s">
        <v>563</v>
      </c>
      <c r="G2052" s="23" t="s">
        <v>41</v>
      </c>
      <c r="H2052" s="23" t="s">
        <v>53</v>
      </c>
      <c r="I2052" t="s">
        <v>705</v>
      </c>
      <c r="J2052" t="s">
        <v>22</v>
      </c>
      <c r="K2052" s="22">
        <v>3</v>
      </c>
      <c r="L2052" s="1">
        <v>42691</v>
      </c>
      <c r="M2052" s="22">
        <f>Table10[[#This Row],[Ship Date]]-Table10[[#This Row],[Order Date]]</f>
        <v>3</v>
      </c>
      <c r="N2052" t="s">
        <v>169</v>
      </c>
      <c r="O2052" t="s">
        <v>23</v>
      </c>
      <c r="P2052" t="s">
        <v>238</v>
      </c>
      <c r="Q2052" t="s">
        <v>133</v>
      </c>
      <c r="R2052" t="s">
        <v>237</v>
      </c>
      <c r="S2052" s="33">
        <v>0</v>
      </c>
      <c r="T2052" s="13">
        <v>40.44</v>
      </c>
      <c r="U2052" s="13">
        <v>10.5144</v>
      </c>
      <c r="V2052" s="21">
        <f>Table10[[#This Row],[Profit]]/Table10[[#This Row],[Sales]]</f>
        <v>0.26</v>
      </c>
    </row>
    <row r="2053" spans="1:22" x14ac:dyDescent="0.2">
      <c r="A2053">
        <v>2052</v>
      </c>
      <c r="B2053" t="s">
        <v>7044</v>
      </c>
      <c r="C2053" s="1">
        <v>42688</v>
      </c>
      <c r="D2053" s="22">
        <f>MONTH(Table10[[#This Row],[Order Date]])</f>
        <v>11</v>
      </c>
      <c r="E2053" t="s">
        <v>1132</v>
      </c>
      <c r="F2053" t="s">
        <v>1133</v>
      </c>
      <c r="G2053" s="23" t="s">
        <v>28</v>
      </c>
      <c r="H2053" s="23" t="s">
        <v>32</v>
      </c>
      <c r="I2053" t="s">
        <v>5654</v>
      </c>
      <c r="J2053" t="s">
        <v>22</v>
      </c>
      <c r="K2053" s="22">
        <v>3</v>
      </c>
      <c r="L2053" s="1">
        <v>42693</v>
      </c>
      <c r="M2053" s="22">
        <f>Table10[[#This Row],[Ship Date]]-Table10[[#This Row],[Order Date]]</f>
        <v>5</v>
      </c>
      <c r="N2053" t="s">
        <v>20</v>
      </c>
      <c r="O2053" t="s">
        <v>23</v>
      </c>
      <c r="P2053" t="s">
        <v>132</v>
      </c>
      <c r="Q2053" t="s">
        <v>133</v>
      </c>
      <c r="R2053" t="s">
        <v>131</v>
      </c>
      <c r="S2053" s="33">
        <v>0.3</v>
      </c>
      <c r="T2053" s="13">
        <v>380.05799999999999</v>
      </c>
      <c r="U2053" s="13">
        <v>-21.717600000000001</v>
      </c>
      <c r="V2053" s="21">
        <f>Table10[[#This Row],[Profit]]/Table10[[#This Row],[Sales]]</f>
        <v>-5.7142857142857148E-2</v>
      </c>
    </row>
    <row r="2054" spans="1:22" x14ac:dyDescent="0.2">
      <c r="A2054">
        <v>2053</v>
      </c>
      <c r="B2054" t="s">
        <v>7044</v>
      </c>
      <c r="C2054" s="1">
        <v>42688</v>
      </c>
      <c r="D2054" s="22">
        <f>MONTH(Table10[[#This Row],[Order Date]])</f>
        <v>11</v>
      </c>
      <c r="E2054" t="s">
        <v>1265</v>
      </c>
      <c r="F2054" t="s">
        <v>1266</v>
      </c>
      <c r="G2054" s="23" t="s">
        <v>64</v>
      </c>
      <c r="H2054" s="23" t="s">
        <v>1075</v>
      </c>
      <c r="I2054" t="s">
        <v>5654</v>
      </c>
      <c r="J2054" t="s">
        <v>22</v>
      </c>
      <c r="K2054" s="22">
        <v>4</v>
      </c>
      <c r="L2054" s="1">
        <v>42693</v>
      </c>
      <c r="M2054" s="22">
        <f>Table10[[#This Row],[Ship Date]]-Table10[[#This Row],[Order Date]]</f>
        <v>5</v>
      </c>
      <c r="N2054" t="s">
        <v>20</v>
      </c>
      <c r="O2054" t="s">
        <v>23</v>
      </c>
      <c r="P2054" t="s">
        <v>132</v>
      </c>
      <c r="Q2054" t="s">
        <v>133</v>
      </c>
      <c r="R2054" t="s">
        <v>131</v>
      </c>
      <c r="S2054" s="33">
        <v>0.4</v>
      </c>
      <c r="T2054" s="13">
        <v>1199.9760000000001</v>
      </c>
      <c r="U2054" s="13">
        <v>179.99639999999999</v>
      </c>
      <c r="V2054" s="21">
        <f>Table10[[#This Row],[Profit]]/Table10[[#This Row],[Sales]]</f>
        <v>0.15</v>
      </c>
    </row>
    <row r="2055" spans="1:22" x14ac:dyDescent="0.2">
      <c r="A2055">
        <v>2054</v>
      </c>
      <c r="B2055" t="s">
        <v>7044</v>
      </c>
      <c r="C2055" s="1">
        <v>42688</v>
      </c>
      <c r="D2055" s="22">
        <f>MONTH(Table10[[#This Row],[Order Date]])</f>
        <v>11</v>
      </c>
      <c r="E2055" t="s">
        <v>7045</v>
      </c>
      <c r="F2055" t="s">
        <v>7046</v>
      </c>
      <c r="G2055" s="23" t="s">
        <v>28</v>
      </c>
      <c r="H2055" s="23" t="s">
        <v>58</v>
      </c>
      <c r="I2055" t="s">
        <v>5654</v>
      </c>
      <c r="J2055" t="s">
        <v>22</v>
      </c>
      <c r="K2055" s="22">
        <v>3</v>
      </c>
      <c r="L2055" s="1">
        <v>42693</v>
      </c>
      <c r="M2055" s="22">
        <f>Table10[[#This Row],[Ship Date]]-Table10[[#This Row],[Order Date]]</f>
        <v>5</v>
      </c>
      <c r="N2055" t="s">
        <v>20</v>
      </c>
      <c r="O2055" t="s">
        <v>23</v>
      </c>
      <c r="P2055" t="s">
        <v>132</v>
      </c>
      <c r="Q2055" t="s">
        <v>133</v>
      </c>
      <c r="R2055" t="s">
        <v>131</v>
      </c>
      <c r="S2055" s="33">
        <v>0.2</v>
      </c>
      <c r="T2055" s="13">
        <v>48.576000000000001</v>
      </c>
      <c r="U2055" s="13">
        <v>9.7151999999999994</v>
      </c>
      <c r="V2055" s="21">
        <f>Table10[[#This Row],[Profit]]/Table10[[#This Row],[Sales]]</f>
        <v>0.19999999999999998</v>
      </c>
    </row>
    <row r="2056" spans="1:22" x14ac:dyDescent="0.2">
      <c r="A2056">
        <v>2055</v>
      </c>
      <c r="B2056" t="s">
        <v>7864</v>
      </c>
      <c r="C2056" s="1">
        <v>42688</v>
      </c>
      <c r="D2056" s="22">
        <f>MONTH(Table10[[#This Row],[Order Date]])</f>
        <v>11</v>
      </c>
      <c r="E2056" t="s">
        <v>3279</v>
      </c>
      <c r="F2056" t="s">
        <v>3280</v>
      </c>
      <c r="G2056" s="23" t="s">
        <v>41</v>
      </c>
      <c r="H2056" s="23" t="s">
        <v>61</v>
      </c>
      <c r="I2056" t="s">
        <v>4946</v>
      </c>
      <c r="J2056" t="s">
        <v>22</v>
      </c>
      <c r="K2056" s="22">
        <v>3</v>
      </c>
      <c r="L2056" s="1">
        <v>42689</v>
      </c>
      <c r="M2056" s="22">
        <f>Table10[[#This Row],[Ship Date]]-Table10[[#This Row],[Order Date]]</f>
        <v>1</v>
      </c>
      <c r="N2056" t="s">
        <v>169</v>
      </c>
      <c r="O2056" t="s">
        <v>23</v>
      </c>
      <c r="P2056" t="s">
        <v>38</v>
      </c>
      <c r="Q2056" t="s">
        <v>39</v>
      </c>
      <c r="R2056" t="s">
        <v>37</v>
      </c>
      <c r="S2056" s="33">
        <v>0</v>
      </c>
      <c r="T2056" s="13">
        <v>9.84</v>
      </c>
      <c r="U2056" s="13">
        <v>2.8536000000000001</v>
      </c>
      <c r="V2056" s="21">
        <f>Table10[[#This Row],[Profit]]/Table10[[#This Row],[Sales]]</f>
        <v>0.29000000000000004</v>
      </c>
    </row>
    <row r="2057" spans="1:22" x14ac:dyDescent="0.2">
      <c r="A2057">
        <v>2056</v>
      </c>
      <c r="B2057" t="s">
        <v>8524</v>
      </c>
      <c r="C2057" s="1">
        <v>42688</v>
      </c>
      <c r="D2057" s="22">
        <f>MONTH(Table10[[#This Row],[Order Date]])</f>
        <v>11</v>
      </c>
      <c r="E2057" t="s">
        <v>3979</v>
      </c>
      <c r="F2057" t="s">
        <v>3980</v>
      </c>
      <c r="G2057" s="23" t="s">
        <v>41</v>
      </c>
      <c r="H2057" s="23" t="s">
        <v>82</v>
      </c>
      <c r="I2057" t="s">
        <v>4635</v>
      </c>
      <c r="J2057" t="s">
        <v>22</v>
      </c>
      <c r="K2057" s="22">
        <v>5</v>
      </c>
      <c r="L2057" s="1">
        <v>42694</v>
      </c>
      <c r="M2057" s="22">
        <f>Table10[[#This Row],[Ship Date]]-Table10[[#This Row],[Order Date]]</f>
        <v>6</v>
      </c>
      <c r="N2057" t="s">
        <v>45</v>
      </c>
      <c r="O2057" t="s">
        <v>23</v>
      </c>
      <c r="P2057" t="s">
        <v>218</v>
      </c>
      <c r="Q2057" t="s">
        <v>133</v>
      </c>
      <c r="R2057" t="s">
        <v>536</v>
      </c>
      <c r="S2057" s="33">
        <v>0</v>
      </c>
      <c r="T2057" s="13">
        <v>16.45</v>
      </c>
      <c r="U2057" s="13">
        <v>7.5670000000000002</v>
      </c>
      <c r="V2057" s="21">
        <f>Table10[[#This Row],[Profit]]/Table10[[#This Row],[Sales]]</f>
        <v>0.46</v>
      </c>
    </row>
    <row r="2058" spans="1:22" x14ac:dyDescent="0.2">
      <c r="A2058">
        <v>2057</v>
      </c>
      <c r="B2058" t="s">
        <v>8524</v>
      </c>
      <c r="C2058" s="1">
        <v>42688</v>
      </c>
      <c r="D2058" s="22">
        <f>MONTH(Table10[[#This Row],[Order Date]])</f>
        <v>11</v>
      </c>
      <c r="E2058" t="s">
        <v>5521</v>
      </c>
      <c r="F2058" t="s">
        <v>5522</v>
      </c>
      <c r="G2058" s="23" t="s">
        <v>28</v>
      </c>
      <c r="H2058" s="23" t="s">
        <v>58</v>
      </c>
      <c r="I2058" t="s">
        <v>4635</v>
      </c>
      <c r="J2058" t="s">
        <v>22</v>
      </c>
      <c r="K2058" s="22">
        <v>4</v>
      </c>
      <c r="L2058" s="1">
        <v>42694</v>
      </c>
      <c r="M2058" s="22">
        <f>Table10[[#This Row],[Ship Date]]-Table10[[#This Row],[Order Date]]</f>
        <v>6</v>
      </c>
      <c r="N2058" t="s">
        <v>45</v>
      </c>
      <c r="O2058" t="s">
        <v>23</v>
      </c>
      <c r="P2058" t="s">
        <v>218</v>
      </c>
      <c r="Q2058" t="s">
        <v>133</v>
      </c>
      <c r="R2058" t="s">
        <v>536</v>
      </c>
      <c r="S2058" s="33">
        <v>0</v>
      </c>
      <c r="T2058" s="13">
        <v>19.920000000000002</v>
      </c>
      <c r="U2058" s="13">
        <v>6.5735999999999999</v>
      </c>
      <c r="V2058" s="21">
        <f>Table10[[#This Row],[Profit]]/Table10[[#This Row],[Sales]]</f>
        <v>0.32999999999999996</v>
      </c>
    </row>
    <row r="2059" spans="1:22" x14ac:dyDescent="0.2">
      <c r="A2059">
        <v>2058</v>
      </c>
      <c r="B2059" t="s">
        <v>8552</v>
      </c>
      <c r="C2059" s="1">
        <v>42688</v>
      </c>
      <c r="D2059" s="22">
        <f>MONTH(Table10[[#This Row],[Order Date]])</f>
        <v>11</v>
      </c>
      <c r="E2059" t="s">
        <v>5730</v>
      </c>
      <c r="F2059" t="s">
        <v>5731</v>
      </c>
      <c r="G2059" s="23" t="s">
        <v>64</v>
      </c>
      <c r="H2059" s="23" t="s">
        <v>65</v>
      </c>
      <c r="I2059" t="s">
        <v>439</v>
      </c>
      <c r="J2059" t="s">
        <v>22</v>
      </c>
      <c r="K2059" s="22">
        <v>3</v>
      </c>
      <c r="L2059" s="1">
        <v>42692</v>
      </c>
      <c r="M2059" s="22">
        <f>Table10[[#This Row],[Ship Date]]-Table10[[#This Row],[Order Date]]</f>
        <v>4</v>
      </c>
      <c r="N2059" t="s">
        <v>45</v>
      </c>
      <c r="O2059" t="s">
        <v>23</v>
      </c>
      <c r="P2059" t="s">
        <v>2408</v>
      </c>
      <c r="Q2059" t="s">
        <v>133</v>
      </c>
      <c r="R2059" t="s">
        <v>3967</v>
      </c>
      <c r="S2059" s="33">
        <v>0</v>
      </c>
      <c r="T2059" s="13">
        <v>89.97</v>
      </c>
      <c r="U2059" s="13">
        <v>25.191600000000001</v>
      </c>
      <c r="V2059" s="21">
        <f>Table10[[#This Row],[Profit]]/Table10[[#This Row],[Sales]]</f>
        <v>0.28000000000000003</v>
      </c>
    </row>
    <row r="2060" spans="1:22" x14ac:dyDescent="0.2">
      <c r="A2060">
        <v>2059</v>
      </c>
      <c r="B2060" t="s">
        <v>9686</v>
      </c>
      <c r="C2060" s="1">
        <v>42688</v>
      </c>
      <c r="D2060" s="22">
        <f>MONTH(Table10[[#This Row],[Order Date]])</f>
        <v>11</v>
      </c>
      <c r="E2060" t="s">
        <v>7128</v>
      </c>
      <c r="F2060" t="s">
        <v>7129</v>
      </c>
      <c r="G2060" s="23" t="s">
        <v>64</v>
      </c>
      <c r="H2060" s="23" t="s">
        <v>65</v>
      </c>
      <c r="I2060" t="s">
        <v>224</v>
      </c>
      <c r="J2060" t="s">
        <v>22</v>
      </c>
      <c r="K2060" s="22">
        <v>2</v>
      </c>
      <c r="L2060" s="1">
        <v>42692</v>
      </c>
      <c r="M2060" s="22">
        <f>Table10[[#This Row],[Ship Date]]-Table10[[#This Row],[Order Date]]</f>
        <v>4</v>
      </c>
      <c r="N2060" t="s">
        <v>45</v>
      </c>
      <c r="O2060" t="s">
        <v>23</v>
      </c>
      <c r="P2060" t="s">
        <v>238</v>
      </c>
      <c r="Q2060" t="s">
        <v>133</v>
      </c>
      <c r="R2060" t="s">
        <v>237</v>
      </c>
      <c r="S2060" s="33">
        <v>0</v>
      </c>
      <c r="T2060" s="13">
        <v>13.98</v>
      </c>
      <c r="U2060" s="13">
        <v>3.9144000000000001</v>
      </c>
      <c r="V2060" s="21">
        <f>Table10[[#This Row],[Profit]]/Table10[[#This Row],[Sales]]</f>
        <v>0.27999999999999997</v>
      </c>
    </row>
    <row r="2061" spans="1:22" x14ac:dyDescent="0.2">
      <c r="A2061">
        <v>2060</v>
      </c>
      <c r="B2061" t="s">
        <v>9686</v>
      </c>
      <c r="C2061" s="1">
        <v>42688</v>
      </c>
      <c r="D2061" s="22">
        <f>MONTH(Table10[[#This Row],[Order Date]])</f>
        <v>11</v>
      </c>
      <c r="E2061" t="s">
        <v>6094</v>
      </c>
      <c r="F2061" t="s">
        <v>6095</v>
      </c>
      <c r="G2061" s="23" t="s">
        <v>41</v>
      </c>
      <c r="H2061" s="23" t="s">
        <v>61</v>
      </c>
      <c r="I2061" t="s">
        <v>224</v>
      </c>
      <c r="J2061" t="s">
        <v>22</v>
      </c>
      <c r="K2061" s="22">
        <v>1</v>
      </c>
      <c r="L2061" s="1">
        <v>42692</v>
      </c>
      <c r="M2061" s="22">
        <f>Table10[[#This Row],[Ship Date]]-Table10[[#This Row],[Order Date]]</f>
        <v>4</v>
      </c>
      <c r="N2061" t="s">
        <v>45</v>
      </c>
      <c r="O2061" t="s">
        <v>23</v>
      </c>
      <c r="P2061" t="s">
        <v>238</v>
      </c>
      <c r="Q2061" t="s">
        <v>133</v>
      </c>
      <c r="R2061" t="s">
        <v>237</v>
      </c>
      <c r="S2061" s="33">
        <v>0</v>
      </c>
      <c r="T2061" s="13">
        <v>23.65</v>
      </c>
      <c r="U2061" s="13">
        <v>6.149</v>
      </c>
      <c r="V2061" s="21">
        <f>Table10[[#This Row],[Profit]]/Table10[[#This Row],[Sales]]</f>
        <v>0.26</v>
      </c>
    </row>
    <row r="2062" spans="1:22" x14ac:dyDescent="0.2">
      <c r="A2062">
        <v>2061</v>
      </c>
      <c r="B2062" t="s">
        <v>4201</v>
      </c>
      <c r="C2062" s="1">
        <v>42689</v>
      </c>
      <c r="D2062" s="22">
        <f>MONTH(Table10[[#This Row],[Order Date]])</f>
        <v>11</v>
      </c>
      <c r="E2062" t="s">
        <v>800</v>
      </c>
      <c r="F2062" t="s">
        <v>1581</v>
      </c>
      <c r="G2062" s="23" t="s">
        <v>64</v>
      </c>
      <c r="H2062" s="23" t="s">
        <v>144</v>
      </c>
      <c r="I2062" t="s">
        <v>318</v>
      </c>
      <c r="J2062" t="s">
        <v>36</v>
      </c>
      <c r="K2062" s="22">
        <v>3</v>
      </c>
      <c r="L2062" s="1">
        <v>42696</v>
      </c>
      <c r="M2062" s="22">
        <f>Table10[[#This Row],[Ship Date]]-Table10[[#This Row],[Order Date]]</f>
        <v>7</v>
      </c>
      <c r="N2062" t="s">
        <v>45</v>
      </c>
      <c r="O2062" t="s">
        <v>23</v>
      </c>
      <c r="P2062" t="s">
        <v>38</v>
      </c>
      <c r="Q2062" t="s">
        <v>39</v>
      </c>
      <c r="R2062" t="s">
        <v>37</v>
      </c>
      <c r="S2062" s="33">
        <v>0</v>
      </c>
      <c r="T2062" s="13">
        <v>99.39</v>
      </c>
      <c r="U2062" s="13">
        <v>40.749899999999997</v>
      </c>
      <c r="V2062" s="21">
        <f>Table10[[#This Row],[Profit]]/Table10[[#This Row],[Sales]]</f>
        <v>0.41</v>
      </c>
    </row>
    <row r="2063" spans="1:22" x14ac:dyDescent="0.2">
      <c r="A2063">
        <v>2062</v>
      </c>
      <c r="B2063" t="s">
        <v>4627</v>
      </c>
      <c r="C2063" s="1">
        <v>42689</v>
      </c>
      <c r="D2063" s="22">
        <f>MONTH(Table10[[#This Row],[Order Date]])</f>
        <v>11</v>
      </c>
      <c r="E2063" t="s">
        <v>1543</v>
      </c>
      <c r="F2063" t="s">
        <v>1544</v>
      </c>
      <c r="G2063" s="23" t="s">
        <v>41</v>
      </c>
      <c r="H2063" s="23" t="s">
        <v>68</v>
      </c>
      <c r="I2063" t="s">
        <v>4628</v>
      </c>
      <c r="J2063" t="s">
        <v>22</v>
      </c>
      <c r="K2063" s="22">
        <v>1</v>
      </c>
      <c r="L2063" s="1">
        <v>42691</v>
      </c>
      <c r="M2063" s="22">
        <f>Table10[[#This Row],[Ship Date]]-Table10[[#This Row],[Order Date]]</f>
        <v>2</v>
      </c>
      <c r="N2063" t="s">
        <v>20</v>
      </c>
      <c r="O2063" t="s">
        <v>23</v>
      </c>
      <c r="P2063" t="s">
        <v>38</v>
      </c>
      <c r="Q2063" t="s">
        <v>39</v>
      </c>
      <c r="R2063" t="s">
        <v>37</v>
      </c>
      <c r="S2063" s="33">
        <v>0.2</v>
      </c>
      <c r="T2063" s="13">
        <v>1016.792</v>
      </c>
      <c r="U2063" s="13">
        <v>381.29700000000003</v>
      </c>
      <c r="V2063" s="21">
        <f>Table10[[#This Row],[Profit]]/Table10[[#This Row],[Sales]]</f>
        <v>0.375</v>
      </c>
    </row>
    <row r="2064" spans="1:22" x14ac:dyDescent="0.2">
      <c r="A2064">
        <v>2063</v>
      </c>
      <c r="B2064" t="s">
        <v>4627</v>
      </c>
      <c r="C2064" s="1">
        <v>42689</v>
      </c>
      <c r="D2064" s="22">
        <f>MONTH(Table10[[#This Row],[Order Date]])</f>
        <v>11</v>
      </c>
      <c r="E2064" t="s">
        <v>4629</v>
      </c>
      <c r="F2064" t="s">
        <v>4630</v>
      </c>
      <c r="G2064" s="23" t="s">
        <v>41</v>
      </c>
      <c r="H2064" s="23" t="s">
        <v>68</v>
      </c>
      <c r="I2064" t="s">
        <v>4628</v>
      </c>
      <c r="J2064" t="s">
        <v>22</v>
      </c>
      <c r="K2064" s="22">
        <v>7</v>
      </c>
      <c r="L2064" s="1">
        <v>42691</v>
      </c>
      <c r="M2064" s="22">
        <f>Table10[[#This Row],[Ship Date]]-Table10[[#This Row],[Order Date]]</f>
        <v>2</v>
      </c>
      <c r="N2064" t="s">
        <v>20</v>
      </c>
      <c r="O2064" t="s">
        <v>23</v>
      </c>
      <c r="P2064" t="s">
        <v>38</v>
      </c>
      <c r="Q2064" t="s">
        <v>39</v>
      </c>
      <c r="R2064" t="s">
        <v>37</v>
      </c>
      <c r="S2064" s="33">
        <v>0.2</v>
      </c>
      <c r="T2064" s="13">
        <v>38.136000000000003</v>
      </c>
      <c r="U2064" s="13">
        <v>13.3476</v>
      </c>
      <c r="V2064" s="21">
        <f>Table10[[#This Row],[Profit]]/Table10[[#This Row],[Sales]]</f>
        <v>0.35</v>
      </c>
    </row>
    <row r="2065" spans="1:22" x14ac:dyDescent="0.2">
      <c r="A2065">
        <v>2064</v>
      </c>
      <c r="B2065" t="s">
        <v>6731</v>
      </c>
      <c r="C2065" s="1">
        <v>42689</v>
      </c>
      <c r="D2065" s="22">
        <f>MONTH(Table10[[#This Row],[Order Date]])</f>
        <v>11</v>
      </c>
      <c r="E2065" t="s">
        <v>3262</v>
      </c>
      <c r="F2065" t="s">
        <v>3263</v>
      </c>
      <c r="G2065" s="23" t="s">
        <v>64</v>
      </c>
      <c r="H2065" s="23" t="s">
        <v>65</v>
      </c>
      <c r="I2065" t="s">
        <v>5937</v>
      </c>
      <c r="J2065" t="s">
        <v>36</v>
      </c>
      <c r="K2065" s="22">
        <v>2</v>
      </c>
      <c r="L2065" s="1">
        <v>42693</v>
      </c>
      <c r="M2065" s="22">
        <f>Table10[[#This Row],[Ship Date]]-Table10[[#This Row],[Order Date]]</f>
        <v>4</v>
      </c>
      <c r="N2065" t="s">
        <v>45</v>
      </c>
      <c r="O2065" t="s">
        <v>23</v>
      </c>
      <c r="P2065" t="s">
        <v>38</v>
      </c>
      <c r="Q2065" t="s">
        <v>39</v>
      </c>
      <c r="R2065" t="s">
        <v>836</v>
      </c>
      <c r="S2065" s="33">
        <v>0.2</v>
      </c>
      <c r="T2065" s="13">
        <v>361.37599999999998</v>
      </c>
      <c r="U2065" s="13">
        <v>27.103200000000001</v>
      </c>
      <c r="V2065" s="21">
        <f>Table10[[#This Row],[Profit]]/Table10[[#This Row],[Sales]]</f>
        <v>7.5000000000000011E-2</v>
      </c>
    </row>
    <row r="2066" spans="1:22" x14ac:dyDescent="0.2">
      <c r="A2066">
        <v>2065</v>
      </c>
      <c r="B2066" t="s">
        <v>9232</v>
      </c>
      <c r="C2066" s="1">
        <v>42689</v>
      </c>
      <c r="D2066" s="22">
        <f>MONTH(Table10[[#This Row],[Order Date]])</f>
        <v>11</v>
      </c>
      <c r="E2066" t="s">
        <v>452</v>
      </c>
      <c r="F2066" t="s">
        <v>453</v>
      </c>
      <c r="G2066" s="23" t="s">
        <v>28</v>
      </c>
      <c r="H2066" s="23" t="s">
        <v>50</v>
      </c>
      <c r="I2066" t="s">
        <v>202</v>
      </c>
      <c r="J2066" t="s">
        <v>36</v>
      </c>
      <c r="K2066" s="22">
        <v>4</v>
      </c>
      <c r="L2066" s="1">
        <v>42689</v>
      </c>
      <c r="M2066" s="22">
        <f>Table10[[#This Row],[Ship Date]]-Table10[[#This Row],[Order Date]]</f>
        <v>0</v>
      </c>
      <c r="N2066" t="s">
        <v>1141</v>
      </c>
      <c r="O2066" t="s">
        <v>23</v>
      </c>
      <c r="P2066" t="s">
        <v>80</v>
      </c>
      <c r="Q2066" t="s">
        <v>26</v>
      </c>
      <c r="R2066" t="s">
        <v>1957</v>
      </c>
      <c r="S2066" s="33">
        <v>0.4</v>
      </c>
      <c r="T2066" s="13">
        <v>630.024</v>
      </c>
      <c r="U2066" s="13">
        <v>-199.5076</v>
      </c>
      <c r="V2066" s="21">
        <f>Table10[[#This Row],[Profit]]/Table10[[#This Row],[Sales]]</f>
        <v>-0.31666666666666665</v>
      </c>
    </row>
    <row r="2067" spans="1:22" x14ac:dyDescent="0.2">
      <c r="A2067">
        <v>2066</v>
      </c>
      <c r="B2067" t="s">
        <v>586</v>
      </c>
      <c r="C2067" s="1">
        <v>42690</v>
      </c>
      <c r="D2067" s="22">
        <f>MONTH(Table10[[#This Row],[Order Date]])</f>
        <v>11</v>
      </c>
      <c r="E2067" t="s">
        <v>590</v>
      </c>
      <c r="F2067" t="s">
        <v>591</v>
      </c>
      <c r="G2067" s="23" t="s">
        <v>41</v>
      </c>
      <c r="H2067" s="23" t="s">
        <v>155</v>
      </c>
      <c r="I2067" t="s">
        <v>587</v>
      </c>
      <c r="J2067" t="s">
        <v>22</v>
      </c>
      <c r="K2067" s="22">
        <v>5</v>
      </c>
      <c r="L2067" s="1">
        <v>42694</v>
      </c>
      <c r="M2067" s="22">
        <f>Table10[[#This Row],[Ship Date]]-Table10[[#This Row],[Order Date]]</f>
        <v>4</v>
      </c>
      <c r="N2067" t="s">
        <v>45</v>
      </c>
      <c r="O2067" t="s">
        <v>23</v>
      </c>
      <c r="P2067" t="s">
        <v>589</v>
      </c>
      <c r="Q2067" t="s">
        <v>39</v>
      </c>
      <c r="R2067" t="s">
        <v>588</v>
      </c>
      <c r="S2067" s="33">
        <v>0</v>
      </c>
      <c r="T2067" s="13">
        <v>28.4</v>
      </c>
      <c r="U2067" s="13">
        <v>13.348000000000001</v>
      </c>
      <c r="V2067" s="21">
        <f>Table10[[#This Row],[Profit]]/Table10[[#This Row],[Sales]]</f>
        <v>0.47000000000000003</v>
      </c>
    </row>
    <row r="2068" spans="1:22" x14ac:dyDescent="0.2">
      <c r="A2068">
        <v>2067</v>
      </c>
      <c r="B2068" t="s">
        <v>8323</v>
      </c>
      <c r="C2068" s="1">
        <v>42690</v>
      </c>
      <c r="D2068" s="22">
        <f>MONTH(Table10[[#This Row],[Order Date]])</f>
        <v>11</v>
      </c>
      <c r="E2068" t="s">
        <v>921</v>
      </c>
      <c r="F2068" t="s">
        <v>922</v>
      </c>
      <c r="G2068" s="23" t="s">
        <v>41</v>
      </c>
      <c r="H2068" s="23" t="s">
        <v>68</v>
      </c>
      <c r="I2068" t="s">
        <v>8324</v>
      </c>
      <c r="J2068" t="s">
        <v>22</v>
      </c>
      <c r="K2068" s="22">
        <v>5</v>
      </c>
      <c r="L2068" s="1">
        <v>42691</v>
      </c>
      <c r="M2068" s="22">
        <f>Table10[[#This Row],[Ship Date]]-Table10[[#This Row],[Order Date]]</f>
        <v>1</v>
      </c>
      <c r="N2068" t="s">
        <v>169</v>
      </c>
      <c r="O2068" t="s">
        <v>23</v>
      </c>
      <c r="P2068" t="s">
        <v>38</v>
      </c>
      <c r="Q2068" t="s">
        <v>39</v>
      </c>
      <c r="R2068" t="s">
        <v>501</v>
      </c>
      <c r="S2068" s="33">
        <v>0.2</v>
      </c>
      <c r="T2068" s="13">
        <v>8.32</v>
      </c>
      <c r="U2068" s="13">
        <v>2.8079999999999998</v>
      </c>
      <c r="V2068" s="21">
        <f>Table10[[#This Row],[Profit]]/Table10[[#This Row],[Sales]]</f>
        <v>0.33749999999999997</v>
      </c>
    </row>
    <row r="2069" spans="1:22" x14ac:dyDescent="0.2">
      <c r="A2069">
        <v>2068</v>
      </c>
      <c r="B2069" t="s">
        <v>7252</v>
      </c>
      <c r="C2069" s="1">
        <v>42691</v>
      </c>
      <c r="D2069" s="22">
        <f>MONTH(Table10[[#This Row],[Order Date]])</f>
        <v>11</v>
      </c>
      <c r="E2069" t="s">
        <v>1077</v>
      </c>
      <c r="F2069" t="s">
        <v>1078</v>
      </c>
      <c r="G2069" s="23" t="s">
        <v>41</v>
      </c>
      <c r="H2069" s="23" t="s">
        <v>68</v>
      </c>
      <c r="I2069" t="s">
        <v>2428</v>
      </c>
      <c r="J2069" t="s">
        <v>22</v>
      </c>
      <c r="K2069" s="22">
        <v>3</v>
      </c>
      <c r="L2069" s="1">
        <v>42696</v>
      </c>
      <c r="M2069" s="22">
        <f>Table10[[#This Row],[Ship Date]]-Table10[[#This Row],[Order Date]]</f>
        <v>5</v>
      </c>
      <c r="N2069" t="s">
        <v>45</v>
      </c>
      <c r="O2069" t="s">
        <v>23</v>
      </c>
      <c r="P2069" t="s">
        <v>589</v>
      </c>
      <c r="Q2069" t="s">
        <v>39</v>
      </c>
      <c r="R2069" t="s">
        <v>588</v>
      </c>
      <c r="S2069" s="33">
        <v>0.2</v>
      </c>
      <c r="T2069" s="13">
        <v>10.776</v>
      </c>
      <c r="U2069" s="13">
        <v>3.3675000000000002</v>
      </c>
      <c r="V2069" s="21">
        <f>Table10[[#This Row],[Profit]]/Table10[[#This Row],[Sales]]</f>
        <v>0.3125</v>
      </c>
    </row>
    <row r="2070" spans="1:22" x14ac:dyDescent="0.2">
      <c r="A2070">
        <v>2069</v>
      </c>
      <c r="B2070" t="s">
        <v>9326</v>
      </c>
      <c r="C2070" s="1">
        <v>42691</v>
      </c>
      <c r="D2070" s="22">
        <f>MONTH(Table10[[#This Row],[Order Date]])</f>
        <v>11</v>
      </c>
      <c r="E2070" t="s">
        <v>5598</v>
      </c>
      <c r="F2070" t="s">
        <v>5599</v>
      </c>
      <c r="G2070" s="23" t="s">
        <v>64</v>
      </c>
      <c r="H2070" s="23" t="s">
        <v>65</v>
      </c>
      <c r="I2070" t="s">
        <v>7606</v>
      </c>
      <c r="J2070" t="s">
        <v>22</v>
      </c>
      <c r="K2070" s="22">
        <v>3</v>
      </c>
      <c r="L2070" s="1">
        <v>42692</v>
      </c>
      <c r="M2070" s="22">
        <f>Table10[[#This Row],[Ship Date]]-Table10[[#This Row],[Order Date]]</f>
        <v>1</v>
      </c>
      <c r="N2070" t="s">
        <v>169</v>
      </c>
      <c r="O2070" t="s">
        <v>23</v>
      </c>
      <c r="P2070" t="s">
        <v>94</v>
      </c>
      <c r="Q2070" t="s">
        <v>95</v>
      </c>
      <c r="R2070" t="s">
        <v>6660</v>
      </c>
      <c r="S2070" s="33">
        <v>0.2</v>
      </c>
      <c r="T2070" s="13">
        <v>67.176000000000002</v>
      </c>
      <c r="U2070" s="13">
        <v>6.7176</v>
      </c>
      <c r="V2070" s="21">
        <f>Table10[[#This Row],[Profit]]/Table10[[#This Row],[Sales]]</f>
        <v>9.9999999999999992E-2</v>
      </c>
    </row>
    <row r="2071" spans="1:22" x14ac:dyDescent="0.2">
      <c r="A2071">
        <v>2070</v>
      </c>
      <c r="B2071" t="s">
        <v>9326</v>
      </c>
      <c r="C2071" s="1">
        <v>42691</v>
      </c>
      <c r="D2071" s="22">
        <f>MONTH(Table10[[#This Row],[Order Date]])</f>
        <v>11</v>
      </c>
      <c r="E2071" t="s">
        <v>5124</v>
      </c>
      <c r="F2071" t="s">
        <v>5125</v>
      </c>
      <c r="G2071" s="23" t="s">
        <v>41</v>
      </c>
      <c r="H2071" s="23" t="s">
        <v>82</v>
      </c>
      <c r="I2071" t="s">
        <v>7606</v>
      </c>
      <c r="J2071" t="s">
        <v>22</v>
      </c>
      <c r="K2071" s="22">
        <v>4</v>
      </c>
      <c r="L2071" s="1">
        <v>42692</v>
      </c>
      <c r="M2071" s="22">
        <f>Table10[[#This Row],[Ship Date]]-Table10[[#This Row],[Order Date]]</f>
        <v>1</v>
      </c>
      <c r="N2071" t="s">
        <v>169</v>
      </c>
      <c r="O2071" t="s">
        <v>23</v>
      </c>
      <c r="P2071" t="s">
        <v>94</v>
      </c>
      <c r="Q2071" t="s">
        <v>95</v>
      </c>
      <c r="R2071" t="s">
        <v>6660</v>
      </c>
      <c r="S2071" s="33">
        <v>0.2</v>
      </c>
      <c r="T2071" s="13">
        <v>15.231999999999999</v>
      </c>
      <c r="U2071" s="13">
        <v>5.5216000000000003</v>
      </c>
      <c r="V2071" s="21">
        <f>Table10[[#This Row],[Profit]]/Table10[[#This Row],[Sales]]</f>
        <v>0.36250000000000004</v>
      </c>
    </row>
    <row r="2072" spans="1:22" x14ac:dyDescent="0.2">
      <c r="A2072">
        <v>2071</v>
      </c>
      <c r="B2072" t="s">
        <v>9385</v>
      </c>
      <c r="C2072" s="1">
        <v>42691</v>
      </c>
      <c r="D2072" s="22">
        <f>MONTH(Table10[[#This Row],[Order Date]])</f>
        <v>11</v>
      </c>
      <c r="E2072" t="s">
        <v>1914</v>
      </c>
      <c r="F2072" t="s">
        <v>1915</v>
      </c>
      <c r="G2072" s="23" t="s">
        <v>41</v>
      </c>
      <c r="H2072" s="23" t="s">
        <v>513</v>
      </c>
      <c r="I2072" t="s">
        <v>5955</v>
      </c>
      <c r="J2072" t="s">
        <v>92</v>
      </c>
      <c r="K2072" s="22">
        <v>5</v>
      </c>
      <c r="L2072" s="1">
        <v>42692</v>
      </c>
      <c r="M2072" s="22">
        <f>Table10[[#This Row],[Ship Date]]-Table10[[#This Row],[Order Date]]</f>
        <v>1</v>
      </c>
      <c r="N2072" t="s">
        <v>169</v>
      </c>
      <c r="O2072" t="s">
        <v>23</v>
      </c>
      <c r="P2072" t="s">
        <v>38</v>
      </c>
      <c r="Q2072" t="s">
        <v>39</v>
      </c>
      <c r="R2072" t="s">
        <v>114</v>
      </c>
      <c r="S2072" s="33">
        <v>0</v>
      </c>
      <c r="T2072" s="13">
        <v>49.5</v>
      </c>
      <c r="U2072" s="13">
        <v>13.365</v>
      </c>
      <c r="V2072" s="21">
        <f>Table10[[#This Row],[Profit]]/Table10[[#This Row],[Sales]]</f>
        <v>0.27</v>
      </c>
    </row>
    <row r="2073" spans="1:22" x14ac:dyDescent="0.2">
      <c r="A2073">
        <v>2072</v>
      </c>
      <c r="B2073" t="s">
        <v>4977</v>
      </c>
      <c r="C2073" s="1">
        <v>42692</v>
      </c>
      <c r="D2073" s="22">
        <f>MONTH(Table10[[#This Row],[Order Date]])</f>
        <v>11</v>
      </c>
      <c r="E2073" t="s">
        <v>4978</v>
      </c>
      <c r="F2073" t="s">
        <v>4979</v>
      </c>
      <c r="G2073" s="23" t="s">
        <v>41</v>
      </c>
      <c r="H2073" s="23" t="s">
        <v>53</v>
      </c>
      <c r="I2073" t="s">
        <v>4572</v>
      </c>
      <c r="J2073" t="s">
        <v>92</v>
      </c>
      <c r="K2073" s="22">
        <v>4</v>
      </c>
      <c r="L2073" s="1">
        <v>42697</v>
      </c>
      <c r="M2073" s="22">
        <f>Table10[[#This Row],[Ship Date]]-Table10[[#This Row],[Order Date]]</f>
        <v>5</v>
      </c>
      <c r="N2073" t="s">
        <v>45</v>
      </c>
      <c r="O2073" t="s">
        <v>23</v>
      </c>
      <c r="P2073" t="s">
        <v>573</v>
      </c>
      <c r="Q2073" t="s">
        <v>95</v>
      </c>
      <c r="R2073" t="s">
        <v>4295</v>
      </c>
      <c r="S2073" s="33">
        <v>0</v>
      </c>
      <c r="T2073" s="13">
        <v>1117.92</v>
      </c>
      <c r="U2073" s="13">
        <v>55.896000000000001</v>
      </c>
      <c r="V2073" s="21">
        <f>Table10[[#This Row],[Profit]]/Table10[[#This Row],[Sales]]</f>
        <v>4.9999999999999996E-2</v>
      </c>
    </row>
    <row r="2074" spans="1:22" x14ac:dyDescent="0.2">
      <c r="A2074">
        <v>2073</v>
      </c>
      <c r="B2074" t="s">
        <v>6361</v>
      </c>
      <c r="C2074" s="1">
        <v>42692</v>
      </c>
      <c r="D2074" s="22">
        <f>MONTH(Table10[[#This Row],[Order Date]])</f>
        <v>11</v>
      </c>
      <c r="E2074" t="s">
        <v>680</v>
      </c>
      <c r="F2074" t="s">
        <v>681</v>
      </c>
      <c r="G2074" s="23" t="s">
        <v>41</v>
      </c>
      <c r="H2074" s="23" t="s">
        <v>61</v>
      </c>
      <c r="I2074" t="s">
        <v>177</v>
      </c>
      <c r="J2074" t="s">
        <v>92</v>
      </c>
      <c r="K2074" s="22">
        <v>2</v>
      </c>
      <c r="L2074" s="1">
        <v>42696</v>
      </c>
      <c r="M2074" s="22">
        <f>Table10[[#This Row],[Ship Date]]-Table10[[#This Row],[Order Date]]</f>
        <v>4</v>
      </c>
      <c r="N2074" t="s">
        <v>45</v>
      </c>
      <c r="O2074" t="s">
        <v>23</v>
      </c>
      <c r="P2074" t="s">
        <v>94</v>
      </c>
      <c r="Q2074" t="s">
        <v>95</v>
      </c>
      <c r="R2074" t="s">
        <v>533</v>
      </c>
      <c r="S2074" s="33">
        <v>0.2</v>
      </c>
      <c r="T2074" s="13">
        <v>6.3680000000000003</v>
      </c>
      <c r="U2074" s="13">
        <v>1.0347999999999999</v>
      </c>
      <c r="V2074" s="21">
        <f>Table10[[#This Row],[Profit]]/Table10[[#This Row],[Sales]]</f>
        <v>0.16249999999999998</v>
      </c>
    </row>
    <row r="2075" spans="1:22" x14ac:dyDescent="0.2">
      <c r="A2075">
        <v>2074</v>
      </c>
      <c r="B2075" t="s">
        <v>6361</v>
      </c>
      <c r="C2075" s="1">
        <v>42692</v>
      </c>
      <c r="D2075" s="22">
        <f>MONTH(Table10[[#This Row],[Order Date]])</f>
        <v>11</v>
      </c>
      <c r="E2075" t="s">
        <v>1986</v>
      </c>
      <c r="F2075" t="s">
        <v>1987</v>
      </c>
      <c r="G2075" s="23" t="s">
        <v>41</v>
      </c>
      <c r="H2075" s="23" t="s">
        <v>42</v>
      </c>
      <c r="I2075" t="s">
        <v>177</v>
      </c>
      <c r="J2075" t="s">
        <v>92</v>
      </c>
      <c r="K2075" s="22">
        <v>2</v>
      </c>
      <c r="L2075" s="1">
        <v>42696</v>
      </c>
      <c r="M2075" s="22">
        <f>Table10[[#This Row],[Ship Date]]-Table10[[#This Row],[Order Date]]</f>
        <v>4</v>
      </c>
      <c r="N2075" t="s">
        <v>45</v>
      </c>
      <c r="O2075" t="s">
        <v>23</v>
      </c>
      <c r="P2075" t="s">
        <v>94</v>
      </c>
      <c r="Q2075" t="s">
        <v>95</v>
      </c>
      <c r="R2075" t="s">
        <v>533</v>
      </c>
      <c r="S2075" s="33">
        <v>0.2</v>
      </c>
      <c r="T2075" s="13">
        <v>48.847999999999999</v>
      </c>
      <c r="U2075" s="13">
        <v>15.8756</v>
      </c>
      <c r="V2075" s="21">
        <f>Table10[[#This Row],[Profit]]/Table10[[#This Row],[Sales]]</f>
        <v>0.32500000000000001</v>
      </c>
    </row>
    <row r="2076" spans="1:22" x14ac:dyDescent="0.2">
      <c r="A2076">
        <v>2075</v>
      </c>
      <c r="B2076" t="s">
        <v>6361</v>
      </c>
      <c r="C2076" s="1">
        <v>42692</v>
      </c>
      <c r="D2076" s="22">
        <f>MONTH(Table10[[#This Row],[Order Date]])</f>
        <v>11</v>
      </c>
      <c r="E2076" t="s">
        <v>1106</v>
      </c>
      <c r="F2076" t="s">
        <v>1107</v>
      </c>
      <c r="G2076" s="23" t="s">
        <v>41</v>
      </c>
      <c r="H2076" s="23" t="s">
        <v>82</v>
      </c>
      <c r="I2076" t="s">
        <v>177</v>
      </c>
      <c r="J2076" t="s">
        <v>92</v>
      </c>
      <c r="K2076" s="22">
        <v>2</v>
      </c>
      <c r="L2076" s="1">
        <v>42696</v>
      </c>
      <c r="M2076" s="22">
        <f>Table10[[#This Row],[Ship Date]]-Table10[[#This Row],[Order Date]]</f>
        <v>4</v>
      </c>
      <c r="N2076" t="s">
        <v>45</v>
      </c>
      <c r="O2076" t="s">
        <v>23</v>
      </c>
      <c r="P2076" t="s">
        <v>94</v>
      </c>
      <c r="Q2076" t="s">
        <v>95</v>
      </c>
      <c r="R2076" t="s">
        <v>533</v>
      </c>
      <c r="S2076" s="33">
        <v>0.2</v>
      </c>
      <c r="T2076" s="13">
        <v>19.648</v>
      </c>
      <c r="U2076" s="13">
        <v>6.6311999999999998</v>
      </c>
      <c r="V2076" s="21">
        <f>Table10[[#This Row],[Profit]]/Table10[[#This Row],[Sales]]</f>
        <v>0.33749999999999997</v>
      </c>
    </row>
    <row r="2077" spans="1:22" x14ac:dyDescent="0.2">
      <c r="A2077">
        <v>2076</v>
      </c>
      <c r="B2077" t="s">
        <v>6361</v>
      </c>
      <c r="C2077" s="1">
        <v>42692</v>
      </c>
      <c r="D2077" s="22">
        <f>MONTH(Table10[[#This Row],[Order Date]])</f>
        <v>11</v>
      </c>
      <c r="E2077" t="s">
        <v>620</v>
      </c>
      <c r="F2077" t="s">
        <v>621</v>
      </c>
      <c r="G2077" s="23" t="s">
        <v>28</v>
      </c>
      <c r="H2077" s="23" t="s">
        <v>32</v>
      </c>
      <c r="I2077" t="s">
        <v>177</v>
      </c>
      <c r="J2077" t="s">
        <v>92</v>
      </c>
      <c r="K2077" s="22">
        <v>6</v>
      </c>
      <c r="L2077" s="1">
        <v>42696</v>
      </c>
      <c r="M2077" s="22">
        <f>Table10[[#This Row],[Ship Date]]-Table10[[#This Row],[Order Date]]</f>
        <v>4</v>
      </c>
      <c r="N2077" t="s">
        <v>45</v>
      </c>
      <c r="O2077" t="s">
        <v>23</v>
      </c>
      <c r="P2077" t="s">
        <v>94</v>
      </c>
      <c r="Q2077" t="s">
        <v>95</v>
      </c>
      <c r="R2077" t="s">
        <v>533</v>
      </c>
      <c r="S2077" s="33">
        <v>0.3</v>
      </c>
      <c r="T2077" s="13">
        <v>255.108</v>
      </c>
      <c r="U2077" s="13">
        <v>-18.222000000000001</v>
      </c>
      <c r="V2077" s="21">
        <f>Table10[[#This Row],[Profit]]/Table10[[#This Row],[Sales]]</f>
        <v>-7.1428571428571438E-2</v>
      </c>
    </row>
    <row r="2078" spans="1:22" x14ac:dyDescent="0.2">
      <c r="A2078">
        <v>2077</v>
      </c>
      <c r="B2078" t="s">
        <v>6717</v>
      </c>
      <c r="C2078" s="1">
        <v>42692</v>
      </c>
      <c r="D2078" s="22">
        <f>MONTH(Table10[[#This Row],[Order Date]])</f>
        <v>11</v>
      </c>
      <c r="E2078" t="s">
        <v>6718</v>
      </c>
      <c r="F2078" t="s">
        <v>6719</v>
      </c>
      <c r="G2078" s="23" t="s">
        <v>41</v>
      </c>
      <c r="H2078" s="23" t="s">
        <v>71</v>
      </c>
      <c r="I2078" t="s">
        <v>864</v>
      </c>
      <c r="J2078" t="s">
        <v>36</v>
      </c>
      <c r="K2078" s="22">
        <v>6</v>
      </c>
      <c r="L2078" s="1">
        <v>42698</v>
      </c>
      <c r="M2078" s="22">
        <f>Table10[[#This Row],[Ship Date]]-Table10[[#This Row],[Order Date]]</f>
        <v>6</v>
      </c>
      <c r="N2078" t="s">
        <v>45</v>
      </c>
      <c r="O2078" t="s">
        <v>23</v>
      </c>
      <c r="P2078" t="s">
        <v>441</v>
      </c>
      <c r="Q2078" t="s">
        <v>133</v>
      </c>
      <c r="R2078" t="s">
        <v>3755</v>
      </c>
      <c r="S2078" s="33">
        <v>0.2</v>
      </c>
      <c r="T2078" s="13">
        <v>103.968</v>
      </c>
      <c r="U2078" s="13">
        <v>16.8948</v>
      </c>
      <c r="V2078" s="21">
        <f>Table10[[#This Row],[Profit]]/Table10[[#This Row],[Sales]]</f>
        <v>0.16250000000000001</v>
      </c>
    </row>
    <row r="2079" spans="1:22" x14ac:dyDescent="0.2">
      <c r="A2079">
        <v>2078</v>
      </c>
      <c r="B2079" t="s">
        <v>7147</v>
      </c>
      <c r="C2079" s="1">
        <v>42692</v>
      </c>
      <c r="D2079" s="22">
        <f>MONTH(Table10[[#This Row],[Order Date]])</f>
        <v>11</v>
      </c>
      <c r="E2079" t="s">
        <v>3796</v>
      </c>
      <c r="F2079" t="s">
        <v>3797</v>
      </c>
      <c r="G2079" s="23" t="s">
        <v>64</v>
      </c>
      <c r="H2079" s="23" t="s">
        <v>65</v>
      </c>
      <c r="I2079" t="s">
        <v>3186</v>
      </c>
      <c r="J2079" t="s">
        <v>92</v>
      </c>
      <c r="K2079" s="22">
        <v>1</v>
      </c>
      <c r="L2079" s="1">
        <v>42696</v>
      </c>
      <c r="M2079" s="22">
        <f>Table10[[#This Row],[Ship Date]]-Table10[[#This Row],[Order Date]]</f>
        <v>4</v>
      </c>
      <c r="N2079" t="s">
        <v>45</v>
      </c>
      <c r="O2079" t="s">
        <v>23</v>
      </c>
      <c r="P2079" t="s">
        <v>38</v>
      </c>
      <c r="Q2079" t="s">
        <v>39</v>
      </c>
      <c r="R2079" t="s">
        <v>37</v>
      </c>
      <c r="S2079" s="33">
        <v>0.2</v>
      </c>
      <c r="T2079" s="13">
        <v>61.192</v>
      </c>
      <c r="U2079" s="13">
        <v>6.1192000000000002</v>
      </c>
      <c r="V2079" s="21">
        <f>Table10[[#This Row],[Profit]]/Table10[[#This Row],[Sales]]</f>
        <v>0.1</v>
      </c>
    </row>
    <row r="2080" spans="1:22" x14ac:dyDescent="0.2">
      <c r="A2080">
        <v>2079</v>
      </c>
      <c r="B2080" t="s">
        <v>7147</v>
      </c>
      <c r="C2080" s="1">
        <v>42692</v>
      </c>
      <c r="D2080" s="22">
        <f>MONTH(Table10[[#This Row],[Order Date]])</f>
        <v>11</v>
      </c>
      <c r="E2080" t="s">
        <v>5853</v>
      </c>
      <c r="F2080" t="s">
        <v>5854</v>
      </c>
      <c r="G2080" s="23" t="s">
        <v>41</v>
      </c>
      <c r="H2080" s="23" t="s">
        <v>71</v>
      </c>
      <c r="I2080" t="s">
        <v>3186</v>
      </c>
      <c r="J2080" t="s">
        <v>92</v>
      </c>
      <c r="K2080" s="22">
        <v>1</v>
      </c>
      <c r="L2080" s="1">
        <v>42696</v>
      </c>
      <c r="M2080" s="22">
        <f>Table10[[#This Row],[Ship Date]]-Table10[[#This Row],[Order Date]]</f>
        <v>4</v>
      </c>
      <c r="N2080" t="s">
        <v>45</v>
      </c>
      <c r="O2080" t="s">
        <v>23</v>
      </c>
      <c r="P2080" t="s">
        <v>38</v>
      </c>
      <c r="Q2080" t="s">
        <v>39</v>
      </c>
      <c r="R2080" t="s">
        <v>37</v>
      </c>
      <c r="S2080" s="33">
        <v>0</v>
      </c>
      <c r="T2080" s="13">
        <v>67.84</v>
      </c>
      <c r="U2080" s="13">
        <v>18.316800000000001</v>
      </c>
      <c r="V2080" s="21">
        <f>Table10[[#This Row],[Profit]]/Table10[[#This Row],[Sales]]</f>
        <v>0.27</v>
      </c>
    </row>
    <row r="2081" spans="1:22" x14ac:dyDescent="0.2">
      <c r="A2081">
        <v>2080</v>
      </c>
      <c r="B2081" t="s">
        <v>7284</v>
      </c>
      <c r="C2081" s="1">
        <v>42692</v>
      </c>
      <c r="D2081" s="22">
        <f>MONTH(Table10[[#This Row],[Order Date]])</f>
        <v>11</v>
      </c>
      <c r="E2081" t="s">
        <v>343</v>
      </c>
      <c r="F2081" t="s">
        <v>344</v>
      </c>
      <c r="G2081" s="23" t="s">
        <v>28</v>
      </c>
      <c r="H2081" s="23" t="s">
        <v>32</v>
      </c>
      <c r="I2081" t="s">
        <v>1670</v>
      </c>
      <c r="J2081" t="s">
        <v>22</v>
      </c>
      <c r="K2081" s="22">
        <v>2</v>
      </c>
      <c r="L2081" s="1">
        <v>42697</v>
      </c>
      <c r="M2081" s="22">
        <f>Table10[[#This Row],[Ship Date]]-Table10[[#This Row],[Order Date]]</f>
        <v>5</v>
      </c>
      <c r="N2081" t="s">
        <v>20</v>
      </c>
      <c r="O2081" t="s">
        <v>23</v>
      </c>
      <c r="P2081" t="s">
        <v>212</v>
      </c>
      <c r="Q2081" t="s">
        <v>95</v>
      </c>
      <c r="R2081" t="s">
        <v>985</v>
      </c>
      <c r="S2081" s="33">
        <v>0</v>
      </c>
      <c r="T2081" s="13">
        <v>301.95999999999998</v>
      </c>
      <c r="U2081" s="13">
        <v>33.215600000000002</v>
      </c>
      <c r="V2081" s="21">
        <f>Table10[[#This Row],[Profit]]/Table10[[#This Row],[Sales]]</f>
        <v>0.11000000000000001</v>
      </c>
    </row>
    <row r="2082" spans="1:22" x14ac:dyDescent="0.2">
      <c r="A2082">
        <v>2081</v>
      </c>
      <c r="B2082" t="s">
        <v>7537</v>
      </c>
      <c r="C2082" s="1">
        <v>42692</v>
      </c>
      <c r="D2082" s="22">
        <f>MONTH(Table10[[#This Row],[Order Date]])</f>
        <v>11</v>
      </c>
      <c r="E2082" t="s">
        <v>7468</v>
      </c>
      <c r="F2082" t="s">
        <v>7469</v>
      </c>
      <c r="G2082" s="23" t="s">
        <v>64</v>
      </c>
      <c r="H2082" s="23" t="s">
        <v>144</v>
      </c>
      <c r="I2082" t="s">
        <v>2519</v>
      </c>
      <c r="J2082" t="s">
        <v>36</v>
      </c>
      <c r="K2082" s="22">
        <v>4</v>
      </c>
      <c r="L2082" s="1">
        <v>42695</v>
      </c>
      <c r="M2082" s="22">
        <f>Table10[[#This Row],[Ship Date]]-Table10[[#This Row],[Order Date]]</f>
        <v>3</v>
      </c>
      <c r="N2082" t="s">
        <v>20</v>
      </c>
      <c r="O2082" t="s">
        <v>23</v>
      </c>
      <c r="P2082" t="s">
        <v>320</v>
      </c>
      <c r="Q2082" t="s">
        <v>26</v>
      </c>
      <c r="R2082" t="s">
        <v>1488</v>
      </c>
      <c r="S2082" s="33">
        <v>0</v>
      </c>
      <c r="T2082" s="13">
        <v>1319.96</v>
      </c>
      <c r="U2082" s="13">
        <v>527.98400000000004</v>
      </c>
      <c r="V2082" s="21">
        <f>Table10[[#This Row],[Profit]]/Table10[[#This Row],[Sales]]</f>
        <v>0.4</v>
      </c>
    </row>
    <row r="2083" spans="1:22" x14ac:dyDescent="0.2">
      <c r="A2083">
        <v>2082</v>
      </c>
      <c r="B2083" t="s">
        <v>9083</v>
      </c>
      <c r="C2083" s="1">
        <v>42692</v>
      </c>
      <c r="D2083" s="22">
        <f>MONTH(Table10[[#This Row],[Order Date]])</f>
        <v>11</v>
      </c>
      <c r="E2083" t="s">
        <v>4261</v>
      </c>
      <c r="F2083" t="s">
        <v>4262</v>
      </c>
      <c r="G2083" s="23" t="s">
        <v>64</v>
      </c>
      <c r="H2083" s="23" t="s">
        <v>144</v>
      </c>
      <c r="I2083" t="s">
        <v>2260</v>
      </c>
      <c r="J2083" t="s">
        <v>22</v>
      </c>
      <c r="K2083" s="22">
        <v>5</v>
      </c>
      <c r="L2083" s="1">
        <v>42696</v>
      </c>
      <c r="M2083" s="22">
        <f>Table10[[#This Row],[Ship Date]]-Table10[[#This Row],[Order Date]]</f>
        <v>4</v>
      </c>
      <c r="N2083" t="s">
        <v>45</v>
      </c>
      <c r="O2083" t="s">
        <v>23</v>
      </c>
      <c r="P2083" t="s">
        <v>38</v>
      </c>
      <c r="Q2083" t="s">
        <v>39</v>
      </c>
      <c r="R2083" t="s">
        <v>836</v>
      </c>
      <c r="S2083" s="33">
        <v>0</v>
      </c>
      <c r="T2083" s="13">
        <v>595</v>
      </c>
      <c r="U2083" s="13">
        <v>95.2</v>
      </c>
      <c r="V2083" s="21">
        <f>Table10[[#This Row],[Profit]]/Table10[[#This Row],[Sales]]</f>
        <v>0.16</v>
      </c>
    </row>
    <row r="2084" spans="1:22" x14ac:dyDescent="0.2">
      <c r="A2084">
        <v>2083</v>
      </c>
      <c r="B2084" t="s">
        <v>9928</v>
      </c>
      <c r="C2084" s="1">
        <v>42692</v>
      </c>
      <c r="D2084" s="22">
        <f>MONTH(Table10[[#This Row],[Order Date]])</f>
        <v>11</v>
      </c>
      <c r="E2084" t="s">
        <v>4824</v>
      </c>
      <c r="F2084" t="s">
        <v>4825</v>
      </c>
      <c r="G2084" s="23" t="s">
        <v>41</v>
      </c>
      <c r="H2084" s="23" t="s">
        <v>68</v>
      </c>
      <c r="I2084" t="s">
        <v>5195</v>
      </c>
      <c r="J2084" t="s">
        <v>22</v>
      </c>
      <c r="K2084" s="22">
        <v>5</v>
      </c>
      <c r="L2084" s="1">
        <v>42692</v>
      </c>
      <c r="M2084" s="22">
        <f>Table10[[#This Row],[Ship Date]]-Table10[[#This Row],[Order Date]]</f>
        <v>0</v>
      </c>
      <c r="N2084" t="s">
        <v>1141</v>
      </c>
      <c r="O2084" t="s">
        <v>23</v>
      </c>
      <c r="P2084" t="s">
        <v>38</v>
      </c>
      <c r="Q2084" t="s">
        <v>39</v>
      </c>
      <c r="R2084" t="s">
        <v>79</v>
      </c>
      <c r="S2084" s="33">
        <v>0.2</v>
      </c>
      <c r="T2084" s="13">
        <v>61.12</v>
      </c>
      <c r="U2084" s="13">
        <v>22.155999999999999</v>
      </c>
      <c r="V2084" s="21">
        <f>Table10[[#This Row],[Profit]]/Table10[[#This Row],[Sales]]</f>
        <v>0.36249999999999999</v>
      </c>
    </row>
    <row r="2085" spans="1:22" x14ac:dyDescent="0.2">
      <c r="A2085">
        <v>2084</v>
      </c>
      <c r="B2085" t="s">
        <v>1949</v>
      </c>
      <c r="C2085" s="1">
        <v>42693</v>
      </c>
      <c r="D2085" s="22">
        <f>MONTH(Table10[[#This Row],[Order Date]])</f>
        <v>11</v>
      </c>
      <c r="E2085" t="s">
        <v>1951</v>
      </c>
      <c r="F2085" t="s">
        <v>1952</v>
      </c>
      <c r="G2085" s="23" t="s">
        <v>41</v>
      </c>
      <c r="H2085" s="23" t="s">
        <v>68</v>
      </c>
      <c r="I2085" t="s">
        <v>1950</v>
      </c>
      <c r="J2085" t="s">
        <v>22</v>
      </c>
      <c r="K2085" s="22">
        <v>3</v>
      </c>
      <c r="L2085" s="1">
        <v>42698</v>
      </c>
      <c r="M2085" s="22">
        <f>Table10[[#This Row],[Ship Date]]-Table10[[#This Row],[Order Date]]</f>
        <v>5</v>
      </c>
      <c r="N2085" t="s">
        <v>45</v>
      </c>
      <c r="O2085" t="s">
        <v>23</v>
      </c>
      <c r="P2085" t="s">
        <v>238</v>
      </c>
      <c r="Q2085" t="s">
        <v>133</v>
      </c>
      <c r="R2085" t="s">
        <v>237</v>
      </c>
      <c r="S2085" s="33">
        <v>0.2</v>
      </c>
      <c r="T2085" s="13">
        <v>14.352</v>
      </c>
      <c r="U2085" s="13">
        <v>4.6643999999999997</v>
      </c>
      <c r="V2085" s="21">
        <f>Table10[[#This Row],[Profit]]/Table10[[#This Row],[Sales]]</f>
        <v>0.32499999999999996</v>
      </c>
    </row>
    <row r="2086" spans="1:22" x14ac:dyDescent="0.2">
      <c r="A2086">
        <v>2085</v>
      </c>
      <c r="B2086" t="s">
        <v>1949</v>
      </c>
      <c r="C2086" s="1">
        <v>42693</v>
      </c>
      <c r="D2086" s="22">
        <f>MONTH(Table10[[#This Row],[Order Date]])</f>
        <v>11</v>
      </c>
      <c r="E2086" t="s">
        <v>1953</v>
      </c>
      <c r="F2086" t="s">
        <v>1954</v>
      </c>
      <c r="G2086" s="23" t="s">
        <v>41</v>
      </c>
      <c r="H2086" s="23" t="s">
        <v>53</v>
      </c>
      <c r="I2086" t="s">
        <v>1950</v>
      </c>
      <c r="J2086" t="s">
        <v>22</v>
      </c>
      <c r="K2086" s="22">
        <v>2</v>
      </c>
      <c r="L2086" s="1">
        <v>42698</v>
      </c>
      <c r="M2086" s="22">
        <f>Table10[[#This Row],[Ship Date]]-Table10[[#This Row],[Order Date]]</f>
        <v>5</v>
      </c>
      <c r="N2086" t="s">
        <v>45</v>
      </c>
      <c r="O2086" t="s">
        <v>23</v>
      </c>
      <c r="P2086" t="s">
        <v>238</v>
      </c>
      <c r="Q2086" t="s">
        <v>133</v>
      </c>
      <c r="R2086" t="s">
        <v>237</v>
      </c>
      <c r="S2086" s="33">
        <v>0</v>
      </c>
      <c r="T2086" s="13">
        <v>64.959999999999994</v>
      </c>
      <c r="U2086" s="13">
        <v>2.5983999999999998</v>
      </c>
      <c r="V2086" s="21">
        <f>Table10[[#This Row],[Profit]]/Table10[[#This Row],[Sales]]</f>
        <v>0.04</v>
      </c>
    </row>
    <row r="2087" spans="1:22" x14ac:dyDescent="0.2">
      <c r="A2087">
        <v>2086</v>
      </c>
      <c r="B2087" t="s">
        <v>1949</v>
      </c>
      <c r="C2087" s="1">
        <v>42693</v>
      </c>
      <c r="D2087" s="22">
        <f>MONTH(Table10[[#This Row],[Order Date]])</f>
        <v>11</v>
      </c>
      <c r="E2087" t="s">
        <v>1564</v>
      </c>
      <c r="F2087" t="s">
        <v>1565</v>
      </c>
      <c r="G2087" s="23" t="s">
        <v>41</v>
      </c>
      <c r="H2087" s="23" t="s">
        <v>53</v>
      </c>
      <c r="I2087" t="s">
        <v>1950</v>
      </c>
      <c r="J2087" t="s">
        <v>22</v>
      </c>
      <c r="K2087" s="22">
        <v>4</v>
      </c>
      <c r="L2087" s="1">
        <v>42698</v>
      </c>
      <c r="M2087" s="22">
        <f>Table10[[#This Row],[Ship Date]]-Table10[[#This Row],[Order Date]]</f>
        <v>5</v>
      </c>
      <c r="N2087" t="s">
        <v>45</v>
      </c>
      <c r="O2087" t="s">
        <v>23</v>
      </c>
      <c r="P2087" t="s">
        <v>238</v>
      </c>
      <c r="Q2087" t="s">
        <v>133</v>
      </c>
      <c r="R2087" t="s">
        <v>237</v>
      </c>
      <c r="S2087" s="33">
        <v>0</v>
      </c>
      <c r="T2087" s="13">
        <v>68.599999999999994</v>
      </c>
      <c r="U2087" s="13">
        <v>18.521999999999998</v>
      </c>
      <c r="V2087" s="21">
        <f>Table10[[#This Row],[Profit]]/Table10[[#This Row],[Sales]]</f>
        <v>0.27</v>
      </c>
    </row>
    <row r="2088" spans="1:22" x14ac:dyDescent="0.2">
      <c r="A2088">
        <v>2087</v>
      </c>
      <c r="B2088" t="s">
        <v>2853</v>
      </c>
      <c r="C2088" s="1">
        <v>42693</v>
      </c>
      <c r="D2088" s="22">
        <f>MONTH(Table10[[#This Row],[Order Date]])</f>
        <v>11</v>
      </c>
      <c r="E2088" t="s">
        <v>733</v>
      </c>
      <c r="F2088" t="s">
        <v>734</v>
      </c>
      <c r="G2088" s="23" t="s">
        <v>41</v>
      </c>
      <c r="H2088" s="23" t="s">
        <v>53</v>
      </c>
      <c r="I2088" t="s">
        <v>140</v>
      </c>
      <c r="J2088" t="s">
        <v>22</v>
      </c>
      <c r="K2088" s="22">
        <v>6</v>
      </c>
      <c r="L2088" s="1">
        <v>42698</v>
      </c>
      <c r="M2088" s="22">
        <f>Table10[[#This Row],[Ship Date]]-Table10[[#This Row],[Order Date]]</f>
        <v>5</v>
      </c>
      <c r="N2088" t="s">
        <v>45</v>
      </c>
      <c r="O2088" t="s">
        <v>23</v>
      </c>
      <c r="P2088" t="s">
        <v>94</v>
      </c>
      <c r="Q2088" t="s">
        <v>95</v>
      </c>
      <c r="R2088" t="s">
        <v>165</v>
      </c>
      <c r="S2088" s="33">
        <v>0.2</v>
      </c>
      <c r="T2088" s="13">
        <v>100.70399999999999</v>
      </c>
      <c r="U2088" s="13">
        <v>-16.3644</v>
      </c>
      <c r="V2088" s="21">
        <f>Table10[[#This Row],[Profit]]/Table10[[#This Row],[Sales]]</f>
        <v>-0.16250000000000001</v>
      </c>
    </row>
    <row r="2089" spans="1:22" x14ac:dyDescent="0.2">
      <c r="A2089">
        <v>2088</v>
      </c>
      <c r="B2089" t="s">
        <v>2853</v>
      </c>
      <c r="C2089" s="1">
        <v>42693</v>
      </c>
      <c r="D2089" s="22">
        <f>MONTH(Table10[[#This Row],[Order Date]])</f>
        <v>11</v>
      </c>
      <c r="E2089" t="s">
        <v>1376</v>
      </c>
      <c r="F2089" t="s">
        <v>1377</v>
      </c>
      <c r="G2089" s="23" t="s">
        <v>28</v>
      </c>
      <c r="H2089" s="23" t="s">
        <v>58</v>
      </c>
      <c r="I2089" t="s">
        <v>140</v>
      </c>
      <c r="J2089" t="s">
        <v>22</v>
      </c>
      <c r="K2089" s="22">
        <v>2</v>
      </c>
      <c r="L2089" s="1">
        <v>42698</v>
      </c>
      <c r="M2089" s="22">
        <f>Table10[[#This Row],[Ship Date]]-Table10[[#This Row],[Order Date]]</f>
        <v>5</v>
      </c>
      <c r="N2089" t="s">
        <v>45</v>
      </c>
      <c r="O2089" t="s">
        <v>23</v>
      </c>
      <c r="P2089" t="s">
        <v>94</v>
      </c>
      <c r="Q2089" t="s">
        <v>95</v>
      </c>
      <c r="R2089" t="s">
        <v>165</v>
      </c>
      <c r="S2089" s="33">
        <v>0.6</v>
      </c>
      <c r="T2089" s="13">
        <v>2.3279999999999998</v>
      </c>
      <c r="U2089" s="13">
        <v>-0.75660000000000005</v>
      </c>
      <c r="V2089" s="21">
        <f>Table10[[#This Row],[Profit]]/Table10[[#This Row],[Sales]]</f>
        <v>-0.32500000000000007</v>
      </c>
    </row>
    <row r="2090" spans="1:22" x14ac:dyDescent="0.2">
      <c r="A2090">
        <v>2089</v>
      </c>
      <c r="B2090" t="s">
        <v>2853</v>
      </c>
      <c r="C2090" s="1">
        <v>42693</v>
      </c>
      <c r="D2090" s="22">
        <f>MONTH(Table10[[#This Row],[Order Date]])</f>
        <v>11</v>
      </c>
      <c r="E2090" t="s">
        <v>2854</v>
      </c>
      <c r="F2090" t="s">
        <v>2855</v>
      </c>
      <c r="G2090" s="23" t="s">
        <v>41</v>
      </c>
      <c r="H2090" s="23" t="s">
        <v>68</v>
      </c>
      <c r="I2090" t="s">
        <v>140</v>
      </c>
      <c r="J2090" t="s">
        <v>22</v>
      </c>
      <c r="K2090" s="22">
        <v>5</v>
      </c>
      <c r="L2090" s="1">
        <v>42698</v>
      </c>
      <c r="M2090" s="22">
        <f>Table10[[#This Row],[Ship Date]]-Table10[[#This Row],[Order Date]]</f>
        <v>5</v>
      </c>
      <c r="N2090" t="s">
        <v>45</v>
      </c>
      <c r="O2090" t="s">
        <v>23</v>
      </c>
      <c r="P2090" t="s">
        <v>94</v>
      </c>
      <c r="Q2090" t="s">
        <v>95</v>
      </c>
      <c r="R2090" t="s">
        <v>165</v>
      </c>
      <c r="S2090" s="33">
        <v>0.8</v>
      </c>
      <c r="T2090" s="13">
        <v>10.78</v>
      </c>
      <c r="U2090" s="13">
        <v>-17.248000000000001</v>
      </c>
      <c r="V2090" s="21">
        <f>Table10[[#This Row],[Profit]]/Table10[[#This Row],[Sales]]</f>
        <v>-1.6</v>
      </c>
    </row>
    <row r="2091" spans="1:22" x14ac:dyDescent="0.2">
      <c r="A2091">
        <v>2090</v>
      </c>
      <c r="B2091" t="s">
        <v>2853</v>
      </c>
      <c r="C2091" s="1">
        <v>42693</v>
      </c>
      <c r="D2091" s="22">
        <f>MONTH(Table10[[#This Row],[Order Date]])</f>
        <v>11</v>
      </c>
      <c r="E2091" t="s">
        <v>2856</v>
      </c>
      <c r="F2091" t="s">
        <v>498</v>
      </c>
      <c r="G2091" s="23" t="s">
        <v>41</v>
      </c>
      <c r="H2091" s="23" t="s">
        <v>240</v>
      </c>
      <c r="I2091" t="s">
        <v>140</v>
      </c>
      <c r="J2091" t="s">
        <v>22</v>
      </c>
      <c r="K2091" s="22">
        <v>12</v>
      </c>
      <c r="L2091" s="1">
        <v>42698</v>
      </c>
      <c r="M2091" s="22">
        <f>Table10[[#This Row],[Ship Date]]-Table10[[#This Row],[Order Date]]</f>
        <v>5</v>
      </c>
      <c r="N2091" t="s">
        <v>45</v>
      </c>
      <c r="O2091" t="s">
        <v>23</v>
      </c>
      <c r="P2091" t="s">
        <v>94</v>
      </c>
      <c r="Q2091" t="s">
        <v>95</v>
      </c>
      <c r="R2091" t="s">
        <v>165</v>
      </c>
      <c r="S2091" s="33">
        <v>0.2</v>
      </c>
      <c r="T2091" s="13">
        <v>58.368000000000002</v>
      </c>
      <c r="U2091" s="13">
        <v>21.888000000000002</v>
      </c>
      <c r="V2091" s="21">
        <f>Table10[[#This Row],[Profit]]/Table10[[#This Row],[Sales]]</f>
        <v>0.375</v>
      </c>
    </row>
    <row r="2092" spans="1:22" x14ac:dyDescent="0.2">
      <c r="A2092">
        <v>2091</v>
      </c>
      <c r="B2092" t="s">
        <v>2853</v>
      </c>
      <c r="C2092" s="1">
        <v>42693</v>
      </c>
      <c r="D2092" s="22">
        <f>MONTH(Table10[[#This Row],[Order Date]])</f>
        <v>11</v>
      </c>
      <c r="E2092" t="s">
        <v>2857</v>
      </c>
      <c r="F2092" t="s">
        <v>2858</v>
      </c>
      <c r="G2092" s="23" t="s">
        <v>41</v>
      </c>
      <c r="H2092" s="23" t="s">
        <v>155</v>
      </c>
      <c r="I2092" t="s">
        <v>140</v>
      </c>
      <c r="J2092" t="s">
        <v>22</v>
      </c>
      <c r="K2092" s="22">
        <v>3</v>
      </c>
      <c r="L2092" s="1">
        <v>42698</v>
      </c>
      <c r="M2092" s="22">
        <f>Table10[[#This Row],[Ship Date]]-Table10[[#This Row],[Order Date]]</f>
        <v>5</v>
      </c>
      <c r="N2092" t="s">
        <v>45</v>
      </c>
      <c r="O2092" t="s">
        <v>23</v>
      </c>
      <c r="P2092" t="s">
        <v>94</v>
      </c>
      <c r="Q2092" t="s">
        <v>95</v>
      </c>
      <c r="R2092" t="s">
        <v>165</v>
      </c>
      <c r="S2092" s="33">
        <v>0.2</v>
      </c>
      <c r="T2092" s="13">
        <v>40.968000000000004</v>
      </c>
      <c r="U2092" s="13">
        <v>13.826700000000001</v>
      </c>
      <c r="V2092" s="21">
        <f>Table10[[#This Row],[Profit]]/Table10[[#This Row],[Sales]]</f>
        <v>0.33749999999999997</v>
      </c>
    </row>
    <row r="2093" spans="1:22" x14ac:dyDescent="0.2">
      <c r="A2093">
        <v>2092</v>
      </c>
      <c r="B2093" t="s">
        <v>2853</v>
      </c>
      <c r="C2093" s="1">
        <v>42693</v>
      </c>
      <c r="D2093" s="22">
        <f>MONTH(Table10[[#This Row],[Order Date]])</f>
        <v>11</v>
      </c>
      <c r="E2093" t="s">
        <v>2859</v>
      </c>
      <c r="F2093" t="s">
        <v>2860</v>
      </c>
      <c r="G2093" s="23" t="s">
        <v>64</v>
      </c>
      <c r="H2093" s="23" t="s">
        <v>65</v>
      </c>
      <c r="I2093" t="s">
        <v>140</v>
      </c>
      <c r="J2093" t="s">
        <v>22</v>
      </c>
      <c r="K2093" s="22">
        <v>5</v>
      </c>
      <c r="L2093" s="1">
        <v>42698</v>
      </c>
      <c r="M2093" s="22">
        <f>Table10[[#This Row],[Ship Date]]-Table10[[#This Row],[Order Date]]</f>
        <v>5</v>
      </c>
      <c r="N2093" t="s">
        <v>45</v>
      </c>
      <c r="O2093" t="s">
        <v>23</v>
      </c>
      <c r="P2093" t="s">
        <v>94</v>
      </c>
      <c r="Q2093" t="s">
        <v>95</v>
      </c>
      <c r="R2093" t="s">
        <v>165</v>
      </c>
      <c r="S2093" s="33">
        <v>0.2</v>
      </c>
      <c r="T2093" s="13">
        <v>71.959999999999994</v>
      </c>
      <c r="U2093" s="13">
        <v>25.186</v>
      </c>
      <c r="V2093" s="21">
        <f>Table10[[#This Row],[Profit]]/Table10[[#This Row],[Sales]]</f>
        <v>0.35000000000000003</v>
      </c>
    </row>
    <row r="2094" spans="1:22" x14ac:dyDescent="0.2">
      <c r="A2094">
        <v>2093</v>
      </c>
      <c r="B2094" t="s">
        <v>2853</v>
      </c>
      <c r="C2094" s="1">
        <v>42693</v>
      </c>
      <c r="D2094" s="22">
        <f>MONTH(Table10[[#This Row],[Order Date]])</f>
        <v>11</v>
      </c>
      <c r="E2094" t="s">
        <v>2861</v>
      </c>
      <c r="F2094" t="s">
        <v>2862</v>
      </c>
      <c r="G2094" s="23" t="s">
        <v>41</v>
      </c>
      <c r="H2094" s="23" t="s">
        <v>82</v>
      </c>
      <c r="I2094" t="s">
        <v>140</v>
      </c>
      <c r="J2094" t="s">
        <v>22</v>
      </c>
      <c r="K2094" s="22">
        <v>2</v>
      </c>
      <c r="L2094" s="1">
        <v>42698</v>
      </c>
      <c r="M2094" s="22">
        <f>Table10[[#This Row],[Ship Date]]-Table10[[#This Row],[Order Date]]</f>
        <v>5</v>
      </c>
      <c r="N2094" t="s">
        <v>45</v>
      </c>
      <c r="O2094" t="s">
        <v>23</v>
      </c>
      <c r="P2094" t="s">
        <v>94</v>
      </c>
      <c r="Q2094" t="s">
        <v>95</v>
      </c>
      <c r="R2094" t="s">
        <v>165</v>
      </c>
      <c r="S2094" s="33">
        <v>0.2</v>
      </c>
      <c r="T2094" s="13">
        <v>10.368</v>
      </c>
      <c r="U2094" s="13">
        <v>3.6288</v>
      </c>
      <c r="V2094" s="21">
        <f>Table10[[#This Row],[Profit]]/Table10[[#This Row],[Sales]]</f>
        <v>0.35</v>
      </c>
    </row>
    <row r="2095" spans="1:22" x14ac:dyDescent="0.2">
      <c r="A2095">
        <v>2094</v>
      </c>
      <c r="B2095" t="s">
        <v>2853</v>
      </c>
      <c r="C2095" s="1">
        <v>42693</v>
      </c>
      <c r="D2095" s="22">
        <f>MONTH(Table10[[#This Row],[Order Date]])</f>
        <v>11</v>
      </c>
      <c r="E2095" t="s">
        <v>396</v>
      </c>
      <c r="F2095" t="s">
        <v>397</v>
      </c>
      <c r="G2095" s="23" t="s">
        <v>41</v>
      </c>
      <c r="H2095" s="23" t="s">
        <v>68</v>
      </c>
      <c r="I2095" t="s">
        <v>140</v>
      </c>
      <c r="J2095" t="s">
        <v>22</v>
      </c>
      <c r="K2095" s="22">
        <v>2</v>
      </c>
      <c r="L2095" s="1">
        <v>42698</v>
      </c>
      <c r="M2095" s="22">
        <f>Table10[[#This Row],[Ship Date]]-Table10[[#This Row],[Order Date]]</f>
        <v>5</v>
      </c>
      <c r="N2095" t="s">
        <v>45</v>
      </c>
      <c r="O2095" t="s">
        <v>23</v>
      </c>
      <c r="P2095" t="s">
        <v>94</v>
      </c>
      <c r="Q2095" t="s">
        <v>95</v>
      </c>
      <c r="R2095" t="s">
        <v>165</v>
      </c>
      <c r="S2095" s="33">
        <v>0.8</v>
      </c>
      <c r="T2095" s="13">
        <v>1.1919999999999999</v>
      </c>
      <c r="U2095" s="13">
        <v>-2.0264000000000002</v>
      </c>
      <c r="V2095" s="21">
        <f>Table10[[#This Row],[Profit]]/Table10[[#This Row],[Sales]]</f>
        <v>-1.7000000000000002</v>
      </c>
    </row>
    <row r="2096" spans="1:22" x14ac:dyDescent="0.2">
      <c r="A2096">
        <v>2095</v>
      </c>
      <c r="B2096" t="s">
        <v>3492</v>
      </c>
      <c r="C2096" s="1">
        <v>42693</v>
      </c>
      <c r="D2096" s="22">
        <f>MONTH(Table10[[#This Row],[Order Date]])</f>
        <v>11</v>
      </c>
      <c r="E2096" t="s">
        <v>3495</v>
      </c>
      <c r="F2096" t="s">
        <v>3496</v>
      </c>
      <c r="G2096" s="23" t="s">
        <v>41</v>
      </c>
      <c r="H2096" s="23" t="s">
        <v>61</v>
      </c>
      <c r="I2096" t="s">
        <v>3493</v>
      </c>
      <c r="J2096" t="s">
        <v>92</v>
      </c>
      <c r="K2096" s="22">
        <v>6</v>
      </c>
      <c r="L2096" s="1">
        <v>42699</v>
      </c>
      <c r="M2096" s="22">
        <f>Table10[[#This Row],[Ship Date]]-Table10[[#This Row],[Order Date]]</f>
        <v>6</v>
      </c>
      <c r="N2096" t="s">
        <v>45</v>
      </c>
      <c r="O2096" t="s">
        <v>23</v>
      </c>
      <c r="P2096" t="s">
        <v>238</v>
      </c>
      <c r="Q2096" t="s">
        <v>133</v>
      </c>
      <c r="R2096" t="s">
        <v>3494</v>
      </c>
      <c r="S2096" s="33">
        <v>0</v>
      </c>
      <c r="T2096" s="13">
        <v>17.28</v>
      </c>
      <c r="U2096" s="13">
        <v>5.0111999999999997</v>
      </c>
      <c r="V2096" s="21">
        <f>Table10[[#This Row],[Profit]]/Table10[[#This Row],[Sales]]</f>
        <v>0.28999999999999998</v>
      </c>
    </row>
    <row r="2097" spans="1:22" x14ac:dyDescent="0.2">
      <c r="A2097">
        <v>2096</v>
      </c>
      <c r="B2097" t="s">
        <v>3492</v>
      </c>
      <c r="C2097" s="1">
        <v>42693</v>
      </c>
      <c r="D2097" s="22">
        <f>MONTH(Table10[[#This Row],[Order Date]])</f>
        <v>11</v>
      </c>
      <c r="E2097" t="s">
        <v>2683</v>
      </c>
      <c r="F2097" t="s">
        <v>2684</v>
      </c>
      <c r="G2097" s="23" t="s">
        <v>41</v>
      </c>
      <c r="H2097" s="23" t="s">
        <v>68</v>
      </c>
      <c r="I2097" t="s">
        <v>3493</v>
      </c>
      <c r="J2097" t="s">
        <v>92</v>
      </c>
      <c r="K2097" s="22">
        <v>3</v>
      </c>
      <c r="L2097" s="1">
        <v>42699</v>
      </c>
      <c r="M2097" s="22">
        <f>Table10[[#This Row],[Ship Date]]-Table10[[#This Row],[Order Date]]</f>
        <v>6</v>
      </c>
      <c r="N2097" t="s">
        <v>45</v>
      </c>
      <c r="O2097" t="s">
        <v>23</v>
      </c>
      <c r="P2097" t="s">
        <v>238</v>
      </c>
      <c r="Q2097" t="s">
        <v>133</v>
      </c>
      <c r="R2097" t="s">
        <v>3494</v>
      </c>
      <c r="S2097" s="33">
        <v>0.2</v>
      </c>
      <c r="T2097" s="13">
        <v>17.712</v>
      </c>
      <c r="U2097" s="13">
        <v>6.4206000000000003</v>
      </c>
      <c r="V2097" s="21">
        <f>Table10[[#This Row],[Profit]]/Table10[[#This Row],[Sales]]</f>
        <v>0.36250000000000004</v>
      </c>
    </row>
    <row r="2098" spans="1:22" x14ac:dyDescent="0.2">
      <c r="A2098">
        <v>2097</v>
      </c>
      <c r="B2098" t="s">
        <v>7325</v>
      </c>
      <c r="C2098" s="1">
        <v>42693</v>
      </c>
      <c r="D2098" s="22">
        <f>MONTH(Table10[[#This Row],[Order Date]])</f>
        <v>11</v>
      </c>
      <c r="E2098" t="s">
        <v>6021</v>
      </c>
      <c r="F2098" t="s">
        <v>6022</v>
      </c>
      <c r="G2098" s="23" t="s">
        <v>41</v>
      </c>
      <c r="H2098" s="23" t="s">
        <v>71</v>
      </c>
      <c r="I2098" t="s">
        <v>5121</v>
      </c>
      <c r="J2098" t="s">
        <v>36</v>
      </c>
      <c r="K2098" s="22">
        <v>3</v>
      </c>
      <c r="L2098" s="1">
        <v>42696</v>
      </c>
      <c r="M2098" s="22">
        <f>Table10[[#This Row],[Ship Date]]-Table10[[#This Row],[Order Date]]</f>
        <v>3</v>
      </c>
      <c r="N2098" t="s">
        <v>169</v>
      </c>
      <c r="O2098" t="s">
        <v>23</v>
      </c>
      <c r="P2098" t="s">
        <v>226</v>
      </c>
      <c r="Q2098" t="s">
        <v>95</v>
      </c>
      <c r="R2098" t="s">
        <v>3859</v>
      </c>
      <c r="S2098" s="33">
        <v>0</v>
      </c>
      <c r="T2098" s="13">
        <v>54.96</v>
      </c>
      <c r="U2098" s="13">
        <v>15.9384</v>
      </c>
      <c r="V2098" s="21">
        <f>Table10[[#This Row],[Profit]]/Table10[[#This Row],[Sales]]</f>
        <v>0.28999999999999998</v>
      </c>
    </row>
    <row r="2099" spans="1:22" x14ac:dyDescent="0.2">
      <c r="A2099">
        <v>2098</v>
      </c>
      <c r="B2099" t="s">
        <v>7863</v>
      </c>
      <c r="C2099" s="1">
        <v>42693</v>
      </c>
      <c r="D2099" s="22">
        <f>MONTH(Table10[[#This Row],[Order Date]])</f>
        <v>11</v>
      </c>
      <c r="E2099" t="s">
        <v>2345</v>
      </c>
      <c r="F2099" t="s">
        <v>2346</v>
      </c>
      <c r="G2099" s="23" t="s">
        <v>41</v>
      </c>
      <c r="H2099" s="23" t="s">
        <v>61</v>
      </c>
      <c r="I2099" t="s">
        <v>2178</v>
      </c>
      <c r="J2099" t="s">
        <v>22</v>
      </c>
      <c r="K2099" s="22">
        <v>2</v>
      </c>
      <c r="L2099" s="1">
        <v>42695</v>
      </c>
      <c r="M2099" s="22">
        <f>Table10[[#This Row],[Ship Date]]-Table10[[#This Row],[Order Date]]</f>
        <v>2</v>
      </c>
      <c r="N2099" t="s">
        <v>169</v>
      </c>
      <c r="O2099" t="s">
        <v>23</v>
      </c>
      <c r="P2099" t="s">
        <v>80</v>
      </c>
      <c r="Q2099" t="s">
        <v>26</v>
      </c>
      <c r="R2099" t="s">
        <v>1345</v>
      </c>
      <c r="S2099" s="33">
        <v>0.2</v>
      </c>
      <c r="T2099" s="13">
        <v>18.48</v>
      </c>
      <c r="U2099" s="13">
        <v>6.0060000000000002</v>
      </c>
      <c r="V2099" s="21">
        <f>Table10[[#This Row],[Profit]]/Table10[[#This Row],[Sales]]</f>
        <v>0.32500000000000001</v>
      </c>
    </row>
    <row r="2100" spans="1:22" x14ac:dyDescent="0.2">
      <c r="A2100">
        <v>2099</v>
      </c>
      <c r="B2100" t="s">
        <v>9173</v>
      </c>
      <c r="C2100" s="1">
        <v>42693</v>
      </c>
      <c r="D2100" s="22">
        <f>MONTH(Table10[[#This Row],[Order Date]])</f>
        <v>11</v>
      </c>
      <c r="E2100" t="s">
        <v>5811</v>
      </c>
      <c r="F2100" t="s">
        <v>5812</v>
      </c>
      <c r="G2100" s="23" t="s">
        <v>41</v>
      </c>
      <c r="H2100" s="23" t="s">
        <v>71</v>
      </c>
      <c r="I2100" t="s">
        <v>3293</v>
      </c>
      <c r="J2100" t="s">
        <v>22</v>
      </c>
      <c r="K2100" s="22">
        <v>2</v>
      </c>
      <c r="L2100" s="1">
        <v>42699</v>
      </c>
      <c r="M2100" s="22">
        <f>Table10[[#This Row],[Ship Date]]-Table10[[#This Row],[Order Date]]</f>
        <v>6</v>
      </c>
      <c r="N2100" t="s">
        <v>45</v>
      </c>
      <c r="O2100" t="s">
        <v>23</v>
      </c>
      <c r="P2100" t="s">
        <v>238</v>
      </c>
      <c r="Q2100" t="s">
        <v>133</v>
      </c>
      <c r="R2100" t="s">
        <v>1037</v>
      </c>
      <c r="S2100" s="33">
        <v>0</v>
      </c>
      <c r="T2100" s="13">
        <v>8.74</v>
      </c>
      <c r="U2100" s="13">
        <v>2.2724000000000002</v>
      </c>
      <c r="V2100" s="21">
        <f>Table10[[#This Row],[Profit]]/Table10[[#This Row],[Sales]]</f>
        <v>0.26</v>
      </c>
    </row>
    <row r="2101" spans="1:22" x14ac:dyDescent="0.2">
      <c r="A2101">
        <v>2100</v>
      </c>
      <c r="B2101" t="s">
        <v>9173</v>
      </c>
      <c r="C2101" s="1">
        <v>42693</v>
      </c>
      <c r="D2101" s="22">
        <f>MONTH(Table10[[#This Row],[Order Date]])</f>
        <v>11</v>
      </c>
      <c r="E2101" t="s">
        <v>1451</v>
      </c>
      <c r="F2101" t="s">
        <v>1452</v>
      </c>
      <c r="G2101" s="23" t="s">
        <v>41</v>
      </c>
      <c r="H2101" s="23" t="s">
        <v>82</v>
      </c>
      <c r="I2101" t="s">
        <v>3293</v>
      </c>
      <c r="J2101" t="s">
        <v>22</v>
      </c>
      <c r="K2101" s="22">
        <v>5</v>
      </c>
      <c r="L2101" s="1">
        <v>42699</v>
      </c>
      <c r="M2101" s="22">
        <f>Table10[[#This Row],[Ship Date]]-Table10[[#This Row],[Order Date]]</f>
        <v>6</v>
      </c>
      <c r="N2101" t="s">
        <v>45</v>
      </c>
      <c r="O2101" t="s">
        <v>23</v>
      </c>
      <c r="P2101" t="s">
        <v>238</v>
      </c>
      <c r="Q2101" t="s">
        <v>133</v>
      </c>
      <c r="R2101" t="s">
        <v>1037</v>
      </c>
      <c r="S2101" s="33">
        <v>0</v>
      </c>
      <c r="T2101" s="13">
        <v>44.75</v>
      </c>
      <c r="U2101" s="13">
        <v>20.585000000000001</v>
      </c>
      <c r="V2101" s="21">
        <f>Table10[[#This Row],[Profit]]/Table10[[#This Row],[Sales]]</f>
        <v>0.46</v>
      </c>
    </row>
    <row r="2102" spans="1:22" x14ac:dyDescent="0.2">
      <c r="A2102">
        <v>2101</v>
      </c>
      <c r="B2102" t="s">
        <v>9859</v>
      </c>
      <c r="C2102" s="1">
        <v>42693</v>
      </c>
      <c r="D2102" s="22">
        <f>MONTH(Table10[[#This Row],[Order Date]])</f>
        <v>11</v>
      </c>
      <c r="E2102" t="s">
        <v>1604</v>
      </c>
      <c r="F2102" t="s">
        <v>1605</v>
      </c>
      <c r="G2102" s="23" t="s">
        <v>28</v>
      </c>
      <c r="H2102" s="23" t="s">
        <v>58</v>
      </c>
      <c r="I2102" t="s">
        <v>236</v>
      </c>
      <c r="J2102" t="s">
        <v>36</v>
      </c>
      <c r="K2102" s="22">
        <v>2</v>
      </c>
      <c r="L2102" s="1">
        <v>42697</v>
      </c>
      <c r="M2102" s="22">
        <f>Table10[[#This Row],[Ship Date]]-Table10[[#This Row],[Order Date]]</f>
        <v>4</v>
      </c>
      <c r="N2102" t="s">
        <v>45</v>
      </c>
      <c r="O2102" t="s">
        <v>23</v>
      </c>
      <c r="P2102" t="s">
        <v>87</v>
      </c>
      <c r="Q2102" t="s">
        <v>39</v>
      </c>
      <c r="R2102" t="s">
        <v>86</v>
      </c>
      <c r="S2102" s="33">
        <v>0</v>
      </c>
      <c r="T2102" s="13">
        <v>31.96</v>
      </c>
      <c r="U2102" s="13">
        <v>1.5980000000000001</v>
      </c>
      <c r="V2102" s="21">
        <f>Table10[[#This Row],[Profit]]/Table10[[#This Row],[Sales]]</f>
        <v>0.05</v>
      </c>
    </row>
    <row r="2103" spans="1:22" x14ac:dyDescent="0.2">
      <c r="A2103">
        <v>2102</v>
      </c>
      <c r="B2103" t="s">
        <v>570</v>
      </c>
      <c r="C2103" s="1">
        <v>42694</v>
      </c>
      <c r="D2103" s="22">
        <f>MONTH(Table10[[#This Row],[Order Date]])</f>
        <v>11</v>
      </c>
      <c r="E2103" t="s">
        <v>574</v>
      </c>
      <c r="F2103" t="s">
        <v>575</v>
      </c>
      <c r="G2103" s="23" t="s">
        <v>41</v>
      </c>
      <c r="H2103" s="23" t="s">
        <v>42</v>
      </c>
      <c r="I2103" t="s">
        <v>571</v>
      </c>
      <c r="J2103" t="s">
        <v>22</v>
      </c>
      <c r="K2103" s="22">
        <v>2</v>
      </c>
      <c r="L2103" s="1">
        <v>42698</v>
      </c>
      <c r="M2103" s="22">
        <f>Table10[[#This Row],[Ship Date]]-Table10[[#This Row],[Order Date]]</f>
        <v>4</v>
      </c>
      <c r="N2103" t="s">
        <v>45</v>
      </c>
      <c r="O2103" t="s">
        <v>23</v>
      </c>
      <c r="P2103" t="s">
        <v>573</v>
      </c>
      <c r="Q2103" t="s">
        <v>95</v>
      </c>
      <c r="R2103" t="s">
        <v>572</v>
      </c>
      <c r="S2103" s="33">
        <v>0</v>
      </c>
      <c r="T2103" s="13">
        <v>14.62</v>
      </c>
      <c r="U2103" s="13">
        <v>6.8714000000000004</v>
      </c>
      <c r="V2103" s="21">
        <f>Table10[[#This Row],[Profit]]/Table10[[#This Row],[Sales]]</f>
        <v>0.47000000000000003</v>
      </c>
    </row>
    <row r="2104" spans="1:22" x14ac:dyDescent="0.2">
      <c r="A2104">
        <v>2103</v>
      </c>
      <c r="B2104" t="s">
        <v>570</v>
      </c>
      <c r="C2104" s="1">
        <v>42694</v>
      </c>
      <c r="D2104" s="22">
        <f>MONTH(Table10[[#This Row],[Order Date]])</f>
        <v>11</v>
      </c>
      <c r="E2104" t="s">
        <v>576</v>
      </c>
      <c r="F2104" t="s">
        <v>577</v>
      </c>
      <c r="G2104" s="23" t="s">
        <v>64</v>
      </c>
      <c r="H2104" s="23" t="s">
        <v>65</v>
      </c>
      <c r="I2104" t="s">
        <v>571</v>
      </c>
      <c r="J2104" t="s">
        <v>22</v>
      </c>
      <c r="K2104" s="22">
        <v>7</v>
      </c>
      <c r="L2104" s="1">
        <v>42698</v>
      </c>
      <c r="M2104" s="22">
        <f>Table10[[#This Row],[Ship Date]]-Table10[[#This Row],[Order Date]]</f>
        <v>4</v>
      </c>
      <c r="N2104" t="s">
        <v>45</v>
      </c>
      <c r="O2104" t="s">
        <v>23</v>
      </c>
      <c r="P2104" t="s">
        <v>573</v>
      </c>
      <c r="Q2104" t="s">
        <v>95</v>
      </c>
      <c r="R2104" t="s">
        <v>572</v>
      </c>
      <c r="S2104" s="33">
        <v>0</v>
      </c>
      <c r="T2104" s="13">
        <v>944.93</v>
      </c>
      <c r="U2104" s="13">
        <v>236.23249999999999</v>
      </c>
      <c r="V2104" s="21">
        <f>Table10[[#This Row],[Profit]]/Table10[[#This Row],[Sales]]</f>
        <v>0.25</v>
      </c>
    </row>
    <row r="2105" spans="1:22" x14ac:dyDescent="0.2">
      <c r="A2105">
        <v>2104</v>
      </c>
      <c r="B2105" t="s">
        <v>942</v>
      </c>
      <c r="C2105" s="1">
        <v>42694</v>
      </c>
      <c r="D2105" s="22">
        <f>MONTH(Table10[[#This Row],[Order Date]])</f>
        <v>11</v>
      </c>
      <c r="E2105" t="s">
        <v>944</v>
      </c>
      <c r="F2105" t="s">
        <v>945</v>
      </c>
      <c r="G2105" s="23" t="s">
        <v>41</v>
      </c>
      <c r="H2105" s="23" t="s">
        <v>240</v>
      </c>
      <c r="I2105" t="s">
        <v>943</v>
      </c>
      <c r="J2105" t="s">
        <v>92</v>
      </c>
      <c r="K2105" s="22">
        <v>7</v>
      </c>
      <c r="L2105" s="1">
        <v>42698</v>
      </c>
      <c r="M2105" s="22">
        <f>Table10[[#This Row],[Ship Date]]-Table10[[#This Row],[Order Date]]</f>
        <v>4</v>
      </c>
      <c r="N2105" t="s">
        <v>20</v>
      </c>
      <c r="O2105" t="s">
        <v>23</v>
      </c>
      <c r="P2105" t="s">
        <v>441</v>
      </c>
      <c r="Q2105" t="s">
        <v>133</v>
      </c>
      <c r="R2105" t="s">
        <v>440</v>
      </c>
      <c r="S2105" s="33">
        <v>0.2</v>
      </c>
      <c r="T2105" s="13">
        <v>19.096</v>
      </c>
      <c r="U2105" s="13">
        <v>6.6836000000000002</v>
      </c>
      <c r="V2105" s="21">
        <f>Table10[[#This Row],[Profit]]/Table10[[#This Row],[Sales]]</f>
        <v>0.35000000000000003</v>
      </c>
    </row>
    <row r="2106" spans="1:22" x14ac:dyDescent="0.2">
      <c r="A2106">
        <v>2105</v>
      </c>
      <c r="B2106" t="s">
        <v>942</v>
      </c>
      <c r="C2106" s="1">
        <v>42694</v>
      </c>
      <c r="D2106" s="22">
        <f>MONTH(Table10[[#This Row],[Order Date]])</f>
        <v>11</v>
      </c>
      <c r="E2106" t="s">
        <v>946</v>
      </c>
      <c r="F2106" t="s">
        <v>947</v>
      </c>
      <c r="G2106" s="23" t="s">
        <v>41</v>
      </c>
      <c r="H2106" s="23" t="s">
        <v>42</v>
      </c>
      <c r="I2106" t="s">
        <v>943</v>
      </c>
      <c r="J2106" t="s">
        <v>92</v>
      </c>
      <c r="K2106" s="22">
        <v>8</v>
      </c>
      <c r="L2106" s="1">
        <v>42698</v>
      </c>
      <c r="M2106" s="22">
        <f>Table10[[#This Row],[Ship Date]]-Table10[[#This Row],[Order Date]]</f>
        <v>4</v>
      </c>
      <c r="N2106" t="s">
        <v>20</v>
      </c>
      <c r="O2106" t="s">
        <v>23</v>
      </c>
      <c r="P2106" t="s">
        <v>441</v>
      </c>
      <c r="Q2106" t="s">
        <v>133</v>
      </c>
      <c r="R2106" t="s">
        <v>440</v>
      </c>
      <c r="S2106" s="33">
        <v>0.2</v>
      </c>
      <c r="T2106" s="13">
        <v>18.495999999999999</v>
      </c>
      <c r="U2106" s="13">
        <v>6.2423999999999999</v>
      </c>
      <c r="V2106" s="21">
        <f>Table10[[#This Row],[Profit]]/Table10[[#This Row],[Sales]]</f>
        <v>0.33750000000000002</v>
      </c>
    </row>
    <row r="2107" spans="1:22" x14ac:dyDescent="0.2">
      <c r="A2107">
        <v>2106</v>
      </c>
      <c r="B2107" t="s">
        <v>942</v>
      </c>
      <c r="C2107" s="1">
        <v>42694</v>
      </c>
      <c r="D2107" s="22">
        <f>MONTH(Table10[[#This Row],[Order Date]])</f>
        <v>11</v>
      </c>
      <c r="E2107" t="s">
        <v>948</v>
      </c>
      <c r="F2107" t="s">
        <v>949</v>
      </c>
      <c r="G2107" s="23" t="s">
        <v>64</v>
      </c>
      <c r="H2107" s="23" t="s">
        <v>144</v>
      </c>
      <c r="I2107" t="s">
        <v>943</v>
      </c>
      <c r="J2107" t="s">
        <v>92</v>
      </c>
      <c r="K2107" s="22">
        <v>2</v>
      </c>
      <c r="L2107" s="1">
        <v>42698</v>
      </c>
      <c r="M2107" s="22">
        <f>Table10[[#This Row],[Ship Date]]-Table10[[#This Row],[Order Date]]</f>
        <v>4</v>
      </c>
      <c r="N2107" t="s">
        <v>20</v>
      </c>
      <c r="O2107" t="s">
        <v>23</v>
      </c>
      <c r="P2107" t="s">
        <v>441</v>
      </c>
      <c r="Q2107" t="s">
        <v>133</v>
      </c>
      <c r="R2107" t="s">
        <v>440</v>
      </c>
      <c r="S2107" s="33">
        <v>0.2</v>
      </c>
      <c r="T2107" s="13">
        <v>255.98400000000001</v>
      </c>
      <c r="U2107" s="13">
        <v>54.396599999999999</v>
      </c>
      <c r="V2107" s="21">
        <f>Table10[[#This Row],[Profit]]/Table10[[#This Row],[Sales]]</f>
        <v>0.21249999999999999</v>
      </c>
    </row>
    <row r="2108" spans="1:22" x14ac:dyDescent="0.2">
      <c r="A2108">
        <v>2107</v>
      </c>
      <c r="B2108" t="s">
        <v>942</v>
      </c>
      <c r="C2108" s="1">
        <v>42694</v>
      </c>
      <c r="D2108" s="22">
        <f>MONTH(Table10[[#This Row],[Order Date]])</f>
        <v>11</v>
      </c>
      <c r="E2108" t="s">
        <v>950</v>
      </c>
      <c r="F2108" t="s">
        <v>951</v>
      </c>
      <c r="G2108" s="23" t="s">
        <v>28</v>
      </c>
      <c r="H2108" s="23" t="s">
        <v>29</v>
      </c>
      <c r="I2108" t="s">
        <v>943</v>
      </c>
      <c r="J2108" t="s">
        <v>92</v>
      </c>
      <c r="K2108" s="22">
        <v>3</v>
      </c>
      <c r="L2108" s="1">
        <v>42698</v>
      </c>
      <c r="M2108" s="22">
        <f>Table10[[#This Row],[Ship Date]]-Table10[[#This Row],[Order Date]]</f>
        <v>4</v>
      </c>
      <c r="N2108" t="s">
        <v>20</v>
      </c>
      <c r="O2108" t="s">
        <v>23</v>
      </c>
      <c r="P2108" t="s">
        <v>441</v>
      </c>
      <c r="Q2108" t="s">
        <v>133</v>
      </c>
      <c r="R2108" t="s">
        <v>440</v>
      </c>
      <c r="S2108" s="33">
        <v>0.5</v>
      </c>
      <c r="T2108" s="13">
        <v>86.97</v>
      </c>
      <c r="U2108" s="13">
        <v>-48.703200000000002</v>
      </c>
      <c r="V2108" s="21">
        <f>Table10[[#This Row],[Profit]]/Table10[[#This Row],[Sales]]</f>
        <v>-0.56000000000000005</v>
      </c>
    </row>
    <row r="2109" spans="1:22" x14ac:dyDescent="0.2">
      <c r="A2109">
        <v>2108</v>
      </c>
      <c r="B2109" t="s">
        <v>2698</v>
      </c>
      <c r="C2109" s="1">
        <v>42694</v>
      </c>
      <c r="D2109" s="22">
        <f>MONTH(Table10[[#This Row],[Order Date]])</f>
        <v>11</v>
      </c>
      <c r="E2109" t="s">
        <v>2700</v>
      </c>
      <c r="F2109" t="s">
        <v>2701</v>
      </c>
      <c r="G2109" s="23" t="s">
        <v>41</v>
      </c>
      <c r="H2109" s="23" t="s">
        <v>82</v>
      </c>
      <c r="I2109" t="s">
        <v>2699</v>
      </c>
      <c r="J2109" t="s">
        <v>22</v>
      </c>
      <c r="K2109" s="22">
        <v>3</v>
      </c>
      <c r="L2109" s="1">
        <v>42696</v>
      </c>
      <c r="M2109" s="22">
        <f>Table10[[#This Row],[Ship Date]]-Table10[[#This Row],[Order Date]]</f>
        <v>2</v>
      </c>
      <c r="N2109" t="s">
        <v>169</v>
      </c>
      <c r="O2109" t="s">
        <v>23</v>
      </c>
      <c r="P2109" t="s">
        <v>441</v>
      </c>
      <c r="Q2109" t="s">
        <v>133</v>
      </c>
      <c r="R2109" t="s">
        <v>887</v>
      </c>
      <c r="S2109" s="33">
        <v>0.2</v>
      </c>
      <c r="T2109" s="13">
        <v>15.696</v>
      </c>
      <c r="U2109" s="13">
        <v>5.1012000000000004</v>
      </c>
      <c r="V2109" s="21">
        <f>Table10[[#This Row],[Profit]]/Table10[[#This Row],[Sales]]</f>
        <v>0.32500000000000001</v>
      </c>
    </row>
    <row r="2110" spans="1:22" x14ac:dyDescent="0.2">
      <c r="A2110">
        <v>2109</v>
      </c>
      <c r="B2110" t="s">
        <v>2698</v>
      </c>
      <c r="C2110" s="1">
        <v>42694</v>
      </c>
      <c r="D2110" s="22">
        <f>MONTH(Table10[[#This Row],[Order Date]])</f>
        <v>11</v>
      </c>
      <c r="E2110" t="s">
        <v>857</v>
      </c>
      <c r="F2110" t="s">
        <v>858</v>
      </c>
      <c r="G2110" s="23" t="s">
        <v>41</v>
      </c>
      <c r="H2110" s="23" t="s">
        <v>68</v>
      </c>
      <c r="I2110" t="s">
        <v>2699</v>
      </c>
      <c r="J2110" t="s">
        <v>22</v>
      </c>
      <c r="K2110" s="22">
        <v>2</v>
      </c>
      <c r="L2110" s="1">
        <v>42696</v>
      </c>
      <c r="M2110" s="22">
        <f>Table10[[#This Row],[Ship Date]]-Table10[[#This Row],[Order Date]]</f>
        <v>2</v>
      </c>
      <c r="N2110" t="s">
        <v>169</v>
      </c>
      <c r="O2110" t="s">
        <v>23</v>
      </c>
      <c r="P2110" t="s">
        <v>441</v>
      </c>
      <c r="Q2110" t="s">
        <v>133</v>
      </c>
      <c r="R2110" t="s">
        <v>887</v>
      </c>
      <c r="S2110" s="33">
        <v>0.7</v>
      </c>
      <c r="T2110" s="13">
        <v>2.6280000000000001</v>
      </c>
      <c r="U2110" s="13">
        <v>-1.9272</v>
      </c>
      <c r="V2110" s="21">
        <f>Table10[[#This Row],[Profit]]/Table10[[#This Row],[Sales]]</f>
        <v>-0.73333333333333328</v>
      </c>
    </row>
    <row r="2111" spans="1:22" x14ac:dyDescent="0.2">
      <c r="A2111">
        <v>2110</v>
      </c>
      <c r="B2111" t="s">
        <v>2698</v>
      </c>
      <c r="C2111" s="1">
        <v>42694</v>
      </c>
      <c r="D2111" s="22">
        <f>MONTH(Table10[[#This Row],[Order Date]])</f>
        <v>11</v>
      </c>
      <c r="E2111" t="s">
        <v>150</v>
      </c>
      <c r="F2111" t="s">
        <v>151</v>
      </c>
      <c r="G2111" s="23" t="s">
        <v>41</v>
      </c>
      <c r="H2111" s="23" t="s">
        <v>68</v>
      </c>
      <c r="I2111" t="s">
        <v>2699</v>
      </c>
      <c r="J2111" t="s">
        <v>22</v>
      </c>
      <c r="K2111" s="22">
        <v>3</v>
      </c>
      <c r="L2111" s="1">
        <v>42696</v>
      </c>
      <c r="M2111" s="22">
        <f>Table10[[#This Row],[Ship Date]]-Table10[[#This Row],[Order Date]]</f>
        <v>2</v>
      </c>
      <c r="N2111" t="s">
        <v>169</v>
      </c>
      <c r="O2111" t="s">
        <v>23</v>
      </c>
      <c r="P2111" t="s">
        <v>441</v>
      </c>
      <c r="Q2111" t="s">
        <v>133</v>
      </c>
      <c r="R2111" t="s">
        <v>887</v>
      </c>
      <c r="S2111" s="33">
        <v>0.7</v>
      </c>
      <c r="T2111" s="13">
        <v>14.427</v>
      </c>
      <c r="U2111" s="13">
        <v>-10.579800000000001</v>
      </c>
      <c r="V2111" s="21">
        <f>Table10[[#This Row],[Profit]]/Table10[[#This Row],[Sales]]</f>
        <v>-0.73333333333333339</v>
      </c>
    </row>
    <row r="2112" spans="1:22" x14ac:dyDescent="0.2">
      <c r="A2112">
        <v>2111</v>
      </c>
      <c r="B2112" t="s">
        <v>5764</v>
      </c>
      <c r="C2112" s="1">
        <v>42694</v>
      </c>
      <c r="D2112" s="22">
        <f>MONTH(Table10[[#This Row],[Order Date]])</f>
        <v>11</v>
      </c>
      <c r="E2112" t="s">
        <v>4287</v>
      </c>
      <c r="F2112" t="s">
        <v>4288</v>
      </c>
      <c r="G2112" s="23" t="s">
        <v>28</v>
      </c>
      <c r="H2112" s="23" t="s">
        <v>32</v>
      </c>
      <c r="I2112" t="s">
        <v>5765</v>
      </c>
      <c r="J2112" t="s">
        <v>36</v>
      </c>
      <c r="K2112" s="22">
        <v>5</v>
      </c>
      <c r="L2112" s="1">
        <v>42701</v>
      </c>
      <c r="M2112" s="22">
        <f>Table10[[#This Row],[Ship Date]]-Table10[[#This Row],[Order Date]]</f>
        <v>7</v>
      </c>
      <c r="N2112" t="s">
        <v>45</v>
      </c>
      <c r="O2112" t="s">
        <v>23</v>
      </c>
      <c r="P2112" t="s">
        <v>94</v>
      </c>
      <c r="Q2112" t="s">
        <v>95</v>
      </c>
      <c r="R2112" t="s">
        <v>165</v>
      </c>
      <c r="S2112" s="33">
        <v>0.3</v>
      </c>
      <c r="T2112" s="13">
        <v>318.43</v>
      </c>
      <c r="U2112" s="13">
        <v>-77.332999999999998</v>
      </c>
      <c r="V2112" s="21">
        <f>Table10[[#This Row],[Profit]]/Table10[[#This Row],[Sales]]</f>
        <v>-0.24285714285714285</v>
      </c>
    </row>
    <row r="2113" spans="1:22" x14ac:dyDescent="0.2">
      <c r="A2113">
        <v>2112</v>
      </c>
      <c r="B2113" t="s">
        <v>5764</v>
      </c>
      <c r="C2113" s="1">
        <v>42694</v>
      </c>
      <c r="D2113" s="22">
        <f>MONTH(Table10[[#This Row],[Order Date]])</f>
        <v>11</v>
      </c>
      <c r="E2113" t="s">
        <v>5766</v>
      </c>
      <c r="F2113" t="s">
        <v>5767</v>
      </c>
      <c r="G2113" s="23" t="s">
        <v>64</v>
      </c>
      <c r="H2113" s="23" t="s">
        <v>65</v>
      </c>
      <c r="I2113" t="s">
        <v>5765</v>
      </c>
      <c r="J2113" t="s">
        <v>36</v>
      </c>
      <c r="K2113" s="22">
        <v>7</v>
      </c>
      <c r="L2113" s="1">
        <v>42701</v>
      </c>
      <c r="M2113" s="22">
        <f>Table10[[#This Row],[Ship Date]]-Table10[[#This Row],[Order Date]]</f>
        <v>7</v>
      </c>
      <c r="N2113" t="s">
        <v>45</v>
      </c>
      <c r="O2113" t="s">
        <v>23</v>
      </c>
      <c r="P2113" t="s">
        <v>94</v>
      </c>
      <c r="Q2113" t="s">
        <v>95</v>
      </c>
      <c r="R2113" t="s">
        <v>165</v>
      </c>
      <c r="S2113" s="33">
        <v>0.2</v>
      </c>
      <c r="T2113" s="13">
        <v>122.92</v>
      </c>
      <c r="U2113" s="13">
        <v>46.094999999999999</v>
      </c>
      <c r="V2113" s="21">
        <f>Table10[[#This Row],[Profit]]/Table10[[#This Row],[Sales]]</f>
        <v>0.375</v>
      </c>
    </row>
    <row r="2114" spans="1:22" x14ac:dyDescent="0.2">
      <c r="A2114">
        <v>2113</v>
      </c>
      <c r="B2114" t="s">
        <v>5764</v>
      </c>
      <c r="C2114" s="1">
        <v>42694</v>
      </c>
      <c r="D2114" s="22">
        <f>MONTH(Table10[[#This Row],[Order Date]])</f>
        <v>11</v>
      </c>
      <c r="E2114" t="s">
        <v>1136</v>
      </c>
      <c r="F2114" t="s">
        <v>1137</v>
      </c>
      <c r="G2114" s="23" t="s">
        <v>28</v>
      </c>
      <c r="H2114" s="23" t="s">
        <v>58</v>
      </c>
      <c r="I2114" t="s">
        <v>5765</v>
      </c>
      <c r="J2114" t="s">
        <v>36</v>
      </c>
      <c r="K2114" s="22">
        <v>3</v>
      </c>
      <c r="L2114" s="1">
        <v>42701</v>
      </c>
      <c r="M2114" s="22">
        <f>Table10[[#This Row],[Ship Date]]-Table10[[#This Row],[Order Date]]</f>
        <v>7</v>
      </c>
      <c r="N2114" t="s">
        <v>45</v>
      </c>
      <c r="O2114" t="s">
        <v>23</v>
      </c>
      <c r="P2114" t="s">
        <v>94</v>
      </c>
      <c r="Q2114" t="s">
        <v>95</v>
      </c>
      <c r="R2114" t="s">
        <v>165</v>
      </c>
      <c r="S2114" s="33">
        <v>0.6</v>
      </c>
      <c r="T2114" s="13">
        <v>7.0679999999999996</v>
      </c>
      <c r="U2114" s="13">
        <v>-2.8271999999999999</v>
      </c>
      <c r="V2114" s="21">
        <f>Table10[[#This Row],[Profit]]/Table10[[#This Row],[Sales]]</f>
        <v>-0.4</v>
      </c>
    </row>
    <row r="2115" spans="1:22" x14ac:dyDescent="0.2">
      <c r="A2115">
        <v>2114</v>
      </c>
      <c r="B2115" t="s">
        <v>6739</v>
      </c>
      <c r="C2115" s="1">
        <v>42694</v>
      </c>
      <c r="D2115" s="22">
        <f>MONTH(Table10[[#This Row],[Order Date]])</f>
        <v>11</v>
      </c>
      <c r="E2115" t="s">
        <v>2414</v>
      </c>
      <c r="F2115" t="s">
        <v>2415</v>
      </c>
      <c r="G2115" s="23" t="s">
        <v>41</v>
      </c>
      <c r="H2115" s="23" t="s">
        <v>82</v>
      </c>
      <c r="I2115" t="s">
        <v>4076</v>
      </c>
      <c r="J2115" t="s">
        <v>36</v>
      </c>
      <c r="K2115" s="22">
        <v>2</v>
      </c>
      <c r="L2115" s="1">
        <v>42699</v>
      </c>
      <c r="M2115" s="22">
        <f>Table10[[#This Row],[Ship Date]]-Table10[[#This Row],[Order Date]]</f>
        <v>5</v>
      </c>
      <c r="N2115" t="s">
        <v>45</v>
      </c>
      <c r="O2115" t="s">
        <v>23</v>
      </c>
      <c r="P2115" t="s">
        <v>226</v>
      </c>
      <c r="Q2115" t="s">
        <v>95</v>
      </c>
      <c r="R2115" t="s">
        <v>440</v>
      </c>
      <c r="S2115" s="33">
        <v>0</v>
      </c>
      <c r="T2115" s="13">
        <v>9.08</v>
      </c>
      <c r="U2115" s="13">
        <v>4.0860000000000003</v>
      </c>
      <c r="V2115" s="21">
        <f>Table10[[#This Row],[Profit]]/Table10[[#This Row],[Sales]]</f>
        <v>0.45</v>
      </c>
    </row>
    <row r="2116" spans="1:22" x14ac:dyDescent="0.2">
      <c r="A2116">
        <v>2115</v>
      </c>
      <c r="B2116" t="s">
        <v>6739</v>
      </c>
      <c r="C2116" s="1">
        <v>42694</v>
      </c>
      <c r="D2116" s="22">
        <f>MONTH(Table10[[#This Row],[Order Date]])</f>
        <v>11</v>
      </c>
      <c r="E2116" t="s">
        <v>3370</v>
      </c>
      <c r="F2116" t="s">
        <v>3371</v>
      </c>
      <c r="G2116" s="23" t="s">
        <v>41</v>
      </c>
      <c r="H2116" s="23" t="s">
        <v>82</v>
      </c>
      <c r="I2116" t="s">
        <v>4076</v>
      </c>
      <c r="J2116" t="s">
        <v>36</v>
      </c>
      <c r="K2116" s="22">
        <v>3</v>
      </c>
      <c r="L2116" s="1">
        <v>42699</v>
      </c>
      <c r="M2116" s="22">
        <f>Table10[[#This Row],[Ship Date]]-Table10[[#This Row],[Order Date]]</f>
        <v>5</v>
      </c>
      <c r="N2116" t="s">
        <v>45</v>
      </c>
      <c r="O2116" t="s">
        <v>23</v>
      </c>
      <c r="P2116" t="s">
        <v>226</v>
      </c>
      <c r="Q2116" t="s">
        <v>95</v>
      </c>
      <c r="R2116" t="s">
        <v>440</v>
      </c>
      <c r="S2116" s="33">
        <v>0</v>
      </c>
      <c r="T2116" s="13">
        <v>314.55</v>
      </c>
      <c r="U2116" s="13">
        <v>150.98400000000001</v>
      </c>
      <c r="V2116" s="21">
        <f>Table10[[#This Row],[Profit]]/Table10[[#This Row],[Sales]]</f>
        <v>0.48000000000000004</v>
      </c>
    </row>
    <row r="2117" spans="1:22" x14ac:dyDescent="0.2">
      <c r="A2117">
        <v>2116</v>
      </c>
      <c r="B2117" t="s">
        <v>6739</v>
      </c>
      <c r="C2117" s="1">
        <v>42694</v>
      </c>
      <c r="D2117" s="22">
        <f>MONTH(Table10[[#This Row],[Order Date]])</f>
        <v>11</v>
      </c>
      <c r="E2117" t="s">
        <v>700</v>
      </c>
      <c r="F2117" t="s">
        <v>701</v>
      </c>
      <c r="G2117" s="23" t="s">
        <v>41</v>
      </c>
      <c r="H2117" s="23" t="s">
        <v>68</v>
      </c>
      <c r="I2117" t="s">
        <v>4076</v>
      </c>
      <c r="J2117" t="s">
        <v>36</v>
      </c>
      <c r="K2117" s="22">
        <v>1</v>
      </c>
      <c r="L2117" s="1">
        <v>42699</v>
      </c>
      <c r="M2117" s="22">
        <f>Table10[[#This Row],[Ship Date]]-Table10[[#This Row],[Order Date]]</f>
        <v>5</v>
      </c>
      <c r="N2117" t="s">
        <v>45</v>
      </c>
      <c r="O2117" t="s">
        <v>23</v>
      </c>
      <c r="P2117" t="s">
        <v>226</v>
      </c>
      <c r="Q2117" t="s">
        <v>95</v>
      </c>
      <c r="R2117" t="s">
        <v>440</v>
      </c>
      <c r="S2117" s="33">
        <v>0</v>
      </c>
      <c r="T2117" s="13">
        <v>4.91</v>
      </c>
      <c r="U2117" s="13">
        <v>2.3077000000000001</v>
      </c>
      <c r="V2117" s="21">
        <f>Table10[[#This Row],[Profit]]/Table10[[#This Row],[Sales]]</f>
        <v>0.47000000000000003</v>
      </c>
    </row>
    <row r="2118" spans="1:22" x14ac:dyDescent="0.2">
      <c r="A2118">
        <v>2117</v>
      </c>
      <c r="B2118" t="s">
        <v>7420</v>
      </c>
      <c r="C2118" s="1">
        <v>42694</v>
      </c>
      <c r="D2118" s="22">
        <f>MONTH(Table10[[#This Row],[Order Date]])</f>
        <v>11</v>
      </c>
      <c r="E2118" t="s">
        <v>2984</v>
      </c>
      <c r="F2118" t="s">
        <v>2985</v>
      </c>
      <c r="G2118" s="23" t="s">
        <v>64</v>
      </c>
      <c r="H2118" s="23" t="s">
        <v>65</v>
      </c>
      <c r="I2118" t="s">
        <v>4208</v>
      </c>
      <c r="J2118" t="s">
        <v>22</v>
      </c>
      <c r="K2118" s="22">
        <v>1</v>
      </c>
      <c r="L2118" s="1">
        <v>42698</v>
      </c>
      <c r="M2118" s="22">
        <f>Table10[[#This Row],[Ship Date]]-Table10[[#This Row],[Order Date]]</f>
        <v>4</v>
      </c>
      <c r="N2118" t="s">
        <v>45</v>
      </c>
      <c r="O2118" t="s">
        <v>23</v>
      </c>
      <c r="P2118" t="s">
        <v>94</v>
      </c>
      <c r="Q2118" t="s">
        <v>95</v>
      </c>
      <c r="R2118" t="s">
        <v>165</v>
      </c>
      <c r="S2118" s="33">
        <v>0.2</v>
      </c>
      <c r="T2118" s="13">
        <v>151.19200000000001</v>
      </c>
      <c r="U2118" s="13">
        <v>13.2293</v>
      </c>
      <c r="V2118" s="21">
        <f>Table10[[#This Row],[Profit]]/Table10[[#This Row],[Sales]]</f>
        <v>8.7499999999999994E-2</v>
      </c>
    </row>
    <row r="2119" spans="1:22" x14ac:dyDescent="0.2">
      <c r="A2119">
        <v>2118</v>
      </c>
      <c r="B2119" t="s">
        <v>7442</v>
      </c>
      <c r="C2119" s="1">
        <v>42694</v>
      </c>
      <c r="D2119" s="22">
        <f>MONTH(Table10[[#This Row],[Order Date]])</f>
        <v>11</v>
      </c>
      <c r="E2119" t="s">
        <v>714</v>
      </c>
      <c r="F2119" t="s">
        <v>715</v>
      </c>
      <c r="G2119" s="23" t="s">
        <v>41</v>
      </c>
      <c r="H2119" s="23" t="s">
        <v>71</v>
      </c>
      <c r="I2119" t="s">
        <v>1577</v>
      </c>
      <c r="J2119" t="s">
        <v>36</v>
      </c>
      <c r="K2119" s="22">
        <v>12</v>
      </c>
      <c r="L2119" s="1">
        <v>42701</v>
      </c>
      <c r="M2119" s="22">
        <f>Table10[[#This Row],[Ship Date]]-Table10[[#This Row],[Order Date]]</f>
        <v>7</v>
      </c>
      <c r="N2119" t="s">
        <v>45</v>
      </c>
      <c r="O2119" t="s">
        <v>23</v>
      </c>
      <c r="P2119" t="s">
        <v>38</v>
      </c>
      <c r="Q2119" t="s">
        <v>39</v>
      </c>
      <c r="R2119" t="s">
        <v>37</v>
      </c>
      <c r="S2119" s="33">
        <v>0</v>
      </c>
      <c r="T2119" s="13">
        <v>39</v>
      </c>
      <c r="U2119" s="13">
        <v>11.31</v>
      </c>
      <c r="V2119" s="21">
        <f>Table10[[#This Row],[Profit]]/Table10[[#This Row],[Sales]]</f>
        <v>0.29000000000000004</v>
      </c>
    </row>
    <row r="2120" spans="1:22" x14ac:dyDescent="0.2">
      <c r="A2120">
        <v>2119</v>
      </c>
      <c r="B2120" t="s">
        <v>7514</v>
      </c>
      <c r="C2120" s="1">
        <v>42694</v>
      </c>
      <c r="D2120" s="22">
        <f>MONTH(Table10[[#This Row],[Order Date]])</f>
        <v>11</v>
      </c>
      <c r="E2120" t="s">
        <v>4104</v>
      </c>
      <c r="F2120" t="s">
        <v>4105</v>
      </c>
      <c r="G2120" s="23" t="s">
        <v>41</v>
      </c>
      <c r="H2120" s="23" t="s">
        <v>68</v>
      </c>
      <c r="I2120" t="s">
        <v>629</v>
      </c>
      <c r="J2120" t="s">
        <v>22</v>
      </c>
      <c r="K2120" s="22">
        <v>3</v>
      </c>
      <c r="L2120" s="1">
        <v>42698</v>
      </c>
      <c r="M2120" s="22">
        <f>Table10[[#This Row],[Ship Date]]-Table10[[#This Row],[Order Date]]</f>
        <v>4</v>
      </c>
      <c r="N2120" t="s">
        <v>45</v>
      </c>
      <c r="O2120" t="s">
        <v>23</v>
      </c>
      <c r="P2120" t="s">
        <v>218</v>
      </c>
      <c r="Q2120" t="s">
        <v>133</v>
      </c>
      <c r="R2120" t="s">
        <v>536</v>
      </c>
      <c r="S2120" s="33">
        <v>0</v>
      </c>
      <c r="T2120" s="13">
        <v>128.4</v>
      </c>
      <c r="U2120" s="13">
        <v>62.915999999999997</v>
      </c>
      <c r="V2120" s="21">
        <f>Table10[[#This Row],[Profit]]/Table10[[#This Row],[Sales]]</f>
        <v>0.48999999999999994</v>
      </c>
    </row>
    <row r="2121" spans="1:22" x14ac:dyDescent="0.2">
      <c r="A2121">
        <v>2120</v>
      </c>
      <c r="B2121" t="s">
        <v>8152</v>
      </c>
      <c r="C2121" s="1">
        <v>42694</v>
      </c>
      <c r="D2121" s="22">
        <f>MONTH(Table10[[#This Row],[Order Date]])</f>
        <v>11</v>
      </c>
      <c r="E2121" t="s">
        <v>750</v>
      </c>
      <c r="F2121" t="s">
        <v>751</v>
      </c>
      <c r="G2121" s="23" t="s">
        <v>28</v>
      </c>
      <c r="H2121" s="23" t="s">
        <v>29</v>
      </c>
      <c r="I2121" t="s">
        <v>1036</v>
      </c>
      <c r="J2121" t="s">
        <v>36</v>
      </c>
      <c r="K2121" s="22">
        <v>2</v>
      </c>
      <c r="L2121" s="1">
        <v>42699</v>
      </c>
      <c r="M2121" s="22">
        <f>Table10[[#This Row],[Ship Date]]-Table10[[#This Row],[Order Date]]</f>
        <v>5</v>
      </c>
      <c r="N2121" t="s">
        <v>45</v>
      </c>
      <c r="O2121" t="s">
        <v>23</v>
      </c>
      <c r="P2121" t="s">
        <v>48</v>
      </c>
      <c r="Q2121" t="s">
        <v>26</v>
      </c>
      <c r="R2121" t="s">
        <v>5389</v>
      </c>
      <c r="S2121" s="33">
        <v>0.2</v>
      </c>
      <c r="T2121" s="13">
        <v>289.56799999999998</v>
      </c>
      <c r="U2121" s="13">
        <v>10.8588</v>
      </c>
      <c r="V2121" s="21">
        <f>Table10[[#This Row],[Profit]]/Table10[[#This Row],[Sales]]</f>
        <v>3.7500000000000006E-2</v>
      </c>
    </row>
    <row r="2122" spans="1:22" x14ac:dyDescent="0.2">
      <c r="A2122">
        <v>2121</v>
      </c>
      <c r="B2122" t="s">
        <v>8152</v>
      </c>
      <c r="C2122" s="1">
        <v>42694</v>
      </c>
      <c r="D2122" s="22">
        <f>MONTH(Table10[[#This Row],[Order Date]])</f>
        <v>11</v>
      </c>
      <c r="E2122" t="s">
        <v>1179</v>
      </c>
      <c r="F2122" t="s">
        <v>1180</v>
      </c>
      <c r="G2122" s="23" t="s">
        <v>41</v>
      </c>
      <c r="H2122" s="23" t="s">
        <v>53</v>
      </c>
      <c r="I2122" t="s">
        <v>1036</v>
      </c>
      <c r="J2122" t="s">
        <v>36</v>
      </c>
      <c r="K2122" s="22">
        <v>5</v>
      </c>
      <c r="L2122" s="1">
        <v>42699</v>
      </c>
      <c r="M2122" s="22">
        <f>Table10[[#This Row],[Ship Date]]-Table10[[#This Row],[Order Date]]</f>
        <v>5</v>
      </c>
      <c r="N2122" t="s">
        <v>45</v>
      </c>
      <c r="O2122" t="s">
        <v>23</v>
      </c>
      <c r="P2122" t="s">
        <v>48</v>
      </c>
      <c r="Q2122" t="s">
        <v>26</v>
      </c>
      <c r="R2122" t="s">
        <v>5389</v>
      </c>
      <c r="S2122" s="33">
        <v>0.2</v>
      </c>
      <c r="T2122" s="13">
        <v>39.72</v>
      </c>
      <c r="U2122" s="13">
        <v>4.4684999999999997</v>
      </c>
      <c r="V2122" s="21">
        <f>Table10[[#This Row],[Profit]]/Table10[[#This Row],[Sales]]</f>
        <v>0.11249999999999999</v>
      </c>
    </row>
    <row r="2123" spans="1:22" x14ac:dyDescent="0.2">
      <c r="A2123">
        <v>2122</v>
      </c>
      <c r="B2123" t="s">
        <v>8152</v>
      </c>
      <c r="C2123" s="1">
        <v>42694</v>
      </c>
      <c r="D2123" s="22">
        <f>MONTH(Table10[[#This Row],[Order Date]])</f>
        <v>11</v>
      </c>
      <c r="E2123" t="s">
        <v>3796</v>
      </c>
      <c r="F2123" t="s">
        <v>3797</v>
      </c>
      <c r="G2123" s="23" t="s">
        <v>64</v>
      </c>
      <c r="H2123" s="23" t="s">
        <v>65</v>
      </c>
      <c r="I2123" t="s">
        <v>1036</v>
      </c>
      <c r="J2123" t="s">
        <v>36</v>
      </c>
      <c r="K2123" s="22">
        <v>4</v>
      </c>
      <c r="L2123" s="1">
        <v>42699</v>
      </c>
      <c r="M2123" s="22">
        <f>Table10[[#This Row],[Ship Date]]-Table10[[#This Row],[Order Date]]</f>
        <v>5</v>
      </c>
      <c r="N2123" t="s">
        <v>45</v>
      </c>
      <c r="O2123" t="s">
        <v>23</v>
      </c>
      <c r="P2123" t="s">
        <v>48</v>
      </c>
      <c r="Q2123" t="s">
        <v>26</v>
      </c>
      <c r="R2123" t="s">
        <v>5389</v>
      </c>
      <c r="S2123" s="33">
        <v>0.2</v>
      </c>
      <c r="T2123" s="13">
        <v>244.768</v>
      </c>
      <c r="U2123" s="13">
        <v>24.476800000000001</v>
      </c>
      <c r="V2123" s="21">
        <f>Table10[[#This Row],[Profit]]/Table10[[#This Row],[Sales]]</f>
        <v>0.1</v>
      </c>
    </row>
    <row r="2124" spans="1:22" x14ac:dyDescent="0.2">
      <c r="A2124">
        <v>2123</v>
      </c>
      <c r="B2124" t="s">
        <v>8348</v>
      </c>
      <c r="C2124" s="1">
        <v>42694</v>
      </c>
      <c r="D2124" s="22">
        <f>MONTH(Table10[[#This Row],[Order Date]])</f>
        <v>11</v>
      </c>
      <c r="E2124" t="s">
        <v>7950</v>
      </c>
      <c r="F2124" t="s">
        <v>7951</v>
      </c>
      <c r="G2124" s="23" t="s">
        <v>64</v>
      </c>
      <c r="H2124" s="23" t="s">
        <v>144</v>
      </c>
      <c r="I2124" t="s">
        <v>4734</v>
      </c>
      <c r="J2124" t="s">
        <v>36</v>
      </c>
      <c r="K2124" s="22">
        <v>2</v>
      </c>
      <c r="L2124" s="1">
        <v>42698</v>
      </c>
      <c r="M2124" s="22">
        <f>Table10[[#This Row],[Ship Date]]-Table10[[#This Row],[Order Date]]</f>
        <v>4</v>
      </c>
      <c r="N2124" t="s">
        <v>45</v>
      </c>
      <c r="O2124" t="s">
        <v>23</v>
      </c>
      <c r="P2124" t="s">
        <v>38</v>
      </c>
      <c r="Q2124" t="s">
        <v>39</v>
      </c>
      <c r="R2124" t="s">
        <v>8349</v>
      </c>
      <c r="S2124" s="33">
        <v>0</v>
      </c>
      <c r="T2124" s="13">
        <v>27.88</v>
      </c>
      <c r="U2124" s="13">
        <v>3.9032</v>
      </c>
      <c r="V2124" s="21">
        <f>Table10[[#This Row],[Profit]]/Table10[[#This Row],[Sales]]</f>
        <v>0.14000000000000001</v>
      </c>
    </row>
    <row r="2125" spans="1:22" x14ac:dyDescent="0.2">
      <c r="A2125">
        <v>2124</v>
      </c>
      <c r="B2125" t="s">
        <v>5561</v>
      </c>
      <c r="C2125" s="1">
        <v>42695</v>
      </c>
      <c r="D2125" s="22">
        <f>MONTH(Table10[[#This Row],[Order Date]])</f>
        <v>11</v>
      </c>
      <c r="E2125" t="s">
        <v>4368</v>
      </c>
      <c r="F2125" t="s">
        <v>4369</v>
      </c>
      <c r="G2125" s="23" t="s">
        <v>28</v>
      </c>
      <c r="H2125" s="23" t="s">
        <v>32</v>
      </c>
      <c r="I2125" t="s">
        <v>3176</v>
      </c>
      <c r="J2125" t="s">
        <v>22</v>
      </c>
      <c r="K2125" s="22">
        <v>4</v>
      </c>
      <c r="L2125" s="1">
        <v>42700</v>
      </c>
      <c r="M2125" s="22">
        <f>Table10[[#This Row],[Ship Date]]-Table10[[#This Row],[Order Date]]</f>
        <v>5</v>
      </c>
      <c r="N2125" t="s">
        <v>45</v>
      </c>
      <c r="O2125" t="s">
        <v>23</v>
      </c>
      <c r="P2125" t="s">
        <v>374</v>
      </c>
      <c r="Q2125" t="s">
        <v>39</v>
      </c>
      <c r="R2125" t="s">
        <v>5558</v>
      </c>
      <c r="S2125" s="33">
        <v>0.2</v>
      </c>
      <c r="T2125" s="13">
        <v>195.136</v>
      </c>
      <c r="U2125" s="13">
        <v>-12.196</v>
      </c>
      <c r="V2125" s="21">
        <f>Table10[[#This Row],[Profit]]/Table10[[#This Row],[Sales]]</f>
        <v>-6.25E-2</v>
      </c>
    </row>
    <row r="2126" spans="1:22" x14ac:dyDescent="0.2">
      <c r="A2126">
        <v>2125</v>
      </c>
      <c r="B2126" t="s">
        <v>6001</v>
      </c>
      <c r="C2126" s="1">
        <v>42695</v>
      </c>
      <c r="D2126" s="22">
        <f>MONTH(Table10[[#This Row],[Order Date]])</f>
        <v>11</v>
      </c>
      <c r="E2126" t="s">
        <v>1295</v>
      </c>
      <c r="F2126" t="s">
        <v>1296</v>
      </c>
      <c r="G2126" s="23" t="s">
        <v>41</v>
      </c>
      <c r="H2126" s="23" t="s">
        <v>82</v>
      </c>
      <c r="I2126" t="s">
        <v>5370</v>
      </c>
      <c r="J2126" t="s">
        <v>36</v>
      </c>
      <c r="K2126" s="22">
        <v>7</v>
      </c>
      <c r="L2126" s="1">
        <v>42699</v>
      </c>
      <c r="M2126" s="22">
        <f>Table10[[#This Row],[Ship Date]]-Table10[[#This Row],[Order Date]]</f>
        <v>4</v>
      </c>
      <c r="N2126" t="s">
        <v>20</v>
      </c>
      <c r="O2126" t="s">
        <v>23</v>
      </c>
      <c r="P2126" t="s">
        <v>433</v>
      </c>
      <c r="Q2126" t="s">
        <v>95</v>
      </c>
      <c r="R2126" t="s">
        <v>1216</v>
      </c>
      <c r="S2126" s="33">
        <v>0</v>
      </c>
      <c r="T2126" s="13">
        <v>40.46</v>
      </c>
      <c r="U2126" s="13">
        <v>19.825399999999998</v>
      </c>
      <c r="V2126" s="21">
        <f>Table10[[#This Row],[Profit]]/Table10[[#This Row],[Sales]]</f>
        <v>0.48999999999999994</v>
      </c>
    </row>
    <row r="2127" spans="1:22" x14ac:dyDescent="0.2">
      <c r="A2127">
        <v>2126</v>
      </c>
      <c r="B2127" t="s">
        <v>6001</v>
      </c>
      <c r="C2127" s="1">
        <v>42695</v>
      </c>
      <c r="D2127" s="22">
        <f>MONTH(Table10[[#This Row],[Order Date]])</f>
        <v>11</v>
      </c>
      <c r="E2127" t="s">
        <v>849</v>
      </c>
      <c r="F2127" t="s">
        <v>850</v>
      </c>
      <c r="G2127" s="23" t="s">
        <v>64</v>
      </c>
      <c r="H2127" s="23" t="s">
        <v>65</v>
      </c>
      <c r="I2127" t="s">
        <v>5370</v>
      </c>
      <c r="J2127" t="s">
        <v>36</v>
      </c>
      <c r="K2127" s="22">
        <v>3</v>
      </c>
      <c r="L2127" s="1">
        <v>42699</v>
      </c>
      <c r="M2127" s="22">
        <f>Table10[[#This Row],[Ship Date]]-Table10[[#This Row],[Order Date]]</f>
        <v>4</v>
      </c>
      <c r="N2127" t="s">
        <v>20</v>
      </c>
      <c r="O2127" t="s">
        <v>23</v>
      </c>
      <c r="P2127" t="s">
        <v>433</v>
      </c>
      <c r="Q2127" t="s">
        <v>95</v>
      </c>
      <c r="R2127" t="s">
        <v>1216</v>
      </c>
      <c r="S2127" s="33">
        <v>0</v>
      </c>
      <c r="T2127" s="13">
        <v>404.94</v>
      </c>
      <c r="U2127" s="13">
        <v>109.3338</v>
      </c>
      <c r="V2127" s="21">
        <f>Table10[[#This Row],[Profit]]/Table10[[#This Row],[Sales]]</f>
        <v>0.27</v>
      </c>
    </row>
    <row r="2128" spans="1:22" x14ac:dyDescent="0.2">
      <c r="A2128">
        <v>2127</v>
      </c>
      <c r="B2128" t="s">
        <v>7054</v>
      </c>
      <c r="C2128" s="1">
        <v>42695</v>
      </c>
      <c r="D2128" s="22">
        <f>MONTH(Table10[[#This Row],[Order Date]])</f>
        <v>11</v>
      </c>
      <c r="E2128" t="s">
        <v>7055</v>
      </c>
      <c r="F2128" t="s">
        <v>7056</v>
      </c>
      <c r="G2128" s="23" t="s">
        <v>64</v>
      </c>
      <c r="H2128" s="23" t="s">
        <v>602</v>
      </c>
      <c r="I2128" t="s">
        <v>1767</v>
      </c>
      <c r="J2128" t="s">
        <v>22</v>
      </c>
      <c r="K2128" s="22">
        <v>7</v>
      </c>
      <c r="L2128" s="1">
        <v>42700</v>
      </c>
      <c r="M2128" s="22">
        <f>Table10[[#This Row],[Ship Date]]-Table10[[#This Row],[Order Date]]</f>
        <v>5</v>
      </c>
      <c r="N2128" t="s">
        <v>45</v>
      </c>
      <c r="O2128" t="s">
        <v>23</v>
      </c>
      <c r="P2128" t="s">
        <v>441</v>
      </c>
      <c r="Q2128" t="s">
        <v>133</v>
      </c>
      <c r="R2128" t="s">
        <v>440</v>
      </c>
      <c r="S2128" s="33">
        <v>0.7</v>
      </c>
      <c r="T2128" s="13">
        <v>30.344999999999999</v>
      </c>
      <c r="U2128" s="13">
        <v>-24.276</v>
      </c>
      <c r="V2128" s="21">
        <f>Table10[[#This Row],[Profit]]/Table10[[#This Row],[Sales]]</f>
        <v>-0.8</v>
      </c>
    </row>
    <row r="2129" spans="1:22" x14ac:dyDescent="0.2">
      <c r="A2129">
        <v>2128</v>
      </c>
      <c r="B2129" t="s">
        <v>7054</v>
      </c>
      <c r="C2129" s="1">
        <v>42695</v>
      </c>
      <c r="D2129" s="22">
        <f>MONTH(Table10[[#This Row],[Order Date]])</f>
        <v>11</v>
      </c>
      <c r="E2129" t="s">
        <v>620</v>
      </c>
      <c r="F2129" t="s">
        <v>621</v>
      </c>
      <c r="G2129" s="23" t="s">
        <v>28</v>
      </c>
      <c r="H2129" s="23" t="s">
        <v>32</v>
      </c>
      <c r="I2129" t="s">
        <v>1767</v>
      </c>
      <c r="J2129" t="s">
        <v>22</v>
      </c>
      <c r="K2129" s="22">
        <v>3</v>
      </c>
      <c r="L2129" s="1">
        <v>42700</v>
      </c>
      <c r="M2129" s="22">
        <f>Table10[[#This Row],[Ship Date]]-Table10[[#This Row],[Order Date]]</f>
        <v>5</v>
      </c>
      <c r="N2129" t="s">
        <v>45</v>
      </c>
      <c r="O2129" t="s">
        <v>23</v>
      </c>
      <c r="P2129" t="s">
        <v>441</v>
      </c>
      <c r="Q2129" t="s">
        <v>133</v>
      </c>
      <c r="R2129" t="s">
        <v>440</v>
      </c>
      <c r="S2129" s="33">
        <v>0.3</v>
      </c>
      <c r="T2129" s="13">
        <v>127.554</v>
      </c>
      <c r="U2129" s="13">
        <v>-9.1110000000000007</v>
      </c>
      <c r="V2129" s="21">
        <f>Table10[[#This Row],[Profit]]/Table10[[#This Row],[Sales]]</f>
        <v>-7.1428571428571438E-2</v>
      </c>
    </row>
    <row r="2130" spans="1:22" x14ac:dyDescent="0.2">
      <c r="A2130">
        <v>2129</v>
      </c>
      <c r="B2130" t="s">
        <v>7054</v>
      </c>
      <c r="C2130" s="1">
        <v>42695</v>
      </c>
      <c r="D2130" s="22">
        <f>MONTH(Table10[[#This Row],[Order Date]])</f>
        <v>11</v>
      </c>
      <c r="E2130" t="s">
        <v>5213</v>
      </c>
      <c r="F2130" t="s">
        <v>5214</v>
      </c>
      <c r="G2130" s="23" t="s">
        <v>28</v>
      </c>
      <c r="H2130" s="23" t="s">
        <v>58</v>
      </c>
      <c r="I2130" t="s">
        <v>1767</v>
      </c>
      <c r="J2130" t="s">
        <v>22</v>
      </c>
      <c r="K2130" s="22">
        <v>3</v>
      </c>
      <c r="L2130" s="1">
        <v>42700</v>
      </c>
      <c r="M2130" s="22">
        <f>Table10[[#This Row],[Ship Date]]-Table10[[#This Row],[Order Date]]</f>
        <v>5</v>
      </c>
      <c r="N2130" t="s">
        <v>45</v>
      </c>
      <c r="O2130" t="s">
        <v>23</v>
      </c>
      <c r="P2130" t="s">
        <v>441</v>
      </c>
      <c r="Q2130" t="s">
        <v>133</v>
      </c>
      <c r="R2130" t="s">
        <v>440</v>
      </c>
      <c r="S2130" s="33">
        <v>0.2</v>
      </c>
      <c r="T2130" s="13">
        <v>77.951999999999998</v>
      </c>
      <c r="U2130" s="13">
        <v>15.590400000000001</v>
      </c>
      <c r="V2130" s="21">
        <f>Table10[[#This Row],[Profit]]/Table10[[#This Row],[Sales]]</f>
        <v>0.2</v>
      </c>
    </row>
    <row r="2131" spans="1:22" x14ac:dyDescent="0.2">
      <c r="A2131">
        <v>2130</v>
      </c>
      <c r="B2131" t="s">
        <v>7794</v>
      </c>
      <c r="C2131" s="1">
        <v>42695</v>
      </c>
      <c r="D2131" s="22">
        <f>MONTH(Table10[[#This Row],[Order Date]])</f>
        <v>11</v>
      </c>
      <c r="E2131" t="s">
        <v>2379</v>
      </c>
      <c r="F2131" t="s">
        <v>2380</v>
      </c>
      <c r="G2131" s="23" t="s">
        <v>41</v>
      </c>
      <c r="H2131" s="23" t="s">
        <v>82</v>
      </c>
      <c r="I2131" t="s">
        <v>6681</v>
      </c>
      <c r="J2131" t="s">
        <v>22</v>
      </c>
      <c r="K2131" s="22">
        <v>1</v>
      </c>
      <c r="L2131" s="1">
        <v>42700</v>
      </c>
      <c r="M2131" s="22">
        <f>Table10[[#This Row],[Ship Date]]-Table10[[#This Row],[Order Date]]</f>
        <v>5</v>
      </c>
      <c r="N2131" t="s">
        <v>45</v>
      </c>
      <c r="O2131" t="s">
        <v>23</v>
      </c>
      <c r="P2131" t="s">
        <v>189</v>
      </c>
      <c r="Q2131" t="s">
        <v>95</v>
      </c>
      <c r="R2131" t="s">
        <v>271</v>
      </c>
      <c r="S2131" s="33">
        <v>0.2</v>
      </c>
      <c r="T2131" s="13">
        <v>38.432000000000002</v>
      </c>
      <c r="U2131" s="13">
        <v>13.4512</v>
      </c>
      <c r="V2131" s="21">
        <f>Table10[[#This Row],[Profit]]/Table10[[#This Row],[Sales]]</f>
        <v>0.35</v>
      </c>
    </row>
    <row r="2132" spans="1:22" x14ac:dyDescent="0.2">
      <c r="A2132">
        <v>2131</v>
      </c>
      <c r="B2132" t="s">
        <v>7794</v>
      </c>
      <c r="C2132" s="1">
        <v>42695</v>
      </c>
      <c r="D2132" s="22">
        <f>MONTH(Table10[[#This Row],[Order Date]])</f>
        <v>11</v>
      </c>
      <c r="E2132" t="s">
        <v>562</v>
      </c>
      <c r="F2132" t="s">
        <v>563</v>
      </c>
      <c r="G2132" s="23" t="s">
        <v>41</v>
      </c>
      <c r="H2132" s="23" t="s">
        <v>53</v>
      </c>
      <c r="I2132" t="s">
        <v>6681</v>
      </c>
      <c r="J2132" t="s">
        <v>22</v>
      </c>
      <c r="K2132" s="22">
        <v>2</v>
      </c>
      <c r="L2132" s="1">
        <v>42700</v>
      </c>
      <c r="M2132" s="22">
        <f>Table10[[#This Row],[Ship Date]]-Table10[[#This Row],[Order Date]]</f>
        <v>5</v>
      </c>
      <c r="N2132" t="s">
        <v>45</v>
      </c>
      <c r="O2132" t="s">
        <v>23</v>
      </c>
      <c r="P2132" t="s">
        <v>189</v>
      </c>
      <c r="Q2132" t="s">
        <v>95</v>
      </c>
      <c r="R2132" t="s">
        <v>271</v>
      </c>
      <c r="S2132" s="33">
        <v>0.2</v>
      </c>
      <c r="T2132" s="13">
        <v>21.568000000000001</v>
      </c>
      <c r="U2132" s="13">
        <v>1.6175999999999999</v>
      </c>
      <c r="V2132" s="21">
        <f>Table10[[#This Row],[Profit]]/Table10[[#This Row],[Sales]]</f>
        <v>7.4999999999999997E-2</v>
      </c>
    </row>
    <row r="2133" spans="1:22" x14ac:dyDescent="0.2">
      <c r="A2133">
        <v>2132</v>
      </c>
      <c r="B2133" t="s">
        <v>7794</v>
      </c>
      <c r="C2133" s="1">
        <v>42695</v>
      </c>
      <c r="D2133" s="22">
        <f>MONTH(Table10[[#This Row],[Order Date]])</f>
        <v>11</v>
      </c>
      <c r="E2133" t="s">
        <v>584</v>
      </c>
      <c r="F2133" t="s">
        <v>585</v>
      </c>
      <c r="G2133" s="23" t="s">
        <v>64</v>
      </c>
      <c r="H2133" s="23" t="s">
        <v>144</v>
      </c>
      <c r="I2133" t="s">
        <v>6681</v>
      </c>
      <c r="J2133" t="s">
        <v>22</v>
      </c>
      <c r="K2133" s="22">
        <v>3</v>
      </c>
      <c r="L2133" s="1">
        <v>42700</v>
      </c>
      <c r="M2133" s="22">
        <f>Table10[[#This Row],[Ship Date]]-Table10[[#This Row],[Order Date]]</f>
        <v>5</v>
      </c>
      <c r="N2133" t="s">
        <v>45</v>
      </c>
      <c r="O2133" t="s">
        <v>23</v>
      </c>
      <c r="P2133" t="s">
        <v>189</v>
      </c>
      <c r="Q2133" t="s">
        <v>95</v>
      </c>
      <c r="R2133" t="s">
        <v>271</v>
      </c>
      <c r="S2133" s="33">
        <v>0.2</v>
      </c>
      <c r="T2133" s="13">
        <v>81.575999999999993</v>
      </c>
      <c r="U2133" s="13">
        <v>2.0394000000000001</v>
      </c>
      <c r="V2133" s="21">
        <f>Table10[[#This Row],[Profit]]/Table10[[#This Row],[Sales]]</f>
        <v>2.5000000000000005E-2</v>
      </c>
    </row>
    <row r="2134" spans="1:22" x14ac:dyDescent="0.2">
      <c r="A2134">
        <v>2133</v>
      </c>
      <c r="B2134" t="s">
        <v>7840</v>
      </c>
      <c r="C2134" s="1">
        <v>42695</v>
      </c>
      <c r="D2134" s="22">
        <f>MONTH(Table10[[#This Row],[Order Date]])</f>
        <v>11</v>
      </c>
      <c r="E2134" t="s">
        <v>6600</v>
      </c>
      <c r="F2134" t="s">
        <v>6601</v>
      </c>
      <c r="G2134" s="23" t="s">
        <v>41</v>
      </c>
      <c r="H2134" s="23" t="s">
        <v>82</v>
      </c>
      <c r="I2134" t="s">
        <v>1211</v>
      </c>
      <c r="J2134" t="s">
        <v>22</v>
      </c>
      <c r="K2134" s="22">
        <v>2</v>
      </c>
      <c r="L2134" s="1">
        <v>42702</v>
      </c>
      <c r="M2134" s="22">
        <f>Table10[[#This Row],[Ship Date]]-Table10[[#This Row],[Order Date]]</f>
        <v>7</v>
      </c>
      <c r="N2134" t="s">
        <v>45</v>
      </c>
      <c r="O2134" t="s">
        <v>23</v>
      </c>
      <c r="P2134" t="s">
        <v>238</v>
      </c>
      <c r="Q2134" t="s">
        <v>133</v>
      </c>
      <c r="R2134" t="s">
        <v>237</v>
      </c>
      <c r="S2134" s="33">
        <v>0</v>
      </c>
      <c r="T2134" s="13">
        <v>12.96</v>
      </c>
      <c r="U2134" s="13">
        <v>6.3503999999999996</v>
      </c>
      <c r="V2134" s="21">
        <f>Table10[[#This Row],[Profit]]/Table10[[#This Row],[Sales]]</f>
        <v>0.48999999999999994</v>
      </c>
    </row>
    <row r="2135" spans="1:22" x14ac:dyDescent="0.2">
      <c r="A2135">
        <v>2134</v>
      </c>
      <c r="B2135" t="s">
        <v>8089</v>
      </c>
      <c r="C2135" s="1">
        <v>42695</v>
      </c>
      <c r="D2135" s="22">
        <f>MONTH(Table10[[#This Row],[Order Date]])</f>
        <v>11</v>
      </c>
      <c r="E2135" t="s">
        <v>5879</v>
      </c>
      <c r="F2135" t="s">
        <v>5880</v>
      </c>
      <c r="G2135" s="23" t="s">
        <v>28</v>
      </c>
      <c r="H2135" s="23" t="s">
        <v>29</v>
      </c>
      <c r="I2135" t="s">
        <v>3342</v>
      </c>
      <c r="J2135" t="s">
        <v>92</v>
      </c>
      <c r="K2135" s="22">
        <v>2</v>
      </c>
      <c r="L2135" s="1">
        <v>42695</v>
      </c>
      <c r="M2135" s="22">
        <f>Table10[[#This Row],[Ship Date]]-Table10[[#This Row],[Order Date]]</f>
        <v>0</v>
      </c>
      <c r="N2135" t="s">
        <v>1141</v>
      </c>
      <c r="O2135" t="s">
        <v>23</v>
      </c>
      <c r="P2135" t="s">
        <v>238</v>
      </c>
      <c r="Q2135" t="s">
        <v>133</v>
      </c>
      <c r="R2135" t="s">
        <v>237</v>
      </c>
      <c r="S2135" s="33">
        <v>0.2</v>
      </c>
      <c r="T2135" s="13">
        <v>113.568</v>
      </c>
      <c r="U2135" s="13">
        <v>12.776400000000001</v>
      </c>
      <c r="V2135" s="21">
        <f>Table10[[#This Row],[Profit]]/Table10[[#This Row],[Sales]]</f>
        <v>0.1125</v>
      </c>
    </row>
    <row r="2136" spans="1:22" x14ac:dyDescent="0.2">
      <c r="A2136">
        <v>2135</v>
      </c>
      <c r="B2136" t="s">
        <v>9707</v>
      </c>
      <c r="C2136" s="1">
        <v>42695</v>
      </c>
      <c r="D2136" s="22">
        <f>MONTH(Table10[[#This Row],[Order Date]])</f>
        <v>11</v>
      </c>
      <c r="E2136" t="s">
        <v>1705</v>
      </c>
      <c r="F2136" t="s">
        <v>1706</v>
      </c>
      <c r="G2136" s="23" t="s">
        <v>41</v>
      </c>
      <c r="H2136" s="23" t="s">
        <v>82</v>
      </c>
      <c r="I2136" t="s">
        <v>1913</v>
      </c>
      <c r="J2136" t="s">
        <v>36</v>
      </c>
      <c r="K2136" s="22">
        <v>5</v>
      </c>
      <c r="L2136" s="1">
        <v>42700</v>
      </c>
      <c r="M2136" s="22">
        <f>Table10[[#This Row],[Ship Date]]-Table10[[#This Row],[Order Date]]</f>
        <v>5</v>
      </c>
      <c r="N2136" t="s">
        <v>45</v>
      </c>
      <c r="O2136" t="s">
        <v>23</v>
      </c>
      <c r="P2136" t="s">
        <v>38</v>
      </c>
      <c r="Q2136" t="s">
        <v>39</v>
      </c>
      <c r="R2136" t="s">
        <v>37</v>
      </c>
      <c r="S2136" s="33">
        <v>0</v>
      </c>
      <c r="T2136" s="13">
        <v>32.4</v>
      </c>
      <c r="U2136" s="13">
        <v>15.552</v>
      </c>
      <c r="V2136" s="21">
        <f>Table10[[#This Row],[Profit]]/Table10[[#This Row],[Sales]]</f>
        <v>0.48</v>
      </c>
    </row>
    <row r="2137" spans="1:22" x14ac:dyDescent="0.2">
      <c r="A2137">
        <v>2136</v>
      </c>
      <c r="B2137" t="s">
        <v>3165</v>
      </c>
      <c r="C2137" s="1">
        <v>42696</v>
      </c>
      <c r="D2137" s="22">
        <f>MONTH(Table10[[#This Row],[Order Date]])</f>
        <v>11</v>
      </c>
      <c r="E2137" t="s">
        <v>267</v>
      </c>
      <c r="F2137" t="s">
        <v>268</v>
      </c>
      <c r="G2137" s="23" t="s">
        <v>28</v>
      </c>
      <c r="H2137" s="23" t="s">
        <v>58</v>
      </c>
      <c r="I2137" t="s">
        <v>3166</v>
      </c>
      <c r="J2137" t="s">
        <v>36</v>
      </c>
      <c r="K2137" s="22">
        <v>2</v>
      </c>
      <c r="L2137" s="1">
        <v>42700</v>
      </c>
      <c r="M2137" s="22">
        <f>Table10[[#This Row],[Ship Date]]-Table10[[#This Row],[Order Date]]</f>
        <v>4</v>
      </c>
      <c r="N2137" t="s">
        <v>45</v>
      </c>
      <c r="O2137" t="s">
        <v>23</v>
      </c>
      <c r="P2137" t="s">
        <v>238</v>
      </c>
      <c r="Q2137" t="s">
        <v>133</v>
      </c>
      <c r="R2137" t="s">
        <v>237</v>
      </c>
      <c r="S2137" s="33">
        <v>0</v>
      </c>
      <c r="T2137" s="13">
        <v>39.880000000000003</v>
      </c>
      <c r="U2137" s="13">
        <v>11.166399999999999</v>
      </c>
      <c r="V2137" s="21">
        <f>Table10[[#This Row],[Profit]]/Table10[[#This Row],[Sales]]</f>
        <v>0.27999999999999997</v>
      </c>
    </row>
    <row r="2138" spans="1:22" x14ac:dyDescent="0.2">
      <c r="A2138">
        <v>2137</v>
      </c>
      <c r="B2138" t="s">
        <v>3165</v>
      </c>
      <c r="C2138" s="1">
        <v>42696</v>
      </c>
      <c r="D2138" s="22">
        <f>MONTH(Table10[[#This Row],[Order Date]])</f>
        <v>11</v>
      </c>
      <c r="E2138" t="s">
        <v>1831</v>
      </c>
      <c r="F2138" t="s">
        <v>1832</v>
      </c>
      <c r="G2138" s="23" t="s">
        <v>41</v>
      </c>
      <c r="H2138" s="23" t="s">
        <v>68</v>
      </c>
      <c r="I2138" t="s">
        <v>3166</v>
      </c>
      <c r="J2138" t="s">
        <v>36</v>
      </c>
      <c r="K2138" s="22">
        <v>4</v>
      </c>
      <c r="L2138" s="1">
        <v>42700</v>
      </c>
      <c r="M2138" s="22">
        <f>Table10[[#This Row],[Ship Date]]-Table10[[#This Row],[Order Date]]</f>
        <v>4</v>
      </c>
      <c r="N2138" t="s">
        <v>45</v>
      </c>
      <c r="O2138" t="s">
        <v>23</v>
      </c>
      <c r="P2138" t="s">
        <v>238</v>
      </c>
      <c r="Q2138" t="s">
        <v>133</v>
      </c>
      <c r="R2138" t="s">
        <v>237</v>
      </c>
      <c r="S2138" s="33">
        <v>0.2</v>
      </c>
      <c r="T2138" s="13">
        <v>12.192</v>
      </c>
      <c r="U2138" s="13">
        <v>4.1147999999999998</v>
      </c>
      <c r="V2138" s="21">
        <f>Table10[[#This Row],[Profit]]/Table10[[#This Row],[Sales]]</f>
        <v>0.33749999999999997</v>
      </c>
    </row>
    <row r="2139" spans="1:22" x14ac:dyDescent="0.2">
      <c r="A2139">
        <v>2138</v>
      </c>
      <c r="B2139" t="s">
        <v>3165</v>
      </c>
      <c r="C2139" s="1">
        <v>42696</v>
      </c>
      <c r="D2139" s="22">
        <f>MONTH(Table10[[#This Row],[Order Date]])</f>
        <v>11</v>
      </c>
      <c r="E2139" t="s">
        <v>3167</v>
      </c>
      <c r="F2139" t="s">
        <v>3168</v>
      </c>
      <c r="G2139" s="23" t="s">
        <v>41</v>
      </c>
      <c r="H2139" s="23" t="s">
        <v>61</v>
      </c>
      <c r="I2139" t="s">
        <v>3166</v>
      </c>
      <c r="J2139" t="s">
        <v>36</v>
      </c>
      <c r="K2139" s="22">
        <v>3</v>
      </c>
      <c r="L2139" s="1">
        <v>42700</v>
      </c>
      <c r="M2139" s="22">
        <f>Table10[[#This Row],[Ship Date]]-Table10[[#This Row],[Order Date]]</f>
        <v>4</v>
      </c>
      <c r="N2139" t="s">
        <v>45</v>
      </c>
      <c r="O2139" t="s">
        <v>23</v>
      </c>
      <c r="P2139" t="s">
        <v>238</v>
      </c>
      <c r="Q2139" t="s">
        <v>133</v>
      </c>
      <c r="R2139" t="s">
        <v>237</v>
      </c>
      <c r="S2139" s="33">
        <v>0</v>
      </c>
      <c r="T2139" s="13">
        <v>20.82</v>
      </c>
      <c r="U2139" s="13">
        <v>7.4951999999999996</v>
      </c>
      <c r="V2139" s="21">
        <f>Table10[[#This Row],[Profit]]/Table10[[#This Row],[Sales]]</f>
        <v>0.36</v>
      </c>
    </row>
    <row r="2140" spans="1:22" x14ac:dyDescent="0.2">
      <c r="A2140">
        <v>2139</v>
      </c>
      <c r="B2140" t="s">
        <v>5296</v>
      </c>
      <c r="C2140" s="1">
        <v>42696</v>
      </c>
      <c r="D2140" s="22">
        <f>MONTH(Table10[[#This Row],[Order Date]])</f>
        <v>11</v>
      </c>
      <c r="E2140" t="s">
        <v>369</v>
      </c>
      <c r="F2140" t="s">
        <v>370</v>
      </c>
      <c r="G2140" s="23" t="s">
        <v>41</v>
      </c>
      <c r="H2140" s="23" t="s">
        <v>68</v>
      </c>
      <c r="I2140" t="s">
        <v>2626</v>
      </c>
      <c r="J2140" t="s">
        <v>22</v>
      </c>
      <c r="K2140" s="22">
        <v>3</v>
      </c>
      <c r="L2140" s="1">
        <v>42700</v>
      </c>
      <c r="M2140" s="22">
        <f>Table10[[#This Row],[Ship Date]]-Table10[[#This Row],[Order Date]]</f>
        <v>4</v>
      </c>
      <c r="N2140" t="s">
        <v>45</v>
      </c>
      <c r="O2140" t="s">
        <v>23</v>
      </c>
      <c r="P2140" t="s">
        <v>212</v>
      </c>
      <c r="Q2140" t="s">
        <v>95</v>
      </c>
      <c r="R2140" t="s">
        <v>775</v>
      </c>
      <c r="S2140" s="33">
        <v>0</v>
      </c>
      <c r="T2140" s="13">
        <v>49.44</v>
      </c>
      <c r="U2140" s="13">
        <v>24.2256</v>
      </c>
      <c r="V2140" s="21">
        <f>Table10[[#This Row],[Profit]]/Table10[[#This Row],[Sales]]</f>
        <v>0.49000000000000005</v>
      </c>
    </row>
    <row r="2141" spans="1:22" x14ac:dyDescent="0.2">
      <c r="A2141">
        <v>2140</v>
      </c>
      <c r="B2141" t="s">
        <v>7901</v>
      </c>
      <c r="C2141" s="1">
        <v>42696</v>
      </c>
      <c r="D2141" s="22">
        <f>MONTH(Table10[[#This Row],[Order Date]])</f>
        <v>11</v>
      </c>
      <c r="E2141" t="s">
        <v>5691</v>
      </c>
      <c r="F2141" t="s">
        <v>5692</v>
      </c>
      <c r="G2141" s="23" t="s">
        <v>41</v>
      </c>
      <c r="H2141" s="23" t="s">
        <v>68</v>
      </c>
      <c r="I2141" t="s">
        <v>1459</v>
      </c>
      <c r="J2141" t="s">
        <v>22</v>
      </c>
      <c r="K2141" s="22">
        <v>6</v>
      </c>
      <c r="L2141" s="1">
        <v>42701</v>
      </c>
      <c r="M2141" s="22">
        <f>Table10[[#This Row],[Ship Date]]-Table10[[#This Row],[Order Date]]</f>
        <v>5</v>
      </c>
      <c r="N2141" t="s">
        <v>45</v>
      </c>
      <c r="O2141" t="s">
        <v>23</v>
      </c>
      <c r="P2141" t="s">
        <v>94</v>
      </c>
      <c r="Q2141" t="s">
        <v>95</v>
      </c>
      <c r="R2141" t="s">
        <v>165</v>
      </c>
      <c r="S2141" s="33">
        <v>0.8</v>
      </c>
      <c r="T2141" s="13">
        <v>6.2160000000000002</v>
      </c>
      <c r="U2141" s="13">
        <v>-9.6348000000000003</v>
      </c>
      <c r="V2141" s="21">
        <f>Table10[[#This Row],[Profit]]/Table10[[#This Row],[Sales]]</f>
        <v>-1.55</v>
      </c>
    </row>
    <row r="2142" spans="1:22" x14ac:dyDescent="0.2">
      <c r="A2142">
        <v>2141</v>
      </c>
      <c r="B2142" t="s">
        <v>7901</v>
      </c>
      <c r="C2142" s="1">
        <v>42696</v>
      </c>
      <c r="D2142" s="22">
        <f>MONTH(Table10[[#This Row],[Order Date]])</f>
        <v>11</v>
      </c>
      <c r="E2142" t="s">
        <v>6375</v>
      </c>
      <c r="F2142" t="s">
        <v>6376</v>
      </c>
      <c r="G2142" s="23" t="s">
        <v>41</v>
      </c>
      <c r="H2142" s="23" t="s">
        <v>61</v>
      </c>
      <c r="I2142" t="s">
        <v>1459</v>
      </c>
      <c r="J2142" t="s">
        <v>22</v>
      </c>
      <c r="K2142" s="22">
        <v>9</v>
      </c>
      <c r="L2142" s="1">
        <v>42701</v>
      </c>
      <c r="M2142" s="22">
        <f>Table10[[#This Row],[Ship Date]]-Table10[[#This Row],[Order Date]]</f>
        <v>5</v>
      </c>
      <c r="N2142" t="s">
        <v>45</v>
      </c>
      <c r="O2142" t="s">
        <v>23</v>
      </c>
      <c r="P2142" t="s">
        <v>94</v>
      </c>
      <c r="Q2142" t="s">
        <v>95</v>
      </c>
      <c r="R2142" t="s">
        <v>165</v>
      </c>
      <c r="S2142" s="33">
        <v>0.2</v>
      </c>
      <c r="T2142" s="13">
        <v>23.616</v>
      </c>
      <c r="U2142" s="13">
        <v>2.6568000000000001</v>
      </c>
      <c r="V2142" s="21">
        <f>Table10[[#This Row],[Profit]]/Table10[[#This Row],[Sales]]</f>
        <v>0.1125</v>
      </c>
    </row>
    <row r="2143" spans="1:22" x14ac:dyDescent="0.2">
      <c r="A2143">
        <v>2142</v>
      </c>
      <c r="B2143" t="s">
        <v>7901</v>
      </c>
      <c r="C2143" s="1">
        <v>42696</v>
      </c>
      <c r="D2143" s="22">
        <f>MONTH(Table10[[#This Row],[Order Date]])</f>
        <v>11</v>
      </c>
      <c r="E2143" t="s">
        <v>5037</v>
      </c>
      <c r="F2143" t="s">
        <v>5038</v>
      </c>
      <c r="G2143" s="23" t="s">
        <v>64</v>
      </c>
      <c r="H2143" s="23" t="s">
        <v>144</v>
      </c>
      <c r="I2143" t="s">
        <v>1459</v>
      </c>
      <c r="J2143" t="s">
        <v>22</v>
      </c>
      <c r="K2143" s="22">
        <v>2</v>
      </c>
      <c r="L2143" s="1">
        <v>42701</v>
      </c>
      <c r="M2143" s="22">
        <f>Table10[[#This Row],[Ship Date]]-Table10[[#This Row],[Order Date]]</f>
        <v>5</v>
      </c>
      <c r="N2143" t="s">
        <v>45</v>
      </c>
      <c r="O2143" t="s">
        <v>23</v>
      </c>
      <c r="P2143" t="s">
        <v>94</v>
      </c>
      <c r="Q2143" t="s">
        <v>95</v>
      </c>
      <c r="R2143" t="s">
        <v>165</v>
      </c>
      <c r="S2143" s="33">
        <v>0.2</v>
      </c>
      <c r="T2143" s="13">
        <v>24.032</v>
      </c>
      <c r="U2143" s="13">
        <v>-0.6008</v>
      </c>
      <c r="V2143" s="21">
        <f>Table10[[#This Row],[Profit]]/Table10[[#This Row],[Sales]]</f>
        <v>-2.5000000000000001E-2</v>
      </c>
    </row>
    <row r="2144" spans="1:22" x14ac:dyDescent="0.2">
      <c r="A2144">
        <v>2143</v>
      </c>
      <c r="B2144" t="s">
        <v>7901</v>
      </c>
      <c r="C2144" s="1">
        <v>42696</v>
      </c>
      <c r="D2144" s="22">
        <f>MONTH(Table10[[#This Row],[Order Date]])</f>
        <v>11</v>
      </c>
      <c r="E2144" t="s">
        <v>3274</v>
      </c>
      <c r="F2144" t="s">
        <v>3275</v>
      </c>
      <c r="G2144" s="23" t="s">
        <v>41</v>
      </c>
      <c r="H2144" s="23" t="s">
        <v>42</v>
      </c>
      <c r="I2144" t="s">
        <v>1459</v>
      </c>
      <c r="J2144" t="s">
        <v>22</v>
      </c>
      <c r="K2144" s="22">
        <v>1</v>
      </c>
      <c r="L2144" s="1">
        <v>42701</v>
      </c>
      <c r="M2144" s="22">
        <f>Table10[[#This Row],[Ship Date]]-Table10[[#This Row],[Order Date]]</f>
        <v>5</v>
      </c>
      <c r="N2144" t="s">
        <v>45</v>
      </c>
      <c r="O2144" t="s">
        <v>23</v>
      </c>
      <c r="P2144" t="s">
        <v>94</v>
      </c>
      <c r="Q2144" t="s">
        <v>95</v>
      </c>
      <c r="R2144" t="s">
        <v>165</v>
      </c>
      <c r="S2144" s="33">
        <v>0.2</v>
      </c>
      <c r="T2144" s="13">
        <v>2.0880000000000001</v>
      </c>
      <c r="U2144" s="13">
        <v>0.67859999999999998</v>
      </c>
      <c r="V2144" s="21">
        <f>Table10[[#This Row],[Profit]]/Table10[[#This Row],[Sales]]</f>
        <v>0.32499999999999996</v>
      </c>
    </row>
    <row r="2145" spans="1:22" x14ac:dyDescent="0.2">
      <c r="A2145">
        <v>2144</v>
      </c>
      <c r="B2145" t="s">
        <v>7901</v>
      </c>
      <c r="C2145" s="1">
        <v>42696</v>
      </c>
      <c r="D2145" s="22">
        <f>MONTH(Table10[[#This Row],[Order Date]])</f>
        <v>11</v>
      </c>
      <c r="E2145" t="s">
        <v>5110</v>
      </c>
      <c r="F2145" t="s">
        <v>5111</v>
      </c>
      <c r="G2145" s="23" t="s">
        <v>41</v>
      </c>
      <c r="H2145" s="23" t="s">
        <v>68</v>
      </c>
      <c r="I2145" t="s">
        <v>1459</v>
      </c>
      <c r="J2145" t="s">
        <v>22</v>
      </c>
      <c r="K2145" s="22">
        <v>6</v>
      </c>
      <c r="L2145" s="1">
        <v>42701</v>
      </c>
      <c r="M2145" s="22">
        <f>Table10[[#This Row],[Ship Date]]-Table10[[#This Row],[Order Date]]</f>
        <v>5</v>
      </c>
      <c r="N2145" t="s">
        <v>45</v>
      </c>
      <c r="O2145" t="s">
        <v>23</v>
      </c>
      <c r="P2145" t="s">
        <v>94</v>
      </c>
      <c r="Q2145" t="s">
        <v>95</v>
      </c>
      <c r="R2145" t="s">
        <v>165</v>
      </c>
      <c r="S2145" s="33">
        <v>0.8</v>
      </c>
      <c r="T2145" s="13">
        <v>4.4880000000000004</v>
      </c>
      <c r="U2145" s="13">
        <v>-6.7320000000000002</v>
      </c>
      <c r="V2145" s="21">
        <f>Table10[[#This Row],[Profit]]/Table10[[#This Row],[Sales]]</f>
        <v>-1.5</v>
      </c>
    </row>
    <row r="2146" spans="1:22" x14ac:dyDescent="0.2">
      <c r="A2146">
        <v>2145</v>
      </c>
      <c r="B2146" t="s">
        <v>9035</v>
      </c>
      <c r="C2146" s="1">
        <v>42696</v>
      </c>
      <c r="D2146" s="22">
        <f>MONTH(Table10[[#This Row],[Order Date]])</f>
        <v>11</v>
      </c>
      <c r="E2146" t="s">
        <v>1060</v>
      </c>
      <c r="F2146" t="s">
        <v>1061</v>
      </c>
      <c r="G2146" s="23" t="s">
        <v>41</v>
      </c>
      <c r="H2146" s="23" t="s">
        <v>68</v>
      </c>
      <c r="I2146" t="s">
        <v>2982</v>
      </c>
      <c r="J2146" t="s">
        <v>92</v>
      </c>
      <c r="K2146" s="22">
        <v>8</v>
      </c>
      <c r="L2146" s="1">
        <v>42701</v>
      </c>
      <c r="M2146" s="22">
        <f>Table10[[#This Row],[Ship Date]]-Table10[[#This Row],[Order Date]]</f>
        <v>5</v>
      </c>
      <c r="N2146" t="s">
        <v>45</v>
      </c>
      <c r="O2146" t="s">
        <v>23</v>
      </c>
      <c r="P2146" t="s">
        <v>238</v>
      </c>
      <c r="Q2146" t="s">
        <v>133</v>
      </c>
      <c r="R2146" t="s">
        <v>237</v>
      </c>
      <c r="S2146" s="33">
        <v>0.2</v>
      </c>
      <c r="T2146" s="13">
        <v>134.27199999999999</v>
      </c>
      <c r="U2146" s="13">
        <v>46.995199999999997</v>
      </c>
      <c r="V2146" s="21">
        <f>Table10[[#This Row],[Profit]]/Table10[[#This Row],[Sales]]</f>
        <v>0.35</v>
      </c>
    </row>
    <row r="2147" spans="1:22" x14ac:dyDescent="0.2">
      <c r="A2147">
        <v>2146</v>
      </c>
      <c r="B2147" t="s">
        <v>5447</v>
      </c>
      <c r="C2147" s="1">
        <v>42697</v>
      </c>
      <c r="D2147" s="22">
        <f>MONTH(Table10[[#This Row],[Order Date]])</f>
        <v>11</v>
      </c>
      <c r="E2147" t="s">
        <v>5314</v>
      </c>
      <c r="F2147" t="s">
        <v>5315</v>
      </c>
      <c r="G2147" s="23" t="s">
        <v>41</v>
      </c>
      <c r="H2147" s="23" t="s">
        <v>240</v>
      </c>
      <c r="I2147" t="s">
        <v>4965</v>
      </c>
      <c r="J2147" t="s">
        <v>36</v>
      </c>
      <c r="K2147" s="22">
        <v>5</v>
      </c>
      <c r="L2147" s="1">
        <v>42697</v>
      </c>
      <c r="M2147" s="22">
        <f>Table10[[#This Row],[Ship Date]]-Table10[[#This Row],[Order Date]]</f>
        <v>0</v>
      </c>
      <c r="N2147" t="s">
        <v>1141</v>
      </c>
      <c r="O2147" t="s">
        <v>23</v>
      </c>
      <c r="P2147" t="s">
        <v>132</v>
      </c>
      <c r="Q2147" t="s">
        <v>133</v>
      </c>
      <c r="R2147" t="s">
        <v>131</v>
      </c>
      <c r="S2147" s="33">
        <v>0.2</v>
      </c>
      <c r="T2147" s="13">
        <v>15.8</v>
      </c>
      <c r="U2147" s="13">
        <v>2.37</v>
      </c>
      <c r="V2147" s="21">
        <f>Table10[[#This Row],[Profit]]/Table10[[#This Row],[Sales]]</f>
        <v>0.15</v>
      </c>
    </row>
    <row r="2148" spans="1:22" x14ac:dyDescent="0.2">
      <c r="A2148">
        <v>2147</v>
      </c>
      <c r="B2148" t="s">
        <v>5447</v>
      </c>
      <c r="C2148" s="1">
        <v>42697</v>
      </c>
      <c r="D2148" s="22">
        <f>MONTH(Table10[[#This Row],[Order Date]])</f>
        <v>11</v>
      </c>
      <c r="E2148" t="s">
        <v>3894</v>
      </c>
      <c r="F2148" t="s">
        <v>3895</v>
      </c>
      <c r="G2148" s="23" t="s">
        <v>28</v>
      </c>
      <c r="H2148" s="23" t="s">
        <v>58</v>
      </c>
      <c r="I2148" t="s">
        <v>4965</v>
      </c>
      <c r="J2148" t="s">
        <v>36</v>
      </c>
      <c r="K2148" s="22">
        <v>2</v>
      </c>
      <c r="L2148" s="1">
        <v>42697</v>
      </c>
      <c r="M2148" s="22">
        <f>Table10[[#This Row],[Ship Date]]-Table10[[#This Row],[Order Date]]</f>
        <v>0</v>
      </c>
      <c r="N2148" t="s">
        <v>1141</v>
      </c>
      <c r="O2148" t="s">
        <v>23</v>
      </c>
      <c r="P2148" t="s">
        <v>132</v>
      </c>
      <c r="Q2148" t="s">
        <v>133</v>
      </c>
      <c r="R2148" t="s">
        <v>131</v>
      </c>
      <c r="S2148" s="33">
        <v>0.2</v>
      </c>
      <c r="T2148" s="13">
        <v>14.368</v>
      </c>
      <c r="U2148" s="13">
        <v>3.9512</v>
      </c>
      <c r="V2148" s="21">
        <f>Table10[[#This Row],[Profit]]/Table10[[#This Row],[Sales]]</f>
        <v>0.27500000000000002</v>
      </c>
    </row>
    <row r="2149" spans="1:22" x14ac:dyDescent="0.2">
      <c r="A2149">
        <v>2148</v>
      </c>
      <c r="B2149" t="s">
        <v>5447</v>
      </c>
      <c r="C2149" s="1">
        <v>42697</v>
      </c>
      <c r="D2149" s="22">
        <f>MONTH(Table10[[#This Row],[Order Date]])</f>
        <v>11</v>
      </c>
      <c r="E2149" t="s">
        <v>3387</v>
      </c>
      <c r="F2149" t="s">
        <v>3388</v>
      </c>
      <c r="G2149" s="23" t="s">
        <v>28</v>
      </c>
      <c r="H2149" s="23" t="s">
        <v>58</v>
      </c>
      <c r="I2149" t="s">
        <v>4965</v>
      </c>
      <c r="J2149" t="s">
        <v>36</v>
      </c>
      <c r="K2149" s="22">
        <v>7</v>
      </c>
      <c r="L2149" s="1">
        <v>42697</v>
      </c>
      <c r="M2149" s="22">
        <f>Table10[[#This Row],[Ship Date]]-Table10[[#This Row],[Order Date]]</f>
        <v>0</v>
      </c>
      <c r="N2149" t="s">
        <v>1141</v>
      </c>
      <c r="O2149" t="s">
        <v>23</v>
      </c>
      <c r="P2149" t="s">
        <v>132</v>
      </c>
      <c r="Q2149" t="s">
        <v>133</v>
      </c>
      <c r="R2149" t="s">
        <v>131</v>
      </c>
      <c r="S2149" s="33">
        <v>0.2</v>
      </c>
      <c r="T2149" s="13">
        <v>70.447999999999993</v>
      </c>
      <c r="U2149" s="13">
        <v>12.3284</v>
      </c>
      <c r="V2149" s="21">
        <f>Table10[[#This Row],[Profit]]/Table10[[#This Row],[Sales]]</f>
        <v>0.17500000000000002</v>
      </c>
    </row>
    <row r="2150" spans="1:22" x14ac:dyDescent="0.2">
      <c r="A2150">
        <v>2149</v>
      </c>
      <c r="B2150" t="s">
        <v>2757</v>
      </c>
      <c r="C2150" s="1">
        <v>42698</v>
      </c>
      <c r="D2150" s="22">
        <f>MONTH(Table10[[#This Row],[Order Date]])</f>
        <v>11</v>
      </c>
      <c r="E2150" t="s">
        <v>2759</v>
      </c>
      <c r="F2150" t="s">
        <v>2760</v>
      </c>
      <c r="G2150" s="23" t="s">
        <v>41</v>
      </c>
      <c r="H2150" s="23" t="s">
        <v>240</v>
      </c>
      <c r="I2150" t="s">
        <v>2758</v>
      </c>
      <c r="J2150" t="s">
        <v>92</v>
      </c>
      <c r="K2150" s="22">
        <v>3</v>
      </c>
      <c r="L2150" s="1">
        <v>42705</v>
      </c>
      <c r="M2150" s="22">
        <f>Table10[[#This Row],[Ship Date]]-Table10[[#This Row],[Order Date]]</f>
        <v>7</v>
      </c>
      <c r="N2150" t="s">
        <v>45</v>
      </c>
      <c r="O2150" t="s">
        <v>23</v>
      </c>
      <c r="P2150" t="s">
        <v>132</v>
      </c>
      <c r="Q2150" t="s">
        <v>133</v>
      </c>
      <c r="R2150" t="s">
        <v>131</v>
      </c>
      <c r="S2150" s="33">
        <v>0.2</v>
      </c>
      <c r="T2150" s="13">
        <v>4.4160000000000004</v>
      </c>
      <c r="U2150" s="13">
        <v>1.6008</v>
      </c>
      <c r="V2150" s="21">
        <f>Table10[[#This Row],[Profit]]/Table10[[#This Row],[Sales]]</f>
        <v>0.36249999999999999</v>
      </c>
    </row>
    <row r="2151" spans="1:22" x14ac:dyDescent="0.2">
      <c r="A2151">
        <v>2150</v>
      </c>
      <c r="B2151" t="s">
        <v>3360</v>
      </c>
      <c r="C2151" s="1">
        <v>42698</v>
      </c>
      <c r="D2151" s="22">
        <f>MONTH(Table10[[#This Row],[Order Date]])</f>
        <v>11</v>
      </c>
      <c r="E2151" t="s">
        <v>3361</v>
      </c>
      <c r="F2151" t="s">
        <v>3362</v>
      </c>
      <c r="G2151" s="23" t="s">
        <v>41</v>
      </c>
      <c r="H2151" s="23" t="s">
        <v>68</v>
      </c>
      <c r="I2151" t="s">
        <v>2911</v>
      </c>
      <c r="J2151" t="s">
        <v>22</v>
      </c>
      <c r="K2151" s="22">
        <v>4</v>
      </c>
      <c r="L2151" s="1">
        <v>42700</v>
      </c>
      <c r="M2151" s="22">
        <f>Table10[[#This Row],[Ship Date]]-Table10[[#This Row],[Order Date]]</f>
        <v>2</v>
      </c>
      <c r="N2151" t="s">
        <v>169</v>
      </c>
      <c r="O2151" t="s">
        <v>23</v>
      </c>
      <c r="P2151" t="s">
        <v>238</v>
      </c>
      <c r="Q2151" t="s">
        <v>133</v>
      </c>
      <c r="R2151" t="s">
        <v>237</v>
      </c>
      <c r="S2151" s="33">
        <v>0.2</v>
      </c>
      <c r="T2151" s="13">
        <v>17.216000000000001</v>
      </c>
      <c r="U2151" s="13">
        <v>6.0255999999999998</v>
      </c>
      <c r="V2151" s="21">
        <f>Table10[[#This Row],[Profit]]/Table10[[#This Row],[Sales]]</f>
        <v>0.35</v>
      </c>
    </row>
    <row r="2152" spans="1:22" x14ac:dyDescent="0.2">
      <c r="A2152">
        <v>2151</v>
      </c>
      <c r="B2152" t="s">
        <v>3360</v>
      </c>
      <c r="C2152" s="1">
        <v>42698</v>
      </c>
      <c r="D2152" s="22">
        <f>MONTH(Table10[[#This Row],[Order Date]])</f>
        <v>11</v>
      </c>
      <c r="E2152" t="s">
        <v>2087</v>
      </c>
      <c r="F2152" t="s">
        <v>2088</v>
      </c>
      <c r="G2152" s="23" t="s">
        <v>41</v>
      </c>
      <c r="H2152" s="23" t="s">
        <v>82</v>
      </c>
      <c r="I2152" t="s">
        <v>2911</v>
      </c>
      <c r="J2152" t="s">
        <v>22</v>
      </c>
      <c r="K2152" s="22">
        <v>2</v>
      </c>
      <c r="L2152" s="1">
        <v>42700</v>
      </c>
      <c r="M2152" s="22">
        <f>Table10[[#This Row],[Ship Date]]-Table10[[#This Row],[Order Date]]</f>
        <v>2</v>
      </c>
      <c r="N2152" t="s">
        <v>169</v>
      </c>
      <c r="O2152" t="s">
        <v>23</v>
      </c>
      <c r="P2152" t="s">
        <v>238</v>
      </c>
      <c r="Q2152" t="s">
        <v>133</v>
      </c>
      <c r="R2152" t="s">
        <v>237</v>
      </c>
      <c r="S2152" s="33">
        <v>0</v>
      </c>
      <c r="T2152" s="13">
        <v>11.56</v>
      </c>
      <c r="U2152" s="13">
        <v>5.6643999999999997</v>
      </c>
      <c r="V2152" s="21">
        <f>Table10[[#This Row],[Profit]]/Table10[[#This Row],[Sales]]</f>
        <v>0.48999999999999994</v>
      </c>
    </row>
    <row r="2153" spans="1:22" x14ac:dyDescent="0.2">
      <c r="A2153">
        <v>2152</v>
      </c>
      <c r="B2153" t="s">
        <v>3360</v>
      </c>
      <c r="C2153" s="1">
        <v>42698</v>
      </c>
      <c r="D2153" s="22">
        <f>MONTH(Table10[[#This Row],[Order Date]])</f>
        <v>11</v>
      </c>
      <c r="E2153" t="s">
        <v>665</v>
      </c>
      <c r="F2153" t="s">
        <v>666</v>
      </c>
      <c r="G2153" s="23" t="s">
        <v>64</v>
      </c>
      <c r="H2153" s="23" t="s">
        <v>144</v>
      </c>
      <c r="I2153" t="s">
        <v>2911</v>
      </c>
      <c r="J2153" t="s">
        <v>22</v>
      </c>
      <c r="K2153" s="22">
        <v>4</v>
      </c>
      <c r="L2153" s="1">
        <v>42700</v>
      </c>
      <c r="M2153" s="22">
        <f>Table10[[#This Row],[Ship Date]]-Table10[[#This Row],[Order Date]]</f>
        <v>2</v>
      </c>
      <c r="N2153" t="s">
        <v>169</v>
      </c>
      <c r="O2153" t="s">
        <v>23</v>
      </c>
      <c r="P2153" t="s">
        <v>238</v>
      </c>
      <c r="Q2153" t="s">
        <v>133</v>
      </c>
      <c r="R2153" t="s">
        <v>237</v>
      </c>
      <c r="S2153" s="33">
        <v>0</v>
      </c>
      <c r="T2153" s="13">
        <v>88.4</v>
      </c>
      <c r="U2153" s="13">
        <v>11.492000000000001</v>
      </c>
      <c r="V2153" s="21">
        <f>Table10[[#This Row],[Profit]]/Table10[[#This Row],[Sales]]</f>
        <v>0.13</v>
      </c>
    </row>
    <row r="2154" spans="1:22" x14ac:dyDescent="0.2">
      <c r="A2154">
        <v>2153</v>
      </c>
      <c r="B2154" t="s">
        <v>3360</v>
      </c>
      <c r="C2154" s="1">
        <v>42698</v>
      </c>
      <c r="D2154" s="22">
        <f>MONTH(Table10[[#This Row],[Order Date]])</f>
        <v>11</v>
      </c>
      <c r="E2154" t="s">
        <v>3363</v>
      </c>
      <c r="F2154" t="s">
        <v>3364</v>
      </c>
      <c r="G2154" s="23" t="s">
        <v>41</v>
      </c>
      <c r="H2154" s="23" t="s">
        <v>82</v>
      </c>
      <c r="I2154" t="s">
        <v>2911</v>
      </c>
      <c r="J2154" t="s">
        <v>22</v>
      </c>
      <c r="K2154" s="22">
        <v>1</v>
      </c>
      <c r="L2154" s="1">
        <v>42700</v>
      </c>
      <c r="M2154" s="22">
        <f>Table10[[#This Row],[Ship Date]]-Table10[[#This Row],[Order Date]]</f>
        <v>2</v>
      </c>
      <c r="N2154" t="s">
        <v>169</v>
      </c>
      <c r="O2154" t="s">
        <v>23</v>
      </c>
      <c r="P2154" t="s">
        <v>238</v>
      </c>
      <c r="Q2154" t="s">
        <v>133</v>
      </c>
      <c r="R2154" t="s">
        <v>237</v>
      </c>
      <c r="S2154" s="33">
        <v>0</v>
      </c>
      <c r="T2154" s="13">
        <v>6.48</v>
      </c>
      <c r="U2154" s="13">
        <v>3.1103999999999998</v>
      </c>
      <c r="V2154" s="21">
        <f>Table10[[#This Row],[Profit]]/Table10[[#This Row],[Sales]]</f>
        <v>0.47999999999999993</v>
      </c>
    </row>
    <row r="2155" spans="1:22" x14ac:dyDescent="0.2">
      <c r="A2155">
        <v>2154</v>
      </c>
      <c r="B2155" t="s">
        <v>3546</v>
      </c>
      <c r="C2155" s="1">
        <v>42698</v>
      </c>
      <c r="D2155" s="22">
        <f>MONTH(Table10[[#This Row],[Order Date]])</f>
        <v>11</v>
      </c>
      <c r="E2155" t="s">
        <v>3547</v>
      </c>
      <c r="F2155" t="s">
        <v>3548</v>
      </c>
      <c r="G2155" s="23" t="s">
        <v>64</v>
      </c>
      <c r="H2155" s="23" t="s">
        <v>65</v>
      </c>
      <c r="I2155" t="s">
        <v>2974</v>
      </c>
      <c r="J2155" t="s">
        <v>92</v>
      </c>
      <c r="K2155" s="22">
        <v>2</v>
      </c>
      <c r="L2155" s="1">
        <v>42705</v>
      </c>
      <c r="M2155" s="22">
        <f>Table10[[#This Row],[Ship Date]]-Table10[[#This Row],[Order Date]]</f>
        <v>7</v>
      </c>
      <c r="N2155" t="s">
        <v>45</v>
      </c>
      <c r="O2155" t="s">
        <v>23</v>
      </c>
      <c r="P2155" t="s">
        <v>38</v>
      </c>
      <c r="Q2155" t="s">
        <v>39</v>
      </c>
      <c r="R2155" t="s">
        <v>37</v>
      </c>
      <c r="S2155" s="33">
        <v>0.2</v>
      </c>
      <c r="T2155" s="13">
        <v>33.520000000000003</v>
      </c>
      <c r="U2155" s="13">
        <v>3.3519999999999999</v>
      </c>
      <c r="V2155" s="21">
        <f>Table10[[#This Row],[Profit]]/Table10[[#This Row],[Sales]]</f>
        <v>9.9999999999999992E-2</v>
      </c>
    </row>
    <row r="2156" spans="1:22" x14ac:dyDescent="0.2">
      <c r="A2156">
        <v>2155</v>
      </c>
      <c r="B2156" t="s">
        <v>3546</v>
      </c>
      <c r="C2156" s="1">
        <v>42698</v>
      </c>
      <c r="D2156" s="22">
        <f>MONTH(Table10[[#This Row],[Order Date]])</f>
        <v>11</v>
      </c>
      <c r="E2156" t="s">
        <v>1803</v>
      </c>
      <c r="F2156" t="s">
        <v>1804</v>
      </c>
      <c r="G2156" s="23" t="s">
        <v>28</v>
      </c>
      <c r="H2156" s="23" t="s">
        <v>58</v>
      </c>
      <c r="I2156" t="s">
        <v>2974</v>
      </c>
      <c r="J2156" t="s">
        <v>92</v>
      </c>
      <c r="K2156" s="22">
        <v>2</v>
      </c>
      <c r="L2156" s="1">
        <v>42705</v>
      </c>
      <c r="M2156" s="22">
        <f>Table10[[#This Row],[Ship Date]]-Table10[[#This Row],[Order Date]]</f>
        <v>7</v>
      </c>
      <c r="N2156" t="s">
        <v>45</v>
      </c>
      <c r="O2156" t="s">
        <v>23</v>
      </c>
      <c r="P2156" t="s">
        <v>38</v>
      </c>
      <c r="Q2156" t="s">
        <v>39</v>
      </c>
      <c r="R2156" t="s">
        <v>37</v>
      </c>
      <c r="S2156" s="33">
        <v>0</v>
      </c>
      <c r="T2156" s="13">
        <v>9.94</v>
      </c>
      <c r="U2156" s="13">
        <v>3.0813999999999999</v>
      </c>
      <c r="V2156" s="21">
        <f>Table10[[#This Row],[Profit]]/Table10[[#This Row],[Sales]]</f>
        <v>0.31</v>
      </c>
    </row>
    <row r="2157" spans="1:22" x14ac:dyDescent="0.2">
      <c r="A2157">
        <v>2156</v>
      </c>
      <c r="B2157" t="s">
        <v>3820</v>
      </c>
      <c r="C2157" s="1">
        <v>42698</v>
      </c>
      <c r="D2157" s="22">
        <f>MONTH(Table10[[#This Row],[Order Date]])</f>
        <v>11</v>
      </c>
      <c r="E2157" t="s">
        <v>1614</v>
      </c>
      <c r="F2157" t="s">
        <v>1615</v>
      </c>
      <c r="G2157" s="23" t="s">
        <v>41</v>
      </c>
      <c r="H2157" s="23" t="s">
        <v>53</v>
      </c>
      <c r="I2157" t="s">
        <v>3821</v>
      </c>
      <c r="J2157" t="s">
        <v>22</v>
      </c>
      <c r="K2157" s="22">
        <v>5</v>
      </c>
      <c r="L2157" s="1">
        <v>42700</v>
      </c>
      <c r="M2157" s="22">
        <f>Table10[[#This Row],[Ship Date]]-Table10[[#This Row],[Order Date]]</f>
        <v>2</v>
      </c>
      <c r="N2157" t="s">
        <v>20</v>
      </c>
      <c r="O2157" t="s">
        <v>23</v>
      </c>
      <c r="P2157" t="s">
        <v>94</v>
      </c>
      <c r="Q2157" t="s">
        <v>95</v>
      </c>
      <c r="R2157" t="s">
        <v>718</v>
      </c>
      <c r="S2157" s="33">
        <v>0.2</v>
      </c>
      <c r="T2157" s="13">
        <v>41.92</v>
      </c>
      <c r="U2157" s="13">
        <v>3.6680000000000001</v>
      </c>
      <c r="V2157" s="21">
        <f>Table10[[#This Row],[Profit]]/Table10[[#This Row],[Sales]]</f>
        <v>8.7499999999999994E-2</v>
      </c>
    </row>
    <row r="2158" spans="1:22" x14ac:dyDescent="0.2">
      <c r="A2158">
        <v>2157</v>
      </c>
      <c r="B2158" t="s">
        <v>3820</v>
      </c>
      <c r="C2158" s="1">
        <v>42698</v>
      </c>
      <c r="D2158" s="22">
        <f>MONTH(Table10[[#This Row],[Order Date]])</f>
        <v>11</v>
      </c>
      <c r="E2158" t="s">
        <v>2382</v>
      </c>
      <c r="F2158" t="s">
        <v>2383</v>
      </c>
      <c r="G2158" s="23" t="s">
        <v>64</v>
      </c>
      <c r="H2158" s="23" t="s">
        <v>144</v>
      </c>
      <c r="I2158" t="s">
        <v>3821</v>
      </c>
      <c r="J2158" t="s">
        <v>22</v>
      </c>
      <c r="K2158" s="22">
        <v>3</v>
      </c>
      <c r="L2158" s="1">
        <v>42700</v>
      </c>
      <c r="M2158" s="22">
        <f>Table10[[#This Row],[Ship Date]]-Table10[[#This Row],[Order Date]]</f>
        <v>2</v>
      </c>
      <c r="N2158" t="s">
        <v>20</v>
      </c>
      <c r="O2158" t="s">
        <v>23</v>
      </c>
      <c r="P2158" t="s">
        <v>94</v>
      </c>
      <c r="Q2158" t="s">
        <v>95</v>
      </c>
      <c r="R2158" t="s">
        <v>718</v>
      </c>
      <c r="S2158" s="33">
        <v>0.2</v>
      </c>
      <c r="T2158" s="13">
        <v>297.57600000000002</v>
      </c>
      <c r="U2158" s="13">
        <v>-7.4394</v>
      </c>
      <c r="V2158" s="21">
        <f>Table10[[#This Row],[Profit]]/Table10[[#This Row],[Sales]]</f>
        <v>-2.4999999999999998E-2</v>
      </c>
    </row>
    <row r="2159" spans="1:22" x14ac:dyDescent="0.2">
      <c r="A2159">
        <v>2158</v>
      </c>
      <c r="B2159" t="s">
        <v>3820</v>
      </c>
      <c r="C2159" s="1">
        <v>42698</v>
      </c>
      <c r="D2159" s="22">
        <f>MONTH(Table10[[#This Row],[Order Date]])</f>
        <v>11</v>
      </c>
      <c r="E2159" t="s">
        <v>3822</v>
      </c>
      <c r="F2159" t="s">
        <v>3823</v>
      </c>
      <c r="G2159" s="23" t="s">
        <v>41</v>
      </c>
      <c r="H2159" s="23" t="s">
        <v>240</v>
      </c>
      <c r="I2159" t="s">
        <v>3821</v>
      </c>
      <c r="J2159" t="s">
        <v>22</v>
      </c>
      <c r="K2159" s="22">
        <v>3</v>
      </c>
      <c r="L2159" s="1">
        <v>42700</v>
      </c>
      <c r="M2159" s="22">
        <f>Table10[[#This Row],[Ship Date]]-Table10[[#This Row],[Order Date]]</f>
        <v>2</v>
      </c>
      <c r="N2159" t="s">
        <v>20</v>
      </c>
      <c r="O2159" t="s">
        <v>23</v>
      </c>
      <c r="P2159" t="s">
        <v>94</v>
      </c>
      <c r="Q2159" t="s">
        <v>95</v>
      </c>
      <c r="R2159" t="s">
        <v>718</v>
      </c>
      <c r="S2159" s="33">
        <v>0.2</v>
      </c>
      <c r="T2159" s="13">
        <v>4.3440000000000003</v>
      </c>
      <c r="U2159" s="13">
        <v>0.86880000000000002</v>
      </c>
      <c r="V2159" s="21">
        <f>Table10[[#This Row],[Profit]]/Table10[[#This Row],[Sales]]</f>
        <v>0.19999999999999998</v>
      </c>
    </row>
    <row r="2160" spans="1:22" x14ac:dyDescent="0.2">
      <c r="A2160">
        <v>2159</v>
      </c>
      <c r="B2160" t="s">
        <v>3820</v>
      </c>
      <c r="C2160" s="1">
        <v>42698</v>
      </c>
      <c r="D2160" s="22">
        <f>MONTH(Table10[[#This Row],[Order Date]])</f>
        <v>11</v>
      </c>
      <c r="E2160" t="s">
        <v>3824</v>
      </c>
      <c r="F2160" t="s">
        <v>3825</v>
      </c>
      <c r="G2160" s="23" t="s">
        <v>64</v>
      </c>
      <c r="H2160" s="23" t="s">
        <v>144</v>
      </c>
      <c r="I2160" t="s">
        <v>3821</v>
      </c>
      <c r="J2160" t="s">
        <v>22</v>
      </c>
      <c r="K2160" s="22">
        <v>2</v>
      </c>
      <c r="L2160" s="1">
        <v>42700</v>
      </c>
      <c r="M2160" s="22">
        <f>Table10[[#This Row],[Ship Date]]-Table10[[#This Row],[Order Date]]</f>
        <v>2</v>
      </c>
      <c r="N2160" t="s">
        <v>20</v>
      </c>
      <c r="O2160" t="s">
        <v>23</v>
      </c>
      <c r="P2160" t="s">
        <v>94</v>
      </c>
      <c r="Q2160" t="s">
        <v>95</v>
      </c>
      <c r="R2160" t="s">
        <v>718</v>
      </c>
      <c r="S2160" s="33">
        <v>0.2</v>
      </c>
      <c r="T2160" s="13">
        <v>94.992000000000004</v>
      </c>
      <c r="U2160" s="13">
        <v>-2.3748</v>
      </c>
      <c r="V2160" s="21">
        <f>Table10[[#This Row],[Profit]]/Table10[[#This Row],[Sales]]</f>
        <v>-2.4999999999999998E-2</v>
      </c>
    </row>
    <row r="2161" spans="1:22" x14ac:dyDescent="0.2">
      <c r="A2161">
        <v>2160</v>
      </c>
      <c r="B2161" t="s">
        <v>3820</v>
      </c>
      <c r="C2161" s="1">
        <v>42698</v>
      </c>
      <c r="D2161" s="22">
        <f>MONTH(Table10[[#This Row],[Order Date]])</f>
        <v>11</v>
      </c>
      <c r="E2161" t="s">
        <v>3826</v>
      </c>
      <c r="F2161" t="s">
        <v>3827</v>
      </c>
      <c r="G2161" s="23" t="s">
        <v>41</v>
      </c>
      <c r="H2161" s="23" t="s">
        <v>82</v>
      </c>
      <c r="I2161" t="s">
        <v>3821</v>
      </c>
      <c r="J2161" t="s">
        <v>22</v>
      </c>
      <c r="K2161" s="22">
        <v>3</v>
      </c>
      <c r="L2161" s="1">
        <v>42700</v>
      </c>
      <c r="M2161" s="22">
        <f>Table10[[#This Row],[Ship Date]]-Table10[[#This Row],[Order Date]]</f>
        <v>2</v>
      </c>
      <c r="N2161" t="s">
        <v>20</v>
      </c>
      <c r="O2161" t="s">
        <v>23</v>
      </c>
      <c r="P2161" t="s">
        <v>94</v>
      </c>
      <c r="Q2161" t="s">
        <v>95</v>
      </c>
      <c r="R2161" t="s">
        <v>718</v>
      </c>
      <c r="S2161" s="33">
        <v>0.2</v>
      </c>
      <c r="T2161" s="13">
        <v>74.352000000000004</v>
      </c>
      <c r="U2161" s="13">
        <v>23.234999999999999</v>
      </c>
      <c r="V2161" s="21">
        <f>Table10[[#This Row],[Profit]]/Table10[[#This Row],[Sales]]</f>
        <v>0.3125</v>
      </c>
    </row>
    <row r="2162" spans="1:22" x14ac:dyDescent="0.2">
      <c r="A2162">
        <v>2161</v>
      </c>
      <c r="B2162" t="s">
        <v>3820</v>
      </c>
      <c r="C2162" s="1">
        <v>42698</v>
      </c>
      <c r="D2162" s="22">
        <f>MONTH(Table10[[#This Row],[Order Date]])</f>
        <v>11</v>
      </c>
      <c r="E2162" t="s">
        <v>2157</v>
      </c>
      <c r="F2162" t="s">
        <v>2158</v>
      </c>
      <c r="G2162" s="23" t="s">
        <v>41</v>
      </c>
      <c r="H2162" s="23" t="s">
        <v>61</v>
      </c>
      <c r="I2162" t="s">
        <v>3821</v>
      </c>
      <c r="J2162" t="s">
        <v>22</v>
      </c>
      <c r="K2162" s="22">
        <v>3</v>
      </c>
      <c r="L2162" s="1">
        <v>42700</v>
      </c>
      <c r="M2162" s="22">
        <f>Table10[[#This Row],[Ship Date]]-Table10[[#This Row],[Order Date]]</f>
        <v>2</v>
      </c>
      <c r="N2162" t="s">
        <v>20</v>
      </c>
      <c r="O2162" t="s">
        <v>23</v>
      </c>
      <c r="P2162" t="s">
        <v>94</v>
      </c>
      <c r="Q2162" t="s">
        <v>95</v>
      </c>
      <c r="R2162" t="s">
        <v>718</v>
      </c>
      <c r="S2162" s="33">
        <v>0.2</v>
      </c>
      <c r="T2162" s="13">
        <v>14.04</v>
      </c>
      <c r="U2162" s="13">
        <v>1.5794999999999999</v>
      </c>
      <c r="V2162" s="21">
        <f>Table10[[#This Row],[Profit]]/Table10[[#This Row],[Sales]]</f>
        <v>0.1125</v>
      </c>
    </row>
    <row r="2163" spans="1:22" x14ac:dyDescent="0.2">
      <c r="A2163">
        <v>2162</v>
      </c>
      <c r="B2163" t="s">
        <v>4161</v>
      </c>
      <c r="C2163" s="1">
        <v>42698</v>
      </c>
      <c r="D2163" s="22">
        <f>MONTH(Table10[[#This Row],[Order Date]])</f>
        <v>11</v>
      </c>
      <c r="E2163" t="s">
        <v>4163</v>
      </c>
      <c r="F2163" t="s">
        <v>4164</v>
      </c>
      <c r="G2163" s="23" t="s">
        <v>41</v>
      </c>
      <c r="H2163" s="23" t="s">
        <v>82</v>
      </c>
      <c r="I2163" t="s">
        <v>1939</v>
      </c>
      <c r="J2163" t="s">
        <v>22</v>
      </c>
      <c r="K2163" s="22">
        <v>1</v>
      </c>
      <c r="L2163" s="1">
        <v>42703</v>
      </c>
      <c r="M2163" s="22">
        <f>Table10[[#This Row],[Ship Date]]-Table10[[#This Row],[Order Date]]</f>
        <v>5</v>
      </c>
      <c r="N2163" t="s">
        <v>45</v>
      </c>
      <c r="O2163" t="s">
        <v>23</v>
      </c>
      <c r="P2163" t="s">
        <v>374</v>
      </c>
      <c r="Q2163" t="s">
        <v>39</v>
      </c>
      <c r="R2163" t="s">
        <v>4162</v>
      </c>
      <c r="S2163" s="33">
        <v>0.2</v>
      </c>
      <c r="T2163" s="13">
        <v>24.783999999999999</v>
      </c>
      <c r="U2163" s="13">
        <v>7.7450000000000001</v>
      </c>
      <c r="V2163" s="21">
        <f>Table10[[#This Row],[Profit]]/Table10[[#This Row],[Sales]]</f>
        <v>0.3125</v>
      </c>
    </row>
    <row r="2164" spans="1:22" x14ac:dyDescent="0.2">
      <c r="A2164">
        <v>2163</v>
      </c>
      <c r="B2164" t="s">
        <v>6003</v>
      </c>
      <c r="C2164" s="1">
        <v>42698</v>
      </c>
      <c r="D2164" s="22">
        <f>MONTH(Table10[[#This Row],[Order Date]])</f>
        <v>11</v>
      </c>
      <c r="E2164" t="s">
        <v>6004</v>
      </c>
      <c r="F2164" t="s">
        <v>6005</v>
      </c>
      <c r="G2164" s="23" t="s">
        <v>64</v>
      </c>
      <c r="H2164" s="23" t="s">
        <v>65</v>
      </c>
      <c r="I2164" t="s">
        <v>5272</v>
      </c>
      <c r="J2164" t="s">
        <v>22</v>
      </c>
      <c r="K2164" s="22">
        <v>6</v>
      </c>
      <c r="L2164" s="1">
        <v>42702</v>
      </c>
      <c r="M2164" s="22">
        <f>Table10[[#This Row],[Ship Date]]-Table10[[#This Row],[Order Date]]</f>
        <v>4</v>
      </c>
      <c r="N2164" t="s">
        <v>45</v>
      </c>
      <c r="O2164" t="s">
        <v>23</v>
      </c>
      <c r="P2164" t="s">
        <v>94</v>
      </c>
      <c r="Q2164" t="s">
        <v>95</v>
      </c>
      <c r="R2164" t="s">
        <v>718</v>
      </c>
      <c r="S2164" s="33">
        <v>0.2</v>
      </c>
      <c r="T2164" s="13">
        <v>657.55200000000002</v>
      </c>
      <c r="U2164" s="13">
        <v>49.316400000000002</v>
      </c>
      <c r="V2164" s="21">
        <f>Table10[[#This Row],[Profit]]/Table10[[#This Row],[Sales]]</f>
        <v>7.4999999999999997E-2</v>
      </c>
    </row>
    <row r="2165" spans="1:22" x14ac:dyDescent="0.2">
      <c r="A2165">
        <v>2164</v>
      </c>
      <c r="B2165" t="s">
        <v>6312</v>
      </c>
      <c r="C2165" s="1">
        <v>42698</v>
      </c>
      <c r="D2165" s="22">
        <f>MONTH(Table10[[#This Row],[Order Date]])</f>
        <v>11</v>
      </c>
      <c r="E2165" t="s">
        <v>2635</v>
      </c>
      <c r="F2165" t="s">
        <v>2636</v>
      </c>
      <c r="G2165" s="23" t="s">
        <v>64</v>
      </c>
      <c r="H2165" s="23" t="s">
        <v>144</v>
      </c>
      <c r="I2165" t="s">
        <v>1024</v>
      </c>
      <c r="J2165" t="s">
        <v>36</v>
      </c>
      <c r="K2165" s="22">
        <v>2</v>
      </c>
      <c r="L2165" s="1">
        <v>42704</v>
      </c>
      <c r="M2165" s="22">
        <f>Table10[[#This Row],[Ship Date]]-Table10[[#This Row],[Order Date]]</f>
        <v>6</v>
      </c>
      <c r="N2165" t="s">
        <v>45</v>
      </c>
      <c r="O2165" t="s">
        <v>23</v>
      </c>
      <c r="P2165" t="s">
        <v>38</v>
      </c>
      <c r="Q2165" t="s">
        <v>39</v>
      </c>
      <c r="R2165" t="s">
        <v>37</v>
      </c>
      <c r="S2165" s="33">
        <v>0</v>
      </c>
      <c r="T2165" s="13">
        <v>659.9</v>
      </c>
      <c r="U2165" s="13">
        <v>217.767</v>
      </c>
      <c r="V2165" s="21">
        <f>Table10[[#This Row],[Profit]]/Table10[[#This Row],[Sales]]</f>
        <v>0.33</v>
      </c>
    </row>
    <row r="2166" spans="1:22" x14ac:dyDescent="0.2">
      <c r="A2166">
        <v>2165</v>
      </c>
      <c r="B2166" t="s">
        <v>6312</v>
      </c>
      <c r="C2166" s="1">
        <v>42698</v>
      </c>
      <c r="D2166" s="22">
        <f>MONTH(Table10[[#This Row],[Order Date]])</f>
        <v>11</v>
      </c>
      <c r="E2166" t="s">
        <v>2249</v>
      </c>
      <c r="F2166" t="s">
        <v>2250</v>
      </c>
      <c r="G2166" s="23" t="s">
        <v>28</v>
      </c>
      <c r="H2166" s="23" t="s">
        <v>32</v>
      </c>
      <c r="I2166" t="s">
        <v>1024</v>
      </c>
      <c r="J2166" t="s">
        <v>36</v>
      </c>
      <c r="K2166" s="22">
        <v>6</v>
      </c>
      <c r="L2166" s="1">
        <v>42704</v>
      </c>
      <c r="M2166" s="22">
        <f>Table10[[#This Row],[Ship Date]]-Table10[[#This Row],[Order Date]]</f>
        <v>6</v>
      </c>
      <c r="N2166" t="s">
        <v>45</v>
      </c>
      <c r="O2166" t="s">
        <v>23</v>
      </c>
      <c r="P2166" t="s">
        <v>38</v>
      </c>
      <c r="Q2166" t="s">
        <v>39</v>
      </c>
      <c r="R2166" t="s">
        <v>37</v>
      </c>
      <c r="S2166" s="33">
        <v>0.2</v>
      </c>
      <c r="T2166" s="13">
        <v>1684.752</v>
      </c>
      <c r="U2166" s="13">
        <v>210.59399999999999</v>
      </c>
      <c r="V2166" s="21">
        <f>Table10[[#This Row],[Profit]]/Table10[[#This Row],[Sales]]</f>
        <v>0.125</v>
      </c>
    </row>
    <row r="2167" spans="1:22" x14ac:dyDescent="0.2">
      <c r="A2167">
        <v>2166</v>
      </c>
      <c r="B2167" t="s">
        <v>6312</v>
      </c>
      <c r="C2167" s="1">
        <v>42698</v>
      </c>
      <c r="D2167" s="22">
        <f>MONTH(Table10[[#This Row],[Order Date]])</f>
        <v>11</v>
      </c>
      <c r="E2167" t="s">
        <v>5739</v>
      </c>
      <c r="F2167" t="s">
        <v>5740</v>
      </c>
      <c r="G2167" s="23" t="s">
        <v>64</v>
      </c>
      <c r="H2167" s="23" t="s">
        <v>144</v>
      </c>
      <c r="I2167" t="s">
        <v>1024</v>
      </c>
      <c r="J2167" t="s">
        <v>36</v>
      </c>
      <c r="K2167" s="22">
        <v>8</v>
      </c>
      <c r="L2167" s="1">
        <v>42704</v>
      </c>
      <c r="M2167" s="22">
        <f>Table10[[#This Row],[Ship Date]]-Table10[[#This Row],[Order Date]]</f>
        <v>6</v>
      </c>
      <c r="N2167" t="s">
        <v>45</v>
      </c>
      <c r="O2167" t="s">
        <v>23</v>
      </c>
      <c r="P2167" t="s">
        <v>38</v>
      </c>
      <c r="Q2167" t="s">
        <v>39</v>
      </c>
      <c r="R2167" t="s">
        <v>37</v>
      </c>
      <c r="S2167" s="33">
        <v>0</v>
      </c>
      <c r="T2167" s="13">
        <v>559.91999999999996</v>
      </c>
      <c r="U2167" s="13">
        <v>190.37280000000001</v>
      </c>
      <c r="V2167" s="21">
        <f>Table10[[#This Row],[Profit]]/Table10[[#This Row],[Sales]]</f>
        <v>0.34</v>
      </c>
    </row>
    <row r="2168" spans="1:22" x14ac:dyDescent="0.2">
      <c r="A2168">
        <v>2167</v>
      </c>
      <c r="B2168" t="s">
        <v>6495</v>
      </c>
      <c r="C2168" s="1">
        <v>42698</v>
      </c>
      <c r="D2168" s="22">
        <f>MONTH(Table10[[#This Row],[Order Date]])</f>
        <v>11</v>
      </c>
      <c r="E2168" t="s">
        <v>1947</v>
      </c>
      <c r="F2168" t="s">
        <v>1948</v>
      </c>
      <c r="G2168" s="23" t="s">
        <v>41</v>
      </c>
      <c r="H2168" s="23" t="s">
        <v>68</v>
      </c>
      <c r="I2168" t="s">
        <v>4173</v>
      </c>
      <c r="J2168" t="s">
        <v>22</v>
      </c>
      <c r="K2168" s="22">
        <v>5</v>
      </c>
      <c r="L2168" s="1">
        <v>42701</v>
      </c>
      <c r="M2168" s="22">
        <f>Table10[[#This Row],[Ship Date]]-Table10[[#This Row],[Order Date]]</f>
        <v>3</v>
      </c>
      <c r="N2168" t="s">
        <v>169</v>
      </c>
      <c r="O2168" t="s">
        <v>23</v>
      </c>
      <c r="P2168" t="s">
        <v>87</v>
      </c>
      <c r="Q2168" t="s">
        <v>39</v>
      </c>
      <c r="R2168" t="s">
        <v>86</v>
      </c>
      <c r="S2168" s="33">
        <v>0.2</v>
      </c>
      <c r="T2168" s="13">
        <v>1219.96</v>
      </c>
      <c r="U2168" s="13">
        <v>381.23750000000001</v>
      </c>
      <c r="V2168" s="21">
        <f>Table10[[#This Row],[Profit]]/Table10[[#This Row],[Sales]]</f>
        <v>0.3125</v>
      </c>
    </row>
    <row r="2169" spans="1:22" x14ac:dyDescent="0.2">
      <c r="A2169">
        <v>2168</v>
      </c>
      <c r="B2169" t="s">
        <v>6635</v>
      </c>
      <c r="C2169" s="1">
        <v>42698</v>
      </c>
      <c r="D2169" s="22">
        <f>MONTH(Table10[[#This Row],[Order Date]])</f>
        <v>11</v>
      </c>
      <c r="E2169" t="s">
        <v>2358</v>
      </c>
      <c r="F2169" t="s">
        <v>2359</v>
      </c>
      <c r="G2169" s="23" t="s">
        <v>28</v>
      </c>
      <c r="H2169" s="23" t="s">
        <v>58</v>
      </c>
      <c r="I2169" t="s">
        <v>1190</v>
      </c>
      <c r="J2169" t="s">
        <v>36</v>
      </c>
      <c r="K2169" s="22">
        <v>4</v>
      </c>
      <c r="L2169" s="1">
        <v>42701</v>
      </c>
      <c r="M2169" s="22">
        <f>Table10[[#This Row],[Ship Date]]-Table10[[#This Row],[Order Date]]</f>
        <v>3</v>
      </c>
      <c r="N2169" t="s">
        <v>20</v>
      </c>
      <c r="O2169" t="s">
        <v>23</v>
      </c>
      <c r="P2169" t="s">
        <v>2408</v>
      </c>
      <c r="Q2169" t="s">
        <v>133</v>
      </c>
      <c r="R2169" t="s">
        <v>3967</v>
      </c>
      <c r="S2169" s="33">
        <v>0</v>
      </c>
      <c r="T2169" s="13">
        <v>207.76</v>
      </c>
      <c r="U2169" s="13">
        <v>85.181600000000003</v>
      </c>
      <c r="V2169" s="21">
        <f>Table10[[#This Row],[Profit]]/Table10[[#This Row],[Sales]]</f>
        <v>0.41000000000000003</v>
      </c>
    </row>
    <row r="2170" spans="1:22" x14ac:dyDescent="0.2">
      <c r="A2170">
        <v>2169</v>
      </c>
      <c r="B2170" t="s">
        <v>7668</v>
      </c>
      <c r="C2170" s="1">
        <v>42698</v>
      </c>
      <c r="D2170" s="22">
        <f>MONTH(Table10[[#This Row],[Order Date]])</f>
        <v>11</v>
      </c>
      <c r="E2170" t="s">
        <v>2130</v>
      </c>
      <c r="F2170" t="s">
        <v>2131</v>
      </c>
      <c r="G2170" s="23" t="s">
        <v>41</v>
      </c>
      <c r="H2170" s="23" t="s">
        <v>155</v>
      </c>
      <c r="I2170" t="s">
        <v>2982</v>
      </c>
      <c r="J2170" t="s">
        <v>92</v>
      </c>
      <c r="K2170" s="22">
        <v>3</v>
      </c>
      <c r="L2170" s="1">
        <v>42700</v>
      </c>
      <c r="M2170" s="22">
        <f>Table10[[#This Row],[Ship Date]]-Table10[[#This Row],[Order Date]]</f>
        <v>2</v>
      </c>
      <c r="N2170" t="s">
        <v>169</v>
      </c>
      <c r="O2170" t="s">
        <v>23</v>
      </c>
      <c r="P2170" t="s">
        <v>441</v>
      </c>
      <c r="Q2170" t="s">
        <v>133</v>
      </c>
      <c r="R2170" t="s">
        <v>1920</v>
      </c>
      <c r="S2170" s="33">
        <v>0.2</v>
      </c>
      <c r="T2170" s="13">
        <v>40.752000000000002</v>
      </c>
      <c r="U2170" s="13">
        <v>15.282</v>
      </c>
      <c r="V2170" s="21">
        <f>Table10[[#This Row],[Profit]]/Table10[[#This Row],[Sales]]</f>
        <v>0.375</v>
      </c>
    </row>
    <row r="2171" spans="1:22" x14ac:dyDescent="0.2">
      <c r="A2171">
        <v>2170</v>
      </c>
      <c r="B2171" t="s">
        <v>7668</v>
      </c>
      <c r="C2171" s="1">
        <v>42698</v>
      </c>
      <c r="D2171" s="22">
        <f>MONTH(Table10[[#This Row],[Order Date]])</f>
        <v>11</v>
      </c>
      <c r="E2171" t="s">
        <v>3743</v>
      </c>
      <c r="F2171" t="s">
        <v>3744</v>
      </c>
      <c r="G2171" s="23" t="s">
        <v>64</v>
      </c>
      <c r="H2171" s="23" t="s">
        <v>144</v>
      </c>
      <c r="I2171" t="s">
        <v>2982</v>
      </c>
      <c r="J2171" t="s">
        <v>92</v>
      </c>
      <c r="K2171" s="22">
        <v>5</v>
      </c>
      <c r="L2171" s="1">
        <v>42700</v>
      </c>
      <c r="M2171" s="22">
        <f>Table10[[#This Row],[Ship Date]]-Table10[[#This Row],[Order Date]]</f>
        <v>2</v>
      </c>
      <c r="N2171" t="s">
        <v>169</v>
      </c>
      <c r="O2171" t="s">
        <v>23</v>
      </c>
      <c r="P2171" t="s">
        <v>441</v>
      </c>
      <c r="Q2171" t="s">
        <v>133</v>
      </c>
      <c r="R2171" t="s">
        <v>1920</v>
      </c>
      <c r="S2171" s="33">
        <v>0.2</v>
      </c>
      <c r="T2171" s="13">
        <v>139.96</v>
      </c>
      <c r="U2171" s="13">
        <v>-22.743500000000001</v>
      </c>
      <c r="V2171" s="21">
        <f>Table10[[#This Row],[Profit]]/Table10[[#This Row],[Sales]]</f>
        <v>-0.16250000000000001</v>
      </c>
    </row>
    <row r="2172" spans="1:22" x14ac:dyDescent="0.2">
      <c r="A2172">
        <v>2171</v>
      </c>
      <c r="B2172" t="s">
        <v>8003</v>
      </c>
      <c r="C2172" s="1">
        <v>42698</v>
      </c>
      <c r="D2172" s="22">
        <f>MONTH(Table10[[#This Row],[Order Date]])</f>
        <v>11</v>
      </c>
      <c r="E2172" t="s">
        <v>6118</v>
      </c>
      <c r="F2172" t="s">
        <v>6119</v>
      </c>
      <c r="G2172" s="23" t="s">
        <v>41</v>
      </c>
      <c r="H2172" s="23" t="s">
        <v>513</v>
      </c>
      <c r="I2172" t="s">
        <v>4868</v>
      </c>
      <c r="J2172" t="s">
        <v>92</v>
      </c>
      <c r="K2172" s="22">
        <v>3</v>
      </c>
      <c r="L2172" s="1">
        <v>42702</v>
      </c>
      <c r="M2172" s="22">
        <f>Table10[[#This Row],[Ship Date]]-Table10[[#This Row],[Order Date]]</f>
        <v>4</v>
      </c>
      <c r="N2172" t="s">
        <v>45</v>
      </c>
      <c r="O2172" t="s">
        <v>23</v>
      </c>
      <c r="P2172" t="s">
        <v>87</v>
      </c>
      <c r="Q2172" t="s">
        <v>39</v>
      </c>
      <c r="R2172" t="s">
        <v>3636</v>
      </c>
      <c r="S2172" s="33">
        <v>0</v>
      </c>
      <c r="T2172" s="13">
        <v>25.35</v>
      </c>
      <c r="U2172" s="13">
        <v>7.6050000000000004</v>
      </c>
      <c r="V2172" s="21">
        <f>Table10[[#This Row],[Profit]]/Table10[[#This Row],[Sales]]</f>
        <v>0.3</v>
      </c>
    </row>
    <row r="2173" spans="1:22" x14ac:dyDescent="0.2">
      <c r="A2173">
        <v>2172</v>
      </c>
      <c r="B2173" t="s">
        <v>9206</v>
      </c>
      <c r="C2173" s="1">
        <v>42698</v>
      </c>
      <c r="D2173" s="22">
        <f>MONTH(Table10[[#This Row],[Order Date]])</f>
        <v>11</v>
      </c>
      <c r="E2173" t="s">
        <v>3098</v>
      </c>
      <c r="F2173" t="s">
        <v>3099</v>
      </c>
      <c r="G2173" s="23" t="s">
        <v>28</v>
      </c>
      <c r="H2173" s="23" t="s">
        <v>58</v>
      </c>
      <c r="I2173" t="s">
        <v>5225</v>
      </c>
      <c r="J2173" t="s">
        <v>92</v>
      </c>
      <c r="K2173" s="22">
        <v>3</v>
      </c>
      <c r="L2173" s="1">
        <v>42705</v>
      </c>
      <c r="M2173" s="22">
        <f>Table10[[#This Row],[Ship Date]]-Table10[[#This Row],[Order Date]]</f>
        <v>7</v>
      </c>
      <c r="N2173" t="s">
        <v>45</v>
      </c>
      <c r="O2173" t="s">
        <v>23</v>
      </c>
      <c r="P2173" t="s">
        <v>87</v>
      </c>
      <c r="Q2173" t="s">
        <v>39</v>
      </c>
      <c r="R2173" t="s">
        <v>86</v>
      </c>
      <c r="S2173" s="33">
        <v>0</v>
      </c>
      <c r="T2173" s="13">
        <v>82.26</v>
      </c>
      <c r="U2173" s="13">
        <v>33.726599999999998</v>
      </c>
      <c r="V2173" s="21">
        <f>Table10[[#This Row],[Profit]]/Table10[[#This Row],[Sales]]</f>
        <v>0.40999999999999992</v>
      </c>
    </row>
    <row r="2174" spans="1:22" x14ac:dyDescent="0.2">
      <c r="A2174">
        <v>2173</v>
      </c>
      <c r="B2174" t="s">
        <v>10041</v>
      </c>
      <c r="C2174" s="1">
        <v>42698</v>
      </c>
      <c r="D2174" s="22">
        <f>MONTH(Table10[[#This Row],[Order Date]])</f>
        <v>11</v>
      </c>
      <c r="E2174" t="s">
        <v>2072</v>
      </c>
      <c r="F2174" t="s">
        <v>2073</v>
      </c>
      <c r="G2174" s="23" t="s">
        <v>28</v>
      </c>
      <c r="H2174" s="23" t="s">
        <v>29</v>
      </c>
      <c r="I2174" t="s">
        <v>2465</v>
      </c>
      <c r="J2174" t="s">
        <v>92</v>
      </c>
      <c r="K2174" s="22">
        <v>5</v>
      </c>
      <c r="L2174" s="1">
        <v>42704</v>
      </c>
      <c r="M2174" s="22">
        <f>Table10[[#This Row],[Ship Date]]-Table10[[#This Row],[Order Date]]</f>
        <v>6</v>
      </c>
      <c r="N2174" t="s">
        <v>45</v>
      </c>
      <c r="O2174" t="s">
        <v>23</v>
      </c>
      <c r="P2174" t="s">
        <v>48</v>
      </c>
      <c r="Q2174" t="s">
        <v>26</v>
      </c>
      <c r="R2174" t="s">
        <v>2050</v>
      </c>
      <c r="S2174" s="33">
        <v>0.2</v>
      </c>
      <c r="T2174" s="13">
        <v>339.92</v>
      </c>
      <c r="U2174" s="13">
        <v>8.4979999999999993</v>
      </c>
      <c r="V2174" s="21">
        <f>Table10[[#This Row],[Profit]]/Table10[[#This Row],[Sales]]</f>
        <v>2.4999999999999998E-2</v>
      </c>
    </row>
    <row r="2175" spans="1:22" x14ac:dyDescent="0.2">
      <c r="A2175">
        <v>2174</v>
      </c>
      <c r="B2175" t="s">
        <v>10041</v>
      </c>
      <c r="C2175" s="1">
        <v>42698</v>
      </c>
      <c r="D2175" s="22">
        <f>MONTH(Table10[[#This Row],[Order Date]])</f>
        <v>11</v>
      </c>
      <c r="E2175" t="s">
        <v>3979</v>
      </c>
      <c r="F2175" t="s">
        <v>3980</v>
      </c>
      <c r="G2175" s="23" t="s">
        <v>41</v>
      </c>
      <c r="H2175" s="23" t="s">
        <v>82</v>
      </c>
      <c r="I2175" t="s">
        <v>2465</v>
      </c>
      <c r="J2175" t="s">
        <v>92</v>
      </c>
      <c r="K2175" s="22">
        <v>4</v>
      </c>
      <c r="L2175" s="1">
        <v>42704</v>
      </c>
      <c r="M2175" s="22">
        <f>Table10[[#This Row],[Ship Date]]-Table10[[#This Row],[Order Date]]</f>
        <v>6</v>
      </c>
      <c r="N2175" t="s">
        <v>45</v>
      </c>
      <c r="O2175" t="s">
        <v>23</v>
      </c>
      <c r="P2175" t="s">
        <v>48</v>
      </c>
      <c r="Q2175" t="s">
        <v>26</v>
      </c>
      <c r="R2175" t="s">
        <v>2050</v>
      </c>
      <c r="S2175" s="33">
        <v>0.2</v>
      </c>
      <c r="T2175" s="13">
        <v>10.528</v>
      </c>
      <c r="U2175" s="13">
        <v>3.4216000000000002</v>
      </c>
      <c r="V2175" s="21">
        <f>Table10[[#This Row],[Profit]]/Table10[[#This Row],[Sales]]</f>
        <v>0.32500000000000001</v>
      </c>
    </row>
    <row r="2176" spans="1:22" x14ac:dyDescent="0.2">
      <c r="A2176">
        <v>2175</v>
      </c>
      <c r="B2176" t="s">
        <v>10041</v>
      </c>
      <c r="C2176" s="1">
        <v>42698</v>
      </c>
      <c r="D2176" s="22">
        <f>MONTH(Table10[[#This Row],[Order Date]])</f>
        <v>11</v>
      </c>
      <c r="E2176" t="s">
        <v>4606</v>
      </c>
      <c r="F2176" t="s">
        <v>4607</v>
      </c>
      <c r="G2176" s="23" t="s">
        <v>41</v>
      </c>
      <c r="H2176" s="23" t="s">
        <v>71</v>
      </c>
      <c r="I2176" t="s">
        <v>2465</v>
      </c>
      <c r="J2176" t="s">
        <v>92</v>
      </c>
      <c r="K2176" s="22">
        <v>2</v>
      </c>
      <c r="L2176" s="1">
        <v>42704</v>
      </c>
      <c r="M2176" s="22">
        <f>Table10[[#This Row],[Ship Date]]-Table10[[#This Row],[Order Date]]</f>
        <v>6</v>
      </c>
      <c r="N2176" t="s">
        <v>45</v>
      </c>
      <c r="O2176" t="s">
        <v>23</v>
      </c>
      <c r="P2176" t="s">
        <v>48</v>
      </c>
      <c r="Q2176" t="s">
        <v>26</v>
      </c>
      <c r="R2176" t="s">
        <v>2050</v>
      </c>
      <c r="S2176" s="33">
        <v>0.2</v>
      </c>
      <c r="T2176" s="13">
        <v>42.384</v>
      </c>
      <c r="U2176" s="13">
        <v>4.2384000000000004</v>
      </c>
      <c r="V2176" s="21">
        <f>Table10[[#This Row],[Profit]]/Table10[[#This Row],[Sales]]</f>
        <v>0.1</v>
      </c>
    </row>
    <row r="2177" spans="1:22" x14ac:dyDescent="0.2">
      <c r="A2177">
        <v>2176</v>
      </c>
      <c r="B2177" t="s">
        <v>5954</v>
      </c>
      <c r="C2177" s="1">
        <v>42699</v>
      </c>
      <c r="D2177" s="22">
        <f>MONTH(Table10[[#This Row],[Order Date]])</f>
        <v>11</v>
      </c>
      <c r="E2177" t="s">
        <v>294</v>
      </c>
      <c r="F2177" t="s">
        <v>295</v>
      </c>
      <c r="G2177" s="23" t="s">
        <v>41</v>
      </c>
      <c r="H2177" s="23" t="s">
        <v>82</v>
      </c>
      <c r="I2177" t="s">
        <v>5955</v>
      </c>
      <c r="J2177" t="s">
        <v>92</v>
      </c>
      <c r="K2177" s="22">
        <v>1</v>
      </c>
      <c r="L2177" s="1">
        <v>42704</v>
      </c>
      <c r="M2177" s="22">
        <f>Table10[[#This Row],[Ship Date]]-Table10[[#This Row],[Order Date]]</f>
        <v>5</v>
      </c>
      <c r="N2177" t="s">
        <v>45</v>
      </c>
      <c r="O2177" t="s">
        <v>23</v>
      </c>
      <c r="P2177" t="s">
        <v>48</v>
      </c>
      <c r="Q2177" t="s">
        <v>26</v>
      </c>
      <c r="R2177" t="s">
        <v>1345</v>
      </c>
      <c r="S2177" s="33">
        <v>0.2</v>
      </c>
      <c r="T2177" s="13">
        <v>5.08</v>
      </c>
      <c r="U2177" s="13">
        <v>1.651</v>
      </c>
      <c r="V2177" s="21">
        <f>Table10[[#This Row],[Profit]]/Table10[[#This Row],[Sales]]</f>
        <v>0.32500000000000001</v>
      </c>
    </row>
    <row r="2178" spans="1:22" x14ac:dyDescent="0.2">
      <c r="A2178">
        <v>2177</v>
      </c>
      <c r="B2178" t="s">
        <v>8193</v>
      </c>
      <c r="C2178" s="1">
        <v>42699</v>
      </c>
      <c r="D2178" s="22">
        <f>MONTH(Table10[[#This Row],[Order Date]])</f>
        <v>11</v>
      </c>
      <c r="E2178" t="s">
        <v>1464</v>
      </c>
      <c r="F2178" t="s">
        <v>1465</v>
      </c>
      <c r="G2178" s="23" t="s">
        <v>41</v>
      </c>
      <c r="H2178" s="23" t="s">
        <v>53</v>
      </c>
      <c r="I2178" t="s">
        <v>7788</v>
      </c>
      <c r="J2178" t="s">
        <v>36</v>
      </c>
      <c r="K2178" s="22">
        <v>4</v>
      </c>
      <c r="L2178" s="1">
        <v>42704</v>
      </c>
      <c r="M2178" s="22">
        <f>Table10[[#This Row],[Ship Date]]-Table10[[#This Row],[Order Date]]</f>
        <v>5</v>
      </c>
      <c r="N2178" t="s">
        <v>45</v>
      </c>
      <c r="O2178" t="s">
        <v>23</v>
      </c>
      <c r="P2178" t="s">
        <v>695</v>
      </c>
      <c r="Q2178" t="s">
        <v>133</v>
      </c>
      <c r="R2178" t="s">
        <v>1874</v>
      </c>
      <c r="S2178" s="33">
        <v>0</v>
      </c>
      <c r="T2178" s="13">
        <v>563.4</v>
      </c>
      <c r="U2178" s="13">
        <v>67.608000000000004</v>
      </c>
      <c r="V2178" s="21">
        <f>Table10[[#This Row],[Profit]]/Table10[[#This Row],[Sales]]</f>
        <v>0.12000000000000001</v>
      </c>
    </row>
    <row r="2179" spans="1:22" x14ac:dyDescent="0.2">
      <c r="A2179">
        <v>2178</v>
      </c>
      <c r="B2179" t="s">
        <v>8193</v>
      </c>
      <c r="C2179" s="1">
        <v>42699</v>
      </c>
      <c r="D2179" s="22">
        <f>MONTH(Table10[[#This Row],[Order Date]])</f>
        <v>11</v>
      </c>
      <c r="E2179" t="s">
        <v>8194</v>
      </c>
      <c r="F2179" t="s">
        <v>8195</v>
      </c>
      <c r="G2179" s="23" t="s">
        <v>64</v>
      </c>
      <c r="H2179" s="23" t="s">
        <v>602</v>
      </c>
      <c r="I2179" t="s">
        <v>7788</v>
      </c>
      <c r="J2179" t="s">
        <v>36</v>
      </c>
      <c r="K2179" s="22">
        <v>8</v>
      </c>
      <c r="L2179" s="1">
        <v>42704</v>
      </c>
      <c r="M2179" s="22">
        <f>Table10[[#This Row],[Ship Date]]-Table10[[#This Row],[Order Date]]</f>
        <v>5</v>
      </c>
      <c r="N2179" t="s">
        <v>45</v>
      </c>
      <c r="O2179" t="s">
        <v>23</v>
      </c>
      <c r="P2179" t="s">
        <v>695</v>
      </c>
      <c r="Q2179" t="s">
        <v>133</v>
      </c>
      <c r="R2179" t="s">
        <v>1874</v>
      </c>
      <c r="S2179" s="33">
        <v>0</v>
      </c>
      <c r="T2179" s="13">
        <v>319.92</v>
      </c>
      <c r="U2179" s="13">
        <v>118.3704</v>
      </c>
      <c r="V2179" s="21">
        <f>Table10[[#This Row],[Profit]]/Table10[[#This Row],[Sales]]</f>
        <v>0.37</v>
      </c>
    </row>
    <row r="2180" spans="1:22" x14ac:dyDescent="0.2">
      <c r="A2180">
        <v>2179</v>
      </c>
      <c r="B2180" t="s">
        <v>8441</v>
      </c>
      <c r="C2180" s="1">
        <v>42699</v>
      </c>
      <c r="D2180" s="22">
        <f>MONTH(Table10[[#This Row],[Order Date]])</f>
        <v>11</v>
      </c>
      <c r="E2180" t="s">
        <v>3434</v>
      </c>
      <c r="F2180" t="s">
        <v>3435</v>
      </c>
      <c r="G2180" s="23" t="s">
        <v>64</v>
      </c>
      <c r="H2180" s="23" t="s">
        <v>65</v>
      </c>
      <c r="I2180" t="s">
        <v>1617</v>
      </c>
      <c r="J2180" t="s">
        <v>22</v>
      </c>
      <c r="K2180" s="22">
        <v>2</v>
      </c>
      <c r="L2180" s="1">
        <v>42702</v>
      </c>
      <c r="M2180" s="22">
        <f>Table10[[#This Row],[Ship Date]]-Table10[[#This Row],[Order Date]]</f>
        <v>3</v>
      </c>
      <c r="N2180" t="s">
        <v>169</v>
      </c>
      <c r="O2180" t="s">
        <v>23</v>
      </c>
      <c r="P2180" t="s">
        <v>1510</v>
      </c>
      <c r="Q2180" t="s">
        <v>26</v>
      </c>
      <c r="R2180" t="s">
        <v>2875</v>
      </c>
      <c r="S2180" s="33">
        <v>0</v>
      </c>
      <c r="T2180" s="13">
        <v>59.98</v>
      </c>
      <c r="U2180" s="13">
        <v>17.994</v>
      </c>
      <c r="V2180" s="21">
        <f>Table10[[#This Row],[Profit]]/Table10[[#This Row],[Sales]]</f>
        <v>0.3</v>
      </c>
    </row>
    <row r="2181" spans="1:22" x14ac:dyDescent="0.2">
      <c r="A2181">
        <v>2180</v>
      </c>
      <c r="B2181" t="s">
        <v>8823</v>
      </c>
      <c r="C2181" s="1">
        <v>42699</v>
      </c>
      <c r="D2181" s="22">
        <f>MONTH(Table10[[#This Row],[Order Date]])</f>
        <v>11</v>
      </c>
      <c r="E2181" t="s">
        <v>2112</v>
      </c>
      <c r="F2181" t="s">
        <v>2113</v>
      </c>
      <c r="G2181" s="23" t="s">
        <v>28</v>
      </c>
      <c r="H2181" s="23" t="s">
        <v>50</v>
      </c>
      <c r="I2181" t="s">
        <v>1355</v>
      </c>
      <c r="J2181" t="s">
        <v>36</v>
      </c>
      <c r="K2181" s="22">
        <v>9</v>
      </c>
      <c r="L2181" s="1">
        <v>42703</v>
      </c>
      <c r="M2181" s="22">
        <f>Table10[[#This Row],[Ship Date]]-Table10[[#This Row],[Order Date]]</f>
        <v>4</v>
      </c>
      <c r="N2181" t="s">
        <v>45</v>
      </c>
      <c r="O2181" t="s">
        <v>23</v>
      </c>
      <c r="P2181" t="s">
        <v>212</v>
      </c>
      <c r="Q2181" t="s">
        <v>95</v>
      </c>
      <c r="R2181" t="s">
        <v>293</v>
      </c>
      <c r="S2181" s="33">
        <v>0</v>
      </c>
      <c r="T2181" s="13">
        <v>1568.61</v>
      </c>
      <c r="U2181" s="13">
        <v>329.40809999999999</v>
      </c>
      <c r="V2181" s="21">
        <f>Table10[[#This Row],[Profit]]/Table10[[#This Row],[Sales]]</f>
        <v>0.21000000000000002</v>
      </c>
    </row>
    <row r="2182" spans="1:22" x14ac:dyDescent="0.2">
      <c r="A2182">
        <v>2181</v>
      </c>
      <c r="B2182" t="s">
        <v>8823</v>
      </c>
      <c r="C2182" s="1">
        <v>42699</v>
      </c>
      <c r="D2182" s="22">
        <f>MONTH(Table10[[#This Row],[Order Date]])</f>
        <v>11</v>
      </c>
      <c r="E2182" t="s">
        <v>594</v>
      </c>
      <c r="F2182" t="s">
        <v>595</v>
      </c>
      <c r="G2182" s="23" t="s">
        <v>41</v>
      </c>
      <c r="H2182" s="23" t="s">
        <v>68</v>
      </c>
      <c r="I2182" t="s">
        <v>1355</v>
      </c>
      <c r="J2182" t="s">
        <v>36</v>
      </c>
      <c r="K2182" s="22">
        <v>1</v>
      </c>
      <c r="L2182" s="1">
        <v>42703</v>
      </c>
      <c r="M2182" s="22">
        <f>Table10[[#This Row],[Ship Date]]-Table10[[#This Row],[Order Date]]</f>
        <v>4</v>
      </c>
      <c r="N2182" t="s">
        <v>45</v>
      </c>
      <c r="O2182" t="s">
        <v>23</v>
      </c>
      <c r="P2182" t="s">
        <v>212</v>
      </c>
      <c r="Q2182" t="s">
        <v>95</v>
      </c>
      <c r="R2182" t="s">
        <v>293</v>
      </c>
      <c r="S2182" s="33">
        <v>0</v>
      </c>
      <c r="T2182" s="13">
        <v>17.3</v>
      </c>
      <c r="U2182" s="13">
        <v>8.3040000000000003</v>
      </c>
      <c r="V2182" s="21">
        <f>Table10[[#This Row],[Profit]]/Table10[[#This Row],[Sales]]</f>
        <v>0.48</v>
      </c>
    </row>
    <row r="2183" spans="1:22" x14ac:dyDescent="0.2">
      <c r="A2183">
        <v>2182</v>
      </c>
      <c r="B2183" t="s">
        <v>8823</v>
      </c>
      <c r="C2183" s="1">
        <v>42699</v>
      </c>
      <c r="D2183" s="22">
        <f>MONTH(Table10[[#This Row],[Order Date]])</f>
        <v>11</v>
      </c>
      <c r="E2183" t="s">
        <v>8824</v>
      </c>
      <c r="F2183" t="s">
        <v>8825</v>
      </c>
      <c r="G2183" s="23" t="s">
        <v>64</v>
      </c>
      <c r="H2183" s="23" t="s">
        <v>144</v>
      </c>
      <c r="I2183" t="s">
        <v>1355</v>
      </c>
      <c r="J2183" t="s">
        <v>36</v>
      </c>
      <c r="K2183" s="22">
        <v>8</v>
      </c>
      <c r="L2183" s="1">
        <v>42703</v>
      </c>
      <c r="M2183" s="22">
        <f>Table10[[#This Row],[Ship Date]]-Table10[[#This Row],[Order Date]]</f>
        <v>4</v>
      </c>
      <c r="N2183" t="s">
        <v>45</v>
      </c>
      <c r="O2183" t="s">
        <v>23</v>
      </c>
      <c r="P2183" t="s">
        <v>212</v>
      </c>
      <c r="Q2183" t="s">
        <v>95</v>
      </c>
      <c r="R2183" t="s">
        <v>293</v>
      </c>
      <c r="S2183" s="33">
        <v>0</v>
      </c>
      <c r="T2183" s="13">
        <v>160</v>
      </c>
      <c r="U2183" s="13">
        <v>62.4</v>
      </c>
      <c r="V2183" s="21">
        <f>Table10[[#This Row],[Profit]]/Table10[[#This Row],[Sales]]</f>
        <v>0.39</v>
      </c>
    </row>
    <row r="2184" spans="1:22" x14ac:dyDescent="0.2">
      <c r="A2184">
        <v>2183</v>
      </c>
      <c r="B2184" t="s">
        <v>8880</v>
      </c>
      <c r="C2184" s="1">
        <v>42699</v>
      </c>
      <c r="D2184" s="22">
        <f>MONTH(Table10[[#This Row],[Order Date]])</f>
        <v>11</v>
      </c>
      <c r="E2184" t="s">
        <v>2370</v>
      </c>
      <c r="F2184" t="s">
        <v>2371</v>
      </c>
      <c r="G2184" s="23" t="s">
        <v>41</v>
      </c>
      <c r="H2184" s="23" t="s">
        <v>68</v>
      </c>
      <c r="I2184" t="s">
        <v>3501</v>
      </c>
      <c r="J2184" t="s">
        <v>22</v>
      </c>
      <c r="K2184" s="22">
        <v>2</v>
      </c>
      <c r="L2184" s="1">
        <v>42706</v>
      </c>
      <c r="M2184" s="22">
        <f>Table10[[#This Row],[Ship Date]]-Table10[[#This Row],[Order Date]]</f>
        <v>7</v>
      </c>
      <c r="N2184" t="s">
        <v>45</v>
      </c>
      <c r="O2184" t="s">
        <v>23</v>
      </c>
      <c r="P2184" t="s">
        <v>441</v>
      </c>
      <c r="Q2184" t="s">
        <v>133</v>
      </c>
      <c r="R2184" t="s">
        <v>2174</v>
      </c>
      <c r="S2184" s="33">
        <v>0.7</v>
      </c>
      <c r="T2184" s="13">
        <v>456.58800000000002</v>
      </c>
      <c r="U2184" s="13">
        <v>-304.392</v>
      </c>
      <c r="V2184" s="21">
        <f>Table10[[#This Row],[Profit]]/Table10[[#This Row],[Sales]]</f>
        <v>-0.66666666666666663</v>
      </c>
    </row>
    <row r="2185" spans="1:22" x14ac:dyDescent="0.2">
      <c r="A2185">
        <v>2184</v>
      </c>
      <c r="B2185" t="s">
        <v>8880</v>
      </c>
      <c r="C2185" s="1">
        <v>42699</v>
      </c>
      <c r="D2185" s="22">
        <f>MONTH(Table10[[#This Row],[Order Date]])</f>
        <v>11</v>
      </c>
      <c r="E2185" t="s">
        <v>5679</v>
      </c>
      <c r="F2185" t="s">
        <v>5680</v>
      </c>
      <c r="G2185" s="23" t="s">
        <v>64</v>
      </c>
      <c r="H2185" s="23" t="s">
        <v>602</v>
      </c>
      <c r="I2185" t="s">
        <v>3501</v>
      </c>
      <c r="J2185" t="s">
        <v>22</v>
      </c>
      <c r="K2185" s="22">
        <v>5</v>
      </c>
      <c r="L2185" s="1">
        <v>42706</v>
      </c>
      <c r="M2185" s="22">
        <f>Table10[[#This Row],[Ship Date]]-Table10[[#This Row],[Order Date]]</f>
        <v>7</v>
      </c>
      <c r="N2185" t="s">
        <v>45</v>
      </c>
      <c r="O2185" t="s">
        <v>23</v>
      </c>
      <c r="P2185" t="s">
        <v>441</v>
      </c>
      <c r="Q2185" t="s">
        <v>133</v>
      </c>
      <c r="R2185" t="s">
        <v>2174</v>
      </c>
      <c r="S2185" s="33">
        <v>0.7</v>
      </c>
      <c r="T2185" s="13">
        <v>4499.9849999999997</v>
      </c>
      <c r="U2185" s="13">
        <v>-6599.9780000000001</v>
      </c>
      <c r="V2185" s="21">
        <f>Table10[[#This Row],[Profit]]/Table10[[#This Row],[Sales]]</f>
        <v>-1.4666666666666668</v>
      </c>
    </row>
    <row r="2186" spans="1:22" x14ac:dyDescent="0.2">
      <c r="A2186">
        <v>2185</v>
      </c>
      <c r="B2186" t="s">
        <v>8880</v>
      </c>
      <c r="C2186" s="1">
        <v>42699</v>
      </c>
      <c r="D2186" s="22">
        <f>MONTH(Table10[[#This Row],[Order Date]])</f>
        <v>11</v>
      </c>
      <c r="E2186" t="s">
        <v>8881</v>
      </c>
      <c r="F2186" t="s">
        <v>8882</v>
      </c>
      <c r="G2186" s="23" t="s">
        <v>64</v>
      </c>
      <c r="H2186" s="23" t="s">
        <v>144</v>
      </c>
      <c r="I2186" t="s">
        <v>3501</v>
      </c>
      <c r="J2186" t="s">
        <v>22</v>
      </c>
      <c r="K2186" s="22">
        <v>3</v>
      </c>
      <c r="L2186" s="1">
        <v>42706</v>
      </c>
      <c r="M2186" s="22">
        <f>Table10[[#This Row],[Ship Date]]-Table10[[#This Row],[Order Date]]</f>
        <v>7</v>
      </c>
      <c r="N2186" t="s">
        <v>45</v>
      </c>
      <c r="O2186" t="s">
        <v>23</v>
      </c>
      <c r="P2186" t="s">
        <v>441</v>
      </c>
      <c r="Q2186" t="s">
        <v>133</v>
      </c>
      <c r="R2186" t="s">
        <v>2174</v>
      </c>
      <c r="S2186" s="33">
        <v>0.2</v>
      </c>
      <c r="T2186" s="13">
        <v>59.975999999999999</v>
      </c>
      <c r="U2186" s="13">
        <v>11.995200000000001</v>
      </c>
      <c r="V2186" s="21">
        <f>Table10[[#This Row],[Profit]]/Table10[[#This Row],[Sales]]</f>
        <v>0.2</v>
      </c>
    </row>
    <row r="2187" spans="1:22" x14ac:dyDescent="0.2">
      <c r="A2187">
        <v>2186</v>
      </c>
      <c r="B2187" t="s">
        <v>9190</v>
      </c>
      <c r="C2187" s="1">
        <v>42699</v>
      </c>
      <c r="D2187" s="22">
        <f>MONTH(Table10[[#This Row],[Order Date]])</f>
        <v>11</v>
      </c>
      <c r="E2187" t="s">
        <v>1614</v>
      </c>
      <c r="F2187" t="s">
        <v>1615</v>
      </c>
      <c r="G2187" s="23" t="s">
        <v>41</v>
      </c>
      <c r="H2187" s="23" t="s">
        <v>53</v>
      </c>
      <c r="I2187" t="s">
        <v>1997</v>
      </c>
      <c r="J2187" t="s">
        <v>22</v>
      </c>
      <c r="K2187" s="22">
        <v>7</v>
      </c>
      <c r="L2187" s="1">
        <v>42704</v>
      </c>
      <c r="M2187" s="22">
        <f>Table10[[#This Row],[Ship Date]]-Table10[[#This Row],[Order Date]]</f>
        <v>5</v>
      </c>
      <c r="N2187" t="s">
        <v>45</v>
      </c>
      <c r="O2187" t="s">
        <v>23</v>
      </c>
      <c r="P2187" t="s">
        <v>320</v>
      </c>
      <c r="Q2187" t="s">
        <v>26</v>
      </c>
      <c r="R2187" t="s">
        <v>1488</v>
      </c>
      <c r="S2187" s="33">
        <v>0</v>
      </c>
      <c r="T2187" s="13">
        <v>73.36</v>
      </c>
      <c r="U2187" s="13">
        <v>19.807200000000002</v>
      </c>
      <c r="V2187" s="21">
        <f>Table10[[#This Row],[Profit]]/Table10[[#This Row],[Sales]]</f>
        <v>0.27</v>
      </c>
    </row>
    <row r="2188" spans="1:22" x14ac:dyDescent="0.2">
      <c r="A2188">
        <v>2187</v>
      </c>
      <c r="B2188" t="s">
        <v>9376</v>
      </c>
      <c r="C2188" s="1">
        <v>42699</v>
      </c>
      <c r="D2188" s="22">
        <f>MONTH(Table10[[#This Row],[Order Date]])</f>
        <v>11</v>
      </c>
      <c r="E2188" t="s">
        <v>633</v>
      </c>
      <c r="F2188" t="s">
        <v>634</v>
      </c>
      <c r="G2188" s="23" t="s">
        <v>28</v>
      </c>
      <c r="H2188" s="23" t="s">
        <v>32</v>
      </c>
      <c r="I2188" t="s">
        <v>5960</v>
      </c>
      <c r="J2188" t="s">
        <v>22</v>
      </c>
      <c r="K2188" s="22">
        <v>3</v>
      </c>
      <c r="L2188" s="1">
        <v>42703</v>
      </c>
      <c r="M2188" s="22">
        <f>Table10[[#This Row],[Ship Date]]-Table10[[#This Row],[Order Date]]</f>
        <v>4</v>
      </c>
      <c r="N2188" t="s">
        <v>45</v>
      </c>
      <c r="O2188" t="s">
        <v>23</v>
      </c>
      <c r="P2188" t="s">
        <v>38</v>
      </c>
      <c r="Q2188" t="s">
        <v>39</v>
      </c>
      <c r="R2188" t="s">
        <v>37</v>
      </c>
      <c r="S2188" s="33">
        <v>0.2</v>
      </c>
      <c r="T2188" s="13">
        <v>194.352</v>
      </c>
      <c r="U2188" s="13">
        <v>19.435199999999998</v>
      </c>
      <c r="V2188" s="21">
        <f>Table10[[#This Row],[Profit]]/Table10[[#This Row],[Sales]]</f>
        <v>9.9999999999999992E-2</v>
      </c>
    </row>
    <row r="2189" spans="1:22" x14ac:dyDescent="0.2">
      <c r="A2189">
        <v>2188</v>
      </c>
      <c r="B2189" t="s">
        <v>3446</v>
      </c>
      <c r="C2189" s="1">
        <v>42700</v>
      </c>
      <c r="D2189" s="22">
        <f>MONTH(Table10[[#This Row],[Order Date]])</f>
        <v>11</v>
      </c>
      <c r="E2189" t="s">
        <v>3038</v>
      </c>
      <c r="F2189" t="s">
        <v>167</v>
      </c>
      <c r="G2189" s="23" t="s">
        <v>41</v>
      </c>
      <c r="H2189" s="23" t="s">
        <v>82</v>
      </c>
      <c r="I2189" t="s">
        <v>3447</v>
      </c>
      <c r="J2189" t="s">
        <v>36</v>
      </c>
      <c r="K2189" s="22">
        <v>7</v>
      </c>
      <c r="L2189" s="1">
        <v>42703</v>
      </c>
      <c r="M2189" s="22">
        <f>Table10[[#This Row],[Ship Date]]-Table10[[#This Row],[Order Date]]</f>
        <v>3</v>
      </c>
      <c r="N2189" t="s">
        <v>169</v>
      </c>
      <c r="O2189" t="s">
        <v>23</v>
      </c>
      <c r="P2189" t="s">
        <v>320</v>
      </c>
      <c r="Q2189" t="s">
        <v>26</v>
      </c>
      <c r="R2189" t="s">
        <v>3448</v>
      </c>
      <c r="S2189" s="33">
        <v>0</v>
      </c>
      <c r="T2189" s="13">
        <v>70.98</v>
      </c>
      <c r="U2189" s="13">
        <v>34.780200000000001</v>
      </c>
      <c r="V2189" s="21">
        <f>Table10[[#This Row],[Profit]]/Table10[[#This Row],[Sales]]</f>
        <v>0.49</v>
      </c>
    </row>
    <row r="2190" spans="1:22" x14ac:dyDescent="0.2">
      <c r="A2190">
        <v>2189</v>
      </c>
      <c r="B2190" t="s">
        <v>3446</v>
      </c>
      <c r="C2190" s="1">
        <v>42700</v>
      </c>
      <c r="D2190" s="22">
        <f>MONTH(Table10[[#This Row],[Order Date]])</f>
        <v>11</v>
      </c>
      <c r="E2190" t="s">
        <v>3449</v>
      </c>
      <c r="F2190" t="s">
        <v>3450</v>
      </c>
      <c r="G2190" s="23" t="s">
        <v>41</v>
      </c>
      <c r="H2190" s="23" t="s">
        <v>68</v>
      </c>
      <c r="I2190" t="s">
        <v>3447</v>
      </c>
      <c r="J2190" t="s">
        <v>36</v>
      </c>
      <c r="K2190" s="22">
        <v>3</v>
      </c>
      <c r="L2190" s="1">
        <v>42703</v>
      </c>
      <c r="M2190" s="22">
        <f>Table10[[#This Row],[Ship Date]]-Table10[[#This Row],[Order Date]]</f>
        <v>3</v>
      </c>
      <c r="N2190" t="s">
        <v>169</v>
      </c>
      <c r="O2190" t="s">
        <v>23</v>
      </c>
      <c r="P2190" t="s">
        <v>320</v>
      </c>
      <c r="Q2190" t="s">
        <v>26</v>
      </c>
      <c r="R2190" t="s">
        <v>3448</v>
      </c>
      <c r="S2190" s="33">
        <v>0</v>
      </c>
      <c r="T2190" s="13">
        <v>91.68</v>
      </c>
      <c r="U2190" s="13">
        <v>45.84</v>
      </c>
      <c r="V2190" s="21">
        <f>Table10[[#This Row],[Profit]]/Table10[[#This Row],[Sales]]</f>
        <v>0.5</v>
      </c>
    </row>
    <row r="2191" spans="1:22" x14ac:dyDescent="0.2">
      <c r="A2191">
        <v>2190</v>
      </c>
      <c r="B2191" t="s">
        <v>3446</v>
      </c>
      <c r="C2191" s="1">
        <v>42700</v>
      </c>
      <c r="D2191" s="22">
        <f>MONTH(Table10[[#This Row],[Order Date]])</f>
        <v>11</v>
      </c>
      <c r="E2191" t="s">
        <v>3444</v>
      </c>
      <c r="F2191" t="s">
        <v>3445</v>
      </c>
      <c r="G2191" s="23" t="s">
        <v>41</v>
      </c>
      <c r="H2191" s="23" t="s">
        <v>68</v>
      </c>
      <c r="I2191" t="s">
        <v>3447</v>
      </c>
      <c r="J2191" t="s">
        <v>36</v>
      </c>
      <c r="K2191" s="22">
        <v>5</v>
      </c>
      <c r="L2191" s="1">
        <v>42703</v>
      </c>
      <c r="M2191" s="22">
        <f>Table10[[#This Row],[Ship Date]]-Table10[[#This Row],[Order Date]]</f>
        <v>3</v>
      </c>
      <c r="N2191" t="s">
        <v>169</v>
      </c>
      <c r="O2191" t="s">
        <v>23</v>
      </c>
      <c r="P2191" t="s">
        <v>320</v>
      </c>
      <c r="Q2191" t="s">
        <v>26</v>
      </c>
      <c r="R2191" t="s">
        <v>3448</v>
      </c>
      <c r="S2191" s="33">
        <v>0</v>
      </c>
      <c r="T2191" s="13">
        <v>33.75</v>
      </c>
      <c r="U2191" s="13">
        <v>16.875</v>
      </c>
      <c r="V2191" s="21">
        <f>Table10[[#This Row],[Profit]]/Table10[[#This Row],[Sales]]</f>
        <v>0.5</v>
      </c>
    </row>
    <row r="2192" spans="1:22" x14ac:dyDescent="0.2">
      <c r="A2192">
        <v>2191</v>
      </c>
      <c r="B2192" t="s">
        <v>3446</v>
      </c>
      <c r="C2192" s="1">
        <v>42700</v>
      </c>
      <c r="D2192" s="22">
        <f>MONTH(Table10[[#This Row],[Order Date]])</f>
        <v>11</v>
      </c>
      <c r="E2192" t="s">
        <v>3451</v>
      </c>
      <c r="F2192" t="s">
        <v>3452</v>
      </c>
      <c r="G2192" s="23" t="s">
        <v>64</v>
      </c>
      <c r="H2192" s="23" t="s">
        <v>602</v>
      </c>
      <c r="I2192" t="s">
        <v>3447</v>
      </c>
      <c r="J2192" t="s">
        <v>36</v>
      </c>
      <c r="K2192" s="22">
        <v>8</v>
      </c>
      <c r="L2192" s="1">
        <v>42703</v>
      </c>
      <c r="M2192" s="22">
        <f>Table10[[#This Row],[Ship Date]]-Table10[[#This Row],[Order Date]]</f>
        <v>3</v>
      </c>
      <c r="N2192" t="s">
        <v>169</v>
      </c>
      <c r="O2192" t="s">
        <v>23</v>
      </c>
      <c r="P2192" t="s">
        <v>320</v>
      </c>
      <c r="Q2192" t="s">
        <v>26</v>
      </c>
      <c r="R2192" t="s">
        <v>3448</v>
      </c>
      <c r="S2192" s="33">
        <v>0</v>
      </c>
      <c r="T2192" s="13">
        <v>3040</v>
      </c>
      <c r="U2192" s="13">
        <v>1459.2</v>
      </c>
      <c r="V2192" s="21">
        <f>Table10[[#This Row],[Profit]]/Table10[[#This Row],[Sales]]</f>
        <v>0.48000000000000004</v>
      </c>
    </row>
    <row r="2193" spans="1:22" x14ac:dyDescent="0.2">
      <c r="A2193">
        <v>2192</v>
      </c>
      <c r="B2193" t="s">
        <v>4396</v>
      </c>
      <c r="C2193" s="1">
        <v>42700</v>
      </c>
      <c r="D2193" s="22">
        <f>MONTH(Table10[[#This Row],[Order Date]])</f>
        <v>11</v>
      </c>
      <c r="E2193" t="s">
        <v>4268</v>
      </c>
      <c r="F2193" t="s">
        <v>4269</v>
      </c>
      <c r="G2193" s="23" t="s">
        <v>41</v>
      </c>
      <c r="H2193" s="23" t="s">
        <v>68</v>
      </c>
      <c r="I2193" t="s">
        <v>4397</v>
      </c>
      <c r="J2193" t="s">
        <v>36</v>
      </c>
      <c r="K2193" s="22">
        <v>2</v>
      </c>
      <c r="L2193" s="1">
        <v>42706</v>
      </c>
      <c r="M2193" s="22">
        <f>Table10[[#This Row],[Ship Date]]-Table10[[#This Row],[Order Date]]</f>
        <v>6</v>
      </c>
      <c r="N2193" t="s">
        <v>45</v>
      </c>
      <c r="O2193" t="s">
        <v>23</v>
      </c>
      <c r="P2193" t="s">
        <v>87</v>
      </c>
      <c r="Q2193" t="s">
        <v>39</v>
      </c>
      <c r="R2193" t="s">
        <v>86</v>
      </c>
      <c r="S2193" s="33">
        <v>0.2</v>
      </c>
      <c r="T2193" s="13">
        <v>7.3120000000000003</v>
      </c>
      <c r="U2193" s="13">
        <v>2.5592000000000001</v>
      </c>
      <c r="V2193" s="21">
        <f>Table10[[#This Row],[Profit]]/Table10[[#This Row],[Sales]]</f>
        <v>0.35000000000000003</v>
      </c>
    </row>
    <row r="2194" spans="1:22" x14ac:dyDescent="0.2">
      <c r="A2194">
        <v>2193</v>
      </c>
      <c r="B2194" t="s">
        <v>4631</v>
      </c>
      <c r="C2194" s="1">
        <v>42700</v>
      </c>
      <c r="D2194" s="22">
        <f>MONTH(Table10[[#This Row],[Order Date]])</f>
        <v>11</v>
      </c>
      <c r="E2194" t="s">
        <v>3092</v>
      </c>
      <c r="F2194" t="s">
        <v>3093</v>
      </c>
      <c r="G2194" s="23" t="s">
        <v>64</v>
      </c>
      <c r="H2194" s="23" t="s">
        <v>65</v>
      </c>
      <c r="I2194" t="s">
        <v>4353</v>
      </c>
      <c r="J2194" t="s">
        <v>22</v>
      </c>
      <c r="K2194" s="22">
        <v>3</v>
      </c>
      <c r="L2194" s="1">
        <v>42705</v>
      </c>
      <c r="M2194" s="22">
        <f>Table10[[#This Row],[Ship Date]]-Table10[[#This Row],[Order Date]]</f>
        <v>5</v>
      </c>
      <c r="N2194" t="s">
        <v>45</v>
      </c>
      <c r="O2194" t="s">
        <v>23</v>
      </c>
      <c r="P2194" t="s">
        <v>132</v>
      </c>
      <c r="Q2194" t="s">
        <v>133</v>
      </c>
      <c r="R2194" t="s">
        <v>131</v>
      </c>
      <c r="S2194" s="33">
        <v>0.4</v>
      </c>
      <c r="T2194" s="13">
        <v>494.98200000000003</v>
      </c>
      <c r="U2194" s="13">
        <v>-115.4958</v>
      </c>
      <c r="V2194" s="21">
        <f>Table10[[#This Row],[Profit]]/Table10[[#This Row],[Sales]]</f>
        <v>-0.23333333333333334</v>
      </c>
    </row>
    <row r="2195" spans="1:22" x14ac:dyDescent="0.2">
      <c r="A2195">
        <v>2194</v>
      </c>
      <c r="B2195" t="s">
        <v>7356</v>
      </c>
      <c r="C2195" s="1">
        <v>42700</v>
      </c>
      <c r="D2195" s="22">
        <f>MONTH(Table10[[#This Row],[Order Date]])</f>
        <v>11</v>
      </c>
      <c r="E2195" t="s">
        <v>2563</v>
      </c>
      <c r="F2195" t="s">
        <v>2564</v>
      </c>
      <c r="G2195" s="23" t="s">
        <v>41</v>
      </c>
      <c r="H2195" s="23" t="s">
        <v>68</v>
      </c>
      <c r="I2195" t="s">
        <v>422</v>
      </c>
      <c r="J2195" t="s">
        <v>92</v>
      </c>
      <c r="K2195" s="22">
        <v>4</v>
      </c>
      <c r="L2195" s="1">
        <v>42703</v>
      </c>
      <c r="M2195" s="22">
        <f>Table10[[#This Row],[Ship Date]]-Table10[[#This Row],[Order Date]]</f>
        <v>3</v>
      </c>
      <c r="N2195" t="s">
        <v>169</v>
      </c>
      <c r="O2195" t="s">
        <v>23</v>
      </c>
      <c r="P2195" t="s">
        <v>48</v>
      </c>
      <c r="Q2195" t="s">
        <v>26</v>
      </c>
      <c r="R2195" t="s">
        <v>1253</v>
      </c>
      <c r="S2195" s="33">
        <v>0.7</v>
      </c>
      <c r="T2195" s="13">
        <v>3.7440000000000002</v>
      </c>
      <c r="U2195" s="13">
        <v>-2.6208</v>
      </c>
      <c r="V2195" s="21">
        <f>Table10[[#This Row],[Profit]]/Table10[[#This Row],[Sales]]</f>
        <v>-0.7</v>
      </c>
    </row>
    <row r="2196" spans="1:22" x14ac:dyDescent="0.2">
      <c r="A2196">
        <v>2195</v>
      </c>
      <c r="B2196" t="s">
        <v>7809</v>
      </c>
      <c r="C2196" s="1">
        <v>42700</v>
      </c>
      <c r="D2196" s="22">
        <f>MONTH(Table10[[#This Row],[Order Date]])</f>
        <v>11</v>
      </c>
      <c r="E2196" t="s">
        <v>3356</v>
      </c>
      <c r="F2196" t="s">
        <v>3357</v>
      </c>
      <c r="G2196" s="23" t="s">
        <v>28</v>
      </c>
      <c r="H2196" s="23" t="s">
        <v>50</v>
      </c>
      <c r="I2196" t="s">
        <v>1201</v>
      </c>
      <c r="J2196" t="s">
        <v>36</v>
      </c>
      <c r="K2196" s="22">
        <v>2</v>
      </c>
      <c r="L2196" s="1">
        <v>42704</v>
      </c>
      <c r="M2196" s="22">
        <f>Table10[[#This Row],[Ship Date]]-Table10[[#This Row],[Order Date]]</f>
        <v>4</v>
      </c>
      <c r="N2196" t="s">
        <v>20</v>
      </c>
      <c r="O2196" t="s">
        <v>23</v>
      </c>
      <c r="P2196" t="s">
        <v>238</v>
      </c>
      <c r="Q2196" t="s">
        <v>133</v>
      </c>
      <c r="R2196" t="s">
        <v>237</v>
      </c>
      <c r="S2196" s="33">
        <v>0.4</v>
      </c>
      <c r="T2196" s="13">
        <v>313.17599999999999</v>
      </c>
      <c r="U2196" s="13">
        <v>-120.0508</v>
      </c>
      <c r="V2196" s="21">
        <f>Table10[[#This Row],[Profit]]/Table10[[#This Row],[Sales]]</f>
        <v>-0.38333333333333336</v>
      </c>
    </row>
    <row r="2197" spans="1:22" x14ac:dyDescent="0.2">
      <c r="A2197">
        <v>2196</v>
      </c>
      <c r="B2197" t="s">
        <v>8847</v>
      </c>
      <c r="C2197" s="1">
        <v>42700</v>
      </c>
      <c r="D2197" s="22">
        <f>MONTH(Table10[[#This Row],[Order Date]])</f>
        <v>11</v>
      </c>
      <c r="E2197" t="s">
        <v>2746</v>
      </c>
      <c r="F2197" t="s">
        <v>2747</v>
      </c>
      <c r="G2197" s="23" t="s">
        <v>41</v>
      </c>
      <c r="H2197" s="23" t="s">
        <v>61</v>
      </c>
      <c r="I2197" t="s">
        <v>5272</v>
      </c>
      <c r="J2197" t="s">
        <v>22</v>
      </c>
      <c r="K2197" s="22">
        <v>4</v>
      </c>
      <c r="L2197" s="1">
        <v>42706</v>
      </c>
      <c r="M2197" s="22">
        <f>Table10[[#This Row],[Ship Date]]-Table10[[#This Row],[Order Date]]</f>
        <v>6</v>
      </c>
      <c r="N2197" t="s">
        <v>45</v>
      </c>
      <c r="O2197" t="s">
        <v>23</v>
      </c>
      <c r="P2197" t="s">
        <v>94</v>
      </c>
      <c r="Q2197" t="s">
        <v>95</v>
      </c>
      <c r="R2197" t="s">
        <v>3679</v>
      </c>
      <c r="S2197" s="33">
        <v>0.2</v>
      </c>
      <c r="T2197" s="13">
        <v>17.856000000000002</v>
      </c>
      <c r="U2197" s="13">
        <v>4.2408000000000001</v>
      </c>
      <c r="V2197" s="21">
        <f>Table10[[#This Row],[Profit]]/Table10[[#This Row],[Sales]]</f>
        <v>0.23749999999999999</v>
      </c>
    </row>
    <row r="2198" spans="1:22" x14ac:dyDescent="0.2">
      <c r="A2198">
        <v>2197</v>
      </c>
      <c r="B2198" t="s">
        <v>9214</v>
      </c>
      <c r="C2198" s="1">
        <v>42700</v>
      </c>
      <c r="D2198" s="22">
        <f>MONTH(Table10[[#This Row],[Order Date]])</f>
        <v>11</v>
      </c>
      <c r="E2198" t="s">
        <v>2790</v>
      </c>
      <c r="F2198" t="s">
        <v>2791</v>
      </c>
      <c r="G2198" s="23" t="s">
        <v>64</v>
      </c>
      <c r="H2198" s="23" t="s">
        <v>144</v>
      </c>
      <c r="I2198" t="s">
        <v>3875</v>
      </c>
      <c r="J2198" t="s">
        <v>92</v>
      </c>
      <c r="K2198" s="22">
        <v>3</v>
      </c>
      <c r="L2198" s="1">
        <v>42702</v>
      </c>
      <c r="M2198" s="22">
        <f>Table10[[#This Row],[Ship Date]]-Table10[[#This Row],[Order Date]]</f>
        <v>2</v>
      </c>
      <c r="N2198" t="s">
        <v>169</v>
      </c>
      <c r="O2198" t="s">
        <v>23</v>
      </c>
      <c r="P2198" t="s">
        <v>660</v>
      </c>
      <c r="Q2198" t="s">
        <v>133</v>
      </c>
      <c r="R2198" t="s">
        <v>9215</v>
      </c>
      <c r="S2198" s="33">
        <v>0</v>
      </c>
      <c r="T2198" s="13">
        <v>59.97</v>
      </c>
      <c r="U2198" s="13">
        <v>14.9925</v>
      </c>
      <c r="V2198" s="21">
        <f>Table10[[#This Row],[Profit]]/Table10[[#This Row],[Sales]]</f>
        <v>0.25</v>
      </c>
    </row>
    <row r="2199" spans="1:22" x14ac:dyDescent="0.2">
      <c r="A2199">
        <v>2198</v>
      </c>
      <c r="B2199" t="s">
        <v>9214</v>
      </c>
      <c r="C2199" s="1">
        <v>42700</v>
      </c>
      <c r="D2199" s="22">
        <f>MONTH(Table10[[#This Row],[Order Date]])</f>
        <v>11</v>
      </c>
      <c r="E2199" t="s">
        <v>4636</v>
      </c>
      <c r="F2199" t="s">
        <v>4637</v>
      </c>
      <c r="G2199" s="23" t="s">
        <v>41</v>
      </c>
      <c r="H2199" s="23" t="s">
        <v>82</v>
      </c>
      <c r="I2199" t="s">
        <v>3875</v>
      </c>
      <c r="J2199" t="s">
        <v>92</v>
      </c>
      <c r="K2199" s="22">
        <v>2</v>
      </c>
      <c r="L2199" s="1">
        <v>42702</v>
      </c>
      <c r="M2199" s="22">
        <f>Table10[[#This Row],[Ship Date]]-Table10[[#This Row],[Order Date]]</f>
        <v>2</v>
      </c>
      <c r="N2199" t="s">
        <v>169</v>
      </c>
      <c r="O2199" t="s">
        <v>23</v>
      </c>
      <c r="P2199" t="s">
        <v>660</v>
      </c>
      <c r="Q2199" t="s">
        <v>133</v>
      </c>
      <c r="R2199" t="s">
        <v>9215</v>
      </c>
      <c r="S2199" s="33">
        <v>0</v>
      </c>
      <c r="T2199" s="13">
        <v>13.36</v>
      </c>
      <c r="U2199" s="13">
        <v>6.4127999999999998</v>
      </c>
      <c r="V2199" s="21">
        <f>Table10[[#This Row],[Profit]]/Table10[[#This Row],[Sales]]</f>
        <v>0.48</v>
      </c>
    </row>
    <row r="2200" spans="1:22" x14ac:dyDescent="0.2">
      <c r="A2200">
        <v>2199</v>
      </c>
      <c r="B2200" t="s">
        <v>9654</v>
      </c>
      <c r="C2200" s="1">
        <v>42700</v>
      </c>
      <c r="D2200" s="22">
        <f>MONTH(Table10[[#This Row],[Order Date]])</f>
        <v>11</v>
      </c>
      <c r="E2200" t="s">
        <v>2422</v>
      </c>
      <c r="F2200" t="s">
        <v>2423</v>
      </c>
      <c r="G2200" s="23" t="s">
        <v>41</v>
      </c>
      <c r="H2200" s="23" t="s">
        <v>68</v>
      </c>
      <c r="I2200" t="s">
        <v>140</v>
      </c>
      <c r="J2200" t="s">
        <v>22</v>
      </c>
      <c r="K2200" s="22">
        <v>9</v>
      </c>
      <c r="L2200" s="1">
        <v>42702</v>
      </c>
      <c r="M2200" s="22">
        <f>Table10[[#This Row],[Ship Date]]-Table10[[#This Row],[Order Date]]</f>
        <v>2</v>
      </c>
      <c r="N2200" t="s">
        <v>20</v>
      </c>
      <c r="O2200" t="s">
        <v>23</v>
      </c>
      <c r="P2200" t="s">
        <v>132</v>
      </c>
      <c r="Q2200" t="s">
        <v>133</v>
      </c>
      <c r="R2200" t="s">
        <v>131</v>
      </c>
      <c r="S2200" s="33">
        <v>0.7</v>
      </c>
      <c r="T2200" s="13">
        <v>78.759</v>
      </c>
      <c r="U2200" s="13">
        <v>-57.756599999999999</v>
      </c>
      <c r="V2200" s="21">
        <f>Table10[[#This Row],[Profit]]/Table10[[#This Row],[Sales]]</f>
        <v>-0.73333333333333328</v>
      </c>
    </row>
    <row r="2201" spans="1:22" x14ac:dyDescent="0.2">
      <c r="A2201">
        <v>2200</v>
      </c>
      <c r="B2201" t="s">
        <v>9967</v>
      </c>
      <c r="C2201" s="1">
        <v>42700</v>
      </c>
      <c r="D2201" s="22">
        <f>MONTH(Table10[[#This Row],[Order Date]])</f>
        <v>11</v>
      </c>
      <c r="E2201" t="s">
        <v>4452</v>
      </c>
      <c r="F2201" t="s">
        <v>4453</v>
      </c>
      <c r="G2201" s="23" t="s">
        <v>28</v>
      </c>
      <c r="H2201" s="23" t="s">
        <v>29</v>
      </c>
      <c r="I2201" t="s">
        <v>2428</v>
      </c>
      <c r="J2201" t="s">
        <v>22</v>
      </c>
      <c r="K2201" s="22">
        <v>8</v>
      </c>
      <c r="L2201" s="1">
        <v>42704</v>
      </c>
      <c r="M2201" s="22">
        <f>Table10[[#This Row],[Ship Date]]-Table10[[#This Row],[Order Date]]</f>
        <v>4</v>
      </c>
      <c r="N2201" t="s">
        <v>45</v>
      </c>
      <c r="O2201" t="s">
        <v>23</v>
      </c>
      <c r="P2201" t="s">
        <v>38</v>
      </c>
      <c r="Q2201" t="s">
        <v>39</v>
      </c>
      <c r="R2201" t="s">
        <v>37</v>
      </c>
      <c r="S2201" s="33">
        <v>0.15</v>
      </c>
      <c r="T2201" s="13">
        <v>3406.6640000000002</v>
      </c>
      <c r="U2201" s="13">
        <v>160.31360000000001</v>
      </c>
      <c r="V2201" s="21">
        <f>Table10[[#This Row],[Profit]]/Table10[[#This Row],[Sales]]</f>
        <v>4.7058823529411764E-2</v>
      </c>
    </row>
    <row r="2202" spans="1:22" x14ac:dyDescent="0.2">
      <c r="A2202">
        <v>2201</v>
      </c>
      <c r="B2202" t="s">
        <v>9967</v>
      </c>
      <c r="C2202" s="1">
        <v>42700</v>
      </c>
      <c r="D2202" s="22">
        <f>MONTH(Table10[[#This Row],[Order Date]])</f>
        <v>11</v>
      </c>
      <c r="E2202" t="s">
        <v>6096</v>
      </c>
      <c r="F2202" t="s">
        <v>6097</v>
      </c>
      <c r="G2202" s="23" t="s">
        <v>41</v>
      </c>
      <c r="H2202" s="23" t="s">
        <v>61</v>
      </c>
      <c r="I2202" t="s">
        <v>2428</v>
      </c>
      <c r="J2202" t="s">
        <v>22</v>
      </c>
      <c r="K2202" s="22">
        <v>9</v>
      </c>
      <c r="L2202" s="1">
        <v>42704</v>
      </c>
      <c r="M2202" s="22">
        <f>Table10[[#This Row],[Ship Date]]-Table10[[#This Row],[Order Date]]</f>
        <v>4</v>
      </c>
      <c r="N2202" t="s">
        <v>45</v>
      </c>
      <c r="O2202" t="s">
        <v>23</v>
      </c>
      <c r="P2202" t="s">
        <v>38</v>
      </c>
      <c r="Q2202" t="s">
        <v>39</v>
      </c>
      <c r="R2202" t="s">
        <v>37</v>
      </c>
      <c r="S2202" s="33">
        <v>0</v>
      </c>
      <c r="T2202" s="13">
        <v>37.17</v>
      </c>
      <c r="U2202" s="13">
        <v>10.4076</v>
      </c>
      <c r="V2202" s="21">
        <f>Table10[[#This Row],[Profit]]/Table10[[#This Row],[Sales]]</f>
        <v>0.27999999999999997</v>
      </c>
    </row>
    <row r="2203" spans="1:22" x14ac:dyDescent="0.2">
      <c r="A2203">
        <v>2202</v>
      </c>
      <c r="B2203" t="s">
        <v>9967</v>
      </c>
      <c r="C2203" s="1">
        <v>42700</v>
      </c>
      <c r="D2203" s="22">
        <f>MONTH(Table10[[#This Row],[Order Date]])</f>
        <v>11</v>
      </c>
      <c r="E2203" t="s">
        <v>2728</v>
      </c>
      <c r="F2203" t="s">
        <v>2729</v>
      </c>
      <c r="G2203" s="23" t="s">
        <v>41</v>
      </c>
      <c r="H2203" s="23" t="s">
        <v>71</v>
      </c>
      <c r="I2203" t="s">
        <v>2428</v>
      </c>
      <c r="J2203" t="s">
        <v>22</v>
      </c>
      <c r="K2203" s="22">
        <v>2</v>
      </c>
      <c r="L2203" s="1">
        <v>42704</v>
      </c>
      <c r="M2203" s="22">
        <f>Table10[[#This Row],[Ship Date]]-Table10[[#This Row],[Order Date]]</f>
        <v>4</v>
      </c>
      <c r="N2203" t="s">
        <v>45</v>
      </c>
      <c r="O2203" t="s">
        <v>23</v>
      </c>
      <c r="P2203" t="s">
        <v>38</v>
      </c>
      <c r="Q2203" t="s">
        <v>39</v>
      </c>
      <c r="R2203" t="s">
        <v>37</v>
      </c>
      <c r="S2203" s="33">
        <v>0</v>
      </c>
      <c r="T2203" s="13">
        <v>64.959999999999994</v>
      </c>
      <c r="U2203" s="13">
        <v>19.488</v>
      </c>
      <c r="V2203" s="21">
        <f>Table10[[#This Row],[Profit]]/Table10[[#This Row],[Sales]]</f>
        <v>0.30000000000000004</v>
      </c>
    </row>
    <row r="2204" spans="1:22" x14ac:dyDescent="0.2">
      <c r="A2204">
        <v>2203</v>
      </c>
      <c r="B2204" t="s">
        <v>9967</v>
      </c>
      <c r="C2204" s="1">
        <v>42700</v>
      </c>
      <c r="D2204" s="22">
        <f>MONTH(Table10[[#This Row],[Order Date]])</f>
        <v>11</v>
      </c>
      <c r="E2204" t="s">
        <v>3756</v>
      </c>
      <c r="F2204" t="s">
        <v>3757</v>
      </c>
      <c r="G2204" s="23" t="s">
        <v>28</v>
      </c>
      <c r="H2204" s="23" t="s">
        <v>58</v>
      </c>
      <c r="I2204" t="s">
        <v>2428</v>
      </c>
      <c r="J2204" t="s">
        <v>22</v>
      </c>
      <c r="K2204" s="22">
        <v>6</v>
      </c>
      <c r="L2204" s="1">
        <v>42704</v>
      </c>
      <c r="M2204" s="22">
        <f>Table10[[#This Row],[Ship Date]]-Table10[[#This Row],[Order Date]]</f>
        <v>4</v>
      </c>
      <c r="N2204" t="s">
        <v>45</v>
      </c>
      <c r="O2204" t="s">
        <v>23</v>
      </c>
      <c r="P2204" t="s">
        <v>38</v>
      </c>
      <c r="Q2204" t="s">
        <v>39</v>
      </c>
      <c r="R2204" t="s">
        <v>37</v>
      </c>
      <c r="S2204" s="33">
        <v>0</v>
      </c>
      <c r="T2204" s="13">
        <v>595.38</v>
      </c>
      <c r="U2204" s="13">
        <v>297.69</v>
      </c>
      <c r="V2204" s="21">
        <f>Table10[[#This Row],[Profit]]/Table10[[#This Row],[Sales]]</f>
        <v>0.5</v>
      </c>
    </row>
    <row r="2205" spans="1:22" x14ac:dyDescent="0.2">
      <c r="A2205">
        <v>2204</v>
      </c>
      <c r="B2205" t="s">
        <v>3965</v>
      </c>
      <c r="C2205" s="1">
        <v>42701</v>
      </c>
      <c r="D2205" s="22">
        <f>MONTH(Table10[[#This Row],[Order Date]])</f>
        <v>11</v>
      </c>
      <c r="E2205" t="s">
        <v>2932</v>
      </c>
      <c r="F2205" t="s">
        <v>2933</v>
      </c>
      <c r="G2205" s="23" t="s">
        <v>41</v>
      </c>
      <c r="H2205" s="23" t="s">
        <v>53</v>
      </c>
      <c r="I2205" t="s">
        <v>455</v>
      </c>
      <c r="J2205" t="s">
        <v>36</v>
      </c>
      <c r="K2205" s="22">
        <v>2</v>
      </c>
      <c r="L2205" s="1">
        <v>42703</v>
      </c>
      <c r="M2205" s="22">
        <f>Table10[[#This Row],[Ship Date]]-Table10[[#This Row],[Order Date]]</f>
        <v>2</v>
      </c>
      <c r="N2205" t="s">
        <v>20</v>
      </c>
      <c r="O2205" t="s">
        <v>23</v>
      </c>
      <c r="P2205" t="s">
        <v>189</v>
      </c>
      <c r="Q2205" t="s">
        <v>95</v>
      </c>
      <c r="R2205" t="s">
        <v>271</v>
      </c>
      <c r="S2205" s="33">
        <v>0.2</v>
      </c>
      <c r="T2205" s="13">
        <v>97.983999999999995</v>
      </c>
      <c r="U2205" s="13">
        <v>-24.495999999999999</v>
      </c>
      <c r="V2205" s="21">
        <f>Table10[[#This Row],[Profit]]/Table10[[#This Row],[Sales]]</f>
        <v>-0.25</v>
      </c>
    </row>
    <row r="2206" spans="1:22" x14ac:dyDescent="0.2">
      <c r="A2206">
        <v>2205</v>
      </c>
      <c r="B2206" t="s">
        <v>3965</v>
      </c>
      <c r="C2206" s="1">
        <v>42701</v>
      </c>
      <c r="D2206" s="22">
        <f>MONTH(Table10[[#This Row],[Order Date]])</f>
        <v>11</v>
      </c>
      <c r="E2206" t="s">
        <v>743</v>
      </c>
      <c r="F2206" t="s">
        <v>744</v>
      </c>
      <c r="G2206" s="23" t="s">
        <v>64</v>
      </c>
      <c r="H2206" s="23" t="s">
        <v>144</v>
      </c>
      <c r="I2206" t="s">
        <v>455</v>
      </c>
      <c r="J2206" t="s">
        <v>36</v>
      </c>
      <c r="K2206" s="22">
        <v>6</v>
      </c>
      <c r="L2206" s="1">
        <v>42703</v>
      </c>
      <c r="M2206" s="22">
        <f>Table10[[#This Row],[Ship Date]]-Table10[[#This Row],[Order Date]]</f>
        <v>2</v>
      </c>
      <c r="N2206" t="s">
        <v>20</v>
      </c>
      <c r="O2206" t="s">
        <v>23</v>
      </c>
      <c r="P2206" t="s">
        <v>189</v>
      </c>
      <c r="Q2206" t="s">
        <v>95</v>
      </c>
      <c r="R2206" t="s">
        <v>271</v>
      </c>
      <c r="S2206" s="33">
        <v>0.2</v>
      </c>
      <c r="T2206" s="13">
        <v>62.4</v>
      </c>
      <c r="U2206" s="13">
        <v>19.5</v>
      </c>
      <c r="V2206" s="21">
        <f>Table10[[#This Row],[Profit]]/Table10[[#This Row],[Sales]]</f>
        <v>0.3125</v>
      </c>
    </row>
    <row r="2207" spans="1:22" x14ac:dyDescent="0.2">
      <c r="A2207">
        <v>2206</v>
      </c>
      <c r="B2207" t="s">
        <v>4238</v>
      </c>
      <c r="C2207" s="1">
        <v>42701</v>
      </c>
      <c r="D2207" s="22">
        <f>MONTH(Table10[[#This Row],[Order Date]])</f>
        <v>11</v>
      </c>
      <c r="E2207" t="s">
        <v>4239</v>
      </c>
      <c r="F2207" t="s">
        <v>4240</v>
      </c>
      <c r="G2207" s="23" t="s">
        <v>64</v>
      </c>
      <c r="H2207" s="23" t="s">
        <v>65</v>
      </c>
      <c r="I2207" t="s">
        <v>852</v>
      </c>
      <c r="J2207" t="s">
        <v>22</v>
      </c>
      <c r="K2207" s="22">
        <v>1</v>
      </c>
      <c r="L2207" s="1">
        <v>42703</v>
      </c>
      <c r="M2207" s="22">
        <f>Table10[[#This Row],[Ship Date]]-Table10[[#This Row],[Order Date]]</f>
        <v>2</v>
      </c>
      <c r="N2207" t="s">
        <v>20</v>
      </c>
      <c r="O2207" t="s">
        <v>23</v>
      </c>
      <c r="P2207" t="s">
        <v>277</v>
      </c>
      <c r="Q2207" t="s">
        <v>39</v>
      </c>
      <c r="R2207" t="s">
        <v>550</v>
      </c>
      <c r="S2207" s="33">
        <v>0.2</v>
      </c>
      <c r="T2207" s="13">
        <v>271.99200000000002</v>
      </c>
      <c r="U2207" s="13">
        <v>23.799299999999999</v>
      </c>
      <c r="V2207" s="21">
        <f>Table10[[#This Row],[Profit]]/Table10[[#This Row],[Sales]]</f>
        <v>8.7499999999999994E-2</v>
      </c>
    </row>
    <row r="2208" spans="1:22" x14ac:dyDescent="0.2">
      <c r="A2208">
        <v>2207</v>
      </c>
      <c r="B2208" t="s">
        <v>4578</v>
      </c>
      <c r="C2208" s="1">
        <v>42701</v>
      </c>
      <c r="D2208" s="22">
        <f>MONTH(Table10[[#This Row],[Order Date]])</f>
        <v>11</v>
      </c>
      <c r="E2208" t="s">
        <v>4580</v>
      </c>
      <c r="F2208" t="s">
        <v>4581</v>
      </c>
      <c r="G2208" s="23" t="s">
        <v>41</v>
      </c>
      <c r="H2208" s="23" t="s">
        <v>71</v>
      </c>
      <c r="I2208" t="s">
        <v>1124</v>
      </c>
      <c r="J2208" t="s">
        <v>36</v>
      </c>
      <c r="K2208" s="22">
        <v>6</v>
      </c>
      <c r="L2208" s="1">
        <v>42704</v>
      </c>
      <c r="M2208" s="22">
        <f>Table10[[#This Row],[Ship Date]]-Table10[[#This Row],[Order Date]]</f>
        <v>3</v>
      </c>
      <c r="N2208" t="s">
        <v>169</v>
      </c>
      <c r="O2208" t="s">
        <v>23</v>
      </c>
      <c r="P2208" t="s">
        <v>212</v>
      </c>
      <c r="Q2208" t="s">
        <v>95</v>
      </c>
      <c r="R2208" t="s">
        <v>4579</v>
      </c>
      <c r="S2208" s="33">
        <v>0.1</v>
      </c>
      <c r="T2208" s="13">
        <v>167.292</v>
      </c>
      <c r="U2208" s="13">
        <v>29.7408</v>
      </c>
      <c r="V2208" s="21">
        <f>Table10[[#This Row],[Profit]]/Table10[[#This Row],[Sales]]</f>
        <v>0.17777777777777778</v>
      </c>
    </row>
    <row r="2209" spans="1:22" x14ac:dyDescent="0.2">
      <c r="A2209">
        <v>2208</v>
      </c>
      <c r="B2209" t="s">
        <v>5965</v>
      </c>
      <c r="C2209" s="1">
        <v>42701</v>
      </c>
      <c r="D2209" s="22">
        <f>MONTH(Table10[[#This Row],[Order Date]])</f>
        <v>11</v>
      </c>
      <c r="E2209" t="s">
        <v>261</v>
      </c>
      <c r="F2209" t="s">
        <v>262</v>
      </c>
      <c r="G2209" s="23" t="s">
        <v>64</v>
      </c>
      <c r="H2209" s="23" t="s">
        <v>144</v>
      </c>
      <c r="I2209" t="s">
        <v>2472</v>
      </c>
      <c r="J2209" t="s">
        <v>36</v>
      </c>
      <c r="K2209" s="22">
        <v>5</v>
      </c>
      <c r="L2209" s="1">
        <v>42704</v>
      </c>
      <c r="M2209" s="22">
        <f>Table10[[#This Row],[Ship Date]]-Table10[[#This Row],[Order Date]]</f>
        <v>3</v>
      </c>
      <c r="N2209" t="s">
        <v>169</v>
      </c>
      <c r="O2209" t="s">
        <v>23</v>
      </c>
      <c r="P2209" t="s">
        <v>4001</v>
      </c>
      <c r="Q2209" t="s">
        <v>95</v>
      </c>
      <c r="R2209" t="s">
        <v>5805</v>
      </c>
      <c r="S2209" s="33">
        <v>0</v>
      </c>
      <c r="T2209" s="13">
        <v>34.950000000000003</v>
      </c>
      <c r="U2209" s="13">
        <v>15.378</v>
      </c>
      <c r="V2209" s="21">
        <f>Table10[[#This Row],[Profit]]/Table10[[#This Row],[Sales]]</f>
        <v>0.43999999999999995</v>
      </c>
    </row>
    <row r="2210" spans="1:22" x14ac:dyDescent="0.2">
      <c r="A2210">
        <v>2209</v>
      </c>
      <c r="B2210" t="s">
        <v>5965</v>
      </c>
      <c r="C2210" s="1">
        <v>42701</v>
      </c>
      <c r="D2210" s="22">
        <f>MONTH(Table10[[#This Row],[Order Date]])</f>
        <v>11</v>
      </c>
      <c r="E2210" t="s">
        <v>3455</v>
      </c>
      <c r="F2210" t="s">
        <v>3456</v>
      </c>
      <c r="G2210" s="23" t="s">
        <v>41</v>
      </c>
      <c r="H2210" s="23" t="s">
        <v>68</v>
      </c>
      <c r="I2210" t="s">
        <v>2472</v>
      </c>
      <c r="J2210" t="s">
        <v>36</v>
      </c>
      <c r="K2210" s="22">
        <v>5</v>
      </c>
      <c r="L2210" s="1">
        <v>42704</v>
      </c>
      <c r="M2210" s="22">
        <f>Table10[[#This Row],[Ship Date]]-Table10[[#This Row],[Order Date]]</f>
        <v>3</v>
      </c>
      <c r="N2210" t="s">
        <v>169</v>
      </c>
      <c r="O2210" t="s">
        <v>23</v>
      </c>
      <c r="P2210" t="s">
        <v>4001</v>
      </c>
      <c r="Q2210" t="s">
        <v>95</v>
      </c>
      <c r="R2210" t="s">
        <v>5805</v>
      </c>
      <c r="S2210" s="33">
        <v>0</v>
      </c>
      <c r="T2210" s="13">
        <v>152</v>
      </c>
      <c r="U2210" s="13">
        <v>69.92</v>
      </c>
      <c r="V2210" s="21">
        <f>Table10[[#This Row],[Profit]]/Table10[[#This Row],[Sales]]</f>
        <v>0.46</v>
      </c>
    </row>
    <row r="2211" spans="1:22" x14ac:dyDescent="0.2">
      <c r="A2211">
        <v>2210</v>
      </c>
      <c r="B2211" t="s">
        <v>7801</v>
      </c>
      <c r="C2211" s="1">
        <v>42701</v>
      </c>
      <c r="D2211" s="22">
        <f>MONTH(Table10[[#This Row],[Order Date]])</f>
        <v>11</v>
      </c>
      <c r="E2211" t="s">
        <v>4152</v>
      </c>
      <c r="F2211" t="s">
        <v>4153</v>
      </c>
      <c r="G2211" s="23" t="s">
        <v>28</v>
      </c>
      <c r="H2211" s="23" t="s">
        <v>58</v>
      </c>
      <c r="I2211" t="s">
        <v>2421</v>
      </c>
      <c r="J2211" t="s">
        <v>36</v>
      </c>
      <c r="K2211" s="22">
        <v>3</v>
      </c>
      <c r="L2211" s="1">
        <v>42706</v>
      </c>
      <c r="M2211" s="22">
        <f>Table10[[#This Row],[Ship Date]]-Table10[[#This Row],[Order Date]]</f>
        <v>5</v>
      </c>
      <c r="N2211" t="s">
        <v>45</v>
      </c>
      <c r="O2211" t="s">
        <v>23</v>
      </c>
      <c r="P2211" t="s">
        <v>695</v>
      </c>
      <c r="Q2211" t="s">
        <v>133</v>
      </c>
      <c r="R2211" t="s">
        <v>694</v>
      </c>
      <c r="S2211" s="33">
        <v>0</v>
      </c>
      <c r="T2211" s="13">
        <v>31.56</v>
      </c>
      <c r="U2211" s="13">
        <v>10.4148</v>
      </c>
      <c r="V2211" s="21">
        <f>Table10[[#This Row],[Profit]]/Table10[[#This Row],[Sales]]</f>
        <v>0.33</v>
      </c>
    </row>
    <row r="2212" spans="1:22" x14ac:dyDescent="0.2">
      <c r="A2212">
        <v>2211</v>
      </c>
      <c r="B2212" t="s">
        <v>8564</v>
      </c>
      <c r="C2212" s="1">
        <v>42701</v>
      </c>
      <c r="D2212" s="22">
        <f>MONTH(Table10[[#This Row],[Order Date]])</f>
        <v>11</v>
      </c>
      <c r="E2212" t="s">
        <v>4646</v>
      </c>
      <c r="F2212" t="s">
        <v>4647</v>
      </c>
      <c r="G2212" s="23" t="s">
        <v>64</v>
      </c>
      <c r="H2212" s="23" t="s">
        <v>65</v>
      </c>
      <c r="I2212" t="s">
        <v>3858</v>
      </c>
      <c r="J2212" t="s">
        <v>22</v>
      </c>
      <c r="K2212" s="22">
        <v>1</v>
      </c>
      <c r="L2212" s="1">
        <v>42707</v>
      </c>
      <c r="M2212" s="22">
        <f>Table10[[#This Row],[Ship Date]]-Table10[[#This Row],[Order Date]]</f>
        <v>6</v>
      </c>
      <c r="N2212" t="s">
        <v>45</v>
      </c>
      <c r="O2212" t="s">
        <v>23</v>
      </c>
      <c r="P2212" t="s">
        <v>48</v>
      </c>
      <c r="Q2212" t="s">
        <v>26</v>
      </c>
      <c r="R2212" t="s">
        <v>47</v>
      </c>
      <c r="S2212" s="33">
        <v>0.2</v>
      </c>
      <c r="T2212" s="13">
        <v>116.76</v>
      </c>
      <c r="U2212" s="13">
        <v>14.595000000000001</v>
      </c>
      <c r="V2212" s="21">
        <f>Table10[[#This Row],[Profit]]/Table10[[#This Row],[Sales]]</f>
        <v>0.125</v>
      </c>
    </row>
    <row r="2213" spans="1:22" x14ac:dyDescent="0.2">
      <c r="A2213">
        <v>2212</v>
      </c>
      <c r="B2213" t="s">
        <v>8564</v>
      </c>
      <c r="C2213" s="1">
        <v>42701</v>
      </c>
      <c r="D2213" s="22">
        <f>MONTH(Table10[[#This Row],[Order Date]])</f>
        <v>11</v>
      </c>
      <c r="E2213" t="s">
        <v>3373</v>
      </c>
      <c r="F2213" t="s">
        <v>2884</v>
      </c>
      <c r="G2213" s="23" t="s">
        <v>28</v>
      </c>
      <c r="H2213" s="23" t="s">
        <v>50</v>
      </c>
      <c r="I2213" t="s">
        <v>3858</v>
      </c>
      <c r="J2213" t="s">
        <v>22</v>
      </c>
      <c r="K2213" s="22">
        <v>7</v>
      </c>
      <c r="L2213" s="1">
        <v>42707</v>
      </c>
      <c r="M2213" s="22">
        <f>Table10[[#This Row],[Ship Date]]-Table10[[#This Row],[Order Date]]</f>
        <v>6</v>
      </c>
      <c r="N2213" t="s">
        <v>45</v>
      </c>
      <c r="O2213" t="s">
        <v>23</v>
      </c>
      <c r="P2213" t="s">
        <v>48</v>
      </c>
      <c r="Q2213" t="s">
        <v>26</v>
      </c>
      <c r="R2213" t="s">
        <v>47</v>
      </c>
      <c r="S2213" s="33">
        <v>0.45</v>
      </c>
      <c r="T2213" s="13">
        <v>331.02300000000002</v>
      </c>
      <c r="U2213" s="13">
        <v>-114.35339999999999</v>
      </c>
      <c r="V2213" s="21">
        <f>Table10[[#This Row],[Profit]]/Table10[[#This Row],[Sales]]</f>
        <v>-0.3454545454545454</v>
      </c>
    </row>
    <row r="2214" spans="1:22" x14ac:dyDescent="0.2">
      <c r="A2214">
        <v>2213</v>
      </c>
      <c r="B2214" t="s">
        <v>9363</v>
      </c>
      <c r="C2214" s="1">
        <v>42701</v>
      </c>
      <c r="D2214" s="22">
        <f>MONTH(Table10[[#This Row],[Order Date]])</f>
        <v>11</v>
      </c>
      <c r="E2214" t="s">
        <v>916</v>
      </c>
      <c r="F2214" t="s">
        <v>917</v>
      </c>
      <c r="G2214" s="23" t="s">
        <v>41</v>
      </c>
      <c r="H2214" s="23" t="s">
        <v>53</v>
      </c>
      <c r="I2214" t="s">
        <v>5050</v>
      </c>
      <c r="J2214" t="s">
        <v>22</v>
      </c>
      <c r="K2214" s="22">
        <v>4</v>
      </c>
      <c r="L2214" s="1">
        <v>42705</v>
      </c>
      <c r="M2214" s="22">
        <f>Table10[[#This Row],[Ship Date]]-Table10[[#This Row],[Order Date]]</f>
        <v>4</v>
      </c>
      <c r="N2214" t="s">
        <v>45</v>
      </c>
      <c r="O2214" t="s">
        <v>23</v>
      </c>
      <c r="P2214" t="s">
        <v>277</v>
      </c>
      <c r="Q2214" t="s">
        <v>39</v>
      </c>
      <c r="R2214" t="s">
        <v>481</v>
      </c>
      <c r="S2214" s="33">
        <v>0.2</v>
      </c>
      <c r="T2214" s="13">
        <v>39.808</v>
      </c>
      <c r="U2214" s="13">
        <v>3.9807999999999999</v>
      </c>
      <c r="V2214" s="21">
        <f>Table10[[#This Row],[Profit]]/Table10[[#This Row],[Sales]]</f>
        <v>9.9999999999999992E-2</v>
      </c>
    </row>
    <row r="2215" spans="1:22" x14ac:dyDescent="0.2">
      <c r="A2215">
        <v>2214</v>
      </c>
      <c r="B2215" t="s">
        <v>10060</v>
      </c>
      <c r="C2215" s="1">
        <v>42701</v>
      </c>
      <c r="D2215" s="22">
        <f>MONTH(Table10[[#This Row],[Order Date]])</f>
        <v>11</v>
      </c>
      <c r="E2215" t="s">
        <v>5208</v>
      </c>
      <c r="F2215" t="s">
        <v>5209</v>
      </c>
      <c r="G2215" s="23" t="s">
        <v>41</v>
      </c>
      <c r="H2215" s="23" t="s">
        <v>82</v>
      </c>
      <c r="I2215" t="s">
        <v>686</v>
      </c>
      <c r="J2215" t="s">
        <v>22</v>
      </c>
      <c r="K2215" s="22">
        <v>4</v>
      </c>
      <c r="L2215" s="1">
        <v>42704</v>
      </c>
      <c r="M2215" s="22">
        <f>Table10[[#This Row],[Ship Date]]-Table10[[#This Row],[Order Date]]</f>
        <v>3</v>
      </c>
      <c r="N2215" t="s">
        <v>169</v>
      </c>
      <c r="O2215" t="s">
        <v>23</v>
      </c>
      <c r="P2215" t="s">
        <v>695</v>
      </c>
      <c r="Q2215" t="s">
        <v>133</v>
      </c>
      <c r="R2215" t="s">
        <v>9794</v>
      </c>
      <c r="S2215" s="33">
        <v>0</v>
      </c>
      <c r="T2215" s="13">
        <v>25.92</v>
      </c>
      <c r="U2215" s="13">
        <v>12.441599999999999</v>
      </c>
      <c r="V2215" s="21">
        <f>Table10[[#This Row],[Profit]]/Table10[[#This Row],[Sales]]</f>
        <v>0.47999999999999993</v>
      </c>
    </row>
    <row r="2216" spans="1:22" x14ac:dyDescent="0.2">
      <c r="A2216">
        <v>2215</v>
      </c>
      <c r="B2216" t="s">
        <v>10060</v>
      </c>
      <c r="C2216" s="1">
        <v>42701</v>
      </c>
      <c r="D2216" s="22">
        <f>MONTH(Table10[[#This Row],[Order Date]])</f>
        <v>11</v>
      </c>
      <c r="E2216" t="s">
        <v>1162</v>
      </c>
      <c r="F2216" t="s">
        <v>1163</v>
      </c>
      <c r="G2216" s="23" t="s">
        <v>41</v>
      </c>
      <c r="H2216" s="23" t="s">
        <v>61</v>
      </c>
      <c r="I2216" t="s">
        <v>686</v>
      </c>
      <c r="J2216" t="s">
        <v>22</v>
      </c>
      <c r="K2216" s="22">
        <v>3</v>
      </c>
      <c r="L2216" s="1">
        <v>42704</v>
      </c>
      <c r="M2216" s="22">
        <f>Table10[[#This Row],[Ship Date]]-Table10[[#This Row],[Order Date]]</f>
        <v>3</v>
      </c>
      <c r="N2216" t="s">
        <v>169</v>
      </c>
      <c r="O2216" t="s">
        <v>23</v>
      </c>
      <c r="P2216" t="s">
        <v>695</v>
      </c>
      <c r="Q2216" t="s">
        <v>133</v>
      </c>
      <c r="R2216" t="s">
        <v>9794</v>
      </c>
      <c r="S2216" s="33">
        <v>0</v>
      </c>
      <c r="T2216" s="13">
        <v>34.65</v>
      </c>
      <c r="U2216" s="13">
        <v>9.702</v>
      </c>
      <c r="V2216" s="21">
        <f>Table10[[#This Row],[Profit]]/Table10[[#This Row],[Sales]]</f>
        <v>0.28000000000000003</v>
      </c>
    </row>
    <row r="2217" spans="1:22" x14ac:dyDescent="0.2">
      <c r="A2217">
        <v>2216</v>
      </c>
      <c r="B2217" t="s">
        <v>10060</v>
      </c>
      <c r="C2217" s="1">
        <v>42701</v>
      </c>
      <c r="D2217" s="22">
        <f>MONTH(Table10[[#This Row],[Order Date]])</f>
        <v>11</v>
      </c>
      <c r="E2217" t="s">
        <v>2885</v>
      </c>
      <c r="F2217" t="s">
        <v>2886</v>
      </c>
      <c r="G2217" s="23" t="s">
        <v>41</v>
      </c>
      <c r="H2217" s="23" t="s">
        <v>82</v>
      </c>
      <c r="I2217" t="s">
        <v>686</v>
      </c>
      <c r="J2217" t="s">
        <v>22</v>
      </c>
      <c r="K2217" s="22">
        <v>5</v>
      </c>
      <c r="L2217" s="1">
        <v>42704</v>
      </c>
      <c r="M2217" s="22">
        <f>Table10[[#This Row],[Ship Date]]-Table10[[#This Row],[Order Date]]</f>
        <v>3</v>
      </c>
      <c r="N2217" t="s">
        <v>169</v>
      </c>
      <c r="O2217" t="s">
        <v>23</v>
      </c>
      <c r="P2217" t="s">
        <v>695</v>
      </c>
      <c r="Q2217" t="s">
        <v>133</v>
      </c>
      <c r="R2217" t="s">
        <v>9794</v>
      </c>
      <c r="S2217" s="33">
        <v>0</v>
      </c>
      <c r="T2217" s="13">
        <v>204.95</v>
      </c>
      <c r="U2217" s="13">
        <v>100.4255</v>
      </c>
      <c r="V2217" s="21">
        <f>Table10[[#This Row],[Profit]]/Table10[[#This Row],[Sales]]</f>
        <v>0.49000000000000005</v>
      </c>
    </row>
    <row r="2218" spans="1:22" x14ac:dyDescent="0.2">
      <c r="A2218">
        <v>2217</v>
      </c>
      <c r="B2218" t="s">
        <v>10060</v>
      </c>
      <c r="C2218" s="1">
        <v>42701</v>
      </c>
      <c r="D2218" s="22">
        <f>MONTH(Table10[[#This Row],[Order Date]])</f>
        <v>11</v>
      </c>
      <c r="E2218" t="s">
        <v>5144</v>
      </c>
      <c r="F2218" t="s">
        <v>5145</v>
      </c>
      <c r="G2218" s="23" t="s">
        <v>41</v>
      </c>
      <c r="H2218" s="23" t="s">
        <v>68</v>
      </c>
      <c r="I2218" t="s">
        <v>686</v>
      </c>
      <c r="J2218" t="s">
        <v>22</v>
      </c>
      <c r="K2218" s="22">
        <v>5</v>
      </c>
      <c r="L2218" s="1">
        <v>42704</v>
      </c>
      <c r="M2218" s="22">
        <f>Table10[[#This Row],[Ship Date]]-Table10[[#This Row],[Order Date]]</f>
        <v>3</v>
      </c>
      <c r="N2218" t="s">
        <v>169</v>
      </c>
      <c r="O2218" t="s">
        <v>23</v>
      </c>
      <c r="P2218" t="s">
        <v>695</v>
      </c>
      <c r="Q2218" t="s">
        <v>133</v>
      </c>
      <c r="R2218" t="s">
        <v>9794</v>
      </c>
      <c r="S2218" s="33">
        <v>0</v>
      </c>
      <c r="T2218" s="13">
        <v>79.95</v>
      </c>
      <c r="U2218" s="13">
        <v>38.375999999999998</v>
      </c>
      <c r="V2218" s="21">
        <f>Table10[[#This Row],[Profit]]/Table10[[#This Row],[Sales]]</f>
        <v>0.47999999999999993</v>
      </c>
    </row>
    <row r="2219" spans="1:22" x14ac:dyDescent="0.2">
      <c r="A2219">
        <v>2218</v>
      </c>
      <c r="B2219" t="s">
        <v>657</v>
      </c>
      <c r="C2219" s="1">
        <v>42702</v>
      </c>
      <c r="D2219" s="22">
        <f>MONTH(Table10[[#This Row],[Order Date]])</f>
        <v>11</v>
      </c>
      <c r="E2219" t="s">
        <v>661</v>
      </c>
      <c r="F2219" t="s">
        <v>662</v>
      </c>
      <c r="G2219" s="23" t="s">
        <v>41</v>
      </c>
      <c r="H2219" s="23" t="s">
        <v>68</v>
      </c>
      <c r="I2219" t="s">
        <v>658</v>
      </c>
      <c r="J2219" t="s">
        <v>22</v>
      </c>
      <c r="K2219" s="22">
        <v>2</v>
      </c>
      <c r="L2219" s="1">
        <v>42706</v>
      </c>
      <c r="M2219" s="22">
        <f>Table10[[#This Row],[Ship Date]]-Table10[[#This Row],[Order Date]]</f>
        <v>4</v>
      </c>
      <c r="N2219" t="s">
        <v>45</v>
      </c>
      <c r="O2219" t="s">
        <v>23</v>
      </c>
      <c r="P2219" t="s">
        <v>660</v>
      </c>
      <c r="Q2219" t="s">
        <v>133</v>
      </c>
      <c r="R2219" t="s">
        <v>659</v>
      </c>
      <c r="S2219" s="33">
        <v>0</v>
      </c>
      <c r="T2219" s="13">
        <v>7.16</v>
      </c>
      <c r="U2219" s="13">
        <v>3.4367999999999999</v>
      </c>
      <c r="V2219" s="21">
        <f>Table10[[#This Row],[Profit]]/Table10[[#This Row],[Sales]]</f>
        <v>0.48</v>
      </c>
    </row>
    <row r="2220" spans="1:22" x14ac:dyDescent="0.2">
      <c r="A2220">
        <v>2219</v>
      </c>
      <c r="B2220" t="s">
        <v>5373</v>
      </c>
      <c r="C2220" s="1">
        <v>42702</v>
      </c>
      <c r="D2220" s="22">
        <f>MONTH(Table10[[#This Row],[Order Date]])</f>
        <v>11</v>
      </c>
      <c r="E2220" t="s">
        <v>2966</v>
      </c>
      <c r="F2220" t="s">
        <v>2967</v>
      </c>
      <c r="G2220" s="23" t="s">
        <v>41</v>
      </c>
      <c r="H2220" s="23" t="s">
        <v>68</v>
      </c>
      <c r="I2220" t="s">
        <v>2355</v>
      </c>
      <c r="J2220" t="s">
        <v>36</v>
      </c>
      <c r="K2220" s="22">
        <v>6</v>
      </c>
      <c r="L2220" s="1">
        <v>42707</v>
      </c>
      <c r="M2220" s="22">
        <f>Table10[[#This Row],[Ship Date]]-Table10[[#This Row],[Order Date]]</f>
        <v>5</v>
      </c>
      <c r="N2220" t="s">
        <v>45</v>
      </c>
      <c r="O2220" t="s">
        <v>23</v>
      </c>
      <c r="P2220" t="s">
        <v>48</v>
      </c>
      <c r="Q2220" t="s">
        <v>26</v>
      </c>
      <c r="R2220" t="s">
        <v>2015</v>
      </c>
      <c r="S2220" s="33">
        <v>0.7</v>
      </c>
      <c r="T2220" s="13">
        <v>7.4340000000000002</v>
      </c>
      <c r="U2220" s="13">
        <v>-5.6993999999999998</v>
      </c>
      <c r="V2220" s="21">
        <f>Table10[[#This Row],[Profit]]/Table10[[#This Row],[Sales]]</f>
        <v>-0.76666666666666661</v>
      </c>
    </row>
    <row r="2221" spans="1:22" x14ac:dyDescent="0.2">
      <c r="A2221">
        <v>2220</v>
      </c>
      <c r="B2221" t="s">
        <v>7095</v>
      </c>
      <c r="C2221" s="1">
        <v>42702</v>
      </c>
      <c r="D2221" s="22">
        <f>MONTH(Table10[[#This Row],[Order Date]])</f>
        <v>11</v>
      </c>
      <c r="E2221" t="s">
        <v>786</v>
      </c>
      <c r="F2221" t="s">
        <v>787</v>
      </c>
      <c r="G2221" s="23" t="s">
        <v>28</v>
      </c>
      <c r="H2221" s="23" t="s">
        <v>32</v>
      </c>
      <c r="I2221" t="s">
        <v>4475</v>
      </c>
      <c r="J2221" t="s">
        <v>36</v>
      </c>
      <c r="K2221" s="22">
        <v>3</v>
      </c>
      <c r="L2221" s="1">
        <v>42705</v>
      </c>
      <c r="M2221" s="22">
        <f>Table10[[#This Row],[Ship Date]]-Table10[[#This Row],[Order Date]]</f>
        <v>3</v>
      </c>
      <c r="N2221" t="s">
        <v>20</v>
      </c>
      <c r="O2221" t="s">
        <v>23</v>
      </c>
      <c r="P2221" t="s">
        <v>1125</v>
      </c>
      <c r="Q2221" t="s">
        <v>26</v>
      </c>
      <c r="R2221" t="s">
        <v>7036</v>
      </c>
      <c r="S2221" s="33">
        <v>0</v>
      </c>
      <c r="T2221" s="13">
        <v>182.67</v>
      </c>
      <c r="U2221" s="13">
        <v>52.974299999999999</v>
      </c>
      <c r="V2221" s="21">
        <f>Table10[[#This Row],[Profit]]/Table10[[#This Row],[Sales]]</f>
        <v>0.29000000000000004</v>
      </c>
    </row>
    <row r="2222" spans="1:22" x14ac:dyDescent="0.2">
      <c r="A2222">
        <v>2221</v>
      </c>
      <c r="B2222" t="s">
        <v>7095</v>
      </c>
      <c r="C2222" s="1">
        <v>42702</v>
      </c>
      <c r="D2222" s="22">
        <f>MONTH(Table10[[#This Row],[Order Date]])</f>
        <v>11</v>
      </c>
      <c r="E2222" t="s">
        <v>2261</v>
      </c>
      <c r="F2222" t="s">
        <v>2262</v>
      </c>
      <c r="G2222" s="23" t="s">
        <v>64</v>
      </c>
      <c r="H2222" s="23" t="s">
        <v>144</v>
      </c>
      <c r="I2222" t="s">
        <v>4475</v>
      </c>
      <c r="J2222" t="s">
        <v>36</v>
      </c>
      <c r="K2222" s="22">
        <v>6</v>
      </c>
      <c r="L2222" s="1">
        <v>42705</v>
      </c>
      <c r="M2222" s="22">
        <f>Table10[[#This Row],[Ship Date]]-Table10[[#This Row],[Order Date]]</f>
        <v>3</v>
      </c>
      <c r="N2222" t="s">
        <v>20</v>
      </c>
      <c r="O2222" t="s">
        <v>23</v>
      </c>
      <c r="P2222" t="s">
        <v>1125</v>
      </c>
      <c r="Q2222" t="s">
        <v>26</v>
      </c>
      <c r="R2222" t="s">
        <v>7036</v>
      </c>
      <c r="S2222" s="33">
        <v>0</v>
      </c>
      <c r="T2222" s="13">
        <v>101.7</v>
      </c>
      <c r="U2222" s="13">
        <v>6.1020000000000003</v>
      </c>
      <c r="V2222" s="21">
        <f>Table10[[#This Row],[Profit]]/Table10[[#This Row],[Sales]]</f>
        <v>6.0000000000000005E-2</v>
      </c>
    </row>
    <row r="2223" spans="1:22" x14ac:dyDescent="0.2">
      <c r="A2223">
        <v>2222</v>
      </c>
      <c r="B2223" t="s">
        <v>7095</v>
      </c>
      <c r="C2223" s="1">
        <v>42702</v>
      </c>
      <c r="D2223" s="22">
        <f>MONTH(Table10[[#This Row],[Order Date]])</f>
        <v>11</v>
      </c>
      <c r="E2223" t="s">
        <v>1568</v>
      </c>
      <c r="F2223" t="s">
        <v>1569</v>
      </c>
      <c r="G2223" s="23" t="s">
        <v>41</v>
      </c>
      <c r="H2223" s="23" t="s">
        <v>53</v>
      </c>
      <c r="I2223" t="s">
        <v>4475</v>
      </c>
      <c r="J2223" t="s">
        <v>36</v>
      </c>
      <c r="K2223" s="22">
        <v>3</v>
      </c>
      <c r="L2223" s="1">
        <v>42705</v>
      </c>
      <c r="M2223" s="22">
        <f>Table10[[#This Row],[Ship Date]]-Table10[[#This Row],[Order Date]]</f>
        <v>3</v>
      </c>
      <c r="N2223" t="s">
        <v>20</v>
      </c>
      <c r="O2223" t="s">
        <v>23</v>
      </c>
      <c r="P2223" t="s">
        <v>1125</v>
      </c>
      <c r="Q2223" t="s">
        <v>26</v>
      </c>
      <c r="R2223" t="s">
        <v>7036</v>
      </c>
      <c r="S2223" s="33">
        <v>0</v>
      </c>
      <c r="T2223" s="13">
        <v>1126.02</v>
      </c>
      <c r="U2223" s="13">
        <v>56.301000000000002</v>
      </c>
      <c r="V2223" s="21">
        <f>Table10[[#This Row],[Profit]]/Table10[[#This Row],[Sales]]</f>
        <v>0.05</v>
      </c>
    </row>
    <row r="2224" spans="1:22" x14ac:dyDescent="0.2">
      <c r="A2224">
        <v>2223</v>
      </c>
      <c r="B2224" t="s">
        <v>7095</v>
      </c>
      <c r="C2224" s="1">
        <v>42702</v>
      </c>
      <c r="D2224" s="22">
        <f>MONTH(Table10[[#This Row],[Order Date]])</f>
        <v>11</v>
      </c>
      <c r="E2224" t="s">
        <v>6822</v>
      </c>
      <c r="F2224" t="s">
        <v>6823</v>
      </c>
      <c r="G2224" s="23" t="s">
        <v>41</v>
      </c>
      <c r="H2224" s="23" t="s">
        <v>53</v>
      </c>
      <c r="I2224" t="s">
        <v>4475</v>
      </c>
      <c r="J2224" t="s">
        <v>36</v>
      </c>
      <c r="K2224" s="22">
        <v>6</v>
      </c>
      <c r="L2224" s="1">
        <v>42705</v>
      </c>
      <c r="M2224" s="22">
        <f>Table10[[#This Row],[Ship Date]]-Table10[[#This Row],[Order Date]]</f>
        <v>3</v>
      </c>
      <c r="N2224" t="s">
        <v>20</v>
      </c>
      <c r="O2224" t="s">
        <v>23</v>
      </c>
      <c r="P2224" t="s">
        <v>1125</v>
      </c>
      <c r="Q2224" t="s">
        <v>26</v>
      </c>
      <c r="R2224" t="s">
        <v>7036</v>
      </c>
      <c r="S2224" s="33">
        <v>0</v>
      </c>
      <c r="T2224" s="13">
        <v>1263.3</v>
      </c>
      <c r="U2224" s="13">
        <v>315.82499999999999</v>
      </c>
      <c r="V2224" s="21">
        <f>Table10[[#This Row],[Profit]]/Table10[[#This Row],[Sales]]</f>
        <v>0.25</v>
      </c>
    </row>
    <row r="2225" spans="1:22" x14ac:dyDescent="0.2">
      <c r="A2225">
        <v>2224</v>
      </c>
      <c r="B2225" t="s">
        <v>8668</v>
      </c>
      <c r="C2225" s="1">
        <v>42702</v>
      </c>
      <c r="D2225" s="22">
        <f>MONTH(Table10[[#This Row],[Order Date]])</f>
        <v>11</v>
      </c>
      <c r="E2225" t="s">
        <v>2984</v>
      </c>
      <c r="F2225" t="s">
        <v>2985</v>
      </c>
      <c r="G2225" s="23" t="s">
        <v>64</v>
      </c>
      <c r="H2225" s="23" t="s">
        <v>65</v>
      </c>
      <c r="I2225" t="s">
        <v>774</v>
      </c>
      <c r="J2225" t="s">
        <v>36</v>
      </c>
      <c r="K2225" s="22">
        <v>3</v>
      </c>
      <c r="L2225" s="1">
        <v>42708</v>
      </c>
      <c r="M2225" s="22">
        <f>Table10[[#This Row],[Ship Date]]-Table10[[#This Row],[Order Date]]</f>
        <v>6</v>
      </c>
      <c r="N2225" t="s">
        <v>45</v>
      </c>
      <c r="O2225" t="s">
        <v>23</v>
      </c>
      <c r="P2225" t="s">
        <v>132</v>
      </c>
      <c r="Q2225" t="s">
        <v>133</v>
      </c>
      <c r="R2225" t="s">
        <v>131</v>
      </c>
      <c r="S2225" s="33">
        <v>0.4</v>
      </c>
      <c r="T2225" s="13">
        <v>340.18200000000002</v>
      </c>
      <c r="U2225" s="13">
        <v>-73.706100000000006</v>
      </c>
      <c r="V2225" s="21">
        <f>Table10[[#This Row],[Profit]]/Table10[[#This Row],[Sales]]</f>
        <v>-0.21666666666666667</v>
      </c>
    </row>
    <row r="2226" spans="1:22" x14ac:dyDescent="0.2">
      <c r="A2226">
        <v>2225</v>
      </c>
      <c r="B2226" t="s">
        <v>8668</v>
      </c>
      <c r="C2226" s="1">
        <v>42702</v>
      </c>
      <c r="D2226" s="22">
        <f>MONTH(Table10[[#This Row],[Order Date]])</f>
        <v>11</v>
      </c>
      <c r="E2226" t="s">
        <v>4414</v>
      </c>
      <c r="F2226" t="s">
        <v>4415</v>
      </c>
      <c r="G2226" s="23" t="s">
        <v>41</v>
      </c>
      <c r="H2226" s="23" t="s">
        <v>240</v>
      </c>
      <c r="I2226" t="s">
        <v>774</v>
      </c>
      <c r="J2226" t="s">
        <v>36</v>
      </c>
      <c r="K2226" s="22">
        <v>8</v>
      </c>
      <c r="L2226" s="1">
        <v>42708</v>
      </c>
      <c r="M2226" s="22">
        <f>Table10[[#This Row],[Ship Date]]-Table10[[#This Row],[Order Date]]</f>
        <v>6</v>
      </c>
      <c r="N2226" t="s">
        <v>45</v>
      </c>
      <c r="O2226" t="s">
        <v>23</v>
      </c>
      <c r="P2226" t="s">
        <v>132</v>
      </c>
      <c r="Q2226" t="s">
        <v>133</v>
      </c>
      <c r="R2226" t="s">
        <v>131</v>
      </c>
      <c r="S2226" s="33">
        <v>0.2</v>
      </c>
      <c r="T2226" s="13">
        <v>12.672000000000001</v>
      </c>
      <c r="U2226" s="13">
        <v>2.6928000000000001</v>
      </c>
      <c r="V2226" s="21">
        <f>Table10[[#This Row],[Profit]]/Table10[[#This Row],[Sales]]</f>
        <v>0.21249999999999999</v>
      </c>
    </row>
    <row r="2227" spans="1:22" x14ac:dyDescent="0.2">
      <c r="A2227">
        <v>2226</v>
      </c>
      <c r="B2227" t="s">
        <v>8668</v>
      </c>
      <c r="C2227" s="1">
        <v>42702</v>
      </c>
      <c r="D2227" s="22">
        <f>MONTH(Table10[[#This Row],[Order Date]])</f>
        <v>11</v>
      </c>
      <c r="E2227" t="s">
        <v>5282</v>
      </c>
      <c r="F2227" t="s">
        <v>5283</v>
      </c>
      <c r="G2227" s="23" t="s">
        <v>41</v>
      </c>
      <c r="H2227" s="23" t="s">
        <v>68</v>
      </c>
      <c r="I2227" t="s">
        <v>774</v>
      </c>
      <c r="J2227" t="s">
        <v>36</v>
      </c>
      <c r="K2227" s="22">
        <v>2</v>
      </c>
      <c r="L2227" s="1">
        <v>42708</v>
      </c>
      <c r="M2227" s="22">
        <f>Table10[[#This Row],[Ship Date]]-Table10[[#This Row],[Order Date]]</f>
        <v>6</v>
      </c>
      <c r="N2227" t="s">
        <v>45</v>
      </c>
      <c r="O2227" t="s">
        <v>23</v>
      </c>
      <c r="P2227" t="s">
        <v>132</v>
      </c>
      <c r="Q2227" t="s">
        <v>133</v>
      </c>
      <c r="R2227" t="s">
        <v>131</v>
      </c>
      <c r="S2227" s="33">
        <v>0.7</v>
      </c>
      <c r="T2227" s="13">
        <v>6.8879999999999999</v>
      </c>
      <c r="U2227" s="13">
        <v>-5.0511999999999997</v>
      </c>
      <c r="V2227" s="21">
        <f>Table10[[#This Row],[Profit]]/Table10[[#This Row],[Sales]]</f>
        <v>-0.73333333333333328</v>
      </c>
    </row>
    <row r="2228" spans="1:22" x14ac:dyDescent="0.2">
      <c r="A2228">
        <v>2227</v>
      </c>
      <c r="B2228" t="s">
        <v>8668</v>
      </c>
      <c r="C2228" s="1">
        <v>42702</v>
      </c>
      <c r="D2228" s="22">
        <f>MONTH(Table10[[#This Row],[Order Date]])</f>
        <v>11</v>
      </c>
      <c r="E2228" t="s">
        <v>5758</v>
      </c>
      <c r="F2228" t="s">
        <v>5759</v>
      </c>
      <c r="G2228" s="23" t="s">
        <v>41</v>
      </c>
      <c r="H2228" s="23" t="s">
        <v>53</v>
      </c>
      <c r="I2228" t="s">
        <v>774</v>
      </c>
      <c r="J2228" t="s">
        <v>36</v>
      </c>
      <c r="K2228" s="22">
        <v>2</v>
      </c>
      <c r="L2228" s="1">
        <v>42708</v>
      </c>
      <c r="M2228" s="22">
        <f>Table10[[#This Row],[Ship Date]]-Table10[[#This Row],[Order Date]]</f>
        <v>6</v>
      </c>
      <c r="N2228" t="s">
        <v>45</v>
      </c>
      <c r="O2228" t="s">
        <v>23</v>
      </c>
      <c r="P2228" t="s">
        <v>132</v>
      </c>
      <c r="Q2228" t="s">
        <v>133</v>
      </c>
      <c r="R2228" t="s">
        <v>131</v>
      </c>
      <c r="S2228" s="33">
        <v>0.2</v>
      </c>
      <c r="T2228" s="13">
        <v>32.543999999999997</v>
      </c>
      <c r="U2228" s="13">
        <v>-7.7291999999999996</v>
      </c>
      <c r="V2228" s="21">
        <f>Table10[[#This Row],[Profit]]/Table10[[#This Row],[Sales]]</f>
        <v>-0.23750000000000002</v>
      </c>
    </row>
    <row r="2229" spans="1:22" x14ac:dyDescent="0.2">
      <c r="A2229">
        <v>2228</v>
      </c>
      <c r="B2229" t="s">
        <v>8668</v>
      </c>
      <c r="C2229" s="1">
        <v>42702</v>
      </c>
      <c r="D2229" s="22">
        <f>MONTH(Table10[[#This Row],[Order Date]])</f>
        <v>11</v>
      </c>
      <c r="E2229" t="s">
        <v>1627</v>
      </c>
      <c r="F2229" t="s">
        <v>1628</v>
      </c>
      <c r="G2229" s="23" t="s">
        <v>28</v>
      </c>
      <c r="H2229" s="23" t="s">
        <v>32</v>
      </c>
      <c r="I2229" t="s">
        <v>774</v>
      </c>
      <c r="J2229" t="s">
        <v>36</v>
      </c>
      <c r="K2229" s="22">
        <v>7</v>
      </c>
      <c r="L2229" s="1">
        <v>42708</v>
      </c>
      <c r="M2229" s="22">
        <f>Table10[[#This Row],[Ship Date]]-Table10[[#This Row],[Order Date]]</f>
        <v>6</v>
      </c>
      <c r="N2229" t="s">
        <v>45</v>
      </c>
      <c r="O2229" t="s">
        <v>23</v>
      </c>
      <c r="P2229" t="s">
        <v>132</v>
      </c>
      <c r="Q2229" t="s">
        <v>133</v>
      </c>
      <c r="R2229" t="s">
        <v>131</v>
      </c>
      <c r="S2229" s="33">
        <v>0.3</v>
      </c>
      <c r="T2229" s="13">
        <v>347.80200000000002</v>
      </c>
      <c r="U2229" s="13">
        <v>-24.843</v>
      </c>
      <c r="V2229" s="21">
        <f>Table10[[#This Row],[Profit]]/Table10[[#This Row],[Sales]]</f>
        <v>-7.1428571428571425E-2</v>
      </c>
    </row>
    <row r="2230" spans="1:22" x14ac:dyDescent="0.2">
      <c r="A2230">
        <v>2229</v>
      </c>
      <c r="B2230" t="s">
        <v>6074</v>
      </c>
      <c r="C2230" s="1">
        <v>42703</v>
      </c>
      <c r="D2230" s="22">
        <f>MONTH(Table10[[#This Row],[Order Date]])</f>
        <v>11</v>
      </c>
      <c r="E2230" t="s">
        <v>4774</v>
      </c>
      <c r="F2230" t="s">
        <v>4775</v>
      </c>
      <c r="G2230" s="23" t="s">
        <v>64</v>
      </c>
      <c r="H2230" s="23" t="s">
        <v>144</v>
      </c>
      <c r="I2230" t="s">
        <v>6075</v>
      </c>
      <c r="J2230" t="s">
        <v>36</v>
      </c>
      <c r="K2230" s="22">
        <v>2</v>
      </c>
      <c r="L2230" s="1">
        <v>42705</v>
      </c>
      <c r="M2230" s="22">
        <f>Table10[[#This Row],[Ship Date]]-Table10[[#This Row],[Order Date]]</f>
        <v>2</v>
      </c>
      <c r="N2230" t="s">
        <v>20</v>
      </c>
      <c r="O2230" t="s">
        <v>23</v>
      </c>
      <c r="P2230" t="s">
        <v>94</v>
      </c>
      <c r="Q2230" t="s">
        <v>95</v>
      </c>
      <c r="R2230" t="s">
        <v>718</v>
      </c>
      <c r="S2230" s="33">
        <v>0.2</v>
      </c>
      <c r="T2230" s="13">
        <v>58.415999999999997</v>
      </c>
      <c r="U2230" s="13">
        <v>16.794599999999999</v>
      </c>
      <c r="V2230" s="21">
        <f>Table10[[#This Row],[Profit]]/Table10[[#This Row],[Sales]]</f>
        <v>0.28749999999999998</v>
      </c>
    </row>
    <row r="2231" spans="1:22" x14ac:dyDescent="0.2">
      <c r="A2231">
        <v>2230</v>
      </c>
      <c r="B2231" t="s">
        <v>8939</v>
      </c>
      <c r="C2231" s="1">
        <v>42703</v>
      </c>
      <c r="D2231" s="22">
        <f>MONTH(Table10[[#This Row],[Order Date]])</f>
        <v>11</v>
      </c>
      <c r="E2231" t="s">
        <v>8566</v>
      </c>
      <c r="F2231" t="s">
        <v>8567</v>
      </c>
      <c r="G2231" s="23" t="s">
        <v>28</v>
      </c>
      <c r="H2231" s="23" t="s">
        <v>58</v>
      </c>
      <c r="I2231" t="s">
        <v>5338</v>
      </c>
      <c r="J2231" t="s">
        <v>92</v>
      </c>
      <c r="K2231" s="22">
        <v>4</v>
      </c>
      <c r="L2231" s="1">
        <v>42708</v>
      </c>
      <c r="M2231" s="22">
        <f>Table10[[#This Row],[Ship Date]]-Table10[[#This Row],[Order Date]]</f>
        <v>5</v>
      </c>
      <c r="N2231" t="s">
        <v>20</v>
      </c>
      <c r="O2231" t="s">
        <v>23</v>
      </c>
      <c r="P2231" t="s">
        <v>189</v>
      </c>
      <c r="Q2231" t="s">
        <v>95</v>
      </c>
      <c r="R2231" t="s">
        <v>404</v>
      </c>
      <c r="S2231" s="33">
        <v>0.6</v>
      </c>
      <c r="T2231" s="13">
        <v>242.17599999999999</v>
      </c>
      <c r="U2231" s="13">
        <v>-302.72000000000003</v>
      </c>
      <c r="V2231" s="21">
        <f>Table10[[#This Row],[Profit]]/Table10[[#This Row],[Sales]]</f>
        <v>-1.2500000000000002</v>
      </c>
    </row>
    <row r="2232" spans="1:22" x14ac:dyDescent="0.2">
      <c r="A2232">
        <v>2231</v>
      </c>
      <c r="B2232" t="s">
        <v>5974</v>
      </c>
      <c r="C2232" s="1">
        <v>42704</v>
      </c>
      <c r="D2232" s="22">
        <f>MONTH(Table10[[#This Row],[Order Date]])</f>
        <v>11</v>
      </c>
      <c r="E2232" t="s">
        <v>5190</v>
      </c>
      <c r="F2232" t="s">
        <v>5191</v>
      </c>
      <c r="G2232" s="23" t="s">
        <v>64</v>
      </c>
      <c r="H2232" s="23" t="s">
        <v>65</v>
      </c>
      <c r="I2232" t="s">
        <v>1571</v>
      </c>
      <c r="J2232" t="s">
        <v>22</v>
      </c>
      <c r="K2232" s="22">
        <v>1</v>
      </c>
      <c r="L2232" s="1">
        <v>42704</v>
      </c>
      <c r="M2232" s="22">
        <f>Table10[[#This Row],[Ship Date]]-Table10[[#This Row],[Order Date]]</f>
        <v>0</v>
      </c>
      <c r="N2232" t="s">
        <v>1141</v>
      </c>
      <c r="O2232" t="s">
        <v>23</v>
      </c>
      <c r="P2232" t="s">
        <v>80</v>
      </c>
      <c r="Q2232" t="s">
        <v>26</v>
      </c>
      <c r="R2232" t="s">
        <v>5975</v>
      </c>
      <c r="S2232" s="33">
        <v>0.2</v>
      </c>
      <c r="T2232" s="13">
        <v>36.192</v>
      </c>
      <c r="U2232" s="13">
        <v>2.7143999999999999</v>
      </c>
      <c r="V2232" s="21">
        <f>Table10[[#This Row],[Profit]]/Table10[[#This Row],[Sales]]</f>
        <v>7.4999999999999997E-2</v>
      </c>
    </row>
    <row r="2233" spans="1:22" x14ac:dyDescent="0.2">
      <c r="A2233">
        <v>2232</v>
      </c>
      <c r="B2233" t="s">
        <v>9306</v>
      </c>
      <c r="C2233" s="1">
        <v>42704</v>
      </c>
      <c r="D2233" s="22">
        <f>MONTH(Table10[[#This Row],[Order Date]])</f>
        <v>11</v>
      </c>
      <c r="E2233" t="s">
        <v>4744</v>
      </c>
      <c r="F2233" t="s">
        <v>4745</v>
      </c>
      <c r="G2233" s="23" t="s">
        <v>41</v>
      </c>
      <c r="H2233" s="23" t="s">
        <v>82</v>
      </c>
      <c r="I2233" t="s">
        <v>710</v>
      </c>
      <c r="J2233" t="s">
        <v>22</v>
      </c>
      <c r="K2233" s="22">
        <v>4</v>
      </c>
      <c r="L2233" s="1">
        <v>42710</v>
      </c>
      <c r="M2233" s="22">
        <f>Table10[[#This Row],[Ship Date]]-Table10[[#This Row],[Order Date]]</f>
        <v>6</v>
      </c>
      <c r="N2233" t="s">
        <v>45</v>
      </c>
      <c r="O2233" t="s">
        <v>23</v>
      </c>
      <c r="P2233" t="s">
        <v>212</v>
      </c>
      <c r="Q2233" t="s">
        <v>95</v>
      </c>
      <c r="R2233" t="s">
        <v>775</v>
      </c>
      <c r="S2233" s="33">
        <v>0</v>
      </c>
      <c r="T2233" s="13">
        <v>33.36</v>
      </c>
      <c r="U2233" s="13">
        <v>16.68</v>
      </c>
      <c r="V2233" s="21">
        <f>Table10[[#This Row],[Profit]]/Table10[[#This Row],[Sales]]</f>
        <v>0.5</v>
      </c>
    </row>
    <row r="2234" spans="1:22" x14ac:dyDescent="0.2">
      <c r="A2234">
        <v>2233</v>
      </c>
      <c r="B2234" t="s">
        <v>9306</v>
      </c>
      <c r="C2234" s="1">
        <v>42704</v>
      </c>
      <c r="D2234" s="22">
        <f>MONTH(Table10[[#This Row],[Order Date]])</f>
        <v>11</v>
      </c>
      <c r="E2234" t="s">
        <v>1120</v>
      </c>
      <c r="F2234" t="s">
        <v>1121</v>
      </c>
      <c r="G2234" s="23" t="s">
        <v>41</v>
      </c>
      <c r="H2234" s="23" t="s">
        <v>82</v>
      </c>
      <c r="I2234" t="s">
        <v>710</v>
      </c>
      <c r="J2234" t="s">
        <v>22</v>
      </c>
      <c r="K2234" s="22">
        <v>2</v>
      </c>
      <c r="L2234" s="1">
        <v>42710</v>
      </c>
      <c r="M2234" s="22">
        <f>Table10[[#This Row],[Ship Date]]-Table10[[#This Row],[Order Date]]</f>
        <v>6</v>
      </c>
      <c r="N2234" t="s">
        <v>45</v>
      </c>
      <c r="O2234" t="s">
        <v>23</v>
      </c>
      <c r="P2234" t="s">
        <v>212</v>
      </c>
      <c r="Q2234" t="s">
        <v>95</v>
      </c>
      <c r="R2234" t="s">
        <v>775</v>
      </c>
      <c r="S2234" s="33">
        <v>0</v>
      </c>
      <c r="T2234" s="13">
        <v>13.76</v>
      </c>
      <c r="U2234" s="13">
        <v>6.3296000000000001</v>
      </c>
      <c r="V2234" s="21">
        <f>Table10[[#This Row],[Profit]]/Table10[[#This Row],[Sales]]</f>
        <v>0.46</v>
      </c>
    </row>
    <row r="2235" spans="1:22" x14ac:dyDescent="0.2">
      <c r="A2235">
        <v>2234</v>
      </c>
      <c r="B2235" t="s">
        <v>9306</v>
      </c>
      <c r="C2235" s="1">
        <v>42704</v>
      </c>
      <c r="D2235" s="22">
        <f>MONTH(Table10[[#This Row],[Order Date]])</f>
        <v>11</v>
      </c>
      <c r="E2235" t="s">
        <v>3658</v>
      </c>
      <c r="F2235" t="s">
        <v>3659</v>
      </c>
      <c r="G2235" s="23" t="s">
        <v>41</v>
      </c>
      <c r="H2235" s="23" t="s">
        <v>53</v>
      </c>
      <c r="I2235" t="s">
        <v>710</v>
      </c>
      <c r="J2235" t="s">
        <v>22</v>
      </c>
      <c r="K2235" s="22">
        <v>7</v>
      </c>
      <c r="L2235" s="1">
        <v>42710</v>
      </c>
      <c r="M2235" s="22">
        <f>Table10[[#This Row],[Ship Date]]-Table10[[#This Row],[Order Date]]</f>
        <v>6</v>
      </c>
      <c r="N2235" t="s">
        <v>45</v>
      </c>
      <c r="O2235" t="s">
        <v>23</v>
      </c>
      <c r="P2235" t="s">
        <v>212</v>
      </c>
      <c r="Q2235" t="s">
        <v>95</v>
      </c>
      <c r="R2235" t="s">
        <v>775</v>
      </c>
      <c r="S2235" s="33">
        <v>0</v>
      </c>
      <c r="T2235" s="13">
        <v>496.86</v>
      </c>
      <c r="U2235" s="13">
        <v>24.843</v>
      </c>
      <c r="V2235" s="21">
        <f>Table10[[#This Row],[Profit]]/Table10[[#This Row],[Sales]]</f>
        <v>4.9999999999999996E-2</v>
      </c>
    </row>
    <row r="2236" spans="1:22" x14ac:dyDescent="0.2">
      <c r="A2236">
        <v>2235</v>
      </c>
      <c r="B2236" t="s">
        <v>9306</v>
      </c>
      <c r="C2236" s="1">
        <v>42704</v>
      </c>
      <c r="D2236" s="22">
        <f>MONTH(Table10[[#This Row],[Order Date]])</f>
        <v>11</v>
      </c>
      <c r="E2236" t="s">
        <v>300</v>
      </c>
      <c r="F2236" t="s">
        <v>301</v>
      </c>
      <c r="G2236" s="23" t="s">
        <v>28</v>
      </c>
      <c r="H2236" s="23" t="s">
        <v>32</v>
      </c>
      <c r="I2236" t="s">
        <v>710</v>
      </c>
      <c r="J2236" t="s">
        <v>22</v>
      </c>
      <c r="K2236" s="22">
        <v>3</v>
      </c>
      <c r="L2236" s="1">
        <v>42710</v>
      </c>
      <c r="M2236" s="22">
        <f>Table10[[#This Row],[Ship Date]]-Table10[[#This Row],[Order Date]]</f>
        <v>6</v>
      </c>
      <c r="N2236" t="s">
        <v>45</v>
      </c>
      <c r="O2236" t="s">
        <v>23</v>
      </c>
      <c r="P2236" t="s">
        <v>212</v>
      </c>
      <c r="Q2236" t="s">
        <v>95</v>
      </c>
      <c r="R2236" t="s">
        <v>775</v>
      </c>
      <c r="S2236" s="33">
        <v>0</v>
      </c>
      <c r="T2236" s="13">
        <v>389.97</v>
      </c>
      <c r="U2236" s="13">
        <v>35.097299999999997</v>
      </c>
      <c r="V2236" s="21">
        <f>Table10[[#This Row],[Profit]]/Table10[[#This Row],[Sales]]</f>
        <v>8.9999999999999983E-2</v>
      </c>
    </row>
    <row r="2237" spans="1:22" x14ac:dyDescent="0.2">
      <c r="A2237">
        <v>2236</v>
      </c>
      <c r="B2237" t="s">
        <v>398</v>
      </c>
      <c r="C2237" s="1">
        <v>42705</v>
      </c>
      <c r="D2237" s="22">
        <f>MONTH(Table10[[#This Row],[Order Date]])</f>
        <v>12</v>
      </c>
      <c r="E2237" t="s">
        <v>400</v>
      </c>
      <c r="F2237" t="s">
        <v>401</v>
      </c>
      <c r="G2237" s="23" t="s">
        <v>41</v>
      </c>
      <c r="H2237" s="23" t="s">
        <v>82</v>
      </c>
      <c r="I2237" t="s">
        <v>399</v>
      </c>
      <c r="J2237" t="s">
        <v>22</v>
      </c>
      <c r="K2237" s="22">
        <v>4</v>
      </c>
      <c r="L2237" s="1">
        <v>42708</v>
      </c>
      <c r="M2237" s="22">
        <f>Table10[[#This Row],[Ship Date]]-Table10[[#This Row],[Order Date]]</f>
        <v>3</v>
      </c>
      <c r="N2237" t="s">
        <v>20</v>
      </c>
      <c r="O2237" t="s">
        <v>23</v>
      </c>
      <c r="P2237" t="s">
        <v>204</v>
      </c>
      <c r="Q2237" t="s">
        <v>95</v>
      </c>
      <c r="R2237" t="s">
        <v>347</v>
      </c>
      <c r="S2237" s="33">
        <v>0</v>
      </c>
      <c r="T2237" s="13">
        <v>23.92</v>
      </c>
      <c r="U2237" s="13">
        <v>11.720800000000001</v>
      </c>
      <c r="V2237" s="21">
        <f>Table10[[#This Row],[Profit]]/Table10[[#This Row],[Sales]]</f>
        <v>0.49</v>
      </c>
    </row>
    <row r="2238" spans="1:22" x14ac:dyDescent="0.2">
      <c r="A2238">
        <v>2237</v>
      </c>
      <c r="B2238" t="s">
        <v>2977</v>
      </c>
      <c r="C2238" s="1">
        <v>42705</v>
      </c>
      <c r="D2238" s="22">
        <f>MONTH(Table10[[#This Row],[Order Date]])</f>
        <v>12</v>
      </c>
      <c r="E2238" t="s">
        <v>2979</v>
      </c>
      <c r="F2238" t="s">
        <v>2980</v>
      </c>
      <c r="G2238" s="23" t="s">
        <v>28</v>
      </c>
      <c r="H2238" s="23" t="s">
        <v>32</v>
      </c>
      <c r="I2238" t="s">
        <v>297</v>
      </c>
      <c r="J2238" t="s">
        <v>22</v>
      </c>
      <c r="K2238" s="22">
        <v>2</v>
      </c>
      <c r="L2238" s="1">
        <v>42709</v>
      </c>
      <c r="M2238" s="22">
        <f>Table10[[#This Row],[Ship Date]]-Table10[[#This Row],[Order Date]]</f>
        <v>4</v>
      </c>
      <c r="N2238" t="s">
        <v>45</v>
      </c>
      <c r="O2238" t="s">
        <v>23</v>
      </c>
      <c r="P2238" t="s">
        <v>2408</v>
      </c>
      <c r="Q2238" t="s">
        <v>133</v>
      </c>
      <c r="R2238" t="s">
        <v>2978</v>
      </c>
      <c r="S2238" s="33">
        <v>0</v>
      </c>
      <c r="T2238" s="13">
        <v>172.5</v>
      </c>
      <c r="U2238" s="13">
        <v>51.75</v>
      </c>
      <c r="V2238" s="21">
        <f>Table10[[#This Row],[Profit]]/Table10[[#This Row],[Sales]]</f>
        <v>0.3</v>
      </c>
    </row>
    <row r="2239" spans="1:22" x14ac:dyDescent="0.2">
      <c r="A2239">
        <v>2238</v>
      </c>
      <c r="B2239" t="s">
        <v>2977</v>
      </c>
      <c r="C2239" s="1">
        <v>42705</v>
      </c>
      <c r="D2239" s="22">
        <f>MONTH(Table10[[#This Row],[Order Date]])</f>
        <v>12</v>
      </c>
      <c r="E2239" t="s">
        <v>612</v>
      </c>
      <c r="F2239" t="s">
        <v>613</v>
      </c>
      <c r="G2239" s="23" t="s">
        <v>64</v>
      </c>
      <c r="H2239" s="23" t="s">
        <v>65</v>
      </c>
      <c r="I2239" t="s">
        <v>297</v>
      </c>
      <c r="J2239" t="s">
        <v>22</v>
      </c>
      <c r="K2239" s="22">
        <v>3</v>
      </c>
      <c r="L2239" s="1">
        <v>42709</v>
      </c>
      <c r="M2239" s="22">
        <f>Table10[[#This Row],[Ship Date]]-Table10[[#This Row],[Order Date]]</f>
        <v>4</v>
      </c>
      <c r="N2239" t="s">
        <v>45</v>
      </c>
      <c r="O2239" t="s">
        <v>23</v>
      </c>
      <c r="P2239" t="s">
        <v>2408</v>
      </c>
      <c r="Q2239" t="s">
        <v>133</v>
      </c>
      <c r="R2239" t="s">
        <v>2978</v>
      </c>
      <c r="S2239" s="33">
        <v>0</v>
      </c>
      <c r="T2239" s="13">
        <v>179.97</v>
      </c>
      <c r="U2239" s="13">
        <v>44.9925</v>
      </c>
      <c r="V2239" s="21">
        <f>Table10[[#This Row],[Profit]]/Table10[[#This Row],[Sales]]</f>
        <v>0.25</v>
      </c>
    </row>
    <row r="2240" spans="1:22" x14ac:dyDescent="0.2">
      <c r="A2240">
        <v>2239</v>
      </c>
      <c r="B2240" t="s">
        <v>4372</v>
      </c>
      <c r="C2240" s="1">
        <v>42705</v>
      </c>
      <c r="D2240" s="22">
        <f>MONTH(Table10[[#This Row],[Order Date]])</f>
        <v>12</v>
      </c>
      <c r="E2240" t="s">
        <v>4021</v>
      </c>
      <c r="F2240" t="s">
        <v>4022</v>
      </c>
      <c r="G2240" s="23" t="s">
        <v>28</v>
      </c>
      <c r="H2240" s="23" t="s">
        <v>58</v>
      </c>
      <c r="I2240" t="s">
        <v>3703</v>
      </c>
      <c r="J2240" t="s">
        <v>22</v>
      </c>
      <c r="K2240" s="22">
        <v>3</v>
      </c>
      <c r="L2240" s="1">
        <v>42711</v>
      </c>
      <c r="M2240" s="22">
        <f>Table10[[#This Row],[Ship Date]]-Table10[[#This Row],[Order Date]]</f>
        <v>6</v>
      </c>
      <c r="N2240" t="s">
        <v>45</v>
      </c>
      <c r="O2240" t="s">
        <v>23</v>
      </c>
      <c r="P2240" t="s">
        <v>226</v>
      </c>
      <c r="Q2240" t="s">
        <v>95</v>
      </c>
      <c r="R2240" t="s">
        <v>1294</v>
      </c>
      <c r="S2240" s="33">
        <v>0</v>
      </c>
      <c r="T2240" s="13">
        <v>17.309999999999999</v>
      </c>
      <c r="U2240" s="13">
        <v>5.1929999999999996</v>
      </c>
      <c r="V2240" s="21">
        <f>Table10[[#This Row],[Profit]]/Table10[[#This Row],[Sales]]</f>
        <v>0.3</v>
      </c>
    </row>
    <row r="2241" spans="1:22" x14ac:dyDescent="0.2">
      <c r="A2241">
        <v>2240</v>
      </c>
      <c r="B2241" t="s">
        <v>4557</v>
      </c>
      <c r="C2241" s="1">
        <v>42705</v>
      </c>
      <c r="D2241" s="22">
        <f>MONTH(Table10[[#This Row],[Order Date]])</f>
        <v>12</v>
      </c>
      <c r="E2241" t="s">
        <v>519</v>
      </c>
      <c r="F2241" t="s">
        <v>520</v>
      </c>
      <c r="G2241" s="23" t="s">
        <v>41</v>
      </c>
      <c r="H2241" s="23" t="s">
        <v>61</v>
      </c>
      <c r="I2241" t="s">
        <v>2699</v>
      </c>
      <c r="J2241" t="s">
        <v>22</v>
      </c>
      <c r="K2241" s="22">
        <v>2</v>
      </c>
      <c r="L2241" s="1">
        <v>42710</v>
      </c>
      <c r="M2241" s="22">
        <f>Table10[[#This Row],[Ship Date]]-Table10[[#This Row],[Order Date]]</f>
        <v>5</v>
      </c>
      <c r="N2241" t="s">
        <v>45</v>
      </c>
      <c r="O2241" t="s">
        <v>23</v>
      </c>
      <c r="P2241" t="s">
        <v>299</v>
      </c>
      <c r="Q2241" t="s">
        <v>26</v>
      </c>
      <c r="R2241" t="s">
        <v>4558</v>
      </c>
      <c r="S2241" s="33">
        <v>0.2</v>
      </c>
      <c r="T2241" s="13">
        <v>4.7039999999999997</v>
      </c>
      <c r="U2241" s="13">
        <v>0.41160000000000002</v>
      </c>
      <c r="V2241" s="21">
        <f>Table10[[#This Row],[Profit]]/Table10[[#This Row],[Sales]]</f>
        <v>8.7500000000000008E-2</v>
      </c>
    </row>
    <row r="2242" spans="1:22" x14ac:dyDescent="0.2">
      <c r="A2242">
        <v>2241</v>
      </c>
      <c r="B2242" t="s">
        <v>5961</v>
      </c>
      <c r="C2242" s="1">
        <v>42705</v>
      </c>
      <c r="D2242" s="22">
        <f>MONTH(Table10[[#This Row],[Order Date]])</f>
        <v>12</v>
      </c>
      <c r="E2242" t="s">
        <v>3096</v>
      </c>
      <c r="F2242" t="s">
        <v>3097</v>
      </c>
      <c r="G2242" s="23" t="s">
        <v>28</v>
      </c>
      <c r="H2242" s="23" t="s">
        <v>58</v>
      </c>
      <c r="I2242" t="s">
        <v>3612</v>
      </c>
      <c r="J2242" t="s">
        <v>22</v>
      </c>
      <c r="K2242" s="22">
        <v>2</v>
      </c>
      <c r="L2242" s="1">
        <v>42709</v>
      </c>
      <c r="M2242" s="22">
        <f>Table10[[#This Row],[Ship Date]]-Table10[[#This Row],[Order Date]]</f>
        <v>4</v>
      </c>
      <c r="N2242" t="s">
        <v>45</v>
      </c>
      <c r="O2242" t="s">
        <v>23</v>
      </c>
      <c r="P2242" t="s">
        <v>38</v>
      </c>
      <c r="Q2242" t="s">
        <v>39</v>
      </c>
      <c r="R2242" t="s">
        <v>114</v>
      </c>
      <c r="S2242" s="33">
        <v>0</v>
      </c>
      <c r="T2242" s="13">
        <v>16.739999999999998</v>
      </c>
      <c r="U2242" s="13">
        <v>4.3524000000000003</v>
      </c>
      <c r="V2242" s="21">
        <f>Table10[[#This Row],[Profit]]/Table10[[#This Row],[Sales]]</f>
        <v>0.26000000000000006</v>
      </c>
    </row>
    <row r="2243" spans="1:22" x14ac:dyDescent="0.2">
      <c r="A2243">
        <v>2242</v>
      </c>
      <c r="B2243" t="s">
        <v>6617</v>
      </c>
      <c r="C2243" s="1">
        <v>42705</v>
      </c>
      <c r="D2243" s="22">
        <f>MONTH(Table10[[#This Row],[Order Date]])</f>
        <v>12</v>
      </c>
      <c r="E2243" t="s">
        <v>3110</v>
      </c>
      <c r="F2243" t="s">
        <v>3111</v>
      </c>
      <c r="G2243" s="23" t="s">
        <v>41</v>
      </c>
      <c r="H2243" s="23" t="s">
        <v>68</v>
      </c>
      <c r="I2243" t="s">
        <v>629</v>
      </c>
      <c r="J2243" t="s">
        <v>22</v>
      </c>
      <c r="K2243" s="22">
        <v>6</v>
      </c>
      <c r="L2243" s="1">
        <v>42709</v>
      </c>
      <c r="M2243" s="22">
        <f>Table10[[#This Row],[Ship Date]]-Table10[[#This Row],[Order Date]]</f>
        <v>4</v>
      </c>
      <c r="N2243" t="s">
        <v>20</v>
      </c>
      <c r="O2243" t="s">
        <v>23</v>
      </c>
      <c r="P2243" t="s">
        <v>660</v>
      </c>
      <c r="Q2243" t="s">
        <v>133</v>
      </c>
      <c r="R2243" t="s">
        <v>659</v>
      </c>
      <c r="S2243" s="33">
        <v>0</v>
      </c>
      <c r="T2243" s="13">
        <v>88.08</v>
      </c>
      <c r="U2243" s="13">
        <v>40.516800000000003</v>
      </c>
      <c r="V2243" s="21">
        <f>Table10[[#This Row],[Profit]]/Table10[[#This Row],[Sales]]</f>
        <v>0.46000000000000008</v>
      </c>
    </row>
    <row r="2244" spans="1:22" x14ac:dyDescent="0.2">
      <c r="A2244">
        <v>2243</v>
      </c>
      <c r="B2244" t="s">
        <v>6617</v>
      </c>
      <c r="C2244" s="1">
        <v>42705</v>
      </c>
      <c r="D2244" s="22">
        <f>MONTH(Table10[[#This Row],[Order Date]])</f>
        <v>12</v>
      </c>
      <c r="E2244" t="s">
        <v>1707</v>
      </c>
      <c r="F2244" t="s">
        <v>1708</v>
      </c>
      <c r="G2244" s="23" t="s">
        <v>28</v>
      </c>
      <c r="H2244" s="23" t="s">
        <v>32</v>
      </c>
      <c r="I2244" t="s">
        <v>629</v>
      </c>
      <c r="J2244" t="s">
        <v>22</v>
      </c>
      <c r="K2244" s="22">
        <v>4</v>
      </c>
      <c r="L2244" s="1">
        <v>42709</v>
      </c>
      <c r="M2244" s="22">
        <f>Table10[[#This Row],[Ship Date]]-Table10[[#This Row],[Order Date]]</f>
        <v>4</v>
      </c>
      <c r="N2244" t="s">
        <v>20</v>
      </c>
      <c r="O2244" t="s">
        <v>23</v>
      </c>
      <c r="P2244" t="s">
        <v>660</v>
      </c>
      <c r="Q2244" t="s">
        <v>133</v>
      </c>
      <c r="R2244" t="s">
        <v>659</v>
      </c>
      <c r="S2244" s="33">
        <v>0</v>
      </c>
      <c r="T2244" s="13">
        <v>751.92</v>
      </c>
      <c r="U2244" s="13">
        <v>150.38399999999999</v>
      </c>
      <c r="V2244" s="21">
        <f>Table10[[#This Row],[Profit]]/Table10[[#This Row],[Sales]]</f>
        <v>0.19999999999999998</v>
      </c>
    </row>
    <row r="2245" spans="1:22" x14ac:dyDescent="0.2">
      <c r="A2245">
        <v>2244</v>
      </c>
      <c r="B2245" t="s">
        <v>6951</v>
      </c>
      <c r="C2245" s="1">
        <v>42705</v>
      </c>
      <c r="D2245" s="22">
        <f>MONTH(Table10[[#This Row],[Order Date]])</f>
        <v>12</v>
      </c>
      <c r="E2245" t="s">
        <v>4296</v>
      </c>
      <c r="F2245" t="s">
        <v>4297</v>
      </c>
      <c r="G2245" s="23" t="s">
        <v>64</v>
      </c>
      <c r="H2245" s="23" t="s">
        <v>65</v>
      </c>
      <c r="I2245" t="s">
        <v>1211</v>
      </c>
      <c r="J2245" t="s">
        <v>22</v>
      </c>
      <c r="K2245" s="22">
        <v>9</v>
      </c>
      <c r="L2245" s="1">
        <v>42705</v>
      </c>
      <c r="M2245" s="22">
        <f>Table10[[#This Row],[Ship Date]]-Table10[[#This Row],[Order Date]]</f>
        <v>0</v>
      </c>
      <c r="N2245" t="s">
        <v>1141</v>
      </c>
      <c r="O2245" t="s">
        <v>23</v>
      </c>
      <c r="P2245" t="s">
        <v>80</v>
      </c>
      <c r="Q2245" t="s">
        <v>26</v>
      </c>
      <c r="R2245" t="s">
        <v>4054</v>
      </c>
      <c r="S2245" s="33">
        <v>0.2</v>
      </c>
      <c r="T2245" s="13">
        <v>863.928</v>
      </c>
      <c r="U2245" s="13">
        <v>86.392799999999994</v>
      </c>
      <c r="V2245" s="21">
        <f>Table10[[#This Row],[Profit]]/Table10[[#This Row],[Sales]]</f>
        <v>9.9999999999999992E-2</v>
      </c>
    </row>
    <row r="2246" spans="1:22" x14ac:dyDescent="0.2">
      <c r="A2246">
        <v>2245</v>
      </c>
      <c r="B2246" t="s">
        <v>9057</v>
      </c>
      <c r="C2246" s="1">
        <v>42705</v>
      </c>
      <c r="D2246" s="22">
        <f>MONTH(Table10[[#This Row],[Order Date]])</f>
        <v>12</v>
      </c>
      <c r="E2246" t="s">
        <v>1627</v>
      </c>
      <c r="F2246" t="s">
        <v>1628</v>
      </c>
      <c r="G2246" s="23" t="s">
        <v>28</v>
      </c>
      <c r="H2246" s="23" t="s">
        <v>32</v>
      </c>
      <c r="I2246" t="s">
        <v>4953</v>
      </c>
      <c r="J2246" t="s">
        <v>22</v>
      </c>
      <c r="K2246" s="22">
        <v>5</v>
      </c>
      <c r="L2246" s="1">
        <v>42707</v>
      </c>
      <c r="M2246" s="22">
        <f>Table10[[#This Row],[Ship Date]]-Table10[[#This Row],[Order Date]]</f>
        <v>2</v>
      </c>
      <c r="N2246" t="s">
        <v>20</v>
      </c>
      <c r="O2246" t="s">
        <v>23</v>
      </c>
      <c r="P2246" t="s">
        <v>94</v>
      </c>
      <c r="Q2246" t="s">
        <v>95</v>
      </c>
      <c r="R2246" t="s">
        <v>4532</v>
      </c>
      <c r="S2246" s="33">
        <v>0.3</v>
      </c>
      <c r="T2246" s="13">
        <v>248.43</v>
      </c>
      <c r="U2246" s="13">
        <v>-17.745000000000001</v>
      </c>
      <c r="V2246" s="21">
        <f>Table10[[#This Row],[Profit]]/Table10[[#This Row],[Sales]]</f>
        <v>-7.1428571428571425E-2</v>
      </c>
    </row>
    <row r="2247" spans="1:22" x14ac:dyDescent="0.2">
      <c r="A2247">
        <v>2246</v>
      </c>
      <c r="B2247" t="s">
        <v>9057</v>
      </c>
      <c r="C2247" s="1">
        <v>42705</v>
      </c>
      <c r="D2247" s="22">
        <f>MONTH(Table10[[#This Row],[Order Date]])</f>
        <v>12</v>
      </c>
      <c r="E2247" t="s">
        <v>3224</v>
      </c>
      <c r="F2247" t="s">
        <v>3225</v>
      </c>
      <c r="G2247" s="23" t="s">
        <v>41</v>
      </c>
      <c r="H2247" s="23" t="s">
        <v>71</v>
      </c>
      <c r="I2247" t="s">
        <v>4953</v>
      </c>
      <c r="J2247" t="s">
        <v>22</v>
      </c>
      <c r="K2247" s="22">
        <v>4</v>
      </c>
      <c r="L2247" s="1">
        <v>42707</v>
      </c>
      <c r="M2247" s="22">
        <f>Table10[[#This Row],[Ship Date]]-Table10[[#This Row],[Order Date]]</f>
        <v>2</v>
      </c>
      <c r="N2247" t="s">
        <v>20</v>
      </c>
      <c r="O2247" t="s">
        <v>23</v>
      </c>
      <c r="P2247" t="s">
        <v>94</v>
      </c>
      <c r="Q2247" t="s">
        <v>95</v>
      </c>
      <c r="R2247" t="s">
        <v>4532</v>
      </c>
      <c r="S2247" s="33">
        <v>0.8</v>
      </c>
      <c r="T2247" s="13">
        <v>11.648</v>
      </c>
      <c r="U2247" s="13">
        <v>-30.8672</v>
      </c>
      <c r="V2247" s="21">
        <f>Table10[[#This Row],[Profit]]/Table10[[#This Row],[Sales]]</f>
        <v>-2.65</v>
      </c>
    </row>
    <row r="2248" spans="1:22" x14ac:dyDescent="0.2">
      <c r="A2248">
        <v>2247</v>
      </c>
      <c r="B2248" t="s">
        <v>9057</v>
      </c>
      <c r="C2248" s="1">
        <v>42705</v>
      </c>
      <c r="D2248" s="22">
        <f>MONTH(Table10[[#This Row],[Order Date]])</f>
        <v>12</v>
      </c>
      <c r="E2248" t="s">
        <v>786</v>
      </c>
      <c r="F2248" t="s">
        <v>787</v>
      </c>
      <c r="G2248" s="23" t="s">
        <v>28</v>
      </c>
      <c r="H2248" s="23" t="s">
        <v>32</v>
      </c>
      <c r="I2248" t="s">
        <v>4953</v>
      </c>
      <c r="J2248" t="s">
        <v>22</v>
      </c>
      <c r="K2248" s="22">
        <v>2</v>
      </c>
      <c r="L2248" s="1">
        <v>42707</v>
      </c>
      <c r="M2248" s="22">
        <f>Table10[[#This Row],[Ship Date]]-Table10[[#This Row],[Order Date]]</f>
        <v>2</v>
      </c>
      <c r="N2248" t="s">
        <v>20</v>
      </c>
      <c r="O2248" t="s">
        <v>23</v>
      </c>
      <c r="P2248" t="s">
        <v>94</v>
      </c>
      <c r="Q2248" t="s">
        <v>95</v>
      </c>
      <c r="R2248" t="s">
        <v>4532</v>
      </c>
      <c r="S2248" s="33">
        <v>0.3</v>
      </c>
      <c r="T2248" s="13">
        <v>85.245999999999995</v>
      </c>
      <c r="U2248" s="13">
        <v>-1.2178</v>
      </c>
      <c r="V2248" s="21">
        <f>Table10[[#This Row],[Profit]]/Table10[[#This Row],[Sales]]</f>
        <v>-1.4285714285714287E-2</v>
      </c>
    </row>
    <row r="2249" spans="1:22" x14ac:dyDescent="0.2">
      <c r="A2249">
        <v>2248</v>
      </c>
      <c r="B2249" t="s">
        <v>9223</v>
      </c>
      <c r="C2249" s="1">
        <v>42705</v>
      </c>
      <c r="D2249" s="22">
        <f>MONTH(Table10[[#This Row],[Order Date]])</f>
        <v>12</v>
      </c>
      <c r="E2249" t="s">
        <v>6856</v>
      </c>
      <c r="F2249" t="s">
        <v>6857</v>
      </c>
      <c r="G2249" s="23" t="s">
        <v>64</v>
      </c>
      <c r="H2249" s="23" t="s">
        <v>65</v>
      </c>
      <c r="I2249" t="s">
        <v>3074</v>
      </c>
      <c r="J2249" t="s">
        <v>22</v>
      </c>
      <c r="K2249" s="22">
        <v>3</v>
      </c>
      <c r="L2249" s="1">
        <v>42710</v>
      </c>
      <c r="M2249" s="22">
        <f>Table10[[#This Row],[Ship Date]]-Table10[[#This Row],[Order Date]]</f>
        <v>5</v>
      </c>
      <c r="N2249" t="s">
        <v>20</v>
      </c>
      <c r="O2249" t="s">
        <v>23</v>
      </c>
      <c r="P2249" t="s">
        <v>1101</v>
      </c>
      <c r="Q2249" t="s">
        <v>133</v>
      </c>
      <c r="R2249" t="s">
        <v>541</v>
      </c>
      <c r="S2249" s="33">
        <v>0</v>
      </c>
      <c r="T2249" s="13">
        <v>137.94</v>
      </c>
      <c r="U2249" s="13">
        <v>35.864400000000003</v>
      </c>
      <c r="V2249" s="21">
        <f>Table10[[#This Row],[Profit]]/Table10[[#This Row],[Sales]]</f>
        <v>0.26</v>
      </c>
    </row>
    <row r="2250" spans="1:22" x14ac:dyDescent="0.2">
      <c r="A2250">
        <v>2249</v>
      </c>
      <c r="B2250" t="s">
        <v>9223</v>
      </c>
      <c r="C2250" s="1">
        <v>42705</v>
      </c>
      <c r="D2250" s="22">
        <f>MONTH(Table10[[#This Row],[Order Date]])</f>
        <v>12</v>
      </c>
      <c r="E2250" t="s">
        <v>5065</v>
      </c>
      <c r="F2250" t="s">
        <v>5066</v>
      </c>
      <c r="G2250" s="23" t="s">
        <v>28</v>
      </c>
      <c r="H2250" s="23" t="s">
        <v>58</v>
      </c>
      <c r="I2250" t="s">
        <v>3074</v>
      </c>
      <c r="J2250" t="s">
        <v>22</v>
      </c>
      <c r="K2250" s="22">
        <v>5</v>
      </c>
      <c r="L2250" s="1">
        <v>42710</v>
      </c>
      <c r="M2250" s="22">
        <f>Table10[[#This Row],[Ship Date]]-Table10[[#This Row],[Order Date]]</f>
        <v>5</v>
      </c>
      <c r="N2250" t="s">
        <v>20</v>
      </c>
      <c r="O2250" t="s">
        <v>23</v>
      </c>
      <c r="P2250" t="s">
        <v>1101</v>
      </c>
      <c r="Q2250" t="s">
        <v>133</v>
      </c>
      <c r="R2250" t="s">
        <v>541</v>
      </c>
      <c r="S2250" s="33">
        <v>0</v>
      </c>
      <c r="T2250" s="13">
        <v>111.15</v>
      </c>
      <c r="U2250" s="13">
        <v>48.905999999999999</v>
      </c>
      <c r="V2250" s="21">
        <f>Table10[[#This Row],[Profit]]/Table10[[#This Row],[Sales]]</f>
        <v>0.43999999999999995</v>
      </c>
    </row>
    <row r="2251" spans="1:22" x14ac:dyDescent="0.2">
      <c r="A2251">
        <v>2250</v>
      </c>
      <c r="B2251" t="s">
        <v>9223</v>
      </c>
      <c r="C2251" s="1">
        <v>42705</v>
      </c>
      <c r="D2251" s="22">
        <f>MONTH(Table10[[#This Row],[Order Date]])</f>
        <v>12</v>
      </c>
      <c r="E2251" t="s">
        <v>828</v>
      </c>
      <c r="F2251" t="s">
        <v>829</v>
      </c>
      <c r="G2251" s="23" t="s">
        <v>41</v>
      </c>
      <c r="H2251" s="23" t="s">
        <v>71</v>
      </c>
      <c r="I2251" t="s">
        <v>3074</v>
      </c>
      <c r="J2251" t="s">
        <v>22</v>
      </c>
      <c r="K2251" s="22">
        <v>3</v>
      </c>
      <c r="L2251" s="1">
        <v>42710</v>
      </c>
      <c r="M2251" s="22">
        <f>Table10[[#This Row],[Ship Date]]-Table10[[#This Row],[Order Date]]</f>
        <v>5</v>
      </c>
      <c r="N2251" t="s">
        <v>20</v>
      </c>
      <c r="O2251" t="s">
        <v>23</v>
      </c>
      <c r="P2251" t="s">
        <v>1101</v>
      </c>
      <c r="Q2251" t="s">
        <v>133</v>
      </c>
      <c r="R2251" t="s">
        <v>541</v>
      </c>
      <c r="S2251" s="33">
        <v>0</v>
      </c>
      <c r="T2251" s="13">
        <v>901.95</v>
      </c>
      <c r="U2251" s="13">
        <v>297.64350000000002</v>
      </c>
      <c r="V2251" s="21">
        <f>Table10[[#This Row],[Profit]]/Table10[[#This Row],[Sales]]</f>
        <v>0.33</v>
      </c>
    </row>
    <row r="2252" spans="1:22" x14ac:dyDescent="0.2">
      <c r="A2252">
        <v>2251</v>
      </c>
      <c r="B2252" t="s">
        <v>9223</v>
      </c>
      <c r="C2252" s="1">
        <v>42705</v>
      </c>
      <c r="D2252" s="22">
        <f>MONTH(Table10[[#This Row],[Order Date]])</f>
        <v>12</v>
      </c>
      <c r="E2252" t="s">
        <v>2112</v>
      </c>
      <c r="F2252" t="s">
        <v>2113</v>
      </c>
      <c r="G2252" s="23" t="s">
        <v>28</v>
      </c>
      <c r="H2252" s="23" t="s">
        <v>50</v>
      </c>
      <c r="I2252" t="s">
        <v>3074</v>
      </c>
      <c r="J2252" t="s">
        <v>22</v>
      </c>
      <c r="K2252" s="22">
        <v>3</v>
      </c>
      <c r="L2252" s="1">
        <v>42710</v>
      </c>
      <c r="M2252" s="22">
        <f>Table10[[#This Row],[Ship Date]]-Table10[[#This Row],[Order Date]]</f>
        <v>5</v>
      </c>
      <c r="N2252" t="s">
        <v>20</v>
      </c>
      <c r="O2252" t="s">
        <v>23</v>
      </c>
      <c r="P2252" t="s">
        <v>1101</v>
      </c>
      <c r="Q2252" t="s">
        <v>133</v>
      </c>
      <c r="R2252" t="s">
        <v>541</v>
      </c>
      <c r="S2252" s="33">
        <v>0.3</v>
      </c>
      <c r="T2252" s="13">
        <v>366.00900000000001</v>
      </c>
      <c r="U2252" s="13">
        <v>-47.058300000000003</v>
      </c>
      <c r="V2252" s="21">
        <f>Table10[[#This Row],[Profit]]/Table10[[#This Row],[Sales]]</f>
        <v>-0.12857142857142859</v>
      </c>
    </row>
    <row r="2253" spans="1:22" x14ac:dyDescent="0.2">
      <c r="A2253">
        <v>2252</v>
      </c>
      <c r="B2253" t="s">
        <v>9395</v>
      </c>
      <c r="C2253" s="1">
        <v>42705</v>
      </c>
      <c r="D2253" s="22">
        <f>MONTH(Table10[[#This Row],[Order Date]])</f>
        <v>12</v>
      </c>
      <c r="E2253" t="s">
        <v>828</v>
      </c>
      <c r="F2253" t="s">
        <v>829</v>
      </c>
      <c r="G2253" s="23" t="s">
        <v>41</v>
      </c>
      <c r="H2253" s="23" t="s">
        <v>71</v>
      </c>
      <c r="I2253" t="s">
        <v>516</v>
      </c>
      <c r="J2253" t="s">
        <v>36</v>
      </c>
      <c r="K2253" s="22">
        <v>7</v>
      </c>
      <c r="L2253" s="1">
        <v>42707</v>
      </c>
      <c r="M2253" s="22">
        <f>Table10[[#This Row],[Ship Date]]-Table10[[#This Row],[Order Date]]</f>
        <v>2</v>
      </c>
      <c r="N2253" t="s">
        <v>20</v>
      </c>
      <c r="O2253" t="s">
        <v>23</v>
      </c>
      <c r="P2253" t="s">
        <v>285</v>
      </c>
      <c r="Q2253" t="s">
        <v>26</v>
      </c>
      <c r="R2253" t="s">
        <v>1294</v>
      </c>
      <c r="S2253" s="33">
        <v>0</v>
      </c>
      <c r="T2253" s="13">
        <v>2104.5500000000002</v>
      </c>
      <c r="U2253" s="13">
        <v>694.50149999999996</v>
      </c>
      <c r="V2253" s="21">
        <f>Table10[[#This Row],[Profit]]/Table10[[#This Row],[Sales]]</f>
        <v>0.32999999999999996</v>
      </c>
    </row>
    <row r="2254" spans="1:22" x14ac:dyDescent="0.2">
      <c r="A2254">
        <v>2253</v>
      </c>
      <c r="B2254" t="s">
        <v>9395</v>
      </c>
      <c r="C2254" s="1">
        <v>42705</v>
      </c>
      <c r="D2254" s="22">
        <f>MONTH(Table10[[#This Row],[Order Date]])</f>
        <v>12</v>
      </c>
      <c r="E2254" t="s">
        <v>2051</v>
      </c>
      <c r="F2254" t="s">
        <v>2052</v>
      </c>
      <c r="G2254" s="23" t="s">
        <v>41</v>
      </c>
      <c r="H2254" s="23" t="s">
        <v>513</v>
      </c>
      <c r="I2254" t="s">
        <v>516</v>
      </c>
      <c r="J2254" t="s">
        <v>36</v>
      </c>
      <c r="K2254" s="22">
        <v>5</v>
      </c>
      <c r="L2254" s="1">
        <v>42707</v>
      </c>
      <c r="M2254" s="22">
        <f>Table10[[#This Row],[Ship Date]]-Table10[[#This Row],[Order Date]]</f>
        <v>2</v>
      </c>
      <c r="N2254" t="s">
        <v>20</v>
      </c>
      <c r="O2254" t="s">
        <v>23</v>
      </c>
      <c r="P2254" t="s">
        <v>285</v>
      </c>
      <c r="Q2254" t="s">
        <v>26</v>
      </c>
      <c r="R2254" t="s">
        <v>1294</v>
      </c>
      <c r="S2254" s="33">
        <v>0</v>
      </c>
      <c r="T2254" s="13">
        <v>40.700000000000003</v>
      </c>
      <c r="U2254" s="13">
        <v>11.803000000000001</v>
      </c>
      <c r="V2254" s="21">
        <f>Table10[[#This Row],[Profit]]/Table10[[#This Row],[Sales]]</f>
        <v>0.28999999999999998</v>
      </c>
    </row>
    <row r="2255" spans="1:22" x14ac:dyDescent="0.2">
      <c r="A2255">
        <v>2254</v>
      </c>
      <c r="B2255" t="s">
        <v>9683</v>
      </c>
      <c r="C2255" s="1">
        <v>42705</v>
      </c>
      <c r="D2255" s="22">
        <f>MONTH(Table10[[#This Row],[Order Date]])</f>
        <v>12</v>
      </c>
      <c r="E2255" t="s">
        <v>1604</v>
      </c>
      <c r="F2255" t="s">
        <v>1605</v>
      </c>
      <c r="G2255" s="23" t="s">
        <v>28</v>
      </c>
      <c r="H2255" s="23" t="s">
        <v>58</v>
      </c>
      <c r="I2255" t="s">
        <v>5787</v>
      </c>
      <c r="J2255" t="s">
        <v>92</v>
      </c>
      <c r="K2255" s="22">
        <v>2</v>
      </c>
      <c r="L2255" s="1">
        <v>42705</v>
      </c>
      <c r="M2255" s="22">
        <f>Table10[[#This Row],[Ship Date]]-Table10[[#This Row],[Order Date]]</f>
        <v>0</v>
      </c>
      <c r="N2255" t="s">
        <v>1141</v>
      </c>
      <c r="O2255" t="s">
        <v>23</v>
      </c>
      <c r="P2255" t="s">
        <v>38</v>
      </c>
      <c r="Q2255" t="s">
        <v>39</v>
      </c>
      <c r="R2255" t="s">
        <v>8055</v>
      </c>
      <c r="S2255" s="33">
        <v>0</v>
      </c>
      <c r="T2255" s="13">
        <v>31.96</v>
      </c>
      <c r="U2255" s="13">
        <v>1.5980000000000001</v>
      </c>
      <c r="V2255" s="21">
        <f>Table10[[#This Row],[Profit]]/Table10[[#This Row],[Sales]]</f>
        <v>0.05</v>
      </c>
    </row>
    <row r="2256" spans="1:22" x14ac:dyDescent="0.2">
      <c r="A2256">
        <v>2255</v>
      </c>
      <c r="B2256" t="s">
        <v>9683</v>
      </c>
      <c r="C2256" s="1">
        <v>42705</v>
      </c>
      <c r="D2256" s="22">
        <f>MONTH(Table10[[#This Row],[Order Date]])</f>
        <v>12</v>
      </c>
      <c r="E2256" t="s">
        <v>3691</v>
      </c>
      <c r="F2256" t="s">
        <v>3692</v>
      </c>
      <c r="G2256" s="23" t="s">
        <v>41</v>
      </c>
      <c r="H2256" s="23" t="s">
        <v>82</v>
      </c>
      <c r="I2256" t="s">
        <v>5787</v>
      </c>
      <c r="J2256" t="s">
        <v>92</v>
      </c>
      <c r="K2256" s="22">
        <v>1</v>
      </c>
      <c r="L2256" s="1">
        <v>42705</v>
      </c>
      <c r="M2256" s="22">
        <f>Table10[[#This Row],[Ship Date]]-Table10[[#This Row],[Order Date]]</f>
        <v>0</v>
      </c>
      <c r="N2256" t="s">
        <v>1141</v>
      </c>
      <c r="O2256" t="s">
        <v>23</v>
      </c>
      <c r="P2256" t="s">
        <v>38</v>
      </c>
      <c r="Q2256" t="s">
        <v>39</v>
      </c>
      <c r="R2256" t="s">
        <v>8055</v>
      </c>
      <c r="S2256" s="33">
        <v>0</v>
      </c>
      <c r="T2256" s="13">
        <v>47.9</v>
      </c>
      <c r="U2256" s="13">
        <v>22.992000000000001</v>
      </c>
      <c r="V2256" s="21">
        <f>Table10[[#This Row],[Profit]]/Table10[[#This Row],[Sales]]</f>
        <v>0.48000000000000004</v>
      </c>
    </row>
    <row r="2257" spans="1:22" x14ac:dyDescent="0.2">
      <c r="A2257">
        <v>2256</v>
      </c>
      <c r="B2257" t="s">
        <v>9683</v>
      </c>
      <c r="C2257" s="1">
        <v>42705</v>
      </c>
      <c r="D2257" s="22">
        <f>MONTH(Table10[[#This Row],[Order Date]])</f>
        <v>12</v>
      </c>
      <c r="E2257" t="s">
        <v>3015</v>
      </c>
      <c r="F2257" t="s">
        <v>3016</v>
      </c>
      <c r="G2257" s="23" t="s">
        <v>41</v>
      </c>
      <c r="H2257" s="23" t="s">
        <v>53</v>
      </c>
      <c r="I2257" t="s">
        <v>5787</v>
      </c>
      <c r="J2257" t="s">
        <v>92</v>
      </c>
      <c r="K2257" s="22">
        <v>3</v>
      </c>
      <c r="L2257" s="1">
        <v>42705</v>
      </c>
      <c r="M2257" s="22">
        <f>Table10[[#This Row],[Ship Date]]-Table10[[#This Row],[Order Date]]</f>
        <v>0</v>
      </c>
      <c r="N2257" t="s">
        <v>1141</v>
      </c>
      <c r="O2257" t="s">
        <v>23</v>
      </c>
      <c r="P2257" t="s">
        <v>38</v>
      </c>
      <c r="Q2257" t="s">
        <v>39</v>
      </c>
      <c r="R2257" t="s">
        <v>8055</v>
      </c>
      <c r="S2257" s="33">
        <v>0</v>
      </c>
      <c r="T2257" s="13">
        <v>1112.94</v>
      </c>
      <c r="U2257" s="13">
        <v>222.58799999999999</v>
      </c>
      <c r="V2257" s="21">
        <f>Table10[[#This Row],[Profit]]/Table10[[#This Row],[Sales]]</f>
        <v>0.19999999999999998</v>
      </c>
    </row>
    <row r="2258" spans="1:22" x14ac:dyDescent="0.2">
      <c r="A2258">
        <v>2257</v>
      </c>
      <c r="B2258" t="s">
        <v>9683</v>
      </c>
      <c r="C2258" s="1">
        <v>42705</v>
      </c>
      <c r="D2258" s="22">
        <f>MONTH(Table10[[#This Row],[Order Date]])</f>
        <v>12</v>
      </c>
      <c r="E2258" t="s">
        <v>2016</v>
      </c>
      <c r="F2258" t="s">
        <v>2017</v>
      </c>
      <c r="G2258" s="23" t="s">
        <v>41</v>
      </c>
      <c r="H2258" s="23" t="s">
        <v>155</v>
      </c>
      <c r="I2258" t="s">
        <v>5787</v>
      </c>
      <c r="J2258" t="s">
        <v>92</v>
      </c>
      <c r="K2258" s="22">
        <v>3</v>
      </c>
      <c r="L2258" s="1">
        <v>42705</v>
      </c>
      <c r="M2258" s="22">
        <f>Table10[[#This Row],[Ship Date]]-Table10[[#This Row],[Order Date]]</f>
        <v>0</v>
      </c>
      <c r="N2258" t="s">
        <v>1141</v>
      </c>
      <c r="O2258" t="s">
        <v>23</v>
      </c>
      <c r="P2258" t="s">
        <v>38</v>
      </c>
      <c r="Q2258" t="s">
        <v>39</v>
      </c>
      <c r="R2258" t="s">
        <v>8055</v>
      </c>
      <c r="S2258" s="33">
        <v>0</v>
      </c>
      <c r="T2258" s="13">
        <v>22.92</v>
      </c>
      <c r="U2258" s="13">
        <v>11.2308</v>
      </c>
      <c r="V2258" s="21">
        <f>Table10[[#This Row],[Profit]]/Table10[[#This Row],[Sales]]</f>
        <v>0.49</v>
      </c>
    </row>
    <row r="2259" spans="1:22" x14ac:dyDescent="0.2">
      <c r="A2259">
        <v>2258</v>
      </c>
      <c r="B2259" t="s">
        <v>9696</v>
      </c>
      <c r="C2259" s="1">
        <v>42705</v>
      </c>
      <c r="D2259" s="22">
        <f>MONTH(Table10[[#This Row],[Order Date]])</f>
        <v>12</v>
      </c>
      <c r="E2259" t="s">
        <v>506</v>
      </c>
      <c r="F2259" t="s">
        <v>507</v>
      </c>
      <c r="G2259" s="23" t="s">
        <v>41</v>
      </c>
      <c r="H2259" s="23" t="s">
        <v>61</v>
      </c>
      <c r="I2259" t="s">
        <v>699</v>
      </c>
      <c r="J2259" t="s">
        <v>36</v>
      </c>
      <c r="K2259" s="22">
        <v>8</v>
      </c>
      <c r="L2259" s="1">
        <v>42709</v>
      </c>
      <c r="M2259" s="22">
        <f>Table10[[#This Row],[Ship Date]]-Table10[[#This Row],[Order Date]]</f>
        <v>4</v>
      </c>
      <c r="N2259" t="s">
        <v>45</v>
      </c>
      <c r="O2259" t="s">
        <v>23</v>
      </c>
      <c r="P2259" t="s">
        <v>38</v>
      </c>
      <c r="Q2259" t="s">
        <v>39</v>
      </c>
      <c r="R2259" t="s">
        <v>37</v>
      </c>
      <c r="S2259" s="33">
        <v>0</v>
      </c>
      <c r="T2259" s="13">
        <v>23.04</v>
      </c>
      <c r="U2259" s="13">
        <v>6.9119999999999999</v>
      </c>
      <c r="V2259" s="21">
        <f>Table10[[#This Row],[Profit]]/Table10[[#This Row],[Sales]]</f>
        <v>0.3</v>
      </c>
    </row>
    <row r="2260" spans="1:22" x14ac:dyDescent="0.2">
      <c r="A2260">
        <v>2259</v>
      </c>
      <c r="B2260" t="s">
        <v>3505</v>
      </c>
      <c r="C2260" s="1">
        <v>42706</v>
      </c>
      <c r="D2260" s="22">
        <f>MONTH(Table10[[#This Row],[Order Date]])</f>
        <v>12</v>
      </c>
      <c r="E2260" t="s">
        <v>3506</v>
      </c>
      <c r="F2260" t="s">
        <v>3507</v>
      </c>
      <c r="G2260" s="23" t="s">
        <v>41</v>
      </c>
      <c r="H2260" s="23" t="s">
        <v>82</v>
      </c>
      <c r="I2260" t="s">
        <v>1344</v>
      </c>
      <c r="J2260" t="s">
        <v>22</v>
      </c>
      <c r="K2260" s="22">
        <v>4</v>
      </c>
      <c r="L2260" s="1">
        <v>42712</v>
      </c>
      <c r="M2260" s="22">
        <f>Table10[[#This Row],[Ship Date]]-Table10[[#This Row],[Order Date]]</f>
        <v>6</v>
      </c>
      <c r="N2260" t="s">
        <v>45</v>
      </c>
      <c r="O2260" t="s">
        <v>23</v>
      </c>
      <c r="P2260" t="s">
        <v>38</v>
      </c>
      <c r="Q2260" t="s">
        <v>39</v>
      </c>
      <c r="R2260" t="s">
        <v>114</v>
      </c>
      <c r="S2260" s="33">
        <v>0</v>
      </c>
      <c r="T2260" s="13">
        <v>25.92</v>
      </c>
      <c r="U2260" s="13">
        <v>12.441599999999999</v>
      </c>
      <c r="V2260" s="21">
        <f>Table10[[#This Row],[Profit]]/Table10[[#This Row],[Sales]]</f>
        <v>0.47999999999999993</v>
      </c>
    </row>
    <row r="2261" spans="1:22" x14ac:dyDescent="0.2">
      <c r="A2261">
        <v>2260</v>
      </c>
      <c r="B2261" t="s">
        <v>3505</v>
      </c>
      <c r="C2261" s="1">
        <v>42706</v>
      </c>
      <c r="D2261" s="22">
        <f>MONTH(Table10[[#This Row],[Order Date]])</f>
        <v>12</v>
      </c>
      <c r="E2261" t="s">
        <v>3508</v>
      </c>
      <c r="F2261" t="s">
        <v>3509</v>
      </c>
      <c r="G2261" s="23" t="s">
        <v>41</v>
      </c>
      <c r="H2261" s="23" t="s">
        <v>82</v>
      </c>
      <c r="I2261" t="s">
        <v>1344</v>
      </c>
      <c r="J2261" t="s">
        <v>22</v>
      </c>
      <c r="K2261" s="22">
        <v>7</v>
      </c>
      <c r="L2261" s="1">
        <v>42712</v>
      </c>
      <c r="M2261" s="22">
        <f>Table10[[#This Row],[Ship Date]]-Table10[[#This Row],[Order Date]]</f>
        <v>6</v>
      </c>
      <c r="N2261" t="s">
        <v>45</v>
      </c>
      <c r="O2261" t="s">
        <v>23</v>
      </c>
      <c r="P2261" t="s">
        <v>38</v>
      </c>
      <c r="Q2261" t="s">
        <v>39</v>
      </c>
      <c r="R2261" t="s">
        <v>114</v>
      </c>
      <c r="S2261" s="33">
        <v>0</v>
      </c>
      <c r="T2261" s="13">
        <v>40.46</v>
      </c>
      <c r="U2261" s="13">
        <v>19.825399999999998</v>
      </c>
      <c r="V2261" s="21">
        <f>Table10[[#This Row],[Profit]]/Table10[[#This Row],[Sales]]</f>
        <v>0.48999999999999994</v>
      </c>
    </row>
    <row r="2262" spans="1:22" x14ac:dyDescent="0.2">
      <c r="A2262">
        <v>2261</v>
      </c>
      <c r="B2262" t="s">
        <v>3505</v>
      </c>
      <c r="C2262" s="1">
        <v>42706</v>
      </c>
      <c r="D2262" s="22">
        <f>MONTH(Table10[[#This Row],[Order Date]])</f>
        <v>12</v>
      </c>
      <c r="E2262" t="s">
        <v>3510</v>
      </c>
      <c r="F2262" t="s">
        <v>3511</v>
      </c>
      <c r="G2262" s="23" t="s">
        <v>41</v>
      </c>
      <c r="H2262" s="23" t="s">
        <v>53</v>
      </c>
      <c r="I2262" t="s">
        <v>1344</v>
      </c>
      <c r="J2262" t="s">
        <v>22</v>
      </c>
      <c r="K2262" s="22">
        <v>3</v>
      </c>
      <c r="L2262" s="1">
        <v>42712</v>
      </c>
      <c r="M2262" s="22">
        <f>Table10[[#This Row],[Ship Date]]-Table10[[#This Row],[Order Date]]</f>
        <v>6</v>
      </c>
      <c r="N2262" t="s">
        <v>45</v>
      </c>
      <c r="O2262" t="s">
        <v>23</v>
      </c>
      <c r="P2262" t="s">
        <v>38</v>
      </c>
      <c r="Q2262" t="s">
        <v>39</v>
      </c>
      <c r="R2262" t="s">
        <v>114</v>
      </c>
      <c r="S2262" s="33">
        <v>0</v>
      </c>
      <c r="T2262" s="13">
        <v>33.869999999999997</v>
      </c>
      <c r="U2262" s="13">
        <v>8.8062000000000005</v>
      </c>
      <c r="V2262" s="21">
        <f>Table10[[#This Row],[Profit]]/Table10[[#This Row],[Sales]]</f>
        <v>0.26</v>
      </c>
    </row>
    <row r="2263" spans="1:22" x14ac:dyDescent="0.2">
      <c r="A2263">
        <v>2262</v>
      </c>
      <c r="B2263" t="s">
        <v>7803</v>
      </c>
      <c r="C2263" s="1">
        <v>42706</v>
      </c>
      <c r="D2263" s="22">
        <f>MONTH(Table10[[#This Row],[Order Date]])</f>
        <v>12</v>
      </c>
      <c r="E2263" t="s">
        <v>3818</v>
      </c>
      <c r="F2263" t="s">
        <v>3819</v>
      </c>
      <c r="G2263" s="23" t="s">
        <v>41</v>
      </c>
      <c r="H2263" s="23" t="s">
        <v>68</v>
      </c>
      <c r="I2263" t="s">
        <v>3475</v>
      </c>
      <c r="J2263" t="s">
        <v>36</v>
      </c>
      <c r="K2263" s="22">
        <v>2</v>
      </c>
      <c r="L2263" s="1">
        <v>42711</v>
      </c>
      <c r="M2263" s="22">
        <f>Table10[[#This Row],[Ship Date]]-Table10[[#This Row],[Order Date]]</f>
        <v>5</v>
      </c>
      <c r="N2263" t="s">
        <v>45</v>
      </c>
      <c r="O2263" t="s">
        <v>23</v>
      </c>
      <c r="P2263" t="s">
        <v>38</v>
      </c>
      <c r="Q2263" t="s">
        <v>39</v>
      </c>
      <c r="R2263" t="s">
        <v>557</v>
      </c>
      <c r="S2263" s="33">
        <v>0.2</v>
      </c>
      <c r="T2263" s="13">
        <v>24.704000000000001</v>
      </c>
      <c r="U2263" s="13">
        <v>9.2639999999999993</v>
      </c>
      <c r="V2263" s="21">
        <f>Table10[[#This Row],[Profit]]/Table10[[#This Row],[Sales]]</f>
        <v>0.37499999999999994</v>
      </c>
    </row>
    <row r="2264" spans="1:22" x14ac:dyDescent="0.2">
      <c r="A2264">
        <v>2263</v>
      </c>
      <c r="B2264" t="s">
        <v>7803</v>
      </c>
      <c r="C2264" s="1">
        <v>42706</v>
      </c>
      <c r="D2264" s="22">
        <f>MONTH(Table10[[#This Row],[Order Date]])</f>
        <v>12</v>
      </c>
      <c r="E2264" t="s">
        <v>3248</v>
      </c>
      <c r="F2264" t="s">
        <v>3249</v>
      </c>
      <c r="G2264" s="23" t="s">
        <v>41</v>
      </c>
      <c r="H2264" s="23" t="s">
        <v>71</v>
      </c>
      <c r="I2264" t="s">
        <v>3475</v>
      </c>
      <c r="J2264" t="s">
        <v>36</v>
      </c>
      <c r="K2264" s="22">
        <v>3</v>
      </c>
      <c r="L2264" s="1">
        <v>42711</v>
      </c>
      <c r="M2264" s="22">
        <f>Table10[[#This Row],[Ship Date]]-Table10[[#This Row],[Order Date]]</f>
        <v>5</v>
      </c>
      <c r="N2264" t="s">
        <v>45</v>
      </c>
      <c r="O2264" t="s">
        <v>23</v>
      </c>
      <c r="P2264" t="s">
        <v>38</v>
      </c>
      <c r="Q2264" t="s">
        <v>39</v>
      </c>
      <c r="R2264" t="s">
        <v>557</v>
      </c>
      <c r="S2264" s="33">
        <v>0</v>
      </c>
      <c r="T2264" s="13">
        <v>59.7</v>
      </c>
      <c r="U2264" s="13">
        <v>26.864999999999998</v>
      </c>
      <c r="V2264" s="21">
        <f>Table10[[#This Row],[Profit]]/Table10[[#This Row],[Sales]]</f>
        <v>0.44999999999999996</v>
      </c>
    </row>
    <row r="2265" spans="1:22" x14ac:dyDescent="0.2">
      <c r="A2265">
        <v>2264</v>
      </c>
      <c r="B2265" t="s">
        <v>7803</v>
      </c>
      <c r="C2265" s="1">
        <v>42706</v>
      </c>
      <c r="D2265" s="22">
        <f>MONTH(Table10[[#This Row],[Order Date]])</f>
        <v>12</v>
      </c>
      <c r="E2265" t="s">
        <v>6144</v>
      </c>
      <c r="F2265" t="s">
        <v>6145</v>
      </c>
      <c r="G2265" s="23" t="s">
        <v>28</v>
      </c>
      <c r="H2265" s="23" t="s">
        <v>58</v>
      </c>
      <c r="I2265" t="s">
        <v>3475</v>
      </c>
      <c r="J2265" t="s">
        <v>36</v>
      </c>
      <c r="K2265" s="22">
        <v>3</v>
      </c>
      <c r="L2265" s="1">
        <v>42711</v>
      </c>
      <c r="M2265" s="22">
        <f>Table10[[#This Row],[Ship Date]]-Table10[[#This Row],[Order Date]]</f>
        <v>5</v>
      </c>
      <c r="N2265" t="s">
        <v>45</v>
      </c>
      <c r="O2265" t="s">
        <v>23</v>
      </c>
      <c r="P2265" t="s">
        <v>38</v>
      </c>
      <c r="Q2265" t="s">
        <v>39</v>
      </c>
      <c r="R2265" t="s">
        <v>557</v>
      </c>
      <c r="S2265" s="33">
        <v>0</v>
      </c>
      <c r="T2265" s="13">
        <v>14.52</v>
      </c>
      <c r="U2265" s="13">
        <v>5.6627999999999998</v>
      </c>
      <c r="V2265" s="21">
        <f>Table10[[#This Row],[Profit]]/Table10[[#This Row],[Sales]]</f>
        <v>0.39</v>
      </c>
    </row>
    <row r="2266" spans="1:22" x14ac:dyDescent="0.2">
      <c r="A2266">
        <v>2265</v>
      </c>
      <c r="B2266" t="s">
        <v>7803</v>
      </c>
      <c r="C2266" s="1">
        <v>42706</v>
      </c>
      <c r="D2266" s="22">
        <f>MONTH(Table10[[#This Row],[Order Date]])</f>
        <v>12</v>
      </c>
      <c r="E2266" t="s">
        <v>4770</v>
      </c>
      <c r="F2266" t="s">
        <v>4771</v>
      </c>
      <c r="G2266" s="23" t="s">
        <v>41</v>
      </c>
      <c r="H2266" s="23" t="s">
        <v>68</v>
      </c>
      <c r="I2266" t="s">
        <v>3475</v>
      </c>
      <c r="J2266" t="s">
        <v>36</v>
      </c>
      <c r="K2266" s="22">
        <v>3</v>
      </c>
      <c r="L2266" s="1">
        <v>42711</v>
      </c>
      <c r="M2266" s="22">
        <f>Table10[[#This Row],[Ship Date]]-Table10[[#This Row],[Order Date]]</f>
        <v>5</v>
      </c>
      <c r="N2266" t="s">
        <v>45</v>
      </c>
      <c r="O2266" t="s">
        <v>23</v>
      </c>
      <c r="P2266" t="s">
        <v>38</v>
      </c>
      <c r="Q2266" t="s">
        <v>39</v>
      </c>
      <c r="R2266" t="s">
        <v>557</v>
      </c>
      <c r="S2266" s="33">
        <v>0.2</v>
      </c>
      <c r="T2266" s="13">
        <v>104.184</v>
      </c>
      <c r="U2266" s="13">
        <v>33.8598</v>
      </c>
      <c r="V2266" s="21">
        <f>Table10[[#This Row],[Profit]]/Table10[[#This Row],[Sales]]</f>
        <v>0.32500000000000001</v>
      </c>
    </row>
    <row r="2267" spans="1:22" x14ac:dyDescent="0.2">
      <c r="A2267">
        <v>2266</v>
      </c>
      <c r="B2267" t="s">
        <v>8142</v>
      </c>
      <c r="C2267" s="1">
        <v>42706</v>
      </c>
      <c r="D2267" s="22">
        <f>MONTH(Table10[[#This Row],[Order Date]])</f>
        <v>12</v>
      </c>
      <c r="E2267" t="s">
        <v>1395</v>
      </c>
      <c r="F2267" t="s">
        <v>1396</v>
      </c>
      <c r="G2267" s="23" t="s">
        <v>41</v>
      </c>
      <c r="H2267" s="23" t="s">
        <v>53</v>
      </c>
      <c r="I2267" t="s">
        <v>3617</v>
      </c>
      <c r="J2267" t="s">
        <v>92</v>
      </c>
      <c r="K2267" s="22">
        <v>5</v>
      </c>
      <c r="L2267" s="1">
        <v>42712</v>
      </c>
      <c r="M2267" s="22">
        <f>Table10[[#This Row],[Ship Date]]-Table10[[#This Row],[Order Date]]</f>
        <v>6</v>
      </c>
      <c r="N2267" t="s">
        <v>45</v>
      </c>
      <c r="O2267" t="s">
        <v>23</v>
      </c>
      <c r="P2267" t="s">
        <v>1235</v>
      </c>
      <c r="Q2267" t="s">
        <v>133</v>
      </c>
      <c r="R2267" t="s">
        <v>3161</v>
      </c>
      <c r="S2267" s="33">
        <v>0</v>
      </c>
      <c r="T2267" s="13">
        <v>2079.4</v>
      </c>
      <c r="U2267" s="13">
        <v>582.23199999999997</v>
      </c>
      <c r="V2267" s="21">
        <f>Table10[[#This Row],[Profit]]/Table10[[#This Row],[Sales]]</f>
        <v>0.27999999999999997</v>
      </c>
    </row>
    <row r="2268" spans="1:22" x14ac:dyDescent="0.2">
      <c r="A2268">
        <v>2267</v>
      </c>
      <c r="B2268" t="s">
        <v>8142</v>
      </c>
      <c r="C2268" s="1">
        <v>42706</v>
      </c>
      <c r="D2268" s="22">
        <f>MONTH(Table10[[#This Row],[Order Date]])</f>
        <v>12</v>
      </c>
      <c r="E2268" t="s">
        <v>3739</v>
      </c>
      <c r="F2268" t="s">
        <v>3740</v>
      </c>
      <c r="G2268" s="23" t="s">
        <v>64</v>
      </c>
      <c r="H2268" s="23" t="s">
        <v>65</v>
      </c>
      <c r="I2268" t="s">
        <v>3617</v>
      </c>
      <c r="J2268" t="s">
        <v>92</v>
      </c>
      <c r="K2268" s="22">
        <v>5</v>
      </c>
      <c r="L2268" s="1">
        <v>42712</v>
      </c>
      <c r="M2268" s="22">
        <f>Table10[[#This Row],[Ship Date]]-Table10[[#This Row],[Order Date]]</f>
        <v>6</v>
      </c>
      <c r="N2268" t="s">
        <v>45</v>
      </c>
      <c r="O2268" t="s">
        <v>23</v>
      </c>
      <c r="P2268" t="s">
        <v>1235</v>
      </c>
      <c r="Q2268" t="s">
        <v>133</v>
      </c>
      <c r="R2268" t="s">
        <v>3161</v>
      </c>
      <c r="S2268" s="33">
        <v>0</v>
      </c>
      <c r="T2268" s="13">
        <v>629.95000000000005</v>
      </c>
      <c r="U2268" s="13">
        <v>176.386</v>
      </c>
      <c r="V2268" s="21">
        <f>Table10[[#This Row],[Profit]]/Table10[[#This Row],[Sales]]</f>
        <v>0.27999999999999997</v>
      </c>
    </row>
    <row r="2269" spans="1:22" x14ac:dyDescent="0.2">
      <c r="A2269">
        <v>2268</v>
      </c>
      <c r="B2269" t="s">
        <v>8142</v>
      </c>
      <c r="C2269" s="1">
        <v>42706</v>
      </c>
      <c r="D2269" s="22">
        <f>MONTH(Table10[[#This Row],[Order Date]])</f>
        <v>12</v>
      </c>
      <c r="E2269" t="s">
        <v>1517</v>
      </c>
      <c r="F2269" t="s">
        <v>7389</v>
      </c>
      <c r="G2269" s="23" t="s">
        <v>28</v>
      </c>
      <c r="H2269" s="23" t="s">
        <v>58</v>
      </c>
      <c r="I2269" t="s">
        <v>3617</v>
      </c>
      <c r="J2269" t="s">
        <v>92</v>
      </c>
      <c r="K2269" s="22">
        <v>6</v>
      </c>
      <c r="L2269" s="1">
        <v>42712</v>
      </c>
      <c r="M2269" s="22">
        <f>Table10[[#This Row],[Ship Date]]-Table10[[#This Row],[Order Date]]</f>
        <v>6</v>
      </c>
      <c r="N2269" t="s">
        <v>45</v>
      </c>
      <c r="O2269" t="s">
        <v>23</v>
      </c>
      <c r="P2269" t="s">
        <v>1235</v>
      </c>
      <c r="Q2269" t="s">
        <v>133</v>
      </c>
      <c r="R2269" t="s">
        <v>3161</v>
      </c>
      <c r="S2269" s="33">
        <v>0</v>
      </c>
      <c r="T2269" s="13">
        <v>72.42</v>
      </c>
      <c r="U2269" s="13">
        <v>23.898599999999998</v>
      </c>
      <c r="V2269" s="21">
        <f>Table10[[#This Row],[Profit]]/Table10[[#This Row],[Sales]]</f>
        <v>0.32999999999999996</v>
      </c>
    </row>
    <row r="2270" spans="1:22" x14ac:dyDescent="0.2">
      <c r="A2270">
        <v>2269</v>
      </c>
      <c r="B2270" t="s">
        <v>8265</v>
      </c>
      <c r="C2270" s="1">
        <v>42706</v>
      </c>
      <c r="D2270" s="22">
        <f>MONTH(Table10[[#This Row],[Order Date]])</f>
        <v>12</v>
      </c>
      <c r="E2270" t="s">
        <v>6271</v>
      </c>
      <c r="F2270" t="s">
        <v>6272</v>
      </c>
      <c r="G2270" s="23" t="s">
        <v>41</v>
      </c>
      <c r="H2270" s="23" t="s">
        <v>68</v>
      </c>
      <c r="I2270" t="s">
        <v>3257</v>
      </c>
      <c r="J2270" t="s">
        <v>22</v>
      </c>
      <c r="K2270" s="22">
        <v>3</v>
      </c>
      <c r="L2270" s="1">
        <v>42711</v>
      </c>
      <c r="M2270" s="22">
        <f>Table10[[#This Row],[Ship Date]]-Table10[[#This Row],[Order Date]]</f>
        <v>5</v>
      </c>
      <c r="N2270" t="s">
        <v>45</v>
      </c>
      <c r="O2270" t="s">
        <v>23</v>
      </c>
      <c r="P2270" t="s">
        <v>238</v>
      </c>
      <c r="Q2270" t="s">
        <v>133</v>
      </c>
      <c r="R2270" t="s">
        <v>237</v>
      </c>
      <c r="S2270" s="33">
        <v>0.2</v>
      </c>
      <c r="T2270" s="13">
        <v>415.17599999999999</v>
      </c>
      <c r="U2270" s="13">
        <v>134.93219999999999</v>
      </c>
      <c r="V2270" s="21">
        <f>Table10[[#This Row],[Profit]]/Table10[[#This Row],[Sales]]</f>
        <v>0.32500000000000001</v>
      </c>
    </row>
    <row r="2271" spans="1:22" x14ac:dyDescent="0.2">
      <c r="A2271">
        <v>2270</v>
      </c>
      <c r="B2271" t="s">
        <v>8265</v>
      </c>
      <c r="C2271" s="1">
        <v>42706</v>
      </c>
      <c r="D2271" s="22">
        <f>MONTH(Table10[[#This Row],[Order Date]])</f>
        <v>12</v>
      </c>
      <c r="E2271" t="s">
        <v>3110</v>
      </c>
      <c r="F2271" t="s">
        <v>3111</v>
      </c>
      <c r="G2271" s="23" t="s">
        <v>41</v>
      </c>
      <c r="H2271" s="23" t="s">
        <v>68</v>
      </c>
      <c r="I2271" t="s">
        <v>3257</v>
      </c>
      <c r="J2271" t="s">
        <v>22</v>
      </c>
      <c r="K2271" s="22">
        <v>3</v>
      </c>
      <c r="L2271" s="1">
        <v>42711</v>
      </c>
      <c r="M2271" s="22">
        <f>Table10[[#This Row],[Ship Date]]-Table10[[#This Row],[Order Date]]</f>
        <v>5</v>
      </c>
      <c r="N2271" t="s">
        <v>45</v>
      </c>
      <c r="O2271" t="s">
        <v>23</v>
      </c>
      <c r="P2271" t="s">
        <v>238</v>
      </c>
      <c r="Q2271" t="s">
        <v>133</v>
      </c>
      <c r="R2271" t="s">
        <v>237</v>
      </c>
      <c r="S2271" s="33">
        <v>0.2</v>
      </c>
      <c r="T2271" s="13">
        <v>35.231999999999999</v>
      </c>
      <c r="U2271" s="13">
        <v>11.4504</v>
      </c>
      <c r="V2271" s="21">
        <f>Table10[[#This Row],[Profit]]/Table10[[#This Row],[Sales]]</f>
        <v>0.32500000000000001</v>
      </c>
    </row>
    <row r="2272" spans="1:22" x14ac:dyDescent="0.2">
      <c r="A2272">
        <v>2271</v>
      </c>
      <c r="B2272" t="s">
        <v>8265</v>
      </c>
      <c r="C2272" s="1">
        <v>42706</v>
      </c>
      <c r="D2272" s="22">
        <f>MONTH(Table10[[#This Row],[Order Date]])</f>
        <v>12</v>
      </c>
      <c r="E2272" t="s">
        <v>5140</v>
      </c>
      <c r="F2272" t="s">
        <v>5141</v>
      </c>
      <c r="G2272" s="23" t="s">
        <v>41</v>
      </c>
      <c r="H2272" s="23" t="s">
        <v>82</v>
      </c>
      <c r="I2272" t="s">
        <v>3257</v>
      </c>
      <c r="J2272" t="s">
        <v>22</v>
      </c>
      <c r="K2272" s="22">
        <v>1</v>
      </c>
      <c r="L2272" s="1">
        <v>42711</v>
      </c>
      <c r="M2272" s="22">
        <f>Table10[[#This Row],[Ship Date]]-Table10[[#This Row],[Order Date]]</f>
        <v>5</v>
      </c>
      <c r="N2272" t="s">
        <v>45</v>
      </c>
      <c r="O2272" t="s">
        <v>23</v>
      </c>
      <c r="P2272" t="s">
        <v>238</v>
      </c>
      <c r="Q2272" t="s">
        <v>133</v>
      </c>
      <c r="R2272" t="s">
        <v>237</v>
      </c>
      <c r="S2272" s="33">
        <v>0</v>
      </c>
      <c r="T2272" s="13">
        <v>54.96</v>
      </c>
      <c r="U2272" s="13">
        <v>26.930399999999999</v>
      </c>
      <c r="V2272" s="21">
        <f>Table10[[#This Row],[Profit]]/Table10[[#This Row],[Sales]]</f>
        <v>0.49</v>
      </c>
    </row>
    <row r="2273" spans="1:22" x14ac:dyDescent="0.2">
      <c r="A2273">
        <v>2272</v>
      </c>
      <c r="B2273" t="s">
        <v>9287</v>
      </c>
      <c r="C2273" s="1">
        <v>42706</v>
      </c>
      <c r="D2273" s="22">
        <f>MONTH(Table10[[#This Row],[Order Date]])</f>
        <v>12</v>
      </c>
      <c r="E2273" t="s">
        <v>6412</v>
      </c>
      <c r="F2273" t="s">
        <v>6413</v>
      </c>
      <c r="G2273" s="23" t="s">
        <v>64</v>
      </c>
      <c r="H2273" s="23" t="s">
        <v>144</v>
      </c>
      <c r="I2273" t="s">
        <v>981</v>
      </c>
      <c r="J2273" t="s">
        <v>36</v>
      </c>
      <c r="K2273" s="22">
        <v>3</v>
      </c>
      <c r="L2273" s="1">
        <v>42712</v>
      </c>
      <c r="M2273" s="22">
        <f>Table10[[#This Row],[Ship Date]]-Table10[[#This Row],[Order Date]]</f>
        <v>6</v>
      </c>
      <c r="N2273" t="s">
        <v>45</v>
      </c>
      <c r="O2273" t="s">
        <v>23</v>
      </c>
      <c r="P2273" t="s">
        <v>405</v>
      </c>
      <c r="Q2273" t="s">
        <v>39</v>
      </c>
      <c r="R2273" t="s">
        <v>8744</v>
      </c>
      <c r="S2273" s="33">
        <v>0.2</v>
      </c>
      <c r="T2273" s="13">
        <v>165.6</v>
      </c>
      <c r="U2273" s="13">
        <v>-6.21</v>
      </c>
      <c r="V2273" s="21">
        <f>Table10[[#This Row],[Profit]]/Table10[[#This Row],[Sales]]</f>
        <v>-3.7499999999999999E-2</v>
      </c>
    </row>
    <row r="2274" spans="1:22" x14ac:dyDescent="0.2">
      <c r="A2274">
        <v>2273</v>
      </c>
      <c r="B2274" t="s">
        <v>9724</v>
      </c>
      <c r="C2274" s="1">
        <v>42706</v>
      </c>
      <c r="D2274" s="22">
        <f>MONTH(Table10[[#This Row],[Order Date]])</f>
        <v>12</v>
      </c>
      <c r="E2274" t="s">
        <v>1703</v>
      </c>
      <c r="F2274" t="s">
        <v>1704</v>
      </c>
      <c r="G2274" s="23" t="s">
        <v>41</v>
      </c>
      <c r="H2274" s="23" t="s">
        <v>68</v>
      </c>
      <c r="I2274" t="s">
        <v>3427</v>
      </c>
      <c r="J2274" t="s">
        <v>36</v>
      </c>
      <c r="K2274" s="22">
        <v>8</v>
      </c>
      <c r="L2274" s="1">
        <v>42710</v>
      </c>
      <c r="M2274" s="22">
        <f>Table10[[#This Row],[Ship Date]]-Table10[[#This Row],[Order Date]]</f>
        <v>4</v>
      </c>
      <c r="N2274" t="s">
        <v>45</v>
      </c>
      <c r="O2274" t="s">
        <v>23</v>
      </c>
      <c r="P2274" t="s">
        <v>433</v>
      </c>
      <c r="Q2274" t="s">
        <v>95</v>
      </c>
      <c r="R2274" t="s">
        <v>4594</v>
      </c>
      <c r="S2274" s="33">
        <v>0</v>
      </c>
      <c r="T2274" s="13">
        <v>115.84</v>
      </c>
      <c r="U2274" s="13">
        <v>54.444800000000001</v>
      </c>
      <c r="V2274" s="21">
        <f>Table10[[#This Row],[Profit]]/Table10[[#This Row],[Sales]]</f>
        <v>0.47</v>
      </c>
    </row>
    <row r="2275" spans="1:22" x14ac:dyDescent="0.2">
      <c r="A2275">
        <v>2274</v>
      </c>
      <c r="B2275" t="s">
        <v>9867</v>
      </c>
      <c r="C2275" s="1">
        <v>42706</v>
      </c>
      <c r="D2275" s="22">
        <f>MONTH(Table10[[#This Row],[Order Date]])</f>
        <v>12</v>
      </c>
      <c r="E2275" t="s">
        <v>6915</v>
      </c>
      <c r="F2275" t="s">
        <v>6916</v>
      </c>
      <c r="G2275" s="23" t="s">
        <v>28</v>
      </c>
      <c r="H2275" s="23" t="s">
        <v>29</v>
      </c>
      <c r="I2275" t="s">
        <v>3698</v>
      </c>
      <c r="J2275" t="s">
        <v>36</v>
      </c>
      <c r="K2275" s="22">
        <v>10</v>
      </c>
      <c r="L2275" s="1">
        <v>42708</v>
      </c>
      <c r="M2275" s="22">
        <f>Table10[[#This Row],[Ship Date]]-Table10[[#This Row],[Order Date]]</f>
        <v>2</v>
      </c>
      <c r="N2275" t="s">
        <v>20</v>
      </c>
      <c r="O2275" t="s">
        <v>23</v>
      </c>
      <c r="P2275" t="s">
        <v>94</v>
      </c>
      <c r="Q2275" t="s">
        <v>95</v>
      </c>
      <c r="R2275" t="s">
        <v>165</v>
      </c>
      <c r="S2275" s="33">
        <v>0.32</v>
      </c>
      <c r="T2275" s="13">
        <v>781.86400000000003</v>
      </c>
      <c r="U2275" s="13">
        <v>-137.976</v>
      </c>
      <c r="V2275" s="21">
        <f>Table10[[#This Row],[Profit]]/Table10[[#This Row],[Sales]]</f>
        <v>-0.1764705882352941</v>
      </c>
    </row>
    <row r="2276" spans="1:22" x14ac:dyDescent="0.2">
      <c r="A2276">
        <v>2275</v>
      </c>
      <c r="B2276" t="s">
        <v>9867</v>
      </c>
      <c r="C2276" s="1">
        <v>42706</v>
      </c>
      <c r="D2276" s="22">
        <f>MONTH(Table10[[#This Row],[Order Date]])</f>
        <v>12</v>
      </c>
      <c r="E2276" t="s">
        <v>3939</v>
      </c>
      <c r="F2276" t="s">
        <v>3940</v>
      </c>
      <c r="G2276" s="23" t="s">
        <v>41</v>
      </c>
      <c r="H2276" s="23" t="s">
        <v>82</v>
      </c>
      <c r="I2276" t="s">
        <v>3698</v>
      </c>
      <c r="J2276" t="s">
        <v>36</v>
      </c>
      <c r="K2276" s="22">
        <v>9</v>
      </c>
      <c r="L2276" s="1">
        <v>42708</v>
      </c>
      <c r="M2276" s="22">
        <f>Table10[[#This Row],[Ship Date]]-Table10[[#This Row],[Order Date]]</f>
        <v>2</v>
      </c>
      <c r="N2276" t="s">
        <v>20</v>
      </c>
      <c r="O2276" t="s">
        <v>23</v>
      </c>
      <c r="P2276" t="s">
        <v>94</v>
      </c>
      <c r="Q2276" t="s">
        <v>95</v>
      </c>
      <c r="R2276" t="s">
        <v>165</v>
      </c>
      <c r="S2276" s="33">
        <v>0.2</v>
      </c>
      <c r="T2276" s="13">
        <v>30.815999999999999</v>
      </c>
      <c r="U2276" s="13">
        <v>9.6300000000000008</v>
      </c>
      <c r="V2276" s="21">
        <f>Table10[[#This Row],[Profit]]/Table10[[#This Row],[Sales]]</f>
        <v>0.31250000000000006</v>
      </c>
    </row>
    <row r="2277" spans="1:22" x14ac:dyDescent="0.2">
      <c r="A2277">
        <v>2276</v>
      </c>
      <c r="B2277" t="s">
        <v>2059</v>
      </c>
      <c r="C2277" s="1">
        <v>42707</v>
      </c>
      <c r="D2277" s="22">
        <f>MONTH(Table10[[#This Row],[Order Date]])</f>
        <v>12</v>
      </c>
      <c r="E2277" t="s">
        <v>2062</v>
      </c>
      <c r="F2277" t="s">
        <v>2063</v>
      </c>
      <c r="G2277" s="23" t="s">
        <v>41</v>
      </c>
      <c r="H2277" s="23" t="s">
        <v>82</v>
      </c>
      <c r="I2277" t="s">
        <v>2060</v>
      </c>
      <c r="J2277" t="s">
        <v>22</v>
      </c>
      <c r="K2277" s="22">
        <v>8</v>
      </c>
      <c r="L2277" s="1">
        <v>42710</v>
      </c>
      <c r="M2277" s="22">
        <f>Table10[[#This Row],[Ship Date]]-Table10[[#This Row],[Order Date]]</f>
        <v>3</v>
      </c>
      <c r="N2277" t="s">
        <v>169</v>
      </c>
      <c r="O2277" t="s">
        <v>23</v>
      </c>
      <c r="P2277" t="s">
        <v>238</v>
      </c>
      <c r="Q2277" t="s">
        <v>133</v>
      </c>
      <c r="R2277" t="s">
        <v>2061</v>
      </c>
      <c r="S2277" s="33">
        <v>0</v>
      </c>
      <c r="T2277" s="13">
        <v>182.72</v>
      </c>
      <c r="U2277" s="13">
        <v>84.051199999999994</v>
      </c>
      <c r="V2277" s="21">
        <f>Table10[[#This Row],[Profit]]/Table10[[#This Row],[Sales]]</f>
        <v>0.45999999999999996</v>
      </c>
    </row>
    <row r="2278" spans="1:22" x14ac:dyDescent="0.2">
      <c r="A2278">
        <v>2277</v>
      </c>
      <c r="B2278" t="s">
        <v>2059</v>
      </c>
      <c r="C2278" s="1">
        <v>42707</v>
      </c>
      <c r="D2278" s="22">
        <f>MONTH(Table10[[#This Row],[Order Date]])</f>
        <v>12</v>
      </c>
      <c r="E2278" t="s">
        <v>2064</v>
      </c>
      <c r="F2278" t="s">
        <v>2065</v>
      </c>
      <c r="G2278" s="23" t="s">
        <v>28</v>
      </c>
      <c r="H2278" s="23" t="s">
        <v>50</v>
      </c>
      <c r="I2278" t="s">
        <v>2060</v>
      </c>
      <c r="J2278" t="s">
        <v>22</v>
      </c>
      <c r="K2278" s="22">
        <v>2</v>
      </c>
      <c r="L2278" s="1">
        <v>42710</v>
      </c>
      <c r="M2278" s="22">
        <f>Table10[[#This Row],[Ship Date]]-Table10[[#This Row],[Order Date]]</f>
        <v>3</v>
      </c>
      <c r="N2278" t="s">
        <v>169</v>
      </c>
      <c r="O2278" t="s">
        <v>23</v>
      </c>
      <c r="P2278" t="s">
        <v>238</v>
      </c>
      <c r="Q2278" t="s">
        <v>133</v>
      </c>
      <c r="R2278" t="s">
        <v>2061</v>
      </c>
      <c r="S2278" s="33">
        <v>0.4</v>
      </c>
      <c r="T2278" s="13">
        <v>400.03199999999998</v>
      </c>
      <c r="U2278" s="13">
        <v>-153.34559999999999</v>
      </c>
      <c r="V2278" s="21">
        <f>Table10[[#This Row],[Profit]]/Table10[[#This Row],[Sales]]</f>
        <v>-0.3833333333333333</v>
      </c>
    </row>
    <row r="2279" spans="1:22" x14ac:dyDescent="0.2">
      <c r="A2279">
        <v>2278</v>
      </c>
      <c r="B2279" t="s">
        <v>2059</v>
      </c>
      <c r="C2279" s="1">
        <v>42707</v>
      </c>
      <c r="D2279" s="22">
        <f>MONTH(Table10[[#This Row],[Order Date]])</f>
        <v>12</v>
      </c>
      <c r="E2279" t="s">
        <v>2066</v>
      </c>
      <c r="F2279" t="s">
        <v>2067</v>
      </c>
      <c r="G2279" s="23" t="s">
        <v>41</v>
      </c>
      <c r="H2279" s="23" t="s">
        <v>53</v>
      </c>
      <c r="I2279" t="s">
        <v>2060</v>
      </c>
      <c r="J2279" t="s">
        <v>22</v>
      </c>
      <c r="K2279" s="22">
        <v>3</v>
      </c>
      <c r="L2279" s="1">
        <v>42710</v>
      </c>
      <c r="M2279" s="22">
        <f>Table10[[#This Row],[Ship Date]]-Table10[[#This Row],[Order Date]]</f>
        <v>3</v>
      </c>
      <c r="N2279" t="s">
        <v>169</v>
      </c>
      <c r="O2279" t="s">
        <v>23</v>
      </c>
      <c r="P2279" t="s">
        <v>238</v>
      </c>
      <c r="Q2279" t="s">
        <v>133</v>
      </c>
      <c r="R2279" t="s">
        <v>2061</v>
      </c>
      <c r="S2279" s="33">
        <v>0</v>
      </c>
      <c r="T2279" s="13">
        <v>33.630000000000003</v>
      </c>
      <c r="U2279" s="13">
        <v>10.089</v>
      </c>
      <c r="V2279" s="21">
        <f>Table10[[#This Row],[Profit]]/Table10[[#This Row],[Sales]]</f>
        <v>0.3</v>
      </c>
    </row>
    <row r="2280" spans="1:22" x14ac:dyDescent="0.2">
      <c r="A2280">
        <v>2279</v>
      </c>
      <c r="B2280" t="s">
        <v>2059</v>
      </c>
      <c r="C2280" s="1">
        <v>42707</v>
      </c>
      <c r="D2280" s="22">
        <f>MONTH(Table10[[#This Row],[Order Date]])</f>
        <v>12</v>
      </c>
      <c r="E2280" t="s">
        <v>832</v>
      </c>
      <c r="F2280" t="s">
        <v>833</v>
      </c>
      <c r="G2280" s="23" t="s">
        <v>28</v>
      </c>
      <c r="H2280" s="23" t="s">
        <v>32</v>
      </c>
      <c r="I2280" t="s">
        <v>2060</v>
      </c>
      <c r="J2280" t="s">
        <v>22</v>
      </c>
      <c r="K2280" s="22">
        <v>3</v>
      </c>
      <c r="L2280" s="1">
        <v>42710</v>
      </c>
      <c r="M2280" s="22">
        <f>Table10[[#This Row],[Ship Date]]-Table10[[#This Row],[Order Date]]</f>
        <v>3</v>
      </c>
      <c r="N2280" t="s">
        <v>169</v>
      </c>
      <c r="O2280" t="s">
        <v>23</v>
      </c>
      <c r="P2280" t="s">
        <v>238</v>
      </c>
      <c r="Q2280" t="s">
        <v>133</v>
      </c>
      <c r="R2280" t="s">
        <v>2061</v>
      </c>
      <c r="S2280" s="33">
        <v>0.1</v>
      </c>
      <c r="T2280" s="13">
        <v>542.64599999999996</v>
      </c>
      <c r="U2280" s="13">
        <v>102.49979999999999</v>
      </c>
      <c r="V2280" s="21">
        <f>Table10[[#This Row],[Profit]]/Table10[[#This Row],[Sales]]</f>
        <v>0.18888888888888888</v>
      </c>
    </row>
    <row r="2281" spans="1:22" x14ac:dyDescent="0.2">
      <c r="A2281">
        <v>2280</v>
      </c>
      <c r="B2281" t="s">
        <v>2059</v>
      </c>
      <c r="C2281" s="1">
        <v>42707</v>
      </c>
      <c r="D2281" s="22">
        <f>MONTH(Table10[[#This Row],[Order Date]])</f>
        <v>12</v>
      </c>
      <c r="E2281" t="s">
        <v>1372</v>
      </c>
      <c r="F2281" t="s">
        <v>1373</v>
      </c>
      <c r="G2281" s="23" t="s">
        <v>41</v>
      </c>
      <c r="H2281" s="23" t="s">
        <v>42</v>
      </c>
      <c r="I2281" t="s">
        <v>2060</v>
      </c>
      <c r="J2281" t="s">
        <v>22</v>
      </c>
      <c r="K2281" s="22">
        <v>2</v>
      </c>
      <c r="L2281" s="1">
        <v>42710</v>
      </c>
      <c r="M2281" s="22">
        <f>Table10[[#This Row],[Ship Date]]-Table10[[#This Row],[Order Date]]</f>
        <v>3</v>
      </c>
      <c r="N2281" t="s">
        <v>169</v>
      </c>
      <c r="O2281" t="s">
        <v>23</v>
      </c>
      <c r="P2281" t="s">
        <v>238</v>
      </c>
      <c r="Q2281" t="s">
        <v>133</v>
      </c>
      <c r="R2281" t="s">
        <v>2061</v>
      </c>
      <c r="S2281" s="33">
        <v>0</v>
      </c>
      <c r="T2281" s="13">
        <v>6.3</v>
      </c>
      <c r="U2281" s="13">
        <v>3.024</v>
      </c>
      <c r="V2281" s="21">
        <f>Table10[[#This Row],[Profit]]/Table10[[#This Row],[Sales]]</f>
        <v>0.48000000000000004</v>
      </c>
    </row>
    <row r="2282" spans="1:22" x14ac:dyDescent="0.2">
      <c r="A2282">
        <v>2281</v>
      </c>
      <c r="B2282" t="s">
        <v>6570</v>
      </c>
      <c r="C2282" s="1">
        <v>42707</v>
      </c>
      <c r="D2282" s="22">
        <f>MONTH(Table10[[#This Row],[Order Date]])</f>
        <v>12</v>
      </c>
      <c r="E2282" t="s">
        <v>1818</v>
      </c>
      <c r="F2282" t="s">
        <v>1819</v>
      </c>
      <c r="G2282" s="23" t="s">
        <v>41</v>
      </c>
      <c r="H2282" s="23" t="s">
        <v>71</v>
      </c>
      <c r="I2282" t="s">
        <v>1285</v>
      </c>
      <c r="J2282" t="s">
        <v>22</v>
      </c>
      <c r="K2282" s="22">
        <v>4</v>
      </c>
      <c r="L2282" s="1">
        <v>42712</v>
      </c>
      <c r="M2282" s="22">
        <f>Table10[[#This Row],[Ship Date]]-Table10[[#This Row],[Order Date]]</f>
        <v>5</v>
      </c>
      <c r="N2282" t="s">
        <v>45</v>
      </c>
      <c r="O2282" t="s">
        <v>23</v>
      </c>
      <c r="P2282" t="s">
        <v>132</v>
      </c>
      <c r="Q2282" t="s">
        <v>133</v>
      </c>
      <c r="R2282" t="s">
        <v>131</v>
      </c>
      <c r="S2282" s="33">
        <v>0.2</v>
      </c>
      <c r="T2282" s="13">
        <v>394.81599999999997</v>
      </c>
      <c r="U2282" s="13">
        <v>93.768799999999999</v>
      </c>
      <c r="V2282" s="21">
        <f>Table10[[#This Row],[Profit]]/Table10[[#This Row],[Sales]]</f>
        <v>0.23750000000000002</v>
      </c>
    </row>
    <row r="2283" spans="1:22" x14ac:dyDescent="0.2">
      <c r="A2283">
        <v>2282</v>
      </c>
      <c r="B2283" t="s">
        <v>6570</v>
      </c>
      <c r="C2283" s="1">
        <v>42707</v>
      </c>
      <c r="D2283" s="22">
        <f>MONTH(Table10[[#This Row],[Order Date]])</f>
        <v>12</v>
      </c>
      <c r="E2283" t="s">
        <v>991</v>
      </c>
      <c r="F2283" t="s">
        <v>992</v>
      </c>
      <c r="G2283" s="23" t="s">
        <v>41</v>
      </c>
      <c r="H2283" s="23" t="s">
        <v>68</v>
      </c>
      <c r="I2283" t="s">
        <v>1285</v>
      </c>
      <c r="J2283" t="s">
        <v>22</v>
      </c>
      <c r="K2283" s="22">
        <v>4</v>
      </c>
      <c r="L2283" s="1">
        <v>42712</v>
      </c>
      <c r="M2283" s="22">
        <f>Table10[[#This Row],[Ship Date]]-Table10[[#This Row],[Order Date]]</f>
        <v>5</v>
      </c>
      <c r="N2283" t="s">
        <v>45</v>
      </c>
      <c r="O2283" t="s">
        <v>23</v>
      </c>
      <c r="P2283" t="s">
        <v>132</v>
      </c>
      <c r="Q2283" t="s">
        <v>133</v>
      </c>
      <c r="R2283" t="s">
        <v>131</v>
      </c>
      <c r="S2283" s="33">
        <v>0.7</v>
      </c>
      <c r="T2283" s="13">
        <v>18.192</v>
      </c>
      <c r="U2283" s="13">
        <v>-14.553599999999999</v>
      </c>
      <c r="V2283" s="21">
        <f>Table10[[#This Row],[Profit]]/Table10[[#This Row],[Sales]]</f>
        <v>-0.79999999999999993</v>
      </c>
    </row>
    <row r="2284" spans="1:22" x14ac:dyDescent="0.2">
      <c r="A2284">
        <v>2283</v>
      </c>
      <c r="B2284" t="s">
        <v>7467</v>
      </c>
      <c r="C2284" s="1">
        <v>42707</v>
      </c>
      <c r="D2284" s="22">
        <f>MONTH(Table10[[#This Row],[Order Date]])</f>
        <v>12</v>
      </c>
      <c r="E2284" t="s">
        <v>7468</v>
      </c>
      <c r="F2284" t="s">
        <v>7469</v>
      </c>
      <c r="G2284" s="23" t="s">
        <v>64</v>
      </c>
      <c r="H2284" s="23" t="s">
        <v>144</v>
      </c>
      <c r="I2284" t="s">
        <v>2850</v>
      </c>
      <c r="J2284" t="s">
        <v>22</v>
      </c>
      <c r="K2284" s="22">
        <v>5</v>
      </c>
      <c r="L2284" s="1">
        <v>42710</v>
      </c>
      <c r="M2284" s="22">
        <f>Table10[[#This Row],[Ship Date]]-Table10[[#This Row],[Order Date]]</f>
        <v>3</v>
      </c>
      <c r="N2284" t="s">
        <v>169</v>
      </c>
      <c r="O2284" t="s">
        <v>23</v>
      </c>
      <c r="P2284" t="s">
        <v>38</v>
      </c>
      <c r="Q2284" t="s">
        <v>39</v>
      </c>
      <c r="R2284" t="s">
        <v>37</v>
      </c>
      <c r="S2284" s="33">
        <v>0</v>
      </c>
      <c r="T2284" s="13">
        <v>1649.95</v>
      </c>
      <c r="U2284" s="13">
        <v>659.98</v>
      </c>
      <c r="V2284" s="21">
        <f>Table10[[#This Row],[Profit]]/Table10[[#This Row],[Sales]]</f>
        <v>0.4</v>
      </c>
    </row>
    <row r="2285" spans="1:22" x14ac:dyDescent="0.2">
      <c r="A2285">
        <v>2284</v>
      </c>
      <c r="B2285" t="s">
        <v>7467</v>
      </c>
      <c r="C2285" s="1">
        <v>42707</v>
      </c>
      <c r="D2285" s="22">
        <f>MONTH(Table10[[#This Row],[Order Date]])</f>
        <v>12</v>
      </c>
      <c r="E2285" t="s">
        <v>6370</v>
      </c>
      <c r="F2285" t="s">
        <v>6371</v>
      </c>
      <c r="G2285" s="23" t="s">
        <v>28</v>
      </c>
      <c r="H2285" s="23" t="s">
        <v>58</v>
      </c>
      <c r="I2285" t="s">
        <v>2850</v>
      </c>
      <c r="J2285" t="s">
        <v>22</v>
      </c>
      <c r="K2285" s="22">
        <v>6</v>
      </c>
      <c r="L2285" s="1">
        <v>42710</v>
      </c>
      <c r="M2285" s="22">
        <f>Table10[[#This Row],[Ship Date]]-Table10[[#This Row],[Order Date]]</f>
        <v>3</v>
      </c>
      <c r="N2285" t="s">
        <v>169</v>
      </c>
      <c r="O2285" t="s">
        <v>23</v>
      </c>
      <c r="P2285" t="s">
        <v>38</v>
      </c>
      <c r="Q2285" t="s">
        <v>39</v>
      </c>
      <c r="R2285" t="s">
        <v>37</v>
      </c>
      <c r="S2285" s="33">
        <v>0</v>
      </c>
      <c r="T2285" s="13">
        <v>111.9</v>
      </c>
      <c r="U2285" s="13">
        <v>51.473999999999997</v>
      </c>
      <c r="V2285" s="21">
        <f>Table10[[#This Row],[Profit]]/Table10[[#This Row],[Sales]]</f>
        <v>0.45999999999999996</v>
      </c>
    </row>
    <row r="2286" spans="1:22" x14ac:dyDescent="0.2">
      <c r="A2286">
        <v>2285</v>
      </c>
      <c r="B2286" t="s">
        <v>7747</v>
      </c>
      <c r="C2286" s="1">
        <v>42707</v>
      </c>
      <c r="D2286" s="22">
        <f>MONTH(Table10[[#This Row],[Order Date]])</f>
        <v>12</v>
      </c>
      <c r="E2286" t="s">
        <v>1083</v>
      </c>
      <c r="F2286" t="s">
        <v>1084</v>
      </c>
      <c r="G2286" s="23" t="s">
        <v>28</v>
      </c>
      <c r="H2286" s="23" t="s">
        <v>50</v>
      </c>
      <c r="I2286" t="s">
        <v>3425</v>
      </c>
      <c r="J2286" t="s">
        <v>22</v>
      </c>
      <c r="K2286" s="22">
        <v>2</v>
      </c>
      <c r="L2286" s="1">
        <v>42711</v>
      </c>
      <c r="M2286" s="22">
        <f>Table10[[#This Row],[Ship Date]]-Table10[[#This Row],[Order Date]]</f>
        <v>4</v>
      </c>
      <c r="N2286" t="s">
        <v>45</v>
      </c>
      <c r="O2286" t="s">
        <v>23</v>
      </c>
      <c r="P2286" t="s">
        <v>226</v>
      </c>
      <c r="Q2286" t="s">
        <v>95</v>
      </c>
      <c r="R2286" t="s">
        <v>1294</v>
      </c>
      <c r="S2286" s="33">
        <v>0</v>
      </c>
      <c r="T2286" s="13">
        <v>581.96</v>
      </c>
      <c r="U2286" s="13">
        <v>104.75279999999999</v>
      </c>
      <c r="V2286" s="21">
        <f>Table10[[#This Row],[Profit]]/Table10[[#This Row],[Sales]]</f>
        <v>0.17999999999999997</v>
      </c>
    </row>
    <row r="2287" spans="1:22" x14ac:dyDescent="0.2">
      <c r="A2287">
        <v>2286</v>
      </c>
      <c r="B2287" t="s">
        <v>7747</v>
      </c>
      <c r="C2287" s="1">
        <v>42707</v>
      </c>
      <c r="D2287" s="22">
        <f>MONTH(Table10[[#This Row],[Order Date]])</f>
        <v>12</v>
      </c>
      <c r="E2287" t="s">
        <v>4044</v>
      </c>
      <c r="F2287" t="s">
        <v>4045</v>
      </c>
      <c r="G2287" s="23" t="s">
        <v>28</v>
      </c>
      <c r="H2287" s="23" t="s">
        <v>32</v>
      </c>
      <c r="I2287" t="s">
        <v>3425</v>
      </c>
      <c r="J2287" t="s">
        <v>22</v>
      </c>
      <c r="K2287" s="22">
        <v>1</v>
      </c>
      <c r="L2287" s="1">
        <v>42711</v>
      </c>
      <c r="M2287" s="22">
        <f>Table10[[#This Row],[Ship Date]]-Table10[[#This Row],[Order Date]]</f>
        <v>4</v>
      </c>
      <c r="N2287" t="s">
        <v>45</v>
      </c>
      <c r="O2287" t="s">
        <v>23</v>
      </c>
      <c r="P2287" t="s">
        <v>226</v>
      </c>
      <c r="Q2287" t="s">
        <v>95</v>
      </c>
      <c r="R2287" t="s">
        <v>1294</v>
      </c>
      <c r="S2287" s="33">
        <v>0</v>
      </c>
      <c r="T2287" s="13">
        <v>29.98</v>
      </c>
      <c r="U2287" s="13">
        <v>8.0945999999999998</v>
      </c>
      <c r="V2287" s="21">
        <f>Table10[[#This Row],[Profit]]/Table10[[#This Row],[Sales]]</f>
        <v>0.26999999999999996</v>
      </c>
    </row>
    <row r="2288" spans="1:22" x14ac:dyDescent="0.2">
      <c r="A2288">
        <v>2287</v>
      </c>
      <c r="B2288" t="s">
        <v>7952</v>
      </c>
      <c r="C2288" s="1">
        <v>42707</v>
      </c>
      <c r="D2288" s="22">
        <f>MONTH(Table10[[#This Row],[Order Date]])</f>
        <v>12</v>
      </c>
      <c r="E2288" t="s">
        <v>6765</v>
      </c>
      <c r="F2288" t="s">
        <v>6766</v>
      </c>
      <c r="G2288" s="23" t="s">
        <v>41</v>
      </c>
      <c r="H2288" s="23" t="s">
        <v>53</v>
      </c>
      <c r="I2288" t="s">
        <v>2217</v>
      </c>
      <c r="J2288" t="s">
        <v>22</v>
      </c>
      <c r="K2288" s="22">
        <v>4</v>
      </c>
      <c r="L2288" s="1">
        <v>42713</v>
      </c>
      <c r="M2288" s="22">
        <f>Table10[[#This Row],[Ship Date]]-Table10[[#This Row],[Order Date]]</f>
        <v>6</v>
      </c>
      <c r="N2288" t="s">
        <v>45</v>
      </c>
      <c r="O2288" t="s">
        <v>23</v>
      </c>
      <c r="P2288" t="s">
        <v>38</v>
      </c>
      <c r="Q2288" t="s">
        <v>39</v>
      </c>
      <c r="R2288" t="s">
        <v>37</v>
      </c>
      <c r="S2288" s="33">
        <v>0</v>
      </c>
      <c r="T2288" s="13">
        <v>772.68</v>
      </c>
      <c r="U2288" s="13">
        <v>108.1752</v>
      </c>
      <c r="V2288" s="21">
        <f>Table10[[#This Row],[Profit]]/Table10[[#This Row],[Sales]]</f>
        <v>0.14000000000000001</v>
      </c>
    </row>
    <row r="2289" spans="1:22" x14ac:dyDescent="0.2">
      <c r="A2289">
        <v>2288</v>
      </c>
      <c r="B2289" t="s">
        <v>8952</v>
      </c>
      <c r="C2289" s="1">
        <v>42707</v>
      </c>
      <c r="D2289" s="22">
        <f>MONTH(Table10[[#This Row],[Order Date]])</f>
        <v>12</v>
      </c>
      <c r="E2289" t="s">
        <v>2838</v>
      </c>
      <c r="F2289" t="s">
        <v>2839</v>
      </c>
      <c r="G2289" s="23" t="s">
        <v>28</v>
      </c>
      <c r="H2289" s="23" t="s">
        <v>50</v>
      </c>
      <c r="I2289" t="s">
        <v>6681</v>
      </c>
      <c r="J2289" t="s">
        <v>22</v>
      </c>
      <c r="K2289" s="22">
        <v>3</v>
      </c>
      <c r="L2289" s="1">
        <v>42711</v>
      </c>
      <c r="M2289" s="22">
        <f>Table10[[#This Row],[Ship Date]]-Table10[[#This Row],[Order Date]]</f>
        <v>4</v>
      </c>
      <c r="N2289" t="s">
        <v>45</v>
      </c>
      <c r="O2289" t="s">
        <v>23</v>
      </c>
      <c r="P2289" t="s">
        <v>38</v>
      </c>
      <c r="Q2289" t="s">
        <v>39</v>
      </c>
      <c r="R2289" t="s">
        <v>8953</v>
      </c>
      <c r="S2289" s="33">
        <v>0.2</v>
      </c>
      <c r="T2289" s="13">
        <v>268.70400000000001</v>
      </c>
      <c r="U2289" s="13">
        <v>6.7176</v>
      </c>
      <c r="V2289" s="21">
        <f>Table10[[#This Row],[Profit]]/Table10[[#This Row],[Sales]]</f>
        <v>2.4999999999999998E-2</v>
      </c>
    </row>
    <row r="2290" spans="1:22" x14ac:dyDescent="0.2">
      <c r="A2290">
        <v>2289</v>
      </c>
      <c r="B2290" t="s">
        <v>8952</v>
      </c>
      <c r="C2290" s="1">
        <v>42707</v>
      </c>
      <c r="D2290" s="22">
        <f>MONTH(Table10[[#This Row],[Order Date]])</f>
        <v>12</v>
      </c>
      <c r="E2290" t="s">
        <v>1538</v>
      </c>
      <c r="F2290" t="s">
        <v>1539</v>
      </c>
      <c r="G2290" s="23" t="s">
        <v>41</v>
      </c>
      <c r="H2290" s="23" t="s">
        <v>61</v>
      </c>
      <c r="I2290" t="s">
        <v>6681</v>
      </c>
      <c r="J2290" t="s">
        <v>22</v>
      </c>
      <c r="K2290" s="22">
        <v>8</v>
      </c>
      <c r="L2290" s="1">
        <v>42711</v>
      </c>
      <c r="M2290" s="22">
        <f>Table10[[#This Row],[Ship Date]]-Table10[[#This Row],[Order Date]]</f>
        <v>4</v>
      </c>
      <c r="N2290" t="s">
        <v>45</v>
      </c>
      <c r="O2290" t="s">
        <v>23</v>
      </c>
      <c r="P2290" t="s">
        <v>38</v>
      </c>
      <c r="Q2290" t="s">
        <v>39</v>
      </c>
      <c r="R2290" t="s">
        <v>8953</v>
      </c>
      <c r="S2290" s="33">
        <v>0</v>
      </c>
      <c r="T2290" s="13">
        <v>21.92</v>
      </c>
      <c r="U2290" s="13">
        <v>5.9184000000000001</v>
      </c>
      <c r="V2290" s="21">
        <f>Table10[[#This Row],[Profit]]/Table10[[#This Row],[Sales]]</f>
        <v>0.26999999999999996</v>
      </c>
    </row>
    <row r="2291" spans="1:22" x14ac:dyDescent="0.2">
      <c r="A2291">
        <v>2290</v>
      </c>
      <c r="B2291" t="s">
        <v>8952</v>
      </c>
      <c r="C2291" s="1">
        <v>42707</v>
      </c>
      <c r="D2291" s="22">
        <f>MONTH(Table10[[#This Row],[Order Date]])</f>
        <v>12</v>
      </c>
      <c r="E2291" t="s">
        <v>2473</v>
      </c>
      <c r="F2291" t="s">
        <v>2474</v>
      </c>
      <c r="G2291" s="23" t="s">
        <v>41</v>
      </c>
      <c r="H2291" s="23" t="s">
        <v>53</v>
      </c>
      <c r="I2291" t="s">
        <v>6681</v>
      </c>
      <c r="J2291" t="s">
        <v>22</v>
      </c>
      <c r="K2291" s="22">
        <v>3</v>
      </c>
      <c r="L2291" s="1">
        <v>42711</v>
      </c>
      <c r="M2291" s="22">
        <f>Table10[[#This Row],[Ship Date]]-Table10[[#This Row],[Order Date]]</f>
        <v>4</v>
      </c>
      <c r="N2291" t="s">
        <v>45</v>
      </c>
      <c r="O2291" t="s">
        <v>23</v>
      </c>
      <c r="P2291" t="s">
        <v>38</v>
      </c>
      <c r="Q2291" t="s">
        <v>39</v>
      </c>
      <c r="R2291" t="s">
        <v>8953</v>
      </c>
      <c r="S2291" s="33">
        <v>0</v>
      </c>
      <c r="T2291" s="13">
        <v>48.72</v>
      </c>
      <c r="U2291" s="13">
        <v>7.3079999999999998</v>
      </c>
      <c r="V2291" s="21">
        <f>Table10[[#This Row],[Profit]]/Table10[[#This Row],[Sales]]</f>
        <v>0.15</v>
      </c>
    </row>
    <row r="2292" spans="1:22" x14ac:dyDescent="0.2">
      <c r="A2292">
        <v>2291</v>
      </c>
      <c r="B2292" t="s">
        <v>8952</v>
      </c>
      <c r="C2292" s="1">
        <v>42707</v>
      </c>
      <c r="D2292" s="22">
        <f>MONTH(Table10[[#This Row],[Order Date]])</f>
        <v>12</v>
      </c>
      <c r="E2292" t="s">
        <v>1478</v>
      </c>
      <c r="F2292" t="s">
        <v>1479</v>
      </c>
      <c r="G2292" s="23" t="s">
        <v>28</v>
      </c>
      <c r="H2292" s="23" t="s">
        <v>29</v>
      </c>
      <c r="I2292" t="s">
        <v>6681</v>
      </c>
      <c r="J2292" t="s">
        <v>22</v>
      </c>
      <c r="K2292" s="22">
        <v>2</v>
      </c>
      <c r="L2292" s="1">
        <v>42711</v>
      </c>
      <c r="M2292" s="22">
        <f>Table10[[#This Row],[Ship Date]]-Table10[[#This Row],[Order Date]]</f>
        <v>4</v>
      </c>
      <c r="N2292" t="s">
        <v>45</v>
      </c>
      <c r="O2292" t="s">
        <v>23</v>
      </c>
      <c r="P2292" t="s">
        <v>38</v>
      </c>
      <c r="Q2292" t="s">
        <v>39</v>
      </c>
      <c r="R2292" t="s">
        <v>8953</v>
      </c>
      <c r="S2292" s="33">
        <v>0.15</v>
      </c>
      <c r="T2292" s="13">
        <v>205.666</v>
      </c>
      <c r="U2292" s="13">
        <v>-12.098000000000001</v>
      </c>
      <c r="V2292" s="21">
        <f>Table10[[#This Row],[Profit]]/Table10[[#This Row],[Sales]]</f>
        <v>-5.8823529411764712E-2</v>
      </c>
    </row>
    <row r="2293" spans="1:22" x14ac:dyDescent="0.2">
      <c r="A2293">
        <v>2292</v>
      </c>
      <c r="B2293" t="s">
        <v>3037</v>
      </c>
      <c r="C2293" s="1">
        <v>42708</v>
      </c>
      <c r="D2293" s="22">
        <f>MONTH(Table10[[#This Row],[Order Date]])</f>
        <v>12</v>
      </c>
      <c r="E2293" t="s">
        <v>2651</v>
      </c>
      <c r="F2293" t="s">
        <v>2652</v>
      </c>
      <c r="G2293" s="23" t="s">
        <v>28</v>
      </c>
      <c r="H2293" s="23" t="s">
        <v>58</v>
      </c>
      <c r="I2293" t="s">
        <v>597</v>
      </c>
      <c r="J2293" t="s">
        <v>22</v>
      </c>
      <c r="K2293" s="22">
        <v>3</v>
      </c>
      <c r="L2293" s="1">
        <v>42709</v>
      </c>
      <c r="M2293" s="22">
        <f>Table10[[#This Row],[Ship Date]]-Table10[[#This Row],[Order Date]]</f>
        <v>1</v>
      </c>
      <c r="N2293" t="s">
        <v>169</v>
      </c>
      <c r="O2293" t="s">
        <v>23</v>
      </c>
      <c r="P2293" t="s">
        <v>238</v>
      </c>
      <c r="Q2293" t="s">
        <v>133</v>
      </c>
      <c r="R2293" t="s">
        <v>237</v>
      </c>
      <c r="S2293" s="33">
        <v>0</v>
      </c>
      <c r="T2293" s="13">
        <v>113.79</v>
      </c>
      <c r="U2293" s="13">
        <v>20.482199999999999</v>
      </c>
      <c r="V2293" s="21">
        <f>Table10[[#This Row],[Profit]]/Table10[[#This Row],[Sales]]</f>
        <v>0.18</v>
      </c>
    </row>
    <row r="2294" spans="1:22" x14ac:dyDescent="0.2">
      <c r="A2294">
        <v>2293</v>
      </c>
      <c r="B2294" t="s">
        <v>3037</v>
      </c>
      <c r="C2294" s="1">
        <v>42708</v>
      </c>
      <c r="D2294" s="22">
        <f>MONTH(Table10[[#This Row],[Order Date]])</f>
        <v>12</v>
      </c>
      <c r="E2294" t="s">
        <v>1632</v>
      </c>
      <c r="F2294" t="s">
        <v>1633</v>
      </c>
      <c r="G2294" s="23" t="s">
        <v>64</v>
      </c>
      <c r="H2294" s="23" t="s">
        <v>144</v>
      </c>
      <c r="I2294" t="s">
        <v>597</v>
      </c>
      <c r="J2294" t="s">
        <v>22</v>
      </c>
      <c r="K2294" s="22">
        <v>1</v>
      </c>
      <c r="L2294" s="1">
        <v>42709</v>
      </c>
      <c r="M2294" s="22">
        <f>Table10[[#This Row],[Ship Date]]-Table10[[#This Row],[Order Date]]</f>
        <v>1</v>
      </c>
      <c r="N2294" t="s">
        <v>169</v>
      </c>
      <c r="O2294" t="s">
        <v>23</v>
      </c>
      <c r="P2294" t="s">
        <v>238</v>
      </c>
      <c r="Q2294" t="s">
        <v>133</v>
      </c>
      <c r="R2294" t="s">
        <v>237</v>
      </c>
      <c r="S2294" s="33">
        <v>0</v>
      </c>
      <c r="T2294" s="13">
        <v>78.150000000000006</v>
      </c>
      <c r="U2294" s="13">
        <v>34.386000000000003</v>
      </c>
      <c r="V2294" s="21">
        <f>Table10[[#This Row],[Profit]]/Table10[[#This Row],[Sales]]</f>
        <v>0.44</v>
      </c>
    </row>
    <row r="2295" spans="1:22" x14ac:dyDescent="0.2">
      <c r="A2295">
        <v>2294</v>
      </c>
      <c r="B2295" t="s">
        <v>3037</v>
      </c>
      <c r="C2295" s="1">
        <v>42708</v>
      </c>
      <c r="D2295" s="22">
        <f>MONTH(Table10[[#This Row],[Order Date]])</f>
        <v>12</v>
      </c>
      <c r="E2295" t="s">
        <v>2993</v>
      </c>
      <c r="F2295" t="s">
        <v>2994</v>
      </c>
      <c r="G2295" s="23" t="s">
        <v>41</v>
      </c>
      <c r="H2295" s="23" t="s">
        <v>68</v>
      </c>
      <c r="I2295" t="s">
        <v>597</v>
      </c>
      <c r="J2295" t="s">
        <v>22</v>
      </c>
      <c r="K2295" s="22">
        <v>1</v>
      </c>
      <c r="L2295" s="1">
        <v>42709</v>
      </c>
      <c r="M2295" s="22">
        <f>Table10[[#This Row],[Ship Date]]-Table10[[#This Row],[Order Date]]</f>
        <v>1</v>
      </c>
      <c r="N2295" t="s">
        <v>169</v>
      </c>
      <c r="O2295" t="s">
        <v>23</v>
      </c>
      <c r="P2295" t="s">
        <v>238</v>
      </c>
      <c r="Q2295" t="s">
        <v>133</v>
      </c>
      <c r="R2295" t="s">
        <v>237</v>
      </c>
      <c r="S2295" s="33">
        <v>0.2</v>
      </c>
      <c r="T2295" s="13">
        <v>1.728</v>
      </c>
      <c r="U2295" s="13">
        <v>0.6048</v>
      </c>
      <c r="V2295" s="21">
        <f>Table10[[#This Row],[Profit]]/Table10[[#This Row],[Sales]]</f>
        <v>0.35000000000000003</v>
      </c>
    </row>
    <row r="2296" spans="1:22" x14ac:dyDescent="0.2">
      <c r="A2296">
        <v>2295</v>
      </c>
      <c r="B2296" t="s">
        <v>3037</v>
      </c>
      <c r="C2296" s="1">
        <v>42708</v>
      </c>
      <c r="D2296" s="22">
        <f>MONTH(Table10[[#This Row],[Order Date]])</f>
        <v>12</v>
      </c>
      <c r="E2296" t="s">
        <v>3038</v>
      </c>
      <c r="F2296" t="s">
        <v>167</v>
      </c>
      <c r="G2296" s="23" t="s">
        <v>41</v>
      </c>
      <c r="H2296" s="23" t="s">
        <v>82</v>
      </c>
      <c r="I2296" t="s">
        <v>597</v>
      </c>
      <c r="J2296" t="s">
        <v>22</v>
      </c>
      <c r="K2296" s="22">
        <v>4</v>
      </c>
      <c r="L2296" s="1">
        <v>42709</v>
      </c>
      <c r="M2296" s="22">
        <f>Table10[[#This Row],[Ship Date]]-Table10[[#This Row],[Order Date]]</f>
        <v>1</v>
      </c>
      <c r="N2296" t="s">
        <v>169</v>
      </c>
      <c r="O2296" t="s">
        <v>23</v>
      </c>
      <c r="P2296" t="s">
        <v>238</v>
      </c>
      <c r="Q2296" t="s">
        <v>133</v>
      </c>
      <c r="R2296" t="s">
        <v>237</v>
      </c>
      <c r="S2296" s="33">
        <v>0</v>
      </c>
      <c r="T2296" s="13">
        <v>40.56</v>
      </c>
      <c r="U2296" s="13">
        <v>19.874400000000001</v>
      </c>
      <c r="V2296" s="21">
        <f>Table10[[#This Row],[Profit]]/Table10[[#This Row],[Sales]]</f>
        <v>0.49</v>
      </c>
    </row>
    <row r="2297" spans="1:22" x14ac:dyDescent="0.2">
      <c r="A2297">
        <v>2296</v>
      </c>
      <c r="B2297" t="s">
        <v>3037</v>
      </c>
      <c r="C2297" s="1">
        <v>42708</v>
      </c>
      <c r="D2297" s="22">
        <f>MONTH(Table10[[#This Row],[Order Date]])</f>
        <v>12</v>
      </c>
      <c r="E2297" t="s">
        <v>3039</v>
      </c>
      <c r="F2297" t="s">
        <v>3040</v>
      </c>
      <c r="G2297" s="23" t="s">
        <v>41</v>
      </c>
      <c r="H2297" s="23" t="s">
        <v>53</v>
      </c>
      <c r="I2297" t="s">
        <v>597</v>
      </c>
      <c r="J2297" t="s">
        <v>22</v>
      </c>
      <c r="K2297" s="22">
        <v>3</v>
      </c>
      <c r="L2297" s="1">
        <v>42709</v>
      </c>
      <c r="M2297" s="22">
        <f>Table10[[#This Row],[Ship Date]]-Table10[[#This Row],[Order Date]]</f>
        <v>1</v>
      </c>
      <c r="N2297" t="s">
        <v>169</v>
      </c>
      <c r="O2297" t="s">
        <v>23</v>
      </c>
      <c r="P2297" t="s">
        <v>238</v>
      </c>
      <c r="Q2297" t="s">
        <v>133</v>
      </c>
      <c r="R2297" t="s">
        <v>237</v>
      </c>
      <c r="S2297" s="33">
        <v>0</v>
      </c>
      <c r="T2297" s="13">
        <v>182.94</v>
      </c>
      <c r="U2297" s="13">
        <v>3.6587999999999998</v>
      </c>
      <c r="V2297" s="21">
        <f>Table10[[#This Row],[Profit]]/Table10[[#This Row],[Sales]]</f>
        <v>0.02</v>
      </c>
    </row>
    <row r="2298" spans="1:22" x14ac:dyDescent="0.2">
      <c r="A2298">
        <v>2297</v>
      </c>
      <c r="B2298" t="s">
        <v>3037</v>
      </c>
      <c r="C2298" s="1">
        <v>42708</v>
      </c>
      <c r="D2298" s="22">
        <f>MONTH(Table10[[#This Row],[Order Date]])</f>
        <v>12</v>
      </c>
      <c r="E2298" t="s">
        <v>3041</v>
      </c>
      <c r="F2298" t="s">
        <v>3042</v>
      </c>
      <c r="G2298" s="23" t="s">
        <v>41</v>
      </c>
      <c r="H2298" s="23" t="s">
        <v>53</v>
      </c>
      <c r="I2298" t="s">
        <v>597</v>
      </c>
      <c r="J2298" t="s">
        <v>22</v>
      </c>
      <c r="K2298" s="22">
        <v>2</v>
      </c>
      <c r="L2298" s="1">
        <v>42709</v>
      </c>
      <c r="M2298" s="22">
        <f>Table10[[#This Row],[Ship Date]]-Table10[[#This Row],[Order Date]]</f>
        <v>1</v>
      </c>
      <c r="N2298" t="s">
        <v>169</v>
      </c>
      <c r="O2298" t="s">
        <v>23</v>
      </c>
      <c r="P2298" t="s">
        <v>238</v>
      </c>
      <c r="Q2298" t="s">
        <v>133</v>
      </c>
      <c r="R2298" t="s">
        <v>237</v>
      </c>
      <c r="S2298" s="33">
        <v>0</v>
      </c>
      <c r="T2298" s="13">
        <v>193.86</v>
      </c>
      <c r="U2298" s="13">
        <v>11.631600000000001</v>
      </c>
      <c r="V2298" s="21">
        <f>Table10[[#This Row],[Profit]]/Table10[[#This Row],[Sales]]</f>
        <v>0.06</v>
      </c>
    </row>
    <row r="2299" spans="1:22" x14ac:dyDescent="0.2">
      <c r="A2299">
        <v>2298</v>
      </c>
      <c r="B2299" t="s">
        <v>3598</v>
      </c>
      <c r="C2299" s="1">
        <v>42708</v>
      </c>
      <c r="D2299" s="22">
        <f>MONTH(Table10[[#This Row],[Order Date]])</f>
        <v>12</v>
      </c>
      <c r="E2299" t="s">
        <v>3599</v>
      </c>
      <c r="F2299" t="s">
        <v>3600</v>
      </c>
      <c r="G2299" s="23" t="s">
        <v>41</v>
      </c>
      <c r="H2299" s="23" t="s">
        <v>53</v>
      </c>
      <c r="I2299" t="s">
        <v>1700</v>
      </c>
      <c r="J2299" t="s">
        <v>36</v>
      </c>
      <c r="K2299" s="22">
        <v>6</v>
      </c>
      <c r="L2299" s="1">
        <v>42712</v>
      </c>
      <c r="M2299" s="22">
        <f>Table10[[#This Row],[Ship Date]]-Table10[[#This Row],[Order Date]]</f>
        <v>4</v>
      </c>
      <c r="N2299" t="s">
        <v>45</v>
      </c>
      <c r="O2299" t="s">
        <v>23</v>
      </c>
      <c r="P2299" t="s">
        <v>238</v>
      </c>
      <c r="Q2299" t="s">
        <v>133</v>
      </c>
      <c r="R2299" t="s">
        <v>237</v>
      </c>
      <c r="S2299" s="33">
        <v>0</v>
      </c>
      <c r="T2299" s="13">
        <v>212.88</v>
      </c>
      <c r="U2299" s="13">
        <v>0</v>
      </c>
      <c r="V2299" s="21">
        <f>Table10[[#This Row],[Profit]]/Table10[[#This Row],[Sales]]</f>
        <v>0</v>
      </c>
    </row>
    <row r="2300" spans="1:22" x14ac:dyDescent="0.2">
      <c r="A2300">
        <v>2299</v>
      </c>
      <c r="B2300" t="s">
        <v>7717</v>
      </c>
      <c r="C2300" s="1">
        <v>42708</v>
      </c>
      <c r="D2300" s="22">
        <f>MONTH(Table10[[#This Row],[Order Date]])</f>
        <v>12</v>
      </c>
      <c r="E2300" t="s">
        <v>2149</v>
      </c>
      <c r="F2300" t="s">
        <v>2150</v>
      </c>
      <c r="G2300" s="23" t="s">
        <v>41</v>
      </c>
      <c r="H2300" s="23" t="s">
        <v>68</v>
      </c>
      <c r="I2300" t="s">
        <v>1638</v>
      </c>
      <c r="J2300" t="s">
        <v>22</v>
      </c>
      <c r="K2300" s="22">
        <v>3</v>
      </c>
      <c r="L2300" s="1">
        <v>42712</v>
      </c>
      <c r="M2300" s="22">
        <f>Table10[[#This Row],[Ship Date]]-Table10[[#This Row],[Order Date]]</f>
        <v>4</v>
      </c>
      <c r="N2300" t="s">
        <v>45</v>
      </c>
      <c r="O2300" t="s">
        <v>23</v>
      </c>
      <c r="P2300" t="s">
        <v>238</v>
      </c>
      <c r="Q2300" t="s">
        <v>133</v>
      </c>
      <c r="R2300" t="s">
        <v>1380</v>
      </c>
      <c r="S2300" s="33">
        <v>0.2</v>
      </c>
      <c r="T2300" s="13">
        <v>15.528</v>
      </c>
      <c r="U2300" s="13">
        <v>5.8230000000000004</v>
      </c>
      <c r="V2300" s="21">
        <f>Table10[[#This Row],[Profit]]/Table10[[#This Row],[Sales]]</f>
        <v>0.375</v>
      </c>
    </row>
    <row r="2301" spans="1:22" x14ac:dyDescent="0.2">
      <c r="A2301">
        <v>2300</v>
      </c>
      <c r="B2301" t="s">
        <v>7718</v>
      </c>
      <c r="C2301" s="1">
        <v>42708</v>
      </c>
      <c r="D2301" s="22">
        <f>MONTH(Table10[[#This Row],[Order Date]])</f>
        <v>12</v>
      </c>
      <c r="E2301" t="s">
        <v>3154</v>
      </c>
      <c r="F2301" t="s">
        <v>3155</v>
      </c>
      <c r="G2301" s="23" t="s">
        <v>41</v>
      </c>
      <c r="H2301" s="23" t="s">
        <v>82</v>
      </c>
      <c r="I2301" t="s">
        <v>3299</v>
      </c>
      <c r="J2301" t="s">
        <v>22</v>
      </c>
      <c r="K2301" s="22">
        <v>1</v>
      </c>
      <c r="L2301" s="1">
        <v>42713</v>
      </c>
      <c r="M2301" s="22">
        <f>Table10[[#This Row],[Ship Date]]-Table10[[#This Row],[Order Date]]</f>
        <v>5</v>
      </c>
      <c r="N2301" t="s">
        <v>45</v>
      </c>
      <c r="O2301" t="s">
        <v>23</v>
      </c>
      <c r="P2301" t="s">
        <v>38</v>
      </c>
      <c r="Q2301" t="s">
        <v>39</v>
      </c>
      <c r="R2301" t="s">
        <v>114</v>
      </c>
      <c r="S2301" s="33">
        <v>0</v>
      </c>
      <c r="T2301" s="13">
        <v>104.85</v>
      </c>
      <c r="U2301" s="13">
        <v>50.328000000000003</v>
      </c>
      <c r="V2301" s="21">
        <f>Table10[[#This Row],[Profit]]/Table10[[#This Row],[Sales]]</f>
        <v>0.48000000000000004</v>
      </c>
    </row>
    <row r="2302" spans="1:22" x14ac:dyDescent="0.2">
      <c r="A2302">
        <v>2301</v>
      </c>
      <c r="B2302" t="s">
        <v>84</v>
      </c>
      <c r="C2302" s="1">
        <v>42709</v>
      </c>
      <c r="D2302" s="22">
        <f>MONTH(Table10[[#This Row],[Order Date]])</f>
        <v>12</v>
      </c>
      <c r="E2302" t="s">
        <v>88</v>
      </c>
      <c r="F2302" t="s">
        <v>89</v>
      </c>
      <c r="G2302" s="23" t="s">
        <v>41</v>
      </c>
      <c r="H2302" s="23" t="s">
        <v>68</v>
      </c>
      <c r="I2302" t="s">
        <v>85</v>
      </c>
      <c r="J2302" t="s">
        <v>22</v>
      </c>
      <c r="K2302" s="22">
        <v>3</v>
      </c>
      <c r="L2302" s="1">
        <v>42714</v>
      </c>
      <c r="M2302" s="22">
        <f>Table10[[#This Row],[Ship Date]]-Table10[[#This Row],[Order Date]]</f>
        <v>5</v>
      </c>
      <c r="N2302" t="s">
        <v>45</v>
      </c>
      <c r="O2302" t="s">
        <v>23</v>
      </c>
      <c r="P2302" t="s">
        <v>87</v>
      </c>
      <c r="Q2302" t="s">
        <v>39</v>
      </c>
      <c r="R2302" t="s">
        <v>86</v>
      </c>
      <c r="S2302" s="33">
        <v>0.2</v>
      </c>
      <c r="T2302" s="13">
        <v>407.976</v>
      </c>
      <c r="U2302" s="13">
        <v>132.59219999999999</v>
      </c>
      <c r="V2302" s="21">
        <f>Table10[[#This Row],[Profit]]/Table10[[#This Row],[Sales]]</f>
        <v>0.32499999999999996</v>
      </c>
    </row>
    <row r="2303" spans="1:22" x14ac:dyDescent="0.2">
      <c r="A2303">
        <v>2302</v>
      </c>
      <c r="B2303" t="s">
        <v>539</v>
      </c>
      <c r="C2303" s="1">
        <v>42709</v>
      </c>
      <c r="D2303" s="22">
        <f>MONTH(Table10[[#This Row],[Order Date]])</f>
        <v>12</v>
      </c>
      <c r="E2303" t="s">
        <v>542</v>
      </c>
      <c r="F2303" t="s">
        <v>543</v>
      </c>
      <c r="G2303" s="23" t="s">
        <v>64</v>
      </c>
      <c r="H2303" s="23" t="s">
        <v>65</v>
      </c>
      <c r="I2303" t="s">
        <v>540</v>
      </c>
      <c r="J2303" t="s">
        <v>36</v>
      </c>
      <c r="K2303" s="22">
        <v>11</v>
      </c>
      <c r="L2303" s="1">
        <v>42713</v>
      </c>
      <c r="M2303" s="22">
        <f>Table10[[#This Row],[Ship Date]]-Table10[[#This Row],[Order Date]]</f>
        <v>4</v>
      </c>
      <c r="N2303" t="s">
        <v>45</v>
      </c>
      <c r="O2303" t="s">
        <v>23</v>
      </c>
      <c r="P2303" t="s">
        <v>103</v>
      </c>
      <c r="Q2303" t="s">
        <v>95</v>
      </c>
      <c r="R2303" t="s">
        <v>541</v>
      </c>
      <c r="S2303" s="33">
        <v>0</v>
      </c>
      <c r="T2303" s="13">
        <v>384.45</v>
      </c>
      <c r="U2303" s="13">
        <v>103.8015</v>
      </c>
      <c r="V2303" s="21">
        <f>Table10[[#This Row],[Profit]]/Table10[[#This Row],[Sales]]</f>
        <v>0.27</v>
      </c>
    </row>
    <row r="2304" spans="1:22" x14ac:dyDescent="0.2">
      <c r="A2304">
        <v>2303</v>
      </c>
      <c r="B2304" t="s">
        <v>539</v>
      </c>
      <c r="C2304" s="1">
        <v>42709</v>
      </c>
      <c r="D2304" s="22">
        <f>MONTH(Table10[[#This Row],[Order Date]])</f>
        <v>12</v>
      </c>
      <c r="E2304" t="s">
        <v>544</v>
      </c>
      <c r="F2304" t="s">
        <v>545</v>
      </c>
      <c r="G2304" s="23" t="s">
        <v>64</v>
      </c>
      <c r="H2304" s="23" t="s">
        <v>65</v>
      </c>
      <c r="I2304" t="s">
        <v>540</v>
      </c>
      <c r="J2304" t="s">
        <v>36</v>
      </c>
      <c r="K2304" s="22">
        <v>3</v>
      </c>
      <c r="L2304" s="1">
        <v>42713</v>
      </c>
      <c r="M2304" s="22">
        <f>Table10[[#This Row],[Ship Date]]-Table10[[#This Row],[Order Date]]</f>
        <v>4</v>
      </c>
      <c r="N2304" t="s">
        <v>45</v>
      </c>
      <c r="O2304" t="s">
        <v>23</v>
      </c>
      <c r="P2304" t="s">
        <v>103</v>
      </c>
      <c r="Q2304" t="s">
        <v>95</v>
      </c>
      <c r="R2304" t="s">
        <v>541</v>
      </c>
      <c r="S2304" s="33">
        <v>0</v>
      </c>
      <c r="T2304" s="13">
        <v>149.97</v>
      </c>
      <c r="U2304" s="13">
        <v>5.9988000000000001</v>
      </c>
      <c r="V2304" s="21">
        <f>Table10[[#This Row],[Profit]]/Table10[[#This Row],[Sales]]</f>
        <v>0.04</v>
      </c>
    </row>
    <row r="2305" spans="1:22" x14ac:dyDescent="0.2">
      <c r="A2305">
        <v>2304</v>
      </c>
      <c r="B2305" t="s">
        <v>539</v>
      </c>
      <c r="C2305" s="1">
        <v>42709</v>
      </c>
      <c r="D2305" s="22">
        <f>MONTH(Table10[[#This Row],[Order Date]])</f>
        <v>12</v>
      </c>
      <c r="E2305" t="s">
        <v>31</v>
      </c>
      <c r="F2305" t="s">
        <v>33</v>
      </c>
      <c r="G2305" s="23" t="s">
        <v>28</v>
      </c>
      <c r="H2305" s="23" t="s">
        <v>32</v>
      </c>
      <c r="I2305" t="s">
        <v>540</v>
      </c>
      <c r="J2305" t="s">
        <v>36</v>
      </c>
      <c r="K2305" s="22">
        <v>8</v>
      </c>
      <c r="L2305" s="1">
        <v>42713</v>
      </c>
      <c r="M2305" s="22">
        <f>Table10[[#This Row],[Ship Date]]-Table10[[#This Row],[Order Date]]</f>
        <v>4</v>
      </c>
      <c r="N2305" t="s">
        <v>45</v>
      </c>
      <c r="O2305" t="s">
        <v>23</v>
      </c>
      <c r="P2305" t="s">
        <v>103</v>
      </c>
      <c r="Q2305" t="s">
        <v>95</v>
      </c>
      <c r="R2305" t="s">
        <v>541</v>
      </c>
      <c r="S2305" s="33">
        <v>0</v>
      </c>
      <c r="T2305" s="13">
        <v>1951.84</v>
      </c>
      <c r="U2305" s="13">
        <v>585.55200000000002</v>
      </c>
      <c r="V2305" s="21">
        <f>Table10[[#This Row],[Profit]]/Table10[[#This Row],[Sales]]</f>
        <v>0.30000000000000004</v>
      </c>
    </row>
    <row r="2306" spans="1:22" x14ac:dyDescent="0.2">
      <c r="A2306">
        <v>2305</v>
      </c>
      <c r="B2306" t="s">
        <v>539</v>
      </c>
      <c r="C2306" s="1">
        <v>42709</v>
      </c>
      <c r="D2306" s="22">
        <f>MONTH(Table10[[#This Row],[Order Date]])</f>
        <v>12</v>
      </c>
      <c r="E2306" t="s">
        <v>546</v>
      </c>
      <c r="F2306" t="s">
        <v>547</v>
      </c>
      <c r="G2306" s="23" t="s">
        <v>41</v>
      </c>
      <c r="H2306" s="23" t="s">
        <v>68</v>
      </c>
      <c r="I2306" t="s">
        <v>540</v>
      </c>
      <c r="J2306" t="s">
        <v>36</v>
      </c>
      <c r="K2306" s="22">
        <v>5</v>
      </c>
      <c r="L2306" s="1">
        <v>42713</v>
      </c>
      <c r="M2306" s="22">
        <f>Table10[[#This Row],[Ship Date]]-Table10[[#This Row],[Order Date]]</f>
        <v>4</v>
      </c>
      <c r="N2306" t="s">
        <v>45</v>
      </c>
      <c r="O2306" t="s">
        <v>23</v>
      </c>
      <c r="P2306" t="s">
        <v>103</v>
      </c>
      <c r="Q2306" t="s">
        <v>95</v>
      </c>
      <c r="R2306" t="s">
        <v>541</v>
      </c>
      <c r="S2306" s="33">
        <v>0</v>
      </c>
      <c r="T2306" s="13">
        <v>171.55</v>
      </c>
      <c r="U2306" s="13">
        <v>80.628500000000003</v>
      </c>
      <c r="V2306" s="21">
        <f>Table10[[#This Row],[Profit]]/Table10[[#This Row],[Sales]]</f>
        <v>0.47</v>
      </c>
    </row>
    <row r="2307" spans="1:22" x14ac:dyDescent="0.2">
      <c r="A2307">
        <v>2306</v>
      </c>
      <c r="B2307" t="s">
        <v>5538</v>
      </c>
      <c r="C2307" s="1">
        <v>42709</v>
      </c>
      <c r="D2307" s="22">
        <f>MONTH(Table10[[#This Row],[Order Date]])</f>
        <v>12</v>
      </c>
      <c r="E2307" t="s">
        <v>4564</v>
      </c>
      <c r="F2307" t="s">
        <v>4565</v>
      </c>
      <c r="G2307" s="23" t="s">
        <v>28</v>
      </c>
      <c r="H2307" s="23" t="s">
        <v>58</v>
      </c>
      <c r="I2307" t="s">
        <v>3761</v>
      </c>
      <c r="J2307" t="s">
        <v>22</v>
      </c>
      <c r="K2307" s="22">
        <v>3</v>
      </c>
      <c r="L2307" s="1">
        <v>42710</v>
      </c>
      <c r="M2307" s="22">
        <f>Table10[[#This Row],[Ship Date]]-Table10[[#This Row],[Order Date]]</f>
        <v>1</v>
      </c>
      <c r="N2307" t="s">
        <v>169</v>
      </c>
      <c r="O2307" t="s">
        <v>23</v>
      </c>
      <c r="P2307" t="s">
        <v>25</v>
      </c>
      <c r="Q2307" t="s">
        <v>26</v>
      </c>
      <c r="R2307" t="s">
        <v>3223</v>
      </c>
      <c r="S2307" s="33">
        <v>0</v>
      </c>
      <c r="T2307" s="13">
        <v>191.82</v>
      </c>
      <c r="U2307" s="13">
        <v>74.809799999999996</v>
      </c>
      <c r="V2307" s="21">
        <f>Table10[[#This Row],[Profit]]/Table10[[#This Row],[Sales]]</f>
        <v>0.39</v>
      </c>
    </row>
    <row r="2308" spans="1:22" x14ac:dyDescent="0.2">
      <c r="A2308">
        <v>2307</v>
      </c>
      <c r="B2308" t="s">
        <v>6061</v>
      </c>
      <c r="C2308" s="1">
        <v>42709</v>
      </c>
      <c r="D2308" s="22">
        <f>MONTH(Table10[[#This Row],[Order Date]])</f>
        <v>12</v>
      </c>
      <c r="E2308" t="s">
        <v>5430</v>
      </c>
      <c r="F2308" t="s">
        <v>5431</v>
      </c>
      <c r="G2308" s="23" t="s">
        <v>41</v>
      </c>
      <c r="H2308" s="23" t="s">
        <v>53</v>
      </c>
      <c r="I2308" t="s">
        <v>3761</v>
      </c>
      <c r="J2308" t="s">
        <v>22</v>
      </c>
      <c r="K2308" s="22">
        <v>3</v>
      </c>
      <c r="L2308" s="1">
        <v>42711</v>
      </c>
      <c r="M2308" s="22">
        <f>Table10[[#This Row],[Ship Date]]-Table10[[#This Row],[Order Date]]</f>
        <v>2</v>
      </c>
      <c r="N2308" t="s">
        <v>20</v>
      </c>
      <c r="O2308" t="s">
        <v>23</v>
      </c>
      <c r="P2308" t="s">
        <v>238</v>
      </c>
      <c r="Q2308" t="s">
        <v>133</v>
      </c>
      <c r="R2308" t="s">
        <v>237</v>
      </c>
      <c r="S2308" s="33">
        <v>0</v>
      </c>
      <c r="T2308" s="13">
        <v>465.18</v>
      </c>
      <c r="U2308" s="13">
        <v>120.9468</v>
      </c>
      <c r="V2308" s="21">
        <f>Table10[[#This Row],[Profit]]/Table10[[#This Row],[Sales]]</f>
        <v>0.26</v>
      </c>
    </row>
    <row r="2309" spans="1:22" x14ac:dyDescent="0.2">
      <c r="A2309">
        <v>2308</v>
      </c>
      <c r="B2309" t="s">
        <v>6550</v>
      </c>
      <c r="C2309" s="1">
        <v>42709</v>
      </c>
      <c r="D2309" s="22">
        <f>MONTH(Table10[[#This Row],[Order Date]])</f>
        <v>12</v>
      </c>
      <c r="E2309" t="s">
        <v>6551</v>
      </c>
      <c r="F2309" t="s">
        <v>6552</v>
      </c>
      <c r="G2309" s="23" t="s">
        <v>28</v>
      </c>
      <c r="H2309" s="23" t="s">
        <v>29</v>
      </c>
      <c r="I2309" t="s">
        <v>5096</v>
      </c>
      <c r="J2309" t="s">
        <v>36</v>
      </c>
      <c r="K2309" s="22">
        <v>1</v>
      </c>
      <c r="L2309" s="1">
        <v>42711</v>
      </c>
      <c r="M2309" s="22">
        <f>Table10[[#This Row],[Ship Date]]-Table10[[#This Row],[Order Date]]</f>
        <v>2</v>
      </c>
      <c r="N2309" t="s">
        <v>169</v>
      </c>
      <c r="O2309" t="s">
        <v>23</v>
      </c>
      <c r="P2309" t="s">
        <v>1101</v>
      </c>
      <c r="Q2309" t="s">
        <v>133</v>
      </c>
      <c r="R2309" t="s">
        <v>541</v>
      </c>
      <c r="S2309" s="33">
        <v>0</v>
      </c>
      <c r="T2309" s="13">
        <v>81.94</v>
      </c>
      <c r="U2309" s="13">
        <v>20.484999999999999</v>
      </c>
      <c r="V2309" s="21">
        <f>Table10[[#This Row],[Profit]]/Table10[[#This Row],[Sales]]</f>
        <v>0.25</v>
      </c>
    </row>
    <row r="2310" spans="1:22" x14ac:dyDescent="0.2">
      <c r="A2310">
        <v>2309</v>
      </c>
      <c r="B2310" t="s">
        <v>6893</v>
      </c>
      <c r="C2310" s="1">
        <v>42709</v>
      </c>
      <c r="D2310" s="22">
        <f>MONTH(Table10[[#This Row],[Order Date]])</f>
        <v>12</v>
      </c>
      <c r="E2310" t="s">
        <v>2596</v>
      </c>
      <c r="F2310" t="s">
        <v>2597</v>
      </c>
      <c r="G2310" s="23" t="s">
        <v>41</v>
      </c>
      <c r="H2310" s="23" t="s">
        <v>61</v>
      </c>
      <c r="I2310" t="s">
        <v>5582</v>
      </c>
      <c r="J2310" t="s">
        <v>92</v>
      </c>
      <c r="K2310" s="22">
        <v>8</v>
      </c>
      <c r="L2310" s="1">
        <v>42714</v>
      </c>
      <c r="M2310" s="22">
        <f>Table10[[#This Row],[Ship Date]]-Table10[[#This Row],[Order Date]]</f>
        <v>5</v>
      </c>
      <c r="N2310" t="s">
        <v>20</v>
      </c>
      <c r="O2310" t="s">
        <v>23</v>
      </c>
      <c r="P2310" t="s">
        <v>2671</v>
      </c>
      <c r="Q2310" t="s">
        <v>133</v>
      </c>
      <c r="R2310" t="s">
        <v>87</v>
      </c>
      <c r="S2310" s="33">
        <v>0</v>
      </c>
      <c r="T2310" s="13">
        <v>33.92</v>
      </c>
      <c r="U2310" s="13">
        <v>13.2288</v>
      </c>
      <c r="V2310" s="21">
        <f>Table10[[#This Row],[Profit]]/Table10[[#This Row],[Sales]]</f>
        <v>0.38999999999999996</v>
      </c>
    </row>
    <row r="2311" spans="1:22" x14ac:dyDescent="0.2">
      <c r="A2311">
        <v>2310</v>
      </c>
      <c r="B2311" t="s">
        <v>7216</v>
      </c>
      <c r="C2311" s="1">
        <v>42709</v>
      </c>
      <c r="D2311" s="22">
        <f>MONTH(Table10[[#This Row],[Order Date]])</f>
        <v>12</v>
      </c>
      <c r="E2311" t="s">
        <v>2598</v>
      </c>
      <c r="F2311" t="s">
        <v>2599</v>
      </c>
      <c r="G2311" s="23" t="s">
        <v>64</v>
      </c>
      <c r="H2311" s="23" t="s">
        <v>65</v>
      </c>
      <c r="I2311" t="s">
        <v>1763</v>
      </c>
      <c r="J2311" t="s">
        <v>22</v>
      </c>
      <c r="K2311" s="22">
        <v>2</v>
      </c>
      <c r="L2311" s="1">
        <v>42711</v>
      </c>
      <c r="M2311" s="22">
        <f>Table10[[#This Row],[Ship Date]]-Table10[[#This Row],[Order Date]]</f>
        <v>2</v>
      </c>
      <c r="N2311" t="s">
        <v>20</v>
      </c>
      <c r="O2311" t="s">
        <v>23</v>
      </c>
      <c r="P2311" t="s">
        <v>25</v>
      </c>
      <c r="Q2311" t="s">
        <v>26</v>
      </c>
      <c r="R2311" t="s">
        <v>7217</v>
      </c>
      <c r="S2311" s="33">
        <v>0</v>
      </c>
      <c r="T2311" s="13">
        <v>699.98</v>
      </c>
      <c r="U2311" s="13">
        <v>195.99440000000001</v>
      </c>
      <c r="V2311" s="21">
        <f>Table10[[#This Row],[Profit]]/Table10[[#This Row],[Sales]]</f>
        <v>0.28000000000000003</v>
      </c>
    </row>
    <row r="2312" spans="1:22" x14ac:dyDescent="0.2">
      <c r="A2312">
        <v>2311</v>
      </c>
      <c r="B2312" t="s">
        <v>7216</v>
      </c>
      <c r="C2312" s="1">
        <v>42709</v>
      </c>
      <c r="D2312" s="22">
        <f>MONTH(Table10[[#This Row],[Order Date]])</f>
        <v>12</v>
      </c>
      <c r="E2312" t="s">
        <v>1364</v>
      </c>
      <c r="F2312" t="s">
        <v>1365</v>
      </c>
      <c r="G2312" s="23" t="s">
        <v>41</v>
      </c>
      <c r="H2312" s="23" t="s">
        <v>53</v>
      </c>
      <c r="I2312" t="s">
        <v>1763</v>
      </c>
      <c r="J2312" t="s">
        <v>22</v>
      </c>
      <c r="K2312" s="22">
        <v>9</v>
      </c>
      <c r="L2312" s="1">
        <v>42711</v>
      </c>
      <c r="M2312" s="22">
        <f>Table10[[#This Row],[Ship Date]]-Table10[[#This Row],[Order Date]]</f>
        <v>2</v>
      </c>
      <c r="N2312" t="s">
        <v>20</v>
      </c>
      <c r="O2312" t="s">
        <v>23</v>
      </c>
      <c r="P2312" t="s">
        <v>25</v>
      </c>
      <c r="Q2312" t="s">
        <v>26</v>
      </c>
      <c r="R2312" t="s">
        <v>7217</v>
      </c>
      <c r="S2312" s="33">
        <v>0</v>
      </c>
      <c r="T2312" s="13">
        <v>584.82000000000005</v>
      </c>
      <c r="U2312" s="13">
        <v>70.178399999999996</v>
      </c>
      <c r="V2312" s="21">
        <f>Table10[[#This Row],[Profit]]/Table10[[#This Row],[Sales]]</f>
        <v>0.11999999999999998</v>
      </c>
    </row>
    <row r="2313" spans="1:22" x14ac:dyDescent="0.2">
      <c r="A2313">
        <v>2312</v>
      </c>
      <c r="B2313" t="s">
        <v>8368</v>
      </c>
      <c r="C2313" s="1">
        <v>42709</v>
      </c>
      <c r="D2313" s="22">
        <f>MONTH(Table10[[#This Row],[Order Date]])</f>
        <v>12</v>
      </c>
      <c r="E2313" t="s">
        <v>2362</v>
      </c>
      <c r="F2313" t="s">
        <v>2363</v>
      </c>
      <c r="G2313" s="23" t="s">
        <v>41</v>
      </c>
      <c r="H2313" s="23" t="s">
        <v>42</v>
      </c>
      <c r="I2313" t="s">
        <v>4475</v>
      </c>
      <c r="J2313" t="s">
        <v>36</v>
      </c>
      <c r="K2313" s="22">
        <v>3</v>
      </c>
      <c r="L2313" s="1">
        <v>42712</v>
      </c>
      <c r="M2313" s="22">
        <f>Table10[[#This Row],[Ship Date]]-Table10[[#This Row],[Order Date]]</f>
        <v>3</v>
      </c>
      <c r="N2313" t="s">
        <v>20</v>
      </c>
      <c r="O2313" t="s">
        <v>23</v>
      </c>
      <c r="P2313" t="s">
        <v>189</v>
      </c>
      <c r="Q2313" t="s">
        <v>95</v>
      </c>
      <c r="R2313" t="s">
        <v>271</v>
      </c>
      <c r="S2313" s="33">
        <v>0.2</v>
      </c>
      <c r="T2313" s="13">
        <v>11.952</v>
      </c>
      <c r="U2313" s="13">
        <v>3.8843999999999999</v>
      </c>
      <c r="V2313" s="21">
        <f>Table10[[#This Row],[Profit]]/Table10[[#This Row],[Sales]]</f>
        <v>0.32500000000000001</v>
      </c>
    </row>
    <row r="2314" spans="1:22" x14ac:dyDescent="0.2">
      <c r="A2314">
        <v>2313</v>
      </c>
      <c r="B2314" t="s">
        <v>9447</v>
      </c>
      <c r="C2314" s="1">
        <v>42709</v>
      </c>
      <c r="D2314" s="22">
        <f>MONTH(Table10[[#This Row],[Order Date]])</f>
        <v>12</v>
      </c>
      <c r="E2314" t="s">
        <v>566</v>
      </c>
      <c r="F2314" t="s">
        <v>567</v>
      </c>
      <c r="G2314" s="23" t="s">
        <v>41</v>
      </c>
      <c r="H2314" s="23" t="s">
        <v>61</v>
      </c>
      <c r="I2314" t="s">
        <v>3602</v>
      </c>
      <c r="J2314" t="s">
        <v>92</v>
      </c>
      <c r="K2314" s="22">
        <v>2</v>
      </c>
      <c r="L2314" s="1">
        <v>42713</v>
      </c>
      <c r="M2314" s="22">
        <f>Table10[[#This Row],[Ship Date]]-Table10[[#This Row],[Order Date]]</f>
        <v>4</v>
      </c>
      <c r="N2314" t="s">
        <v>20</v>
      </c>
      <c r="O2314" t="s">
        <v>23</v>
      </c>
      <c r="P2314" t="s">
        <v>189</v>
      </c>
      <c r="Q2314" t="s">
        <v>95</v>
      </c>
      <c r="R2314" t="s">
        <v>271</v>
      </c>
      <c r="S2314" s="33">
        <v>0.2</v>
      </c>
      <c r="T2314" s="13">
        <v>3.536</v>
      </c>
      <c r="U2314" s="13">
        <v>0.30940000000000001</v>
      </c>
      <c r="V2314" s="21">
        <f>Table10[[#This Row],[Profit]]/Table10[[#This Row],[Sales]]</f>
        <v>8.7500000000000008E-2</v>
      </c>
    </row>
    <row r="2315" spans="1:22" x14ac:dyDescent="0.2">
      <c r="A2315">
        <v>2314</v>
      </c>
      <c r="B2315" t="s">
        <v>10130</v>
      </c>
      <c r="C2315" s="1">
        <v>42709</v>
      </c>
      <c r="D2315" s="22">
        <f>MONTH(Table10[[#This Row],[Order Date]])</f>
        <v>12</v>
      </c>
      <c r="E2315" t="s">
        <v>982</v>
      </c>
      <c r="F2315" t="s">
        <v>983</v>
      </c>
      <c r="G2315" s="23" t="s">
        <v>28</v>
      </c>
      <c r="H2315" s="23" t="s">
        <v>58</v>
      </c>
      <c r="I2315" t="s">
        <v>9094</v>
      </c>
      <c r="J2315" t="s">
        <v>36</v>
      </c>
      <c r="K2315" s="22">
        <v>1</v>
      </c>
      <c r="L2315" s="1">
        <v>42714</v>
      </c>
      <c r="M2315" s="22">
        <f>Table10[[#This Row],[Ship Date]]-Table10[[#This Row],[Order Date]]</f>
        <v>5</v>
      </c>
      <c r="N2315" t="s">
        <v>20</v>
      </c>
      <c r="O2315" t="s">
        <v>23</v>
      </c>
      <c r="P2315" t="s">
        <v>218</v>
      </c>
      <c r="Q2315" t="s">
        <v>133</v>
      </c>
      <c r="R2315" t="s">
        <v>536</v>
      </c>
      <c r="S2315" s="33">
        <v>0</v>
      </c>
      <c r="T2315" s="13">
        <v>13.4</v>
      </c>
      <c r="U2315" s="13">
        <v>6.4320000000000004</v>
      </c>
      <c r="V2315" s="21">
        <f>Table10[[#This Row],[Profit]]/Table10[[#This Row],[Sales]]</f>
        <v>0.48000000000000004</v>
      </c>
    </row>
    <row r="2316" spans="1:22" x14ac:dyDescent="0.2">
      <c r="A2316">
        <v>2315</v>
      </c>
      <c r="B2316" t="s">
        <v>10130</v>
      </c>
      <c r="C2316" s="1">
        <v>42709</v>
      </c>
      <c r="D2316" s="22">
        <f>MONTH(Table10[[#This Row],[Order Date]])</f>
        <v>12</v>
      </c>
      <c r="E2316" t="s">
        <v>2802</v>
      </c>
      <c r="F2316" t="s">
        <v>167</v>
      </c>
      <c r="G2316" s="23" t="s">
        <v>41</v>
      </c>
      <c r="H2316" s="23" t="s">
        <v>82</v>
      </c>
      <c r="I2316" t="s">
        <v>9094</v>
      </c>
      <c r="J2316" t="s">
        <v>36</v>
      </c>
      <c r="K2316" s="22">
        <v>1</v>
      </c>
      <c r="L2316" s="1">
        <v>42714</v>
      </c>
      <c r="M2316" s="22">
        <f>Table10[[#This Row],[Ship Date]]-Table10[[#This Row],[Order Date]]</f>
        <v>5</v>
      </c>
      <c r="N2316" t="s">
        <v>20</v>
      </c>
      <c r="O2316" t="s">
        <v>23</v>
      </c>
      <c r="P2316" t="s">
        <v>218</v>
      </c>
      <c r="Q2316" t="s">
        <v>133</v>
      </c>
      <c r="R2316" t="s">
        <v>536</v>
      </c>
      <c r="S2316" s="33">
        <v>0</v>
      </c>
      <c r="T2316" s="13">
        <v>4.9800000000000004</v>
      </c>
      <c r="U2316" s="13">
        <v>2.3405999999999998</v>
      </c>
      <c r="V2316" s="21">
        <f>Table10[[#This Row],[Profit]]/Table10[[#This Row],[Sales]]</f>
        <v>0.46999999999999992</v>
      </c>
    </row>
    <row r="2317" spans="1:22" x14ac:dyDescent="0.2">
      <c r="A2317">
        <v>2316</v>
      </c>
      <c r="B2317" t="s">
        <v>10130</v>
      </c>
      <c r="C2317" s="1">
        <v>42709</v>
      </c>
      <c r="D2317" s="22">
        <f>MONTH(Table10[[#This Row],[Order Date]])</f>
        <v>12</v>
      </c>
      <c r="E2317" t="s">
        <v>4962</v>
      </c>
      <c r="F2317" t="s">
        <v>4963</v>
      </c>
      <c r="G2317" s="23" t="s">
        <v>41</v>
      </c>
      <c r="H2317" s="23" t="s">
        <v>155</v>
      </c>
      <c r="I2317" t="s">
        <v>9094</v>
      </c>
      <c r="J2317" t="s">
        <v>36</v>
      </c>
      <c r="K2317" s="22">
        <v>7</v>
      </c>
      <c r="L2317" s="1">
        <v>42714</v>
      </c>
      <c r="M2317" s="22">
        <f>Table10[[#This Row],[Ship Date]]-Table10[[#This Row],[Order Date]]</f>
        <v>5</v>
      </c>
      <c r="N2317" t="s">
        <v>20</v>
      </c>
      <c r="O2317" t="s">
        <v>23</v>
      </c>
      <c r="P2317" t="s">
        <v>218</v>
      </c>
      <c r="Q2317" t="s">
        <v>133</v>
      </c>
      <c r="R2317" t="s">
        <v>536</v>
      </c>
      <c r="S2317" s="33">
        <v>0</v>
      </c>
      <c r="T2317" s="13">
        <v>109.69</v>
      </c>
      <c r="U2317" s="13">
        <v>51.554299999999998</v>
      </c>
      <c r="V2317" s="21">
        <f>Table10[[#This Row],[Profit]]/Table10[[#This Row],[Sales]]</f>
        <v>0.47</v>
      </c>
    </row>
    <row r="2318" spans="1:22" x14ac:dyDescent="0.2">
      <c r="A2318">
        <v>2317</v>
      </c>
      <c r="B2318" t="s">
        <v>2887</v>
      </c>
      <c r="C2318" s="1">
        <v>42710</v>
      </c>
      <c r="D2318" s="22">
        <f>MONTH(Table10[[#This Row],[Order Date]])</f>
        <v>12</v>
      </c>
      <c r="E2318" t="s">
        <v>933</v>
      </c>
      <c r="F2318" t="s">
        <v>934</v>
      </c>
      <c r="G2318" s="23" t="s">
        <v>41</v>
      </c>
      <c r="H2318" s="23" t="s">
        <v>82</v>
      </c>
      <c r="I2318" t="s">
        <v>455</v>
      </c>
      <c r="J2318" t="s">
        <v>36</v>
      </c>
      <c r="K2318" s="22">
        <v>3</v>
      </c>
      <c r="L2318" s="1">
        <v>42711</v>
      </c>
      <c r="M2318" s="22">
        <f>Table10[[#This Row],[Ship Date]]-Table10[[#This Row],[Order Date]]</f>
        <v>1</v>
      </c>
      <c r="N2318" t="s">
        <v>169</v>
      </c>
      <c r="O2318" t="s">
        <v>23</v>
      </c>
      <c r="P2318" t="s">
        <v>38</v>
      </c>
      <c r="Q2318" t="s">
        <v>39</v>
      </c>
      <c r="R2318" t="s">
        <v>2888</v>
      </c>
      <c r="S2318" s="33">
        <v>0</v>
      </c>
      <c r="T2318" s="13">
        <v>19.440000000000001</v>
      </c>
      <c r="U2318" s="13">
        <v>9.3312000000000008</v>
      </c>
      <c r="V2318" s="21">
        <f>Table10[[#This Row],[Profit]]/Table10[[#This Row],[Sales]]</f>
        <v>0.48000000000000004</v>
      </c>
    </row>
    <row r="2319" spans="1:22" x14ac:dyDescent="0.2">
      <c r="A2319">
        <v>2318</v>
      </c>
      <c r="B2319" t="s">
        <v>5461</v>
      </c>
      <c r="C2319" s="1">
        <v>42710</v>
      </c>
      <c r="D2319" s="22">
        <f>MONTH(Table10[[#This Row],[Order Date]])</f>
        <v>12</v>
      </c>
      <c r="E2319" t="s">
        <v>3337</v>
      </c>
      <c r="F2319" t="s">
        <v>5077</v>
      </c>
      <c r="G2319" s="23" t="s">
        <v>64</v>
      </c>
      <c r="H2319" s="23" t="s">
        <v>65</v>
      </c>
      <c r="I2319" t="s">
        <v>1662</v>
      </c>
      <c r="J2319" t="s">
        <v>22</v>
      </c>
      <c r="K2319" s="22">
        <v>1</v>
      </c>
      <c r="L2319" s="1">
        <v>42716</v>
      </c>
      <c r="M2319" s="22">
        <f>Table10[[#This Row],[Ship Date]]-Table10[[#This Row],[Order Date]]</f>
        <v>6</v>
      </c>
      <c r="N2319" t="s">
        <v>45</v>
      </c>
      <c r="O2319" t="s">
        <v>23</v>
      </c>
      <c r="P2319" t="s">
        <v>87</v>
      </c>
      <c r="Q2319" t="s">
        <v>39</v>
      </c>
      <c r="R2319" t="s">
        <v>86</v>
      </c>
      <c r="S2319" s="33">
        <v>0.2</v>
      </c>
      <c r="T2319" s="13">
        <v>156.792</v>
      </c>
      <c r="U2319" s="13">
        <v>13.7193</v>
      </c>
      <c r="V2319" s="21">
        <f>Table10[[#This Row],[Profit]]/Table10[[#This Row],[Sales]]</f>
        <v>8.7500000000000008E-2</v>
      </c>
    </row>
    <row r="2320" spans="1:22" x14ac:dyDescent="0.2">
      <c r="A2320">
        <v>2319</v>
      </c>
      <c r="B2320" t="s">
        <v>5461</v>
      </c>
      <c r="C2320" s="1">
        <v>42710</v>
      </c>
      <c r="D2320" s="22">
        <f>MONTH(Table10[[#This Row],[Order Date]])</f>
        <v>12</v>
      </c>
      <c r="E2320" t="s">
        <v>5149</v>
      </c>
      <c r="F2320" t="s">
        <v>5150</v>
      </c>
      <c r="G2320" s="23" t="s">
        <v>64</v>
      </c>
      <c r="H2320" s="23" t="s">
        <v>65</v>
      </c>
      <c r="I2320" t="s">
        <v>1662</v>
      </c>
      <c r="J2320" t="s">
        <v>22</v>
      </c>
      <c r="K2320" s="22">
        <v>3</v>
      </c>
      <c r="L2320" s="1">
        <v>42716</v>
      </c>
      <c r="M2320" s="22">
        <f>Table10[[#This Row],[Ship Date]]-Table10[[#This Row],[Order Date]]</f>
        <v>6</v>
      </c>
      <c r="N2320" t="s">
        <v>45</v>
      </c>
      <c r="O2320" t="s">
        <v>23</v>
      </c>
      <c r="P2320" t="s">
        <v>87</v>
      </c>
      <c r="Q2320" t="s">
        <v>39</v>
      </c>
      <c r="R2320" t="s">
        <v>86</v>
      </c>
      <c r="S2320" s="33">
        <v>0.2</v>
      </c>
      <c r="T2320" s="13">
        <v>431.976</v>
      </c>
      <c r="U2320" s="13">
        <v>26.9985</v>
      </c>
      <c r="V2320" s="21">
        <f>Table10[[#This Row],[Profit]]/Table10[[#This Row],[Sales]]</f>
        <v>6.25E-2</v>
      </c>
    </row>
    <row r="2321" spans="1:22" x14ac:dyDescent="0.2">
      <c r="A2321">
        <v>2320</v>
      </c>
      <c r="B2321" t="s">
        <v>5461</v>
      </c>
      <c r="C2321" s="1">
        <v>42710</v>
      </c>
      <c r="D2321" s="22">
        <f>MONTH(Table10[[#This Row],[Order Date]])</f>
        <v>12</v>
      </c>
      <c r="E2321" t="s">
        <v>334</v>
      </c>
      <c r="F2321" t="s">
        <v>335</v>
      </c>
      <c r="G2321" s="23" t="s">
        <v>41</v>
      </c>
      <c r="H2321" s="23" t="s">
        <v>155</v>
      </c>
      <c r="I2321" t="s">
        <v>1662</v>
      </c>
      <c r="J2321" t="s">
        <v>22</v>
      </c>
      <c r="K2321" s="22">
        <v>1</v>
      </c>
      <c r="L2321" s="1">
        <v>42716</v>
      </c>
      <c r="M2321" s="22">
        <f>Table10[[#This Row],[Ship Date]]-Table10[[#This Row],[Order Date]]</f>
        <v>6</v>
      </c>
      <c r="N2321" t="s">
        <v>45</v>
      </c>
      <c r="O2321" t="s">
        <v>23</v>
      </c>
      <c r="P2321" t="s">
        <v>87</v>
      </c>
      <c r="Q2321" t="s">
        <v>39</v>
      </c>
      <c r="R2321" t="s">
        <v>86</v>
      </c>
      <c r="S2321" s="33">
        <v>0</v>
      </c>
      <c r="T2321" s="13">
        <v>35.89</v>
      </c>
      <c r="U2321" s="13">
        <v>16.150500000000001</v>
      </c>
      <c r="V2321" s="21">
        <f>Table10[[#This Row],[Profit]]/Table10[[#This Row],[Sales]]</f>
        <v>0.45</v>
      </c>
    </row>
    <row r="2322" spans="1:22" x14ac:dyDescent="0.2">
      <c r="A2322">
        <v>2321</v>
      </c>
      <c r="B2322" t="s">
        <v>5461</v>
      </c>
      <c r="C2322" s="1">
        <v>42710</v>
      </c>
      <c r="D2322" s="22">
        <f>MONTH(Table10[[#This Row],[Order Date]])</f>
        <v>12</v>
      </c>
      <c r="E2322" t="s">
        <v>2305</v>
      </c>
      <c r="F2322" t="s">
        <v>2306</v>
      </c>
      <c r="G2322" s="23" t="s">
        <v>41</v>
      </c>
      <c r="H2322" s="23" t="s">
        <v>68</v>
      </c>
      <c r="I2322" t="s">
        <v>1662</v>
      </c>
      <c r="J2322" t="s">
        <v>22</v>
      </c>
      <c r="K2322" s="22">
        <v>7</v>
      </c>
      <c r="L2322" s="1">
        <v>42716</v>
      </c>
      <c r="M2322" s="22">
        <f>Table10[[#This Row],[Ship Date]]-Table10[[#This Row],[Order Date]]</f>
        <v>6</v>
      </c>
      <c r="N2322" t="s">
        <v>45</v>
      </c>
      <c r="O2322" t="s">
        <v>23</v>
      </c>
      <c r="P2322" t="s">
        <v>87</v>
      </c>
      <c r="Q2322" t="s">
        <v>39</v>
      </c>
      <c r="R2322" t="s">
        <v>86</v>
      </c>
      <c r="S2322" s="33">
        <v>0.2</v>
      </c>
      <c r="T2322" s="13">
        <v>47.207999999999998</v>
      </c>
      <c r="U2322" s="13">
        <v>15.342599999999999</v>
      </c>
      <c r="V2322" s="21">
        <f>Table10[[#This Row],[Profit]]/Table10[[#This Row],[Sales]]</f>
        <v>0.32500000000000001</v>
      </c>
    </row>
    <row r="2323" spans="1:22" x14ac:dyDescent="0.2">
      <c r="A2323">
        <v>2322</v>
      </c>
      <c r="B2323" t="s">
        <v>5461</v>
      </c>
      <c r="C2323" s="1">
        <v>42710</v>
      </c>
      <c r="D2323" s="22">
        <f>MONTH(Table10[[#This Row],[Order Date]])</f>
        <v>12</v>
      </c>
      <c r="E2323" t="s">
        <v>504</v>
      </c>
      <c r="F2323" t="s">
        <v>505</v>
      </c>
      <c r="G2323" s="23" t="s">
        <v>41</v>
      </c>
      <c r="H2323" s="23" t="s">
        <v>82</v>
      </c>
      <c r="I2323" t="s">
        <v>1662</v>
      </c>
      <c r="J2323" t="s">
        <v>22</v>
      </c>
      <c r="K2323" s="22">
        <v>7</v>
      </c>
      <c r="L2323" s="1">
        <v>42716</v>
      </c>
      <c r="M2323" s="22">
        <f>Table10[[#This Row],[Ship Date]]-Table10[[#This Row],[Order Date]]</f>
        <v>6</v>
      </c>
      <c r="N2323" t="s">
        <v>45</v>
      </c>
      <c r="O2323" t="s">
        <v>23</v>
      </c>
      <c r="P2323" t="s">
        <v>87</v>
      </c>
      <c r="Q2323" t="s">
        <v>39</v>
      </c>
      <c r="R2323" t="s">
        <v>86</v>
      </c>
      <c r="S2323" s="33">
        <v>0</v>
      </c>
      <c r="T2323" s="13">
        <v>248.08</v>
      </c>
      <c r="U2323" s="13">
        <v>116.5976</v>
      </c>
      <c r="V2323" s="21">
        <f>Table10[[#This Row],[Profit]]/Table10[[#This Row],[Sales]]</f>
        <v>0.47</v>
      </c>
    </row>
    <row r="2324" spans="1:22" x14ac:dyDescent="0.2">
      <c r="A2324">
        <v>2323</v>
      </c>
      <c r="B2324" t="s">
        <v>5461</v>
      </c>
      <c r="C2324" s="1">
        <v>42710</v>
      </c>
      <c r="D2324" s="22">
        <f>MONTH(Table10[[#This Row],[Order Date]])</f>
        <v>12</v>
      </c>
      <c r="E2324" t="s">
        <v>286</v>
      </c>
      <c r="F2324" t="s">
        <v>287</v>
      </c>
      <c r="G2324" s="23" t="s">
        <v>41</v>
      </c>
      <c r="H2324" s="23" t="s">
        <v>82</v>
      </c>
      <c r="I2324" t="s">
        <v>1662</v>
      </c>
      <c r="J2324" t="s">
        <v>22</v>
      </c>
      <c r="K2324" s="22">
        <v>5</v>
      </c>
      <c r="L2324" s="1">
        <v>42716</v>
      </c>
      <c r="M2324" s="22">
        <f>Table10[[#This Row],[Ship Date]]-Table10[[#This Row],[Order Date]]</f>
        <v>6</v>
      </c>
      <c r="N2324" t="s">
        <v>45</v>
      </c>
      <c r="O2324" t="s">
        <v>23</v>
      </c>
      <c r="P2324" t="s">
        <v>87</v>
      </c>
      <c r="Q2324" t="s">
        <v>39</v>
      </c>
      <c r="R2324" t="s">
        <v>86</v>
      </c>
      <c r="S2324" s="33">
        <v>0</v>
      </c>
      <c r="T2324" s="13">
        <v>189.7</v>
      </c>
      <c r="U2324" s="13">
        <v>89.159000000000006</v>
      </c>
      <c r="V2324" s="21">
        <f>Table10[[#This Row],[Profit]]/Table10[[#This Row],[Sales]]</f>
        <v>0.47000000000000008</v>
      </c>
    </row>
    <row r="2325" spans="1:22" x14ac:dyDescent="0.2">
      <c r="A2325">
        <v>2324</v>
      </c>
      <c r="B2325" t="s">
        <v>5461</v>
      </c>
      <c r="C2325" s="1">
        <v>42710</v>
      </c>
      <c r="D2325" s="22">
        <f>MONTH(Table10[[#This Row],[Order Date]])</f>
        <v>12</v>
      </c>
      <c r="E2325" t="s">
        <v>1526</v>
      </c>
      <c r="F2325" t="s">
        <v>1527</v>
      </c>
      <c r="G2325" s="23" t="s">
        <v>41</v>
      </c>
      <c r="H2325" s="23" t="s">
        <v>68</v>
      </c>
      <c r="I2325" t="s">
        <v>1662</v>
      </c>
      <c r="J2325" t="s">
        <v>22</v>
      </c>
      <c r="K2325" s="22">
        <v>3</v>
      </c>
      <c r="L2325" s="1">
        <v>42716</v>
      </c>
      <c r="M2325" s="22">
        <f>Table10[[#This Row],[Ship Date]]-Table10[[#This Row],[Order Date]]</f>
        <v>6</v>
      </c>
      <c r="N2325" t="s">
        <v>45</v>
      </c>
      <c r="O2325" t="s">
        <v>23</v>
      </c>
      <c r="P2325" t="s">
        <v>87</v>
      </c>
      <c r="Q2325" t="s">
        <v>39</v>
      </c>
      <c r="R2325" t="s">
        <v>86</v>
      </c>
      <c r="S2325" s="33">
        <v>0.2</v>
      </c>
      <c r="T2325" s="13">
        <v>59.808</v>
      </c>
      <c r="U2325" s="13">
        <v>19.4376</v>
      </c>
      <c r="V2325" s="21">
        <f>Table10[[#This Row],[Profit]]/Table10[[#This Row],[Sales]]</f>
        <v>0.32500000000000001</v>
      </c>
    </row>
    <row r="2326" spans="1:22" x14ac:dyDescent="0.2">
      <c r="A2326">
        <v>2325</v>
      </c>
      <c r="B2326" t="s">
        <v>9328</v>
      </c>
      <c r="C2326" s="1">
        <v>42710</v>
      </c>
      <c r="D2326" s="22">
        <f>MONTH(Table10[[#This Row],[Order Date]])</f>
        <v>12</v>
      </c>
      <c r="E2326" t="s">
        <v>6271</v>
      </c>
      <c r="F2326" t="s">
        <v>6272</v>
      </c>
      <c r="G2326" s="23" t="s">
        <v>41</v>
      </c>
      <c r="H2326" s="23" t="s">
        <v>68</v>
      </c>
      <c r="I2326" t="s">
        <v>2324</v>
      </c>
      <c r="J2326" t="s">
        <v>36</v>
      </c>
      <c r="K2326" s="22">
        <v>7</v>
      </c>
      <c r="L2326" s="1">
        <v>42716</v>
      </c>
      <c r="M2326" s="22">
        <f>Table10[[#This Row],[Ship Date]]-Table10[[#This Row],[Order Date]]</f>
        <v>6</v>
      </c>
      <c r="N2326" t="s">
        <v>45</v>
      </c>
      <c r="O2326" t="s">
        <v>23</v>
      </c>
      <c r="P2326" t="s">
        <v>238</v>
      </c>
      <c r="Q2326" t="s">
        <v>133</v>
      </c>
      <c r="R2326" t="s">
        <v>5438</v>
      </c>
      <c r="S2326" s="33">
        <v>0.2</v>
      </c>
      <c r="T2326" s="13">
        <v>968.74400000000003</v>
      </c>
      <c r="U2326" s="13">
        <v>314.84179999999998</v>
      </c>
      <c r="V2326" s="21">
        <f>Table10[[#This Row],[Profit]]/Table10[[#This Row],[Sales]]</f>
        <v>0.32499999999999996</v>
      </c>
    </row>
    <row r="2327" spans="1:22" x14ac:dyDescent="0.2">
      <c r="A2327">
        <v>2326</v>
      </c>
      <c r="B2327" t="s">
        <v>9328</v>
      </c>
      <c r="C2327" s="1">
        <v>42710</v>
      </c>
      <c r="D2327" s="22">
        <f>MONTH(Table10[[#This Row],[Order Date]])</f>
        <v>12</v>
      </c>
      <c r="E2327" t="s">
        <v>383</v>
      </c>
      <c r="F2327" t="s">
        <v>384</v>
      </c>
      <c r="G2327" s="23" t="s">
        <v>41</v>
      </c>
      <c r="H2327" s="23" t="s">
        <v>68</v>
      </c>
      <c r="I2327" t="s">
        <v>2324</v>
      </c>
      <c r="J2327" t="s">
        <v>36</v>
      </c>
      <c r="K2327" s="22">
        <v>13</v>
      </c>
      <c r="L2327" s="1">
        <v>42716</v>
      </c>
      <c r="M2327" s="22">
        <f>Table10[[#This Row],[Ship Date]]-Table10[[#This Row],[Order Date]]</f>
        <v>6</v>
      </c>
      <c r="N2327" t="s">
        <v>45</v>
      </c>
      <c r="O2327" t="s">
        <v>23</v>
      </c>
      <c r="P2327" t="s">
        <v>238</v>
      </c>
      <c r="Q2327" t="s">
        <v>133</v>
      </c>
      <c r="R2327" t="s">
        <v>5438</v>
      </c>
      <c r="S2327" s="33">
        <v>0.2</v>
      </c>
      <c r="T2327" s="13">
        <v>222.352</v>
      </c>
      <c r="U2327" s="13">
        <v>77.8232</v>
      </c>
      <c r="V2327" s="21">
        <f>Table10[[#This Row],[Profit]]/Table10[[#This Row],[Sales]]</f>
        <v>0.35</v>
      </c>
    </row>
    <row r="2328" spans="1:22" x14ac:dyDescent="0.2">
      <c r="A2328">
        <v>2327</v>
      </c>
      <c r="B2328" t="s">
        <v>9328</v>
      </c>
      <c r="C2328" s="1">
        <v>42710</v>
      </c>
      <c r="D2328" s="22">
        <f>MONTH(Table10[[#This Row],[Order Date]])</f>
        <v>12</v>
      </c>
      <c r="E2328" t="s">
        <v>2920</v>
      </c>
      <c r="F2328" t="s">
        <v>2921</v>
      </c>
      <c r="G2328" s="23" t="s">
        <v>64</v>
      </c>
      <c r="H2328" s="23" t="s">
        <v>1075</v>
      </c>
      <c r="I2328" t="s">
        <v>2324</v>
      </c>
      <c r="J2328" t="s">
        <v>36</v>
      </c>
      <c r="K2328" s="22">
        <v>2</v>
      </c>
      <c r="L2328" s="1">
        <v>42716</v>
      </c>
      <c r="M2328" s="22">
        <f>Table10[[#This Row],[Ship Date]]-Table10[[#This Row],[Order Date]]</f>
        <v>6</v>
      </c>
      <c r="N2328" t="s">
        <v>45</v>
      </c>
      <c r="O2328" t="s">
        <v>23</v>
      </c>
      <c r="P2328" t="s">
        <v>238</v>
      </c>
      <c r="Q2328" t="s">
        <v>133</v>
      </c>
      <c r="R2328" t="s">
        <v>5438</v>
      </c>
      <c r="S2328" s="33">
        <v>0.2</v>
      </c>
      <c r="T2328" s="13">
        <v>479.98399999999998</v>
      </c>
      <c r="U2328" s="13">
        <v>89.997</v>
      </c>
      <c r="V2328" s="21">
        <f>Table10[[#This Row],[Profit]]/Table10[[#This Row],[Sales]]</f>
        <v>0.1875</v>
      </c>
    </row>
    <row r="2329" spans="1:22" x14ac:dyDescent="0.2">
      <c r="A2329">
        <v>2328</v>
      </c>
      <c r="B2329" t="s">
        <v>10134</v>
      </c>
      <c r="C2329" s="1">
        <v>42710</v>
      </c>
      <c r="D2329" s="22">
        <f>MONTH(Table10[[#This Row],[Order Date]])</f>
        <v>12</v>
      </c>
      <c r="E2329" t="s">
        <v>8122</v>
      </c>
      <c r="F2329" t="s">
        <v>8123</v>
      </c>
      <c r="G2329" s="23" t="s">
        <v>64</v>
      </c>
      <c r="H2329" s="23" t="s">
        <v>65</v>
      </c>
      <c r="I2329" t="s">
        <v>2946</v>
      </c>
      <c r="J2329" t="s">
        <v>92</v>
      </c>
      <c r="K2329" s="22">
        <v>5</v>
      </c>
      <c r="L2329" s="1">
        <v>42714</v>
      </c>
      <c r="M2329" s="22">
        <f>Table10[[#This Row],[Ship Date]]-Table10[[#This Row],[Order Date]]</f>
        <v>4</v>
      </c>
      <c r="N2329" t="s">
        <v>45</v>
      </c>
      <c r="O2329" t="s">
        <v>23</v>
      </c>
      <c r="P2329" t="s">
        <v>38</v>
      </c>
      <c r="Q2329" t="s">
        <v>39</v>
      </c>
      <c r="R2329" t="s">
        <v>37</v>
      </c>
      <c r="S2329" s="33">
        <v>0.2</v>
      </c>
      <c r="T2329" s="13">
        <v>271.95999999999998</v>
      </c>
      <c r="U2329" s="13">
        <v>27.196000000000002</v>
      </c>
      <c r="V2329" s="21">
        <f>Table10[[#This Row],[Profit]]/Table10[[#This Row],[Sales]]</f>
        <v>0.10000000000000002</v>
      </c>
    </row>
    <row r="2330" spans="1:22" x14ac:dyDescent="0.2">
      <c r="A2330">
        <v>2329</v>
      </c>
      <c r="B2330" t="s">
        <v>10134</v>
      </c>
      <c r="C2330" s="1">
        <v>42710</v>
      </c>
      <c r="D2330" s="22">
        <f>MONTH(Table10[[#This Row],[Order Date]])</f>
        <v>12</v>
      </c>
      <c r="E2330" t="s">
        <v>3972</v>
      </c>
      <c r="F2330" t="s">
        <v>3973</v>
      </c>
      <c r="G2330" s="23" t="s">
        <v>41</v>
      </c>
      <c r="H2330" s="23" t="s">
        <v>61</v>
      </c>
      <c r="I2330" t="s">
        <v>2946</v>
      </c>
      <c r="J2330" t="s">
        <v>92</v>
      </c>
      <c r="K2330" s="22">
        <v>7</v>
      </c>
      <c r="L2330" s="1">
        <v>42714</v>
      </c>
      <c r="M2330" s="22">
        <f>Table10[[#This Row],[Ship Date]]-Table10[[#This Row],[Order Date]]</f>
        <v>4</v>
      </c>
      <c r="N2330" t="s">
        <v>45</v>
      </c>
      <c r="O2330" t="s">
        <v>23</v>
      </c>
      <c r="P2330" t="s">
        <v>38</v>
      </c>
      <c r="Q2330" t="s">
        <v>39</v>
      </c>
      <c r="R2330" t="s">
        <v>37</v>
      </c>
      <c r="S2330" s="33">
        <v>0</v>
      </c>
      <c r="T2330" s="13">
        <v>18.690000000000001</v>
      </c>
      <c r="U2330" s="13">
        <v>5.2332000000000001</v>
      </c>
      <c r="V2330" s="21">
        <f>Table10[[#This Row],[Profit]]/Table10[[#This Row],[Sales]]</f>
        <v>0.27999999999999997</v>
      </c>
    </row>
    <row r="2331" spans="1:22" x14ac:dyDescent="0.2">
      <c r="A2331">
        <v>2330</v>
      </c>
      <c r="B2331" t="s">
        <v>10134</v>
      </c>
      <c r="C2331" s="1">
        <v>42710</v>
      </c>
      <c r="D2331" s="22">
        <f>MONTH(Table10[[#This Row],[Order Date]])</f>
        <v>12</v>
      </c>
      <c r="E2331" t="s">
        <v>1979</v>
      </c>
      <c r="F2331" t="s">
        <v>1980</v>
      </c>
      <c r="G2331" s="23" t="s">
        <v>41</v>
      </c>
      <c r="H2331" s="23" t="s">
        <v>82</v>
      </c>
      <c r="I2331" t="s">
        <v>2946</v>
      </c>
      <c r="J2331" t="s">
        <v>92</v>
      </c>
      <c r="K2331" s="22">
        <v>2</v>
      </c>
      <c r="L2331" s="1">
        <v>42714</v>
      </c>
      <c r="M2331" s="22">
        <f>Table10[[#This Row],[Ship Date]]-Table10[[#This Row],[Order Date]]</f>
        <v>4</v>
      </c>
      <c r="N2331" t="s">
        <v>45</v>
      </c>
      <c r="O2331" t="s">
        <v>23</v>
      </c>
      <c r="P2331" t="s">
        <v>38</v>
      </c>
      <c r="Q2331" t="s">
        <v>39</v>
      </c>
      <c r="R2331" t="s">
        <v>37</v>
      </c>
      <c r="S2331" s="33">
        <v>0</v>
      </c>
      <c r="T2331" s="13">
        <v>13.36</v>
      </c>
      <c r="U2331" s="13">
        <v>6.4127999999999998</v>
      </c>
      <c r="V2331" s="21">
        <f>Table10[[#This Row],[Profit]]/Table10[[#This Row],[Sales]]</f>
        <v>0.48</v>
      </c>
    </row>
    <row r="2332" spans="1:22" x14ac:dyDescent="0.2">
      <c r="A2332">
        <v>2331</v>
      </c>
      <c r="B2332" t="s">
        <v>10134</v>
      </c>
      <c r="C2332" s="1">
        <v>42710</v>
      </c>
      <c r="D2332" s="22">
        <f>MONTH(Table10[[#This Row],[Order Date]])</f>
        <v>12</v>
      </c>
      <c r="E2332" t="s">
        <v>1697</v>
      </c>
      <c r="F2332" t="s">
        <v>1698</v>
      </c>
      <c r="G2332" s="23" t="s">
        <v>64</v>
      </c>
      <c r="H2332" s="23" t="s">
        <v>65</v>
      </c>
      <c r="I2332" t="s">
        <v>2946</v>
      </c>
      <c r="J2332" t="s">
        <v>92</v>
      </c>
      <c r="K2332" s="22">
        <v>2</v>
      </c>
      <c r="L2332" s="1">
        <v>42714</v>
      </c>
      <c r="M2332" s="22">
        <f>Table10[[#This Row],[Ship Date]]-Table10[[#This Row],[Order Date]]</f>
        <v>4</v>
      </c>
      <c r="N2332" t="s">
        <v>45</v>
      </c>
      <c r="O2332" t="s">
        <v>23</v>
      </c>
      <c r="P2332" t="s">
        <v>38</v>
      </c>
      <c r="Q2332" t="s">
        <v>39</v>
      </c>
      <c r="R2332" t="s">
        <v>37</v>
      </c>
      <c r="S2332" s="33">
        <v>0.2</v>
      </c>
      <c r="T2332" s="13">
        <v>249.584</v>
      </c>
      <c r="U2332" s="13">
        <v>31.198</v>
      </c>
      <c r="V2332" s="21">
        <f>Table10[[#This Row],[Profit]]/Table10[[#This Row],[Sales]]</f>
        <v>0.125</v>
      </c>
    </row>
    <row r="2333" spans="1:22" x14ac:dyDescent="0.2">
      <c r="A2333">
        <v>2332</v>
      </c>
      <c r="B2333" t="s">
        <v>10134</v>
      </c>
      <c r="C2333" s="1">
        <v>42710</v>
      </c>
      <c r="D2333" s="22">
        <f>MONTH(Table10[[#This Row],[Order Date]])</f>
        <v>12</v>
      </c>
      <c r="E2333" t="s">
        <v>1693</v>
      </c>
      <c r="F2333" t="s">
        <v>1694</v>
      </c>
      <c r="G2333" s="23" t="s">
        <v>41</v>
      </c>
      <c r="H2333" s="23" t="s">
        <v>240</v>
      </c>
      <c r="I2333" t="s">
        <v>2946</v>
      </c>
      <c r="J2333" t="s">
        <v>92</v>
      </c>
      <c r="K2333" s="22">
        <v>7</v>
      </c>
      <c r="L2333" s="1">
        <v>42714</v>
      </c>
      <c r="M2333" s="22">
        <f>Table10[[#This Row],[Ship Date]]-Table10[[#This Row],[Order Date]]</f>
        <v>4</v>
      </c>
      <c r="N2333" t="s">
        <v>45</v>
      </c>
      <c r="O2333" t="s">
        <v>23</v>
      </c>
      <c r="P2333" t="s">
        <v>38</v>
      </c>
      <c r="Q2333" t="s">
        <v>39</v>
      </c>
      <c r="R2333" t="s">
        <v>37</v>
      </c>
      <c r="S2333" s="33">
        <v>0</v>
      </c>
      <c r="T2333" s="13">
        <v>13.86</v>
      </c>
      <c r="U2333" s="13">
        <v>0</v>
      </c>
      <c r="V2333" s="21">
        <f>Table10[[#This Row],[Profit]]/Table10[[#This Row],[Sales]]</f>
        <v>0</v>
      </c>
    </row>
    <row r="2334" spans="1:22" x14ac:dyDescent="0.2">
      <c r="A2334">
        <v>2333</v>
      </c>
      <c r="B2334" t="s">
        <v>10134</v>
      </c>
      <c r="C2334" s="1">
        <v>42710</v>
      </c>
      <c r="D2334" s="22">
        <f>MONTH(Table10[[#This Row],[Order Date]])</f>
        <v>12</v>
      </c>
      <c r="E2334" t="s">
        <v>2788</v>
      </c>
      <c r="F2334" t="s">
        <v>2789</v>
      </c>
      <c r="G2334" s="23" t="s">
        <v>41</v>
      </c>
      <c r="H2334" s="23" t="s">
        <v>68</v>
      </c>
      <c r="I2334" t="s">
        <v>2946</v>
      </c>
      <c r="J2334" t="s">
        <v>92</v>
      </c>
      <c r="K2334" s="22">
        <v>4</v>
      </c>
      <c r="L2334" s="1">
        <v>42714</v>
      </c>
      <c r="M2334" s="22">
        <f>Table10[[#This Row],[Ship Date]]-Table10[[#This Row],[Order Date]]</f>
        <v>4</v>
      </c>
      <c r="N2334" t="s">
        <v>45</v>
      </c>
      <c r="O2334" t="s">
        <v>23</v>
      </c>
      <c r="P2334" t="s">
        <v>38</v>
      </c>
      <c r="Q2334" t="s">
        <v>39</v>
      </c>
      <c r="R2334" t="s">
        <v>37</v>
      </c>
      <c r="S2334" s="33">
        <v>0.2</v>
      </c>
      <c r="T2334" s="13">
        <v>13.375999999999999</v>
      </c>
      <c r="U2334" s="13">
        <v>4.6816000000000004</v>
      </c>
      <c r="V2334" s="21">
        <f>Table10[[#This Row],[Profit]]/Table10[[#This Row],[Sales]]</f>
        <v>0.35000000000000003</v>
      </c>
    </row>
    <row r="2335" spans="1:22" x14ac:dyDescent="0.2">
      <c r="A2335">
        <v>2334</v>
      </c>
      <c r="B2335" t="s">
        <v>10134</v>
      </c>
      <c r="C2335" s="1">
        <v>42710</v>
      </c>
      <c r="D2335" s="22">
        <f>MONTH(Table10[[#This Row],[Order Date]])</f>
        <v>12</v>
      </c>
      <c r="E2335" t="s">
        <v>3152</v>
      </c>
      <c r="F2335" t="s">
        <v>7822</v>
      </c>
      <c r="G2335" s="23" t="s">
        <v>41</v>
      </c>
      <c r="H2335" s="23" t="s">
        <v>68</v>
      </c>
      <c r="I2335" t="s">
        <v>2946</v>
      </c>
      <c r="J2335" t="s">
        <v>92</v>
      </c>
      <c r="K2335" s="22">
        <v>14</v>
      </c>
      <c r="L2335" s="1">
        <v>42714</v>
      </c>
      <c r="M2335" s="22">
        <f>Table10[[#This Row],[Ship Date]]-Table10[[#This Row],[Order Date]]</f>
        <v>4</v>
      </c>
      <c r="N2335" t="s">
        <v>45</v>
      </c>
      <c r="O2335" t="s">
        <v>23</v>
      </c>
      <c r="P2335" t="s">
        <v>38</v>
      </c>
      <c r="Q2335" t="s">
        <v>39</v>
      </c>
      <c r="R2335" t="s">
        <v>37</v>
      </c>
      <c r="S2335" s="33">
        <v>0.2</v>
      </c>
      <c r="T2335" s="13">
        <v>437.47199999999998</v>
      </c>
      <c r="U2335" s="13">
        <v>153.11519999999999</v>
      </c>
      <c r="V2335" s="21">
        <f>Table10[[#This Row],[Profit]]/Table10[[#This Row],[Sales]]</f>
        <v>0.35</v>
      </c>
    </row>
    <row r="2336" spans="1:22" x14ac:dyDescent="0.2">
      <c r="A2336">
        <v>2335</v>
      </c>
      <c r="B2336" t="s">
        <v>168</v>
      </c>
      <c r="C2336" s="1">
        <v>42712</v>
      </c>
      <c r="D2336" s="22">
        <f>MONTH(Table10[[#This Row],[Order Date]])</f>
        <v>12</v>
      </c>
      <c r="E2336" t="s">
        <v>172</v>
      </c>
      <c r="F2336" t="s">
        <v>173</v>
      </c>
      <c r="G2336" s="23" t="s">
        <v>64</v>
      </c>
      <c r="H2336" s="23" t="s">
        <v>65</v>
      </c>
      <c r="I2336" t="s">
        <v>170</v>
      </c>
      <c r="J2336" t="s">
        <v>36</v>
      </c>
      <c r="K2336" s="22">
        <v>7</v>
      </c>
      <c r="L2336" s="1">
        <v>42714</v>
      </c>
      <c r="M2336" s="22">
        <f>Table10[[#This Row],[Ship Date]]-Table10[[#This Row],[Order Date]]</f>
        <v>2</v>
      </c>
      <c r="N2336" t="s">
        <v>169</v>
      </c>
      <c r="O2336" t="s">
        <v>23</v>
      </c>
      <c r="P2336" t="s">
        <v>94</v>
      </c>
      <c r="Q2336" t="s">
        <v>95</v>
      </c>
      <c r="R2336" t="s">
        <v>171</v>
      </c>
      <c r="S2336" s="33">
        <v>0.2</v>
      </c>
      <c r="T2336" s="13">
        <v>1097.5440000000001</v>
      </c>
      <c r="U2336" s="13">
        <v>123.47369999999999</v>
      </c>
      <c r="V2336" s="21">
        <f>Table10[[#This Row],[Profit]]/Table10[[#This Row],[Sales]]</f>
        <v>0.11249999999999999</v>
      </c>
    </row>
    <row r="2337" spans="1:22" x14ac:dyDescent="0.2">
      <c r="A2337">
        <v>2336</v>
      </c>
      <c r="B2337" t="s">
        <v>168</v>
      </c>
      <c r="C2337" s="1">
        <v>42712</v>
      </c>
      <c r="D2337" s="22">
        <f>MONTH(Table10[[#This Row],[Order Date]])</f>
        <v>12</v>
      </c>
      <c r="E2337" t="s">
        <v>174</v>
      </c>
      <c r="F2337" t="s">
        <v>175</v>
      </c>
      <c r="G2337" s="23" t="s">
        <v>28</v>
      </c>
      <c r="H2337" s="23" t="s">
        <v>58</v>
      </c>
      <c r="I2337" t="s">
        <v>170</v>
      </c>
      <c r="J2337" t="s">
        <v>36</v>
      </c>
      <c r="K2337" s="22">
        <v>5</v>
      </c>
      <c r="L2337" s="1">
        <v>42714</v>
      </c>
      <c r="M2337" s="22">
        <f>Table10[[#This Row],[Ship Date]]-Table10[[#This Row],[Order Date]]</f>
        <v>2</v>
      </c>
      <c r="N2337" t="s">
        <v>169</v>
      </c>
      <c r="O2337" t="s">
        <v>23</v>
      </c>
      <c r="P2337" t="s">
        <v>94</v>
      </c>
      <c r="Q2337" t="s">
        <v>95</v>
      </c>
      <c r="R2337" t="s">
        <v>171</v>
      </c>
      <c r="S2337" s="33">
        <v>0.6</v>
      </c>
      <c r="T2337" s="13">
        <v>190.92</v>
      </c>
      <c r="U2337" s="13">
        <v>-147.96299999999999</v>
      </c>
      <c r="V2337" s="21">
        <f>Table10[[#This Row],[Profit]]/Table10[[#This Row],[Sales]]</f>
        <v>-0.77500000000000002</v>
      </c>
    </row>
    <row r="2338" spans="1:22" x14ac:dyDescent="0.2">
      <c r="A2338">
        <v>2337</v>
      </c>
      <c r="B2338" t="s">
        <v>3181</v>
      </c>
      <c r="C2338" s="1">
        <v>42712</v>
      </c>
      <c r="D2338" s="22">
        <f>MONTH(Table10[[#This Row],[Order Date]])</f>
        <v>12</v>
      </c>
      <c r="E2338" t="s">
        <v>1579</v>
      </c>
      <c r="F2338" t="s">
        <v>1580</v>
      </c>
      <c r="G2338" s="23" t="s">
        <v>64</v>
      </c>
      <c r="H2338" s="23" t="s">
        <v>65</v>
      </c>
      <c r="I2338" t="s">
        <v>3182</v>
      </c>
      <c r="J2338" t="s">
        <v>36</v>
      </c>
      <c r="K2338" s="22">
        <v>5</v>
      </c>
      <c r="L2338" s="1">
        <v>42716</v>
      </c>
      <c r="M2338" s="22">
        <f>Table10[[#This Row],[Ship Date]]-Table10[[#This Row],[Order Date]]</f>
        <v>4</v>
      </c>
      <c r="N2338" t="s">
        <v>20</v>
      </c>
      <c r="O2338" t="s">
        <v>23</v>
      </c>
      <c r="P2338" t="s">
        <v>204</v>
      </c>
      <c r="Q2338" t="s">
        <v>95</v>
      </c>
      <c r="R2338" t="s">
        <v>387</v>
      </c>
      <c r="S2338" s="33">
        <v>0</v>
      </c>
      <c r="T2338" s="13">
        <v>114.95</v>
      </c>
      <c r="U2338" s="13">
        <v>2.2989999999999999</v>
      </c>
      <c r="V2338" s="21">
        <f>Table10[[#This Row],[Profit]]/Table10[[#This Row],[Sales]]</f>
        <v>0.02</v>
      </c>
    </row>
    <row r="2339" spans="1:22" x14ac:dyDescent="0.2">
      <c r="A2339">
        <v>2338</v>
      </c>
      <c r="B2339" t="s">
        <v>5635</v>
      </c>
      <c r="C2339" s="1">
        <v>42712</v>
      </c>
      <c r="D2339" s="22">
        <f>MONTH(Table10[[#This Row],[Order Date]])</f>
        <v>12</v>
      </c>
      <c r="E2339" t="s">
        <v>5636</v>
      </c>
      <c r="F2339" t="s">
        <v>5637</v>
      </c>
      <c r="G2339" s="23" t="s">
        <v>41</v>
      </c>
      <c r="H2339" s="23" t="s">
        <v>68</v>
      </c>
      <c r="I2339" t="s">
        <v>5275</v>
      </c>
      <c r="J2339" t="s">
        <v>92</v>
      </c>
      <c r="K2339" s="22">
        <v>7</v>
      </c>
      <c r="L2339" s="1">
        <v>42716</v>
      </c>
      <c r="M2339" s="22">
        <f>Table10[[#This Row],[Ship Date]]-Table10[[#This Row],[Order Date]]</f>
        <v>4</v>
      </c>
      <c r="N2339" t="s">
        <v>45</v>
      </c>
      <c r="O2339" t="s">
        <v>23</v>
      </c>
      <c r="P2339" t="s">
        <v>441</v>
      </c>
      <c r="Q2339" t="s">
        <v>133</v>
      </c>
      <c r="R2339" t="s">
        <v>440</v>
      </c>
      <c r="S2339" s="33">
        <v>0.7</v>
      </c>
      <c r="T2339" s="13">
        <v>12.957000000000001</v>
      </c>
      <c r="U2339" s="13">
        <v>-9.5017999999999994</v>
      </c>
      <c r="V2339" s="21">
        <f>Table10[[#This Row],[Profit]]/Table10[[#This Row],[Sales]]</f>
        <v>-0.73333333333333328</v>
      </c>
    </row>
    <row r="2340" spans="1:22" x14ac:dyDescent="0.2">
      <c r="A2340">
        <v>2339</v>
      </c>
      <c r="B2340" t="s">
        <v>5968</v>
      </c>
      <c r="C2340" s="1">
        <v>42712</v>
      </c>
      <c r="D2340" s="22">
        <f>MONTH(Table10[[#This Row],[Order Date]])</f>
        <v>12</v>
      </c>
      <c r="E2340" t="s">
        <v>115</v>
      </c>
      <c r="F2340" t="s">
        <v>116</v>
      </c>
      <c r="G2340" s="23" t="s">
        <v>41</v>
      </c>
      <c r="H2340" s="23" t="s">
        <v>61</v>
      </c>
      <c r="I2340" t="s">
        <v>3026</v>
      </c>
      <c r="J2340" t="s">
        <v>36</v>
      </c>
      <c r="K2340" s="22">
        <v>2</v>
      </c>
      <c r="L2340" s="1">
        <v>42718</v>
      </c>
      <c r="M2340" s="22">
        <f>Table10[[#This Row],[Ship Date]]-Table10[[#This Row],[Order Date]]</f>
        <v>6</v>
      </c>
      <c r="N2340" t="s">
        <v>45</v>
      </c>
      <c r="O2340" t="s">
        <v>23</v>
      </c>
      <c r="P2340" t="s">
        <v>38</v>
      </c>
      <c r="Q2340" t="s">
        <v>39</v>
      </c>
      <c r="R2340" t="s">
        <v>114</v>
      </c>
      <c r="S2340" s="33">
        <v>0</v>
      </c>
      <c r="T2340" s="13">
        <v>8.56</v>
      </c>
      <c r="U2340" s="13">
        <v>2.4824000000000002</v>
      </c>
      <c r="V2340" s="21">
        <f>Table10[[#This Row],[Profit]]/Table10[[#This Row],[Sales]]</f>
        <v>0.28999999999999998</v>
      </c>
    </row>
    <row r="2341" spans="1:22" x14ac:dyDescent="0.2">
      <c r="A2341">
        <v>2340</v>
      </c>
      <c r="B2341" t="s">
        <v>5968</v>
      </c>
      <c r="C2341" s="1">
        <v>42712</v>
      </c>
      <c r="D2341" s="22">
        <f>MONTH(Table10[[#This Row],[Order Date]])</f>
        <v>12</v>
      </c>
      <c r="E2341" t="s">
        <v>5969</v>
      </c>
      <c r="F2341" t="s">
        <v>5970</v>
      </c>
      <c r="G2341" s="23" t="s">
        <v>41</v>
      </c>
      <c r="H2341" s="23" t="s">
        <v>82</v>
      </c>
      <c r="I2341" t="s">
        <v>3026</v>
      </c>
      <c r="J2341" t="s">
        <v>36</v>
      </c>
      <c r="K2341" s="22">
        <v>7</v>
      </c>
      <c r="L2341" s="1">
        <v>42718</v>
      </c>
      <c r="M2341" s="22">
        <f>Table10[[#This Row],[Ship Date]]-Table10[[#This Row],[Order Date]]</f>
        <v>6</v>
      </c>
      <c r="N2341" t="s">
        <v>45</v>
      </c>
      <c r="O2341" t="s">
        <v>23</v>
      </c>
      <c r="P2341" t="s">
        <v>38</v>
      </c>
      <c r="Q2341" t="s">
        <v>39</v>
      </c>
      <c r="R2341" t="s">
        <v>114</v>
      </c>
      <c r="S2341" s="33">
        <v>0</v>
      </c>
      <c r="T2341" s="13">
        <v>45.36</v>
      </c>
      <c r="U2341" s="13">
        <v>21.7728</v>
      </c>
      <c r="V2341" s="21">
        <f>Table10[[#This Row],[Profit]]/Table10[[#This Row],[Sales]]</f>
        <v>0.48</v>
      </c>
    </row>
    <row r="2342" spans="1:22" x14ac:dyDescent="0.2">
      <c r="A2342">
        <v>2341</v>
      </c>
      <c r="B2342" t="s">
        <v>5968</v>
      </c>
      <c r="C2342" s="1">
        <v>42712</v>
      </c>
      <c r="D2342" s="22">
        <f>MONTH(Table10[[#This Row],[Order Date]])</f>
        <v>12</v>
      </c>
      <c r="E2342" t="s">
        <v>4389</v>
      </c>
      <c r="F2342" t="s">
        <v>4390</v>
      </c>
      <c r="G2342" s="23" t="s">
        <v>28</v>
      </c>
      <c r="H2342" s="23" t="s">
        <v>50</v>
      </c>
      <c r="I2342" t="s">
        <v>3026</v>
      </c>
      <c r="J2342" t="s">
        <v>36</v>
      </c>
      <c r="K2342" s="22">
        <v>6</v>
      </c>
      <c r="L2342" s="1">
        <v>42718</v>
      </c>
      <c r="M2342" s="22">
        <f>Table10[[#This Row],[Ship Date]]-Table10[[#This Row],[Order Date]]</f>
        <v>6</v>
      </c>
      <c r="N2342" t="s">
        <v>45</v>
      </c>
      <c r="O2342" t="s">
        <v>23</v>
      </c>
      <c r="P2342" t="s">
        <v>38</v>
      </c>
      <c r="Q2342" t="s">
        <v>39</v>
      </c>
      <c r="R2342" t="s">
        <v>114</v>
      </c>
      <c r="S2342" s="33">
        <v>0.2</v>
      </c>
      <c r="T2342" s="13">
        <v>1421.664</v>
      </c>
      <c r="U2342" s="13">
        <v>-195.47880000000001</v>
      </c>
      <c r="V2342" s="21">
        <f>Table10[[#This Row],[Profit]]/Table10[[#This Row],[Sales]]</f>
        <v>-0.13750000000000001</v>
      </c>
    </row>
    <row r="2343" spans="1:22" x14ac:dyDescent="0.2">
      <c r="A2343">
        <v>2342</v>
      </c>
      <c r="B2343" t="s">
        <v>7588</v>
      </c>
      <c r="C2343" s="1">
        <v>42712</v>
      </c>
      <c r="D2343" s="22">
        <f>MONTH(Table10[[#This Row],[Order Date]])</f>
        <v>12</v>
      </c>
      <c r="E2343" t="s">
        <v>312</v>
      </c>
      <c r="F2343" t="s">
        <v>313</v>
      </c>
      <c r="G2343" s="23" t="s">
        <v>41</v>
      </c>
      <c r="H2343" s="23" t="s">
        <v>53</v>
      </c>
      <c r="I2343" t="s">
        <v>1071</v>
      </c>
      <c r="J2343" t="s">
        <v>22</v>
      </c>
      <c r="K2343" s="22">
        <v>3</v>
      </c>
      <c r="L2343" s="1">
        <v>42715</v>
      </c>
      <c r="M2343" s="22">
        <f>Table10[[#This Row],[Ship Date]]-Table10[[#This Row],[Order Date]]</f>
        <v>3</v>
      </c>
      <c r="N2343" t="s">
        <v>20</v>
      </c>
      <c r="O2343" t="s">
        <v>23</v>
      </c>
      <c r="P2343" t="s">
        <v>38</v>
      </c>
      <c r="Q2343" t="s">
        <v>39</v>
      </c>
      <c r="R2343" t="s">
        <v>114</v>
      </c>
      <c r="S2343" s="33">
        <v>0</v>
      </c>
      <c r="T2343" s="13">
        <v>34.049999999999997</v>
      </c>
      <c r="U2343" s="13">
        <v>9.5340000000000007</v>
      </c>
      <c r="V2343" s="21">
        <f>Table10[[#This Row],[Profit]]/Table10[[#This Row],[Sales]]</f>
        <v>0.28000000000000003</v>
      </c>
    </row>
    <row r="2344" spans="1:22" x14ac:dyDescent="0.2">
      <c r="A2344">
        <v>2343</v>
      </c>
      <c r="B2344" t="s">
        <v>7588</v>
      </c>
      <c r="C2344" s="1">
        <v>42712</v>
      </c>
      <c r="D2344" s="22">
        <f>MONTH(Table10[[#This Row],[Order Date]])</f>
        <v>12</v>
      </c>
      <c r="E2344" t="s">
        <v>2462</v>
      </c>
      <c r="F2344" t="s">
        <v>2463</v>
      </c>
      <c r="G2344" s="23" t="s">
        <v>41</v>
      </c>
      <c r="H2344" s="23" t="s">
        <v>53</v>
      </c>
      <c r="I2344" t="s">
        <v>1071</v>
      </c>
      <c r="J2344" t="s">
        <v>22</v>
      </c>
      <c r="K2344" s="22">
        <v>2</v>
      </c>
      <c r="L2344" s="1">
        <v>42715</v>
      </c>
      <c r="M2344" s="22">
        <f>Table10[[#This Row],[Ship Date]]-Table10[[#This Row],[Order Date]]</f>
        <v>3</v>
      </c>
      <c r="N2344" t="s">
        <v>20</v>
      </c>
      <c r="O2344" t="s">
        <v>23</v>
      </c>
      <c r="P2344" t="s">
        <v>38</v>
      </c>
      <c r="Q2344" t="s">
        <v>39</v>
      </c>
      <c r="R2344" t="s">
        <v>114</v>
      </c>
      <c r="S2344" s="33">
        <v>0</v>
      </c>
      <c r="T2344" s="13">
        <v>352.38</v>
      </c>
      <c r="U2344" s="13">
        <v>81.047399999999996</v>
      </c>
      <c r="V2344" s="21">
        <f>Table10[[#This Row],[Profit]]/Table10[[#This Row],[Sales]]</f>
        <v>0.22999999999999998</v>
      </c>
    </row>
    <row r="2345" spans="1:22" x14ac:dyDescent="0.2">
      <c r="A2345">
        <v>2344</v>
      </c>
      <c r="B2345" t="s">
        <v>7690</v>
      </c>
      <c r="C2345" s="1">
        <v>42712</v>
      </c>
      <c r="D2345" s="22">
        <f>MONTH(Table10[[#This Row],[Order Date]])</f>
        <v>12</v>
      </c>
      <c r="E2345" t="s">
        <v>1697</v>
      </c>
      <c r="F2345" t="s">
        <v>1698</v>
      </c>
      <c r="G2345" s="23" t="s">
        <v>64</v>
      </c>
      <c r="H2345" s="23" t="s">
        <v>65</v>
      </c>
      <c r="I2345" t="s">
        <v>216</v>
      </c>
      <c r="J2345" t="s">
        <v>22</v>
      </c>
      <c r="K2345" s="22">
        <v>2</v>
      </c>
      <c r="L2345" s="1">
        <v>42716</v>
      </c>
      <c r="M2345" s="22">
        <f>Table10[[#This Row],[Ship Date]]-Table10[[#This Row],[Order Date]]</f>
        <v>4</v>
      </c>
      <c r="N2345" t="s">
        <v>45</v>
      </c>
      <c r="O2345" t="s">
        <v>23</v>
      </c>
      <c r="P2345" t="s">
        <v>80</v>
      </c>
      <c r="Q2345" t="s">
        <v>26</v>
      </c>
      <c r="R2345" t="s">
        <v>3109</v>
      </c>
      <c r="S2345" s="33">
        <v>0.2</v>
      </c>
      <c r="T2345" s="13">
        <v>249.584</v>
      </c>
      <c r="U2345" s="13">
        <v>31.198</v>
      </c>
      <c r="V2345" s="21">
        <f>Table10[[#This Row],[Profit]]/Table10[[#This Row],[Sales]]</f>
        <v>0.125</v>
      </c>
    </row>
    <row r="2346" spans="1:22" x14ac:dyDescent="0.2">
      <c r="A2346">
        <v>2345</v>
      </c>
      <c r="B2346" t="s">
        <v>7690</v>
      </c>
      <c r="C2346" s="1">
        <v>42712</v>
      </c>
      <c r="D2346" s="22">
        <f>MONTH(Table10[[#This Row],[Order Date]])</f>
        <v>12</v>
      </c>
      <c r="E2346" t="s">
        <v>2479</v>
      </c>
      <c r="F2346" t="s">
        <v>2480</v>
      </c>
      <c r="G2346" s="23" t="s">
        <v>64</v>
      </c>
      <c r="H2346" s="23" t="s">
        <v>144</v>
      </c>
      <c r="I2346" t="s">
        <v>216</v>
      </c>
      <c r="J2346" t="s">
        <v>22</v>
      </c>
      <c r="K2346" s="22">
        <v>3</v>
      </c>
      <c r="L2346" s="1">
        <v>42716</v>
      </c>
      <c r="M2346" s="22">
        <f>Table10[[#This Row],[Ship Date]]-Table10[[#This Row],[Order Date]]</f>
        <v>4</v>
      </c>
      <c r="N2346" t="s">
        <v>45</v>
      </c>
      <c r="O2346" t="s">
        <v>23</v>
      </c>
      <c r="P2346" t="s">
        <v>80</v>
      </c>
      <c r="Q2346" t="s">
        <v>26</v>
      </c>
      <c r="R2346" t="s">
        <v>3109</v>
      </c>
      <c r="S2346" s="33">
        <v>0.2</v>
      </c>
      <c r="T2346" s="13">
        <v>68.111999999999995</v>
      </c>
      <c r="U2346" s="13">
        <v>17.8794</v>
      </c>
      <c r="V2346" s="21">
        <f>Table10[[#This Row],[Profit]]/Table10[[#This Row],[Sales]]</f>
        <v>0.26250000000000001</v>
      </c>
    </row>
    <row r="2347" spans="1:22" x14ac:dyDescent="0.2">
      <c r="A2347">
        <v>2346</v>
      </c>
      <c r="B2347" t="s">
        <v>7690</v>
      </c>
      <c r="C2347" s="1">
        <v>42712</v>
      </c>
      <c r="D2347" s="22">
        <f>MONTH(Table10[[#This Row],[Order Date]])</f>
        <v>12</v>
      </c>
      <c r="E2347" t="s">
        <v>6948</v>
      </c>
      <c r="F2347" t="s">
        <v>6949</v>
      </c>
      <c r="G2347" s="23" t="s">
        <v>64</v>
      </c>
      <c r="H2347" s="23" t="s">
        <v>144</v>
      </c>
      <c r="I2347" t="s">
        <v>216</v>
      </c>
      <c r="J2347" t="s">
        <v>22</v>
      </c>
      <c r="K2347" s="22">
        <v>3</v>
      </c>
      <c r="L2347" s="1">
        <v>42716</v>
      </c>
      <c r="M2347" s="22">
        <f>Table10[[#This Row],[Ship Date]]-Table10[[#This Row],[Order Date]]</f>
        <v>4</v>
      </c>
      <c r="N2347" t="s">
        <v>45</v>
      </c>
      <c r="O2347" t="s">
        <v>23</v>
      </c>
      <c r="P2347" t="s">
        <v>80</v>
      </c>
      <c r="Q2347" t="s">
        <v>26</v>
      </c>
      <c r="R2347" t="s">
        <v>3109</v>
      </c>
      <c r="S2347" s="33">
        <v>0.2</v>
      </c>
      <c r="T2347" s="13">
        <v>16.559999999999999</v>
      </c>
      <c r="U2347" s="13">
        <v>-2.484</v>
      </c>
      <c r="V2347" s="21">
        <f>Table10[[#This Row],[Profit]]/Table10[[#This Row],[Sales]]</f>
        <v>-0.15000000000000002</v>
      </c>
    </row>
    <row r="2348" spans="1:22" x14ac:dyDescent="0.2">
      <c r="A2348">
        <v>2347</v>
      </c>
      <c r="B2348" t="s">
        <v>9251</v>
      </c>
      <c r="C2348" s="1">
        <v>42712</v>
      </c>
      <c r="D2348" s="22">
        <f>MONTH(Table10[[#This Row],[Order Date]])</f>
        <v>12</v>
      </c>
      <c r="E2348" t="s">
        <v>906</v>
      </c>
      <c r="F2348" t="s">
        <v>907</v>
      </c>
      <c r="G2348" s="23" t="s">
        <v>41</v>
      </c>
      <c r="H2348" s="23" t="s">
        <v>82</v>
      </c>
      <c r="I2348" t="s">
        <v>5511</v>
      </c>
      <c r="J2348" t="s">
        <v>92</v>
      </c>
      <c r="K2348" s="22">
        <v>3</v>
      </c>
      <c r="L2348" s="1">
        <v>42716</v>
      </c>
      <c r="M2348" s="22">
        <f>Table10[[#This Row],[Ship Date]]-Table10[[#This Row],[Order Date]]</f>
        <v>4</v>
      </c>
      <c r="N2348" t="s">
        <v>20</v>
      </c>
      <c r="O2348" t="s">
        <v>23</v>
      </c>
      <c r="P2348" t="s">
        <v>441</v>
      </c>
      <c r="Q2348" t="s">
        <v>133</v>
      </c>
      <c r="R2348" t="s">
        <v>440</v>
      </c>
      <c r="S2348" s="33">
        <v>0.2</v>
      </c>
      <c r="T2348" s="13">
        <v>10.584</v>
      </c>
      <c r="U2348" s="13">
        <v>3.4398</v>
      </c>
      <c r="V2348" s="21">
        <f>Table10[[#This Row],[Profit]]/Table10[[#This Row],[Sales]]</f>
        <v>0.32500000000000001</v>
      </c>
    </row>
    <row r="2349" spans="1:22" x14ac:dyDescent="0.2">
      <c r="A2349">
        <v>2348</v>
      </c>
      <c r="B2349" t="s">
        <v>9679</v>
      </c>
      <c r="C2349" s="1">
        <v>42712</v>
      </c>
      <c r="D2349" s="22">
        <f>MONTH(Table10[[#This Row],[Order Date]])</f>
        <v>12</v>
      </c>
      <c r="E2349" t="s">
        <v>5012</v>
      </c>
      <c r="F2349" t="s">
        <v>5013</v>
      </c>
      <c r="G2349" s="23" t="s">
        <v>28</v>
      </c>
      <c r="H2349" s="23" t="s">
        <v>29</v>
      </c>
      <c r="I2349" t="s">
        <v>1158</v>
      </c>
      <c r="J2349" t="s">
        <v>22</v>
      </c>
      <c r="K2349" s="22">
        <v>7</v>
      </c>
      <c r="L2349" s="1">
        <v>42716</v>
      </c>
      <c r="M2349" s="22">
        <f>Table10[[#This Row],[Ship Date]]-Table10[[#This Row],[Order Date]]</f>
        <v>4</v>
      </c>
      <c r="N2349" t="s">
        <v>45</v>
      </c>
      <c r="O2349" t="s">
        <v>23</v>
      </c>
      <c r="P2349" t="s">
        <v>103</v>
      </c>
      <c r="Q2349" t="s">
        <v>95</v>
      </c>
      <c r="R2349" t="s">
        <v>5535</v>
      </c>
      <c r="S2349" s="33">
        <v>0</v>
      </c>
      <c r="T2349" s="13">
        <v>405.86</v>
      </c>
      <c r="U2349" s="13">
        <v>32.468800000000002</v>
      </c>
      <c r="V2349" s="21">
        <f>Table10[[#This Row],[Profit]]/Table10[[#This Row],[Sales]]</f>
        <v>0.08</v>
      </c>
    </row>
    <row r="2350" spans="1:22" x14ac:dyDescent="0.2">
      <c r="A2350">
        <v>2349</v>
      </c>
      <c r="B2350" t="s">
        <v>9679</v>
      </c>
      <c r="C2350" s="1">
        <v>42712</v>
      </c>
      <c r="D2350" s="22">
        <f>MONTH(Table10[[#This Row],[Order Date]])</f>
        <v>12</v>
      </c>
      <c r="E2350" t="s">
        <v>2160</v>
      </c>
      <c r="F2350" t="s">
        <v>2161</v>
      </c>
      <c r="G2350" s="23" t="s">
        <v>28</v>
      </c>
      <c r="H2350" s="23" t="s">
        <v>32</v>
      </c>
      <c r="I2350" t="s">
        <v>1158</v>
      </c>
      <c r="J2350" t="s">
        <v>22</v>
      </c>
      <c r="K2350" s="22">
        <v>3</v>
      </c>
      <c r="L2350" s="1">
        <v>42716</v>
      </c>
      <c r="M2350" s="22">
        <f>Table10[[#This Row],[Ship Date]]-Table10[[#This Row],[Order Date]]</f>
        <v>4</v>
      </c>
      <c r="N2350" t="s">
        <v>45</v>
      </c>
      <c r="O2350" t="s">
        <v>23</v>
      </c>
      <c r="P2350" t="s">
        <v>103</v>
      </c>
      <c r="Q2350" t="s">
        <v>95</v>
      </c>
      <c r="R2350" t="s">
        <v>5535</v>
      </c>
      <c r="S2350" s="33">
        <v>0</v>
      </c>
      <c r="T2350" s="13">
        <v>680.01</v>
      </c>
      <c r="U2350" s="13">
        <v>176.80260000000001</v>
      </c>
      <c r="V2350" s="21">
        <f>Table10[[#This Row],[Profit]]/Table10[[#This Row],[Sales]]</f>
        <v>0.26</v>
      </c>
    </row>
    <row r="2351" spans="1:22" x14ac:dyDescent="0.2">
      <c r="A2351">
        <v>2350</v>
      </c>
      <c r="B2351" t="s">
        <v>121</v>
      </c>
      <c r="C2351" s="1">
        <v>42713</v>
      </c>
      <c r="D2351" s="22">
        <f>MONTH(Table10[[#This Row],[Order Date]])</f>
        <v>12</v>
      </c>
      <c r="E2351" t="s">
        <v>125</v>
      </c>
      <c r="F2351" t="s">
        <v>126</v>
      </c>
      <c r="G2351" s="23" t="s">
        <v>41</v>
      </c>
      <c r="H2351" s="23" t="s">
        <v>61</v>
      </c>
      <c r="I2351" t="s">
        <v>122</v>
      </c>
      <c r="J2351" t="s">
        <v>36</v>
      </c>
      <c r="K2351" s="22">
        <v>7</v>
      </c>
      <c r="L2351" s="1">
        <v>42717</v>
      </c>
      <c r="M2351" s="22">
        <f>Table10[[#This Row],[Ship Date]]-Table10[[#This Row],[Order Date]]</f>
        <v>4</v>
      </c>
      <c r="N2351" t="s">
        <v>45</v>
      </c>
      <c r="O2351" t="s">
        <v>23</v>
      </c>
      <c r="P2351" t="s">
        <v>124</v>
      </c>
      <c r="Q2351" t="s">
        <v>95</v>
      </c>
      <c r="R2351" t="s">
        <v>123</v>
      </c>
      <c r="S2351" s="33">
        <v>0</v>
      </c>
      <c r="T2351" s="13">
        <v>19.46</v>
      </c>
      <c r="U2351" s="13">
        <v>5.0595999999999997</v>
      </c>
      <c r="V2351" s="21">
        <f>Table10[[#This Row],[Profit]]/Table10[[#This Row],[Sales]]</f>
        <v>0.25999999999999995</v>
      </c>
    </row>
    <row r="2352" spans="1:22" x14ac:dyDescent="0.2">
      <c r="A2352">
        <v>2351</v>
      </c>
      <c r="B2352" t="s">
        <v>121</v>
      </c>
      <c r="C2352" s="1">
        <v>42713</v>
      </c>
      <c r="D2352" s="22">
        <f>MONTH(Table10[[#This Row],[Order Date]])</f>
        <v>12</v>
      </c>
      <c r="E2352" t="s">
        <v>127</v>
      </c>
      <c r="F2352" t="s">
        <v>128</v>
      </c>
      <c r="G2352" s="23" t="s">
        <v>41</v>
      </c>
      <c r="H2352" s="23" t="s">
        <v>71</v>
      </c>
      <c r="I2352" t="s">
        <v>122</v>
      </c>
      <c r="J2352" t="s">
        <v>36</v>
      </c>
      <c r="K2352" s="22">
        <v>7</v>
      </c>
      <c r="L2352" s="1">
        <v>42717</v>
      </c>
      <c r="M2352" s="22">
        <f>Table10[[#This Row],[Ship Date]]-Table10[[#This Row],[Order Date]]</f>
        <v>4</v>
      </c>
      <c r="N2352" t="s">
        <v>45</v>
      </c>
      <c r="O2352" t="s">
        <v>23</v>
      </c>
      <c r="P2352" t="s">
        <v>124</v>
      </c>
      <c r="Q2352" t="s">
        <v>95</v>
      </c>
      <c r="R2352" t="s">
        <v>123</v>
      </c>
      <c r="S2352" s="33">
        <v>0</v>
      </c>
      <c r="T2352" s="13">
        <v>60.34</v>
      </c>
      <c r="U2352" s="13">
        <v>15.6884</v>
      </c>
      <c r="V2352" s="21">
        <f>Table10[[#This Row],[Profit]]/Table10[[#This Row],[Sales]]</f>
        <v>0.25999999999999995</v>
      </c>
    </row>
    <row r="2353" spans="1:22" x14ac:dyDescent="0.2">
      <c r="A2353">
        <v>2352</v>
      </c>
      <c r="B2353" t="s">
        <v>3201</v>
      </c>
      <c r="C2353" s="1">
        <v>42713</v>
      </c>
      <c r="D2353" s="22">
        <f>MONTH(Table10[[#This Row],[Order Date]])</f>
        <v>12</v>
      </c>
      <c r="E2353" t="s">
        <v>3202</v>
      </c>
      <c r="F2353" t="s">
        <v>3203</v>
      </c>
      <c r="G2353" s="23" t="s">
        <v>41</v>
      </c>
      <c r="H2353" s="23" t="s">
        <v>42</v>
      </c>
      <c r="I2353" t="s">
        <v>1834</v>
      </c>
      <c r="J2353" t="s">
        <v>22</v>
      </c>
      <c r="K2353" s="22">
        <v>1</v>
      </c>
      <c r="L2353" s="1">
        <v>42717</v>
      </c>
      <c r="M2353" s="22">
        <f>Table10[[#This Row],[Ship Date]]-Table10[[#This Row],[Order Date]]</f>
        <v>4</v>
      </c>
      <c r="N2353" t="s">
        <v>45</v>
      </c>
      <c r="O2353" t="s">
        <v>23</v>
      </c>
      <c r="P2353" t="s">
        <v>1101</v>
      </c>
      <c r="Q2353" t="s">
        <v>133</v>
      </c>
      <c r="R2353" t="s">
        <v>1308</v>
      </c>
      <c r="S2353" s="33">
        <v>0</v>
      </c>
      <c r="T2353" s="13">
        <v>3.69</v>
      </c>
      <c r="U2353" s="13">
        <v>1.7343</v>
      </c>
      <c r="V2353" s="21">
        <f>Table10[[#This Row],[Profit]]/Table10[[#This Row],[Sales]]</f>
        <v>0.47</v>
      </c>
    </row>
    <row r="2354" spans="1:22" x14ac:dyDescent="0.2">
      <c r="A2354">
        <v>2353</v>
      </c>
      <c r="B2354" t="s">
        <v>3201</v>
      </c>
      <c r="C2354" s="1">
        <v>42713</v>
      </c>
      <c r="D2354" s="22">
        <f>MONTH(Table10[[#This Row],[Order Date]])</f>
        <v>12</v>
      </c>
      <c r="E2354" t="s">
        <v>3204</v>
      </c>
      <c r="F2354" t="s">
        <v>3205</v>
      </c>
      <c r="G2354" s="23" t="s">
        <v>41</v>
      </c>
      <c r="H2354" s="23" t="s">
        <v>42</v>
      </c>
      <c r="I2354" t="s">
        <v>1834</v>
      </c>
      <c r="J2354" t="s">
        <v>22</v>
      </c>
      <c r="K2354" s="22">
        <v>4</v>
      </c>
      <c r="L2354" s="1">
        <v>42717</v>
      </c>
      <c r="M2354" s="22">
        <f>Table10[[#This Row],[Ship Date]]-Table10[[#This Row],[Order Date]]</f>
        <v>4</v>
      </c>
      <c r="N2354" t="s">
        <v>45</v>
      </c>
      <c r="O2354" t="s">
        <v>23</v>
      </c>
      <c r="P2354" t="s">
        <v>1101</v>
      </c>
      <c r="Q2354" t="s">
        <v>133</v>
      </c>
      <c r="R2354" t="s">
        <v>1308</v>
      </c>
      <c r="S2354" s="33">
        <v>0</v>
      </c>
      <c r="T2354" s="13">
        <v>122.12</v>
      </c>
      <c r="U2354" s="13">
        <v>56.175199999999997</v>
      </c>
      <c r="V2354" s="21">
        <f>Table10[[#This Row],[Profit]]/Table10[[#This Row],[Sales]]</f>
        <v>0.45999999999999996</v>
      </c>
    </row>
    <row r="2355" spans="1:22" x14ac:dyDescent="0.2">
      <c r="A2355">
        <v>2354</v>
      </c>
      <c r="B2355" t="s">
        <v>4351</v>
      </c>
      <c r="C2355" s="1">
        <v>42713</v>
      </c>
      <c r="D2355" s="22">
        <f>MONTH(Table10[[#This Row],[Order Date]])</f>
        <v>12</v>
      </c>
      <c r="E2355" t="s">
        <v>2431</v>
      </c>
      <c r="F2355" t="s">
        <v>2432</v>
      </c>
      <c r="G2355" s="23" t="s">
        <v>41</v>
      </c>
      <c r="H2355" s="23" t="s">
        <v>82</v>
      </c>
      <c r="I2355" t="s">
        <v>2430</v>
      </c>
      <c r="J2355" t="s">
        <v>36</v>
      </c>
      <c r="K2355" s="22">
        <v>2</v>
      </c>
      <c r="L2355" s="1">
        <v>42717</v>
      </c>
      <c r="M2355" s="22">
        <f>Table10[[#This Row],[Ship Date]]-Table10[[#This Row],[Order Date]]</f>
        <v>4</v>
      </c>
      <c r="N2355" t="s">
        <v>45</v>
      </c>
      <c r="O2355" t="s">
        <v>23</v>
      </c>
      <c r="P2355" t="s">
        <v>94</v>
      </c>
      <c r="Q2355" t="s">
        <v>95</v>
      </c>
      <c r="R2355" t="s">
        <v>93</v>
      </c>
      <c r="S2355" s="33">
        <v>0.2</v>
      </c>
      <c r="T2355" s="13">
        <v>9.3919999999999995</v>
      </c>
      <c r="U2355" s="13">
        <v>3.2871999999999999</v>
      </c>
      <c r="V2355" s="21">
        <f>Table10[[#This Row],[Profit]]/Table10[[#This Row],[Sales]]</f>
        <v>0.35000000000000003</v>
      </c>
    </row>
    <row r="2356" spans="1:22" x14ac:dyDescent="0.2">
      <c r="A2356">
        <v>2355</v>
      </c>
      <c r="B2356" t="s">
        <v>4351</v>
      </c>
      <c r="C2356" s="1">
        <v>42713</v>
      </c>
      <c r="D2356" s="22">
        <f>MONTH(Table10[[#This Row],[Order Date]])</f>
        <v>12</v>
      </c>
      <c r="E2356" t="s">
        <v>3994</v>
      </c>
      <c r="F2356" t="s">
        <v>3995</v>
      </c>
      <c r="G2356" s="23" t="s">
        <v>41</v>
      </c>
      <c r="H2356" s="23" t="s">
        <v>61</v>
      </c>
      <c r="I2356" t="s">
        <v>2430</v>
      </c>
      <c r="J2356" t="s">
        <v>36</v>
      </c>
      <c r="K2356" s="22">
        <v>1</v>
      </c>
      <c r="L2356" s="1">
        <v>42717</v>
      </c>
      <c r="M2356" s="22">
        <f>Table10[[#This Row],[Ship Date]]-Table10[[#This Row],[Order Date]]</f>
        <v>4</v>
      </c>
      <c r="N2356" t="s">
        <v>45</v>
      </c>
      <c r="O2356" t="s">
        <v>23</v>
      </c>
      <c r="P2356" t="s">
        <v>94</v>
      </c>
      <c r="Q2356" t="s">
        <v>95</v>
      </c>
      <c r="R2356" t="s">
        <v>93</v>
      </c>
      <c r="S2356" s="33">
        <v>0.2</v>
      </c>
      <c r="T2356" s="13">
        <v>9.3279999999999994</v>
      </c>
      <c r="U2356" s="13">
        <v>0.81620000000000004</v>
      </c>
      <c r="V2356" s="21">
        <f>Table10[[#This Row],[Profit]]/Table10[[#This Row],[Sales]]</f>
        <v>8.7500000000000008E-2</v>
      </c>
    </row>
    <row r="2357" spans="1:22" x14ac:dyDescent="0.2">
      <c r="A2357">
        <v>2356</v>
      </c>
      <c r="B2357" t="s">
        <v>5785</v>
      </c>
      <c r="C2357" s="1">
        <v>42713</v>
      </c>
      <c r="D2357" s="22">
        <f>MONTH(Table10[[#This Row],[Order Date]])</f>
        <v>12</v>
      </c>
      <c r="E2357" t="s">
        <v>3358</v>
      </c>
      <c r="F2357" t="s">
        <v>3359</v>
      </c>
      <c r="G2357" s="23" t="s">
        <v>28</v>
      </c>
      <c r="H2357" s="23" t="s">
        <v>50</v>
      </c>
      <c r="I2357" t="s">
        <v>3402</v>
      </c>
      <c r="J2357" t="s">
        <v>36</v>
      </c>
      <c r="K2357" s="22">
        <v>3</v>
      </c>
      <c r="L2357" s="1">
        <v>42718</v>
      </c>
      <c r="M2357" s="22">
        <f>Table10[[#This Row],[Ship Date]]-Table10[[#This Row],[Order Date]]</f>
        <v>5</v>
      </c>
      <c r="N2357" t="s">
        <v>20</v>
      </c>
      <c r="O2357" t="s">
        <v>23</v>
      </c>
      <c r="P2357" t="s">
        <v>299</v>
      </c>
      <c r="Q2357" t="s">
        <v>26</v>
      </c>
      <c r="R2357" t="s">
        <v>541</v>
      </c>
      <c r="S2357" s="33">
        <v>0.4</v>
      </c>
      <c r="T2357" s="13">
        <v>79.974000000000004</v>
      </c>
      <c r="U2357" s="13">
        <v>-29.323799999999999</v>
      </c>
      <c r="V2357" s="21">
        <f>Table10[[#This Row],[Profit]]/Table10[[#This Row],[Sales]]</f>
        <v>-0.36666666666666664</v>
      </c>
    </row>
    <row r="2358" spans="1:22" x14ac:dyDescent="0.2">
      <c r="A2358">
        <v>2357</v>
      </c>
      <c r="B2358" t="s">
        <v>5785</v>
      </c>
      <c r="C2358" s="1">
        <v>42713</v>
      </c>
      <c r="D2358" s="22">
        <f>MONTH(Table10[[#This Row],[Order Date]])</f>
        <v>12</v>
      </c>
      <c r="E2358" t="s">
        <v>2386</v>
      </c>
      <c r="F2358" t="s">
        <v>2387</v>
      </c>
      <c r="G2358" s="23" t="s">
        <v>41</v>
      </c>
      <c r="H2358" s="23" t="s">
        <v>68</v>
      </c>
      <c r="I2358" t="s">
        <v>3402</v>
      </c>
      <c r="J2358" t="s">
        <v>36</v>
      </c>
      <c r="K2358" s="22">
        <v>2</v>
      </c>
      <c r="L2358" s="1">
        <v>42718</v>
      </c>
      <c r="M2358" s="22">
        <f>Table10[[#This Row],[Ship Date]]-Table10[[#This Row],[Order Date]]</f>
        <v>5</v>
      </c>
      <c r="N2358" t="s">
        <v>20</v>
      </c>
      <c r="O2358" t="s">
        <v>23</v>
      </c>
      <c r="P2358" t="s">
        <v>299</v>
      </c>
      <c r="Q2358" t="s">
        <v>26</v>
      </c>
      <c r="R2358" t="s">
        <v>541</v>
      </c>
      <c r="S2358" s="33">
        <v>0.7</v>
      </c>
      <c r="T2358" s="13">
        <v>2.9460000000000002</v>
      </c>
      <c r="U2358" s="13">
        <v>-2.0621999999999998</v>
      </c>
      <c r="V2358" s="21">
        <f>Table10[[#This Row],[Profit]]/Table10[[#This Row],[Sales]]</f>
        <v>-0.69999999999999984</v>
      </c>
    </row>
    <row r="2359" spans="1:22" x14ac:dyDescent="0.2">
      <c r="A2359">
        <v>2358</v>
      </c>
      <c r="B2359" t="s">
        <v>6181</v>
      </c>
      <c r="C2359" s="1">
        <v>42713</v>
      </c>
      <c r="D2359" s="22">
        <f>MONTH(Table10[[#This Row],[Order Date]])</f>
        <v>12</v>
      </c>
      <c r="E2359" t="s">
        <v>221</v>
      </c>
      <c r="F2359" t="s">
        <v>222</v>
      </c>
      <c r="G2359" s="23" t="s">
        <v>64</v>
      </c>
      <c r="H2359" s="23" t="s">
        <v>65</v>
      </c>
      <c r="I2359" t="s">
        <v>831</v>
      </c>
      <c r="J2359" t="s">
        <v>22</v>
      </c>
      <c r="K2359" s="22">
        <v>1</v>
      </c>
      <c r="L2359" s="1">
        <v>42717</v>
      </c>
      <c r="M2359" s="22">
        <f>Table10[[#This Row],[Ship Date]]-Table10[[#This Row],[Order Date]]</f>
        <v>4</v>
      </c>
      <c r="N2359" t="s">
        <v>45</v>
      </c>
      <c r="O2359" t="s">
        <v>23</v>
      </c>
      <c r="P2359" t="s">
        <v>212</v>
      </c>
      <c r="Q2359" t="s">
        <v>95</v>
      </c>
      <c r="R2359" t="s">
        <v>293</v>
      </c>
      <c r="S2359" s="33">
        <v>0</v>
      </c>
      <c r="T2359" s="13">
        <v>10.9</v>
      </c>
      <c r="U2359" s="13">
        <v>3.052</v>
      </c>
      <c r="V2359" s="21">
        <f>Table10[[#This Row],[Profit]]/Table10[[#This Row],[Sales]]</f>
        <v>0.27999999999999997</v>
      </c>
    </row>
    <row r="2360" spans="1:22" x14ac:dyDescent="0.2">
      <c r="A2360">
        <v>2359</v>
      </c>
      <c r="B2360" t="s">
        <v>6181</v>
      </c>
      <c r="C2360" s="1">
        <v>42713</v>
      </c>
      <c r="D2360" s="22">
        <f>MONTH(Table10[[#This Row],[Order Date]])</f>
        <v>12</v>
      </c>
      <c r="E2360" t="s">
        <v>3525</v>
      </c>
      <c r="F2360" t="s">
        <v>3526</v>
      </c>
      <c r="G2360" s="23" t="s">
        <v>64</v>
      </c>
      <c r="H2360" s="23" t="s">
        <v>144</v>
      </c>
      <c r="I2360" t="s">
        <v>831</v>
      </c>
      <c r="J2360" t="s">
        <v>22</v>
      </c>
      <c r="K2360" s="22">
        <v>2</v>
      </c>
      <c r="L2360" s="1">
        <v>42717</v>
      </c>
      <c r="M2360" s="22">
        <f>Table10[[#This Row],[Ship Date]]-Table10[[#This Row],[Order Date]]</f>
        <v>4</v>
      </c>
      <c r="N2360" t="s">
        <v>45</v>
      </c>
      <c r="O2360" t="s">
        <v>23</v>
      </c>
      <c r="P2360" t="s">
        <v>212</v>
      </c>
      <c r="Q2360" t="s">
        <v>95</v>
      </c>
      <c r="R2360" t="s">
        <v>293</v>
      </c>
      <c r="S2360" s="33">
        <v>0</v>
      </c>
      <c r="T2360" s="13">
        <v>59.98</v>
      </c>
      <c r="U2360" s="13">
        <v>25.191600000000001</v>
      </c>
      <c r="V2360" s="21">
        <f>Table10[[#This Row],[Profit]]/Table10[[#This Row],[Sales]]</f>
        <v>0.42000000000000004</v>
      </c>
    </row>
    <row r="2361" spans="1:22" x14ac:dyDescent="0.2">
      <c r="A2361">
        <v>2360</v>
      </c>
      <c r="B2361" t="s">
        <v>6181</v>
      </c>
      <c r="C2361" s="1">
        <v>42713</v>
      </c>
      <c r="D2361" s="22">
        <f>MONTH(Table10[[#This Row],[Order Date]])</f>
        <v>12</v>
      </c>
      <c r="E2361" t="s">
        <v>96</v>
      </c>
      <c r="F2361" t="s">
        <v>97</v>
      </c>
      <c r="G2361" s="23" t="s">
        <v>41</v>
      </c>
      <c r="H2361" s="23" t="s">
        <v>71</v>
      </c>
      <c r="I2361" t="s">
        <v>831</v>
      </c>
      <c r="J2361" t="s">
        <v>22</v>
      </c>
      <c r="K2361" s="22">
        <v>1</v>
      </c>
      <c r="L2361" s="1">
        <v>42717</v>
      </c>
      <c r="M2361" s="22">
        <f>Table10[[#This Row],[Ship Date]]-Table10[[#This Row],[Order Date]]</f>
        <v>4</v>
      </c>
      <c r="N2361" t="s">
        <v>45</v>
      </c>
      <c r="O2361" t="s">
        <v>23</v>
      </c>
      <c r="P2361" t="s">
        <v>212</v>
      </c>
      <c r="Q2361" t="s">
        <v>95</v>
      </c>
      <c r="R2361" t="s">
        <v>293</v>
      </c>
      <c r="S2361" s="33">
        <v>0.1</v>
      </c>
      <c r="T2361" s="13">
        <v>61.929000000000002</v>
      </c>
      <c r="U2361" s="13">
        <v>23.395399999999999</v>
      </c>
      <c r="V2361" s="21">
        <f>Table10[[#This Row],[Profit]]/Table10[[#This Row],[Sales]]</f>
        <v>0.37777777777777777</v>
      </c>
    </row>
    <row r="2362" spans="1:22" x14ac:dyDescent="0.2">
      <c r="A2362">
        <v>2361</v>
      </c>
      <c r="B2362" t="s">
        <v>6994</v>
      </c>
      <c r="C2362" s="1">
        <v>42713</v>
      </c>
      <c r="D2362" s="22">
        <f>MONTH(Table10[[#This Row],[Order Date]])</f>
        <v>12</v>
      </c>
      <c r="E2362" t="s">
        <v>3680</v>
      </c>
      <c r="F2362" t="s">
        <v>3681</v>
      </c>
      <c r="G2362" s="23" t="s">
        <v>64</v>
      </c>
      <c r="H2362" s="23" t="s">
        <v>65</v>
      </c>
      <c r="I2362" t="s">
        <v>137</v>
      </c>
      <c r="J2362" t="s">
        <v>22</v>
      </c>
      <c r="K2362" s="22">
        <v>3</v>
      </c>
      <c r="L2362" s="1">
        <v>42717</v>
      </c>
      <c r="M2362" s="22">
        <f>Table10[[#This Row],[Ship Date]]-Table10[[#This Row],[Order Date]]</f>
        <v>4</v>
      </c>
      <c r="N2362" t="s">
        <v>45</v>
      </c>
      <c r="O2362" t="s">
        <v>23</v>
      </c>
      <c r="P2362" t="s">
        <v>299</v>
      </c>
      <c r="Q2362" t="s">
        <v>26</v>
      </c>
      <c r="R2362" t="s">
        <v>541</v>
      </c>
      <c r="S2362" s="33">
        <v>0.2</v>
      </c>
      <c r="T2362" s="13">
        <v>40.68</v>
      </c>
      <c r="U2362" s="13">
        <v>-9.1530000000000005</v>
      </c>
      <c r="V2362" s="21">
        <f>Table10[[#This Row],[Profit]]/Table10[[#This Row],[Sales]]</f>
        <v>-0.22500000000000001</v>
      </c>
    </row>
    <row r="2363" spans="1:22" x14ac:dyDescent="0.2">
      <c r="A2363">
        <v>2362</v>
      </c>
      <c r="B2363" t="s">
        <v>7157</v>
      </c>
      <c r="C2363" s="1">
        <v>42713</v>
      </c>
      <c r="D2363" s="22">
        <f>MONTH(Table10[[#This Row],[Order Date]])</f>
        <v>12</v>
      </c>
      <c r="E2363" t="s">
        <v>4493</v>
      </c>
      <c r="F2363" t="s">
        <v>4494</v>
      </c>
      <c r="G2363" s="23" t="s">
        <v>41</v>
      </c>
      <c r="H2363" s="23" t="s">
        <v>513</v>
      </c>
      <c r="I2363" t="s">
        <v>2472</v>
      </c>
      <c r="J2363" t="s">
        <v>36</v>
      </c>
      <c r="K2363" s="22">
        <v>3</v>
      </c>
      <c r="L2363" s="1">
        <v>42717</v>
      </c>
      <c r="M2363" s="22">
        <f>Table10[[#This Row],[Ship Date]]-Table10[[#This Row],[Order Date]]</f>
        <v>4</v>
      </c>
      <c r="N2363" t="s">
        <v>20</v>
      </c>
      <c r="O2363" t="s">
        <v>23</v>
      </c>
      <c r="P2363" t="s">
        <v>189</v>
      </c>
      <c r="Q2363" t="s">
        <v>95</v>
      </c>
      <c r="R2363" t="s">
        <v>271</v>
      </c>
      <c r="S2363" s="33">
        <v>0.2</v>
      </c>
      <c r="T2363" s="13">
        <v>20.568000000000001</v>
      </c>
      <c r="U2363" s="13">
        <v>1.5426</v>
      </c>
      <c r="V2363" s="21">
        <f>Table10[[#This Row],[Profit]]/Table10[[#This Row],[Sales]]</f>
        <v>7.4999999999999997E-2</v>
      </c>
    </row>
    <row r="2364" spans="1:22" x14ac:dyDescent="0.2">
      <c r="A2364">
        <v>2363</v>
      </c>
      <c r="B2364" t="s">
        <v>7157</v>
      </c>
      <c r="C2364" s="1">
        <v>42713</v>
      </c>
      <c r="D2364" s="22">
        <f>MONTH(Table10[[#This Row],[Order Date]])</f>
        <v>12</v>
      </c>
      <c r="E2364" t="s">
        <v>3197</v>
      </c>
      <c r="F2364" t="s">
        <v>3198</v>
      </c>
      <c r="G2364" s="23" t="s">
        <v>41</v>
      </c>
      <c r="H2364" s="23" t="s">
        <v>71</v>
      </c>
      <c r="I2364" t="s">
        <v>2472</v>
      </c>
      <c r="J2364" t="s">
        <v>36</v>
      </c>
      <c r="K2364" s="22">
        <v>2</v>
      </c>
      <c r="L2364" s="1">
        <v>42717</v>
      </c>
      <c r="M2364" s="22">
        <f>Table10[[#This Row],[Ship Date]]-Table10[[#This Row],[Order Date]]</f>
        <v>4</v>
      </c>
      <c r="N2364" t="s">
        <v>20</v>
      </c>
      <c r="O2364" t="s">
        <v>23</v>
      </c>
      <c r="P2364" t="s">
        <v>189</v>
      </c>
      <c r="Q2364" t="s">
        <v>95</v>
      </c>
      <c r="R2364" t="s">
        <v>271</v>
      </c>
      <c r="S2364" s="33">
        <v>0.8</v>
      </c>
      <c r="T2364" s="13">
        <v>4.3559999999999999</v>
      </c>
      <c r="U2364" s="13">
        <v>-11.761200000000001</v>
      </c>
      <c r="V2364" s="21">
        <f>Table10[[#This Row],[Profit]]/Table10[[#This Row],[Sales]]</f>
        <v>-2.7</v>
      </c>
    </row>
    <row r="2365" spans="1:22" x14ac:dyDescent="0.2">
      <c r="A2365">
        <v>2364</v>
      </c>
      <c r="B2365" t="s">
        <v>7157</v>
      </c>
      <c r="C2365" s="1">
        <v>42713</v>
      </c>
      <c r="D2365" s="22">
        <f>MONTH(Table10[[#This Row],[Order Date]])</f>
        <v>12</v>
      </c>
      <c r="E2365" t="s">
        <v>6498</v>
      </c>
      <c r="F2365" t="s">
        <v>6499</v>
      </c>
      <c r="G2365" s="23" t="s">
        <v>64</v>
      </c>
      <c r="H2365" s="23" t="s">
        <v>144</v>
      </c>
      <c r="I2365" t="s">
        <v>2472</v>
      </c>
      <c r="J2365" t="s">
        <v>36</v>
      </c>
      <c r="K2365" s="22">
        <v>4</v>
      </c>
      <c r="L2365" s="1">
        <v>42717</v>
      </c>
      <c r="M2365" s="22">
        <f>Table10[[#This Row],[Ship Date]]-Table10[[#This Row],[Order Date]]</f>
        <v>4</v>
      </c>
      <c r="N2365" t="s">
        <v>20</v>
      </c>
      <c r="O2365" t="s">
        <v>23</v>
      </c>
      <c r="P2365" t="s">
        <v>189</v>
      </c>
      <c r="Q2365" t="s">
        <v>95</v>
      </c>
      <c r="R2365" t="s">
        <v>271</v>
      </c>
      <c r="S2365" s="33">
        <v>0.2</v>
      </c>
      <c r="T2365" s="13">
        <v>19.04</v>
      </c>
      <c r="U2365" s="13">
        <v>-1.4279999999999999</v>
      </c>
      <c r="V2365" s="21">
        <f>Table10[[#This Row],[Profit]]/Table10[[#This Row],[Sales]]</f>
        <v>-7.4999999999999997E-2</v>
      </c>
    </row>
    <row r="2366" spans="1:22" x14ac:dyDescent="0.2">
      <c r="A2366">
        <v>2365</v>
      </c>
      <c r="B2366" t="s">
        <v>8277</v>
      </c>
      <c r="C2366" s="1">
        <v>42713</v>
      </c>
      <c r="D2366" s="22">
        <f>MONTH(Table10[[#This Row],[Order Date]])</f>
        <v>12</v>
      </c>
      <c r="E2366" t="s">
        <v>4104</v>
      </c>
      <c r="F2366" t="s">
        <v>4105</v>
      </c>
      <c r="G2366" s="23" t="s">
        <v>41</v>
      </c>
      <c r="H2366" s="23" t="s">
        <v>68</v>
      </c>
      <c r="I2366" t="s">
        <v>556</v>
      </c>
      <c r="J2366" t="s">
        <v>36</v>
      </c>
      <c r="K2366" s="22">
        <v>8</v>
      </c>
      <c r="L2366" s="1">
        <v>42716</v>
      </c>
      <c r="M2366" s="22">
        <f>Table10[[#This Row],[Ship Date]]-Table10[[#This Row],[Order Date]]</f>
        <v>3</v>
      </c>
      <c r="N2366" t="s">
        <v>169</v>
      </c>
      <c r="O2366" t="s">
        <v>23</v>
      </c>
      <c r="P2366" t="s">
        <v>38</v>
      </c>
      <c r="Q2366" t="s">
        <v>39</v>
      </c>
      <c r="R2366" t="s">
        <v>4457</v>
      </c>
      <c r="S2366" s="33">
        <v>0.2</v>
      </c>
      <c r="T2366" s="13">
        <v>273.92</v>
      </c>
      <c r="U2366" s="13">
        <v>99.296000000000006</v>
      </c>
      <c r="V2366" s="21">
        <f>Table10[[#This Row],[Profit]]/Table10[[#This Row],[Sales]]</f>
        <v>0.36249999999999999</v>
      </c>
    </row>
    <row r="2367" spans="1:22" x14ac:dyDescent="0.2">
      <c r="A2367">
        <v>2366</v>
      </c>
      <c r="B2367" t="s">
        <v>9320</v>
      </c>
      <c r="C2367" s="1">
        <v>42713</v>
      </c>
      <c r="D2367" s="22">
        <f>MONTH(Table10[[#This Row],[Order Date]])</f>
        <v>12</v>
      </c>
      <c r="E2367" t="s">
        <v>3457</v>
      </c>
      <c r="F2367" t="s">
        <v>3458</v>
      </c>
      <c r="G2367" s="23" t="s">
        <v>28</v>
      </c>
      <c r="H2367" s="23" t="s">
        <v>50</v>
      </c>
      <c r="I2367" t="s">
        <v>2952</v>
      </c>
      <c r="J2367" t="s">
        <v>22</v>
      </c>
      <c r="K2367" s="22">
        <v>7</v>
      </c>
      <c r="L2367" s="1">
        <v>42715</v>
      </c>
      <c r="M2367" s="22">
        <f>Table10[[#This Row],[Ship Date]]-Table10[[#This Row],[Order Date]]</f>
        <v>2</v>
      </c>
      <c r="N2367" t="s">
        <v>169</v>
      </c>
      <c r="O2367" t="s">
        <v>23</v>
      </c>
      <c r="P2367" t="s">
        <v>285</v>
      </c>
      <c r="Q2367" t="s">
        <v>26</v>
      </c>
      <c r="R2367" t="s">
        <v>284</v>
      </c>
      <c r="S2367" s="33">
        <v>0</v>
      </c>
      <c r="T2367" s="13">
        <v>1056.8599999999999</v>
      </c>
      <c r="U2367" s="13">
        <v>158.529</v>
      </c>
      <c r="V2367" s="21">
        <f>Table10[[#This Row],[Profit]]/Table10[[#This Row],[Sales]]</f>
        <v>0.15000000000000002</v>
      </c>
    </row>
    <row r="2368" spans="1:22" x14ac:dyDescent="0.2">
      <c r="A2368">
        <v>2367</v>
      </c>
      <c r="B2368" t="s">
        <v>830</v>
      </c>
      <c r="C2368" s="1">
        <v>42714</v>
      </c>
      <c r="D2368" s="22">
        <f>MONTH(Table10[[#This Row],[Order Date]])</f>
        <v>12</v>
      </c>
      <c r="E2368" t="s">
        <v>832</v>
      </c>
      <c r="F2368" t="s">
        <v>833</v>
      </c>
      <c r="G2368" s="23" t="s">
        <v>28</v>
      </c>
      <c r="H2368" s="23" t="s">
        <v>32</v>
      </c>
      <c r="I2368" t="s">
        <v>831</v>
      </c>
      <c r="J2368" t="s">
        <v>22</v>
      </c>
      <c r="K2368" s="22">
        <v>2</v>
      </c>
      <c r="L2368" s="1">
        <v>42719</v>
      </c>
      <c r="M2368" s="22">
        <f>Table10[[#This Row],[Ship Date]]-Table10[[#This Row],[Order Date]]</f>
        <v>5</v>
      </c>
      <c r="N2368" t="s">
        <v>20</v>
      </c>
      <c r="O2368" t="s">
        <v>23</v>
      </c>
      <c r="P2368" t="s">
        <v>38</v>
      </c>
      <c r="Q2368" t="s">
        <v>39</v>
      </c>
      <c r="R2368" t="s">
        <v>114</v>
      </c>
      <c r="S2368" s="33">
        <v>0.2</v>
      </c>
      <c r="T2368" s="13">
        <v>321.56799999999998</v>
      </c>
      <c r="U2368" s="13">
        <v>28.1372</v>
      </c>
      <c r="V2368" s="21">
        <f>Table10[[#This Row],[Profit]]/Table10[[#This Row],[Sales]]</f>
        <v>8.7500000000000008E-2</v>
      </c>
    </row>
    <row r="2369" spans="1:22" x14ac:dyDescent="0.2">
      <c r="A2369">
        <v>2368</v>
      </c>
      <c r="B2369" t="s">
        <v>839</v>
      </c>
      <c r="C2369" s="1">
        <v>42714</v>
      </c>
      <c r="D2369" s="22">
        <f>MONTH(Table10[[#This Row],[Order Date]])</f>
        <v>12</v>
      </c>
      <c r="E2369" t="s">
        <v>841</v>
      </c>
      <c r="F2369" t="s">
        <v>842</v>
      </c>
      <c r="G2369" s="23" t="s">
        <v>41</v>
      </c>
      <c r="H2369" s="23" t="s">
        <v>53</v>
      </c>
      <c r="I2369" t="s">
        <v>840</v>
      </c>
      <c r="J2369" t="s">
        <v>22</v>
      </c>
      <c r="K2369" s="22">
        <v>6</v>
      </c>
      <c r="L2369" s="1">
        <v>42717</v>
      </c>
      <c r="M2369" s="22">
        <f>Table10[[#This Row],[Ship Date]]-Table10[[#This Row],[Order Date]]</f>
        <v>3</v>
      </c>
      <c r="N2369" t="s">
        <v>169</v>
      </c>
      <c r="O2369" t="s">
        <v>23</v>
      </c>
      <c r="P2369" t="s">
        <v>238</v>
      </c>
      <c r="Q2369" t="s">
        <v>133</v>
      </c>
      <c r="R2369" t="s">
        <v>237</v>
      </c>
      <c r="S2369" s="33">
        <v>0</v>
      </c>
      <c r="T2369" s="13">
        <v>80.58</v>
      </c>
      <c r="U2369" s="13">
        <v>22.5624</v>
      </c>
      <c r="V2369" s="21">
        <f>Table10[[#This Row],[Profit]]/Table10[[#This Row],[Sales]]</f>
        <v>0.28000000000000003</v>
      </c>
    </row>
    <row r="2370" spans="1:22" x14ac:dyDescent="0.2">
      <c r="A2370">
        <v>2369</v>
      </c>
      <c r="B2370" t="s">
        <v>839</v>
      </c>
      <c r="C2370" s="1">
        <v>42714</v>
      </c>
      <c r="D2370" s="22">
        <f>MONTH(Table10[[#This Row],[Order Date]])</f>
        <v>12</v>
      </c>
      <c r="E2370" t="s">
        <v>843</v>
      </c>
      <c r="F2370" t="s">
        <v>844</v>
      </c>
      <c r="G2370" s="23" t="s">
        <v>41</v>
      </c>
      <c r="H2370" s="23" t="s">
        <v>155</v>
      </c>
      <c r="I2370" t="s">
        <v>840</v>
      </c>
      <c r="J2370" t="s">
        <v>22</v>
      </c>
      <c r="K2370" s="22">
        <v>4</v>
      </c>
      <c r="L2370" s="1">
        <v>42717</v>
      </c>
      <c r="M2370" s="22">
        <f>Table10[[#This Row],[Ship Date]]-Table10[[#This Row],[Order Date]]</f>
        <v>3</v>
      </c>
      <c r="N2370" t="s">
        <v>169</v>
      </c>
      <c r="O2370" t="s">
        <v>23</v>
      </c>
      <c r="P2370" t="s">
        <v>238</v>
      </c>
      <c r="Q2370" t="s">
        <v>133</v>
      </c>
      <c r="R2370" t="s">
        <v>237</v>
      </c>
      <c r="S2370" s="33">
        <v>0</v>
      </c>
      <c r="T2370" s="13">
        <v>361.92</v>
      </c>
      <c r="U2370" s="13">
        <v>162.864</v>
      </c>
      <c r="V2370" s="21">
        <f>Table10[[#This Row],[Profit]]/Table10[[#This Row],[Sales]]</f>
        <v>0.45</v>
      </c>
    </row>
    <row r="2371" spans="1:22" x14ac:dyDescent="0.2">
      <c r="A2371">
        <v>2370</v>
      </c>
      <c r="B2371" t="s">
        <v>4554</v>
      </c>
      <c r="C2371" s="1">
        <v>42714</v>
      </c>
      <c r="D2371" s="22">
        <f>MONTH(Table10[[#This Row],[Order Date]])</f>
        <v>12</v>
      </c>
      <c r="E2371" t="s">
        <v>4429</v>
      </c>
      <c r="F2371" t="s">
        <v>4430</v>
      </c>
      <c r="G2371" s="23" t="s">
        <v>41</v>
      </c>
      <c r="H2371" s="23" t="s">
        <v>68</v>
      </c>
      <c r="I2371" t="s">
        <v>2014</v>
      </c>
      <c r="J2371" t="s">
        <v>22</v>
      </c>
      <c r="K2371" s="22">
        <v>3</v>
      </c>
      <c r="L2371" s="1">
        <v>42721</v>
      </c>
      <c r="M2371" s="22">
        <f>Table10[[#This Row],[Ship Date]]-Table10[[#This Row],[Order Date]]</f>
        <v>7</v>
      </c>
      <c r="N2371" t="s">
        <v>45</v>
      </c>
      <c r="O2371" t="s">
        <v>23</v>
      </c>
      <c r="P2371" t="s">
        <v>87</v>
      </c>
      <c r="Q2371" t="s">
        <v>39</v>
      </c>
      <c r="R2371" t="s">
        <v>86</v>
      </c>
      <c r="S2371" s="33">
        <v>0.2</v>
      </c>
      <c r="T2371" s="13">
        <v>153.55199999999999</v>
      </c>
      <c r="U2371" s="13">
        <v>51.823799999999999</v>
      </c>
      <c r="V2371" s="21">
        <f>Table10[[#This Row],[Profit]]/Table10[[#This Row],[Sales]]</f>
        <v>0.33750000000000002</v>
      </c>
    </row>
    <row r="2372" spans="1:22" x14ac:dyDescent="0.2">
      <c r="A2372">
        <v>2371</v>
      </c>
      <c r="B2372" t="s">
        <v>4554</v>
      </c>
      <c r="C2372" s="1">
        <v>42714</v>
      </c>
      <c r="D2372" s="22">
        <f>MONTH(Table10[[#This Row],[Order Date]])</f>
        <v>12</v>
      </c>
      <c r="E2372" t="s">
        <v>3918</v>
      </c>
      <c r="F2372" t="s">
        <v>3919</v>
      </c>
      <c r="G2372" s="23" t="s">
        <v>41</v>
      </c>
      <c r="H2372" s="23" t="s">
        <v>71</v>
      </c>
      <c r="I2372" t="s">
        <v>2014</v>
      </c>
      <c r="J2372" t="s">
        <v>22</v>
      </c>
      <c r="K2372" s="22">
        <v>3</v>
      </c>
      <c r="L2372" s="1">
        <v>42721</v>
      </c>
      <c r="M2372" s="22">
        <f>Table10[[#This Row],[Ship Date]]-Table10[[#This Row],[Order Date]]</f>
        <v>7</v>
      </c>
      <c r="N2372" t="s">
        <v>45</v>
      </c>
      <c r="O2372" t="s">
        <v>23</v>
      </c>
      <c r="P2372" t="s">
        <v>87</v>
      </c>
      <c r="Q2372" t="s">
        <v>39</v>
      </c>
      <c r="R2372" t="s">
        <v>86</v>
      </c>
      <c r="S2372" s="33">
        <v>0</v>
      </c>
      <c r="T2372" s="13">
        <v>65.34</v>
      </c>
      <c r="U2372" s="13">
        <v>22.869</v>
      </c>
      <c r="V2372" s="21">
        <f>Table10[[#This Row],[Profit]]/Table10[[#This Row],[Sales]]</f>
        <v>0.35</v>
      </c>
    </row>
    <row r="2373" spans="1:22" x14ac:dyDescent="0.2">
      <c r="A2373">
        <v>2372</v>
      </c>
      <c r="B2373" t="s">
        <v>4554</v>
      </c>
      <c r="C2373" s="1">
        <v>42714</v>
      </c>
      <c r="D2373" s="22">
        <f>MONTH(Table10[[#This Row],[Order Date]])</f>
        <v>12</v>
      </c>
      <c r="E2373" t="s">
        <v>3592</v>
      </c>
      <c r="F2373" t="s">
        <v>3593</v>
      </c>
      <c r="G2373" s="23" t="s">
        <v>41</v>
      </c>
      <c r="H2373" s="23" t="s">
        <v>82</v>
      </c>
      <c r="I2373" t="s">
        <v>2014</v>
      </c>
      <c r="J2373" t="s">
        <v>22</v>
      </c>
      <c r="K2373" s="22">
        <v>4</v>
      </c>
      <c r="L2373" s="1">
        <v>42721</v>
      </c>
      <c r="M2373" s="22">
        <f>Table10[[#This Row],[Ship Date]]-Table10[[#This Row],[Order Date]]</f>
        <v>7</v>
      </c>
      <c r="N2373" t="s">
        <v>45</v>
      </c>
      <c r="O2373" t="s">
        <v>23</v>
      </c>
      <c r="P2373" t="s">
        <v>87</v>
      </c>
      <c r="Q2373" t="s">
        <v>39</v>
      </c>
      <c r="R2373" t="s">
        <v>86</v>
      </c>
      <c r="S2373" s="33">
        <v>0</v>
      </c>
      <c r="T2373" s="13">
        <v>123.92</v>
      </c>
      <c r="U2373" s="13">
        <v>55.764000000000003</v>
      </c>
      <c r="V2373" s="21">
        <f>Table10[[#This Row],[Profit]]/Table10[[#This Row],[Sales]]</f>
        <v>0.45</v>
      </c>
    </row>
    <row r="2374" spans="1:22" x14ac:dyDescent="0.2">
      <c r="A2374">
        <v>2373</v>
      </c>
      <c r="B2374" t="s">
        <v>4554</v>
      </c>
      <c r="C2374" s="1">
        <v>42714</v>
      </c>
      <c r="D2374" s="22">
        <f>MONTH(Table10[[#This Row],[Order Date]])</f>
        <v>12</v>
      </c>
      <c r="E2374" t="s">
        <v>4555</v>
      </c>
      <c r="F2374" t="s">
        <v>4556</v>
      </c>
      <c r="G2374" s="23" t="s">
        <v>41</v>
      </c>
      <c r="H2374" s="23" t="s">
        <v>71</v>
      </c>
      <c r="I2374" t="s">
        <v>2014</v>
      </c>
      <c r="J2374" t="s">
        <v>22</v>
      </c>
      <c r="K2374" s="22">
        <v>3</v>
      </c>
      <c r="L2374" s="1">
        <v>42721</v>
      </c>
      <c r="M2374" s="22">
        <f>Table10[[#This Row],[Ship Date]]-Table10[[#This Row],[Order Date]]</f>
        <v>7</v>
      </c>
      <c r="N2374" t="s">
        <v>45</v>
      </c>
      <c r="O2374" t="s">
        <v>23</v>
      </c>
      <c r="P2374" t="s">
        <v>87</v>
      </c>
      <c r="Q2374" t="s">
        <v>39</v>
      </c>
      <c r="R2374" t="s">
        <v>86</v>
      </c>
      <c r="S2374" s="33">
        <v>0</v>
      </c>
      <c r="T2374" s="13">
        <v>35.1</v>
      </c>
      <c r="U2374" s="13">
        <v>12.285</v>
      </c>
      <c r="V2374" s="21">
        <f>Table10[[#This Row],[Profit]]/Table10[[#This Row],[Sales]]</f>
        <v>0.35</v>
      </c>
    </row>
    <row r="2375" spans="1:22" x14ac:dyDescent="0.2">
      <c r="A2375">
        <v>2374</v>
      </c>
      <c r="B2375" t="s">
        <v>4554</v>
      </c>
      <c r="C2375" s="1">
        <v>42714</v>
      </c>
      <c r="D2375" s="22">
        <f>MONTH(Table10[[#This Row],[Order Date]])</f>
        <v>12</v>
      </c>
      <c r="E2375" t="s">
        <v>3664</v>
      </c>
      <c r="F2375" t="s">
        <v>3665</v>
      </c>
      <c r="G2375" s="23" t="s">
        <v>64</v>
      </c>
      <c r="H2375" s="23" t="s">
        <v>144</v>
      </c>
      <c r="I2375" t="s">
        <v>2014</v>
      </c>
      <c r="J2375" t="s">
        <v>22</v>
      </c>
      <c r="K2375" s="22">
        <v>5</v>
      </c>
      <c r="L2375" s="1">
        <v>42721</v>
      </c>
      <c r="M2375" s="22">
        <f>Table10[[#This Row],[Ship Date]]-Table10[[#This Row],[Order Date]]</f>
        <v>7</v>
      </c>
      <c r="N2375" t="s">
        <v>45</v>
      </c>
      <c r="O2375" t="s">
        <v>23</v>
      </c>
      <c r="P2375" t="s">
        <v>87</v>
      </c>
      <c r="Q2375" t="s">
        <v>39</v>
      </c>
      <c r="R2375" t="s">
        <v>86</v>
      </c>
      <c r="S2375" s="33">
        <v>0</v>
      </c>
      <c r="T2375" s="13">
        <v>44.75</v>
      </c>
      <c r="U2375" s="13">
        <v>8.5024999999999995</v>
      </c>
      <c r="V2375" s="21">
        <f>Table10[[#This Row],[Profit]]/Table10[[#This Row],[Sales]]</f>
        <v>0.19</v>
      </c>
    </row>
    <row r="2376" spans="1:22" x14ac:dyDescent="0.2">
      <c r="A2376">
        <v>2375</v>
      </c>
      <c r="B2376" t="s">
        <v>6353</v>
      </c>
      <c r="C2376" s="1">
        <v>42714</v>
      </c>
      <c r="D2376" s="22">
        <f>MONTH(Table10[[#This Row],[Order Date]])</f>
        <v>12</v>
      </c>
      <c r="E2376" t="s">
        <v>1588</v>
      </c>
      <c r="F2376" t="s">
        <v>1589</v>
      </c>
      <c r="G2376" s="23" t="s">
        <v>28</v>
      </c>
      <c r="H2376" s="23" t="s">
        <v>32</v>
      </c>
      <c r="I2376" t="s">
        <v>5960</v>
      </c>
      <c r="J2376" t="s">
        <v>22</v>
      </c>
      <c r="K2376" s="22">
        <v>5</v>
      </c>
      <c r="L2376" s="1">
        <v>42714</v>
      </c>
      <c r="M2376" s="22">
        <f>Table10[[#This Row],[Ship Date]]-Table10[[#This Row],[Order Date]]</f>
        <v>0</v>
      </c>
      <c r="N2376" t="s">
        <v>1141</v>
      </c>
      <c r="O2376" t="s">
        <v>23</v>
      </c>
      <c r="P2376" t="s">
        <v>226</v>
      </c>
      <c r="Q2376" t="s">
        <v>95</v>
      </c>
      <c r="R2376" t="s">
        <v>6354</v>
      </c>
      <c r="S2376" s="33">
        <v>0</v>
      </c>
      <c r="T2376" s="13">
        <v>1424.9</v>
      </c>
      <c r="U2376" s="13">
        <v>356.22500000000002</v>
      </c>
      <c r="V2376" s="21">
        <f>Table10[[#This Row],[Profit]]/Table10[[#This Row],[Sales]]</f>
        <v>0.25</v>
      </c>
    </row>
    <row r="2377" spans="1:22" x14ac:dyDescent="0.2">
      <c r="A2377">
        <v>2376</v>
      </c>
      <c r="B2377" t="s">
        <v>7540</v>
      </c>
      <c r="C2377" s="1">
        <v>42714</v>
      </c>
      <c r="D2377" s="22">
        <f>MONTH(Table10[[#This Row],[Order Date]])</f>
        <v>12</v>
      </c>
      <c r="E2377" t="s">
        <v>3751</v>
      </c>
      <c r="F2377" t="s">
        <v>3752</v>
      </c>
      <c r="G2377" s="23" t="s">
        <v>41</v>
      </c>
      <c r="H2377" s="23" t="s">
        <v>82</v>
      </c>
      <c r="I2377" t="s">
        <v>2341</v>
      </c>
      <c r="J2377" t="s">
        <v>92</v>
      </c>
      <c r="K2377" s="22">
        <v>12</v>
      </c>
      <c r="L2377" s="1">
        <v>42716</v>
      </c>
      <c r="M2377" s="22">
        <f>Table10[[#This Row],[Ship Date]]-Table10[[#This Row],[Order Date]]</f>
        <v>2</v>
      </c>
      <c r="N2377" t="s">
        <v>169</v>
      </c>
      <c r="O2377" t="s">
        <v>23</v>
      </c>
      <c r="P2377" t="s">
        <v>38</v>
      </c>
      <c r="Q2377" t="s">
        <v>39</v>
      </c>
      <c r="R2377" t="s">
        <v>1037</v>
      </c>
      <c r="S2377" s="33">
        <v>0</v>
      </c>
      <c r="T2377" s="13">
        <v>80.28</v>
      </c>
      <c r="U2377" s="13">
        <v>36.928800000000003</v>
      </c>
      <c r="V2377" s="21">
        <f>Table10[[#This Row],[Profit]]/Table10[[#This Row],[Sales]]</f>
        <v>0.46</v>
      </c>
    </row>
    <row r="2378" spans="1:22" x14ac:dyDescent="0.2">
      <c r="A2378">
        <v>2377</v>
      </c>
      <c r="B2378" t="s">
        <v>8787</v>
      </c>
      <c r="C2378" s="1">
        <v>42714</v>
      </c>
      <c r="D2378" s="22">
        <f>MONTH(Table10[[#This Row],[Order Date]])</f>
        <v>12</v>
      </c>
      <c r="E2378" t="s">
        <v>4649</v>
      </c>
      <c r="F2378" t="s">
        <v>4650</v>
      </c>
      <c r="G2378" s="23" t="s">
        <v>41</v>
      </c>
      <c r="H2378" s="23" t="s">
        <v>82</v>
      </c>
      <c r="I2378" t="s">
        <v>5050</v>
      </c>
      <c r="J2378" t="s">
        <v>22</v>
      </c>
      <c r="K2378" s="22">
        <v>2</v>
      </c>
      <c r="L2378" s="1">
        <v>42720</v>
      </c>
      <c r="M2378" s="22">
        <f>Table10[[#This Row],[Ship Date]]-Table10[[#This Row],[Order Date]]</f>
        <v>6</v>
      </c>
      <c r="N2378" t="s">
        <v>45</v>
      </c>
      <c r="O2378" t="s">
        <v>23</v>
      </c>
      <c r="P2378" t="s">
        <v>238</v>
      </c>
      <c r="Q2378" t="s">
        <v>133</v>
      </c>
      <c r="R2378" t="s">
        <v>3619</v>
      </c>
      <c r="S2378" s="33">
        <v>0</v>
      </c>
      <c r="T2378" s="13">
        <v>18.54</v>
      </c>
      <c r="U2378" s="13">
        <v>8.7138000000000009</v>
      </c>
      <c r="V2378" s="21">
        <f>Table10[[#This Row],[Profit]]/Table10[[#This Row],[Sales]]</f>
        <v>0.47000000000000008</v>
      </c>
    </row>
    <row r="2379" spans="1:22" x14ac:dyDescent="0.2">
      <c r="A2379">
        <v>2378</v>
      </c>
      <c r="B2379" t="s">
        <v>8787</v>
      </c>
      <c r="C2379" s="1">
        <v>42714</v>
      </c>
      <c r="D2379" s="22">
        <f>MONTH(Table10[[#This Row],[Order Date]])</f>
        <v>12</v>
      </c>
      <c r="E2379" t="s">
        <v>88</v>
      </c>
      <c r="F2379" t="s">
        <v>89</v>
      </c>
      <c r="G2379" s="23" t="s">
        <v>41</v>
      </c>
      <c r="H2379" s="23" t="s">
        <v>68</v>
      </c>
      <c r="I2379" t="s">
        <v>5050</v>
      </c>
      <c r="J2379" t="s">
        <v>22</v>
      </c>
      <c r="K2379" s="22">
        <v>5</v>
      </c>
      <c r="L2379" s="1">
        <v>42720</v>
      </c>
      <c r="M2379" s="22">
        <f>Table10[[#This Row],[Ship Date]]-Table10[[#This Row],[Order Date]]</f>
        <v>6</v>
      </c>
      <c r="N2379" t="s">
        <v>45</v>
      </c>
      <c r="O2379" t="s">
        <v>23</v>
      </c>
      <c r="P2379" t="s">
        <v>238</v>
      </c>
      <c r="Q2379" t="s">
        <v>133</v>
      </c>
      <c r="R2379" t="s">
        <v>3619</v>
      </c>
      <c r="S2379" s="33">
        <v>0.2</v>
      </c>
      <c r="T2379" s="13">
        <v>679.96</v>
      </c>
      <c r="U2379" s="13">
        <v>220.98699999999999</v>
      </c>
      <c r="V2379" s="21">
        <f>Table10[[#This Row],[Profit]]/Table10[[#This Row],[Sales]]</f>
        <v>0.32499999999999996</v>
      </c>
    </row>
    <row r="2380" spans="1:22" x14ac:dyDescent="0.2">
      <c r="A2380">
        <v>2379</v>
      </c>
      <c r="B2380" t="s">
        <v>9103</v>
      </c>
      <c r="C2380" s="1">
        <v>42714</v>
      </c>
      <c r="D2380" s="22">
        <f>MONTH(Table10[[#This Row],[Order Date]])</f>
        <v>12</v>
      </c>
      <c r="E2380" t="s">
        <v>616</v>
      </c>
      <c r="F2380" t="s">
        <v>617</v>
      </c>
      <c r="G2380" s="23" t="s">
        <v>41</v>
      </c>
      <c r="H2380" s="23" t="s">
        <v>82</v>
      </c>
      <c r="I2380" t="s">
        <v>2241</v>
      </c>
      <c r="J2380" t="s">
        <v>36</v>
      </c>
      <c r="K2380" s="22">
        <v>9</v>
      </c>
      <c r="L2380" s="1">
        <v>42720</v>
      </c>
      <c r="M2380" s="22">
        <f>Table10[[#This Row],[Ship Date]]-Table10[[#This Row],[Order Date]]</f>
        <v>6</v>
      </c>
      <c r="N2380" t="s">
        <v>45</v>
      </c>
      <c r="O2380" t="s">
        <v>23</v>
      </c>
      <c r="P2380" t="s">
        <v>238</v>
      </c>
      <c r="Q2380" t="s">
        <v>133</v>
      </c>
      <c r="R2380" t="s">
        <v>237</v>
      </c>
      <c r="S2380" s="33">
        <v>0</v>
      </c>
      <c r="T2380" s="13">
        <v>62.82</v>
      </c>
      <c r="U2380" s="13">
        <v>29.525400000000001</v>
      </c>
      <c r="V2380" s="21">
        <f>Table10[[#This Row],[Profit]]/Table10[[#This Row],[Sales]]</f>
        <v>0.47000000000000003</v>
      </c>
    </row>
    <row r="2381" spans="1:22" x14ac:dyDescent="0.2">
      <c r="A2381">
        <v>2380</v>
      </c>
      <c r="B2381" t="s">
        <v>10082</v>
      </c>
      <c r="C2381" s="1">
        <v>42714</v>
      </c>
      <c r="D2381" s="22">
        <f>MONTH(Table10[[#This Row],[Order Date]])</f>
        <v>12</v>
      </c>
      <c r="E2381" t="s">
        <v>5790</v>
      </c>
      <c r="F2381" t="s">
        <v>5791</v>
      </c>
      <c r="G2381" s="23" t="s">
        <v>41</v>
      </c>
      <c r="H2381" s="23" t="s">
        <v>82</v>
      </c>
      <c r="I2381" t="s">
        <v>2614</v>
      </c>
      <c r="J2381" t="s">
        <v>92</v>
      </c>
      <c r="K2381" s="22">
        <v>1</v>
      </c>
      <c r="L2381" s="1">
        <v>42718</v>
      </c>
      <c r="M2381" s="22">
        <f>Table10[[#This Row],[Ship Date]]-Table10[[#This Row],[Order Date]]</f>
        <v>4</v>
      </c>
      <c r="N2381" t="s">
        <v>45</v>
      </c>
      <c r="O2381" t="s">
        <v>23</v>
      </c>
      <c r="P2381" t="s">
        <v>238</v>
      </c>
      <c r="Q2381" t="s">
        <v>133</v>
      </c>
      <c r="R2381" t="s">
        <v>237</v>
      </c>
      <c r="S2381" s="33">
        <v>0</v>
      </c>
      <c r="T2381" s="13">
        <v>6.48</v>
      </c>
      <c r="U2381" s="13">
        <v>3.1103999999999998</v>
      </c>
      <c r="V2381" s="21">
        <f>Table10[[#This Row],[Profit]]/Table10[[#This Row],[Sales]]</f>
        <v>0.47999999999999993</v>
      </c>
    </row>
    <row r="2382" spans="1:22" x14ac:dyDescent="0.2">
      <c r="A2382">
        <v>2381</v>
      </c>
      <c r="B2382" t="s">
        <v>235</v>
      </c>
      <c r="C2382" s="1">
        <v>42715</v>
      </c>
      <c r="D2382" s="22">
        <f>MONTH(Table10[[#This Row],[Order Date]])</f>
        <v>12</v>
      </c>
      <c r="E2382" t="s">
        <v>239</v>
      </c>
      <c r="F2382" t="s">
        <v>241</v>
      </c>
      <c r="G2382" s="23" t="s">
        <v>41</v>
      </c>
      <c r="H2382" s="23" t="s">
        <v>240</v>
      </c>
      <c r="I2382" t="s">
        <v>236</v>
      </c>
      <c r="J2382" t="s">
        <v>36</v>
      </c>
      <c r="K2382" s="22">
        <v>7</v>
      </c>
      <c r="L2382" s="1">
        <v>42721</v>
      </c>
      <c r="M2382" s="22">
        <f>Table10[[#This Row],[Ship Date]]-Table10[[#This Row],[Order Date]]</f>
        <v>6</v>
      </c>
      <c r="N2382" t="s">
        <v>45</v>
      </c>
      <c r="O2382" t="s">
        <v>23</v>
      </c>
      <c r="P2382" t="s">
        <v>238</v>
      </c>
      <c r="Q2382" t="s">
        <v>133</v>
      </c>
      <c r="R2382" t="s">
        <v>237</v>
      </c>
      <c r="S2382" s="33">
        <v>0</v>
      </c>
      <c r="T2382" s="13">
        <v>15.26</v>
      </c>
      <c r="U2382" s="13">
        <v>6.2565999999999997</v>
      </c>
      <c r="V2382" s="21">
        <f>Table10[[#This Row],[Profit]]/Table10[[#This Row],[Sales]]</f>
        <v>0.41</v>
      </c>
    </row>
    <row r="2383" spans="1:22" x14ac:dyDescent="0.2">
      <c r="A2383">
        <v>2382</v>
      </c>
      <c r="B2383" t="s">
        <v>235</v>
      </c>
      <c r="C2383" s="1">
        <v>42715</v>
      </c>
      <c r="D2383" s="22">
        <f>MONTH(Table10[[#This Row],[Order Date]])</f>
        <v>12</v>
      </c>
      <c r="E2383" t="s">
        <v>242</v>
      </c>
      <c r="F2383" t="s">
        <v>243</v>
      </c>
      <c r="G2383" s="23" t="s">
        <v>64</v>
      </c>
      <c r="H2383" s="23" t="s">
        <v>65</v>
      </c>
      <c r="I2383" t="s">
        <v>236</v>
      </c>
      <c r="J2383" t="s">
        <v>36</v>
      </c>
      <c r="K2383" s="22">
        <v>5</v>
      </c>
      <c r="L2383" s="1">
        <v>42721</v>
      </c>
      <c r="M2383" s="22">
        <f>Table10[[#This Row],[Ship Date]]-Table10[[#This Row],[Order Date]]</f>
        <v>6</v>
      </c>
      <c r="N2383" t="s">
        <v>45</v>
      </c>
      <c r="O2383" t="s">
        <v>23</v>
      </c>
      <c r="P2383" t="s">
        <v>238</v>
      </c>
      <c r="Q2383" t="s">
        <v>133</v>
      </c>
      <c r="R2383" t="s">
        <v>237</v>
      </c>
      <c r="S2383" s="33">
        <v>0</v>
      </c>
      <c r="T2383" s="13">
        <v>1029.95</v>
      </c>
      <c r="U2383" s="13">
        <v>298.68549999999999</v>
      </c>
      <c r="V2383" s="21">
        <f>Table10[[#This Row],[Profit]]/Table10[[#This Row],[Sales]]</f>
        <v>0.28999999999999998</v>
      </c>
    </row>
    <row r="2384" spans="1:22" x14ac:dyDescent="0.2">
      <c r="A2384">
        <v>2383</v>
      </c>
      <c r="B2384" t="s">
        <v>1833</v>
      </c>
      <c r="C2384" s="1">
        <v>42715</v>
      </c>
      <c r="D2384" s="22">
        <f>MONTH(Table10[[#This Row],[Order Date]])</f>
        <v>12</v>
      </c>
      <c r="E2384" t="s">
        <v>1835</v>
      </c>
      <c r="F2384" t="s">
        <v>1836</v>
      </c>
      <c r="G2384" s="23" t="s">
        <v>41</v>
      </c>
      <c r="H2384" s="23" t="s">
        <v>53</v>
      </c>
      <c r="I2384" t="s">
        <v>1834</v>
      </c>
      <c r="J2384" t="s">
        <v>22</v>
      </c>
      <c r="K2384" s="22">
        <v>3</v>
      </c>
      <c r="L2384" s="1">
        <v>42717</v>
      </c>
      <c r="M2384" s="22">
        <f>Table10[[#This Row],[Ship Date]]-Table10[[#This Row],[Order Date]]</f>
        <v>2</v>
      </c>
      <c r="N2384" t="s">
        <v>20</v>
      </c>
      <c r="O2384" t="s">
        <v>23</v>
      </c>
      <c r="P2384" t="s">
        <v>405</v>
      </c>
      <c r="Q2384" t="s">
        <v>39</v>
      </c>
      <c r="R2384" t="s">
        <v>404</v>
      </c>
      <c r="S2384" s="33">
        <v>0.2</v>
      </c>
      <c r="T2384" s="13">
        <v>243.38399999999999</v>
      </c>
      <c r="U2384" s="13">
        <v>-51.719099999999997</v>
      </c>
      <c r="V2384" s="21">
        <f>Table10[[#This Row],[Profit]]/Table10[[#This Row],[Sales]]</f>
        <v>-0.21249999999999999</v>
      </c>
    </row>
    <row r="2385" spans="1:22" x14ac:dyDescent="0.2">
      <c r="A2385">
        <v>2384</v>
      </c>
      <c r="B2385" t="s">
        <v>1833</v>
      </c>
      <c r="C2385" s="1">
        <v>42715</v>
      </c>
      <c r="D2385" s="22">
        <f>MONTH(Table10[[#This Row],[Order Date]])</f>
        <v>12</v>
      </c>
      <c r="E2385" t="s">
        <v>1837</v>
      </c>
      <c r="F2385" t="s">
        <v>1838</v>
      </c>
      <c r="G2385" s="23" t="s">
        <v>64</v>
      </c>
      <c r="H2385" s="23" t="s">
        <v>144</v>
      </c>
      <c r="I2385" t="s">
        <v>1834</v>
      </c>
      <c r="J2385" t="s">
        <v>22</v>
      </c>
      <c r="K2385" s="22">
        <v>5</v>
      </c>
      <c r="L2385" s="1">
        <v>42717</v>
      </c>
      <c r="M2385" s="22">
        <f>Table10[[#This Row],[Ship Date]]-Table10[[#This Row],[Order Date]]</f>
        <v>2</v>
      </c>
      <c r="N2385" t="s">
        <v>20</v>
      </c>
      <c r="O2385" t="s">
        <v>23</v>
      </c>
      <c r="P2385" t="s">
        <v>405</v>
      </c>
      <c r="Q2385" t="s">
        <v>39</v>
      </c>
      <c r="R2385" t="s">
        <v>404</v>
      </c>
      <c r="S2385" s="33">
        <v>0.2</v>
      </c>
      <c r="T2385" s="13">
        <v>119.8</v>
      </c>
      <c r="U2385" s="13">
        <v>29.95</v>
      </c>
      <c r="V2385" s="21">
        <f>Table10[[#This Row],[Profit]]/Table10[[#This Row],[Sales]]</f>
        <v>0.25</v>
      </c>
    </row>
    <row r="2386" spans="1:22" x14ac:dyDescent="0.2">
      <c r="A2386">
        <v>2385</v>
      </c>
      <c r="B2386" t="s">
        <v>1833</v>
      </c>
      <c r="C2386" s="1">
        <v>42715</v>
      </c>
      <c r="D2386" s="22">
        <f>MONTH(Table10[[#This Row],[Order Date]])</f>
        <v>12</v>
      </c>
      <c r="E2386" t="s">
        <v>1839</v>
      </c>
      <c r="F2386" t="s">
        <v>1840</v>
      </c>
      <c r="G2386" s="23" t="s">
        <v>64</v>
      </c>
      <c r="H2386" s="23" t="s">
        <v>65</v>
      </c>
      <c r="I2386" t="s">
        <v>1834</v>
      </c>
      <c r="J2386" t="s">
        <v>22</v>
      </c>
      <c r="K2386" s="22">
        <v>4</v>
      </c>
      <c r="L2386" s="1">
        <v>42717</v>
      </c>
      <c r="M2386" s="22">
        <f>Table10[[#This Row],[Ship Date]]-Table10[[#This Row],[Order Date]]</f>
        <v>2</v>
      </c>
      <c r="N2386" t="s">
        <v>20</v>
      </c>
      <c r="O2386" t="s">
        <v>23</v>
      </c>
      <c r="P2386" t="s">
        <v>405</v>
      </c>
      <c r="Q2386" t="s">
        <v>39</v>
      </c>
      <c r="R2386" t="s">
        <v>404</v>
      </c>
      <c r="S2386" s="33">
        <v>0.2</v>
      </c>
      <c r="T2386" s="13">
        <v>300.76799999999997</v>
      </c>
      <c r="U2386" s="13">
        <v>30.076799999999999</v>
      </c>
      <c r="V2386" s="21">
        <f>Table10[[#This Row],[Profit]]/Table10[[#This Row],[Sales]]</f>
        <v>0.1</v>
      </c>
    </row>
    <row r="2387" spans="1:22" x14ac:dyDescent="0.2">
      <c r="A2387">
        <v>2386</v>
      </c>
      <c r="B2387" t="s">
        <v>1886</v>
      </c>
      <c r="C2387" s="1">
        <v>42715</v>
      </c>
      <c r="D2387" s="22">
        <f>MONTH(Table10[[#This Row],[Order Date]])</f>
        <v>12</v>
      </c>
      <c r="E2387" t="s">
        <v>1204</v>
      </c>
      <c r="F2387" t="s">
        <v>1205</v>
      </c>
      <c r="G2387" s="23" t="s">
        <v>28</v>
      </c>
      <c r="H2387" s="23" t="s">
        <v>58</v>
      </c>
      <c r="I2387" t="s">
        <v>1887</v>
      </c>
      <c r="J2387" t="s">
        <v>36</v>
      </c>
      <c r="K2387" s="22">
        <v>4</v>
      </c>
      <c r="L2387" s="1">
        <v>42720</v>
      </c>
      <c r="M2387" s="22">
        <f>Table10[[#This Row],[Ship Date]]-Table10[[#This Row],[Order Date]]</f>
        <v>5</v>
      </c>
      <c r="N2387" t="s">
        <v>20</v>
      </c>
      <c r="O2387" t="s">
        <v>23</v>
      </c>
      <c r="P2387" t="s">
        <v>87</v>
      </c>
      <c r="Q2387" t="s">
        <v>39</v>
      </c>
      <c r="R2387" t="s">
        <v>1888</v>
      </c>
      <c r="S2387" s="33">
        <v>0</v>
      </c>
      <c r="T2387" s="13">
        <v>14.8</v>
      </c>
      <c r="U2387" s="13">
        <v>6.0679999999999996</v>
      </c>
      <c r="V2387" s="21">
        <f>Table10[[#This Row],[Profit]]/Table10[[#This Row],[Sales]]</f>
        <v>0.41</v>
      </c>
    </row>
    <row r="2388" spans="1:22" x14ac:dyDescent="0.2">
      <c r="A2388">
        <v>2387</v>
      </c>
      <c r="B2388" t="s">
        <v>1886</v>
      </c>
      <c r="C2388" s="1">
        <v>42715</v>
      </c>
      <c r="D2388" s="22">
        <f>MONTH(Table10[[#This Row],[Order Date]])</f>
        <v>12</v>
      </c>
      <c r="E2388" t="s">
        <v>651</v>
      </c>
      <c r="F2388" t="s">
        <v>652</v>
      </c>
      <c r="G2388" s="23" t="s">
        <v>64</v>
      </c>
      <c r="H2388" s="23" t="s">
        <v>65</v>
      </c>
      <c r="I2388" t="s">
        <v>1887</v>
      </c>
      <c r="J2388" t="s">
        <v>36</v>
      </c>
      <c r="K2388" s="22">
        <v>3</v>
      </c>
      <c r="L2388" s="1">
        <v>42720</v>
      </c>
      <c r="M2388" s="22">
        <f>Table10[[#This Row],[Ship Date]]-Table10[[#This Row],[Order Date]]</f>
        <v>5</v>
      </c>
      <c r="N2388" t="s">
        <v>20</v>
      </c>
      <c r="O2388" t="s">
        <v>23</v>
      </c>
      <c r="P2388" t="s">
        <v>87</v>
      </c>
      <c r="Q2388" t="s">
        <v>39</v>
      </c>
      <c r="R2388" t="s">
        <v>1888</v>
      </c>
      <c r="S2388" s="33">
        <v>0.2</v>
      </c>
      <c r="T2388" s="13">
        <v>302.37599999999998</v>
      </c>
      <c r="U2388" s="13">
        <v>22.6782</v>
      </c>
      <c r="V2388" s="21">
        <f>Table10[[#This Row],[Profit]]/Table10[[#This Row],[Sales]]</f>
        <v>7.5000000000000011E-2</v>
      </c>
    </row>
    <row r="2389" spans="1:22" x14ac:dyDescent="0.2">
      <c r="A2389">
        <v>2388</v>
      </c>
      <c r="B2389" t="s">
        <v>1886</v>
      </c>
      <c r="C2389" s="1">
        <v>42715</v>
      </c>
      <c r="D2389" s="22">
        <f>MONTH(Table10[[#This Row],[Order Date]])</f>
        <v>12</v>
      </c>
      <c r="E2389" t="s">
        <v>1889</v>
      </c>
      <c r="F2389" t="s">
        <v>1890</v>
      </c>
      <c r="G2389" s="23" t="s">
        <v>64</v>
      </c>
      <c r="H2389" s="23" t="s">
        <v>144</v>
      </c>
      <c r="I2389" t="s">
        <v>1887</v>
      </c>
      <c r="J2389" t="s">
        <v>36</v>
      </c>
      <c r="K2389" s="22">
        <v>4</v>
      </c>
      <c r="L2389" s="1">
        <v>42720</v>
      </c>
      <c r="M2389" s="22">
        <f>Table10[[#This Row],[Ship Date]]-Table10[[#This Row],[Order Date]]</f>
        <v>5</v>
      </c>
      <c r="N2389" t="s">
        <v>20</v>
      </c>
      <c r="O2389" t="s">
        <v>23</v>
      </c>
      <c r="P2389" t="s">
        <v>87</v>
      </c>
      <c r="Q2389" t="s">
        <v>39</v>
      </c>
      <c r="R2389" t="s">
        <v>1888</v>
      </c>
      <c r="S2389" s="33">
        <v>0</v>
      </c>
      <c r="T2389" s="13">
        <v>316</v>
      </c>
      <c r="U2389" s="13">
        <v>31.6</v>
      </c>
      <c r="V2389" s="21">
        <f>Table10[[#This Row],[Profit]]/Table10[[#This Row],[Sales]]</f>
        <v>0.1</v>
      </c>
    </row>
    <row r="2390" spans="1:22" x14ac:dyDescent="0.2">
      <c r="A2390">
        <v>2389</v>
      </c>
      <c r="B2390" t="s">
        <v>2892</v>
      </c>
      <c r="C2390" s="1">
        <v>42715</v>
      </c>
      <c r="D2390" s="22">
        <f>MONTH(Table10[[#This Row],[Order Date]])</f>
        <v>12</v>
      </c>
      <c r="E2390" t="s">
        <v>2894</v>
      </c>
      <c r="F2390" t="s">
        <v>2895</v>
      </c>
      <c r="G2390" s="23" t="s">
        <v>41</v>
      </c>
      <c r="H2390" s="23" t="s">
        <v>53</v>
      </c>
      <c r="I2390" t="s">
        <v>1757</v>
      </c>
      <c r="J2390" t="s">
        <v>22</v>
      </c>
      <c r="K2390" s="22">
        <v>3</v>
      </c>
      <c r="L2390" s="1">
        <v>42715</v>
      </c>
      <c r="M2390" s="22">
        <f>Table10[[#This Row],[Ship Date]]-Table10[[#This Row],[Order Date]]</f>
        <v>0</v>
      </c>
      <c r="N2390" t="s">
        <v>1141</v>
      </c>
      <c r="O2390" t="s">
        <v>23</v>
      </c>
      <c r="P2390" t="s">
        <v>48</v>
      </c>
      <c r="Q2390" t="s">
        <v>26</v>
      </c>
      <c r="R2390" t="s">
        <v>2893</v>
      </c>
      <c r="S2390" s="33">
        <v>0.2</v>
      </c>
      <c r="T2390" s="13">
        <v>85.224000000000004</v>
      </c>
      <c r="U2390" s="13">
        <v>7.4570999999999996</v>
      </c>
      <c r="V2390" s="21">
        <f>Table10[[#This Row],[Profit]]/Table10[[#This Row],[Sales]]</f>
        <v>8.7499999999999994E-2</v>
      </c>
    </row>
    <row r="2391" spans="1:22" x14ac:dyDescent="0.2">
      <c r="A2391">
        <v>2390</v>
      </c>
      <c r="B2391" t="s">
        <v>3724</v>
      </c>
      <c r="C2391" s="1">
        <v>42715</v>
      </c>
      <c r="D2391" s="22">
        <f>MONTH(Table10[[#This Row],[Order Date]])</f>
        <v>12</v>
      </c>
      <c r="E2391" t="s">
        <v>3725</v>
      </c>
      <c r="F2391" t="s">
        <v>3726</v>
      </c>
      <c r="G2391" s="23" t="s">
        <v>41</v>
      </c>
      <c r="H2391" s="23" t="s">
        <v>61</v>
      </c>
      <c r="I2391" t="s">
        <v>1686</v>
      </c>
      <c r="J2391" t="s">
        <v>22</v>
      </c>
      <c r="K2391" s="22">
        <v>3</v>
      </c>
      <c r="L2391" s="1">
        <v>42721</v>
      </c>
      <c r="M2391" s="22">
        <f>Table10[[#This Row],[Ship Date]]-Table10[[#This Row],[Order Date]]</f>
        <v>6</v>
      </c>
      <c r="N2391" t="s">
        <v>45</v>
      </c>
      <c r="O2391" t="s">
        <v>23</v>
      </c>
      <c r="P2391" t="s">
        <v>299</v>
      </c>
      <c r="Q2391" t="s">
        <v>26</v>
      </c>
      <c r="R2391" t="s">
        <v>3345</v>
      </c>
      <c r="S2391" s="33">
        <v>0.2</v>
      </c>
      <c r="T2391" s="13">
        <v>6.6719999999999997</v>
      </c>
      <c r="U2391" s="13">
        <v>1.6679999999999999</v>
      </c>
      <c r="V2391" s="21">
        <f>Table10[[#This Row],[Profit]]/Table10[[#This Row],[Sales]]</f>
        <v>0.25</v>
      </c>
    </row>
    <row r="2392" spans="1:22" x14ac:dyDescent="0.2">
      <c r="A2392">
        <v>2391</v>
      </c>
      <c r="B2392" t="s">
        <v>7844</v>
      </c>
      <c r="C2392" s="1">
        <v>42715</v>
      </c>
      <c r="D2392" s="22">
        <f>MONTH(Table10[[#This Row],[Order Date]])</f>
        <v>12</v>
      </c>
      <c r="E2392" t="s">
        <v>2473</v>
      </c>
      <c r="F2392" t="s">
        <v>2474</v>
      </c>
      <c r="G2392" s="23" t="s">
        <v>41</v>
      </c>
      <c r="H2392" s="23" t="s">
        <v>53</v>
      </c>
      <c r="I2392" t="s">
        <v>2725</v>
      </c>
      <c r="J2392" t="s">
        <v>36</v>
      </c>
      <c r="K2392" s="22">
        <v>5</v>
      </c>
      <c r="L2392" s="1">
        <v>42715</v>
      </c>
      <c r="M2392" s="22">
        <f>Table10[[#This Row],[Ship Date]]-Table10[[#This Row],[Order Date]]</f>
        <v>0</v>
      </c>
      <c r="N2392" t="s">
        <v>1141</v>
      </c>
      <c r="O2392" t="s">
        <v>23</v>
      </c>
      <c r="P2392" t="s">
        <v>441</v>
      </c>
      <c r="Q2392" t="s">
        <v>133</v>
      </c>
      <c r="R2392" t="s">
        <v>440</v>
      </c>
      <c r="S2392" s="33">
        <v>0.2</v>
      </c>
      <c r="T2392" s="13">
        <v>64.959999999999994</v>
      </c>
      <c r="U2392" s="13">
        <v>-4.0599999999999996</v>
      </c>
      <c r="V2392" s="21">
        <f>Table10[[#This Row],[Profit]]/Table10[[#This Row],[Sales]]</f>
        <v>-6.25E-2</v>
      </c>
    </row>
    <row r="2393" spans="1:22" x14ac:dyDescent="0.2">
      <c r="A2393">
        <v>2392</v>
      </c>
      <c r="B2393" t="s">
        <v>7844</v>
      </c>
      <c r="C2393" s="1">
        <v>42715</v>
      </c>
      <c r="D2393" s="22">
        <f>MONTH(Table10[[#This Row],[Order Date]])</f>
        <v>12</v>
      </c>
      <c r="E2393" t="s">
        <v>6118</v>
      </c>
      <c r="F2393" t="s">
        <v>6119</v>
      </c>
      <c r="G2393" s="23" t="s">
        <v>41</v>
      </c>
      <c r="H2393" s="23" t="s">
        <v>513</v>
      </c>
      <c r="I2393" t="s">
        <v>2725</v>
      </c>
      <c r="J2393" t="s">
        <v>36</v>
      </c>
      <c r="K2393" s="22">
        <v>2</v>
      </c>
      <c r="L2393" s="1">
        <v>42715</v>
      </c>
      <c r="M2393" s="22">
        <f>Table10[[#This Row],[Ship Date]]-Table10[[#This Row],[Order Date]]</f>
        <v>0</v>
      </c>
      <c r="N2393" t="s">
        <v>1141</v>
      </c>
      <c r="O2393" t="s">
        <v>23</v>
      </c>
      <c r="P2393" t="s">
        <v>441</v>
      </c>
      <c r="Q2393" t="s">
        <v>133</v>
      </c>
      <c r="R2393" t="s">
        <v>440</v>
      </c>
      <c r="S2393" s="33">
        <v>0.2</v>
      </c>
      <c r="T2393" s="13">
        <v>13.52</v>
      </c>
      <c r="U2393" s="13">
        <v>1.69</v>
      </c>
      <c r="V2393" s="21">
        <f>Table10[[#This Row],[Profit]]/Table10[[#This Row],[Sales]]</f>
        <v>0.125</v>
      </c>
    </row>
    <row r="2394" spans="1:22" x14ac:dyDescent="0.2">
      <c r="A2394">
        <v>2393</v>
      </c>
      <c r="B2394" t="s">
        <v>7844</v>
      </c>
      <c r="C2394" s="1">
        <v>42715</v>
      </c>
      <c r="D2394" s="22">
        <f>MONTH(Table10[[#This Row],[Order Date]])</f>
        <v>12</v>
      </c>
      <c r="E2394" t="s">
        <v>6240</v>
      </c>
      <c r="F2394" t="s">
        <v>6241</v>
      </c>
      <c r="G2394" s="23" t="s">
        <v>28</v>
      </c>
      <c r="H2394" s="23" t="s">
        <v>32</v>
      </c>
      <c r="I2394" t="s">
        <v>2725</v>
      </c>
      <c r="J2394" t="s">
        <v>36</v>
      </c>
      <c r="K2394" s="22">
        <v>5</v>
      </c>
      <c r="L2394" s="1">
        <v>42715</v>
      </c>
      <c r="M2394" s="22">
        <f>Table10[[#This Row],[Ship Date]]-Table10[[#This Row],[Order Date]]</f>
        <v>0</v>
      </c>
      <c r="N2394" t="s">
        <v>1141</v>
      </c>
      <c r="O2394" t="s">
        <v>23</v>
      </c>
      <c r="P2394" t="s">
        <v>441</v>
      </c>
      <c r="Q2394" t="s">
        <v>133</v>
      </c>
      <c r="R2394" t="s">
        <v>440</v>
      </c>
      <c r="S2394" s="33">
        <v>0.3</v>
      </c>
      <c r="T2394" s="13">
        <v>458.43</v>
      </c>
      <c r="U2394" s="13">
        <v>-137.529</v>
      </c>
      <c r="V2394" s="21">
        <f>Table10[[#This Row],[Profit]]/Table10[[#This Row],[Sales]]</f>
        <v>-0.3</v>
      </c>
    </row>
    <row r="2395" spans="1:22" x14ac:dyDescent="0.2">
      <c r="A2395">
        <v>2394</v>
      </c>
      <c r="B2395" t="s">
        <v>7844</v>
      </c>
      <c r="C2395" s="1">
        <v>42715</v>
      </c>
      <c r="D2395" s="22">
        <f>MONTH(Table10[[#This Row],[Order Date]])</f>
        <v>12</v>
      </c>
      <c r="E2395" t="s">
        <v>2210</v>
      </c>
      <c r="F2395" t="s">
        <v>2941</v>
      </c>
      <c r="G2395" s="23" t="s">
        <v>41</v>
      </c>
      <c r="H2395" s="23" t="s">
        <v>71</v>
      </c>
      <c r="I2395" t="s">
        <v>2725</v>
      </c>
      <c r="J2395" t="s">
        <v>36</v>
      </c>
      <c r="K2395" s="22">
        <v>4</v>
      </c>
      <c r="L2395" s="1">
        <v>42715</v>
      </c>
      <c r="M2395" s="22">
        <f>Table10[[#This Row],[Ship Date]]-Table10[[#This Row],[Order Date]]</f>
        <v>0</v>
      </c>
      <c r="N2395" t="s">
        <v>1141</v>
      </c>
      <c r="O2395" t="s">
        <v>23</v>
      </c>
      <c r="P2395" t="s">
        <v>441</v>
      </c>
      <c r="Q2395" t="s">
        <v>133</v>
      </c>
      <c r="R2395" t="s">
        <v>440</v>
      </c>
      <c r="S2395" s="33">
        <v>0.2</v>
      </c>
      <c r="T2395" s="13">
        <v>387.13600000000002</v>
      </c>
      <c r="U2395" s="13">
        <v>24.196000000000002</v>
      </c>
      <c r="V2395" s="21">
        <f>Table10[[#This Row],[Profit]]/Table10[[#This Row],[Sales]]</f>
        <v>6.25E-2</v>
      </c>
    </row>
    <row r="2396" spans="1:22" x14ac:dyDescent="0.2">
      <c r="A2396">
        <v>2395</v>
      </c>
      <c r="B2396" t="s">
        <v>7844</v>
      </c>
      <c r="C2396" s="1">
        <v>42715</v>
      </c>
      <c r="D2396" s="22">
        <f>MONTH(Table10[[#This Row],[Order Date]])</f>
        <v>12</v>
      </c>
      <c r="E2396" t="s">
        <v>3327</v>
      </c>
      <c r="F2396" t="s">
        <v>3328</v>
      </c>
      <c r="G2396" s="23" t="s">
        <v>28</v>
      </c>
      <c r="H2396" s="23" t="s">
        <v>50</v>
      </c>
      <c r="I2396" t="s">
        <v>2725</v>
      </c>
      <c r="J2396" t="s">
        <v>36</v>
      </c>
      <c r="K2396" s="22">
        <v>3</v>
      </c>
      <c r="L2396" s="1">
        <v>42715</v>
      </c>
      <c r="M2396" s="22">
        <f>Table10[[#This Row],[Ship Date]]-Table10[[#This Row],[Order Date]]</f>
        <v>0</v>
      </c>
      <c r="N2396" t="s">
        <v>1141</v>
      </c>
      <c r="O2396" t="s">
        <v>23</v>
      </c>
      <c r="P2396" t="s">
        <v>441</v>
      </c>
      <c r="Q2396" t="s">
        <v>133</v>
      </c>
      <c r="R2396" t="s">
        <v>440</v>
      </c>
      <c r="S2396" s="33">
        <v>0.4</v>
      </c>
      <c r="T2396" s="13">
        <v>328.59</v>
      </c>
      <c r="U2396" s="13">
        <v>-147.8655</v>
      </c>
      <c r="V2396" s="21">
        <f>Table10[[#This Row],[Profit]]/Table10[[#This Row],[Sales]]</f>
        <v>-0.45</v>
      </c>
    </row>
    <row r="2397" spans="1:22" x14ac:dyDescent="0.2">
      <c r="A2397">
        <v>2396</v>
      </c>
      <c r="B2397" t="s">
        <v>7963</v>
      </c>
      <c r="C2397" s="1">
        <v>42715</v>
      </c>
      <c r="D2397" s="22">
        <f>MONTH(Table10[[#This Row],[Order Date]])</f>
        <v>12</v>
      </c>
      <c r="E2397" t="s">
        <v>182</v>
      </c>
      <c r="F2397" t="s">
        <v>183</v>
      </c>
      <c r="G2397" s="23" t="s">
        <v>28</v>
      </c>
      <c r="H2397" s="23" t="s">
        <v>32</v>
      </c>
      <c r="I2397" t="s">
        <v>3617</v>
      </c>
      <c r="J2397" t="s">
        <v>92</v>
      </c>
      <c r="K2397" s="22">
        <v>5</v>
      </c>
      <c r="L2397" s="1">
        <v>42717</v>
      </c>
      <c r="M2397" s="22">
        <f>Table10[[#This Row],[Ship Date]]-Table10[[#This Row],[Order Date]]</f>
        <v>2</v>
      </c>
      <c r="N2397" t="s">
        <v>169</v>
      </c>
      <c r="O2397" t="s">
        <v>23</v>
      </c>
      <c r="P2397" t="s">
        <v>374</v>
      </c>
      <c r="Q2397" t="s">
        <v>39</v>
      </c>
      <c r="R2397" t="s">
        <v>373</v>
      </c>
      <c r="S2397" s="33">
        <v>0.2</v>
      </c>
      <c r="T2397" s="13">
        <v>403.92</v>
      </c>
      <c r="U2397" s="13">
        <v>25.245000000000001</v>
      </c>
      <c r="V2397" s="21">
        <f>Table10[[#This Row],[Profit]]/Table10[[#This Row],[Sales]]</f>
        <v>6.25E-2</v>
      </c>
    </row>
    <row r="2398" spans="1:22" x14ac:dyDescent="0.2">
      <c r="A2398">
        <v>2397</v>
      </c>
      <c r="B2398" t="s">
        <v>8485</v>
      </c>
      <c r="C2398" s="1">
        <v>42715</v>
      </c>
      <c r="D2398" s="22">
        <f>MONTH(Table10[[#This Row],[Order Date]])</f>
        <v>12</v>
      </c>
      <c r="E2398" t="s">
        <v>961</v>
      </c>
      <c r="F2398" t="s">
        <v>962</v>
      </c>
      <c r="G2398" s="23" t="s">
        <v>41</v>
      </c>
      <c r="H2398" s="23" t="s">
        <v>68</v>
      </c>
      <c r="I2398" t="s">
        <v>4484</v>
      </c>
      <c r="J2398" t="s">
        <v>22</v>
      </c>
      <c r="K2398" s="22">
        <v>5</v>
      </c>
      <c r="L2398" s="1">
        <v>42715</v>
      </c>
      <c r="M2398" s="22">
        <f>Table10[[#This Row],[Ship Date]]-Table10[[#This Row],[Order Date]]</f>
        <v>0</v>
      </c>
      <c r="N2398" t="s">
        <v>1141</v>
      </c>
      <c r="O2398" t="s">
        <v>23</v>
      </c>
      <c r="P2398" t="s">
        <v>38</v>
      </c>
      <c r="Q2398" t="s">
        <v>39</v>
      </c>
      <c r="R2398" t="s">
        <v>1666</v>
      </c>
      <c r="S2398" s="33">
        <v>0.2</v>
      </c>
      <c r="T2398" s="13">
        <v>209.6</v>
      </c>
      <c r="U2398" s="13">
        <v>68.12</v>
      </c>
      <c r="V2398" s="21">
        <f>Table10[[#This Row],[Profit]]/Table10[[#This Row],[Sales]]</f>
        <v>0.32500000000000001</v>
      </c>
    </row>
    <row r="2399" spans="1:22" x14ac:dyDescent="0.2">
      <c r="A2399">
        <v>2398</v>
      </c>
      <c r="B2399" t="s">
        <v>8485</v>
      </c>
      <c r="C2399" s="1">
        <v>42715</v>
      </c>
      <c r="D2399" s="22">
        <f>MONTH(Table10[[#This Row],[Order Date]])</f>
        <v>12</v>
      </c>
      <c r="E2399" t="s">
        <v>7647</v>
      </c>
      <c r="F2399" t="s">
        <v>7648</v>
      </c>
      <c r="G2399" s="23" t="s">
        <v>41</v>
      </c>
      <c r="H2399" s="23" t="s">
        <v>61</v>
      </c>
      <c r="I2399" t="s">
        <v>4484</v>
      </c>
      <c r="J2399" t="s">
        <v>22</v>
      </c>
      <c r="K2399" s="22">
        <v>2</v>
      </c>
      <c r="L2399" s="1">
        <v>42715</v>
      </c>
      <c r="M2399" s="22">
        <f>Table10[[#This Row],[Ship Date]]-Table10[[#This Row],[Order Date]]</f>
        <v>0</v>
      </c>
      <c r="N2399" t="s">
        <v>1141</v>
      </c>
      <c r="O2399" t="s">
        <v>23</v>
      </c>
      <c r="P2399" t="s">
        <v>38</v>
      </c>
      <c r="Q2399" t="s">
        <v>39</v>
      </c>
      <c r="R2399" t="s">
        <v>1666</v>
      </c>
      <c r="S2399" s="33">
        <v>0</v>
      </c>
      <c r="T2399" s="13">
        <v>23.32</v>
      </c>
      <c r="U2399" s="13">
        <v>6.0632000000000001</v>
      </c>
      <c r="V2399" s="21">
        <f>Table10[[#This Row],[Profit]]/Table10[[#This Row],[Sales]]</f>
        <v>0.26</v>
      </c>
    </row>
    <row r="2400" spans="1:22" x14ac:dyDescent="0.2">
      <c r="A2400">
        <v>2399</v>
      </c>
      <c r="B2400" t="s">
        <v>8485</v>
      </c>
      <c r="C2400" s="1">
        <v>42715</v>
      </c>
      <c r="D2400" s="22">
        <f>MONTH(Table10[[#This Row],[Order Date]])</f>
        <v>12</v>
      </c>
      <c r="E2400" t="s">
        <v>4163</v>
      </c>
      <c r="F2400" t="s">
        <v>4164</v>
      </c>
      <c r="G2400" s="23" t="s">
        <v>41</v>
      </c>
      <c r="H2400" s="23" t="s">
        <v>82</v>
      </c>
      <c r="I2400" t="s">
        <v>4484</v>
      </c>
      <c r="J2400" t="s">
        <v>22</v>
      </c>
      <c r="K2400" s="22">
        <v>1</v>
      </c>
      <c r="L2400" s="1">
        <v>42715</v>
      </c>
      <c r="M2400" s="22">
        <f>Table10[[#This Row],[Ship Date]]-Table10[[#This Row],[Order Date]]</f>
        <v>0</v>
      </c>
      <c r="N2400" t="s">
        <v>1141</v>
      </c>
      <c r="O2400" t="s">
        <v>23</v>
      </c>
      <c r="P2400" t="s">
        <v>38</v>
      </c>
      <c r="Q2400" t="s">
        <v>39</v>
      </c>
      <c r="R2400" t="s">
        <v>1666</v>
      </c>
      <c r="S2400" s="33">
        <v>0</v>
      </c>
      <c r="T2400" s="13">
        <v>30.98</v>
      </c>
      <c r="U2400" s="13">
        <v>13.941000000000001</v>
      </c>
      <c r="V2400" s="21">
        <f>Table10[[#This Row],[Profit]]/Table10[[#This Row],[Sales]]</f>
        <v>0.45</v>
      </c>
    </row>
    <row r="2401" spans="1:22" x14ac:dyDescent="0.2">
      <c r="A2401">
        <v>2400</v>
      </c>
      <c r="B2401" t="s">
        <v>8485</v>
      </c>
      <c r="C2401" s="1">
        <v>42715</v>
      </c>
      <c r="D2401" s="22">
        <f>MONTH(Table10[[#This Row],[Order Date]])</f>
        <v>12</v>
      </c>
      <c r="E2401" t="s">
        <v>2168</v>
      </c>
      <c r="F2401" t="s">
        <v>2169</v>
      </c>
      <c r="G2401" s="23" t="s">
        <v>64</v>
      </c>
      <c r="H2401" s="23" t="s">
        <v>144</v>
      </c>
      <c r="I2401" t="s">
        <v>4484</v>
      </c>
      <c r="J2401" t="s">
        <v>22</v>
      </c>
      <c r="K2401" s="22">
        <v>4</v>
      </c>
      <c r="L2401" s="1">
        <v>42715</v>
      </c>
      <c r="M2401" s="22">
        <f>Table10[[#This Row],[Ship Date]]-Table10[[#This Row],[Order Date]]</f>
        <v>0</v>
      </c>
      <c r="N2401" t="s">
        <v>1141</v>
      </c>
      <c r="O2401" t="s">
        <v>23</v>
      </c>
      <c r="P2401" t="s">
        <v>38</v>
      </c>
      <c r="Q2401" t="s">
        <v>39</v>
      </c>
      <c r="R2401" t="s">
        <v>1666</v>
      </c>
      <c r="S2401" s="33">
        <v>0</v>
      </c>
      <c r="T2401" s="13">
        <v>119.96</v>
      </c>
      <c r="U2401" s="13">
        <v>25.191600000000001</v>
      </c>
      <c r="V2401" s="21">
        <f>Table10[[#This Row],[Profit]]/Table10[[#This Row],[Sales]]</f>
        <v>0.21000000000000002</v>
      </c>
    </row>
    <row r="2402" spans="1:22" x14ac:dyDescent="0.2">
      <c r="A2402">
        <v>2401</v>
      </c>
      <c r="B2402" t="s">
        <v>8485</v>
      </c>
      <c r="C2402" s="1">
        <v>42715</v>
      </c>
      <c r="D2402" s="22">
        <f>MONTH(Table10[[#This Row],[Order Date]])</f>
        <v>12</v>
      </c>
      <c r="E2402" t="s">
        <v>4287</v>
      </c>
      <c r="F2402" t="s">
        <v>4288</v>
      </c>
      <c r="G2402" s="23" t="s">
        <v>28</v>
      </c>
      <c r="H2402" s="23" t="s">
        <v>32</v>
      </c>
      <c r="I2402" t="s">
        <v>4484</v>
      </c>
      <c r="J2402" t="s">
        <v>22</v>
      </c>
      <c r="K2402" s="22">
        <v>5</v>
      </c>
      <c r="L2402" s="1">
        <v>42715</v>
      </c>
      <c r="M2402" s="22">
        <f>Table10[[#This Row],[Ship Date]]-Table10[[#This Row],[Order Date]]</f>
        <v>0</v>
      </c>
      <c r="N2402" t="s">
        <v>1141</v>
      </c>
      <c r="O2402" t="s">
        <v>23</v>
      </c>
      <c r="P2402" t="s">
        <v>38</v>
      </c>
      <c r="Q2402" t="s">
        <v>39</v>
      </c>
      <c r="R2402" t="s">
        <v>1666</v>
      </c>
      <c r="S2402" s="33">
        <v>0.2</v>
      </c>
      <c r="T2402" s="13">
        <v>363.92</v>
      </c>
      <c r="U2402" s="13">
        <v>-31.843</v>
      </c>
      <c r="V2402" s="21">
        <f>Table10[[#This Row],[Profit]]/Table10[[#This Row],[Sales]]</f>
        <v>-8.7499999999999994E-2</v>
      </c>
    </row>
    <row r="2403" spans="1:22" x14ac:dyDescent="0.2">
      <c r="A2403">
        <v>2402</v>
      </c>
      <c r="B2403" t="s">
        <v>8485</v>
      </c>
      <c r="C2403" s="1">
        <v>42715</v>
      </c>
      <c r="D2403" s="22">
        <f>MONTH(Table10[[#This Row],[Order Date]])</f>
        <v>12</v>
      </c>
      <c r="E2403" t="s">
        <v>1805</v>
      </c>
      <c r="F2403" t="s">
        <v>1806</v>
      </c>
      <c r="G2403" s="23" t="s">
        <v>41</v>
      </c>
      <c r="H2403" s="23" t="s">
        <v>68</v>
      </c>
      <c r="I2403" t="s">
        <v>4484</v>
      </c>
      <c r="J2403" t="s">
        <v>22</v>
      </c>
      <c r="K2403" s="22">
        <v>3</v>
      </c>
      <c r="L2403" s="1">
        <v>42715</v>
      </c>
      <c r="M2403" s="22">
        <f>Table10[[#This Row],[Ship Date]]-Table10[[#This Row],[Order Date]]</f>
        <v>0</v>
      </c>
      <c r="N2403" t="s">
        <v>1141</v>
      </c>
      <c r="O2403" t="s">
        <v>23</v>
      </c>
      <c r="P2403" t="s">
        <v>38</v>
      </c>
      <c r="Q2403" t="s">
        <v>39</v>
      </c>
      <c r="R2403" t="s">
        <v>1666</v>
      </c>
      <c r="S2403" s="33">
        <v>0.2</v>
      </c>
      <c r="T2403" s="13">
        <v>35.808</v>
      </c>
      <c r="U2403" s="13">
        <v>11.19</v>
      </c>
      <c r="V2403" s="21">
        <f>Table10[[#This Row],[Profit]]/Table10[[#This Row],[Sales]]</f>
        <v>0.3125</v>
      </c>
    </row>
    <row r="2404" spans="1:22" x14ac:dyDescent="0.2">
      <c r="A2404">
        <v>2403</v>
      </c>
      <c r="B2404" t="s">
        <v>8485</v>
      </c>
      <c r="C2404" s="1">
        <v>42715</v>
      </c>
      <c r="D2404" s="22">
        <f>MONTH(Table10[[#This Row],[Order Date]])</f>
        <v>12</v>
      </c>
      <c r="E2404" t="s">
        <v>2835</v>
      </c>
      <c r="F2404" t="s">
        <v>2836</v>
      </c>
      <c r="G2404" s="23" t="s">
        <v>41</v>
      </c>
      <c r="H2404" s="23" t="s">
        <v>68</v>
      </c>
      <c r="I2404" t="s">
        <v>4484</v>
      </c>
      <c r="J2404" t="s">
        <v>22</v>
      </c>
      <c r="K2404" s="22">
        <v>9</v>
      </c>
      <c r="L2404" s="1">
        <v>42715</v>
      </c>
      <c r="M2404" s="22">
        <f>Table10[[#This Row],[Ship Date]]-Table10[[#This Row],[Order Date]]</f>
        <v>0</v>
      </c>
      <c r="N2404" t="s">
        <v>1141</v>
      </c>
      <c r="O2404" t="s">
        <v>23</v>
      </c>
      <c r="P2404" t="s">
        <v>38</v>
      </c>
      <c r="Q2404" t="s">
        <v>39</v>
      </c>
      <c r="R2404" t="s">
        <v>1666</v>
      </c>
      <c r="S2404" s="33">
        <v>0.2</v>
      </c>
      <c r="T2404" s="13">
        <v>122.688</v>
      </c>
      <c r="U2404" s="13">
        <v>39.873600000000003</v>
      </c>
      <c r="V2404" s="21">
        <f>Table10[[#This Row],[Profit]]/Table10[[#This Row],[Sales]]</f>
        <v>0.32500000000000001</v>
      </c>
    </row>
    <row r="2405" spans="1:22" x14ac:dyDescent="0.2">
      <c r="A2405">
        <v>2404</v>
      </c>
      <c r="B2405" t="s">
        <v>8485</v>
      </c>
      <c r="C2405" s="1">
        <v>42715</v>
      </c>
      <c r="D2405" s="22">
        <f>MONTH(Table10[[#This Row],[Order Date]])</f>
        <v>12</v>
      </c>
      <c r="E2405" t="s">
        <v>3081</v>
      </c>
      <c r="F2405" t="s">
        <v>3082</v>
      </c>
      <c r="G2405" s="23" t="s">
        <v>28</v>
      </c>
      <c r="H2405" s="23" t="s">
        <v>50</v>
      </c>
      <c r="I2405" t="s">
        <v>4484</v>
      </c>
      <c r="J2405" t="s">
        <v>22</v>
      </c>
      <c r="K2405" s="22">
        <v>7</v>
      </c>
      <c r="L2405" s="1">
        <v>42715</v>
      </c>
      <c r="M2405" s="22">
        <f>Table10[[#This Row],[Ship Date]]-Table10[[#This Row],[Order Date]]</f>
        <v>0</v>
      </c>
      <c r="N2405" t="s">
        <v>1141</v>
      </c>
      <c r="O2405" t="s">
        <v>23</v>
      </c>
      <c r="P2405" t="s">
        <v>38</v>
      </c>
      <c r="Q2405" t="s">
        <v>39</v>
      </c>
      <c r="R2405" t="s">
        <v>1666</v>
      </c>
      <c r="S2405" s="33">
        <v>0.2</v>
      </c>
      <c r="T2405" s="13">
        <v>892.13599999999997</v>
      </c>
      <c r="U2405" s="13">
        <v>111.517</v>
      </c>
      <c r="V2405" s="21">
        <f>Table10[[#This Row],[Profit]]/Table10[[#This Row],[Sales]]</f>
        <v>0.125</v>
      </c>
    </row>
    <row r="2406" spans="1:22" x14ac:dyDescent="0.2">
      <c r="A2406">
        <v>2405</v>
      </c>
      <c r="B2406" t="s">
        <v>8485</v>
      </c>
      <c r="C2406" s="1">
        <v>42715</v>
      </c>
      <c r="D2406" s="22">
        <f>MONTH(Table10[[#This Row],[Order Date]])</f>
        <v>12</v>
      </c>
      <c r="E2406" t="s">
        <v>7756</v>
      </c>
      <c r="F2406" t="s">
        <v>7757</v>
      </c>
      <c r="G2406" s="23" t="s">
        <v>41</v>
      </c>
      <c r="H2406" s="23" t="s">
        <v>53</v>
      </c>
      <c r="I2406" t="s">
        <v>4484</v>
      </c>
      <c r="J2406" t="s">
        <v>22</v>
      </c>
      <c r="K2406" s="22">
        <v>3</v>
      </c>
      <c r="L2406" s="1">
        <v>42715</v>
      </c>
      <c r="M2406" s="22">
        <f>Table10[[#This Row],[Ship Date]]-Table10[[#This Row],[Order Date]]</f>
        <v>0</v>
      </c>
      <c r="N2406" t="s">
        <v>1141</v>
      </c>
      <c r="O2406" t="s">
        <v>23</v>
      </c>
      <c r="P2406" t="s">
        <v>38</v>
      </c>
      <c r="Q2406" t="s">
        <v>39</v>
      </c>
      <c r="R2406" t="s">
        <v>1666</v>
      </c>
      <c r="S2406" s="33">
        <v>0</v>
      </c>
      <c r="T2406" s="13">
        <v>50.22</v>
      </c>
      <c r="U2406" s="13">
        <v>2.0087999999999999</v>
      </c>
      <c r="V2406" s="21">
        <f>Table10[[#This Row],[Profit]]/Table10[[#This Row],[Sales]]</f>
        <v>0.04</v>
      </c>
    </row>
    <row r="2407" spans="1:22" x14ac:dyDescent="0.2">
      <c r="A2407">
        <v>2406</v>
      </c>
      <c r="B2407" t="s">
        <v>8485</v>
      </c>
      <c r="C2407" s="1">
        <v>42715</v>
      </c>
      <c r="D2407" s="22">
        <f>MONTH(Table10[[#This Row],[Order Date]])</f>
        <v>12</v>
      </c>
      <c r="E2407" t="s">
        <v>2005</v>
      </c>
      <c r="F2407" t="s">
        <v>2006</v>
      </c>
      <c r="G2407" s="23" t="s">
        <v>41</v>
      </c>
      <c r="H2407" s="23" t="s">
        <v>71</v>
      </c>
      <c r="I2407" t="s">
        <v>4484</v>
      </c>
      <c r="J2407" t="s">
        <v>22</v>
      </c>
      <c r="K2407" s="22">
        <v>2</v>
      </c>
      <c r="L2407" s="1">
        <v>42715</v>
      </c>
      <c r="M2407" s="22">
        <f>Table10[[#This Row],[Ship Date]]-Table10[[#This Row],[Order Date]]</f>
        <v>0</v>
      </c>
      <c r="N2407" t="s">
        <v>1141</v>
      </c>
      <c r="O2407" t="s">
        <v>23</v>
      </c>
      <c r="P2407" t="s">
        <v>38</v>
      </c>
      <c r="Q2407" t="s">
        <v>39</v>
      </c>
      <c r="R2407" t="s">
        <v>1666</v>
      </c>
      <c r="S2407" s="33">
        <v>0</v>
      </c>
      <c r="T2407" s="13">
        <v>83.42</v>
      </c>
      <c r="U2407" s="13">
        <v>24.191800000000001</v>
      </c>
      <c r="V2407" s="21">
        <f>Table10[[#This Row],[Profit]]/Table10[[#This Row],[Sales]]</f>
        <v>0.28999999999999998</v>
      </c>
    </row>
    <row r="2408" spans="1:22" x14ac:dyDescent="0.2">
      <c r="A2408">
        <v>2407</v>
      </c>
      <c r="B2408" t="s">
        <v>8485</v>
      </c>
      <c r="C2408" s="1">
        <v>42715</v>
      </c>
      <c r="D2408" s="22">
        <f>MONTH(Table10[[#This Row],[Order Date]])</f>
        <v>12</v>
      </c>
      <c r="E2408" t="s">
        <v>8486</v>
      </c>
      <c r="F2408" t="s">
        <v>8487</v>
      </c>
      <c r="G2408" s="23" t="s">
        <v>41</v>
      </c>
      <c r="H2408" s="23" t="s">
        <v>68</v>
      </c>
      <c r="I2408" t="s">
        <v>4484</v>
      </c>
      <c r="J2408" t="s">
        <v>22</v>
      </c>
      <c r="K2408" s="22">
        <v>2</v>
      </c>
      <c r="L2408" s="1">
        <v>42715</v>
      </c>
      <c r="M2408" s="22">
        <f>Table10[[#This Row],[Ship Date]]-Table10[[#This Row],[Order Date]]</f>
        <v>0</v>
      </c>
      <c r="N2408" t="s">
        <v>1141</v>
      </c>
      <c r="O2408" t="s">
        <v>23</v>
      </c>
      <c r="P2408" t="s">
        <v>38</v>
      </c>
      <c r="Q2408" t="s">
        <v>39</v>
      </c>
      <c r="R2408" t="s">
        <v>1666</v>
      </c>
      <c r="S2408" s="33">
        <v>0.2</v>
      </c>
      <c r="T2408" s="13">
        <v>5.8719999999999999</v>
      </c>
      <c r="U2408" s="13">
        <v>2.1286</v>
      </c>
      <c r="V2408" s="21">
        <f>Table10[[#This Row],[Profit]]/Table10[[#This Row],[Sales]]</f>
        <v>0.36249999999999999</v>
      </c>
    </row>
    <row r="2409" spans="1:22" x14ac:dyDescent="0.2">
      <c r="A2409">
        <v>2408</v>
      </c>
      <c r="B2409" t="s">
        <v>9997</v>
      </c>
      <c r="C2409" s="1">
        <v>42715</v>
      </c>
      <c r="D2409" s="22">
        <f>MONTH(Table10[[#This Row],[Order Date]])</f>
        <v>12</v>
      </c>
      <c r="E2409" t="s">
        <v>70</v>
      </c>
      <c r="F2409" t="s">
        <v>72</v>
      </c>
      <c r="G2409" s="23" t="s">
        <v>41</v>
      </c>
      <c r="H2409" s="23" t="s">
        <v>71</v>
      </c>
      <c r="I2409" t="s">
        <v>2049</v>
      </c>
      <c r="J2409" t="s">
        <v>36</v>
      </c>
      <c r="K2409" s="22">
        <v>4</v>
      </c>
      <c r="L2409" s="1">
        <v>42718</v>
      </c>
      <c r="M2409" s="22">
        <f>Table10[[#This Row],[Ship Date]]-Table10[[#This Row],[Order Date]]</f>
        <v>3</v>
      </c>
      <c r="N2409" t="s">
        <v>169</v>
      </c>
      <c r="O2409" t="s">
        <v>23</v>
      </c>
      <c r="P2409" t="s">
        <v>441</v>
      </c>
      <c r="Q2409" t="s">
        <v>133</v>
      </c>
      <c r="R2409" t="s">
        <v>284</v>
      </c>
      <c r="S2409" s="33">
        <v>0.2</v>
      </c>
      <c r="T2409" s="13">
        <v>73.536000000000001</v>
      </c>
      <c r="U2409" s="13">
        <v>9.1920000000000002</v>
      </c>
      <c r="V2409" s="21">
        <f>Table10[[#This Row],[Profit]]/Table10[[#This Row],[Sales]]</f>
        <v>0.125</v>
      </c>
    </row>
    <row r="2410" spans="1:22" x14ac:dyDescent="0.2">
      <c r="A2410">
        <v>2409</v>
      </c>
      <c r="B2410" t="s">
        <v>6441</v>
      </c>
      <c r="C2410" s="1">
        <v>42716</v>
      </c>
      <c r="D2410" s="22">
        <f>MONTH(Table10[[#This Row],[Order Date]])</f>
        <v>12</v>
      </c>
      <c r="E2410" t="s">
        <v>1224</v>
      </c>
      <c r="F2410" t="s">
        <v>1225</v>
      </c>
      <c r="G2410" s="23" t="s">
        <v>41</v>
      </c>
      <c r="H2410" s="23" t="s">
        <v>68</v>
      </c>
      <c r="I2410" t="s">
        <v>3605</v>
      </c>
      <c r="J2410" t="s">
        <v>36</v>
      </c>
      <c r="K2410" s="22">
        <v>3</v>
      </c>
      <c r="L2410" s="1">
        <v>42716</v>
      </c>
      <c r="M2410" s="22">
        <f>Table10[[#This Row],[Ship Date]]-Table10[[#This Row],[Order Date]]</f>
        <v>0</v>
      </c>
      <c r="N2410" t="s">
        <v>1141</v>
      </c>
      <c r="O2410" t="s">
        <v>23</v>
      </c>
      <c r="P2410" t="s">
        <v>441</v>
      </c>
      <c r="Q2410" t="s">
        <v>133</v>
      </c>
      <c r="R2410" t="s">
        <v>2315</v>
      </c>
      <c r="S2410" s="33">
        <v>0.7</v>
      </c>
      <c r="T2410" s="13">
        <v>18.693000000000001</v>
      </c>
      <c r="U2410" s="13">
        <v>-14.331300000000001</v>
      </c>
      <c r="V2410" s="21">
        <f>Table10[[#This Row],[Profit]]/Table10[[#This Row],[Sales]]</f>
        <v>-0.76666666666666661</v>
      </c>
    </row>
    <row r="2411" spans="1:22" x14ac:dyDescent="0.2">
      <c r="A2411">
        <v>2410</v>
      </c>
      <c r="B2411" t="s">
        <v>6441</v>
      </c>
      <c r="C2411" s="1">
        <v>42716</v>
      </c>
      <c r="D2411" s="22">
        <f>MONTH(Table10[[#This Row],[Order Date]])</f>
        <v>12</v>
      </c>
      <c r="E2411" t="s">
        <v>1472</v>
      </c>
      <c r="F2411" t="s">
        <v>1473</v>
      </c>
      <c r="G2411" s="23" t="s">
        <v>64</v>
      </c>
      <c r="H2411" s="23" t="s">
        <v>144</v>
      </c>
      <c r="I2411" t="s">
        <v>3605</v>
      </c>
      <c r="J2411" t="s">
        <v>36</v>
      </c>
      <c r="K2411" s="22">
        <v>6</v>
      </c>
      <c r="L2411" s="1">
        <v>42716</v>
      </c>
      <c r="M2411" s="22">
        <f>Table10[[#This Row],[Ship Date]]-Table10[[#This Row],[Order Date]]</f>
        <v>0</v>
      </c>
      <c r="N2411" t="s">
        <v>1141</v>
      </c>
      <c r="O2411" t="s">
        <v>23</v>
      </c>
      <c r="P2411" t="s">
        <v>441</v>
      </c>
      <c r="Q2411" t="s">
        <v>133</v>
      </c>
      <c r="R2411" t="s">
        <v>2315</v>
      </c>
      <c r="S2411" s="33">
        <v>0.2</v>
      </c>
      <c r="T2411" s="13">
        <v>383.952</v>
      </c>
      <c r="U2411" s="13">
        <v>76.790400000000005</v>
      </c>
      <c r="V2411" s="21">
        <f>Table10[[#This Row],[Profit]]/Table10[[#This Row],[Sales]]</f>
        <v>0.2</v>
      </c>
    </row>
    <row r="2412" spans="1:22" x14ac:dyDescent="0.2">
      <c r="A2412">
        <v>2411</v>
      </c>
      <c r="B2412" t="s">
        <v>6867</v>
      </c>
      <c r="C2412" s="1">
        <v>42716</v>
      </c>
      <c r="D2412" s="22">
        <f>MONTH(Table10[[#This Row],[Order Date]])</f>
        <v>12</v>
      </c>
      <c r="E2412" t="s">
        <v>1839</v>
      </c>
      <c r="F2412" t="s">
        <v>1840</v>
      </c>
      <c r="G2412" s="23" t="s">
        <v>64</v>
      </c>
      <c r="H2412" s="23" t="s">
        <v>65</v>
      </c>
      <c r="I2412" t="s">
        <v>2758</v>
      </c>
      <c r="J2412" t="s">
        <v>92</v>
      </c>
      <c r="K2412" s="22">
        <v>7</v>
      </c>
      <c r="L2412" s="1">
        <v>42722</v>
      </c>
      <c r="M2412" s="22">
        <f>Table10[[#This Row],[Ship Date]]-Table10[[#This Row],[Order Date]]</f>
        <v>6</v>
      </c>
      <c r="N2412" t="s">
        <v>45</v>
      </c>
      <c r="O2412" t="s">
        <v>23</v>
      </c>
      <c r="P2412" t="s">
        <v>212</v>
      </c>
      <c r="Q2412" t="s">
        <v>95</v>
      </c>
      <c r="R2412" t="s">
        <v>293</v>
      </c>
      <c r="S2412" s="33">
        <v>0</v>
      </c>
      <c r="T2412" s="13">
        <v>657.93</v>
      </c>
      <c r="U2412" s="13">
        <v>184.22040000000001</v>
      </c>
      <c r="V2412" s="21">
        <f>Table10[[#This Row],[Profit]]/Table10[[#This Row],[Sales]]</f>
        <v>0.28000000000000003</v>
      </c>
    </row>
    <row r="2413" spans="1:22" x14ac:dyDescent="0.2">
      <c r="A2413">
        <v>2412</v>
      </c>
      <c r="B2413" t="s">
        <v>6867</v>
      </c>
      <c r="C2413" s="1">
        <v>42716</v>
      </c>
      <c r="D2413" s="22">
        <f>MONTH(Table10[[#This Row],[Order Date]])</f>
        <v>12</v>
      </c>
      <c r="E2413" t="s">
        <v>3096</v>
      </c>
      <c r="F2413" t="s">
        <v>3097</v>
      </c>
      <c r="G2413" s="23" t="s">
        <v>28</v>
      </c>
      <c r="H2413" s="23" t="s">
        <v>58</v>
      </c>
      <c r="I2413" t="s">
        <v>2758</v>
      </c>
      <c r="J2413" t="s">
        <v>92</v>
      </c>
      <c r="K2413" s="22">
        <v>4</v>
      </c>
      <c r="L2413" s="1">
        <v>42722</v>
      </c>
      <c r="M2413" s="22">
        <f>Table10[[#This Row],[Ship Date]]-Table10[[#This Row],[Order Date]]</f>
        <v>6</v>
      </c>
      <c r="N2413" t="s">
        <v>45</v>
      </c>
      <c r="O2413" t="s">
        <v>23</v>
      </c>
      <c r="P2413" t="s">
        <v>212</v>
      </c>
      <c r="Q2413" t="s">
        <v>95</v>
      </c>
      <c r="R2413" t="s">
        <v>293</v>
      </c>
      <c r="S2413" s="33">
        <v>0</v>
      </c>
      <c r="T2413" s="13">
        <v>33.479999999999997</v>
      </c>
      <c r="U2413" s="13">
        <v>8.7048000000000005</v>
      </c>
      <c r="V2413" s="21">
        <f>Table10[[#This Row],[Profit]]/Table10[[#This Row],[Sales]]</f>
        <v>0.26000000000000006</v>
      </c>
    </row>
    <row r="2414" spans="1:22" x14ac:dyDescent="0.2">
      <c r="A2414">
        <v>2413</v>
      </c>
      <c r="B2414" t="s">
        <v>6867</v>
      </c>
      <c r="C2414" s="1">
        <v>42716</v>
      </c>
      <c r="D2414" s="22">
        <f>MONTH(Table10[[#This Row],[Order Date]])</f>
        <v>12</v>
      </c>
      <c r="E2414" t="s">
        <v>1134</v>
      </c>
      <c r="F2414" t="s">
        <v>1135</v>
      </c>
      <c r="G2414" s="23" t="s">
        <v>41</v>
      </c>
      <c r="H2414" s="23" t="s">
        <v>61</v>
      </c>
      <c r="I2414" t="s">
        <v>2758</v>
      </c>
      <c r="J2414" t="s">
        <v>92</v>
      </c>
      <c r="K2414" s="22">
        <v>5</v>
      </c>
      <c r="L2414" s="1">
        <v>42722</v>
      </c>
      <c r="M2414" s="22">
        <f>Table10[[#This Row],[Ship Date]]-Table10[[#This Row],[Order Date]]</f>
        <v>6</v>
      </c>
      <c r="N2414" t="s">
        <v>45</v>
      </c>
      <c r="O2414" t="s">
        <v>23</v>
      </c>
      <c r="P2414" t="s">
        <v>212</v>
      </c>
      <c r="Q2414" t="s">
        <v>95</v>
      </c>
      <c r="R2414" t="s">
        <v>293</v>
      </c>
      <c r="S2414" s="33">
        <v>0</v>
      </c>
      <c r="T2414" s="13">
        <v>13.9</v>
      </c>
      <c r="U2414" s="13">
        <v>3.6139999999999999</v>
      </c>
      <c r="V2414" s="21">
        <f>Table10[[#This Row],[Profit]]/Table10[[#This Row],[Sales]]</f>
        <v>0.26</v>
      </c>
    </row>
    <row r="2415" spans="1:22" x14ac:dyDescent="0.2">
      <c r="A2415">
        <v>2414</v>
      </c>
      <c r="B2415" t="s">
        <v>6867</v>
      </c>
      <c r="C2415" s="1">
        <v>42716</v>
      </c>
      <c r="D2415" s="22">
        <f>MONTH(Table10[[#This Row],[Order Date]])</f>
        <v>12</v>
      </c>
      <c r="E2415" t="s">
        <v>6868</v>
      </c>
      <c r="F2415" t="s">
        <v>6869</v>
      </c>
      <c r="G2415" s="23" t="s">
        <v>41</v>
      </c>
      <c r="H2415" s="23" t="s">
        <v>53</v>
      </c>
      <c r="I2415" t="s">
        <v>2758</v>
      </c>
      <c r="J2415" t="s">
        <v>92</v>
      </c>
      <c r="K2415" s="22">
        <v>2</v>
      </c>
      <c r="L2415" s="1">
        <v>42722</v>
      </c>
      <c r="M2415" s="22">
        <f>Table10[[#This Row],[Ship Date]]-Table10[[#This Row],[Order Date]]</f>
        <v>6</v>
      </c>
      <c r="N2415" t="s">
        <v>45</v>
      </c>
      <c r="O2415" t="s">
        <v>23</v>
      </c>
      <c r="P2415" t="s">
        <v>212</v>
      </c>
      <c r="Q2415" t="s">
        <v>95</v>
      </c>
      <c r="R2415" t="s">
        <v>293</v>
      </c>
      <c r="S2415" s="33">
        <v>0</v>
      </c>
      <c r="T2415" s="13">
        <v>26.86</v>
      </c>
      <c r="U2415" s="13">
        <v>6.7149999999999999</v>
      </c>
      <c r="V2415" s="21">
        <f>Table10[[#This Row],[Profit]]/Table10[[#This Row],[Sales]]</f>
        <v>0.25</v>
      </c>
    </row>
    <row r="2416" spans="1:22" x14ac:dyDescent="0.2">
      <c r="A2416">
        <v>2415</v>
      </c>
      <c r="B2416" t="s">
        <v>7340</v>
      </c>
      <c r="C2416" s="1">
        <v>42716</v>
      </c>
      <c r="D2416" s="22">
        <f>MONTH(Table10[[#This Row],[Order Date]])</f>
        <v>12</v>
      </c>
      <c r="E2416" t="s">
        <v>3312</v>
      </c>
      <c r="F2416" t="s">
        <v>3313</v>
      </c>
      <c r="G2416" s="23" t="s">
        <v>64</v>
      </c>
      <c r="H2416" s="23" t="s">
        <v>144</v>
      </c>
      <c r="I2416" t="s">
        <v>5639</v>
      </c>
      <c r="J2416" t="s">
        <v>22</v>
      </c>
      <c r="K2416" s="22">
        <v>5</v>
      </c>
      <c r="L2416" s="1">
        <v>42722</v>
      </c>
      <c r="M2416" s="22">
        <f>Table10[[#This Row],[Ship Date]]-Table10[[#This Row],[Order Date]]</f>
        <v>6</v>
      </c>
      <c r="N2416" t="s">
        <v>45</v>
      </c>
      <c r="O2416" t="s">
        <v>23</v>
      </c>
      <c r="P2416" t="s">
        <v>1125</v>
      </c>
      <c r="Q2416" t="s">
        <v>26</v>
      </c>
      <c r="R2416" t="s">
        <v>440</v>
      </c>
      <c r="S2416" s="33">
        <v>0</v>
      </c>
      <c r="T2416" s="13">
        <v>249.95</v>
      </c>
      <c r="U2416" s="13">
        <v>19.995999999999999</v>
      </c>
      <c r="V2416" s="21">
        <f>Table10[[#This Row],[Profit]]/Table10[[#This Row],[Sales]]</f>
        <v>0.08</v>
      </c>
    </row>
    <row r="2417" spans="1:22" x14ac:dyDescent="0.2">
      <c r="A2417">
        <v>2416</v>
      </c>
      <c r="B2417" t="s">
        <v>7340</v>
      </c>
      <c r="C2417" s="1">
        <v>42716</v>
      </c>
      <c r="D2417" s="22">
        <f>MONTH(Table10[[#This Row],[Order Date]])</f>
        <v>12</v>
      </c>
      <c r="E2417" t="s">
        <v>5657</v>
      </c>
      <c r="F2417" t="s">
        <v>5658</v>
      </c>
      <c r="G2417" s="23" t="s">
        <v>41</v>
      </c>
      <c r="H2417" s="23" t="s">
        <v>82</v>
      </c>
      <c r="I2417" t="s">
        <v>5639</v>
      </c>
      <c r="J2417" t="s">
        <v>22</v>
      </c>
      <c r="K2417" s="22">
        <v>4</v>
      </c>
      <c r="L2417" s="1">
        <v>42722</v>
      </c>
      <c r="M2417" s="22">
        <f>Table10[[#This Row],[Ship Date]]-Table10[[#This Row],[Order Date]]</f>
        <v>6</v>
      </c>
      <c r="N2417" t="s">
        <v>45</v>
      </c>
      <c r="O2417" t="s">
        <v>23</v>
      </c>
      <c r="P2417" t="s">
        <v>1125</v>
      </c>
      <c r="Q2417" t="s">
        <v>26</v>
      </c>
      <c r="R2417" t="s">
        <v>440</v>
      </c>
      <c r="S2417" s="33">
        <v>0</v>
      </c>
      <c r="T2417" s="13">
        <v>49.12</v>
      </c>
      <c r="U2417" s="13">
        <v>23.086400000000001</v>
      </c>
      <c r="V2417" s="21">
        <f>Table10[[#This Row],[Profit]]/Table10[[#This Row],[Sales]]</f>
        <v>0.47000000000000003</v>
      </c>
    </row>
    <row r="2418" spans="1:22" x14ac:dyDescent="0.2">
      <c r="A2418">
        <v>2417</v>
      </c>
      <c r="B2418" t="s">
        <v>7576</v>
      </c>
      <c r="C2418" s="1">
        <v>42716</v>
      </c>
      <c r="D2418" s="22">
        <f>MONTH(Table10[[#This Row],[Order Date]])</f>
        <v>12</v>
      </c>
      <c r="E2418" t="s">
        <v>1517</v>
      </c>
      <c r="F2418" t="s">
        <v>1518</v>
      </c>
      <c r="G2418" s="23" t="s">
        <v>28</v>
      </c>
      <c r="H2418" s="23" t="s">
        <v>58</v>
      </c>
      <c r="I2418" t="s">
        <v>1260</v>
      </c>
      <c r="J2418" t="s">
        <v>22</v>
      </c>
      <c r="K2418" s="22">
        <v>6</v>
      </c>
      <c r="L2418" s="1">
        <v>42720</v>
      </c>
      <c r="M2418" s="22">
        <f>Table10[[#This Row],[Ship Date]]-Table10[[#This Row],[Order Date]]</f>
        <v>4</v>
      </c>
      <c r="N2418" t="s">
        <v>45</v>
      </c>
      <c r="O2418" t="s">
        <v>23</v>
      </c>
      <c r="P2418" t="s">
        <v>38</v>
      </c>
      <c r="Q2418" t="s">
        <v>39</v>
      </c>
      <c r="R2418" t="s">
        <v>533</v>
      </c>
      <c r="S2418" s="33">
        <v>0</v>
      </c>
      <c r="T2418" s="13">
        <v>383.64</v>
      </c>
      <c r="U2418" s="13">
        <v>122.76479999999999</v>
      </c>
      <c r="V2418" s="21">
        <f>Table10[[#This Row],[Profit]]/Table10[[#This Row],[Sales]]</f>
        <v>0.32</v>
      </c>
    </row>
    <row r="2419" spans="1:22" x14ac:dyDescent="0.2">
      <c r="A2419">
        <v>2418</v>
      </c>
      <c r="B2419" t="s">
        <v>7576</v>
      </c>
      <c r="C2419" s="1">
        <v>42716</v>
      </c>
      <c r="D2419" s="22">
        <f>MONTH(Table10[[#This Row],[Order Date]])</f>
        <v>12</v>
      </c>
      <c r="E2419" t="s">
        <v>1884</v>
      </c>
      <c r="F2419" t="s">
        <v>1885</v>
      </c>
      <c r="G2419" s="23" t="s">
        <v>41</v>
      </c>
      <c r="H2419" s="23" t="s">
        <v>71</v>
      </c>
      <c r="I2419" t="s">
        <v>1260</v>
      </c>
      <c r="J2419" t="s">
        <v>22</v>
      </c>
      <c r="K2419" s="22">
        <v>3</v>
      </c>
      <c r="L2419" s="1">
        <v>42720</v>
      </c>
      <c r="M2419" s="22">
        <f>Table10[[#This Row],[Ship Date]]-Table10[[#This Row],[Order Date]]</f>
        <v>4</v>
      </c>
      <c r="N2419" t="s">
        <v>45</v>
      </c>
      <c r="O2419" t="s">
        <v>23</v>
      </c>
      <c r="P2419" t="s">
        <v>38</v>
      </c>
      <c r="Q2419" t="s">
        <v>39</v>
      </c>
      <c r="R2419" t="s">
        <v>533</v>
      </c>
      <c r="S2419" s="33">
        <v>0</v>
      </c>
      <c r="T2419" s="13">
        <v>56.52</v>
      </c>
      <c r="U2419" s="13">
        <v>15.8256</v>
      </c>
      <c r="V2419" s="21">
        <f>Table10[[#This Row],[Profit]]/Table10[[#This Row],[Sales]]</f>
        <v>0.27999999999999997</v>
      </c>
    </row>
    <row r="2420" spans="1:22" x14ac:dyDescent="0.2">
      <c r="A2420">
        <v>2419</v>
      </c>
      <c r="B2420" t="s">
        <v>10118</v>
      </c>
      <c r="C2420" s="1">
        <v>42716</v>
      </c>
      <c r="D2420" s="22">
        <f>MONTH(Table10[[#This Row],[Order Date]])</f>
        <v>12</v>
      </c>
      <c r="E2420" t="s">
        <v>1517</v>
      </c>
      <c r="F2420" t="s">
        <v>7389</v>
      </c>
      <c r="G2420" s="23" t="s">
        <v>28</v>
      </c>
      <c r="H2420" s="23" t="s">
        <v>58</v>
      </c>
      <c r="I2420" t="s">
        <v>2725</v>
      </c>
      <c r="J2420" t="s">
        <v>36</v>
      </c>
      <c r="K2420" s="22">
        <v>5</v>
      </c>
      <c r="L2420" s="1">
        <v>42721</v>
      </c>
      <c r="M2420" s="22">
        <f>Table10[[#This Row],[Ship Date]]-Table10[[#This Row],[Order Date]]</f>
        <v>5</v>
      </c>
      <c r="N2420" t="s">
        <v>45</v>
      </c>
      <c r="O2420" t="s">
        <v>23</v>
      </c>
      <c r="P2420" t="s">
        <v>238</v>
      </c>
      <c r="Q2420" t="s">
        <v>133</v>
      </c>
      <c r="R2420" t="s">
        <v>237</v>
      </c>
      <c r="S2420" s="33">
        <v>0</v>
      </c>
      <c r="T2420" s="13">
        <v>60.35</v>
      </c>
      <c r="U2420" s="13">
        <v>19.915500000000002</v>
      </c>
      <c r="V2420" s="21">
        <f>Table10[[#This Row],[Profit]]/Table10[[#This Row],[Sales]]</f>
        <v>0.33</v>
      </c>
    </row>
    <row r="2421" spans="1:22" x14ac:dyDescent="0.2">
      <c r="A2421">
        <v>2420</v>
      </c>
      <c r="B2421" t="s">
        <v>10118</v>
      </c>
      <c r="C2421" s="1">
        <v>42716</v>
      </c>
      <c r="D2421" s="22">
        <f>MONTH(Table10[[#This Row],[Order Date]])</f>
        <v>12</v>
      </c>
      <c r="E2421" t="s">
        <v>4622</v>
      </c>
      <c r="F2421" t="s">
        <v>4623</v>
      </c>
      <c r="G2421" s="23" t="s">
        <v>41</v>
      </c>
      <c r="H2421" s="23" t="s">
        <v>513</v>
      </c>
      <c r="I2421" t="s">
        <v>2725</v>
      </c>
      <c r="J2421" t="s">
        <v>36</v>
      </c>
      <c r="K2421" s="22">
        <v>4</v>
      </c>
      <c r="L2421" s="1">
        <v>42721</v>
      </c>
      <c r="M2421" s="22">
        <f>Table10[[#This Row],[Ship Date]]-Table10[[#This Row],[Order Date]]</f>
        <v>5</v>
      </c>
      <c r="N2421" t="s">
        <v>45</v>
      </c>
      <c r="O2421" t="s">
        <v>23</v>
      </c>
      <c r="P2421" t="s">
        <v>238</v>
      </c>
      <c r="Q2421" t="s">
        <v>133</v>
      </c>
      <c r="R2421" t="s">
        <v>237</v>
      </c>
      <c r="S2421" s="33">
        <v>0</v>
      </c>
      <c r="T2421" s="13">
        <v>35.520000000000003</v>
      </c>
      <c r="U2421" s="13">
        <v>9.9456000000000007</v>
      </c>
      <c r="V2421" s="21">
        <f>Table10[[#This Row],[Profit]]/Table10[[#This Row],[Sales]]</f>
        <v>0.27999999999999997</v>
      </c>
    </row>
    <row r="2422" spans="1:22" x14ac:dyDescent="0.2">
      <c r="A2422">
        <v>2421</v>
      </c>
      <c r="B2422" t="s">
        <v>10118</v>
      </c>
      <c r="C2422" s="1">
        <v>42716</v>
      </c>
      <c r="D2422" s="22">
        <f>MONTH(Table10[[#This Row],[Order Date]])</f>
        <v>12</v>
      </c>
      <c r="E2422" t="s">
        <v>3089</v>
      </c>
      <c r="F2422" t="s">
        <v>3090</v>
      </c>
      <c r="G2422" s="23" t="s">
        <v>41</v>
      </c>
      <c r="H2422" s="23" t="s">
        <v>61</v>
      </c>
      <c r="I2422" t="s">
        <v>2725</v>
      </c>
      <c r="J2422" t="s">
        <v>36</v>
      </c>
      <c r="K2422" s="22">
        <v>7</v>
      </c>
      <c r="L2422" s="1">
        <v>42721</v>
      </c>
      <c r="M2422" s="22">
        <f>Table10[[#This Row],[Ship Date]]-Table10[[#This Row],[Order Date]]</f>
        <v>5</v>
      </c>
      <c r="N2422" t="s">
        <v>45</v>
      </c>
      <c r="O2422" t="s">
        <v>23</v>
      </c>
      <c r="P2422" t="s">
        <v>238</v>
      </c>
      <c r="Q2422" t="s">
        <v>133</v>
      </c>
      <c r="R2422" t="s">
        <v>237</v>
      </c>
      <c r="S2422" s="33">
        <v>0</v>
      </c>
      <c r="T2422" s="13">
        <v>11.2</v>
      </c>
      <c r="U2422" s="13">
        <v>4.8159999999999998</v>
      </c>
      <c r="V2422" s="21">
        <f>Table10[[#This Row],[Profit]]/Table10[[#This Row],[Sales]]</f>
        <v>0.43</v>
      </c>
    </row>
    <row r="2423" spans="1:22" x14ac:dyDescent="0.2">
      <c r="A2423">
        <v>2422</v>
      </c>
      <c r="B2423" t="s">
        <v>1397</v>
      </c>
      <c r="C2423" s="1">
        <v>42717</v>
      </c>
      <c r="D2423" s="22">
        <f>MONTH(Table10[[#This Row],[Order Date]])</f>
        <v>12</v>
      </c>
      <c r="E2423" t="s">
        <v>1399</v>
      </c>
      <c r="F2423" t="s">
        <v>1400</v>
      </c>
      <c r="G2423" s="23" t="s">
        <v>64</v>
      </c>
      <c r="H2423" s="23" t="s">
        <v>144</v>
      </c>
      <c r="I2423" t="s">
        <v>1330</v>
      </c>
      <c r="J2423" t="s">
        <v>36</v>
      </c>
      <c r="K2423" s="22">
        <v>4</v>
      </c>
      <c r="L2423" s="1">
        <v>42721</v>
      </c>
      <c r="M2423" s="22">
        <f>Table10[[#This Row],[Ship Date]]-Table10[[#This Row],[Order Date]]</f>
        <v>4</v>
      </c>
      <c r="N2423" t="s">
        <v>45</v>
      </c>
      <c r="O2423" t="s">
        <v>23</v>
      </c>
      <c r="P2423" t="s">
        <v>573</v>
      </c>
      <c r="Q2423" t="s">
        <v>95</v>
      </c>
      <c r="R2423" t="s">
        <v>1398</v>
      </c>
      <c r="S2423" s="33">
        <v>0</v>
      </c>
      <c r="T2423" s="13">
        <v>63.88</v>
      </c>
      <c r="U2423" s="13">
        <v>24.9132</v>
      </c>
      <c r="V2423" s="21">
        <f>Table10[[#This Row],[Profit]]/Table10[[#This Row],[Sales]]</f>
        <v>0.38999999999999996</v>
      </c>
    </row>
    <row r="2424" spans="1:22" x14ac:dyDescent="0.2">
      <c r="A2424">
        <v>2423</v>
      </c>
      <c r="B2424" t="s">
        <v>2522</v>
      </c>
      <c r="C2424" s="1">
        <v>42717</v>
      </c>
      <c r="D2424" s="22">
        <f>MONTH(Table10[[#This Row],[Order Date]])</f>
        <v>12</v>
      </c>
      <c r="E2424" t="s">
        <v>2524</v>
      </c>
      <c r="F2424" t="s">
        <v>2525</v>
      </c>
      <c r="G2424" s="23" t="s">
        <v>41</v>
      </c>
      <c r="H2424" s="23" t="s">
        <v>68</v>
      </c>
      <c r="I2424" t="s">
        <v>2472</v>
      </c>
      <c r="J2424" t="s">
        <v>36</v>
      </c>
      <c r="K2424" s="22">
        <v>2</v>
      </c>
      <c r="L2424" s="1">
        <v>42724</v>
      </c>
      <c r="M2424" s="22">
        <f>Table10[[#This Row],[Ship Date]]-Table10[[#This Row],[Order Date]]</f>
        <v>7</v>
      </c>
      <c r="N2424" t="s">
        <v>45</v>
      </c>
      <c r="O2424" t="s">
        <v>23</v>
      </c>
      <c r="P2424" t="s">
        <v>38</v>
      </c>
      <c r="Q2424" t="s">
        <v>39</v>
      </c>
      <c r="R2424" t="s">
        <v>2523</v>
      </c>
      <c r="S2424" s="33">
        <v>0.2</v>
      </c>
      <c r="T2424" s="13">
        <v>6.0960000000000001</v>
      </c>
      <c r="U2424" s="13">
        <v>2.2098</v>
      </c>
      <c r="V2424" s="21">
        <f>Table10[[#This Row],[Profit]]/Table10[[#This Row],[Sales]]</f>
        <v>0.36249999999999999</v>
      </c>
    </row>
    <row r="2425" spans="1:22" x14ac:dyDescent="0.2">
      <c r="A2425">
        <v>2424</v>
      </c>
      <c r="B2425" t="s">
        <v>2522</v>
      </c>
      <c r="C2425" s="1">
        <v>42717</v>
      </c>
      <c r="D2425" s="22">
        <f>MONTH(Table10[[#This Row],[Order Date]])</f>
        <v>12</v>
      </c>
      <c r="E2425" t="s">
        <v>49</v>
      </c>
      <c r="F2425" t="s">
        <v>51</v>
      </c>
      <c r="G2425" s="23" t="s">
        <v>28</v>
      </c>
      <c r="H2425" s="23" t="s">
        <v>50</v>
      </c>
      <c r="I2425" t="s">
        <v>2472</v>
      </c>
      <c r="J2425" t="s">
        <v>36</v>
      </c>
      <c r="K2425" s="22">
        <v>4</v>
      </c>
      <c r="L2425" s="1">
        <v>42724</v>
      </c>
      <c r="M2425" s="22">
        <f>Table10[[#This Row],[Ship Date]]-Table10[[#This Row],[Order Date]]</f>
        <v>7</v>
      </c>
      <c r="N2425" t="s">
        <v>45</v>
      </c>
      <c r="O2425" t="s">
        <v>23</v>
      </c>
      <c r="P2425" t="s">
        <v>38</v>
      </c>
      <c r="Q2425" t="s">
        <v>39</v>
      </c>
      <c r="R2425" t="s">
        <v>2523</v>
      </c>
      <c r="S2425" s="33">
        <v>0.2</v>
      </c>
      <c r="T2425" s="13">
        <v>1114.2719999999999</v>
      </c>
      <c r="U2425" s="13">
        <v>41.785200000000003</v>
      </c>
      <c r="V2425" s="21">
        <f>Table10[[#This Row],[Profit]]/Table10[[#This Row],[Sales]]</f>
        <v>3.7500000000000006E-2</v>
      </c>
    </row>
    <row r="2426" spans="1:22" x14ac:dyDescent="0.2">
      <c r="A2426">
        <v>2425</v>
      </c>
      <c r="B2426" t="s">
        <v>6137</v>
      </c>
      <c r="C2426" s="1">
        <v>42717</v>
      </c>
      <c r="D2426" s="22">
        <f>MONTH(Table10[[#This Row],[Order Date]])</f>
        <v>12</v>
      </c>
      <c r="E2426" t="s">
        <v>1208</v>
      </c>
      <c r="F2426" t="s">
        <v>1209</v>
      </c>
      <c r="G2426" s="23" t="s">
        <v>41</v>
      </c>
      <c r="H2426" s="23" t="s">
        <v>61</v>
      </c>
      <c r="I2426" t="s">
        <v>1603</v>
      </c>
      <c r="J2426" t="s">
        <v>22</v>
      </c>
      <c r="K2426" s="22">
        <v>3</v>
      </c>
      <c r="L2426" s="1">
        <v>42723</v>
      </c>
      <c r="M2426" s="22">
        <f>Table10[[#This Row],[Ship Date]]-Table10[[#This Row],[Order Date]]</f>
        <v>6</v>
      </c>
      <c r="N2426" t="s">
        <v>45</v>
      </c>
      <c r="O2426" t="s">
        <v>23</v>
      </c>
      <c r="P2426" t="s">
        <v>38</v>
      </c>
      <c r="Q2426" t="s">
        <v>39</v>
      </c>
      <c r="R2426" t="s">
        <v>2513</v>
      </c>
      <c r="S2426" s="33">
        <v>0</v>
      </c>
      <c r="T2426" s="13">
        <v>9.84</v>
      </c>
      <c r="U2426" s="13">
        <v>3.2471999999999999</v>
      </c>
      <c r="V2426" s="21">
        <f>Table10[[#This Row],[Profit]]/Table10[[#This Row],[Sales]]</f>
        <v>0.33</v>
      </c>
    </row>
    <row r="2427" spans="1:22" x14ac:dyDescent="0.2">
      <c r="A2427">
        <v>2426</v>
      </c>
      <c r="B2427" t="s">
        <v>5958</v>
      </c>
      <c r="C2427" s="1">
        <v>42718</v>
      </c>
      <c r="D2427" s="22">
        <f>MONTH(Table10[[#This Row],[Order Date]])</f>
        <v>12</v>
      </c>
      <c r="E2427" t="s">
        <v>5065</v>
      </c>
      <c r="F2427" t="s">
        <v>5066</v>
      </c>
      <c r="G2427" s="23" t="s">
        <v>28</v>
      </c>
      <c r="H2427" s="23" t="s">
        <v>58</v>
      </c>
      <c r="I2427" t="s">
        <v>1961</v>
      </c>
      <c r="J2427" t="s">
        <v>22</v>
      </c>
      <c r="K2427" s="22">
        <v>6</v>
      </c>
      <c r="L2427" s="1">
        <v>42723</v>
      </c>
      <c r="M2427" s="22">
        <f>Table10[[#This Row],[Ship Date]]-Table10[[#This Row],[Order Date]]</f>
        <v>5</v>
      </c>
      <c r="N2427" t="s">
        <v>45</v>
      </c>
      <c r="O2427" t="s">
        <v>23</v>
      </c>
      <c r="P2427" t="s">
        <v>1315</v>
      </c>
      <c r="Q2427" t="s">
        <v>26</v>
      </c>
      <c r="R2427" t="s">
        <v>293</v>
      </c>
      <c r="S2427" s="33">
        <v>0</v>
      </c>
      <c r="T2427" s="13">
        <v>133.38</v>
      </c>
      <c r="U2427" s="13">
        <v>58.687199999999997</v>
      </c>
      <c r="V2427" s="21">
        <f>Table10[[#This Row],[Profit]]/Table10[[#This Row],[Sales]]</f>
        <v>0.44</v>
      </c>
    </row>
    <row r="2428" spans="1:22" x14ac:dyDescent="0.2">
      <c r="A2428">
        <v>2427</v>
      </c>
      <c r="B2428" t="s">
        <v>8100</v>
      </c>
      <c r="C2428" s="1">
        <v>42718</v>
      </c>
      <c r="D2428" s="22">
        <f>MONTH(Table10[[#This Row],[Order Date]])</f>
        <v>12</v>
      </c>
      <c r="E2428" t="s">
        <v>5645</v>
      </c>
      <c r="F2428" t="s">
        <v>5646</v>
      </c>
      <c r="G2428" s="23" t="s">
        <v>41</v>
      </c>
      <c r="H2428" s="23" t="s">
        <v>82</v>
      </c>
      <c r="I2428" t="s">
        <v>101</v>
      </c>
      <c r="J2428" t="s">
        <v>22</v>
      </c>
      <c r="K2428" s="22">
        <v>2</v>
      </c>
      <c r="L2428" s="1">
        <v>42723</v>
      </c>
      <c r="M2428" s="22">
        <f>Table10[[#This Row],[Ship Date]]-Table10[[#This Row],[Order Date]]</f>
        <v>5</v>
      </c>
      <c r="N2428" t="s">
        <v>45</v>
      </c>
      <c r="O2428" t="s">
        <v>23</v>
      </c>
      <c r="P2428" t="s">
        <v>238</v>
      </c>
      <c r="Q2428" t="s">
        <v>133</v>
      </c>
      <c r="R2428" t="s">
        <v>237</v>
      </c>
      <c r="S2428" s="33">
        <v>0</v>
      </c>
      <c r="T2428" s="13">
        <v>14.62</v>
      </c>
      <c r="U2428" s="13">
        <v>6.7252000000000001</v>
      </c>
      <c r="V2428" s="21">
        <f>Table10[[#This Row],[Profit]]/Table10[[#This Row],[Sales]]</f>
        <v>0.46</v>
      </c>
    </row>
    <row r="2429" spans="1:22" x14ac:dyDescent="0.2">
      <c r="A2429">
        <v>2428</v>
      </c>
      <c r="B2429" t="s">
        <v>8100</v>
      </c>
      <c r="C2429" s="1">
        <v>42718</v>
      </c>
      <c r="D2429" s="22">
        <f>MONTH(Table10[[#This Row],[Order Date]])</f>
        <v>12</v>
      </c>
      <c r="E2429" t="s">
        <v>4210</v>
      </c>
      <c r="F2429" t="s">
        <v>4211</v>
      </c>
      <c r="G2429" s="23" t="s">
        <v>41</v>
      </c>
      <c r="H2429" s="23" t="s">
        <v>42</v>
      </c>
      <c r="I2429" t="s">
        <v>101</v>
      </c>
      <c r="J2429" t="s">
        <v>22</v>
      </c>
      <c r="K2429" s="22">
        <v>2</v>
      </c>
      <c r="L2429" s="1">
        <v>42723</v>
      </c>
      <c r="M2429" s="22">
        <f>Table10[[#This Row],[Ship Date]]-Table10[[#This Row],[Order Date]]</f>
        <v>5</v>
      </c>
      <c r="N2429" t="s">
        <v>45</v>
      </c>
      <c r="O2429" t="s">
        <v>23</v>
      </c>
      <c r="P2429" t="s">
        <v>238</v>
      </c>
      <c r="Q2429" t="s">
        <v>133</v>
      </c>
      <c r="R2429" t="s">
        <v>237</v>
      </c>
      <c r="S2429" s="33">
        <v>0</v>
      </c>
      <c r="T2429" s="13">
        <v>5.76</v>
      </c>
      <c r="U2429" s="13">
        <v>2.8224</v>
      </c>
      <c r="V2429" s="21">
        <f>Table10[[#This Row],[Profit]]/Table10[[#This Row],[Sales]]</f>
        <v>0.49000000000000005</v>
      </c>
    </row>
    <row r="2430" spans="1:22" x14ac:dyDescent="0.2">
      <c r="A2430">
        <v>2429</v>
      </c>
      <c r="B2430" t="s">
        <v>8100</v>
      </c>
      <c r="C2430" s="1">
        <v>42718</v>
      </c>
      <c r="D2430" s="22">
        <f>MONTH(Table10[[#This Row],[Order Date]])</f>
        <v>12</v>
      </c>
      <c r="E2430" t="s">
        <v>442</v>
      </c>
      <c r="F2430" t="s">
        <v>443</v>
      </c>
      <c r="G2430" s="23" t="s">
        <v>41</v>
      </c>
      <c r="H2430" s="23" t="s">
        <v>240</v>
      </c>
      <c r="I2430" t="s">
        <v>101</v>
      </c>
      <c r="J2430" t="s">
        <v>22</v>
      </c>
      <c r="K2430" s="22">
        <v>6</v>
      </c>
      <c r="L2430" s="1">
        <v>42723</v>
      </c>
      <c r="M2430" s="22">
        <f>Table10[[#This Row],[Ship Date]]-Table10[[#This Row],[Order Date]]</f>
        <v>5</v>
      </c>
      <c r="N2430" t="s">
        <v>45</v>
      </c>
      <c r="O2430" t="s">
        <v>23</v>
      </c>
      <c r="P2430" t="s">
        <v>238</v>
      </c>
      <c r="Q2430" t="s">
        <v>133</v>
      </c>
      <c r="R2430" t="s">
        <v>237</v>
      </c>
      <c r="S2430" s="33">
        <v>0</v>
      </c>
      <c r="T2430" s="13">
        <v>21.48</v>
      </c>
      <c r="U2430" s="13">
        <v>10.5252</v>
      </c>
      <c r="V2430" s="21">
        <f>Table10[[#This Row],[Profit]]/Table10[[#This Row],[Sales]]</f>
        <v>0.49</v>
      </c>
    </row>
    <row r="2431" spans="1:22" x14ac:dyDescent="0.2">
      <c r="A2431">
        <v>2430</v>
      </c>
      <c r="B2431" t="s">
        <v>8100</v>
      </c>
      <c r="C2431" s="1">
        <v>42718</v>
      </c>
      <c r="D2431" s="22">
        <f>MONTH(Table10[[#This Row],[Order Date]])</f>
        <v>12</v>
      </c>
      <c r="E2431" t="s">
        <v>3756</v>
      </c>
      <c r="F2431" t="s">
        <v>3757</v>
      </c>
      <c r="G2431" s="23" t="s">
        <v>28</v>
      </c>
      <c r="H2431" s="23" t="s">
        <v>58</v>
      </c>
      <c r="I2431" t="s">
        <v>101</v>
      </c>
      <c r="J2431" t="s">
        <v>22</v>
      </c>
      <c r="K2431" s="22">
        <v>4</v>
      </c>
      <c r="L2431" s="1">
        <v>42723</v>
      </c>
      <c r="M2431" s="22">
        <f>Table10[[#This Row],[Ship Date]]-Table10[[#This Row],[Order Date]]</f>
        <v>5</v>
      </c>
      <c r="N2431" t="s">
        <v>45</v>
      </c>
      <c r="O2431" t="s">
        <v>23</v>
      </c>
      <c r="P2431" t="s">
        <v>238</v>
      </c>
      <c r="Q2431" t="s">
        <v>133</v>
      </c>
      <c r="R2431" t="s">
        <v>237</v>
      </c>
      <c r="S2431" s="33">
        <v>0</v>
      </c>
      <c r="T2431" s="13">
        <v>396.92</v>
      </c>
      <c r="U2431" s="13">
        <v>198.46</v>
      </c>
      <c r="V2431" s="21">
        <f>Table10[[#This Row],[Profit]]/Table10[[#This Row],[Sales]]</f>
        <v>0.5</v>
      </c>
    </row>
    <row r="2432" spans="1:22" x14ac:dyDescent="0.2">
      <c r="A2432">
        <v>2431</v>
      </c>
      <c r="B2432" t="s">
        <v>8100</v>
      </c>
      <c r="C2432" s="1">
        <v>42718</v>
      </c>
      <c r="D2432" s="22">
        <f>MONTH(Table10[[#This Row],[Order Date]])</f>
        <v>12</v>
      </c>
      <c r="E2432" t="s">
        <v>1564</v>
      </c>
      <c r="F2432" t="s">
        <v>1565</v>
      </c>
      <c r="G2432" s="23" t="s">
        <v>41</v>
      </c>
      <c r="H2432" s="23" t="s">
        <v>53</v>
      </c>
      <c r="I2432" t="s">
        <v>101</v>
      </c>
      <c r="J2432" t="s">
        <v>22</v>
      </c>
      <c r="K2432" s="22">
        <v>1</v>
      </c>
      <c r="L2432" s="1">
        <v>42723</v>
      </c>
      <c r="M2432" s="22">
        <f>Table10[[#This Row],[Ship Date]]-Table10[[#This Row],[Order Date]]</f>
        <v>5</v>
      </c>
      <c r="N2432" t="s">
        <v>45</v>
      </c>
      <c r="O2432" t="s">
        <v>23</v>
      </c>
      <c r="P2432" t="s">
        <v>238</v>
      </c>
      <c r="Q2432" t="s">
        <v>133</v>
      </c>
      <c r="R2432" t="s">
        <v>237</v>
      </c>
      <c r="S2432" s="33">
        <v>0</v>
      </c>
      <c r="T2432" s="13">
        <v>17.149999999999999</v>
      </c>
      <c r="U2432" s="13">
        <v>4.6304999999999996</v>
      </c>
      <c r="V2432" s="21">
        <f>Table10[[#This Row],[Profit]]/Table10[[#This Row],[Sales]]</f>
        <v>0.27</v>
      </c>
    </row>
    <row r="2433" spans="1:22" x14ac:dyDescent="0.2">
      <c r="A2433">
        <v>2432</v>
      </c>
      <c r="B2433" t="s">
        <v>8100</v>
      </c>
      <c r="C2433" s="1">
        <v>42718</v>
      </c>
      <c r="D2433" s="22">
        <f>MONTH(Table10[[#This Row],[Order Date]])</f>
        <v>12</v>
      </c>
      <c r="E2433" t="s">
        <v>8101</v>
      </c>
      <c r="F2433" t="s">
        <v>8102</v>
      </c>
      <c r="G2433" s="23" t="s">
        <v>41</v>
      </c>
      <c r="H2433" s="23" t="s">
        <v>68</v>
      </c>
      <c r="I2433" t="s">
        <v>101</v>
      </c>
      <c r="J2433" t="s">
        <v>22</v>
      </c>
      <c r="K2433" s="22">
        <v>2</v>
      </c>
      <c r="L2433" s="1">
        <v>42723</v>
      </c>
      <c r="M2433" s="22">
        <f>Table10[[#This Row],[Ship Date]]-Table10[[#This Row],[Order Date]]</f>
        <v>5</v>
      </c>
      <c r="N2433" t="s">
        <v>45</v>
      </c>
      <c r="O2433" t="s">
        <v>23</v>
      </c>
      <c r="P2433" t="s">
        <v>238</v>
      </c>
      <c r="Q2433" t="s">
        <v>133</v>
      </c>
      <c r="R2433" t="s">
        <v>237</v>
      </c>
      <c r="S2433" s="33">
        <v>0.2</v>
      </c>
      <c r="T2433" s="13">
        <v>23.12</v>
      </c>
      <c r="U2433" s="13">
        <v>7.8029999999999999</v>
      </c>
      <c r="V2433" s="21">
        <f>Table10[[#This Row],[Profit]]/Table10[[#This Row],[Sales]]</f>
        <v>0.33749999999999997</v>
      </c>
    </row>
    <row r="2434" spans="1:22" x14ac:dyDescent="0.2">
      <c r="A2434">
        <v>2433</v>
      </c>
      <c r="B2434" t="s">
        <v>8971</v>
      </c>
      <c r="C2434" s="1">
        <v>42718</v>
      </c>
      <c r="D2434" s="22">
        <f>MONTH(Table10[[#This Row],[Order Date]])</f>
        <v>12</v>
      </c>
      <c r="E2434" t="s">
        <v>272</v>
      </c>
      <c r="F2434" t="s">
        <v>488</v>
      </c>
      <c r="G2434" s="23" t="s">
        <v>28</v>
      </c>
      <c r="H2434" s="23" t="s">
        <v>32</v>
      </c>
      <c r="I2434" t="s">
        <v>774</v>
      </c>
      <c r="J2434" t="s">
        <v>36</v>
      </c>
      <c r="K2434" s="22">
        <v>2</v>
      </c>
      <c r="L2434" s="1">
        <v>42721</v>
      </c>
      <c r="M2434" s="22">
        <f>Table10[[#This Row],[Ship Date]]-Table10[[#This Row],[Order Date]]</f>
        <v>3</v>
      </c>
      <c r="N2434" t="s">
        <v>169</v>
      </c>
      <c r="O2434" t="s">
        <v>23</v>
      </c>
      <c r="P2434" t="s">
        <v>38</v>
      </c>
      <c r="Q2434" t="s">
        <v>39</v>
      </c>
      <c r="R2434" t="s">
        <v>836</v>
      </c>
      <c r="S2434" s="33">
        <v>0.2</v>
      </c>
      <c r="T2434" s="13">
        <v>81.424000000000007</v>
      </c>
      <c r="U2434" s="13">
        <v>-9.1601999999999997</v>
      </c>
      <c r="V2434" s="21">
        <f>Table10[[#This Row],[Profit]]/Table10[[#This Row],[Sales]]</f>
        <v>-0.11249999999999999</v>
      </c>
    </row>
    <row r="2435" spans="1:22" x14ac:dyDescent="0.2">
      <c r="A2435">
        <v>2434</v>
      </c>
      <c r="B2435" t="s">
        <v>8971</v>
      </c>
      <c r="C2435" s="1">
        <v>42718</v>
      </c>
      <c r="D2435" s="22">
        <f>MONTH(Table10[[#This Row],[Order Date]])</f>
        <v>12</v>
      </c>
      <c r="E2435" t="s">
        <v>562</v>
      </c>
      <c r="F2435" t="s">
        <v>563</v>
      </c>
      <c r="G2435" s="23" t="s">
        <v>41</v>
      </c>
      <c r="H2435" s="23" t="s">
        <v>53</v>
      </c>
      <c r="I2435" t="s">
        <v>774</v>
      </c>
      <c r="J2435" t="s">
        <v>36</v>
      </c>
      <c r="K2435" s="22">
        <v>10</v>
      </c>
      <c r="L2435" s="1">
        <v>42721</v>
      </c>
      <c r="M2435" s="22">
        <f>Table10[[#This Row],[Ship Date]]-Table10[[#This Row],[Order Date]]</f>
        <v>3</v>
      </c>
      <c r="N2435" t="s">
        <v>169</v>
      </c>
      <c r="O2435" t="s">
        <v>23</v>
      </c>
      <c r="P2435" t="s">
        <v>38</v>
      </c>
      <c r="Q2435" t="s">
        <v>39</v>
      </c>
      <c r="R2435" t="s">
        <v>836</v>
      </c>
      <c r="S2435" s="33">
        <v>0</v>
      </c>
      <c r="T2435" s="13">
        <v>134.80000000000001</v>
      </c>
      <c r="U2435" s="13">
        <v>35.048000000000002</v>
      </c>
      <c r="V2435" s="21">
        <f>Table10[[#This Row],[Profit]]/Table10[[#This Row],[Sales]]</f>
        <v>0.26</v>
      </c>
    </row>
    <row r="2436" spans="1:22" x14ac:dyDescent="0.2">
      <c r="A2436">
        <v>2435</v>
      </c>
      <c r="B2436" t="s">
        <v>2039</v>
      </c>
      <c r="C2436" s="1">
        <v>42719</v>
      </c>
      <c r="D2436" s="22">
        <f>MONTH(Table10[[#This Row],[Order Date]])</f>
        <v>12</v>
      </c>
      <c r="E2436" t="s">
        <v>2040</v>
      </c>
      <c r="F2436" t="s">
        <v>2041</v>
      </c>
      <c r="G2436" s="23" t="s">
        <v>28</v>
      </c>
      <c r="H2436" s="23" t="s">
        <v>50</v>
      </c>
      <c r="I2436" t="s">
        <v>1307</v>
      </c>
      <c r="J2436" t="s">
        <v>36</v>
      </c>
      <c r="K2436" s="22">
        <v>3</v>
      </c>
      <c r="L2436" s="1">
        <v>42723</v>
      </c>
      <c r="M2436" s="22">
        <f>Table10[[#This Row],[Ship Date]]-Table10[[#This Row],[Order Date]]</f>
        <v>4</v>
      </c>
      <c r="N2436" t="s">
        <v>45</v>
      </c>
      <c r="O2436" t="s">
        <v>23</v>
      </c>
      <c r="P2436" t="s">
        <v>212</v>
      </c>
      <c r="Q2436" t="s">
        <v>95</v>
      </c>
      <c r="R2436" t="s">
        <v>775</v>
      </c>
      <c r="S2436" s="33">
        <v>0</v>
      </c>
      <c r="T2436" s="13">
        <v>1652.94</v>
      </c>
      <c r="U2436" s="13">
        <v>231.41159999999999</v>
      </c>
      <c r="V2436" s="21">
        <f>Table10[[#This Row],[Profit]]/Table10[[#This Row],[Sales]]</f>
        <v>0.13999999999999999</v>
      </c>
    </row>
    <row r="2437" spans="1:22" x14ac:dyDescent="0.2">
      <c r="A2437">
        <v>2436</v>
      </c>
      <c r="B2437" t="s">
        <v>2039</v>
      </c>
      <c r="C2437" s="1">
        <v>42719</v>
      </c>
      <c r="D2437" s="22">
        <f>MONTH(Table10[[#This Row],[Order Date]])</f>
        <v>12</v>
      </c>
      <c r="E2437" t="s">
        <v>2042</v>
      </c>
      <c r="F2437" t="s">
        <v>2043</v>
      </c>
      <c r="G2437" s="23" t="s">
        <v>41</v>
      </c>
      <c r="H2437" s="23" t="s">
        <v>53</v>
      </c>
      <c r="I2437" t="s">
        <v>1307</v>
      </c>
      <c r="J2437" t="s">
        <v>36</v>
      </c>
      <c r="K2437" s="22">
        <v>3</v>
      </c>
      <c r="L2437" s="1">
        <v>42723</v>
      </c>
      <c r="M2437" s="22">
        <f>Table10[[#This Row],[Ship Date]]-Table10[[#This Row],[Order Date]]</f>
        <v>4</v>
      </c>
      <c r="N2437" t="s">
        <v>45</v>
      </c>
      <c r="O2437" t="s">
        <v>23</v>
      </c>
      <c r="P2437" t="s">
        <v>212</v>
      </c>
      <c r="Q2437" t="s">
        <v>95</v>
      </c>
      <c r="R2437" t="s">
        <v>775</v>
      </c>
      <c r="S2437" s="33">
        <v>0</v>
      </c>
      <c r="T2437" s="13">
        <v>296.37</v>
      </c>
      <c r="U2437" s="13">
        <v>80.019900000000007</v>
      </c>
      <c r="V2437" s="21">
        <f>Table10[[#This Row],[Profit]]/Table10[[#This Row],[Sales]]</f>
        <v>0.27</v>
      </c>
    </row>
    <row r="2438" spans="1:22" x14ac:dyDescent="0.2">
      <c r="A2438">
        <v>2437</v>
      </c>
      <c r="B2438" t="s">
        <v>8093</v>
      </c>
      <c r="C2438" s="1">
        <v>42719</v>
      </c>
      <c r="D2438" s="22">
        <f>MONTH(Table10[[#This Row],[Order Date]])</f>
        <v>12</v>
      </c>
      <c r="E2438" t="s">
        <v>4489</v>
      </c>
      <c r="F2438" t="s">
        <v>4490</v>
      </c>
      <c r="G2438" s="23" t="s">
        <v>28</v>
      </c>
      <c r="H2438" s="23" t="s">
        <v>58</v>
      </c>
      <c r="I2438" t="s">
        <v>4134</v>
      </c>
      <c r="J2438" t="s">
        <v>22</v>
      </c>
      <c r="K2438" s="22">
        <v>2</v>
      </c>
      <c r="L2438" s="1">
        <v>42726</v>
      </c>
      <c r="M2438" s="22">
        <f>Table10[[#This Row],[Ship Date]]-Table10[[#This Row],[Order Date]]</f>
        <v>7</v>
      </c>
      <c r="N2438" t="s">
        <v>45</v>
      </c>
      <c r="O2438" t="s">
        <v>23</v>
      </c>
      <c r="P2438" t="s">
        <v>38</v>
      </c>
      <c r="Q2438" t="s">
        <v>39</v>
      </c>
      <c r="R2438" t="s">
        <v>37</v>
      </c>
      <c r="S2438" s="33">
        <v>0</v>
      </c>
      <c r="T2438" s="13">
        <v>14.76</v>
      </c>
      <c r="U2438" s="13">
        <v>4.2804000000000002</v>
      </c>
      <c r="V2438" s="21">
        <f>Table10[[#This Row],[Profit]]/Table10[[#This Row],[Sales]]</f>
        <v>0.29000000000000004</v>
      </c>
    </row>
    <row r="2439" spans="1:22" x14ac:dyDescent="0.2">
      <c r="A2439">
        <v>2438</v>
      </c>
      <c r="B2439" t="s">
        <v>8237</v>
      </c>
      <c r="C2439" s="1">
        <v>42719</v>
      </c>
      <c r="D2439" s="22">
        <f>MONTH(Table10[[#This Row],[Order Date]])</f>
        <v>12</v>
      </c>
      <c r="E2439" t="s">
        <v>796</v>
      </c>
      <c r="F2439" t="s">
        <v>797</v>
      </c>
      <c r="G2439" s="23" t="s">
        <v>28</v>
      </c>
      <c r="H2439" s="23" t="s">
        <v>50</v>
      </c>
      <c r="I2439" t="s">
        <v>3602</v>
      </c>
      <c r="J2439" t="s">
        <v>92</v>
      </c>
      <c r="K2439" s="22">
        <v>3</v>
      </c>
      <c r="L2439" s="1">
        <v>42725</v>
      </c>
      <c r="M2439" s="22">
        <f>Table10[[#This Row],[Ship Date]]-Table10[[#This Row],[Order Date]]</f>
        <v>6</v>
      </c>
      <c r="N2439" t="s">
        <v>45</v>
      </c>
      <c r="O2439" t="s">
        <v>23</v>
      </c>
      <c r="P2439" t="s">
        <v>374</v>
      </c>
      <c r="Q2439" t="s">
        <v>39</v>
      </c>
      <c r="R2439" t="s">
        <v>284</v>
      </c>
      <c r="S2439" s="33">
        <v>0.5</v>
      </c>
      <c r="T2439" s="13">
        <v>564.19500000000005</v>
      </c>
      <c r="U2439" s="13">
        <v>-304.6653</v>
      </c>
      <c r="V2439" s="21">
        <f>Table10[[#This Row],[Profit]]/Table10[[#This Row],[Sales]]</f>
        <v>-0.53999999999999992</v>
      </c>
    </row>
    <row r="2440" spans="1:22" x14ac:dyDescent="0.2">
      <c r="A2440">
        <v>2439</v>
      </c>
      <c r="B2440" t="s">
        <v>8237</v>
      </c>
      <c r="C2440" s="1">
        <v>42719</v>
      </c>
      <c r="D2440" s="22">
        <f>MONTH(Table10[[#This Row],[Order Date]])</f>
        <v>12</v>
      </c>
      <c r="E2440" t="s">
        <v>4763</v>
      </c>
      <c r="F2440" t="s">
        <v>4764</v>
      </c>
      <c r="G2440" s="23" t="s">
        <v>41</v>
      </c>
      <c r="H2440" s="23" t="s">
        <v>71</v>
      </c>
      <c r="I2440" t="s">
        <v>3602</v>
      </c>
      <c r="J2440" t="s">
        <v>92</v>
      </c>
      <c r="K2440" s="22">
        <v>2</v>
      </c>
      <c r="L2440" s="1">
        <v>42725</v>
      </c>
      <c r="M2440" s="22">
        <f>Table10[[#This Row],[Ship Date]]-Table10[[#This Row],[Order Date]]</f>
        <v>6</v>
      </c>
      <c r="N2440" t="s">
        <v>45</v>
      </c>
      <c r="O2440" t="s">
        <v>23</v>
      </c>
      <c r="P2440" t="s">
        <v>374</v>
      </c>
      <c r="Q2440" t="s">
        <v>39</v>
      </c>
      <c r="R2440" t="s">
        <v>284</v>
      </c>
      <c r="S2440" s="33">
        <v>0.2</v>
      </c>
      <c r="T2440" s="13">
        <v>87.168000000000006</v>
      </c>
      <c r="U2440" s="13">
        <v>8.7167999999999992</v>
      </c>
      <c r="V2440" s="21">
        <f>Table10[[#This Row],[Profit]]/Table10[[#This Row],[Sales]]</f>
        <v>9.9999999999999978E-2</v>
      </c>
    </row>
    <row r="2441" spans="1:22" x14ac:dyDescent="0.2">
      <c r="A2441">
        <v>2440</v>
      </c>
      <c r="B2441" t="s">
        <v>9022</v>
      </c>
      <c r="C2441" s="1">
        <v>42719</v>
      </c>
      <c r="D2441" s="22">
        <f>MONTH(Table10[[#This Row],[Order Date]])</f>
        <v>12</v>
      </c>
      <c r="E2441" t="s">
        <v>7025</v>
      </c>
      <c r="F2441" t="s">
        <v>7026</v>
      </c>
      <c r="G2441" s="23" t="s">
        <v>41</v>
      </c>
      <c r="H2441" s="23" t="s">
        <v>68</v>
      </c>
      <c r="I2441" t="s">
        <v>996</v>
      </c>
      <c r="J2441" t="s">
        <v>22</v>
      </c>
      <c r="K2441" s="22">
        <v>3</v>
      </c>
      <c r="L2441" s="1">
        <v>42721</v>
      </c>
      <c r="M2441" s="22">
        <f>Table10[[#This Row],[Ship Date]]-Table10[[#This Row],[Order Date]]</f>
        <v>2</v>
      </c>
      <c r="N2441" t="s">
        <v>20</v>
      </c>
      <c r="O2441" t="s">
        <v>23</v>
      </c>
      <c r="P2441" t="s">
        <v>441</v>
      </c>
      <c r="Q2441" t="s">
        <v>133</v>
      </c>
      <c r="R2441" t="s">
        <v>2923</v>
      </c>
      <c r="S2441" s="33">
        <v>0.7</v>
      </c>
      <c r="T2441" s="13">
        <v>2.214</v>
      </c>
      <c r="U2441" s="13">
        <v>-1.476</v>
      </c>
      <c r="V2441" s="21">
        <f>Table10[[#This Row],[Profit]]/Table10[[#This Row],[Sales]]</f>
        <v>-0.66666666666666663</v>
      </c>
    </row>
    <row r="2442" spans="1:22" x14ac:dyDescent="0.2">
      <c r="A2442">
        <v>2441</v>
      </c>
      <c r="B2442" t="s">
        <v>9137</v>
      </c>
      <c r="C2442" s="1">
        <v>42719</v>
      </c>
      <c r="D2442" s="22">
        <f>MONTH(Table10[[#This Row],[Order Date]])</f>
        <v>12</v>
      </c>
      <c r="E2442" t="s">
        <v>1238</v>
      </c>
      <c r="F2442" t="s">
        <v>1239</v>
      </c>
      <c r="G2442" s="23" t="s">
        <v>41</v>
      </c>
      <c r="H2442" s="23" t="s">
        <v>82</v>
      </c>
      <c r="I2442" t="s">
        <v>5582</v>
      </c>
      <c r="J2442" t="s">
        <v>92</v>
      </c>
      <c r="K2442" s="22">
        <v>3</v>
      </c>
      <c r="L2442" s="1">
        <v>42723</v>
      </c>
      <c r="M2442" s="22">
        <f>Table10[[#This Row],[Ship Date]]-Table10[[#This Row],[Order Date]]</f>
        <v>4</v>
      </c>
      <c r="N2442" t="s">
        <v>45</v>
      </c>
      <c r="O2442" t="s">
        <v>23</v>
      </c>
      <c r="P2442" t="s">
        <v>1510</v>
      </c>
      <c r="Q2442" t="s">
        <v>26</v>
      </c>
      <c r="R2442" t="s">
        <v>1509</v>
      </c>
      <c r="S2442" s="33">
        <v>0</v>
      </c>
      <c r="T2442" s="13">
        <v>19.440000000000001</v>
      </c>
      <c r="U2442" s="13">
        <v>9.3312000000000008</v>
      </c>
      <c r="V2442" s="21">
        <f>Table10[[#This Row],[Profit]]/Table10[[#This Row],[Sales]]</f>
        <v>0.48000000000000004</v>
      </c>
    </row>
    <row r="2443" spans="1:22" x14ac:dyDescent="0.2">
      <c r="A2443">
        <v>2442</v>
      </c>
      <c r="B2443" t="s">
        <v>1433</v>
      </c>
      <c r="C2443" s="1">
        <v>42720</v>
      </c>
      <c r="D2443" s="22">
        <f>MONTH(Table10[[#This Row],[Order Date]])</f>
        <v>12</v>
      </c>
      <c r="E2443" t="s">
        <v>1434</v>
      </c>
      <c r="F2443" t="s">
        <v>1435</v>
      </c>
      <c r="G2443" s="23" t="s">
        <v>41</v>
      </c>
      <c r="H2443" s="23" t="s">
        <v>68</v>
      </c>
      <c r="I2443" t="s">
        <v>852</v>
      </c>
      <c r="J2443" t="s">
        <v>22</v>
      </c>
      <c r="K2443" s="22">
        <v>3</v>
      </c>
      <c r="L2443" s="1">
        <v>42724</v>
      </c>
      <c r="M2443" s="22">
        <f>Table10[[#This Row],[Ship Date]]-Table10[[#This Row],[Order Date]]</f>
        <v>4</v>
      </c>
      <c r="N2443" t="s">
        <v>20</v>
      </c>
      <c r="O2443" t="s">
        <v>23</v>
      </c>
      <c r="P2443" t="s">
        <v>189</v>
      </c>
      <c r="Q2443" t="s">
        <v>95</v>
      </c>
      <c r="R2443" t="s">
        <v>271</v>
      </c>
      <c r="S2443" s="33">
        <v>0.8</v>
      </c>
      <c r="T2443" s="13">
        <v>4.7880000000000003</v>
      </c>
      <c r="U2443" s="13">
        <v>-7.9001999999999999</v>
      </c>
      <c r="V2443" s="21">
        <f>Table10[[#This Row],[Profit]]/Table10[[#This Row],[Sales]]</f>
        <v>-1.65</v>
      </c>
    </row>
    <row r="2444" spans="1:22" x14ac:dyDescent="0.2">
      <c r="A2444">
        <v>2443</v>
      </c>
      <c r="B2444" t="s">
        <v>3474</v>
      </c>
      <c r="C2444" s="1">
        <v>42720</v>
      </c>
      <c r="D2444" s="22">
        <f>MONTH(Table10[[#This Row],[Order Date]])</f>
        <v>12</v>
      </c>
      <c r="E2444" t="s">
        <v>2759</v>
      </c>
      <c r="F2444" t="s">
        <v>2760</v>
      </c>
      <c r="G2444" s="23" t="s">
        <v>41</v>
      </c>
      <c r="H2444" s="23" t="s">
        <v>240</v>
      </c>
      <c r="I2444" t="s">
        <v>3475</v>
      </c>
      <c r="J2444" t="s">
        <v>36</v>
      </c>
      <c r="K2444" s="22">
        <v>2</v>
      </c>
      <c r="L2444" s="1">
        <v>42723</v>
      </c>
      <c r="M2444" s="22">
        <f>Table10[[#This Row],[Ship Date]]-Table10[[#This Row],[Order Date]]</f>
        <v>3</v>
      </c>
      <c r="N2444" t="s">
        <v>169</v>
      </c>
      <c r="O2444" t="s">
        <v>23</v>
      </c>
      <c r="P2444" t="s">
        <v>238</v>
      </c>
      <c r="Q2444" t="s">
        <v>133</v>
      </c>
      <c r="R2444" t="s">
        <v>237</v>
      </c>
      <c r="S2444" s="33">
        <v>0</v>
      </c>
      <c r="T2444" s="13">
        <v>3.68</v>
      </c>
      <c r="U2444" s="13">
        <v>1.8031999999999999</v>
      </c>
      <c r="V2444" s="21">
        <f>Table10[[#This Row],[Profit]]/Table10[[#This Row],[Sales]]</f>
        <v>0.48999999999999994</v>
      </c>
    </row>
    <row r="2445" spans="1:22" x14ac:dyDescent="0.2">
      <c r="A2445">
        <v>2444</v>
      </c>
      <c r="B2445" t="s">
        <v>7974</v>
      </c>
      <c r="C2445" s="1">
        <v>42720</v>
      </c>
      <c r="D2445" s="22">
        <f>MONTH(Table10[[#This Row],[Order Date]])</f>
        <v>12</v>
      </c>
      <c r="E2445" t="s">
        <v>3087</v>
      </c>
      <c r="F2445" t="s">
        <v>3088</v>
      </c>
      <c r="G2445" s="23" t="s">
        <v>28</v>
      </c>
      <c r="H2445" s="23" t="s">
        <v>32</v>
      </c>
      <c r="I2445" t="s">
        <v>101</v>
      </c>
      <c r="J2445" t="s">
        <v>22</v>
      </c>
      <c r="K2445" s="22">
        <v>5</v>
      </c>
      <c r="L2445" s="1">
        <v>42727</v>
      </c>
      <c r="M2445" s="22">
        <f>Table10[[#This Row],[Ship Date]]-Table10[[#This Row],[Order Date]]</f>
        <v>7</v>
      </c>
      <c r="N2445" t="s">
        <v>45</v>
      </c>
      <c r="O2445" t="s">
        <v>23</v>
      </c>
      <c r="P2445" t="s">
        <v>38</v>
      </c>
      <c r="Q2445" t="s">
        <v>39</v>
      </c>
      <c r="R2445" t="s">
        <v>5457</v>
      </c>
      <c r="S2445" s="33">
        <v>0.2</v>
      </c>
      <c r="T2445" s="13">
        <v>563.91999999999996</v>
      </c>
      <c r="U2445" s="13">
        <v>7.0490000000000004</v>
      </c>
      <c r="V2445" s="21">
        <f>Table10[[#This Row],[Profit]]/Table10[[#This Row],[Sales]]</f>
        <v>1.2500000000000002E-2</v>
      </c>
    </row>
    <row r="2446" spans="1:22" x14ac:dyDescent="0.2">
      <c r="A2446">
        <v>2445</v>
      </c>
      <c r="B2446" t="s">
        <v>8281</v>
      </c>
      <c r="C2446" s="1">
        <v>42720</v>
      </c>
      <c r="D2446" s="22">
        <f>MONTH(Table10[[#This Row],[Order Date]])</f>
        <v>12</v>
      </c>
      <c r="E2446" t="s">
        <v>3224</v>
      </c>
      <c r="F2446" t="s">
        <v>3225</v>
      </c>
      <c r="G2446" s="23" t="s">
        <v>41</v>
      </c>
      <c r="H2446" s="23" t="s">
        <v>71</v>
      </c>
      <c r="I2446" t="s">
        <v>130</v>
      </c>
      <c r="J2446" t="s">
        <v>22</v>
      </c>
      <c r="K2446" s="22">
        <v>3</v>
      </c>
      <c r="L2446" s="1">
        <v>42723</v>
      </c>
      <c r="M2446" s="22">
        <f>Table10[[#This Row],[Ship Date]]-Table10[[#This Row],[Order Date]]</f>
        <v>3</v>
      </c>
      <c r="N2446" t="s">
        <v>169</v>
      </c>
      <c r="O2446" t="s">
        <v>23</v>
      </c>
      <c r="P2446" t="s">
        <v>80</v>
      </c>
      <c r="Q2446" t="s">
        <v>26</v>
      </c>
      <c r="R2446" t="s">
        <v>8282</v>
      </c>
      <c r="S2446" s="33">
        <v>0.2</v>
      </c>
      <c r="T2446" s="13">
        <v>34.944000000000003</v>
      </c>
      <c r="U2446" s="13">
        <v>3.0575999999999999</v>
      </c>
      <c r="V2446" s="21">
        <f>Table10[[#This Row],[Profit]]/Table10[[#This Row],[Sales]]</f>
        <v>8.7499999999999994E-2</v>
      </c>
    </row>
    <row r="2447" spans="1:22" x14ac:dyDescent="0.2">
      <c r="A2447">
        <v>2446</v>
      </c>
      <c r="B2447" t="s">
        <v>9398</v>
      </c>
      <c r="C2447" s="1">
        <v>42720</v>
      </c>
      <c r="D2447" s="22">
        <f>MONTH(Table10[[#This Row],[Order Date]])</f>
        <v>12</v>
      </c>
      <c r="E2447" t="s">
        <v>1468</v>
      </c>
      <c r="F2447" t="s">
        <v>1469</v>
      </c>
      <c r="G2447" s="23" t="s">
        <v>64</v>
      </c>
      <c r="H2447" s="23" t="s">
        <v>144</v>
      </c>
      <c r="I2447" t="s">
        <v>1417</v>
      </c>
      <c r="J2447" t="s">
        <v>92</v>
      </c>
      <c r="K2447" s="22">
        <v>7</v>
      </c>
      <c r="L2447" s="1">
        <v>42727</v>
      </c>
      <c r="M2447" s="22">
        <f>Table10[[#This Row],[Ship Date]]-Table10[[#This Row],[Order Date]]</f>
        <v>7</v>
      </c>
      <c r="N2447" t="s">
        <v>45</v>
      </c>
      <c r="O2447" t="s">
        <v>23</v>
      </c>
      <c r="P2447" t="s">
        <v>38</v>
      </c>
      <c r="Q2447" t="s">
        <v>39</v>
      </c>
      <c r="R2447" t="s">
        <v>836</v>
      </c>
      <c r="S2447" s="33">
        <v>0</v>
      </c>
      <c r="T2447" s="13">
        <v>21.21</v>
      </c>
      <c r="U2447" s="13">
        <v>4.4541000000000004</v>
      </c>
      <c r="V2447" s="21">
        <f>Table10[[#This Row],[Profit]]/Table10[[#This Row],[Sales]]</f>
        <v>0.21000000000000002</v>
      </c>
    </row>
    <row r="2448" spans="1:22" x14ac:dyDescent="0.2">
      <c r="A2448">
        <v>2447</v>
      </c>
      <c r="B2448" t="s">
        <v>6200</v>
      </c>
      <c r="C2448" s="1">
        <v>42721</v>
      </c>
      <c r="D2448" s="22">
        <f>MONTH(Table10[[#This Row],[Order Date]])</f>
        <v>12</v>
      </c>
      <c r="E2448" t="s">
        <v>1677</v>
      </c>
      <c r="F2448" t="s">
        <v>1678</v>
      </c>
      <c r="G2448" s="23" t="s">
        <v>28</v>
      </c>
      <c r="H2448" s="23" t="s">
        <v>50</v>
      </c>
      <c r="I2448" t="s">
        <v>2775</v>
      </c>
      <c r="J2448" t="s">
        <v>22</v>
      </c>
      <c r="K2448" s="22">
        <v>6</v>
      </c>
      <c r="L2448" s="1">
        <v>42725</v>
      </c>
      <c r="M2448" s="22">
        <f>Table10[[#This Row],[Ship Date]]-Table10[[#This Row],[Order Date]]</f>
        <v>4</v>
      </c>
      <c r="N2448" t="s">
        <v>45</v>
      </c>
      <c r="O2448" t="s">
        <v>23</v>
      </c>
      <c r="P2448" t="s">
        <v>38</v>
      </c>
      <c r="Q2448" t="s">
        <v>39</v>
      </c>
      <c r="R2448" t="s">
        <v>114</v>
      </c>
      <c r="S2448" s="33">
        <v>0.2</v>
      </c>
      <c r="T2448" s="13">
        <v>2003.52</v>
      </c>
      <c r="U2448" s="13">
        <v>-325.572</v>
      </c>
      <c r="V2448" s="21">
        <f>Table10[[#This Row],[Profit]]/Table10[[#This Row],[Sales]]</f>
        <v>-0.16250000000000001</v>
      </c>
    </row>
    <row r="2449" spans="1:22" x14ac:dyDescent="0.2">
      <c r="A2449">
        <v>2448</v>
      </c>
      <c r="B2449" t="s">
        <v>7804</v>
      </c>
      <c r="C2449" s="1">
        <v>42721</v>
      </c>
      <c r="D2449" s="22">
        <f>MONTH(Table10[[#This Row],[Order Date]])</f>
        <v>12</v>
      </c>
      <c r="E2449" t="s">
        <v>670</v>
      </c>
      <c r="F2449" t="s">
        <v>671</v>
      </c>
      <c r="G2449" s="23" t="s">
        <v>41</v>
      </c>
      <c r="H2449" s="23" t="s">
        <v>53</v>
      </c>
      <c r="I2449" t="s">
        <v>5225</v>
      </c>
      <c r="J2449" t="s">
        <v>92</v>
      </c>
      <c r="K2449" s="22">
        <v>3</v>
      </c>
      <c r="L2449" s="1">
        <v>42726</v>
      </c>
      <c r="M2449" s="22">
        <f>Table10[[#This Row],[Ship Date]]-Table10[[#This Row],[Order Date]]</f>
        <v>5</v>
      </c>
      <c r="N2449" t="s">
        <v>45</v>
      </c>
      <c r="O2449" t="s">
        <v>23</v>
      </c>
      <c r="P2449" t="s">
        <v>87</v>
      </c>
      <c r="Q2449" t="s">
        <v>39</v>
      </c>
      <c r="R2449" t="s">
        <v>86</v>
      </c>
      <c r="S2449" s="33">
        <v>0</v>
      </c>
      <c r="T2449" s="13">
        <v>46.53</v>
      </c>
      <c r="U2449" s="13">
        <v>13.0284</v>
      </c>
      <c r="V2449" s="21">
        <f>Table10[[#This Row],[Profit]]/Table10[[#This Row],[Sales]]</f>
        <v>0.27999999999999997</v>
      </c>
    </row>
    <row r="2450" spans="1:22" x14ac:dyDescent="0.2">
      <c r="A2450">
        <v>2449</v>
      </c>
      <c r="B2450" t="s">
        <v>9235</v>
      </c>
      <c r="C2450" s="1">
        <v>42721</v>
      </c>
      <c r="D2450" s="22">
        <f>MONTH(Table10[[#This Row],[Order Date]])</f>
        <v>12</v>
      </c>
      <c r="E2450" t="s">
        <v>4236</v>
      </c>
      <c r="F2450" t="s">
        <v>4237</v>
      </c>
      <c r="G2450" s="23" t="s">
        <v>41</v>
      </c>
      <c r="H2450" s="23" t="s">
        <v>82</v>
      </c>
      <c r="I2450" t="s">
        <v>2486</v>
      </c>
      <c r="J2450" t="s">
        <v>36</v>
      </c>
      <c r="K2450" s="22">
        <v>10</v>
      </c>
      <c r="L2450" s="1">
        <v>42725</v>
      </c>
      <c r="M2450" s="22">
        <f>Table10[[#This Row],[Ship Date]]-Table10[[#This Row],[Order Date]]</f>
        <v>4</v>
      </c>
      <c r="N2450" t="s">
        <v>45</v>
      </c>
      <c r="O2450" t="s">
        <v>23</v>
      </c>
      <c r="P2450" t="s">
        <v>94</v>
      </c>
      <c r="Q2450" t="s">
        <v>95</v>
      </c>
      <c r="R2450" t="s">
        <v>997</v>
      </c>
      <c r="S2450" s="33">
        <v>0.2</v>
      </c>
      <c r="T2450" s="13">
        <v>51.84</v>
      </c>
      <c r="U2450" s="13">
        <v>18.143999999999998</v>
      </c>
      <c r="V2450" s="21">
        <f>Table10[[#This Row],[Profit]]/Table10[[#This Row],[Sales]]</f>
        <v>0.34999999999999992</v>
      </c>
    </row>
    <row r="2451" spans="1:22" x14ac:dyDescent="0.2">
      <c r="A2451">
        <v>2450</v>
      </c>
      <c r="B2451" t="s">
        <v>9235</v>
      </c>
      <c r="C2451" s="1">
        <v>42721</v>
      </c>
      <c r="D2451" s="22">
        <f>MONTH(Table10[[#This Row],[Order Date]])</f>
        <v>12</v>
      </c>
      <c r="E2451" t="s">
        <v>6412</v>
      </c>
      <c r="F2451" t="s">
        <v>6413</v>
      </c>
      <c r="G2451" s="23" t="s">
        <v>64</v>
      </c>
      <c r="H2451" s="23" t="s">
        <v>144</v>
      </c>
      <c r="I2451" t="s">
        <v>2486</v>
      </c>
      <c r="J2451" t="s">
        <v>36</v>
      </c>
      <c r="K2451" s="22">
        <v>3</v>
      </c>
      <c r="L2451" s="1">
        <v>42725</v>
      </c>
      <c r="M2451" s="22">
        <f>Table10[[#This Row],[Ship Date]]-Table10[[#This Row],[Order Date]]</f>
        <v>4</v>
      </c>
      <c r="N2451" t="s">
        <v>45</v>
      </c>
      <c r="O2451" t="s">
        <v>23</v>
      </c>
      <c r="P2451" t="s">
        <v>94</v>
      </c>
      <c r="Q2451" t="s">
        <v>95</v>
      </c>
      <c r="R2451" t="s">
        <v>997</v>
      </c>
      <c r="S2451" s="33">
        <v>0.2</v>
      </c>
      <c r="T2451" s="13">
        <v>165.6</v>
      </c>
      <c r="U2451" s="13">
        <v>-6.21</v>
      </c>
      <c r="V2451" s="21">
        <f>Table10[[#This Row],[Profit]]/Table10[[#This Row],[Sales]]</f>
        <v>-3.7499999999999999E-2</v>
      </c>
    </row>
    <row r="2452" spans="1:22" x14ac:dyDescent="0.2">
      <c r="A2452">
        <v>2451</v>
      </c>
      <c r="B2452" t="s">
        <v>9589</v>
      </c>
      <c r="C2452" s="1">
        <v>42721</v>
      </c>
      <c r="D2452" s="22">
        <f>MONTH(Table10[[#This Row],[Order Date]])</f>
        <v>12</v>
      </c>
      <c r="E2452" t="s">
        <v>2305</v>
      </c>
      <c r="F2452" t="s">
        <v>2306</v>
      </c>
      <c r="G2452" s="23" t="s">
        <v>41</v>
      </c>
      <c r="H2452" s="23" t="s">
        <v>68</v>
      </c>
      <c r="I2452" t="s">
        <v>2725</v>
      </c>
      <c r="J2452" t="s">
        <v>36</v>
      </c>
      <c r="K2452" s="22">
        <v>2</v>
      </c>
      <c r="L2452" s="1">
        <v>42727</v>
      </c>
      <c r="M2452" s="22">
        <f>Table10[[#This Row],[Ship Date]]-Table10[[#This Row],[Order Date]]</f>
        <v>6</v>
      </c>
      <c r="N2452" t="s">
        <v>45</v>
      </c>
      <c r="O2452" t="s">
        <v>23</v>
      </c>
      <c r="P2452" t="s">
        <v>589</v>
      </c>
      <c r="Q2452" t="s">
        <v>39</v>
      </c>
      <c r="R2452" t="s">
        <v>588</v>
      </c>
      <c r="S2452" s="33">
        <v>0.2</v>
      </c>
      <c r="T2452" s="13">
        <v>13.488</v>
      </c>
      <c r="U2452" s="13">
        <v>4.3836000000000004</v>
      </c>
      <c r="V2452" s="21">
        <f>Table10[[#This Row],[Profit]]/Table10[[#This Row],[Sales]]</f>
        <v>0.32500000000000007</v>
      </c>
    </row>
    <row r="2453" spans="1:22" x14ac:dyDescent="0.2">
      <c r="A2453">
        <v>2452</v>
      </c>
      <c r="B2453" t="s">
        <v>9589</v>
      </c>
      <c r="C2453" s="1">
        <v>42721</v>
      </c>
      <c r="D2453" s="22">
        <f>MONTH(Table10[[#This Row],[Order Date]])</f>
        <v>12</v>
      </c>
      <c r="E2453" t="s">
        <v>5134</v>
      </c>
      <c r="F2453" t="s">
        <v>5135</v>
      </c>
      <c r="G2453" s="23" t="s">
        <v>41</v>
      </c>
      <c r="H2453" s="23" t="s">
        <v>68</v>
      </c>
      <c r="I2453" t="s">
        <v>2725</v>
      </c>
      <c r="J2453" t="s">
        <v>36</v>
      </c>
      <c r="K2453" s="22">
        <v>1</v>
      </c>
      <c r="L2453" s="1">
        <v>42727</v>
      </c>
      <c r="M2453" s="22">
        <f>Table10[[#This Row],[Ship Date]]-Table10[[#This Row],[Order Date]]</f>
        <v>6</v>
      </c>
      <c r="N2453" t="s">
        <v>45</v>
      </c>
      <c r="O2453" t="s">
        <v>23</v>
      </c>
      <c r="P2453" t="s">
        <v>589</v>
      </c>
      <c r="Q2453" t="s">
        <v>39</v>
      </c>
      <c r="R2453" t="s">
        <v>588</v>
      </c>
      <c r="S2453" s="33">
        <v>0.2</v>
      </c>
      <c r="T2453" s="13">
        <v>11.416</v>
      </c>
      <c r="U2453" s="13">
        <v>3.8529</v>
      </c>
      <c r="V2453" s="21">
        <f>Table10[[#This Row],[Profit]]/Table10[[#This Row],[Sales]]</f>
        <v>0.33749999999999997</v>
      </c>
    </row>
    <row r="2454" spans="1:22" x14ac:dyDescent="0.2">
      <c r="A2454">
        <v>2453</v>
      </c>
      <c r="B2454" t="s">
        <v>9605</v>
      </c>
      <c r="C2454" s="1">
        <v>42721</v>
      </c>
      <c r="D2454" s="22">
        <f>MONTH(Table10[[#This Row],[Order Date]])</f>
        <v>12</v>
      </c>
      <c r="E2454" t="s">
        <v>2370</v>
      </c>
      <c r="F2454" t="s">
        <v>2371</v>
      </c>
      <c r="G2454" s="23" t="s">
        <v>41</v>
      </c>
      <c r="H2454" s="23" t="s">
        <v>68</v>
      </c>
      <c r="I2454" t="s">
        <v>3378</v>
      </c>
      <c r="J2454" t="s">
        <v>22</v>
      </c>
      <c r="K2454" s="22">
        <v>13</v>
      </c>
      <c r="L2454" s="1">
        <v>42725</v>
      </c>
      <c r="M2454" s="22">
        <f>Table10[[#This Row],[Ship Date]]-Table10[[#This Row],[Order Date]]</f>
        <v>4</v>
      </c>
      <c r="N2454" t="s">
        <v>45</v>
      </c>
      <c r="O2454" t="s">
        <v>23</v>
      </c>
      <c r="P2454" t="s">
        <v>212</v>
      </c>
      <c r="Q2454" t="s">
        <v>95</v>
      </c>
      <c r="R2454" t="s">
        <v>775</v>
      </c>
      <c r="S2454" s="33">
        <v>0</v>
      </c>
      <c r="T2454" s="13">
        <v>9892.74</v>
      </c>
      <c r="U2454" s="13">
        <v>4946.37</v>
      </c>
      <c r="V2454" s="21">
        <f>Table10[[#This Row],[Profit]]/Table10[[#This Row],[Sales]]</f>
        <v>0.5</v>
      </c>
    </row>
    <row r="2455" spans="1:22" x14ac:dyDescent="0.2">
      <c r="A2455">
        <v>2454</v>
      </c>
      <c r="B2455" t="s">
        <v>935</v>
      </c>
      <c r="C2455" s="1">
        <v>42722</v>
      </c>
      <c r="D2455" s="22">
        <f>MONTH(Table10[[#This Row],[Order Date]])</f>
        <v>12</v>
      </c>
      <c r="E2455" t="s">
        <v>938</v>
      </c>
      <c r="F2455" t="s">
        <v>939</v>
      </c>
      <c r="G2455" s="23" t="s">
        <v>41</v>
      </c>
      <c r="H2455" s="23" t="s">
        <v>68</v>
      </c>
      <c r="I2455" t="s">
        <v>936</v>
      </c>
      <c r="J2455" t="s">
        <v>36</v>
      </c>
      <c r="K2455" s="22">
        <v>7</v>
      </c>
      <c r="L2455" s="1">
        <v>42724</v>
      </c>
      <c r="M2455" s="22">
        <f>Table10[[#This Row],[Ship Date]]-Table10[[#This Row],[Order Date]]</f>
        <v>2</v>
      </c>
      <c r="N2455" t="s">
        <v>20</v>
      </c>
      <c r="O2455" t="s">
        <v>23</v>
      </c>
      <c r="P2455" t="s">
        <v>48</v>
      </c>
      <c r="Q2455" t="s">
        <v>26</v>
      </c>
      <c r="R2455" t="s">
        <v>937</v>
      </c>
      <c r="S2455" s="33">
        <v>0.7</v>
      </c>
      <c r="T2455" s="13">
        <v>254.05799999999999</v>
      </c>
      <c r="U2455" s="13">
        <v>-169.37200000000001</v>
      </c>
      <c r="V2455" s="21">
        <f>Table10[[#This Row],[Profit]]/Table10[[#This Row],[Sales]]</f>
        <v>-0.66666666666666674</v>
      </c>
    </row>
    <row r="2456" spans="1:22" x14ac:dyDescent="0.2">
      <c r="A2456">
        <v>2455</v>
      </c>
      <c r="B2456" t="s">
        <v>935</v>
      </c>
      <c r="C2456" s="1">
        <v>42722</v>
      </c>
      <c r="D2456" s="22">
        <f>MONTH(Table10[[#This Row],[Order Date]])</f>
        <v>12</v>
      </c>
      <c r="E2456" t="s">
        <v>630</v>
      </c>
      <c r="F2456" t="s">
        <v>631</v>
      </c>
      <c r="G2456" s="23" t="s">
        <v>41</v>
      </c>
      <c r="H2456" s="23" t="s">
        <v>71</v>
      </c>
      <c r="I2456" t="s">
        <v>936</v>
      </c>
      <c r="J2456" t="s">
        <v>36</v>
      </c>
      <c r="K2456" s="22">
        <v>2</v>
      </c>
      <c r="L2456" s="1">
        <v>42724</v>
      </c>
      <c r="M2456" s="22">
        <f>Table10[[#This Row],[Ship Date]]-Table10[[#This Row],[Order Date]]</f>
        <v>2</v>
      </c>
      <c r="N2456" t="s">
        <v>20</v>
      </c>
      <c r="O2456" t="s">
        <v>23</v>
      </c>
      <c r="P2456" t="s">
        <v>48</v>
      </c>
      <c r="Q2456" t="s">
        <v>26</v>
      </c>
      <c r="R2456" t="s">
        <v>937</v>
      </c>
      <c r="S2456" s="33">
        <v>0.2</v>
      </c>
      <c r="T2456" s="13">
        <v>194.52799999999999</v>
      </c>
      <c r="U2456" s="13">
        <v>24.315999999999999</v>
      </c>
      <c r="V2456" s="21">
        <f>Table10[[#This Row],[Profit]]/Table10[[#This Row],[Sales]]</f>
        <v>0.125</v>
      </c>
    </row>
    <row r="2457" spans="1:22" x14ac:dyDescent="0.2">
      <c r="A2457">
        <v>2456</v>
      </c>
      <c r="B2457" t="s">
        <v>935</v>
      </c>
      <c r="C2457" s="1">
        <v>42722</v>
      </c>
      <c r="D2457" s="22">
        <f>MONTH(Table10[[#This Row],[Order Date]])</f>
        <v>12</v>
      </c>
      <c r="E2457" t="s">
        <v>940</v>
      </c>
      <c r="F2457" t="s">
        <v>941</v>
      </c>
      <c r="G2457" s="23" t="s">
        <v>41</v>
      </c>
      <c r="H2457" s="23" t="s">
        <v>513</v>
      </c>
      <c r="I2457" t="s">
        <v>936</v>
      </c>
      <c r="J2457" t="s">
        <v>36</v>
      </c>
      <c r="K2457" s="22">
        <v>5</v>
      </c>
      <c r="L2457" s="1">
        <v>42724</v>
      </c>
      <c r="M2457" s="22">
        <f>Table10[[#This Row],[Ship Date]]-Table10[[#This Row],[Order Date]]</f>
        <v>2</v>
      </c>
      <c r="N2457" t="s">
        <v>20</v>
      </c>
      <c r="O2457" t="s">
        <v>23</v>
      </c>
      <c r="P2457" t="s">
        <v>48</v>
      </c>
      <c r="Q2457" t="s">
        <v>26</v>
      </c>
      <c r="R2457" t="s">
        <v>937</v>
      </c>
      <c r="S2457" s="33">
        <v>0.2</v>
      </c>
      <c r="T2457" s="13">
        <v>961.48</v>
      </c>
      <c r="U2457" s="13">
        <v>-204.31450000000001</v>
      </c>
      <c r="V2457" s="21">
        <f>Table10[[#This Row],[Profit]]/Table10[[#This Row],[Sales]]</f>
        <v>-0.21249999999999999</v>
      </c>
    </row>
    <row r="2458" spans="1:22" x14ac:dyDescent="0.2">
      <c r="A2458">
        <v>2457</v>
      </c>
      <c r="B2458" t="s">
        <v>1859</v>
      </c>
      <c r="C2458" s="1">
        <v>42722</v>
      </c>
      <c r="D2458" s="22">
        <f>MONTH(Table10[[#This Row],[Order Date]])</f>
        <v>12</v>
      </c>
      <c r="E2458" t="s">
        <v>1861</v>
      </c>
      <c r="F2458" t="s">
        <v>1862</v>
      </c>
      <c r="G2458" s="23" t="s">
        <v>28</v>
      </c>
      <c r="H2458" s="23" t="s">
        <v>58</v>
      </c>
      <c r="I2458" t="s">
        <v>1860</v>
      </c>
      <c r="J2458" t="s">
        <v>36</v>
      </c>
      <c r="K2458" s="22">
        <v>3</v>
      </c>
      <c r="L2458" s="1">
        <v>42726</v>
      </c>
      <c r="M2458" s="22">
        <f>Table10[[#This Row],[Ship Date]]-Table10[[#This Row],[Order Date]]</f>
        <v>4</v>
      </c>
      <c r="N2458" t="s">
        <v>45</v>
      </c>
      <c r="O2458" t="s">
        <v>23</v>
      </c>
      <c r="P2458" t="s">
        <v>204</v>
      </c>
      <c r="Q2458" t="s">
        <v>95</v>
      </c>
      <c r="R2458" t="s">
        <v>364</v>
      </c>
      <c r="S2458" s="33">
        <v>0</v>
      </c>
      <c r="T2458" s="13">
        <v>18.84</v>
      </c>
      <c r="U2458" s="13">
        <v>6.0288000000000004</v>
      </c>
      <c r="V2458" s="21">
        <f>Table10[[#This Row],[Profit]]/Table10[[#This Row],[Sales]]</f>
        <v>0.32</v>
      </c>
    </row>
    <row r="2459" spans="1:22" x14ac:dyDescent="0.2">
      <c r="A2459">
        <v>2458</v>
      </c>
      <c r="B2459" t="s">
        <v>3207</v>
      </c>
      <c r="C2459" s="1">
        <v>42722</v>
      </c>
      <c r="D2459" s="22">
        <f>MONTH(Table10[[#This Row],[Order Date]])</f>
        <v>12</v>
      </c>
      <c r="E2459" t="s">
        <v>3209</v>
      </c>
      <c r="F2459" t="s">
        <v>3210</v>
      </c>
      <c r="G2459" s="23" t="s">
        <v>41</v>
      </c>
      <c r="H2459" s="23" t="s">
        <v>82</v>
      </c>
      <c r="I2459" t="s">
        <v>3208</v>
      </c>
      <c r="J2459" t="s">
        <v>36</v>
      </c>
      <c r="K2459" s="22">
        <v>6</v>
      </c>
      <c r="L2459" s="1">
        <v>42727</v>
      </c>
      <c r="M2459" s="22">
        <f>Table10[[#This Row],[Ship Date]]-Table10[[#This Row],[Order Date]]</f>
        <v>5</v>
      </c>
      <c r="N2459" t="s">
        <v>45</v>
      </c>
      <c r="O2459" t="s">
        <v>23</v>
      </c>
      <c r="P2459" t="s">
        <v>38</v>
      </c>
      <c r="Q2459" t="s">
        <v>39</v>
      </c>
      <c r="R2459" t="s">
        <v>37</v>
      </c>
      <c r="S2459" s="33">
        <v>0</v>
      </c>
      <c r="T2459" s="13">
        <v>38.880000000000003</v>
      </c>
      <c r="U2459" s="13">
        <v>18.662400000000002</v>
      </c>
      <c r="V2459" s="21">
        <f>Table10[[#This Row],[Profit]]/Table10[[#This Row],[Sales]]</f>
        <v>0.48000000000000004</v>
      </c>
    </row>
    <row r="2460" spans="1:22" x14ac:dyDescent="0.2">
      <c r="A2460">
        <v>2459</v>
      </c>
      <c r="B2460" t="s">
        <v>3207</v>
      </c>
      <c r="C2460" s="1">
        <v>42722</v>
      </c>
      <c r="D2460" s="22">
        <f>MONTH(Table10[[#This Row],[Order Date]])</f>
        <v>12</v>
      </c>
      <c r="E2460" t="s">
        <v>3211</v>
      </c>
      <c r="F2460" t="s">
        <v>3212</v>
      </c>
      <c r="G2460" s="23" t="s">
        <v>28</v>
      </c>
      <c r="H2460" s="23" t="s">
        <v>58</v>
      </c>
      <c r="I2460" t="s">
        <v>3208</v>
      </c>
      <c r="J2460" t="s">
        <v>36</v>
      </c>
      <c r="K2460" s="22">
        <v>8</v>
      </c>
      <c r="L2460" s="1">
        <v>42727</v>
      </c>
      <c r="M2460" s="22">
        <f>Table10[[#This Row],[Ship Date]]-Table10[[#This Row],[Order Date]]</f>
        <v>5</v>
      </c>
      <c r="N2460" t="s">
        <v>45</v>
      </c>
      <c r="O2460" t="s">
        <v>23</v>
      </c>
      <c r="P2460" t="s">
        <v>38</v>
      </c>
      <c r="Q2460" t="s">
        <v>39</v>
      </c>
      <c r="R2460" t="s">
        <v>37</v>
      </c>
      <c r="S2460" s="33">
        <v>0</v>
      </c>
      <c r="T2460" s="13">
        <v>183.84</v>
      </c>
      <c r="U2460" s="13">
        <v>62.505600000000001</v>
      </c>
      <c r="V2460" s="21">
        <f>Table10[[#This Row],[Profit]]/Table10[[#This Row],[Sales]]</f>
        <v>0.34</v>
      </c>
    </row>
    <row r="2461" spans="1:22" x14ac:dyDescent="0.2">
      <c r="A2461">
        <v>2460</v>
      </c>
      <c r="B2461" t="s">
        <v>3207</v>
      </c>
      <c r="C2461" s="1">
        <v>42722</v>
      </c>
      <c r="D2461" s="22">
        <f>MONTH(Table10[[#This Row],[Order Date]])</f>
        <v>12</v>
      </c>
      <c r="E2461" t="s">
        <v>1422</v>
      </c>
      <c r="F2461" t="s">
        <v>1423</v>
      </c>
      <c r="G2461" s="23" t="s">
        <v>41</v>
      </c>
      <c r="H2461" s="23" t="s">
        <v>513</v>
      </c>
      <c r="I2461" t="s">
        <v>3208</v>
      </c>
      <c r="J2461" t="s">
        <v>36</v>
      </c>
      <c r="K2461" s="22">
        <v>5</v>
      </c>
      <c r="L2461" s="1">
        <v>42727</v>
      </c>
      <c r="M2461" s="22">
        <f>Table10[[#This Row],[Ship Date]]-Table10[[#This Row],[Order Date]]</f>
        <v>5</v>
      </c>
      <c r="N2461" t="s">
        <v>45</v>
      </c>
      <c r="O2461" t="s">
        <v>23</v>
      </c>
      <c r="P2461" t="s">
        <v>38</v>
      </c>
      <c r="Q2461" t="s">
        <v>39</v>
      </c>
      <c r="R2461" t="s">
        <v>37</v>
      </c>
      <c r="S2461" s="33">
        <v>0</v>
      </c>
      <c r="T2461" s="13">
        <v>579.29999999999995</v>
      </c>
      <c r="U2461" s="13">
        <v>28.965</v>
      </c>
      <c r="V2461" s="21">
        <f>Table10[[#This Row],[Profit]]/Table10[[#This Row],[Sales]]</f>
        <v>0.05</v>
      </c>
    </row>
    <row r="2462" spans="1:22" x14ac:dyDescent="0.2">
      <c r="A2462">
        <v>2461</v>
      </c>
      <c r="B2462" t="s">
        <v>5989</v>
      </c>
      <c r="C2462" s="1">
        <v>42722</v>
      </c>
      <c r="D2462" s="22">
        <f>MONTH(Table10[[#This Row],[Order Date]])</f>
        <v>12</v>
      </c>
      <c r="E2462" t="s">
        <v>3101</v>
      </c>
      <c r="F2462" t="s">
        <v>3102</v>
      </c>
      <c r="G2462" s="23" t="s">
        <v>41</v>
      </c>
      <c r="H2462" s="23" t="s">
        <v>53</v>
      </c>
      <c r="I2462" t="s">
        <v>3342</v>
      </c>
      <c r="J2462" t="s">
        <v>92</v>
      </c>
      <c r="K2462" s="22">
        <v>4</v>
      </c>
      <c r="L2462" s="1">
        <v>42724</v>
      </c>
      <c r="M2462" s="22">
        <f>Table10[[#This Row],[Ship Date]]-Table10[[#This Row],[Order Date]]</f>
        <v>2</v>
      </c>
      <c r="N2462" t="s">
        <v>20</v>
      </c>
      <c r="O2462" t="s">
        <v>23</v>
      </c>
      <c r="P2462" t="s">
        <v>238</v>
      </c>
      <c r="Q2462" t="s">
        <v>133</v>
      </c>
      <c r="R2462" t="s">
        <v>237</v>
      </c>
      <c r="S2462" s="33">
        <v>0</v>
      </c>
      <c r="T2462" s="13">
        <v>900.08</v>
      </c>
      <c r="U2462" s="13">
        <v>117.0104</v>
      </c>
      <c r="V2462" s="21">
        <f>Table10[[#This Row],[Profit]]/Table10[[#This Row],[Sales]]</f>
        <v>0.13</v>
      </c>
    </row>
    <row r="2463" spans="1:22" x14ac:dyDescent="0.2">
      <c r="A2463">
        <v>2462</v>
      </c>
      <c r="B2463" t="s">
        <v>7079</v>
      </c>
      <c r="C2463" s="1">
        <v>42722</v>
      </c>
      <c r="D2463" s="22">
        <f>MONTH(Table10[[#This Row],[Order Date]])</f>
        <v>12</v>
      </c>
      <c r="E2463" t="s">
        <v>4174</v>
      </c>
      <c r="F2463" t="s">
        <v>4175</v>
      </c>
      <c r="G2463" s="23" t="s">
        <v>41</v>
      </c>
      <c r="H2463" s="23" t="s">
        <v>68</v>
      </c>
      <c r="I2463" t="s">
        <v>1041</v>
      </c>
      <c r="J2463" t="s">
        <v>36</v>
      </c>
      <c r="K2463" s="22">
        <v>2</v>
      </c>
      <c r="L2463" s="1">
        <v>42728</v>
      </c>
      <c r="M2463" s="22">
        <f>Table10[[#This Row],[Ship Date]]-Table10[[#This Row],[Order Date]]</f>
        <v>6</v>
      </c>
      <c r="N2463" t="s">
        <v>45</v>
      </c>
      <c r="O2463" t="s">
        <v>23</v>
      </c>
      <c r="P2463" t="s">
        <v>695</v>
      </c>
      <c r="Q2463" t="s">
        <v>133</v>
      </c>
      <c r="R2463" t="s">
        <v>882</v>
      </c>
      <c r="S2463" s="33">
        <v>0</v>
      </c>
      <c r="T2463" s="13">
        <v>1793.98</v>
      </c>
      <c r="U2463" s="13">
        <v>843.17060000000004</v>
      </c>
      <c r="V2463" s="21">
        <f>Table10[[#This Row],[Profit]]/Table10[[#This Row],[Sales]]</f>
        <v>0.47000000000000003</v>
      </c>
    </row>
    <row r="2464" spans="1:22" x14ac:dyDescent="0.2">
      <c r="A2464">
        <v>2463</v>
      </c>
      <c r="B2464" t="s">
        <v>7196</v>
      </c>
      <c r="C2464" s="1">
        <v>42722</v>
      </c>
      <c r="D2464" s="22">
        <f>MONTH(Table10[[#This Row],[Order Date]])</f>
        <v>12</v>
      </c>
      <c r="E2464" t="s">
        <v>1640</v>
      </c>
      <c r="F2464" t="s">
        <v>1641</v>
      </c>
      <c r="G2464" s="23" t="s">
        <v>64</v>
      </c>
      <c r="H2464" s="23" t="s">
        <v>144</v>
      </c>
      <c r="I2464" t="s">
        <v>1459</v>
      </c>
      <c r="J2464" t="s">
        <v>22</v>
      </c>
      <c r="K2464" s="22">
        <v>2</v>
      </c>
      <c r="L2464" s="1">
        <v>42728</v>
      </c>
      <c r="M2464" s="22">
        <f>Table10[[#This Row],[Ship Date]]-Table10[[#This Row],[Order Date]]</f>
        <v>6</v>
      </c>
      <c r="N2464" t="s">
        <v>45</v>
      </c>
      <c r="O2464" t="s">
        <v>23</v>
      </c>
      <c r="P2464" t="s">
        <v>38</v>
      </c>
      <c r="Q2464" t="s">
        <v>39</v>
      </c>
      <c r="R2464" t="s">
        <v>836</v>
      </c>
      <c r="S2464" s="33">
        <v>0</v>
      </c>
      <c r="T2464" s="13">
        <v>72.64</v>
      </c>
      <c r="U2464" s="13">
        <v>21.792000000000002</v>
      </c>
      <c r="V2464" s="21">
        <f>Table10[[#This Row],[Profit]]/Table10[[#This Row],[Sales]]</f>
        <v>0.30000000000000004</v>
      </c>
    </row>
    <row r="2465" spans="1:22" x14ac:dyDescent="0.2">
      <c r="A2465">
        <v>2464</v>
      </c>
      <c r="B2465" t="s">
        <v>7196</v>
      </c>
      <c r="C2465" s="1">
        <v>42722</v>
      </c>
      <c r="D2465" s="22">
        <f>MONTH(Table10[[#This Row],[Order Date]])</f>
        <v>12</v>
      </c>
      <c r="E2465" t="s">
        <v>800</v>
      </c>
      <c r="F2465" t="s">
        <v>801</v>
      </c>
      <c r="G2465" s="23" t="s">
        <v>64</v>
      </c>
      <c r="H2465" s="23" t="s">
        <v>144</v>
      </c>
      <c r="I2465" t="s">
        <v>1459</v>
      </c>
      <c r="J2465" t="s">
        <v>22</v>
      </c>
      <c r="K2465" s="22">
        <v>3</v>
      </c>
      <c r="L2465" s="1">
        <v>42728</v>
      </c>
      <c r="M2465" s="22">
        <f>Table10[[#This Row],[Ship Date]]-Table10[[#This Row],[Order Date]]</f>
        <v>6</v>
      </c>
      <c r="N2465" t="s">
        <v>45</v>
      </c>
      <c r="O2465" t="s">
        <v>23</v>
      </c>
      <c r="P2465" t="s">
        <v>38</v>
      </c>
      <c r="Q2465" t="s">
        <v>39</v>
      </c>
      <c r="R2465" t="s">
        <v>836</v>
      </c>
      <c r="S2465" s="33">
        <v>0</v>
      </c>
      <c r="T2465" s="13">
        <v>772.47</v>
      </c>
      <c r="U2465" s="13">
        <v>146.76929999999999</v>
      </c>
      <c r="V2465" s="21">
        <f>Table10[[#This Row],[Profit]]/Table10[[#This Row],[Sales]]</f>
        <v>0.18999999999999997</v>
      </c>
    </row>
    <row r="2466" spans="1:22" x14ac:dyDescent="0.2">
      <c r="A2466">
        <v>2465</v>
      </c>
      <c r="B2466" t="s">
        <v>7196</v>
      </c>
      <c r="C2466" s="1">
        <v>42722</v>
      </c>
      <c r="D2466" s="22">
        <f>MONTH(Table10[[#This Row],[Order Date]])</f>
        <v>12</v>
      </c>
      <c r="E2466" t="s">
        <v>6388</v>
      </c>
      <c r="F2466" t="s">
        <v>6389</v>
      </c>
      <c r="G2466" s="23" t="s">
        <v>28</v>
      </c>
      <c r="H2466" s="23" t="s">
        <v>58</v>
      </c>
      <c r="I2466" t="s">
        <v>1459</v>
      </c>
      <c r="J2466" t="s">
        <v>22</v>
      </c>
      <c r="K2466" s="22">
        <v>4</v>
      </c>
      <c r="L2466" s="1">
        <v>42728</v>
      </c>
      <c r="M2466" s="22">
        <f>Table10[[#This Row],[Ship Date]]-Table10[[#This Row],[Order Date]]</f>
        <v>6</v>
      </c>
      <c r="N2466" t="s">
        <v>45</v>
      </c>
      <c r="O2466" t="s">
        <v>23</v>
      </c>
      <c r="P2466" t="s">
        <v>38</v>
      </c>
      <c r="Q2466" t="s">
        <v>39</v>
      </c>
      <c r="R2466" t="s">
        <v>836</v>
      </c>
      <c r="S2466" s="33">
        <v>0</v>
      </c>
      <c r="T2466" s="13">
        <v>39.92</v>
      </c>
      <c r="U2466" s="13">
        <v>11.1776</v>
      </c>
      <c r="V2466" s="21">
        <f>Table10[[#This Row],[Profit]]/Table10[[#This Row],[Sales]]</f>
        <v>0.27999999999999997</v>
      </c>
    </row>
    <row r="2467" spans="1:22" x14ac:dyDescent="0.2">
      <c r="A2467">
        <v>2466</v>
      </c>
      <c r="B2467" t="s">
        <v>7644</v>
      </c>
      <c r="C2467" s="1">
        <v>42722</v>
      </c>
      <c r="D2467" s="22">
        <f>MONTH(Table10[[#This Row],[Order Date]])</f>
        <v>12</v>
      </c>
      <c r="E2467" t="s">
        <v>1524</v>
      </c>
      <c r="F2467" t="s">
        <v>1525</v>
      </c>
      <c r="G2467" s="23" t="s">
        <v>41</v>
      </c>
      <c r="H2467" s="23" t="s">
        <v>68</v>
      </c>
      <c r="I2467" t="s">
        <v>4438</v>
      </c>
      <c r="J2467" t="s">
        <v>92</v>
      </c>
      <c r="K2467" s="22">
        <v>4</v>
      </c>
      <c r="L2467" s="1">
        <v>42725</v>
      </c>
      <c r="M2467" s="22">
        <f>Table10[[#This Row],[Ship Date]]-Table10[[#This Row],[Order Date]]</f>
        <v>3</v>
      </c>
      <c r="N2467" t="s">
        <v>169</v>
      </c>
      <c r="O2467" t="s">
        <v>23</v>
      </c>
      <c r="P2467" t="s">
        <v>374</v>
      </c>
      <c r="Q2467" t="s">
        <v>39</v>
      </c>
      <c r="R2467" t="s">
        <v>1744</v>
      </c>
      <c r="S2467" s="33">
        <v>0.7</v>
      </c>
      <c r="T2467" s="13">
        <v>45.24</v>
      </c>
      <c r="U2467" s="13">
        <v>-30.16</v>
      </c>
      <c r="V2467" s="21">
        <f>Table10[[#This Row],[Profit]]/Table10[[#This Row],[Sales]]</f>
        <v>-0.66666666666666663</v>
      </c>
    </row>
    <row r="2468" spans="1:22" x14ac:dyDescent="0.2">
      <c r="A2468">
        <v>2467</v>
      </c>
      <c r="B2468" t="s">
        <v>7644</v>
      </c>
      <c r="C2468" s="1">
        <v>42722</v>
      </c>
      <c r="D2468" s="22">
        <f>MONTH(Table10[[#This Row],[Order Date]])</f>
        <v>12</v>
      </c>
      <c r="E2468" t="s">
        <v>1754</v>
      </c>
      <c r="F2468" t="s">
        <v>1755</v>
      </c>
      <c r="G2468" s="23" t="s">
        <v>41</v>
      </c>
      <c r="H2468" s="23" t="s">
        <v>61</v>
      </c>
      <c r="I2468" t="s">
        <v>4438</v>
      </c>
      <c r="J2468" t="s">
        <v>92</v>
      </c>
      <c r="K2468" s="22">
        <v>4</v>
      </c>
      <c r="L2468" s="1">
        <v>42725</v>
      </c>
      <c r="M2468" s="22">
        <f>Table10[[#This Row],[Ship Date]]-Table10[[#This Row],[Order Date]]</f>
        <v>3</v>
      </c>
      <c r="N2468" t="s">
        <v>169</v>
      </c>
      <c r="O2468" t="s">
        <v>23</v>
      </c>
      <c r="P2468" t="s">
        <v>374</v>
      </c>
      <c r="Q2468" t="s">
        <v>39</v>
      </c>
      <c r="R2468" t="s">
        <v>1744</v>
      </c>
      <c r="S2468" s="33">
        <v>0.2</v>
      </c>
      <c r="T2468" s="13">
        <v>18.687999999999999</v>
      </c>
      <c r="U2468" s="13">
        <v>2.3359999999999999</v>
      </c>
      <c r="V2468" s="21">
        <f>Table10[[#This Row],[Profit]]/Table10[[#This Row],[Sales]]</f>
        <v>0.125</v>
      </c>
    </row>
    <row r="2469" spans="1:22" x14ac:dyDescent="0.2">
      <c r="A2469">
        <v>2468</v>
      </c>
      <c r="B2469" t="s">
        <v>7644</v>
      </c>
      <c r="C2469" s="1">
        <v>42722</v>
      </c>
      <c r="D2469" s="22">
        <f>MONTH(Table10[[#This Row],[Order Date]])</f>
        <v>12</v>
      </c>
      <c r="E2469" t="s">
        <v>7572</v>
      </c>
      <c r="F2469" t="s">
        <v>7573</v>
      </c>
      <c r="G2469" s="23" t="s">
        <v>41</v>
      </c>
      <c r="H2469" s="23" t="s">
        <v>82</v>
      </c>
      <c r="I2469" t="s">
        <v>4438</v>
      </c>
      <c r="J2469" t="s">
        <v>92</v>
      </c>
      <c r="K2469" s="22">
        <v>2</v>
      </c>
      <c r="L2469" s="1">
        <v>42725</v>
      </c>
      <c r="M2469" s="22">
        <f>Table10[[#This Row],[Ship Date]]-Table10[[#This Row],[Order Date]]</f>
        <v>3</v>
      </c>
      <c r="N2469" t="s">
        <v>169</v>
      </c>
      <c r="O2469" t="s">
        <v>23</v>
      </c>
      <c r="P2469" t="s">
        <v>374</v>
      </c>
      <c r="Q2469" t="s">
        <v>39</v>
      </c>
      <c r="R2469" t="s">
        <v>1744</v>
      </c>
      <c r="S2469" s="33">
        <v>0.2</v>
      </c>
      <c r="T2469" s="13">
        <v>11.648</v>
      </c>
      <c r="U2469" s="13">
        <v>3.7856000000000001</v>
      </c>
      <c r="V2469" s="21">
        <f>Table10[[#This Row],[Profit]]/Table10[[#This Row],[Sales]]</f>
        <v>0.32500000000000001</v>
      </c>
    </row>
    <row r="2470" spans="1:22" x14ac:dyDescent="0.2">
      <c r="A2470">
        <v>2469</v>
      </c>
      <c r="B2470" t="s">
        <v>7644</v>
      </c>
      <c r="C2470" s="1">
        <v>42722</v>
      </c>
      <c r="D2470" s="22">
        <f>MONTH(Table10[[#This Row],[Order Date]])</f>
        <v>12</v>
      </c>
      <c r="E2470" t="s">
        <v>1501</v>
      </c>
      <c r="F2470" t="s">
        <v>1502</v>
      </c>
      <c r="G2470" s="23" t="s">
        <v>64</v>
      </c>
      <c r="H2470" s="23" t="s">
        <v>144</v>
      </c>
      <c r="I2470" t="s">
        <v>4438</v>
      </c>
      <c r="J2470" t="s">
        <v>92</v>
      </c>
      <c r="K2470" s="22">
        <v>3</v>
      </c>
      <c r="L2470" s="1">
        <v>42725</v>
      </c>
      <c r="M2470" s="22">
        <f>Table10[[#This Row],[Ship Date]]-Table10[[#This Row],[Order Date]]</f>
        <v>3</v>
      </c>
      <c r="N2470" t="s">
        <v>169</v>
      </c>
      <c r="O2470" t="s">
        <v>23</v>
      </c>
      <c r="P2470" t="s">
        <v>374</v>
      </c>
      <c r="Q2470" t="s">
        <v>39</v>
      </c>
      <c r="R2470" t="s">
        <v>1744</v>
      </c>
      <c r="S2470" s="33">
        <v>0.2</v>
      </c>
      <c r="T2470" s="13">
        <v>112.776</v>
      </c>
      <c r="U2470" s="13">
        <v>-8.4581999999999997</v>
      </c>
      <c r="V2470" s="21">
        <f>Table10[[#This Row],[Profit]]/Table10[[#This Row],[Sales]]</f>
        <v>-7.4999999999999997E-2</v>
      </c>
    </row>
    <row r="2471" spans="1:22" x14ac:dyDescent="0.2">
      <c r="A2471">
        <v>2470</v>
      </c>
      <c r="B2471" t="s">
        <v>7644</v>
      </c>
      <c r="C2471" s="1">
        <v>42722</v>
      </c>
      <c r="D2471" s="22">
        <f>MONTH(Table10[[#This Row],[Order Date]])</f>
        <v>12</v>
      </c>
      <c r="E2471" t="s">
        <v>3457</v>
      </c>
      <c r="F2471" t="s">
        <v>3458</v>
      </c>
      <c r="G2471" s="23" t="s">
        <v>28</v>
      </c>
      <c r="H2471" s="23" t="s">
        <v>50</v>
      </c>
      <c r="I2471" t="s">
        <v>4438</v>
      </c>
      <c r="J2471" t="s">
        <v>92</v>
      </c>
      <c r="K2471" s="22">
        <v>5</v>
      </c>
      <c r="L2471" s="1">
        <v>42725</v>
      </c>
      <c r="M2471" s="22">
        <f>Table10[[#This Row],[Ship Date]]-Table10[[#This Row],[Order Date]]</f>
        <v>3</v>
      </c>
      <c r="N2471" t="s">
        <v>169</v>
      </c>
      <c r="O2471" t="s">
        <v>23</v>
      </c>
      <c r="P2471" t="s">
        <v>374</v>
      </c>
      <c r="Q2471" t="s">
        <v>39</v>
      </c>
      <c r="R2471" t="s">
        <v>1744</v>
      </c>
      <c r="S2471" s="33">
        <v>0.5</v>
      </c>
      <c r="T2471" s="13">
        <v>377.45</v>
      </c>
      <c r="U2471" s="13">
        <v>-264.21499999999997</v>
      </c>
      <c r="V2471" s="21">
        <f>Table10[[#This Row],[Profit]]/Table10[[#This Row],[Sales]]</f>
        <v>-0.7</v>
      </c>
    </row>
    <row r="2472" spans="1:22" x14ac:dyDescent="0.2">
      <c r="A2472">
        <v>2471</v>
      </c>
      <c r="B2472" t="s">
        <v>7644</v>
      </c>
      <c r="C2472" s="1">
        <v>42722</v>
      </c>
      <c r="D2472" s="22">
        <f>MONTH(Table10[[#This Row],[Order Date]])</f>
        <v>12</v>
      </c>
      <c r="E2472" t="s">
        <v>5736</v>
      </c>
      <c r="F2472" t="s">
        <v>5737</v>
      </c>
      <c r="G2472" s="23" t="s">
        <v>41</v>
      </c>
      <c r="H2472" s="23" t="s">
        <v>42</v>
      </c>
      <c r="I2472" t="s">
        <v>4438</v>
      </c>
      <c r="J2472" t="s">
        <v>92</v>
      </c>
      <c r="K2472" s="22">
        <v>4</v>
      </c>
      <c r="L2472" s="1">
        <v>42725</v>
      </c>
      <c r="M2472" s="22">
        <f>Table10[[#This Row],[Ship Date]]-Table10[[#This Row],[Order Date]]</f>
        <v>3</v>
      </c>
      <c r="N2472" t="s">
        <v>169</v>
      </c>
      <c r="O2472" t="s">
        <v>23</v>
      </c>
      <c r="P2472" t="s">
        <v>374</v>
      </c>
      <c r="Q2472" t="s">
        <v>39</v>
      </c>
      <c r="R2472" t="s">
        <v>1744</v>
      </c>
      <c r="S2472" s="33">
        <v>0.2</v>
      </c>
      <c r="T2472" s="13">
        <v>15.936</v>
      </c>
      <c r="U2472" s="13">
        <v>5.1791999999999998</v>
      </c>
      <c r="V2472" s="21">
        <f>Table10[[#This Row],[Profit]]/Table10[[#This Row],[Sales]]</f>
        <v>0.32500000000000001</v>
      </c>
    </row>
    <row r="2473" spans="1:22" x14ac:dyDescent="0.2">
      <c r="A2473">
        <v>2472</v>
      </c>
      <c r="B2473" t="s">
        <v>7644</v>
      </c>
      <c r="C2473" s="1">
        <v>42722</v>
      </c>
      <c r="D2473" s="22">
        <f>MONTH(Table10[[#This Row],[Order Date]])</f>
        <v>12</v>
      </c>
      <c r="E2473" t="s">
        <v>5058</v>
      </c>
      <c r="F2473" t="s">
        <v>5059</v>
      </c>
      <c r="G2473" s="23" t="s">
        <v>64</v>
      </c>
      <c r="H2473" s="23" t="s">
        <v>65</v>
      </c>
      <c r="I2473" t="s">
        <v>4438</v>
      </c>
      <c r="J2473" t="s">
        <v>92</v>
      </c>
      <c r="K2473" s="22">
        <v>3</v>
      </c>
      <c r="L2473" s="1">
        <v>42725</v>
      </c>
      <c r="M2473" s="22">
        <f>Table10[[#This Row],[Ship Date]]-Table10[[#This Row],[Order Date]]</f>
        <v>3</v>
      </c>
      <c r="N2473" t="s">
        <v>169</v>
      </c>
      <c r="O2473" t="s">
        <v>23</v>
      </c>
      <c r="P2473" t="s">
        <v>374</v>
      </c>
      <c r="Q2473" t="s">
        <v>39</v>
      </c>
      <c r="R2473" t="s">
        <v>1744</v>
      </c>
      <c r="S2473" s="33">
        <v>0.2</v>
      </c>
      <c r="T2473" s="13">
        <v>28.68</v>
      </c>
      <c r="U2473" s="13">
        <v>-7.17</v>
      </c>
      <c r="V2473" s="21">
        <f>Table10[[#This Row],[Profit]]/Table10[[#This Row],[Sales]]</f>
        <v>-0.25</v>
      </c>
    </row>
    <row r="2474" spans="1:22" x14ac:dyDescent="0.2">
      <c r="A2474">
        <v>2473</v>
      </c>
      <c r="B2474" t="s">
        <v>8766</v>
      </c>
      <c r="C2474" s="1">
        <v>42722</v>
      </c>
      <c r="D2474" s="22">
        <f>MONTH(Table10[[#This Row],[Order Date]])</f>
        <v>12</v>
      </c>
      <c r="E2474" t="s">
        <v>1707</v>
      </c>
      <c r="F2474" t="s">
        <v>1708</v>
      </c>
      <c r="G2474" s="23" t="s">
        <v>28</v>
      </c>
      <c r="H2474" s="23" t="s">
        <v>32</v>
      </c>
      <c r="I2474" t="s">
        <v>378</v>
      </c>
      <c r="J2474" t="s">
        <v>92</v>
      </c>
      <c r="K2474" s="22">
        <v>3</v>
      </c>
      <c r="L2474" s="1">
        <v>42725</v>
      </c>
      <c r="M2474" s="22">
        <f>Table10[[#This Row],[Ship Date]]-Table10[[#This Row],[Order Date]]</f>
        <v>3</v>
      </c>
      <c r="N2474" t="s">
        <v>169</v>
      </c>
      <c r="O2474" t="s">
        <v>23</v>
      </c>
      <c r="P2474" t="s">
        <v>124</v>
      </c>
      <c r="Q2474" t="s">
        <v>95</v>
      </c>
      <c r="R2474" t="s">
        <v>2226</v>
      </c>
      <c r="S2474" s="33">
        <v>0</v>
      </c>
      <c r="T2474" s="13">
        <v>563.94000000000005</v>
      </c>
      <c r="U2474" s="13">
        <v>112.788</v>
      </c>
      <c r="V2474" s="21">
        <f>Table10[[#This Row],[Profit]]/Table10[[#This Row],[Sales]]</f>
        <v>0.19999999999999998</v>
      </c>
    </row>
    <row r="2475" spans="1:22" x14ac:dyDescent="0.2">
      <c r="A2475">
        <v>2474</v>
      </c>
      <c r="B2475" t="s">
        <v>9523</v>
      </c>
      <c r="C2475" s="1">
        <v>42722</v>
      </c>
      <c r="D2475" s="22">
        <f>MONTH(Table10[[#This Row],[Order Date]])</f>
        <v>12</v>
      </c>
      <c r="E2475" t="s">
        <v>676</v>
      </c>
      <c r="F2475" t="s">
        <v>677</v>
      </c>
      <c r="G2475" s="23" t="s">
        <v>64</v>
      </c>
      <c r="H2475" s="23" t="s">
        <v>65</v>
      </c>
      <c r="I2475" t="s">
        <v>5489</v>
      </c>
      <c r="J2475" t="s">
        <v>36</v>
      </c>
      <c r="K2475" s="22">
        <v>7</v>
      </c>
      <c r="L2475" s="1">
        <v>42724</v>
      </c>
      <c r="M2475" s="22">
        <f>Table10[[#This Row],[Ship Date]]-Table10[[#This Row],[Order Date]]</f>
        <v>2</v>
      </c>
      <c r="N2475" t="s">
        <v>169</v>
      </c>
      <c r="O2475" t="s">
        <v>23</v>
      </c>
      <c r="P2475" t="s">
        <v>38</v>
      </c>
      <c r="Q2475" t="s">
        <v>39</v>
      </c>
      <c r="R2475" t="s">
        <v>114</v>
      </c>
      <c r="S2475" s="33">
        <v>0.2</v>
      </c>
      <c r="T2475" s="13">
        <v>66.975999999999999</v>
      </c>
      <c r="U2475" s="13">
        <v>6.6976000000000004</v>
      </c>
      <c r="V2475" s="21">
        <f>Table10[[#This Row],[Profit]]/Table10[[#This Row],[Sales]]</f>
        <v>0.1</v>
      </c>
    </row>
    <row r="2476" spans="1:22" x14ac:dyDescent="0.2">
      <c r="A2476">
        <v>2475</v>
      </c>
      <c r="B2476" t="s">
        <v>7554</v>
      </c>
      <c r="C2476" s="1">
        <v>42723</v>
      </c>
      <c r="D2476" s="22">
        <f>MONTH(Table10[[#This Row],[Order Date]])</f>
        <v>12</v>
      </c>
      <c r="E2476" t="s">
        <v>7555</v>
      </c>
      <c r="F2476" t="s">
        <v>7556</v>
      </c>
      <c r="G2476" s="23" t="s">
        <v>28</v>
      </c>
      <c r="H2476" s="23" t="s">
        <v>50</v>
      </c>
      <c r="I2476" t="s">
        <v>197</v>
      </c>
      <c r="J2476" t="s">
        <v>36</v>
      </c>
      <c r="K2476" s="22">
        <v>6</v>
      </c>
      <c r="L2476" s="1">
        <v>42729</v>
      </c>
      <c r="M2476" s="22">
        <f>Table10[[#This Row],[Ship Date]]-Table10[[#This Row],[Order Date]]</f>
        <v>6</v>
      </c>
      <c r="N2476" t="s">
        <v>45</v>
      </c>
      <c r="O2476" t="s">
        <v>23</v>
      </c>
      <c r="P2476" t="s">
        <v>277</v>
      </c>
      <c r="Q2476" t="s">
        <v>39</v>
      </c>
      <c r="R2476" t="s">
        <v>1159</v>
      </c>
      <c r="S2476" s="33">
        <v>0.5</v>
      </c>
      <c r="T2476" s="13">
        <v>455.97</v>
      </c>
      <c r="U2476" s="13">
        <v>-218.8656</v>
      </c>
      <c r="V2476" s="21">
        <f>Table10[[#This Row],[Profit]]/Table10[[#This Row],[Sales]]</f>
        <v>-0.48</v>
      </c>
    </row>
    <row r="2477" spans="1:22" x14ac:dyDescent="0.2">
      <c r="A2477">
        <v>2476</v>
      </c>
      <c r="B2477" t="s">
        <v>7554</v>
      </c>
      <c r="C2477" s="1">
        <v>42723</v>
      </c>
      <c r="D2477" s="22">
        <f>MONTH(Table10[[#This Row],[Order Date]])</f>
        <v>12</v>
      </c>
      <c r="E2477" t="s">
        <v>5472</v>
      </c>
      <c r="F2477" t="s">
        <v>5473</v>
      </c>
      <c r="G2477" s="23" t="s">
        <v>41</v>
      </c>
      <c r="H2477" s="23" t="s">
        <v>68</v>
      </c>
      <c r="I2477" t="s">
        <v>197</v>
      </c>
      <c r="J2477" t="s">
        <v>36</v>
      </c>
      <c r="K2477" s="22">
        <v>6</v>
      </c>
      <c r="L2477" s="1">
        <v>42729</v>
      </c>
      <c r="M2477" s="22">
        <f>Table10[[#This Row],[Ship Date]]-Table10[[#This Row],[Order Date]]</f>
        <v>6</v>
      </c>
      <c r="N2477" t="s">
        <v>45</v>
      </c>
      <c r="O2477" t="s">
        <v>23</v>
      </c>
      <c r="P2477" t="s">
        <v>277</v>
      </c>
      <c r="Q2477" t="s">
        <v>39</v>
      </c>
      <c r="R2477" t="s">
        <v>1159</v>
      </c>
      <c r="S2477" s="33">
        <v>0.7</v>
      </c>
      <c r="T2477" s="13">
        <v>10.44</v>
      </c>
      <c r="U2477" s="13">
        <v>-7.6559999999999997</v>
      </c>
      <c r="V2477" s="21">
        <f>Table10[[#This Row],[Profit]]/Table10[[#This Row],[Sales]]</f>
        <v>-0.73333333333333339</v>
      </c>
    </row>
    <row r="2478" spans="1:22" x14ac:dyDescent="0.2">
      <c r="A2478">
        <v>2477</v>
      </c>
      <c r="B2478" t="s">
        <v>7554</v>
      </c>
      <c r="C2478" s="1">
        <v>42723</v>
      </c>
      <c r="D2478" s="22">
        <f>MONTH(Table10[[#This Row],[Order Date]])</f>
        <v>12</v>
      </c>
      <c r="E2478" t="s">
        <v>1811</v>
      </c>
      <c r="F2478" t="s">
        <v>1812</v>
      </c>
      <c r="G2478" s="23" t="s">
        <v>41</v>
      </c>
      <c r="H2478" s="23" t="s">
        <v>68</v>
      </c>
      <c r="I2478" t="s">
        <v>197</v>
      </c>
      <c r="J2478" t="s">
        <v>36</v>
      </c>
      <c r="K2478" s="22">
        <v>2</v>
      </c>
      <c r="L2478" s="1">
        <v>42729</v>
      </c>
      <c r="M2478" s="22">
        <f>Table10[[#This Row],[Ship Date]]-Table10[[#This Row],[Order Date]]</f>
        <v>6</v>
      </c>
      <c r="N2478" t="s">
        <v>45</v>
      </c>
      <c r="O2478" t="s">
        <v>23</v>
      </c>
      <c r="P2478" t="s">
        <v>277</v>
      </c>
      <c r="Q2478" t="s">
        <v>39</v>
      </c>
      <c r="R2478" t="s">
        <v>1159</v>
      </c>
      <c r="S2478" s="33">
        <v>0.7</v>
      </c>
      <c r="T2478" s="13">
        <v>5.2140000000000004</v>
      </c>
      <c r="U2478" s="13">
        <v>-4.1711999999999998</v>
      </c>
      <c r="V2478" s="21">
        <f>Table10[[#This Row],[Profit]]/Table10[[#This Row],[Sales]]</f>
        <v>-0.79999999999999993</v>
      </c>
    </row>
    <row r="2479" spans="1:22" x14ac:dyDescent="0.2">
      <c r="A2479">
        <v>2478</v>
      </c>
      <c r="B2479" t="s">
        <v>7957</v>
      </c>
      <c r="C2479" s="1">
        <v>42723</v>
      </c>
      <c r="D2479" s="22">
        <f>MONTH(Table10[[#This Row],[Order Date]])</f>
        <v>12</v>
      </c>
      <c r="E2479" t="s">
        <v>5134</v>
      </c>
      <c r="F2479" t="s">
        <v>5135</v>
      </c>
      <c r="G2479" s="23" t="s">
        <v>41</v>
      </c>
      <c r="H2479" s="23" t="s">
        <v>68</v>
      </c>
      <c r="I2479" t="s">
        <v>7958</v>
      </c>
      <c r="J2479" t="s">
        <v>36</v>
      </c>
      <c r="K2479" s="22">
        <v>3</v>
      </c>
      <c r="L2479" s="1">
        <v>42728</v>
      </c>
      <c r="M2479" s="22">
        <f>Table10[[#This Row],[Ship Date]]-Table10[[#This Row],[Order Date]]</f>
        <v>5</v>
      </c>
      <c r="N2479" t="s">
        <v>20</v>
      </c>
      <c r="O2479" t="s">
        <v>23</v>
      </c>
      <c r="P2479" t="s">
        <v>238</v>
      </c>
      <c r="Q2479" t="s">
        <v>133</v>
      </c>
      <c r="R2479" t="s">
        <v>237</v>
      </c>
      <c r="S2479" s="33">
        <v>0.2</v>
      </c>
      <c r="T2479" s="13">
        <v>34.247999999999998</v>
      </c>
      <c r="U2479" s="13">
        <v>11.5587</v>
      </c>
      <c r="V2479" s="21">
        <f>Table10[[#This Row],[Profit]]/Table10[[#This Row],[Sales]]</f>
        <v>0.33750000000000002</v>
      </c>
    </row>
    <row r="2480" spans="1:22" x14ac:dyDescent="0.2">
      <c r="A2480">
        <v>2479</v>
      </c>
      <c r="B2480" t="s">
        <v>7957</v>
      </c>
      <c r="C2480" s="1">
        <v>42723</v>
      </c>
      <c r="D2480" s="22">
        <f>MONTH(Table10[[#This Row],[Order Date]])</f>
        <v>12</v>
      </c>
      <c r="E2480" t="s">
        <v>2842</v>
      </c>
      <c r="F2480" t="s">
        <v>2843</v>
      </c>
      <c r="G2480" s="23" t="s">
        <v>41</v>
      </c>
      <c r="H2480" s="23" t="s">
        <v>61</v>
      </c>
      <c r="I2480" t="s">
        <v>7958</v>
      </c>
      <c r="J2480" t="s">
        <v>36</v>
      </c>
      <c r="K2480" s="22">
        <v>2</v>
      </c>
      <c r="L2480" s="1">
        <v>42728</v>
      </c>
      <c r="M2480" s="22">
        <f>Table10[[#This Row],[Ship Date]]-Table10[[#This Row],[Order Date]]</f>
        <v>5</v>
      </c>
      <c r="N2480" t="s">
        <v>20</v>
      </c>
      <c r="O2480" t="s">
        <v>23</v>
      </c>
      <c r="P2480" t="s">
        <v>238</v>
      </c>
      <c r="Q2480" t="s">
        <v>133</v>
      </c>
      <c r="R2480" t="s">
        <v>237</v>
      </c>
      <c r="S2480" s="33">
        <v>0</v>
      </c>
      <c r="T2480" s="13">
        <v>3.52</v>
      </c>
      <c r="U2480" s="13">
        <v>1.0207999999999999</v>
      </c>
      <c r="V2480" s="21">
        <f>Table10[[#This Row],[Profit]]/Table10[[#This Row],[Sales]]</f>
        <v>0.28999999999999998</v>
      </c>
    </row>
    <row r="2481" spans="1:22" x14ac:dyDescent="0.2">
      <c r="A2481">
        <v>2480</v>
      </c>
      <c r="B2481" t="s">
        <v>8891</v>
      </c>
      <c r="C2481" s="1">
        <v>42723</v>
      </c>
      <c r="D2481" s="22">
        <f>MONTH(Table10[[#This Row],[Order Date]])</f>
        <v>12</v>
      </c>
      <c r="E2481" t="s">
        <v>2585</v>
      </c>
      <c r="F2481" t="s">
        <v>2586</v>
      </c>
      <c r="G2481" s="23" t="s">
        <v>41</v>
      </c>
      <c r="H2481" s="23" t="s">
        <v>68</v>
      </c>
      <c r="I2481" t="s">
        <v>7788</v>
      </c>
      <c r="J2481" t="s">
        <v>36</v>
      </c>
      <c r="K2481" s="22">
        <v>5</v>
      </c>
      <c r="L2481" s="1">
        <v>42728</v>
      </c>
      <c r="M2481" s="22">
        <f>Table10[[#This Row],[Ship Date]]-Table10[[#This Row],[Order Date]]</f>
        <v>5</v>
      </c>
      <c r="N2481" t="s">
        <v>45</v>
      </c>
      <c r="O2481" t="s">
        <v>23</v>
      </c>
      <c r="P2481" t="s">
        <v>189</v>
      </c>
      <c r="Q2481" t="s">
        <v>95</v>
      </c>
      <c r="R2481" t="s">
        <v>271</v>
      </c>
      <c r="S2481" s="33">
        <v>0.8</v>
      </c>
      <c r="T2481" s="13">
        <v>1.8</v>
      </c>
      <c r="U2481" s="13">
        <v>-2.88</v>
      </c>
      <c r="V2481" s="21">
        <f>Table10[[#This Row],[Profit]]/Table10[[#This Row],[Sales]]</f>
        <v>-1.5999999999999999</v>
      </c>
    </row>
    <row r="2482" spans="1:22" x14ac:dyDescent="0.2">
      <c r="A2482">
        <v>2481</v>
      </c>
      <c r="B2482" t="s">
        <v>9243</v>
      </c>
      <c r="C2482" s="1">
        <v>42723</v>
      </c>
      <c r="D2482" s="22">
        <f>MONTH(Table10[[#This Row],[Order Date]])</f>
        <v>12</v>
      </c>
      <c r="E2482" t="s">
        <v>6296</v>
      </c>
      <c r="F2482" t="s">
        <v>6297</v>
      </c>
      <c r="G2482" s="23" t="s">
        <v>28</v>
      </c>
      <c r="H2482" s="23" t="s">
        <v>58</v>
      </c>
      <c r="I2482" t="s">
        <v>431</v>
      </c>
      <c r="J2482" t="s">
        <v>22</v>
      </c>
      <c r="K2482" s="22">
        <v>5</v>
      </c>
      <c r="L2482" s="1">
        <v>42725</v>
      </c>
      <c r="M2482" s="22">
        <f>Table10[[#This Row],[Ship Date]]-Table10[[#This Row],[Order Date]]</f>
        <v>2</v>
      </c>
      <c r="N2482" t="s">
        <v>20</v>
      </c>
      <c r="O2482" t="s">
        <v>23</v>
      </c>
      <c r="P2482" t="s">
        <v>132</v>
      </c>
      <c r="Q2482" t="s">
        <v>133</v>
      </c>
      <c r="R2482" t="s">
        <v>4223</v>
      </c>
      <c r="S2482" s="33">
        <v>0.2</v>
      </c>
      <c r="T2482" s="13">
        <v>303.92</v>
      </c>
      <c r="U2482" s="13">
        <v>-30.391999999999999</v>
      </c>
      <c r="V2482" s="21">
        <f>Table10[[#This Row],[Profit]]/Table10[[#This Row],[Sales]]</f>
        <v>-9.9999999999999992E-2</v>
      </c>
    </row>
    <row r="2483" spans="1:22" x14ac:dyDescent="0.2">
      <c r="A2483">
        <v>2482</v>
      </c>
      <c r="B2483" t="s">
        <v>5997</v>
      </c>
      <c r="C2483" s="1">
        <v>42724</v>
      </c>
      <c r="D2483" s="22">
        <f>MONTH(Table10[[#This Row],[Order Date]])</f>
        <v>12</v>
      </c>
      <c r="E2483" t="s">
        <v>665</v>
      </c>
      <c r="F2483" t="s">
        <v>666</v>
      </c>
      <c r="G2483" s="23" t="s">
        <v>64</v>
      </c>
      <c r="H2483" s="23" t="s">
        <v>144</v>
      </c>
      <c r="I2483" t="s">
        <v>4333</v>
      </c>
      <c r="J2483" t="s">
        <v>22</v>
      </c>
      <c r="K2483" s="22">
        <v>3</v>
      </c>
      <c r="L2483" s="1">
        <v>42728</v>
      </c>
      <c r="M2483" s="22">
        <f>Table10[[#This Row],[Ship Date]]-Table10[[#This Row],[Order Date]]</f>
        <v>4</v>
      </c>
      <c r="N2483" t="s">
        <v>45</v>
      </c>
      <c r="O2483" t="s">
        <v>23</v>
      </c>
      <c r="P2483" t="s">
        <v>1315</v>
      </c>
      <c r="Q2483" t="s">
        <v>26</v>
      </c>
      <c r="R2483" t="s">
        <v>293</v>
      </c>
      <c r="S2483" s="33">
        <v>0</v>
      </c>
      <c r="T2483" s="13">
        <v>66.3</v>
      </c>
      <c r="U2483" s="13">
        <v>8.6189999999999998</v>
      </c>
      <c r="V2483" s="21">
        <f>Table10[[#This Row],[Profit]]/Table10[[#This Row],[Sales]]</f>
        <v>0.13</v>
      </c>
    </row>
    <row r="2484" spans="1:22" x14ac:dyDescent="0.2">
      <c r="A2484">
        <v>2483</v>
      </c>
      <c r="B2484" t="s">
        <v>6168</v>
      </c>
      <c r="C2484" s="1">
        <v>42724</v>
      </c>
      <c r="D2484" s="22">
        <f>MONTH(Table10[[#This Row],[Order Date]])</f>
        <v>12</v>
      </c>
      <c r="E2484" t="s">
        <v>1003</v>
      </c>
      <c r="F2484" t="s">
        <v>1004</v>
      </c>
      <c r="G2484" s="23" t="s">
        <v>28</v>
      </c>
      <c r="H2484" s="23" t="s">
        <v>58</v>
      </c>
      <c r="I2484" t="s">
        <v>3245</v>
      </c>
      <c r="J2484" t="s">
        <v>92</v>
      </c>
      <c r="K2484" s="22">
        <v>4</v>
      </c>
      <c r="L2484" s="1">
        <v>42728</v>
      </c>
      <c r="M2484" s="22">
        <f>Table10[[#This Row],[Ship Date]]-Table10[[#This Row],[Order Date]]</f>
        <v>4</v>
      </c>
      <c r="N2484" t="s">
        <v>45</v>
      </c>
      <c r="O2484" t="s">
        <v>23</v>
      </c>
      <c r="P2484" t="s">
        <v>1315</v>
      </c>
      <c r="Q2484" t="s">
        <v>26</v>
      </c>
      <c r="R2484" t="s">
        <v>293</v>
      </c>
      <c r="S2484" s="33">
        <v>0</v>
      </c>
      <c r="T2484" s="13">
        <v>18.920000000000002</v>
      </c>
      <c r="U2484" s="13">
        <v>7.3788</v>
      </c>
      <c r="V2484" s="21">
        <f>Table10[[#This Row],[Profit]]/Table10[[#This Row],[Sales]]</f>
        <v>0.38999999999999996</v>
      </c>
    </row>
    <row r="2485" spans="1:22" x14ac:dyDescent="0.2">
      <c r="A2485">
        <v>2484</v>
      </c>
      <c r="B2485" t="s">
        <v>6168</v>
      </c>
      <c r="C2485" s="1">
        <v>42724</v>
      </c>
      <c r="D2485" s="22">
        <f>MONTH(Table10[[#This Row],[Order Date]])</f>
        <v>12</v>
      </c>
      <c r="E2485" t="s">
        <v>67</v>
      </c>
      <c r="F2485" t="s">
        <v>69</v>
      </c>
      <c r="G2485" s="23" t="s">
        <v>41</v>
      </c>
      <c r="H2485" s="23" t="s">
        <v>68</v>
      </c>
      <c r="I2485" t="s">
        <v>3245</v>
      </c>
      <c r="J2485" t="s">
        <v>92</v>
      </c>
      <c r="K2485" s="22">
        <v>2</v>
      </c>
      <c r="L2485" s="1">
        <v>42728</v>
      </c>
      <c r="M2485" s="22">
        <f>Table10[[#This Row],[Ship Date]]-Table10[[#This Row],[Order Date]]</f>
        <v>4</v>
      </c>
      <c r="N2485" t="s">
        <v>45</v>
      </c>
      <c r="O2485" t="s">
        <v>23</v>
      </c>
      <c r="P2485" t="s">
        <v>1315</v>
      </c>
      <c r="Q2485" t="s">
        <v>26</v>
      </c>
      <c r="R2485" t="s">
        <v>293</v>
      </c>
      <c r="S2485" s="33">
        <v>0</v>
      </c>
      <c r="T2485" s="13">
        <v>15.42</v>
      </c>
      <c r="U2485" s="13">
        <v>6.9390000000000001</v>
      </c>
      <c r="V2485" s="21">
        <f>Table10[[#This Row],[Profit]]/Table10[[#This Row],[Sales]]</f>
        <v>0.45</v>
      </c>
    </row>
    <row r="2486" spans="1:22" x14ac:dyDescent="0.2">
      <c r="A2486">
        <v>2485</v>
      </c>
      <c r="B2486" t="s">
        <v>8472</v>
      </c>
      <c r="C2486" s="1">
        <v>42724</v>
      </c>
      <c r="D2486" s="22">
        <f>MONTH(Table10[[#This Row],[Order Date]])</f>
        <v>12</v>
      </c>
      <c r="E2486" t="s">
        <v>3410</v>
      </c>
      <c r="F2486" t="s">
        <v>3411</v>
      </c>
      <c r="G2486" s="23" t="s">
        <v>41</v>
      </c>
      <c r="H2486" s="23" t="s">
        <v>82</v>
      </c>
      <c r="I2486" t="s">
        <v>3220</v>
      </c>
      <c r="J2486" t="s">
        <v>22</v>
      </c>
      <c r="K2486" s="22">
        <v>5</v>
      </c>
      <c r="L2486" s="1">
        <v>42727</v>
      </c>
      <c r="M2486" s="22">
        <f>Table10[[#This Row],[Ship Date]]-Table10[[#This Row],[Order Date]]</f>
        <v>3</v>
      </c>
      <c r="N2486" t="s">
        <v>20</v>
      </c>
      <c r="O2486" t="s">
        <v>23</v>
      </c>
      <c r="P2486" t="s">
        <v>124</v>
      </c>
      <c r="Q2486" t="s">
        <v>95</v>
      </c>
      <c r="R2486" t="s">
        <v>123</v>
      </c>
      <c r="S2486" s="33">
        <v>0</v>
      </c>
      <c r="T2486" s="13">
        <v>33.9</v>
      </c>
      <c r="U2486" s="13">
        <v>15.593999999999999</v>
      </c>
      <c r="V2486" s="21">
        <f>Table10[[#This Row],[Profit]]/Table10[[#This Row],[Sales]]</f>
        <v>0.46</v>
      </c>
    </row>
    <row r="2487" spans="1:22" x14ac:dyDescent="0.2">
      <c r="A2487">
        <v>2486</v>
      </c>
      <c r="B2487" t="s">
        <v>4048</v>
      </c>
      <c r="C2487" s="1">
        <v>42726</v>
      </c>
      <c r="D2487" s="22">
        <f>MONTH(Table10[[#This Row],[Order Date]])</f>
        <v>12</v>
      </c>
      <c r="E2487" t="s">
        <v>2970</v>
      </c>
      <c r="F2487" t="s">
        <v>2971</v>
      </c>
      <c r="G2487" s="23" t="s">
        <v>41</v>
      </c>
      <c r="H2487" s="23" t="s">
        <v>68</v>
      </c>
      <c r="I2487" t="s">
        <v>1483</v>
      </c>
      <c r="J2487" t="s">
        <v>22</v>
      </c>
      <c r="K2487" s="22">
        <v>10</v>
      </c>
      <c r="L2487" s="1">
        <v>42732</v>
      </c>
      <c r="M2487" s="22">
        <f>Table10[[#This Row],[Ship Date]]-Table10[[#This Row],[Order Date]]</f>
        <v>6</v>
      </c>
      <c r="N2487" t="s">
        <v>45</v>
      </c>
      <c r="O2487" t="s">
        <v>23</v>
      </c>
      <c r="P2487" t="s">
        <v>374</v>
      </c>
      <c r="Q2487" t="s">
        <v>39</v>
      </c>
      <c r="R2487" t="s">
        <v>4049</v>
      </c>
      <c r="S2487" s="33">
        <v>0.7</v>
      </c>
      <c r="T2487" s="13">
        <v>31.32</v>
      </c>
      <c r="U2487" s="13">
        <v>-25.056000000000001</v>
      </c>
      <c r="V2487" s="21">
        <f>Table10[[#This Row],[Profit]]/Table10[[#This Row],[Sales]]</f>
        <v>-0.8</v>
      </c>
    </row>
    <row r="2488" spans="1:22" x14ac:dyDescent="0.2">
      <c r="A2488">
        <v>2487</v>
      </c>
      <c r="B2488" t="s">
        <v>4048</v>
      </c>
      <c r="C2488" s="1">
        <v>42726</v>
      </c>
      <c r="D2488" s="22">
        <f>MONTH(Table10[[#This Row],[Order Date]])</f>
        <v>12</v>
      </c>
      <c r="E2488" t="s">
        <v>1204</v>
      </c>
      <c r="F2488" t="s">
        <v>1205</v>
      </c>
      <c r="G2488" s="23" t="s">
        <v>28</v>
      </c>
      <c r="H2488" s="23" t="s">
        <v>58</v>
      </c>
      <c r="I2488" t="s">
        <v>1483</v>
      </c>
      <c r="J2488" t="s">
        <v>22</v>
      </c>
      <c r="K2488" s="22">
        <v>4</v>
      </c>
      <c r="L2488" s="1">
        <v>42732</v>
      </c>
      <c r="M2488" s="22">
        <f>Table10[[#This Row],[Ship Date]]-Table10[[#This Row],[Order Date]]</f>
        <v>6</v>
      </c>
      <c r="N2488" t="s">
        <v>45</v>
      </c>
      <c r="O2488" t="s">
        <v>23</v>
      </c>
      <c r="P2488" t="s">
        <v>374</v>
      </c>
      <c r="Q2488" t="s">
        <v>39</v>
      </c>
      <c r="R2488" t="s">
        <v>4049</v>
      </c>
      <c r="S2488" s="33">
        <v>0.2</v>
      </c>
      <c r="T2488" s="13">
        <v>11.84</v>
      </c>
      <c r="U2488" s="13">
        <v>3.1080000000000001</v>
      </c>
      <c r="V2488" s="21">
        <f>Table10[[#This Row],[Profit]]/Table10[[#This Row],[Sales]]</f>
        <v>0.26250000000000001</v>
      </c>
    </row>
    <row r="2489" spans="1:22" x14ac:dyDescent="0.2">
      <c r="A2489">
        <v>2488</v>
      </c>
      <c r="B2489" t="s">
        <v>4048</v>
      </c>
      <c r="C2489" s="1">
        <v>42726</v>
      </c>
      <c r="D2489" s="22">
        <f>MONTH(Table10[[#This Row],[Order Date]])</f>
        <v>12</v>
      </c>
      <c r="E2489" t="s">
        <v>4050</v>
      </c>
      <c r="F2489" t="s">
        <v>4051</v>
      </c>
      <c r="G2489" s="23" t="s">
        <v>28</v>
      </c>
      <c r="H2489" s="23" t="s">
        <v>58</v>
      </c>
      <c r="I2489" t="s">
        <v>1483</v>
      </c>
      <c r="J2489" t="s">
        <v>22</v>
      </c>
      <c r="K2489" s="22">
        <v>1</v>
      </c>
      <c r="L2489" s="1">
        <v>42732</v>
      </c>
      <c r="M2489" s="22">
        <f>Table10[[#This Row],[Ship Date]]-Table10[[#This Row],[Order Date]]</f>
        <v>6</v>
      </c>
      <c r="N2489" t="s">
        <v>45</v>
      </c>
      <c r="O2489" t="s">
        <v>23</v>
      </c>
      <c r="P2489" t="s">
        <v>374</v>
      </c>
      <c r="Q2489" t="s">
        <v>39</v>
      </c>
      <c r="R2489" t="s">
        <v>4049</v>
      </c>
      <c r="S2489" s="33">
        <v>0.2</v>
      </c>
      <c r="T2489" s="13">
        <v>22.783999999999999</v>
      </c>
      <c r="U2489" s="13">
        <v>4.8415999999999997</v>
      </c>
      <c r="V2489" s="21">
        <f>Table10[[#This Row],[Profit]]/Table10[[#This Row],[Sales]]</f>
        <v>0.21249999999999999</v>
      </c>
    </row>
    <row r="2490" spans="1:22" x14ac:dyDescent="0.2">
      <c r="A2490">
        <v>2489</v>
      </c>
      <c r="B2490" t="s">
        <v>9294</v>
      </c>
      <c r="C2490" s="1">
        <v>42726</v>
      </c>
      <c r="D2490" s="22">
        <f>MONTH(Table10[[#This Row],[Order Date]])</f>
        <v>12</v>
      </c>
      <c r="E2490" t="s">
        <v>5144</v>
      </c>
      <c r="F2490" t="s">
        <v>5145</v>
      </c>
      <c r="G2490" s="23" t="s">
        <v>41</v>
      </c>
      <c r="H2490" s="23" t="s">
        <v>68</v>
      </c>
      <c r="I2490" t="s">
        <v>500</v>
      </c>
      <c r="J2490" t="s">
        <v>22</v>
      </c>
      <c r="K2490" s="22">
        <v>2</v>
      </c>
      <c r="L2490" s="1">
        <v>42730</v>
      </c>
      <c r="M2490" s="22">
        <f>Table10[[#This Row],[Ship Date]]-Table10[[#This Row],[Order Date]]</f>
        <v>4</v>
      </c>
      <c r="N2490" t="s">
        <v>45</v>
      </c>
      <c r="O2490" t="s">
        <v>23</v>
      </c>
      <c r="P2490" t="s">
        <v>238</v>
      </c>
      <c r="Q2490" t="s">
        <v>133</v>
      </c>
      <c r="R2490" t="s">
        <v>237</v>
      </c>
      <c r="S2490" s="33">
        <v>0.2</v>
      </c>
      <c r="T2490" s="13">
        <v>25.584</v>
      </c>
      <c r="U2490" s="13">
        <v>8.9543999999999997</v>
      </c>
      <c r="V2490" s="21">
        <f>Table10[[#This Row],[Profit]]/Table10[[#This Row],[Sales]]</f>
        <v>0.35</v>
      </c>
    </row>
    <row r="2491" spans="1:22" x14ac:dyDescent="0.2">
      <c r="A2491">
        <v>2490</v>
      </c>
      <c r="B2491" t="s">
        <v>9388</v>
      </c>
      <c r="C2491" s="1">
        <v>42726</v>
      </c>
      <c r="D2491" s="22">
        <f>MONTH(Table10[[#This Row],[Order Date]])</f>
        <v>12</v>
      </c>
      <c r="E2491" t="s">
        <v>594</v>
      </c>
      <c r="F2491" t="s">
        <v>595</v>
      </c>
      <c r="G2491" s="23" t="s">
        <v>41</v>
      </c>
      <c r="H2491" s="23" t="s">
        <v>68</v>
      </c>
      <c r="I2491" t="s">
        <v>3924</v>
      </c>
      <c r="J2491" t="s">
        <v>92</v>
      </c>
      <c r="K2491" s="22">
        <v>4</v>
      </c>
      <c r="L2491" s="1">
        <v>42728</v>
      </c>
      <c r="M2491" s="22">
        <f>Table10[[#This Row],[Ship Date]]-Table10[[#This Row],[Order Date]]</f>
        <v>2</v>
      </c>
      <c r="N2491" t="s">
        <v>20</v>
      </c>
      <c r="O2491" t="s">
        <v>23</v>
      </c>
      <c r="P2491" t="s">
        <v>87</v>
      </c>
      <c r="Q2491" t="s">
        <v>39</v>
      </c>
      <c r="R2491" t="s">
        <v>86</v>
      </c>
      <c r="S2491" s="33">
        <v>0.2</v>
      </c>
      <c r="T2491" s="13">
        <v>55.36</v>
      </c>
      <c r="U2491" s="13">
        <v>19.376000000000001</v>
      </c>
      <c r="V2491" s="21">
        <f>Table10[[#This Row],[Profit]]/Table10[[#This Row],[Sales]]</f>
        <v>0.35000000000000003</v>
      </c>
    </row>
    <row r="2492" spans="1:22" x14ac:dyDescent="0.2">
      <c r="A2492">
        <v>2491</v>
      </c>
      <c r="B2492" t="s">
        <v>9388</v>
      </c>
      <c r="C2492" s="1">
        <v>42726</v>
      </c>
      <c r="D2492" s="22">
        <f>MONTH(Table10[[#This Row],[Order Date]])</f>
        <v>12</v>
      </c>
      <c r="E2492" t="s">
        <v>7055</v>
      </c>
      <c r="F2492" t="s">
        <v>7056</v>
      </c>
      <c r="G2492" s="23" t="s">
        <v>64</v>
      </c>
      <c r="H2492" s="23" t="s">
        <v>602</v>
      </c>
      <c r="I2492" t="s">
        <v>3924</v>
      </c>
      <c r="J2492" t="s">
        <v>92</v>
      </c>
      <c r="K2492" s="22">
        <v>1</v>
      </c>
      <c r="L2492" s="1">
        <v>42728</v>
      </c>
      <c r="M2492" s="22">
        <f>Table10[[#This Row],[Ship Date]]-Table10[[#This Row],[Order Date]]</f>
        <v>2</v>
      </c>
      <c r="N2492" t="s">
        <v>20</v>
      </c>
      <c r="O2492" t="s">
        <v>23</v>
      </c>
      <c r="P2492" t="s">
        <v>87</v>
      </c>
      <c r="Q2492" t="s">
        <v>39</v>
      </c>
      <c r="R2492" t="s">
        <v>86</v>
      </c>
      <c r="S2492" s="33">
        <v>0.2</v>
      </c>
      <c r="T2492" s="13">
        <v>11.56</v>
      </c>
      <c r="U2492" s="13">
        <v>3.7570000000000001</v>
      </c>
      <c r="V2492" s="21">
        <f>Table10[[#This Row],[Profit]]/Table10[[#This Row],[Sales]]</f>
        <v>0.32500000000000001</v>
      </c>
    </row>
    <row r="2493" spans="1:22" x14ac:dyDescent="0.2">
      <c r="A2493">
        <v>2492</v>
      </c>
      <c r="B2493" t="s">
        <v>9779</v>
      </c>
      <c r="C2493" s="1">
        <v>42726</v>
      </c>
      <c r="D2493" s="22">
        <f>MONTH(Table10[[#This Row],[Order Date]])</f>
        <v>12</v>
      </c>
      <c r="E2493" t="s">
        <v>8411</v>
      </c>
      <c r="F2493" t="s">
        <v>8412</v>
      </c>
      <c r="G2493" s="23" t="s">
        <v>28</v>
      </c>
      <c r="H2493" s="23" t="s">
        <v>58</v>
      </c>
      <c r="I2493" t="s">
        <v>326</v>
      </c>
      <c r="J2493" t="s">
        <v>22</v>
      </c>
      <c r="K2493" s="22">
        <v>8</v>
      </c>
      <c r="L2493" s="1">
        <v>42732</v>
      </c>
      <c r="M2493" s="22">
        <f>Table10[[#This Row],[Ship Date]]-Table10[[#This Row],[Order Date]]</f>
        <v>6</v>
      </c>
      <c r="N2493" t="s">
        <v>45</v>
      </c>
      <c r="O2493" t="s">
        <v>23</v>
      </c>
      <c r="P2493" t="s">
        <v>38</v>
      </c>
      <c r="Q2493" t="s">
        <v>39</v>
      </c>
      <c r="R2493" t="s">
        <v>7214</v>
      </c>
      <c r="S2493" s="33">
        <v>0</v>
      </c>
      <c r="T2493" s="13">
        <v>842.72</v>
      </c>
      <c r="U2493" s="13">
        <v>202.25280000000001</v>
      </c>
      <c r="V2493" s="21">
        <f>Table10[[#This Row],[Profit]]/Table10[[#This Row],[Sales]]</f>
        <v>0.24</v>
      </c>
    </row>
    <row r="2494" spans="1:22" x14ac:dyDescent="0.2">
      <c r="A2494">
        <v>2493</v>
      </c>
      <c r="B2494" t="s">
        <v>9779</v>
      </c>
      <c r="C2494" s="1">
        <v>42726</v>
      </c>
      <c r="D2494" s="22">
        <f>MONTH(Table10[[#This Row],[Order Date]])</f>
        <v>12</v>
      </c>
      <c r="E2494" t="s">
        <v>428</v>
      </c>
      <c r="F2494" t="s">
        <v>429</v>
      </c>
      <c r="G2494" s="23" t="s">
        <v>28</v>
      </c>
      <c r="H2494" s="23" t="s">
        <v>58</v>
      </c>
      <c r="I2494" t="s">
        <v>326</v>
      </c>
      <c r="J2494" t="s">
        <v>22</v>
      </c>
      <c r="K2494" s="22">
        <v>2</v>
      </c>
      <c r="L2494" s="1">
        <v>42732</v>
      </c>
      <c r="M2494" s="22">
        <f>Table10[[#This Row],[Ship Date]]-Table10[[#This Row],[Order Date]]</f>
        <v>6</v>
      </c>
      <c r="N2494" t="s">
        <v>45</v>
      </c>
      <c r="O2494" t="s">
        <v>23</v>
      </c>
      <c r="P2494" t="s">
        <v>38</v>
      </c>
      <c r="Q2494" t="s">
        <v>39</v>
      </c>
      <c r="R2494" t="s">
        <v>7214</v>
      </c>
      <c r="S2494" s="33">
        <v>0</v>
      </c>
      <c r="T2494" s="13">
        <v>41.96</v>
      </c>
      <c r="U2494" s="13">
        <v>10.909599999999999</v>
      </c>
      <c r="V2494" s="21">
        <f>Table10[[#This Row],[Profit]]/Table10[[#This Row],[Sales]]</f>
        <v>0.25999999999999995</v>
      </c>
    </row>
    <row r="2495" spans="1:22" x14ac:dyDescent="0.2">
      <c r="A2495">
        <v>2494</v>
      </c>
      <c r="B2495" t="s">
        <v>3184</v>
      </c>
      <c r="C2495" s="1">
        <v>42727</v>
      </c>
      <c r="D2495" s="22">
        <f>MONTH(Table10[[#This Row],[Order Date]])</f>
        <v>12</v>
      </c>
      <c r="E2495" t="s">
        <v>174</v>
      </c>
      <c r="F2495" t="s">
        <v>175</v>
      </c>
      <c r="G2495" s="23" t="s">
        <v>28</v>
      </c>
      <c r="H2495" s="23" t="s">
        <v>58</v>
      </c>
      <c r="I2495" t="s">
        <v>717</v>
      </c>
      <c r="J2495" t="s">
        <v>22</v>
      </c>
      <c r="K2495" s="22">
        <v>6</v>
      </c>
      <c r="L2495" s="1">
        <v>42729</v>
      </c>
      <c r="M2495" s="22">
        <f>Table10[[#This Row],[Ship Date]]-Table10[[#This Row],[Order Date]]</f>
        <v>2</v>
      </c>
      <c r="N2495" t="s">
        <v>20</v>
      </c>
      <c r="O2495" t="s">
        <v>23</v>
      </c>
      <c r="P2495" t="s">
        <v>285</v>
      </c>
      <c r="Q2495" t="s">
        <v>26</v>
      </c>
      <c r="R2495" t="s">
        <v>284</v>
      </c>
      <c r="S2495" s="33">
        <v>0</v>
      </c>
      <c r="T2495" s="13">
        <v>572.76</v>
      </c>
      <c r="U2495" s="13">
        <v>166.10040000000001</v>
      </c>
      <c r="V2495" s="21">
        <f>Table10[[#This Row],[Profit]]/Table10[[#This Row],[Sales]]</f>
        <v>0.29000000000000004</v>
      </c>
    </row>
    <row r="2496" spans="1:22" x14ac:dyDescent="0.2">
      <c r="A2496">
        <v>2495</v>
      </c>
      <c r="B2496" t="s">
        <v>3184</v>
      </c>
      <c r="C2496" s="1">
        <v>42727</v>
      </c>
      <c r="D2496" s="22">
        <f>MONTH(Table10[[#This Row],[Order Date]])</f>
        <v>12</v>
      </c>
      <c r="E2496" t="s">
        <v>174</v>
      </c>
      <c r="F2496" t="s">
        <v>175</v>
      </c>
      <c r="G2496" s="23" t="s">
        <v>28</v>
      </c>
      <c r="H2496" s="23" t="s">
        <v>58</v>
      </c>
      <c r="I2496" t="s">
        <v>717</v>
      </c>
      <c r="J2496" t="s">
        <v>22</v>
      </c>
      <c r="K2496" s="22">
        <v>3</v>
      </c>
      <c r="L2496" s="1">
        <v>42729</v>
      </c>
      <c r="M2496" s="22">
        <f>Table10[[#This Row],[Ship Date]]-Table10[[#This Row],[Order Date]]</f>
        <v>2</v>
      </c>
      <c r="N2496" t="s">
        <v>20</v>
      </c>
      <c r="O2496" t="s">
        <v>23</v>
      </c>
      <c r="P2496" t="s">
        <v>285</v>
      </c>
      <c r="Q2496" t="s">
        <v>26</v>
      </c>
      <c r="R2496" t="s">
        <v>284</v>
      </c>
      <c r="S2496" s="33">
        <v>0</v>
      </c>
      <c r="T2496" s="13">
        <v>286.38</v>
      </c>
      <c r="U2496" s="13">
        <v>83.050200000000004</v>
      </c>
      <c r="V2496" s="21">
        <f>Table10[[#This Row],[Profit]]/Table10[[#This Row],[Sales]]</f>
        <v>0.29000000000000004</v>
      </c>
    </row>
    <row r="2497" spans="1:22" x14ac:dyDescent="0.2">
      <c r="A2497">
        <v>2496</v>
      </c>
      <c r="B2497" t="s">
        <v>4716</v>
      </c>
      <c r="C2497" s="1">
        <v>42727</v>
      </c>
      <c r="D2497" s="22">
        <f>MONTH(Table10[[#This Row],[Order Date]])</f>
        <v>12</v>
      </c>
      <c r="E2497" t="s">
        <v>2450</v>
      </c>
      <c r="F2497" t="s">
        <v>2451</v>
      </c>
      <c r="G2497" s="23" t="s">
        <v>28</v>
      </c>
      <c r="H2497" s="23" t="s">
        <v>29</v>
      </c>
      <c r="I2497" t="s">
        <v>1001</v>
      </c>
      <c r="J2497" t="s">
        <v>36</v>
      </c>
      <c r="K2497" s="22">
        <v>2</v>
      </c>
      <c r="L2497" s="1">
        <v>42728</v>
      </c>
      <c r="M2497" s="22">
        <f>Table10[[#This Row],[Ship Date]]-Table10[[#This Row],[Order Date]]</f>
        <v>1</v>
      </c>
      <c r="N2497" t="s">
        <v>169</v>
      </c>
      <c r="O2497" t="s">
        <v>23</v>
      </c>
      <c r="P2497" t="s">
        <v>189</v>
      </c>
      <c r="Q2497" t="s">
        <v>95</v>
      </c>
      <c r="R2497" t="s">
        <v>271</v>
      </c>
      <c r="S2497" s="33">
        <v>0.3</v>
      </c>
      <c r="T2497" s="13">
        <v>141.37200000000001</v>
      </c>
      <c r="U2497" s="13">
        <v>-14.1372</v>
      </c>
      <c r="V2497" s="21">
        <f>Table10[[#This Row],[Profit]]/Table10[[#This Row],[Sales]]</f>
        <v>-9.9999999999999992E-2</v>
      </c>
    </row>
    <row r="2498" spans="1:22" x14ac:dyDescent="0.2">
      <c r="A2498">
        <v>2497</v>
      </c>
      <c r="B2498" t="s">
        <v>5778</v>
      </c>
      <c r="C2498" s="1">
        <v>42727</v>
      </c>
      <c r="D2498" s="22">
        <f>MONTH(Table10[[#This Row],[Order Date]])</f>
        <v>12</v>
      </c>
      <c r="E2498" t="s">
        <v>3693</v>
      </c>
      <c r="F2498" t="s">
        <v>3694</v>
      </c>
      <c r="G2498" s="23" t="s">
        <v>41</v>
      </c>
      <c r="H2498" s="23" t="s">
        <v>240</v>
      </c>
      <c r="I2498" t="s">
        <v>4365</v>
      </c>
      <c r="J2498" t="s">
        <v>36</v>
      </c>
      <c r="K2498" s="22">
        <v>7</v>
      </c>
      <c r="L2498" s="1">
        <v>42733</v>
      </c>
      <c r="M2498" s="22">
        <f>Table10[[#This Row],[Ship Date]]-Table10[[#This Row],[Order Date]]</f>
        <v>6</v>
      </c>
      <c r="N2498" t="s">
        <v>45</v>
      </c>
      <c r="O2498" t="s">
        <v>23</v>
      </c>
      <c r="P2498" t="s">
        <v>212</v>
      </c>
      <c r="Q2498" t="s">
        <v>95</v>
      </c>
      <c r="R2498" t="s">
        <v>5779</v>
      </c>
      <c r="S2498" s="33">
        <v>0</v>
      </c>
      <c r="T2498" s="13">
        <v>24.85</v>
      </c>
      <c r="U2498" s="13">
        <v>11.679500000000001</v>
      </c>
      <c r="V2498" s="21">
        <f>Table10[[#This Row],[Profit]]/Table10[[#This Row],[Sales]]</f>
        <v>0.47000000000000003</v>
      </c>
    </row>
    <row r="2499" spans="1:22" x14ac:dyDescent="0.2">
      <c r="A2499">
        <v>2498</v>
      </c>
      <c r="B2499" t="s">
        <v>7065</v>
      </c>
      <c r="C2499" s="1">
        <v>42727</v>
      </c>
      <c r="D2499" s="22">
        <f>MONTH(Table10[[#This Row],[Order Date]])</f>
        <v>12</v>
      </c>
      <c r="E2499" t="s">
        <v>5636</v>
      </c>
      <c r="F2499" t="s">
        <v>5637</v>
      </c>
      <c r="G2499" s="23" t="s">
        <v>41</v>
      </c>
      <c r="H2499" s="23" t="s">
        <v>68</v>
      </c>
      <c r="I2499" t="s">
        <v>2850</v>
      </c>
      <c r="J2499" t="s">
        <v>22</v>
      </c>
      <c r="K2499" s="22">
        <v>3</v>
      </c>
      <c r="L2499" s="1">
        <v>42732</v>
      </c>
      <c r="M2499" s="22">
        <f>Table10[[#This Row],[Ship Date]]-Table10[[#This Row],[Order Date]]</f>
        <v>5</v>
      </c>
      <c r="N2499" t="s">
        <v>45</v>
      </c>
      <c r="O2499" t="s">
        <v>23</v>
      </c>
      <c r="P2499" t="s">
        <v>441</v>
      </c>
      <c r="Q2499" t="s">
        <v>133</v>
      </c>
      <c r="R2499" t="s">
        <v>4081</v>
      </c>
      <c r="S2499" s="33">
        <v>0.7</v>
      </c>
      <c r="T2499" s="13">
        <v>5.5529999999999999</v>
      </c>
      <c r="U2499" s="13">
        <v>-4.0721999999999996</v>
      </c>
      <c r="V2499" s="21">
        <f>Table10[[#This Row],[Profit]]/Table10[[#This Row],[Sales]]</f>
        <v>-0.73333333333333328</v>
      </c>
    </row>
    <row r="2500" spans="1:22" x14ac:dyDescent="0.2">
      <c r="A2500">
        <v>2499</v>
      </c>
      <c r="B2500" t="s">
        <v>7096</v>
      </c>
      <c r="C2500" s="1">
        <v>42727</v>
      </c>
      <c r="D2500" s="22">
        <f>MONTH(Table10[[#This Row],[Order Date]])</f>
        <v>12</v>
      </c>
      <c r="E2500" t="s">
        <v>1557</v>
      </c>
      <c r="F2500" t="s">
        <v>1558</v>
      </c>
      <c r="G2500" s="23" t="s">
        <v>41</v>
      </c>
      <c r="H2500" s="23" t="s">
        <v>61</v>
      </c>
      <c r="I2500" t="s">
        <v>4217</v>
      </c>
      <c r="J2500" t="s">
        <v>36</v>
      </c>
      <c r="K2500" s="22">
        <v>3</v>
      </c>
      <c r="L2500" s="1">
        <v>42734</v>
      </c>
      <c r="M2500" s="22">
        <f>Table10[[#This Row],[Ship Date]]-Table10[[#This Row],[Order Date]]</f>
        <v>7</v>
      </c>
      <c r="N2500" t="s">
        <v>45</v>
      </c>
      <c r="O2500" t="s">
        <v>23</v>
      </c>
      <c r="P2500" t="s">
        <v>87</v>
      </c>
      <c r="Q2500" t="s">
        <v>39</v>
      </c>
      <c r="R2500" t="s">
        <v>86</v>
      </c>
      <c r="S2500" s="33">
        <v>0</v>
      </c>
      <c r="T2500" s="13">
        <v>8.82</v>
      </c>
      <c r="U2500" s="13">
        <v>2.5577999999999999</v>
      </c>
      <c r="V2500" s="21">
        <f>Table10[[#This Row],[Profit]]/Table10[[#This Row],[Sales]]</f>
        <v>0.28999999999999998</v>
      </c>
    </row>
    <row r="2501" spans="1:22" x14ac:dyDescent="0.2">
      <c r="A2501">
        <v>2500</v>
      </c>
      <c r="B2501" t="s">
        <v>7096</v>
      </c>
      <c r="C2501" s="1">
        <v>42727</v>
      </c>
      <c r="D2501" s="22">
        <f>MONTH(Table10[[#This Row],[Order Date]])</f>
        <v>12</v>
      </c>
      <c r="E2501" t="s">
        <v>4407</v>
      </c>
      <c r="F2501" t="s">
        <v>4408</v>
      </c>
      <c r="G2501" s="23" t="s">
        <v>41</v>
      </c>
      <c r="H2501" s="23" t="s">
        <v>82</v>
      </c>
      <c r="I2501" t="s">
        <v>4217</v>
      </c>
      <c r="J2501" t="s">
        <v>36</v>
      </c>
      <c r="K2501" s="22">
        <v>2</v>
      </c>
      <c r="L2501" s="1">
        <v>42734</v>
      </c>
      <c r="M2501" s="22">
        <f>Table10[[#This Row],[Ship Date]]-Table10[[#This Row],[Order Date]]</f>
        <v>7</v>
      </c>
      <c r="N2501" t="s">
        <v>45</v>
      </c>
      <c r="O2501" t="s">
        <v>23</v>
      </c>
      <c r="P2501" t="s">
        <v>87</v>
      </c>
      <c r="Q2501" t="s">
        <v>39</v>
      </c>
      <c r="R2501" t="s">
        <v>86</v>
      </c>
      <c r="S2501" s="33">
        <v>0</v>
      </c>
      <c r="T2501" s="13">
        <v>37.94</v>
      </c>
      <c r="U2501" s="13">
        <v>18.211200000000002</v>
      </c>
      <c r="V2501" s="21">
        <f>Table10[[#This Row],[Profit]]/Table10[[#This Row],[Sales]]</f>
        <v>0.48000000000000009</v>
      </c>
    </row>
    <row r="2502" spans="1:22" x14ac:dyDescent="0.2">
      <c r="A2502">
        <v>2501</v>
      </c>
      <c r="B2502" t="s">
        <v>7096</v>
      </c>
      <c r="C2502" s="1">
        <v>42727</v>
      </c>
      <c r="D2502" s="22">
        <f>MONTH(Table10[[#This Row],[Order Date]])</f>
        <v>12</v>
      </c>
      <c r="E2502" t="s">
        <v>7097</v>
      </c>
      <c r="F2502" t="s">
        <v>7098</v>
      </c>
      <c r="G2502" s="23" t="s">
        <v>41</v>
      </c>
      <c r="H2502" s="23" t="s">
        <v>61</v>
      </c>
      <c r="I2502" t="s">
        <v>4217</v>
      </c>
      <c r="J2502" t="s">
        <v>36</v>
      </c>
      <c r="K2502" s="22">
        <v>2</v>
      </c>
      <c r="L2502" s="1">
        <v>42734</v>
      </c>
      <c r="M2502" s="22">
        <f>Table10[[#This Row],[Ship Date]]-Table10[[#This Row],[Order Date]]</f>
        <v>7</v>
      </c>
      <c r="N2502" t="s">
        <v>45</v>
      </c>
      <c r="O2502" t="s">
        <v>23</v>
      </c>
      <c r="P2502" t="s">
        <v>87</v>
      </c>
      <c r="Q2502" t="s">
        <v>39</v>
      </c>
      <c r="R2502" t="s">
        <v>86</v>
      </c>
      <c r="S2502" s="33">
        <v>0</v>
      </c>
      <c r="T2502" s="13">
        <v>4.2</v>
      </c>
      <c r="U2502" s="13">
        <v>1.1759999999999999</v>
      </c>
      <c r="V2502" s="21">
        <f>Table10[[#This Row],[Profit]]/Table10[[#This Row],[Sales]]</f>
        <v>0.27999999999999997</v>
      </c>
    </row>
    <row r="2503" spans="1:22" x14ac:dyDescent="0.2">
      <c r="A2503">
        <v>2502</v>
      </c>
      <c r="B2503" t="s">
        <v>7096</v>
      </c>
      <c r="C2503" s="1">
        <v>42727</v>
      </c>
      <c r="D2503" s="22">
        <f>MONTH(Table10[[#This Row],[Order Date]])</f>
        <v>12</v>
      </c>
      <c r="E2503" t="s">
        <v>1443</v>
      </c>
      <c r="F2503" t="s">
        <v>1444</v>
      </c>
      <c r="G2503" s="23" t="s">
        <v>41</v>
      </c>
      <c r="H2503" s="23" t="s">
        <v>53</v>
      </c>
      <c r="I2503" t="s">
        <v>4217</v>
      </c>
      <c r="J2503" t="s">
        <v>36</v>
      </c>
      <c r="K2503" s="22">
        <v>2</v>
      </c>
      <c r="L2503" s="1">
        <v>42734</v>
      </c>
      <c r="M2503" s="22">
        <f>Table10[[#This Row],[Ship Date]]-Table10[[#This Row],[Order Date]]</f>
        <v>7</v>
      </c>
      <c r="N2503" t="s">
        <v>45</v>
      </c>
      <c r="O2503" t="s">
        <v>23</v>
      </c>
      <c r="P2503" t="s">
        <v>87</v>
      </c>
      <c r="Q2503" t="s">
        <v>39</v>
      </c>
      <c r="R2503" t="s">
        <v>86</v>
      </c>
      <c r="S2503" s="33">
        <v>0</v>
      </c>
      <c r="T2503" s="13">
        <v>227.28</v>
      </c>
      <c r="U2503" s="13">
        <v>2.2728000000000002</v>
      </c>
      <c r="V2503" s="21">
        <f>Table10[[#This Row],[Profit]]/Table10[[#This Row],[Sales]]</f>
        <v>0.01</v>
      </c>
    </row>
    <row r="2504" spans="1:22" x14ac:dyDescent="0.2">
      <c r="A2504">
        <v>2503</v>
      </c>
      <c r="B2504" t="s">
        <v>7096</v>
      </c>
      <c r="C2504" s="1">
        <v>42727</v>
      </c>
      <c r="D2504" s="22">
        <f>MONTH(Table10[[#This Row],[Order Date]])</f>
        <v>12</v>
      </c>
      <c r="E2504" t="s">
        <v>523</v>
      </c>
      <c r="F2504" t="s">
        <v>524</v>
      </c>
      <c r="G2504" s="23" t="s">
        <v>41</v>
      </c>
      <c r="H2504" s="23" t="s">
        <v>82</v>
      </c>
      <c r="I2504" t="s">
        <v>4217</v>
      </c>
      <c r="J2504" t="s">
        <v>36</v>
      </c>
      <c r="K2504" s="22">
        <v>1</v>
      </c>
      <c r="L2504" s="1">
        <v>42734</v>
      </c>
      <c r="M2504" s="22">
        <f>Table10[[#This Row],[Ship Date]]-Table10[[#This Row],[Order Date]]</f>
        <v>7</v>
      </c>
      <c r="N2504" t="s">
        <v>45</v>
      </c>
      <c r="O2504" t="s">
        <v>23</v>
      </c>
      <c r="P2504" t="s">
        <v>87</v>
      </c>
      <c r="Q2504" t="s">
        <v>39</v>
      </c>
      <c r="R2504" t="s">
        <v>86</v>
      </c>
      <c r="S2504" s="33">
        <v>0</v>
      </c>
      <c r="T2504" s="13">
        <v>47.9</v>
      </c>
      <c r="U2504" s="13">
        <v>22.992000000000001</v>
      </c>
      <c r="V2504" s="21">
        <f>Table10[[#This Row],[Profit]]/Table10[[#This Row],[Sales]]</f>
        <v>0.48000000000000004</v>
      </c>
    </row>
    <row r="2505" spans="1:22" x14ac:dyDescent="0.2">
      <c r="A2505">
        <v>2504</v>
      </c>
      <c r="B2505" t="s">
        <v>7096</v>
      </c>
      <c r="C2505" s="1">
        <v>42727</v>
      </c>
      <c r="D2505" s="22">
        <f>MONTH(Table10[[#This Row],[Order Date]])</f>
        <v>12</v>
      </c>
      <c r="E2505" t="s">
        <v>5710</v>
      </c>
      <c r="F2505" t="s">
        <v>591</v>
      </c>
      <c r="G2505" s="23" t="s">
        <v>41</v>
      </c>
      <c r="H2505" s="23" t="s">
        <v>155</v>
      </c>
      <c r="I2505" t="s">
        <v>4217</v>
      </c>
      <c r="J2505" t="s">
        <v>36</v>
      </c>
      <c r="K2505" s="22">
        <v>2</v>
      </c>
      <c r="L2505" s="1">
        <v>42734</v>
      </c>
      <c r="M2505" s="22">
        <f>Table10[[#This Row],[Ship Date]]-Table10[[#This Row],[Order Date]]</f>
        <v>7</v>
      </c>
      <c r="N2505" t="s">
        <v>45</v>
      </c>
      <c r="O2505" t="s">
        <v>23</v>
      </c>
      <c r="P2505" t="s">
        <v>87</v>
      </c>
      <c r="Q2505" t="s">
        <v>39</v>
      </c>
      <c r="R2505" t="s">
        <v>86</v>
      </c>
      <c r="S2505" s="33">
        <v>0</v>
      </c>
      <c r="T2505" s="13">
        <v>61.96</v>
      </c>
      <c r="U2505" s="13">
        <v>30.360399999999998</v>
      </c>
      <c r="V2505" s="21">
        <f>Table10[[#This Row],[Profit]]/Table10[[#This Row],[Sales]]</f>
        <v>0.49</v>
      </c>
    </row>
    <row r="2506" spans="1:22" x14ac:dyDescent="0.2">
      <c r="A2506">
        <v>2505</v>
      </c>
      <c r="B2506" t="s">
        <v>7096</v>
      </c>
      <c r="C2506" s="1">
        <v>42727</v>
      </c>
      <c r="D2506" s="22">
        <f>MONTH(Table10[[#This Row],[Order Date]])</f>
        <v>12</v>
      </c>
      <c r="E2506" t="s">
        <v>4978</v>
      </c>
      <c r="F2506" t="s">
        <v>4979</v>
      </c>
      <c r="G2506" s="23" t="s">
        <v>41</v>
      </c>
      <c r="H2506" s="23" t="s">
        <v>53</v>
      </c>
      <c r="I2506" t="s">
        <v>4217</v>
      </c>
      <c r="J2506" t="s">
        <v>36</v>
      </c>
      <c r="K2506" s="22">
        <v>4</v>
      </c>
      <c r="L2506" s="1">
        <v>42734</v>
      </c>
      <c r="M2506" s="22">
        <f>Table10[[#This Row],[Ship Date]]-Table10[[#This Row],[Order Date]]</f>
        <v>7</v>
      </c>
      <c r="N2506" t="s">
        <v>45</v>
      </c>
      <c r="O2506" t="s">
        <v>23</v>
      </c>
      <c r="P2506" t="s">
        <v>87</v>
      </c>
      <c r="Q2506" t="s">
        <v>39</v>
      </c>
      <c r="R2506" t="s">
        <v>86</v>
      </c>
      <c r="S2506" s="33">
        <v>0</v>
      </c>
      <c r="T2506" s="13">
        <v>1117.92</v>
      </c>
      <c r="U2506" s="13">
        <v>55.896000000000001</v>
      </c>
      <c r="V2506" s="21">
        <f>Table10[[#This Row],[Profit]]/Table10[[#This Row],[Sales]]</f>
        <v>4.9999999999999996E-2</v>
      </c>
    </row>
    <row r="2507" spans="1:22" x14ac:dyDescent="0.2">
      <c r="A2507">
        <v>2506</v>
      </c>
      <c r="B2507" t="s">
        <v>8168</v>
      </c>
      <c r="C2507" s="1">
        <v>42727</v>
      </c>
      <c r="D2507" s="22">
        <f>MONTH(Table10[[#This Row],[Order Date]])</f>
        <v>12</v>
      </c>
      <c r="E2507" t="s">
        <v>2108</v>
      </c>
      <c r="F2507" t="s">
        <v>2109</v>
      </c>
      <c r="G2507" s="23" t="s">
        <v>64</v>
      </c>
      <c r="H2507" s="23" t="s">
        <v>1075</v>
      </c>
      <c r="I2507" t="s">
        <v>5355</v>
      </c>
      <c r="J2507" t="s">
        <v>36</v>
      </c>
      <c r="K2507" s="22">
        <v>4</v>
      </c>
      <c r="L2507" s="1">
        <v>42732</v>
      </c>
      <c r="M2507" s="22">
        <f>Table10[[#This Row],[Ship Date]]-Table10[[#This Row],[Order Date]]</f>
        <v>5</v>
      </c>
      <c r="N2507" t="s">
        <v>20</v>
      </c>
      <c r="O2507" t="s">
        <v>23</v>
      </c>
      <c r="P2507" t="s">
        <v>1235</v>
      </c>
      <c r="Q2507" t="s">
        <v>133</v>
      </c>
      <c r="R2507" t="s">
        <v>1234</v>
      </c>
      <c r="S2507" s="33">
        <v>0</v>
      </c>
      <c r="T2507" s="13">
        <v>1999.96</v>
      </c>
      <c r="U2507" s="13">
        <v>899.98199999999997</v>
      </c>
      <c r="V2507" s="21">
        <f>Table10[[#This Row],[Profit]]/Table10[[#This Row],[Sales]]</f>
        <v>0.44999999999999996</v>
      </c>
    </row>
    <row r="2508" spans="1:22" x14ac:dyDescent="0.2">
      <c r="A2508">
        <v>2507</v>
      </c>
      <c r="B2508" t="s">
        <v>9322</v>
      </c>
      <c r="C2508" s="1">
        <v>42727</v>
      </c>
      <c r="D2508" s="22">
        <f>MONTH(Table10[[#This Row],[Order Date]])</f>
        <v>12</v>
      </c>
      <c r="E2508" t="s">
        <v>2984</v>
      </c>
      <c r="F2508" t="s">
        <v>2985</v>
      </c>
      <c r="G2508" s="23" t="s">
        <v>64</v>
      </c>
      <c r="H2508" s="23" t="s">
        <v>65</v>
      </c>
      <c r="I2508" t="s">
        <v>1190</v>
      </c>
      <c r="J2508" t="s">
        <v>36</v>
      </c>
      <c r="K2508" s="22">
        <v>3</v>
      </c>
      <c r="L2508" s="1">
        <v>42730</v>
      </c>
      <c r="M2508" s="22">
        <f>Table10[[#This Row],[Ship Date]]-Table10[[#This Row],[Order Date]]</f>
        <v>3</v>
      </c>
      <c r="N2508" t="s">
        <v>20</v>
      </c>
      <c r="O2508" t="s">
        <v>23</v>
      </c>
      <c r="P2508" t="s">
        <v>94</v>
      </c>
      <c r="Q2508" t="s">
        <v>95</v>
      </c>
      <c r="R2508" t="s">
        <v>165</v>
      </c>
      <c r="S2508" s="33">
        <v>0.2</v>
      </c>
      <c r="T2508" s="13">
        <v>453.57600000000002</v>
      </c>
      <c r="U2508" s="13">
        <v>39.687899999999999</v>
      </c>
      <c r="V2508" s="21">
        <f>Table10[[#This Row],[Profit]]/Table10[[#This Row],[Sales]]</f>
        <v>8.7499999999999994E-2</v>
      </c>
    </row>
    <row r="2509" spans="1:22" x14ac:dyDescent="0.2">
      <c r="A2509">
        <v>2508</v>
      </c>
      <c r="B2509" t="s">
        <v>9322</v>
      </c>
      <c r="C2509" s="1">
        <v>42727</v>
      </c>
      <c r="D2509" s="22">
        <f>MONTH(Table10[[#This Row],[Order Date]])</f>
        <v>12</v>
      </c>
      <c r="E2509" t="s">
        <v>6450</v>
      </c>
      <c r="F2509" t="s">
        <v>6451</v>
      </c>
      <c r="G2509" s="23" t="s">
        <v>41</v>
      </c>
      <c r="H2509" s="23" t="s">
        <v>42</v>
      </c>
      <c r="I2509" t="s">
        <v>1190</v>
      </c>
      <c r="J2509" t="s">
        <v>36</v>
      </c>
      <c r="K2509" s="22">
        <v>9</v>
      </c>
      <c r="L2509" s="1">
        <v>42730</v>
      </c>
      <c r="M2509" s="22">
        <f>Table10[[#This Row],[Ship Date]]-Table10[[#This Row],[Order Date]]</f>
        <v>3</v>
      </c>
      <c r="N2509" t="s">
        <v>20</v>
      </c>
      <c r="O2509" t="s">
        <v>23</v>
      </c>
      <c r="P2509" t="s">
        <v>94</v>
      </c>
      <c r="Q2509" t="s">
        <v>95</v>
      </c>
      <c r="R2509" t="s">
        <v>165</v>
      </c>
      <c r="S2509" s="33">
        <v>0.2</v>
      </c>
      <c r="T2509" s="13">
        <v>45.36</v>
      </c>
      <c r="U2509" s="13">
        <v>14.742000000000001</v>
      </c>
      <c r="V2509" s="21">
        <f>Table10[[#This Row],[Profit]]/Table10[[#This Row],[Sales]]</f>
        <v>0.32500000000000001</v>
      </c>
    </row>
    <row r="2510" spans="1:22" x14ac:dyDescent="0.2">
      <c r="A2510">
        <v>2509</v>
      </c>
      <c r="B2510" t="s">
        <v>9322</v>
      </c>
      <c r="C2510" s="1">
        <v>42727</v>
      </c>
      <c r="D2510" s="22">
        <f>MONTH(Table10[[#This Row],[Order Date]])</f>
        <v>12</v>
      </c>
      <c r="E2510" t="s">
        <v>4227</v>
      </c>
      <c r="F2510" t="s">
        <v>4228</v>
      </c>
      <c r="G2510" s="23" t="s">
        <v>64</v>
      </c>
      <c r="H2510" s="23" t="s">
        <v>65</v>
      </c>
      <c r="I2510" t="s">
        <v>1190</v>
      </c>
      <c r="J2510" t="s">
        <v>36</v>
      </c>
      <c r="K2510" s="22">
        <v>3</v>
      </c>
      <c r="L2510" s="1">
        <v>42730</v>
      </c>
      <c r="M2510" s="22">
        <f>Table10[[#This Row],[Ship Date]]-Table10[[#This Row],[Order Date]]</f>
        <v>3</v>
      </c>
      <c r="N2510" t="s">
        <v>20</v>
      </c>
      <c r="O2510" t="s">
        <v>23</v>
      </c>
      <c r="P2510" t="s">
        <v>94</v>
      </c>
      <c r="Q2510" t="s">
        <v>95</v>
      </c>
      <c r="R2510" t="s">
        <v>165</v>
      </c>
      <c r="S2510" s="33">
        <v>0.2</v>
      </c>
      <c r="T2510" s="13">
        <v>287.88</v>
      </c>
      <c r="U2510" s="13">
        <v>35.984999999999999</v>
      </c>
      <c r="V2510" s="21">
        <f>Table10[[#This Row],[Profit]]/Table10[[#This Row],[Sales]]</f>
        <v>0.125</v>
      </c>
    </row>
    <row r="2511" spans="1:22" x14ac:dyDescent="0.2">
      <c r="A2511">
        <v>2510</v>
      </c>
      <c r="B2511" t="s">
        <v>9322</v>
      </c>
      <c r="C2511" s="1">
        <v>42727</v>
      </c>
      <c r="D2511" s="22">
        <f>MONTH(Table10[[#This Row],[Order Date]])</f>
        <v>12</v>
      </c>
      <c r="E2511" t="s">
        <v>5772</v>
      </c>
      <c r="F2511" t="s">
        <v>5773</v>
      </c>
      <c r="G2511" s="23" t="s">
        <v>64</v>
      </c>
      <c r="H2511" s="23" t="s">
        <v>65</v>
      </c>
      <c r="I2511" t="s">
        <v>1190</v>
      </c>
      <c r="J2511" t="s">
        <v>36</v>
      </c>
      <c r="K2511" s="22">
        <v>3</v>
      </c>
      <c r="L2511" s="1">
        <v>42730</v>
      </c>
      <c r="M2511" s="22">
        <f>Table10[[#This Row],[Ship Date]]-Table10[[#This Row],[Order Date]]</f>
        <v>3</v>
      </c>
      <c r="N2511" t="s">
        <v>20</v>
      </c>
      <c r="O2511" t="s">
        <v>23</v>
      </c>
      <c r="P2511" t="s">
        <v>94</v>
      </c>
      <c r="Q2511" t="s">
        <v>95</v>
      </c>
      <c r="R2511" t="s">
        <v>165</v>
      </c>
      <c r="S2511" s="33">
        <v>0.2</v>
      </c>
      <c r="T2511" s="13">
        <v>131.88</v>
      </c>
      <c r="U2511" s="13">
        <v>14.836499999999999</v>
      </c>
      <c r="V2511" s="21">
        <f>Table10[[#This Row],[Profit]]/Table10[[#This Row],[Sales]]</f>
        <v>0.1125</v>
      </c>
    </row>
    <row r="2512" spans="1:22" x14ac:dyDescent="0.2">
      <c r="A2512">
        <v>2511</v>
      </c>
      <c r="B2512" t="s">
        <v>9322</v>
      </c>
      <c r="C2512" s="1">
        <v>42727</v>
      </c>
      <c r="D2512" s="22">
        <f>MONTH(Table10[[#This Row],[Order Date]])</f>
        <v>12</v>
      </c>
      <c r="E2512" t="s">
        <v>1376</v>
      </c>
      <c r="F2512" t="s">
        <v>1377</v>
      </c>
      <c r="G2512" s="23" t="s">
        <v>28</v>
      </c>
      <c r="H2512" s="23" t="s">
        <v>58</v>
      </c>
      <c r="I2512" t="s">
        <v>1190</v>
      </c>
      <c r="J2512" t="s">
        <v>36</v>
      </c>
      <c r="K2512" s="22">
        <v>2</v>
      </c>
      <c r="L2512" s="1">
        <v>42730</v>
      </c>
      <c r="M2512" s="22">
        <f>Table10[[#This Row],[Ship Date]]-Table10[[#This Row],[Order Date]]</f>
        <v>3</v>
      </c>
      <c r="N2512" t="s">
        <v>20</v>
      </c>
      <c r="O2512" t="s">
        <v>23</v>
      </c>
      <c r="P2512" t="s">
        <v>94</v>
      </c>
      <c r="Q2512" t="s">
        <v>95</v>
      </c>
      <c r="R2512" t="s">
        <v>165</v>
      </c>
      <c r="S2512" s="33">
        <v>0.6</v>
      </c>
      <c r="T2512" s="13">
        <v>2.3279999999999998</v>
      </c>
      <c r="U2512" s="13">
        <v>-0.75660000000000005</v>
      </c>
      <c r="V2512" s="21">
        <f>Table10[[#This Row],[Profit]]/Table10[[#This Row],[Sales]]</f>
        <v>-0.32500000000000007</v>
      </c>
    </row>
    <row r="2513" spans="1:22" x14ac:dyDescent="0.2">
      <c r="A2513">
        <v>2512</v>
      </c>
      <c r="B2513" t="s">
        <v>9980</v>
      </c>
      <c r="C2513" s="1">
        <v>42727</v>
      </c>
      <c r="D2513" s="22">
        <f>MONTH(Table10[[#This Row],[Order Date]])</f>
        <v>12</v>
      </c>
      <c r="E2513" t="s">
        <v>4382</v>
      </c>
      <c r="F2513" t="s">
        <v>4383</v>
      </c>
      <c r="G2513" s="23" t="s">
        <v>41</v>
      </c>
      <c r="H2513" s="23" t="s">
        <v>82</v>
      </c>
      <c r="I2513" t="s">
        <v>664</v>
      </c>
      <c r="J2513" t="s">
        <v>92</v>
      </c>
      <c r="K2513" s="22">
        <v>2</v>
      </c>
      <c r="L2513" s="1">
        <v>42732</v>
      </c>
      <c r="M2513" s="22">
        <f>Table10[[#This Row],[Ship Date]]-Table10[[#This Row],[Order Date]]</f>
        <v>5</v>
      </c>
      <c r="N2513" t="s">
        <v>45</v>
      </c>
      <c r="O2513" t="s">
        <v>23</v>
      </c>
      <c r="P2513" t="s">
        <v>132</v>
      </c>
      <c r="Q2513" t="s">
        <v>133</v>
      </c>
      <c r="R2513" t="s">
        <v>131</v>
      </c>
      <c r="S2513" s="33">
        <v>0.2</v>
      </c>
      <c r="T2513" s="13">
        <v>7.968</v>
      </c>
      <c r="U2513" s="13">
        <v>2.6892</v>
      </c>
      <c r="V2513" s="21">
        <f>Table10[[#This Row],[Profit]]/Table10[[#This Row],[Sales]]</f>
        <v>0.33750000000000002</v>
      </c>
    </row>
    <row r="2514" spans="1:22" x14ac:dyDescent="0.2">
      <c r="A2514">
        <v>2513</v>
      </c>
      <c r="B2514" t="s">
        <v>9980</v>
      </c>
      <c r="C2514" s="1">
        <v>42727</v>
      </c>
      <c r="D2514" s="22">
        <f>MONTH(Table10[[#This Row],[Order Date]])</f>
        <v>12</v>
      </c>
      <c r="E2514" t="s">
        <v>9981</v>
      </c>
      <c r="F2514" t="s">
        <v>9982</v>
      </c>
      <c r="G2514" s="23" t="s">
        <v>64</v>
      </c>
      <c r="H2514" s="23" t="s">
        <v>65</v>
      </c>
      <c r="I2514" t="s">
        <v>664</v>
      </c>
      <c r="J2514" t="s">
        <v>92</v>
      </c>
      <c r="K2514" s="22">
        <v>5</v>
      </c>
      <c r="L2514" s="1">
        <v>42732</v>
      </c>
      <c r="M2514" s="22">
        <f>Table10[[#This Row],[Ship Date]]-Table10[[#This Row],[Order Date]]</f>
        <v>5</v>
      </c>
      <c r="N2514" t="s">
        <v>45</v>
      </c>
      <c r="O2514" t="s">
        <v>23</v>
      </c>
      <c r="P2514" t="s">
        <v>132</v>
      </c>
      <c r="Q2514" t="s">
        <v>133</v>
      </c>
      <c r="R2514" t="s">
        <v>131</v>
      </c>
      <c r="S2514" s="33">
        <v>0.4</v>
      </c>
      <c r="T2514" s="13">
        <v>1499.97</v>
      </c>
      <c r="U2514" s="13">
        <v>-374.99250000000001</v>
      </c>
      <c r="V2514" s="21">
        <f>Table10[[#This Row],[Profit]]/Table10[[#This Row],[Sales]]</f>
        <v>-0.25</v>
      </c>
    </row>
    <row r="2515" spans="1:22" x14ac:dyDescent="0.2">
      <c r="A2515">
        <v>2514</v>
      </c>
      <c r="B2515" t="s">
        <v>3100</v>
      </c>
      <c r="C2515" s="1">
        <v>42728</v>
      </c>
      <c r="D2515" s="22">
        <f>MONTH(Table10[[#This Row],[Order Date]])</f>
        <v>12</v>
      </c>
      <c r="E2515" t="s">
        <v>1990</v>
      </c>
      <c r="F2515" t="s">
        <v>1991</v>
      </c>
      <c r="G2515" s="23" t="s">
        <v>41</v>
      </c>
      <c r="H2515" s="23" t="s">
        <v>68</v>
      </c>
      <c r="I2515" t="s">
        <v>1334</v>
      </c>
      <c r="J2515" t="s">
        <v>92</v>
      </c>
      <c r="K2515" s="22">
        <v>3</v>
      </c>
      <c r="L2515" s="1">
        <v>42732</v>
      </c>
      <c r="M2515" s="22">
        <f>Table10[[#This Row],[Ship Date]]-Table10[[#This Row],[Order Date]]</f>
        <v>4</v>
      </c>
      <c r="N2515" t="s">
        <v>20</v>
      </c>
      <c r="O2515" t="s">
        <v>23</v>
      </c>
      <c r="P2515" t="s">
        <v>80</v>
      </c>
      <c r="Q2515" t="s">
        <v>26</v>
      </c>
      <c r="R2515" t="s">
        <v>414</v>
      </c>
      <c r="S2515" s="33">
        <v>0.7</v>
      </c>
      <c r="T2515" s="13">
        <v>27.882000000000001</v>
      </c>
      <c r="U2515" s="13">
        <v>-20.4468</v>
      </c>
      <c r="V2515" s="21">
        <f>Table10[[#This Row],[Profit]]/Table10[[#This Row],[Sales]]</f>
        <v>-0.73333333333333328</v>
      </c>
    </row>
    <row r="2516" spans="1:22" x14ac:dyDescent="0.2">
      <c r="A2516">
        <v>2515</v>
      </c>
      <c r="B2516" t="s">
        <v>3100</v>
      </c>
      <c r="C2516" s="1">
        <v>42728</v>
      </c>
      <c r="D2516" s="22">
        <f>MONTH(Table10[[#This Row],[Order Date]])</f>
        <v>12</v>
      </c>
      <c r="E2516" t="s">
        <v>3101</v>
      </c>
      <c r="F2516" t="s">
        <v>3102</v>
      </c>
      <c r="G2516" s="23" t="s">
        <v>41</v>
      </c>
      <c r="H2516" s="23" t="s">
        <v>53</v>
      </c>
      <c r="I2516" t="s">
        <v>1334</v>
      </c>
      <c r="J2516" t="s">
        <v>92</v>
      </c>
      <c r="K2516" s="22">
        <v>3</v>
      </c>
      <c r="L2516" s="1">
        <v>42732</v>
      </c>
      <c r="M2516" s="22">
        <f>Table10[[#This Row],[Ship Date]]-Table10[[#This Row],[Order Date]]</f>
        <v>4</v>
      </c>
      <c r="N2516" t="s">
        <v>20</v>
      </c>
      <c r="O2516" t="s">
        <v>23</v>
      </c>
      <c r="P2516" t="s">
        <v>80</v>
      </c>
      <c r="Q2516" t="s">
        <v>26</v>
      </c>
      <c r="R2516" t="s">
        <v>414</v>
      </c>
      <c r="S2516" s="33">
        <v>0.2</v>
      </c>
      <c r="T2516" s="13">
        <v>540.048</v>
      </c>
      <c r="U2516" s="13">
        <v>-47.254199999999997</v>
      </c>
      <c r="V2516" s="21">
        <f>Table10[[#This Row],[Profit]]/Table10[[#This Row],[Sales]]</f>
        <v>-8.7499999999999994E-2</v>
      </c>
    </row>
    <row r="2517" spans="1:22" x14ac:dyDescent="0.2">
      <c r="A2517">
        <v>2516</v>
      </c>
      <c r="B2517" t="s">
        <v>3100</v>
      </c>
      <c r="C2517" s="1">
        <v>42728</v>
      </c>
      <c r="D2517" s="22">
        <f>MONTH(Table10[[#This Row],[Order Date]])</f>
        <v>12</v>
      </c>
      <c r="E2517" t="s">
        <v>874</v>
      </c>
      <c r="F2517" t="s">
        <v>875</v>
      </c>
      <c r="G2517" s="23" t="s">
        <v>64</v>
      </c>
      <c r="H2517" s="23" t="s">
        <v>144</v>
      </c>
      <c r="I2517" t="s">
        <v>1334</v>
      </c>
      <c r="J2517" t="s">
        <v>92</v>
      </c>
      <c r="K2517" s="22">
        <v>8</v>
      </c>
      <c r="L2517" s="1">
        <v>42732</v>
      </c>
      <c r="M2517" s="22">
        <f>Table10[[#This Row],[Ship Date]]-Table10[[#This Row],[Order Date]]</f>
        <v>4</v>
      </c>
      <c r="N2517" t="s">
        <v>20</v>
      </c>
      <c r="O2517" t="s">
        <v>23</v>
      </c>
      <c r="P2517" t="s">
        <v>80</v>
      </c>
      <c r="Q2517" t="s">
        <v>26</v>
      </c>
      <c r="R2517" t="s">
        <v>414</v>
      </c>
      <c r="S2517" s="33">
        <v>0.2</v>
      </c>
      <c r="T2517" s="13">
        <v>255.68</v>
      </c>
      <c r="U2517" s="13">
        <v>76.703999999999994</v>
      </c>
      <c r="V2517" s="21">
        <f>Table10[[#This Row],[Profit]]/Table10[[#This Row],[Sales]]</f>
        <v>0.3</v>
      </c>
    </row>
    <row r="2518" spans="1:22" x14ac:dyDescent="0.2">
      <c r="A2518">
        <v>2517</v>
      </c>
      <c r="B2518" t="s">
        <v>6992</v>
      </c>
      <c r="C2518" s="1">
        <v>42728</v>
      </c>
      <c r="D2518" s="22">
        <f>MONTH(Table10[[#This Row],[Order Date]])</f>
        <v>12</v>
      </c>
      <c r="E2518" t="s">
        <v>1650</v>
      </c>
      <c r="F2518" t="s">
        <v>1651</v>
      </c>
      <c r="G2518" s="23" t="s">
        <v>41</v>
      </c>
      <c r="H2518" s="23" t="s">
        <v>82</v>
      </c>
      <c r="I2518" t="s">
        <v>2146</v>
      </c>
      <c r="J2518" t="s">
        <v>36</v>
      </c>
      <c r="K2518" s="22">
        <v>5</v>
      </c>
      <c r="L2518" s="1">
        <v>42729</v>
      </c>
      <c r="M2518" s="22">
        <f>Table10[[#This Row],[Ship Date]]-Table10[[#This Row],[Order Date]]</f>
        <v>1</v>
      </c>
      <c r="N2518" t="s">
        <v>169</v>
      </c>
      <c r="O2518" t="s">
        <v>23</v>
      </c>
      <c r="P2518" t="s">
        <v>87</v>
      </c>
      <c r="Q2518" t="s">
        <v>39</v>
      </c>
      <c r="R2518" t="s">
        <v>86</v>
      </c>
      <c r="S2518" s="33">
        <v>0</v>
      </c>
      <c r="T2518" s="13">
        <v>33.4</v>
      </c>
      <c r="U2518" s="13">
        <v>16.032</v>
      </c>
      <c r="V2518" s="21">
        <f>Table10[[#This Row],[Profit]]/Table10[[#This Row],[Sales]]</f>
        <v>0.48000000000000004</v>
      </c>
    </row>
    <row r="2519" spans="1:22" x14ac:dyDescent="0.2">
      <c r="A2519">
        <v>2518</v>
      </c>
      <c r="B2519" t="s">
        <v>7968</v>
      </c>
      <c r="C2519" s="1">
        <v>42728</v>
      </c>
      <c r="D2519" s="22">
        <f>MONTH(Table10[[#This Row],[Order Date]])</f>
        <v>12</v>
      </c>
      <c r="E2519" t="s">
        <v>7481</v>
      </c>
      <c r="F2519" t="s">
        <v>7482</v>
      </c>
      <c r="G2519" s="23" t="s">
        <v>28</v>
      </c>
      <c r="H2519" s="23" t="s">
        <v>58</v>
      </c>
      <c r="I2519" t="s">
        <v>2488</v>
      </c>
      <c r="J2519" t="s">
        <v>22</v>
      </c>
      <c r="K2519" s="22">
        <v>9</v>
      </c>
      <c r="L2519" s="1">
        <v>42732</v>
      </c>
      <c r="M2519" s="22">
        <f>Table10[[#This Row],[Ship Date]]-Table10[[#This Row],[Order Date]]</f>
        <v>4</v>
      </c>
      <c r="N2519" t="s">
        <v>45</v>
      </c>
      <c r="O2519" t="s">
        <v>23</v>
      </c>
      <c r="P2519" t="s">
        <v>238</v>
      </c>
      <c r="Q2519" t="s">
        <v>133</v>
      </c>
      <c r="R2519" t="s">
        <v>237</v>
      </c>
      <c r="S2519" s="33">
        <v>0</v>
      </c>
      <c r="T2519" s="13">
        <v>799.56</v>
      </c>
      <c r="U2519" s="13">
        <v>207.88560000000001</v>
      </c>
      <c r="V2519" s="21">
        <f>Table10[[#This Row],[Profit]]/Table10[[#This Row],[Sales]]</f>
        <v>0.26</v>
      </c>
    </row>
    <row r="2520" spans="1:22" x14ac:dyDescent="0.2">
      <c r="A2520">
        <v>2519</v>
      </c>
      <c r="B2520" t="s">
        <v>8344</v>
      </c>
      <c r="C2520" s="1">
        <v>42728</v>
      </c>
      <c r="D2520" s="22">
        <f>MONTH(Table10[[#This Row],[Order Date]])</f>
        <v>12</v>
      </c>
      <c r="E2520" t="s">
        <v>3399</v>
      </c>
      <c r="F2520" t="s">
        <v>3400</v>
      </c>
      <c r="G2520" s="23" t="s">
        <v>64</v>
      </c>
      <c r="H2520" s="23" t="s">
        <v>65</v>
      </c>
      <c r="I2520" t="s">
        <v>3427</v>
      </c>
      <c r="J2520" t="s">
        <v>36</v>
      </c>
      <c r="K2520" s="22">
        <v>3</v>
      </c>
      <c r="L2520" s="1">
        <v>42731</v>
      </c>
      <c r="M2520" s="22">
        <f>Table10[[#This Row],[Ship Date]]-Table10[[#This Row],[Order Date]]</f>
        <v>3</v>
      </c>
      <c r="N2520" t="s">
        <v>20</v>
      </c>
      <c r="O2520" t="s">
        <v>23</v>
      </c>
      <c r="P2520" t="s">
        <v>238</v>
      </c>
      <c r="Q2520" t="s">
        <v>133</v>
      </c>
      <c r="R2520" t="s">
        <v>237</v>
      </c>
      <c r="S2520" s="33">
        <v>0</v>
      </c>
      <c r="T2520" s="13">
        <v>197.97</v>
      </c>
      <c r="U2520" s="13">
        <v>53.451900000000002</v>
      </c>
      <c r="V2520" s="21">
        <f>Table10[[#This Row],[Profit]]/Table10[[#This Row],[Sales]]</f>
        <v>0.27</v>
      </c>
    </row>
    <row r="2521" spans="1:22" x14ac:dyDescent="0.2">
      <c r="A2521">
        <v>2520</v>
      </c>
      <c r="B2521" t="s">
        <v>8589</v>
      </c>
      <c r="C2521" s="1">
        <v>42728</v>
      </c>
      <c r="D2521" s="22">
        <f>MONTH(Table10[[#This Row],[Order Date]])</f>
        <v>12</v>
      </c>
      <c r="E2521" t="s">
        <v>5419</v>
      </c>
      <c r="F2521" t="s">
        <v>5420</v>
      </c>
      <c r="G2521" s="23" t="s">
        <v>28</v>
      </c>
      <c r="H2521" s="23" t="s">
        <v>58</v>
      </c>
      <c r="I2521" t="s">
        <v>1871</v>
      </c>
      <c r="J2521" t="s">
        <v>22</v>
      </c>
      <c r="K2521" s="22">
        <v>7</v>
      </c>
      <c r="L2521" s="1">
        <v>42734</v>
      </c>
      <c r="M2521" s="22">
        <f>Table10[[#This Row],[Ship Date]]-Table10[[#This Row],[Order Date]]</f>
        <v>6</v>
      </c>
      <c r="N2521" t="s">
        <v>45</v>
      </c>
      <c r="O2521" t="s">
        <v>23</v>
      </c>
      <c r="P2521" t="s">
        <v>38</v>
      </c>
      <c r="Q2521" t="s">
        <v>39</v>
      </c>
      <c r="R2521" t="s">
        <v>557</v>
      </c>
      <c r="S2521" s="33">
        <v>0</v>
      </c>
      <c r="T2521" s="13">
        <v>43.96</v>
      </c>
      <c r="U2521" s="13">
        <v>18.463200000000001</v>
      </c>
      <c r="V2521" s="21">
        <f>Table10[[#This Row],[Profit]]/Table10[[#This Row],[Sales]]</f>
        <v>0.42</v>
      </c>
    </row>
    <row r="2522" spans="1:22" x14ac:dyDescent="0.2">
      <c r="A2522">
        <v>2521</v>
      </c>
      <c r="B2522" t="s">
        <v>8589</v>
      </c>
      <c r="C2522" s="1">
        <v>42728</v>
      </c>
      <c r="D2522" s="22">
        <f>MONTH(Table10[[#This Row],[Order Date]])</f>
        <v>12</v>
      </c>
      <c r="E2522" t="s">
        <v>590</v>
      </c>
      <c r="F2522" t="s">
        <v>591</v>
      </c>
      <c r="G2522" s="23" t="s">
        <v>41</v>
      </c>
      <c r="H2522" s="23" t="s">
        <v>155</v>
      </c>
      <c r="I2522" t="s">
        <v>1871</v>
      </c>
      <c r="J2522" t="s">
        <v>22</v>
      </c>
      <c r="K2522" s="22">
        <v>7</v>
      </c>
      <c r="L2522" s="1">
        <v>42734</v>
      </c>
      <c r="M2522" s="22">
        <f>Table10[[#This Row],[Ship Date]]-Table10[[#This Row],[Order Date]]</f>
        <v>6</v>
      </c>
      <c r="N2522" t="s">
        <v>45</v>
      </c>
      <c r="O2522" t="s">
        <v>23</v>
      </c>
      <c r="P2522" t="s">
        <v>38</v>
      </c>
      <c r="Q2522" t="s">
        <v>39</v>
      </c>
      <c r="R2522" t="s">
        <v>557</v>
      </c>
      <c r="S2522" s="33">
        <v>0</v>
      </c>
      <c r="T2522" s="13">
        <v>39.76</v>
      </c>
      <c r="U2522" s="13">
        <v>18.687200000000001</v>
      </c>
      <c r="V2522" s="21">
        <f>Table10[[#This Row],[Profit]]/Table10[[#This Row],[Sales]]</f>
        <v>0.47000000000000003</v>
      </c>
    </row>
    <row r="2523" spans="1:22" x14ac:dyDescent="0.2">
      <c r="A2523">
        <v>2522</v>
      </c>
      <c r="B2523" t="s">
        <v>4014</v>
      </c>
      <c r="C2523" s="1">
        <v>42729</v>
      </c>
      <c r="D2523" s="22">
        <f>MONTH(Table10[[#This Row],[Order Date]])</f>
        <v>12</v>
      </c>
      <c r="E2523" t="s">
        <v>3031</v>
      </c>
      <c r="F2523" t="s">
        <v>3032</v>
      </c>
      <c r="G2523" s="23" t="s">
        <v>64</v>
      </c>
      <c r="H2523" s="23" t="s">
        <v>65</v>
      </c>
      <c r="I2523" t="s">
        <v>1041</v>
      </c>
      <c r="J2523" t="s">
        <v>36</v>
      </c>
      <c r="K2523" s="22">
        <v>7</v>
      </c>
      <c r="L2523" s="1">
        <v>42732</v>
      </c>
      <c r="M2523" s="22">
        <f>Table10[[#This Row],[Ship Date]]-Table10[[#This Row],[Order Date]]</f>
        <v>3</v>
      </c>
      <c r="N2523" t="s">
        <v>169</v>
      </c>
      <c r="O2523" t="s">
        <v>23</v>
      </c>
      <c r="P2523" t="s">
        <v>38</v>
      </c>
      <c r="Q2523" t="s">
        <v>39</v>
      </c>
      <c r="R2523" t="s">
        <v>37</v>
      </c>
      <c r="S2523" s="33">
        <v>0.2</v>
      </c>
      <c r="T2523" s="13">
        <v>2575.944</v>
      </c>
      <c r="U2523" s="13">
        <v>257.59440000000001</v>
      </c>
      <c r="V2523" s="21">
        <f>Table10[[#This Row],[Profit]]/Table10[[#This Row],[Sales]]</f>
        <v>0.1</v>
      </c>
    </row>
    <row r="2524" spans="1:22" x14ac:dyDescent="0.2">
      <c r="A2524">
        <v>2523</v>
      </c>
      <c r="B2524" t="s">
        <v>4014</v>
      </c>
      <c r="C2524" s="1">
        <v>42729</v>
      </c>
      <c r="D2524" s="22">
        <f>MONTH(Table10[[#This Row],[Order Date]])</f>
        <v>12</v>
      </c>
      <c r="E2524" t="s">
        <v>1747</v>
      </c>
      <c r="F2524" t="s">
        <v>1748</v>
      </c>
      <c r="G2524" s="23" t="s">
        <v>41</v>
      </c>
      <c r="H2524" s="23" t="s">
        <v>82</v>
      </c>
      <c r="I2524" t="s">
        <v>1041</v>
      </c>
      <c r="J2524" t="s">
        <v>36</v>
      </c>
      <c r="K2524" s="22">
        <v>7</v>
      </c>
      <c r="L2524" s="1">
        <v>42732</v>
      </c>
      <c r="M2524" s="22">
        <f>Table10[[#This Row],[Ship Date]]-Table10[[#This Row],[Order Date]]</f>
        <v>3</v>
      </c>
      <c r="N2524" t="s">
        <v>169</v>
      </c>
      <c r="O2524" t="s">
        <v>23</v>
      </c>
      <c r="P2524" t="s">
        <v>38</v>
      </c>
      <c r="Q2524" t="s">
        <v>39</v>
      </c>
      <c r="R2524" t="s">
        <v>37</v>
      </c>
      <c r="S2524" s="33">
        <v>0</v>
      </c>
      <c r="T2524" s="13">
        <v>45.36</v>
      </c>
      <c r="U2524" s="13">
        <v>21.7728</v>
      </c>
      <c r="V2524" s="21">
        <f>Table10[[#This Row],[Profit]]/Table10[[#This Row],[Sales]]</f>
        <v>0.48</v>
      </c>
    </row>
    <row r="2525" spans="1:22" x14ac:dyDescent="0.2">
      <c r="A2525">
        <v>2524</v>
      </c>
      <c r="B2525" t="s">
        <v>4014</v>
      </c>
      <c r="C2525" s="1">
        <v>42729</v>
      </c>
      <c r="D2525" s="22">
        <f>MONTH(Table10[[#This Row],[Order Date]])</f>
        <v>12</v>
      </c>
      <c r="E2525" t="s">
        <v>1640</v>
      </c>
      <c r="F2525" t="s">
        <v>1641</v>
      </c>
      <c r="G2525" s="23" t="s">
        <v>64</v>
      </c>
      <c r="H2525" s="23" t="s">
        <v>144</v>
      </c>
      <c r="I2525" t="s">
        <v>1041</v>
      </c>
      <c r="J2525" t="s">
        <v>36</v>
      </c>
      <c r="K2525" s="22">
        <v>7</v>
      </c>
      <c r="L2525" s="1">
        <v>42732</v>
      </c>
      <c r="M2525" s="22">
        <f>Table10[[#This Row],[Ship Date]]-Table10[[#This Row],[Order Date]]</f>
        <v>3</v>
      </c>
      <c r="N2525" t="s">
        <v>169</v>
      </c>
      <c r="O2525" t="s">
        <v>23</v>
      </c>
      <c r="P2525" t="s">
        <v>38</v>
      </c>
      <c r="Q2525" t="s">
        <v>39</v>
      </c>
      <c r="R2525" t="s">
        <v>37</v>
      </c>
      <c r="S2525" s="33">
        <v>0</v>
      </c>
      <c r="T2525" s="13">
        <v>254.24</v>
      </c>
      <c r="U2525" s="13">
        <v>76.272000000000006</v>
      </c>
      <c r="V2525" s="21">
        <f>Table10[[#This Row],[Profit]]/Table10[[#This Row],[Sales]]</f>
        <v>0.3</v>
      </c>
    </row>
    <row r="2526" spans="1:22" x14ac:dyDescent="0.2">
      <c r="A2526">
        <v>2525</v>
      </c>
      <c r="B2526" t="s">
        <v>7396</v>
      </c>
      <c r="C2526" s="1">
        <v>42729</v>
      </c>
      <c r="D2526" s="22">
        <f>MONTH(Table10[[#This Row],[Order Date]])</f>
        <v>12</v>
      </c>
      <c r="E2526" t="s">
        <v>1060</v>
      </c>
      <c r="F2526" t="s">
        <v>1061</v>
      </c>
      <c r="G2526" s="23" t="s">
        <v>41</v>
      </c>
      <c r="H2526" s="23" t="s">
        <v>68</v>
      </c>
      <c r="I2526" t="s">
        <v>2773</v>
      </c>
      <c r="J2526" t="s">
        <v>22</v>
      </c>
      <c r="K2526" s="22">
        <v>2</v>
      </c>
      <c r="L2526" s="1">
        <v>42732</v>
      </c>
      <c r="M2526" s="22">
        <f>Table10[[#This Row],[Ship Date]]-Table10[[#This Row],[Order Date]]</f>
        <v>3</v>
      </c>
      <c r="N2526" t="s">
        <v>20</v>
      </c>
      <c r="O2526" t="s">
        <v>23</v>
      </c>
      <c r="P2526" t="s">
        <v>238</v>
      </c>
      <c r="Q2526" t="s">
        <v>133</v>
      </c>
      <c r="R2526" t="s">
        <v>237</v>
      </c>
      <c r="S2526" s="33">
        <v>0.2</v>
      </c>
      <c r="T2526" s="13">
        <v>33.567999999999998</v>
      </c>
      <c r="U2526" s="13">
        <v>11.748799999999999</v>
      </c>
      <c r="V2526" s="21">
        <f>Table10[[#This Row],[Profit]]/Table10[[#This Row],[Sales]]</f>
        <v>0.35</v>
      </c>
    </row>
    <row r="2527" spans="1:22" x14ac:dyDescent="0.2">
      <c r="A2527">
        <v>2526</v>
      </c>
      <c r="B2527" t="s">
        <v>7866</v>
      </c>
      <c r="C2527" s="1">
        <v>42729</v>
      </c>
      <c r="D2527" s="22">
        <f>MONTH(Table10[[#This Row],[Order Date]])</f>
        <v>12</v>
      </c>
      <c r="E2527" t="s">
        <v>4370</v>
      </c>
      <c r="F2527" t="s">
        <v>4371</v>
      </c>
      <c r="G2527" s="23" t="s">
        <v>28</v>
      </c>
      <c r="H2527" s="23" t="s">
        <v>58</v>
      </c>
      <c r="I2527" t="s">
        <v>1233</v>
      </c>
      <c r="J2527" t="s">
        <v>36</v>
      </c>
      <c r="K2527" s="22">
        <v>4</v>
      </c>
      <c r="L2527" s="1">
        <v>42736</v>
      </c>
      <c r="M2527" s="22">
        <f>Table10[[#This Row],[Ship Date]]-Table10[[#This Row],[Order Date]]</f>
        <v>7</v>
      </c>
      <c r="N2527" t="s">
        <v>45</v>
      </c>
      <c r="O2527" t="s">
        <v>23</v>
      </c>
      <c r="P2527" t="s">
        <v>2373</v>
      </c>
      <c r="Q2527" t="s">
        <v>133</v>
      </c>
      <c r="R2527" t="s">
        <v>7867</v>
      </c>
      <c r="S2527" s="33">
        <v>0</v>
      </c>
      <c r="T2527" s="13">
        <v>21.12</v>
      </c>
      <c r="U2527" s="13">
        <v>6.5472000000000001</v>
      </c>
      <c r="V2527" s="21">
        <f>Table10[[#This Row],[Profit]]/Table10[[#This Row],[Sales]]</f>
        <v>0.31</v>
      </c>
    </row>
    <row r="2528" spans="1:22" x14ac:dyDescent="0.2">
      <c r="A2528">
        <v>2527</v>
      </c>
      <c r="B2528" t="s">
        <v>8229</v>
      </c>
      <c r="C2528" s="1">
        <v>42729</v>
      </c>
      <c r="D2528" s="22">
        <f>MONTH(Table10[[#This Row],[Order Date]])</f>
        <v>12</v>
      </c>
      <c r="E2528" t="s">
        <v>3480</v>
      </c>
      <c r="F2528" t="s">
        <v>3481</v>
      </c>
      <c r="G2528" s="23" t="s">
        <v>28</v>
      </c>
      <c r="H2528" s="23" t="s">
        <v>32</v>
      </c>
      <c r="I2528" t="s">
        <v>4249</v>
      </c>
      <c r="J2528" t="s">
        <v>22</v>
      </c>
      <c r="K2528" s="22">
        <v>3</v>
      </c>
      <c r="L2528" s="1">
        <v>42734</v>
      </c>
      <c r="M2528" s="22">
        <f>Table10[[#This Row],[Ship Date]]-Table10[[#This Row],[Order Date]]</f>
        <v>5</v>
      </c>
      <c r="N2528" t="s">
        <v>45</v>
      </c>
      <c r="O2528" t="s">
        <v>23</v>
      </c>
      <c r="P2528" t="s">
        <v>87</v>
      </c>
      <c r="Q2528" t="s">
        <v>39</v>
      </c>
      <c r="R2528" t="s">
        <v>86</v>
      </c>
      <c r="S2528" s="33">
        <v>0.2</v>
      </c>
      <c r="T2528" s="13">
        <v>698.35199999999998</v>
      </c>
      <c r="U2528" s="13">
        <v>52.376399999999997</v>
      </c>
      <c r="V2528" s="21">
        <f>Table10[[#This Row],[Profit]]/Table10[[#This Row],[Sales]]</f>
        <v>7.4999999999999997E-2</v>
      </c>
    </row>
    <row r="2529" spans="1:22" x14ac:dyDescent="0.2">
      <c r="A2529">
        <v>2528</v>
      </c>
      <c r="B2529" t="s">
        <v>8229</v>
      </c>
      <c r="C2529" s="1">
        <v>42729</v>
      </c>
      <c r="D2529" s="22">
        <f>MONTH(Table10[[#This Row],[Order Date]])</f>
        <v>12</v>
      </c>
      <c r="E2529" t="s">
        <v>3910</v>
      </c>
      <c r="F2529" t="s">
        <v>3911</v>
      </c>
      <c r="G2529" s="23" t="s">
        <v>28</v>
      </c>
      <c r="H2529" s="23" t="s">
        <v>50</v>
      </c>
      <c r="I2529" t="s">
        <v>4249</v>
      </c>
      <c r="J2529" t="s">
        <v>22</v>
      </c>
      <c r="K2529" s="22">
        <v>5</v>
      </c>
      <c r="L2529" s="1">
        <v>42734</v>
      </c>
      <c r="M2529" s="22">
        <f>Table10[[#This Row],[Ship Date]]-Table10[[#This Row],[Order Date]]</f>
        <v>5</v>
      </c>
      <c r="N2529" t="s">
        <v>45</v>
      </c>
      <c r="O2529" t="s">
        <v>23</v>
      </c>
      <c r="P2529" t="s">
        <v>87</v>
      </c>
      <c r="Q2529" t="s">
        <v>39</v>
      </c>
      <c r="R2529" t="s">
        <v>86</v>
      </c>
      <c r="S2529" s="33">
        <v>0</v>
      </c>
      <c r="T2529" s="13">
        <v>1747.25</v>
      </c>
      <c r="U2529" s="13">
        <v>629.01</v>
      </c>
      <c r="V2529" s="21">
        <f>Table10[[#This Row],[Profit]]/Table10[[#This Row],[Sales]]</f>
        <v>0.36</v>
      </c>
    </row>
    <row r="2530" spans="1:22" x14ac:dyDescent="0.2">
      <c r="A2530">
        <v>2529</v>
      </c>
      <c r="B2530" t="s">
        <v>8331</v>
      </c>
      <c r="C2530" s="1">
        <v>42729</v>
      </c>
      <c r="D2530" s="22">
        <f>MONTH(Table10[[#This Row],[Order Date]])</f>
        <v>12</v>
      </c>
      <c r="E2530" t="s">
        <v>817</v>
      </c>
      <c r="F2530" t="s">
        <v>818</v>
      </c>
      <c r="G2530" s="23" t="s">
        <v>28</v>
      </c>
      <c r="H2530" s="23" t="s">
        <v>50</v>
      </c>
      <c r="I2530" t="s">
        <v>3217</v>
      </c>
      <c r="J2530" t="s">
        <v>36</v>
      </c>
      <c r="K2530" s="22">
        <v>1</v>
      </c>
      <c r="L2530" s="1">
        <v>42736</v>
      </c>
      <c r="M2530" s="22">
        <f>Table10[[#This Row],[Ship Date]]-Table10[[#This Row],[Order Date]]</f>
        <v>7</v>
      </c>
      <c r="N2530" t="s">
        <v>45</v>
      </c>
      <c r="O2530" t="s">
        <v>23</v>
      </c>
      <c r="P2530" t="s">
        <v>277</v>
      </c>
      <c r="Q2530" t="s">
        <v>39</v>
      </c>
      <c r="R2530" t="s">
        <v>481</v>
      </c>
      <c r="S2530" s="33">
        <v>0.5</v>
      </c>
      <c r="T2530" s="13">
        <v>35.445</v>
      </c>
      <c r="U2530" s="13">
        <v>-24.102599999999999</v>
      </c>
      <c r="V2530" s="21">
        <f>Table10[[#This Row],[Profit]]/Table10[[#This Row],[Sales]]</f>
        <v>-0.67999999999999994</v>
      </c>
    </row>
    <row r="2531" spans="1:22" x14ac:dyDescent="0.2">
      <c r="A2531">
        <v>2530</v>
      </c>
      <c r="B2531" t="s">
        <v>8331</v>
      </c>
      <c r="C2531" s="1">
        <v>42729</v>
      </c>
      <c r="D2531" s="22">
        <f>MONTH(Table10[[#This Row],[Order Date]])</f>
        <v>12</v>
      </c>
      <c r="E2531" t="s">
        <v>5083</v>
      </c>
      <c r="F2531" t="s">
        <v>5084</v>
      </c>
      <c r="G2531" s="23" t="s">
        <v>64</v>
      </c>
      <c r="H2531" s="23" t="s">
        <v>602</v>
      </c>
      <c r="I2531" t="s">
        <v>3217</v>
      </c>
      <c r="J2531" t="s">
        <v>36</v>
      </c>
      <c r="K2531" s="22">
        <v>2</v>
      </c>
      <c r="L2531" s="1">
        <v>42736</v>
      </c>
      <c r="M2531" s="22">
        <f>Table10[[#This Row],[Ship Date]]-Table10[[#This Row],[Order Date]]</f>
        <v>7</v>
      </c>
      <c r="N2531" t="s">
        <v>45</v>
      </c>
      <c r="O2531" t="s">
        <v>23</v>
      </c>
      <c r="P2531" t="s">
        <v>277</v>
      </c>
      <c r="Q2531" t="s">
        <v>39</v>
      </c>
      <c r="R2531" t="s">
        <v>481</v>
      </c>
      <c r="S2531" s="33">
        <v>0.7</v>
      </c>
      <c r="T2531" s="13">
        <v>269.97000000000003</v>
      </c>
      <c r="U2531" s="13">
        <v>-386.95699999999999</v>
      </c>
      <c r="V2531" s="21">
        <f>Table10[[#This Row],[Profit]]/Table10[[#This Row],[Sales]]</f>
        <v>-1.4333333333333331</v>
      </c>
    </row>
    <row r="2532" spans="1:22" x14ac:dyDescent="0.2">
      <c r="A2532">
        <v>2531</v>
      </c>
      <c r="B2532" t="s">
        <v>8331</v>
      </c>
      <c r="C2532" s="1">
        <v>42729</v>
      </c>
      <c r="D2532" s="22">
        <f>MONTH(Table10[[#This Row],[Order Date]])</f>
        <v>12</v>
      </c>
      <c r="E2532" t="s">
        <v>4266</v>
      </c>
      <c r="F2532" t="s">
        <v>4267</v>
      </c>
      <c r="G2532" s="23" t="s">
        <v>64</v>
      </c>
      <c r="H2532" s="23" t="s">
        <v>144</v>
      </c>
      <c r="I2532" t="s">
        <v>3217</v>
      </c>
      <c r="J2532" t="s">
        <v>36</v>
      </c>
      <c r="K2532" s="22">
        <v>3</v>
      </c>
      <c r="L2532" s="1">
        <v>42736</v>
      </c>
      <c r="M2532" s="22">
        <f>Table10[[#This Row],[Ship Date]]-Table10[[#This Row],[Order Date]]</f>
        <v>7</v>
      </c>
      <c r="N2532" t="s">
        <v>45</v>
      </c>
      <c r="O2532" t="s">
        <v>23</v>
      </c>
      <c r="P2532" t="s">
        <v>277</v>
      </c>
      <c r="Q2532" t="s">
        <v>39</v>
      </c>
      <c r="R2532" t="s">
        <v>481</v>
      </c>
      <c r="S2532" s="33">
        <v>0.2</v>
      </c>
      <c r="T2532" s="13">
        <v>45.12</v>
      </c>
      <c r="U2532" s="13">
        <v>-7.8959999999999999</v>
      </c>
      <c r="V2532" s="21">
        <f>Table10[[#This Row],[Profit]]/Table10[[#This Row],[Sales]]</f>
        <v>-0.17500000000000002</v>
      </c>
    </row>
    <row r="2533" spans="1:22" x14ac:dyDescent="0.2">
      <c r="A2533">
        <v>2532</v>
      </c>
      <c r="B2533" t="s">
        <v>8331</v>
      </c>
      <c r="C2533" s="1">
        <v>42729</v>
      </c>
      <c r="D2533" s="22">
        <f>MONTH(Table10[[#This Row],[Order Date]])</f>
        <v>12</v>
      </c>
      <c r="E2533" t="s">
        <v>2491</v>
      </c>
      <c r="F2533" t="s">
        <v>2492</v>
      </c>
      <c r="G2533" s="23" t="s">
        <v>64</v>
      </c>
      <c r="H2533" s="23" t="s">
        <v>144</v>
      </c>
      <c r="I2533" t="s">
        <v>3217</v>
      </c>
      <c r="J2533" t="s">
        <v>36</v>
      </c>
      <c r="K2533" s="22">
        <v>2</v>
      </c>
      <c r="L2533" s="1">
        <v>42736</v>
      </c>
      <c r="M2533" s="22">
        <f>Table10[[#This Row],[Ship Date]]-Table10[[#This Row],[Order Date]]</f>
        <v>7</v>
      </c>
      <c r="N2533" t="s">
        <v>45</v>
      </c>
      <c r="O2533" t="s">
        <v>23</v>
      </c>
      <c r="P2533" t="s">
        <v>277</v>
      </c>
      <c r="Q2533" t="s">
        <v>39</v>
      </c>
      <c r="R2533" t="s">
        <v>481</v>
      </c>
      <c r="S2533" s="33">
        <v>0.2</v>
      </c>
      <c r="T2533" s="13">
        <v>100.8</v>
      </c>
      <c r="U2533" s="13">
        <v>21.42</v>
      </c>
      <c r="V2533" s="21">
        <f>Table10[[#This Row],[Profit]]/Table10[[#This Row],[Sales]]</f>
        <v>0.21250000000000002</v>
      </c>
    </row>
    <row r="2534" spans="1:22" x14ac:dyDescent="0.2">
      <c r="A2534">
        <v>2533</v>
      </c>
      <c r="B2534" t="s">
        <v>8331</v>
      </c>
      <c r="C2534" s="1">
        <v>42729</v>
      </c>
      <c r="D2534" s="22">
        <f>MONTH(Table10[[#This Row],[Order Date]])</f>
        <v>12</v>
      </c>
      <c r="E2534" t="s">
        <v>4044</v>
      </c>
      <c r="F2534" t="s">
        <v>4045</v>
      </c>
      <c r="G2534" s="23" t="s">
        <v>28</v>
      </c>
      <c r="H2534" s="23" t="s">
        <v>32</v>
      </c>
      <c r="I2534" t="s">
        <v>3217</v>
      </c>
      <c r="J2534" t="s">
        <v>36</v>
      </c>
      <c r="K2534" s="22">
        <v>2</v>
      </c>
      <c r="L2534" s="1">
        <v>42736</v>
      </c>
      <c r="M2534" s="22">
        <f>Table10[[#This Row],[Ship Date]]-Table10[[#This Row],[Order Date]]</f>
        <v>7</v>
      </c>
      <c r="N2534" t="s">
        <v>45</v>
      </c>
      <c r="O2534" t="s">
        <v>23</v>
      </c>
      <c r="P2534" t="s">
        <v>277</v>
      </c>
      <c r="Q2534" t="s">
        <v>39</v>
      </c>
      <c r="R2534" t="s">
        <v>481</v>
      </c>
      <c r="S2534" s="33">
        <v>0.2</v>
      </c>
      <c r="T2534" s="13">
        <v>47.968000000000004</v>
      </c>
      <c r="U2534" s="13">
        <v>4.1971999999999996</v>
      </c>
      <c r="V2534" s="21">
        <f>Table10[[#This Row],[Profit]]/Table10[[#This Row],[Sales]]</f>
        <v>8.7499999999999981E-2</v>
      </c>
    </row>
    <row r="2535" spans="1:22" x14ac:dyDescent="0.2">
      <c r="A2535">
        <v>2534</v>
      </c>
      <c r="B2535" t="s">
        <v>8682</v>
      </c>
      <c r="C2535" s="1">
        <v>42729</v>
      </c>
      <c r="D2535" s="22">
        <f>MONTH(Table10[[#This Row],[Order Date]])</f>
        <v>12</v>
      </c>
      <c r="E2535" t="s">
        <v>3356</v>
      </c>
      <c r="F2535" t="s">
        <v>3357</v>
      </c>
      <c r="G2535" s="23" t="s">
        <v>28</v>
      </c>
      <c r="H2535" s="23" t="s">
        <v>50</v>
      </c>
      <c r="I2535" t="s">
        <v>6088</v>
      </c>
      <c r="J2535" t="s">
        <v>36</v>
      </c>
      <c r="K2535" s="22">
        <v>2</v>
      </c>
      <c r="L2535" s="1">
        <v>42734</v>
      </c>
      <c r="M2535" s="22">
        <f>Table10[[#This Row],[Ship Date]]-Table10[[#This Row],[Order Date]]</f>
        <v>5</v>
      </c>
      <c r="N2535" t="s">
        <v>45</v>
      </c>
      <c r="O2535" t="s">
        <v>23</v>
      </c>
      <c r="P2535" t="s">
        <v>238</v>
      </c>
      <c r="Q2535" t="s">
        <v>133</v>
      </c>
      <c r="R2535" t="s">
        <v>237</v>
      </c>
      <c r="S2535" s="33">
        <v>0.4</v>
      </c>
      <c r="T2535" s="13">
        <v>313.17599999999999</v>
      </c>
      <c r="U2535" s="13">
        <v>-120.0508</v>
      </c>
      <c r="V2535" s="21">
        <f>Table10[[#This Row],[Profit]]/Table10[[#This Row],[Sales]]</f>
        <v>-0.38333333333333336</v>
      </c>
    </row>
    <row r="2536" spans="1:22" x14ac:dyDescent="0.2">
      <c r="A2536">
        <v>2535</v>
      </c>
      <c r="B2536" t="s">
        <v>8682</v>
      </c>
      <c r="C2536" s="1">
        <v>42729</v>
      </c>
      <c r="D2536" s="22">
        <f>MONTH(Table10[[#This Row],[Order Date]])</f>
        <v>12</v>
      </c>
      <c r="E2536" t="s">
        <v>2143</v>
      </c>
      <c r="F2536" t="s">
        <v>2144</v>
      </c>
      <c r="G2536" s="23" t="s">
        <v>28</v>
      </c>
      <c r="H2536" s="23" t="s">
        <v>32</v>
      </c>
      <c r="I2536" t="s">
        <v>6088</v>
      </c>
      <c r="J2536" t="s">
        <v>36</v>
      </c>
      <c r="K2536" s="22">
        <v>3</v>
      </c>
      <c r="L2536" s="1">
        <v>42734</v>
      </c>
      <c r="M2536" s="22">
        <f>Table10[[#This Row],[Ship Date]]-Table10[[#This Row],[Order Date]]</f>
        <v>5</v>
      </c>
      <c r="N2536" t="s">
        <v>45</v>
      </c>
      <c r="O2536" t="s">
        <v>23</v>
      </c>
      <c r="P2536" t="s">
        <v>238</v>
      </c>
      <c r="Q2536" t="s">
        <v>133</v>
      </c>
      <c r="R2536" t="s">
        <v>237</v>
      </c>
      <c r="S2536" s="33">
        <v>0.1</v>
      </c>
      <c r="T2536" s="13">
        <v>866.64599999999996</v>
      </c>
      <c r="U2536" s="13">
        <v>173.32919999999999</v>
      </c>
      <c r="V2536" s="21">
        <f>Table10[[#This Row],[Profit]]/Table10[[#This Row],[Sales]]</f>
        <v>0.19999999999999998</v>
      </c>
    </row>
    <row r="2537" spans="1:22" x14ac:dyDescent="0.2">
      <c r="A2537">
        <v>2536</v>
      </c>
      <c r="B2537" t="s">
        <v>8944</v>
      </c>
      <c r="C2537" s="1">
        <v>42729</v>
      </c>
      <c r="D2537" s="22">
        <f>MONTH(Table10[[#This Row],[Order Date]])</f>
        <v>12</v>
      </c>
      <c r="E2537" t="s">
        <v>1555</v>
      </c>
      <c r="F2537" t="s">
        <v>1556</v>
      </c>
      <c r="G2537" s="23" t="s">
        <v>41</v>
      </c>
      <c r="H2537" s="23" t="s">
        <v>61</v>
      </c>
      <c r="I2537" t="s">
        <v>7882</v>
      </c>
      <c r="J2537" t="s">
        <v>22</v>
      </c>
      <c r="K2537" s="22">
        <v>9</v>
      </c>
      <c r="L2537" s="1">
        <v>42733</v>
      </c>
      <c r="M2537" s="22">
        <f>Table10[[#This Row],[Ship Date]]-Table10[[#This Row],[Order Date]]</f>
        <v>4</v>
      </c>
      <c r="N2537" t="s">
        <v>45</v>
      </c>
      <c r="O2537" t="s">
        <v>23</v>
      </c>
      <c r="P2537" t="s">
        <v>1510</v>
      </c>
      <c r="Q2537" t="s">
        <v>26</v>
      </c>
      <c r="R2537" t="s">
        <v>1509</v>
      </c>
      <c r="S2537" s="33">
        <v>0</v>
      </c>
      <c r="T2537" s="13">
        <v>19.89</v>
      </c>
      <c r="U2537" s="13">
        <v>5.3703000000000003</v>
      </c>
      <c r="V2537" s="21">
        <f>Table10[[#This Row],[Profit]]/Table10[[#This Row],[Sales]]</f>
        <v>0.27</v>
      </c>
    </row>
    <row r="2538" spans="1:22" x14ac:dyDescent="0.2">
      <c r="A2538">
        <v>2537</v>
      </c>
      <c r="B2538" t="s">
        <v>8944</v>
      </c>
      <c r="C2538" s="1">
        <v>42729</v>
      </c>
      <c r="D2538" s="22">
        <f>MONTH(Table10[[#This Row],[Order Date]])</f>
        <v>12</v>
      </c>
      <c r="E2538" t="s">
        <v>2238</v>
      </c>
      <c r="F2538" t="s">
        <v>2239</v>
      </c>
      <c r="G2538" s="23" t="s">
        <v>64</v>
      </c>
      <c r="H2538" s="23" t="s">
        <v>144</v>
      </c>
      <c r="I2538" t="s">
        <v>7882</v>
      </c>
      <c r="J2538" t="s">
        <v>22</v>
      </c>
      <c r="K2538" s="22">
        <v>2</v>
      </c>
      <c r="L2538" s="1">
        <v>42733</v>
      </c>
      <c r="M2538" s="22">
        <f>Table10[[#This Row],[Ship Date]]-Table10[[#This Row],[Order Date]]</f>
        <v>4</v>
      </c>
      <c r="N2538" t="s">
        <v>45</v>
      </c>
      <c r="O2538" t="s">
        <v>23</v>
      </c>
      <c r="P2538" t="s">
        <v>1510</v>
      </c>
      <c r="Q2538" t="s">
        <v>26</v>
      </c>
      <c r="R2538" t="s">
        <v>1509</v>
      </c>
      <c r="S2538" s="33">
        <v>0</v>
      </c>
      <c r="T2538" s="13">
        <v>399.98</v>
      </c>
      <c r="U2538" s="13">
        <v>171.9914</v>
      </c>
      <c r="V2538" s="21">
        <f>Table10[[#This Row],[Profit]]/Table10[[#This Row],[Sales]]</f>
        <v>0.43</v>
      </c>
    </row>
    <row r="2539" spans="1:22" x14ac:dyDescent="0.2">
      <c r="A2539">
        <v>2538</v>
      </c>
      <c r="B2539" t="s">
        <v>8944</v>
      </c>
      <c r="C2539" s="1">
        <v>42729</v>
      </c>
      <c r="D2539" s="22">
        <f>MONTH(Table10[[#This Row],[Order Date]])</f>
        <v>12</v>
      </c>
      <c r="E2539" t="s">
        <v>1945</v>
      </c>
      <c r="F2539" t="s">
        <v>1946</v>
      </c>
      <c r="G2539" s="23" t="s">
        <v>28</v>
      </c>
      <c r="H2539" s="23" t="s">
        <v>58</v>
      </c>
      <c r="I2539" t="s">
        <v>7882</v>
      </c>
      <c r="J2539" t="s">
        <v>22</v>
      </c>
      <c r="K2539" s="22">
        <v>5</v>
      </c>
      <c r="L2539" s="1">
        <v>42733</v>
      </c>
      <c r="M2539" s="22">
        <f>Table10[[#This Row],[Ship Date]]-Table10[[#This Row],[Order Date]]</f>
        <v>4</v>
      </c>
      <c r="N2539" t="s">
        <v>45</v>
      </c>
      <c r="O2539" t="s">
        <v>23</v>
      </c>
      <c r="P2539" t="s">
        <v>1510</v>
      </c>
      <c r="Q2539" t="s">
        <v>26</v>
      </c>
      <c r="R2539" t="s">
        <v>1509</v>
      </c>
      <c r="S2539" s="33">
        <v>0</v>
      </c>
      <c r="T2539" s="13">
        <v>343.85</v>
      </c>
      <c r="U2539" s="13">
        <v>137.54</v>
      </c>
      <c r="V2539" s="21">
        <f>Table10[[#This Row],[Profit]]/Table10[[#This Row],[Sales]]</f>
        <v>0.39999999999999997</v>
      </c>
    </row>
    <row r="2540" spans="1:22" x14ac:dyDescent="0.2">
      <c r="A2540">
        <v>2539</v>
      </c>
      <c r="B2540" t="s">
        <v>8944</v>
      </c>
      <c r="C2540" s="1">
        <v>42729</v>
      </c>
      <c r="D2540" s="22">
        <f>MONTH(Table10[[#This Row],[Order Date]])</f>
        <v>12</v>
      </c>
      <c r="E2540" t="s">
        <v>7423</v>
      </c>
      <c r="F2540" t="s">
        <v>7424</v>
      </c>
      <c r="G2540" s="23" t="s">
        <v>41</v>
      </c>
      <c r="H2540" s="23" t="s">
        <v>82</v>
      </c>
      <c r="I2540" t="s">
        <v>7882</v>
      </c>
      <c r="J2540" t="s">
        <v>22</v>
      </c>
      <c r="K2540" s="22">
        <v>3</v>
      </c>
      <c r="L2540" s="1">
        <v>42733</v>
      </c>
      <c r="M2540" s="22">
        <f>Table10[[#This Row],[Ship Date]]-Table10[[#This Row],[Order Date]]</f>
        <v>4</v>
      </c>
      <c r="N2540" t="s">
        <v>45</v>
      </c>
      <c r="O2540" t="s">
        <v>23</v>
      </c>
      <c r="P2540" t="s">
        <v>1510</v>
      </c>
      <c r="Q2540" t="s">
        <v>26</v>
      </c>
      <c r="R2540" t="s">
        <v>1509</v>
      </c>
      <c r="S2540" s="33">
        <v>0</v>
      </c>
      <c r="T2540" s="13">
        <v>106.32</v>
      </c>
      <c r="U2540" s="13">
        <v>49.970399999999998</v>
      </c>
      <c r="V2540" s="21">
        <f>Table10[[#This Row],[Profit]]/Table10[[#This Row],[Sales]]</f>
        <v>0.47000000000000003</v>
      </c>
    </row>
    <row r="2541" spans="1:22" x14ac:dyDescent="0.2">
      <c r="A2541">
        <v>2540</v>
      </c>
      <c r="B2541" t="s">
        <v>9144</v>
      </c>
      <c r="C2541" s="1">
        <v>42729</v>
      </c>
      <c r="D2541" s="22">
        <f>MONTH(Table10[[#This Row],[Order Date]])</f>
        <v>12</v>
      </c>
      <c r="E2541" t="s">
        <v>1406</v>
      </c>
      <c r="F2541" t="s">
        <v>1407</v>
      </c>
      <c r="G2541" s="23" t="s">
        <v>28</v>
      </c>
      <c r="H2541" s="23" t="s">
        <v>32</v>
      </c>
      <c r="I2541" t="s">
        <v>4249</v>
      </c>
      <c r="J2541" t="s">
        <v>22</v>
      </c>
      <c r="K2541" s="22">
        <v>8</v>
      </c>
      <c r="L2541" s="1">
        <v>42735</v>
      </c>
      <c r="M2541" s="22">
        <f>Table10[[#This Row],[Ship Date]]-Table10[[#This Row],[Order Date]]</f>
        <v>6</v>
      </c>
      <c r="N2541" t="s">
        <v>45</v>
      </c>
      <c r="O2541" t="s">
        <v>23</v>
      </c>
      <c r="P2541" t="s">
        <v>238</v>
      </c>
      <c r="Q2541" t="s">
        <v>133</v>
      </c>
      <c r="R2541" t="s">
        <v>237</v>
      </c>
      <c r="S2541" s="33">
        <v>0.1</v>
      </c>
      <c r="T2541" s="13">
        <v>2563.056</v>
      </c>
      <c r="U2541" s="13">
        <v>313.26240000000001</v>
      </c>
      <c r="V2541" s="21">
        <f>Table10[[#This Row],[Profit]]/Table10[[#This Row],[Sales]]</f>
        <v>0.12222222222222223</v>
      </c>
    </row>
    <row r="2542" spans="1:22" x14ac:dyDescent="0.2">
      <c r="A2542">
        <v>2541</v>
      </c>
      <c r="B2542" t="s">
        <v>3409</v>
      </c>
      <c r="C2542" s="1">
        <v>42730</v>
      </c>
      <c r="D2542" s="22">
        <f>MONTH(Table10[[#This Row],[Order Date]])</f>
        <v>12</v>
      </c>
      <c r="E2542" t="s">
        <v>3410</v>
      </c>
      <c r="F2542" t="s">
        <v>3411</v>
      </c>
      <c r="G2542" s="23" t="s">
        <v>41</v>
      </c>
      <c r="H2542" s="23" t="s">
        <v>82</v>
      </c>
      <c r="I2542" t="s">
        <v>1696</v>
      </c>
      <c r="J2542" t="s">
        <v>22</v>
      </c>
      <c r="K2542" s="22">
        <v>5</v>
      </c>
      <c r="L2542" s="1">
        <v>42734</v>
      </c>
      <c r="M2542" s="22">
        <f>Table10[[#This Row],[Ship Date]]-Table10[[#This Row],[Order Date]]</f>
        <v>4</v>
      </c>
      <c r="N2542" t="s">
        <v>45</v>
      </c>
      <c r="O2542" t="s">
        <v>23</v>
      </c>
      <c r="P2542" t="s">
        <v>87</v>
      </c>
      <c r="Q2542" t="s">
        <v>39</v>
      </c>
      <c r="R2542" t="s">
        <v>86</v>
      </c>
      <c r="S2542" s="33">
        <v>0</v>
      </c>
      <c r="T2542" s="13">
        <v>33.9</v>
      </c>
      <c r="U2542" s="13">
        <v>15.593999999999999</v>
      </c>
      <c r="V2542" s="21">
        <f>Table10[[#This Row],[Profit]]/Table10[[#This Row],[Sales]]</f>
        <v>0.46</v>
      </c>
    </row>
    <row r="2543" spans="1:22" x14ac:dyDescent="0.2">
      <c r="A2543">
        <v>2542</v>
      </c>
      <c r="B2543" t="s">
        <v>5860</v>
      </c>
      <c r="C2543" s="1">
        <v>42730</v>
      </c>
      <c r="D2543" s="22">
        <f>MONTH(Table10[[#This Row],[Order Date]])</f>
        <v>12</v>
      </c>
      <c r="E2543" t="s">
        <v>3675</v>
      </c>
      <c r="F2543" t="s">
        <v>3676</v>
      </c>
      <c r="G2543" s="23" t="s">
        <v>64</v>
      </c>
      <c r="H2543" s="23" t="s">
        <v>144</v>
      </c>
      <c r="I2543" t="s">
        <v>1779</v>
      </c>
      <c r="J2543" t="s">
        <v>22</v>
      </c>
      <c r="K2543" s="22">
        <v>3</v>
      </c>
      <c r="L2543" s="1">
        <v>42735</v>
      </c>
      <c r="M2543" s="22">
        <f>Table10[[#This Row],[Ship Date]]-Table10[[#This Row],[Order Date]]</f>
        <v>5</v>
      </c>
      <c r="N2543" t="s">
        <v>45</v>
      </c>
      <c r="O2543" t="s">
        <v>23</v>
      </c>
      <c r="P2543" t="s">
        <v>238</v>
      </c>
      <c r="Q2543" t="s">
        <v>133</v>
      </c>
      <c r="R2543" t="s">
        <v>237</v>
      </c>
      <c r="S2543" s="33">
        <v>0</v>
      </c>
      <c r="T2543" s="13">
        <v>89.97</v>
      </c>
      <c r="U2543" s="13">
        <v>18.893699999999999</v>
      </c>
      <c r="V2543" s="21">
        <f>Table10[[#This Row],[Profit]]/Table10[[#This Row],[Sales]]</f>
        <v>0.21</v>
      </c>
    </row>
    <row r="2544" spans="1:22" x14ac:dyDescent="0.2">
      <c r="A2544">
        <v>2543</v>
      </c>
      <c r="B2544" t="s">
        <v>6172</v>
      </c>
      <c r="C2544" s="1">
        <v>42730</v>
      </c>
      <c r="D2544" s="22">
        <f>MONTH(Table10[[#This Row],[Order Date]])</f>
        <v>12</v>
      </c>
      <c r="E2544" t="s">
        <v>4555</v>
      </c>
      <c r="F2544" t="s">
        <v>4556</v>
      </c>
      <c r="G2544" s="23" t="s">
        <v>41</v>
      </c>
      <c r="H2544" s="23" t="s">
        <v>71</v>
      </c>
      <c r="I2544" t="s">
        <v>518</v>
      </c>
      <c r="J2544" t="s">
        <v>36</v>
      </c>
      <c r="K2544" s="22">
        <v>2</v>
      </c>
      <c r="L2544" s="1">
        <v>42737</v>
      </c>
      <c r="M2544" s="22">
        <f>Table10[[#This Row],[Ship Date]]-Table10[[#This Row],[Order Date]]</f>
        <v>7</v>
      </c>
      <c r="N2544" t="s">
        <v>45</v>
      </c>
      <c r="O2544" t="s">
        <v>23</v>
      </c>
      <c r="P2544" t="s">
        <v>405</v>
      </c>
      <c r="Q2544" t="s">
        <v>39</v>
      </c>
      <c r="R2544" t="s">
        <v>711</v>
      </c>
      <c r="S2544" s="33">
        <v>0.2</v>
      </c>
      <c r="T2544" s="13">
        <v>18.72</v>
      </c>
      <c r="U2544" s="13">
        <v>3.51</v>
      </c>
      <c r="V2544" s="21">
        <f>Table10[[#This Row],[Profit]]/Table10[[#This Row],[Sales]]</f>
        <v>0.1875</v>
      </c>
    </row>
    <row r="2545" spans="1:22" x14ac:dyDescent="0.2">
      <c r="A2545">
        <v>2544</v>
      </c>
      <c r="B2545" t="s">
        <v>6734</v>
      </c>
      <c r="C2545" s="1">
        <v>42730</v>
      </c>
      <c r="D2545" s="22">
        <f>MONTH(Table10[[#This Row],[Order Date]])</f>
        <v>12</v>
      </c>
      <c r="E2545" t="s">
        <v>6735</v>
      </c>
      <c r="F2545" t="s">
        <v>6736</v>
      </c>
      <c r="G2545" s="23" t="s">
        <v>41</v>
      </c>
      <c r="H2545" s="23" t="s">
        <v>61</v>
      </c>
      <c r="I2545" t="s">
        <v>868</v>
      </c>
      <c r="J2545" t="s">
        <v>22</v>
      </c>
      <c r="K2545" s="22">
        <v>2</v>
      </c>
      <c r="L2545" s="1">
        <v>42731</v>
      </c>
      <c r="M2545" s="22">
        <f>Table10[[#This Row],[Ship Date]]-Table10[[#This Row],[Order Date]]</f>
        <v>1</v>
      </c>
      <c r="N2545" t="s">
        <v>169</v>
      </c>
      <c r="O2545" t="s">
        <v>23</v>
      </c>
      <c r="P2545" t="s">
        <v>405</v>
      </c>
      <c r="Q2545" t="s">
        <v>39</v>
      </c>
      <c r="R2545" t="s">
        <v>954</v>
      </c>
      <c r="S2545" s="33">
        <v>0.2</v>
      </c>
      <c r="T2545" s="13">
        <v>11.327999999999999</v>
      </c>
      <c r="U2545" s="13">
        <v>2.5488</v>
      </c>
      <c r="V2545" s="21">
        <f>Table10[[#This Row],[Profit]]/Table10[[#This Row],[Sales]]</f>
        <v>0.22500000000000001</v>
      </c>
    </row>
    <row r="2546" spans="1:22" x14ac:dyDescent="0.2">
      <c r="A2546">
        <v>2545</v>
      </c>
      <c r="B2546" t="s">
        <v>6890</v>
      </c>
      <c r="C2546" s="1">
        <v>42730</v>
      </c>
      <c r="D2546" s="22">
        <f>MONTH(Table10[[#This Row],[Order Date]])</f>
        <v>12</v>
      </c>
      <c r="E2546" t="s">
        <v>4622</v>
      </c>
      <c r="F2546" t="s">
        <v>4623</v>
      </c>
      <c r="G2546" s="23" t="s">
        <v>41</v>
      </c>
      <c r="H2546" s="23" t="s">
        <v>513</v>
      </c>
      <c r="I2546" t="s">
        <v>2213</v>
      </c>
      <c r="J2546" t="s">
        <v>36</v>
      </c>
      <c r="K2546" s="22">
        <v>2</v>
      </c>
      <c r="L2546" s="1">
        <v>42735</v>
      </c>
      <c r="M2546" s="22">
        <f>Table10[[#This Row],[Ship Date]]-Table10[[#This Row],[Order Date]]</f>
        <v>5</v>
      </c>
      <c r="N2546" t="s">
        <v>45</v>
      </c>
      <c r="O2546" t="s">
        <v>23</v>
      </c>
      <c r="P2546" t="s">
        <v>38</v>
      </c>
      <c r="Q2546" t="s">
        <v>39</v>
      </c>
      <c r="R2546" t="s">
        <v>37</v>
      </c>
      <c r="S2546" s="33">
        <v>0</v>
      </c>
      <c r="T2546" s="13">
        <v>17.760000000000002</v>
      </c>
      <c r="U2546" s="13">
        <v>4.9728000000000003</v>
      </c>
      <c r="V2546" s="21">
        <f>Table10[[#This Row],[Profit]]/Table10[[#This Row],[Sales]]</f>
        <v>0.27999999999999997</v>
      </c>
    </row>
    <row r="2547" spans="1:22" x14ac:dyDescent="0.2">
      <c r="A2547">
        <v>2546</v>
      </c>
      <c r="B2547" t="s">
        <v>6890</v>
      </c>
      <c r="C2547" s="1">
        <v>42730</v>
      </c>
      <c r="D2547" s="22">
        <f>MONTH(Table10[[#This Row],[Order Date]])</f>
        <v>12</v>
      </c>
      <c r="E2547" t="s">
        <v>63</v>
      </c>
      <c r="F2547" t="s">
        <v>66</v>
      </c>
      <c r="G2547" s="23" t="s">
        <v>64</v>
      </c>
      <c r="H2547" s="23" t="s">
        <v>65</v>
      </c>
      <c r="I2547" t="s">
        <v>2213</v>
      </c>
      <c r="J2547" t="s">
        <v>36</v>
      </c>
      <c r="K2547" s="22">
        <v>2</v>
      </c>
      <c r="L2547" s="1">
        <v>42735</v>
      </c>
      <c r="M2547" s="22">
        <f>Table10[[#This Row],[Ship Date]]-Table10[[#This Row],[Order Date]]</f>
        <v>5</v>
      </c>
      <c r="N2547" t="s">
        <v>45</v>
      </c>
      <c r="O2547" t="s">
        <v>23</v>
      </c>
      <c r="P2547" t="s">
        <v>38</v>
      </c>
      <c r="Q2547" t="s">
        <v>39</v>
      </c>
      <c r="R2547" t="s">
        <v>37</v>
      </c>
      <c r="S2547" s="33">
        <v>0.2</v>
      </c>
      <c r="T2547" s="13">
        <v>302.38400000000001</v>
      </c>
      <c r="U2547" s="13">
        <v>30.238399999999999</v>
      </c>
      <c r="V2547" s="21">
        <f>Table10[[#This Row],[Profit]]/Table10[[#This Row],[Sales]]</f>
        <v>9.9999999999999992E-2</v>
      </c>
    </row>
    <row r="2548" spans="1:22" x14ac:dyDescent="0.2">
      <c r="A2548">
        <v>2547</v>
      </c>
      <c r="B2548" t="s">
        <v>6890</v>
      </c>
      <c r="C2548" s="1">
        <v>42730</v>
      </c>
      <c r="D2548" s="22">
        <f>MONTH(Table10[[#This Row],[Order Date]])</f>
        <v>12</v>
      </c>
      <c r="E2548" t="s">
        <v>5896</v>
      </c>
      <c r="F2548" t="s">
        <v>5897</v>
      </c>
      <c r="G2548" s="23" t="s">
        <v>28</v>
      </c>
      <c r="H2548" s="23" t="s">
        <v>32</v>
      </c>
      <c r="I2548" t="s">
        <v>2213</v>
      </c>
      <c r="J2548" t="s">
        <v>36</v>
      </c>
      <c r="K2548" s="22">
        <v>3</v>
      </c>
      <c r="L2548" s="1">
        <v>42735</v>
      </c>
      <c r="M2548" s="22">
        <f>Table10[[#This Row],[Ship Date]]-Table10[[#This Row],[Order Date]]</f>
        <v>5</v>
      </c>
      <c r="N2548" t="s">
        <v>45</v>
      </c>
      <c r="O2548" t="s">
        <v>23</v>
      </c>
      <c r="P2548" t="s">
        <v>38</v>
      </c>
      <c r="Q2548" t="s">
        <v>39</v>
      </c>
      <c r="R2548" t="s">
        <v>37</v>
      </c>
      <c r="S2548" s="33">
        <v>0.2</v>
      </c>
      <c r="T2548" s="13">
        <v>146.352</v>
      </c>
      <c r="U2548" s="13">
        <v>-5.4882</v>
      </c>
      <c r="V2548" s="21">
        <f>Table10[[#This Row],[Profit]]/Table10[[#This Row],[Sales]]</f>
        <v>-3.7499999999999999E-2</v>
      </c>
    </row>
    <row r="2549" spans="1:22" x14ac:dyDescent="0.2">
      <c r="A2549">
        <v>2548</v>
      </c>
      <c r="B2549" t="s">
        <v>6890</v>
      </c>
      <c r="C2549" s="1">
        <v>42730</v>
      </c>
      <c r="D2549" s="22">
        <f>MONTH(Table10[[#This Row],[Order Date]])</f>
        <v>12</v>
      </c>
      <c r="E2549" t="s">
        <v>6891</v>
      </c>
      <c r="F2549" t="s">
        <v>6892</v>
      </c>
      <c r="G2549" s="23" t="s">
        <v>41</v>
      </c>
      <c r="H2549" s="23" t="s">
        <v>71</v>
      </c>
      <c r="I2549" t="s">
        <v>2213</v>
      </c>
      <c r="J2549" t="s">
        <v>36</v>
      </c>
      <c r="K2549" s="22">
        <v>2</v>
      </c>
      <c r="L2549" s="1">
        <v>42735</v>
      </c>
      <c r="M2549" s="22">
        <f>Table10[[#This Row],[Ship Date]]-Table10[[#This Row],[Order Date]]</f>
        <v>5</v>
      </c>
      <c r="N2549" t="s">
        <v>45</v>
      </c>
      <c r="O2549" t="s">
        <v>23</v>
      </c>
      <c r="P2549" t="s">
        <v>38</v>
      </c>
      <c r="Q2549" t="s">
        <v>39</v>
      </c>
      <c r="R2549" t="s">
        <v>37</v>
      </c>
      <c r="S2549" s="33">
        <v>0</v>
      </c>
      <c r="T2549" s="13">
        <v>7.9</v>
      </c>
      <c r="U2549" s="13">
        <v>2.0539999999999998</v>
      </c>
      <c r="V2549" s="21">
        <f>Table10[[#This Row],[Profit]]/Table10[[#This Row],[Sales]]</f>
        <v>0.25999999999999995</v>
      </c>
    </row>
    <row r="2550" spans="1:22" x14ac:dyDescent="0.2">
      <c r="A2550">
        <v>2549</v>
      </c>
      <c r="B2550" t="s">
        <v>6890</v>
      </c>
      <c r="C2550" s="1">
        <v>42730</v>
      </c>
      <c r="D2550" s="22">
        <f>MONTH(Table10[[#This Row],[Order Date]])</f>
        <v>12</v>
      </c>
      <c r="E2550" t="s">
        <v>796</v>
      </c>
      <c r="F2550" t="s">
        <v>797</v>
      </c>
      <c r="G2550" s="23" t="s">
        <v>28</v>
      </c>
      <c r="H2550" s="23" t="s">
        <v>50</v>
      </c>
      <c r="I2550" t="s">
        <v>2213</v>
      </c>
      <c r="J2550" t="s">
        <v>36</v>
      </c>
      <c r="K2550" s="22">
        <v>3</v>
      </c>
      <c r="L2550" s="1">
        <v>42735</v>
      </c>
      <c r="M2550" s="22">
        <f>Table10[[#This Row],[Ship Date]]-Table10[[#This Row],[Order Date]]</f>
        <v>5</v>
      </c>
      <c r="N2550" t="s">
        <v>45</v>
      </c>
      <c r="O2550" t="s">
        <v>23</v>
      </c>
      <c r="P2550" t="s">
        <v>38</v>
      </c>
      <c r="Q2550" t="s">
        <v>39</v>
      </c>
      <c r="R2550" t="s">
        <v>37</v>
      </c>
      <c r="S2550" s="33">
        <v>0.2</v>
      </c>
      <c r="T2550" s="13">
        <v>902.71199999999999</v>
      </c>
      <c r="U2550" s="13">
        <v>33.851700000000001</v>
      </c>
      <c r="V2550" s="21">
        <f>Table10[[#This Row],[Profit]]/Table10[[#This Row],[Sales]]</f>
        <v>3.7499999999999999E-2</v>
      </c>
    </row>
    <row r="2551" spans="1:22" x14ac:dyDescent="0.2">
      <c r="A2551">
        <v>2550</v>
      </c>
      <c r="B2551" t="s">
        <v>6890</v>
      </c>
      <c r="C2551" s="1">
        <v>42730</v>
      </c>
      <c r="D2551" s="22">
        <f>MONTH(Table10[[#This Row],[Order Date]])</f>
        <v>12</v>
      </c>
      <c r="E2551" t="s">
        <v>2221</v>
      </c>
      <c r="F2551" t="s">
        <v>2222</v>
      </c>
      <c r="G2551" s="23" t="s">
        <v>41</v>
      </c>
      <c r="H2551" s="23" t="s">
        <v>61</v>
      </c>
      <c r="I2551" t="s">
        <v>2213</v>
      </c>
      <c r="J2551" t="s">
        <v>36</v>
      </c>
      <c r="K2551" s="22">
        <v>3</v>
      </c>
      <c r="L2551" s="1">
        <v>42735</v>
      </c>
      <c r="M2551" s="22">
        <f>Table10[[#This Row],[Ship Date]]-Table10[[#This Row],[Order Date]]</f>
        <v>5</v>
      </c>
      <c r="N2551" t="s">
        <v>45</v>
      </c>
      <c r="O2551" t="s">
        <v>23</v>
      </c>
      <c r="P2551" t="s">
        <v>38</v>
      </c>
      <c r="Q2551" t="s">
        <v>39</v>
      </c>
      <c r="R2551" t="s">
        <v>37</v>
      </c>
      <c r="S2551" s="33">
        <v>0</v>
      </c>
      <c r="T2551" s="13">
        <v>53.97</v>
      </c>
      <c r="U2551" s="13">
        <v>15.111599999999999</v>
      </c>
      <c r="V2551" s="21">
        <f>Table10[[#This Row],[Profit]]/Table10[[#This Row],[Sales]]</f>
        <v>0.27999999999999997</v>
      </c>
    </row>
    <row r="2552" spans="1:22" x14ac:dyDescent="0.2">
      <c r="A2552">
        <v>2551</v>
      </c>
      <c r="B2552" t="s">
        <v>7202</v>
      </c>
      <c r="C2552" s="1">
        <v>42730</v>
      </c>
      <c r="D2552" s="22">
        <f>MONTH(Table10[[#This Row],[Order Date]])</f>
        <v>12</v>
      </c>
      <c r="E2552" t="s">
        <v>251</v>
      </c>
      <c r="F2552" t="s">
        <v>252</v>
      </c>
      <c r="G2552" s="23" t="s">
        <v>28</v>
      </c>
      <c r="H2552" s="23" t="s">
        <v>32</v>
      </c>
      <c r="I2552" t="s">
        <v>1355</v>
      </c>
      <c r="J2552" t="s">
        <v>36</v>
      </c>
      <c r="K2552" s="22">
        <v>3</v>
      </c>
      <c r="L2552" s="1">
        <v>42737</v>
      </c>
      <c r="M2552" s="22">
        <f>Table10[[#This Row],[Ship Date]]-Table10[[#This Row],[Order Date]]</f>
        <v>7</v>
      </c>
      <c r="N2552" t="s">
        <v>45</v>
      </c>
      <c r="O2552" t="s">
        <v>23</v>
      </c>
      <c r="P2552" t="s">
        <v>695</v>
      </c>
      <c r="Q2552" t="s">
        <v>133</v>
      </c>
      <c r="R2552" t="s">
        <v>3472</v>
      </c>
      <c r="S2552" s="33">
        <v>0</v>
      </c>
      <c r="T2552" s="13">
        <v>212.94</v>
      </c>
      <c r="U2552" s="13">
        <v>25.552800000000001</v>
      </c>
      <c r="V2552" s="21">
        <f>Table10[[#This Row],[Profit]]/Table10[[#This Row],[Sales]]</f>
        <v>0.12000000000000001</v>
      </c>
    </row>
    <row r="2553" spans="1:22" x14ac:dyDescent="0.2">
      <c r="A2553">
        <v>2552</v>
      </c>
      <c r="B2553" t="s">
        <v>7202</v>
      </c>
      <c r="C2553" s="1">
        <v>42730</v>
      </c>
      <c r="D2553" s="22">
        <f>MONTH(Table10[[#This Row],[Order Date]])</f>
        <v>12</v>
      </c>
      <c r="E2553" t="s">
        <v>4606</v>
      </c>
      <c r="F2553" t="s">
        <v>4607</v>
      </c>
      <c r="G2553" s="23" t="s">
        <v>41</v>
      </c>
      <c r="H2553" s="23" t="s">
        <v>71</v>
      </c>
      <c r="I2553" t="s">
        <v>1355</v>
      </c>
      <c r="J2553" t="s">
        <v>36</v>
      </c>
      <c r="K2553" s="22">
        <v>1</v>
      </c>
      <c r="L2553" s="1">
        <v>42737</v>
      </c>
      <c r="M2553" s="22">
        <f>Table10[[#This Row],[Ship Date]]-Table10[[#This Row],[Order Date]]</f>
        <v>7</v>
      </c>
      <c r="N2553" t="s">
        <v>45</v>
      </c>
      <c r="O2553" t="s">
        <v>23</v>
      </c>
      <c r="P2553" t="s">
        <v>695</v>
      </c>
      <c r="Q2553" t="s">
        <v>133</v>
      </c>
      <c r="R2553" t="s">
        <v>3472</v>
      </c>
      <c r="S2553" s="33">
        <v>0</v>
      </c>
      <c r="T2553" s="13">
        <v>26.49</v>
      </c>
      <c r="U2553" s="13">
        <v>7.4172000000000002</v>
      </c>
      <c r="V2553" s="21">
        <f>Table10[[#This Row],[Profit]]/Table10[[#This Row],[Sales]]</f>
        <v>0.28000000000000003</v>
      </c>
    </row>
    <row r="2554" spans="1:22" x14ac:dyDescent="0.2">
      <c r="A2554">
        <v>2553</v>
      </c>
      <c r="B2554" t="s">
        <v>7292</v>
      </c>
      <c r="C2554" s="1">
        <v>42730</v>
      </c>
      <c r="D2554" s="22">
        <f>MONTH(Table10[[#This Row],[Order Date]])</f>
        <v>12</v>
      </c>
      <c r="E2554" t="s">
        <v>921</v>
      </c>
      <c r="F2554" t="s">
        <v>922</v>
      </c>
      <c r="G2554" s="23" t="s">
        <v>41</v>
      </c>
      <c r="H2554" s="23" t="s">
        <v>68</v>
      </c>
      <c r="I2554" t="s">
        <v>2139</v>
      </c>
      <c r="J2554" t="s">
        <v>36</v>
      </c>
      <c r="K2554" s="22">
        <v>3</v>
      </c>
      <c r="L2554" s="1">
        <v>42734</v>
      </c>
      <c r="M2554" s="22">
        <f>Table10[[#This Row],[Ship Date]]-Table10[[#This Row],[Order Date]]</f>
        <v>4</v>
      </c>
      <c r="N2554" t="s">
        <v>45</v>
      </c>
      <c r="O2554" t="s">
        <v>23</v>
      </c>
      <c r="P2554" t="s">
        <v>238</v>
      </c>
      <c r="Q2554" t="s">
        <v>133</v>
      </c>
      <c r="R2554" t="s">
        <v>237</v>
      </c>
      <c r="S2554" s="33">
        <v>0.2</v>
      </c>
      <c r="T2554" s="13">
        <v>4.992</v>
      </c>
      <c r="U2554" s="13">
        <v>1.6848000000000001</v>
      </c>
      <c r="V2554" s="21">
        <f>Table10[[#This Row],[Profit]]/Table10[[#This Row],[Sales]]</f>
        <v>0.33750000000000002</v>
      </c>
    </row>
    <row r="2555" spans="1:22" x14ac:dyDescent="0.2">
      <c r="A2555">
        <v>2554</v>
      </c>
      <c r="B2555" t="s">
        <v>5366</v>
      </c>
      <c r="C2555" s="1">
        <v>42731</v>
      </c>
      <c r="D2555" s="22">
        <f>MONTH(Table10[[#This Row],[Order Date]])</f>
        <v>12</v>
      </c>
      <c r="E2555" t="s">
        <v>1816</v>
      </c>
      <c r="F2555" t="s">
        <v>1817</v>
      </c>
      <c r="G2555" s="23" t="s">
        <v>28</v>
      </c>
      <c r="H2555" s="23" t="s">
        <v>32</v>
      </c>
      <c r="I2555" t="s">
        <v>3052</v>
      </c>
      <c r="J2555" t="s">
        <v>36</v>
      </c>
      <c r="K2555" s="22">
        <v>8</v>
      </c>
      <c r="L2555" s="1">
        <v>42735</v>
      </c>
      <c r="M2555" s="22">
        <f>Table10[[#This Row],[Ship Date]]-Table10[[#This Row],[Order Date]]</f>
        <v>4</v>
      </c>
      <c r="N2555" t="s">
        <v>45</v>
      </c>
      <c r="O2555" t="s">
        <v>23</v>
      </c>
      <c r="P2555" t="s">
        <v>189</v>
      </c>
      <c r="Q2555" t="s">
        <v>95</v>
      </c>
      <c r="R2555" t="s">
        <v>5048</v>
      </c>
      <c r="S2555" s="33">
        <v>0.3</v>
      </c>
      <c r="T2555" s="13">
        <v>845.48800000000006</v>
      </c>
      <c r="U2555" s="13">
        <v>-12.0784</v>
      </c>
      <c r="V2555" s="21">
        <f>Table10[[#This Row],[Profit]]/Table10[[#This Row],[Sales]]</f>
        <v>-1.4285714285714285E-2</v>
      </c>
    </row>
    <row r="2556" spans="1:22" x14ac:dyDescent="0.2">
      <c r="A2556">
        <v>2555</v>
      </c>
      <c r="B2556" t="s">
        <v>6763</v>
      </c>
      <c r="C2556" s="1">
        <v>42731</v>
      </c>
      <c r="D2556" s="22">
        <f>MONTH(Table10[[#This Row],[Order Date]])</f>
        <v>12</v>
      </c>
      <c r="E2556" t="s">
        <v>4236</v>
      </c>
      <c r="F2556" t="s">
        <v>4237</v>
      </c>
      <c r="G2556" s="23" t="s">
        <v>41</v>
      </c>
      <c r="H2556" s="23" t="s">
        <v>82</v>
      </c>
      <c r="I2556" t="s">
        <v>2644</v>
      </c>
      <c r="J2556" t="s">
        <v>22</v>
      </c>
      <c r="K2556" s="22">
        <v>2</v>
      </c>
      <c r="L2556" s="1">
        <v>42737</v>
      </c>
      <c r="M2556" s="22">
        <f>Table10[[#This Row],[Ship Date]]-Table10[[#This Row],[Order Date]]</f>
        <v>6</v>
      </c>
      <c r="N2556" t="s">
        <v>45</v>
      </c>
      <c r="O2556" t="s">
        <v>23</v>
      </c>
      <c r="P2556" t="s">
        <v>94</v>
      </c>
      <c r="Q2556" t="s">
        <v>95</v>
      </c>
      <c r="R2556" t="s">
        <v>6648</v>
      </c>
      <c r="S2556" s="33">
        <v>0.2</v>
      </c>
      <c r="T2556" s="13">
        <v>10.368</v>
      </c>
      <c r="U2556" s="13">
        <v>3.6288</v>
      </c>
      <c r="V2556" s="21">
        <f>Table10[[#This Row],[Profit]]/Table10[[#This Row],[Sales]]</f>
        <v>0.35</v>
      </c>
    </row>
    <row r="2557" spans="1:22" x14ac:dyDescent="0.2">
      <c r="A2557">
        <v>2556</v>
      </c>
      <c r="B2557" t="s">
        <v>6763</v>
      </c>
      <c r="C2557" s="1">
        <v>42731</v>
      </c>
      <c r="D2557" s="22">
        <f>MONTH(Table10[[#This Row],[Order Date]])</f>
        <v>12</v>
      </c>
      <c r="E2557" t="s">
        <v>3304</v>
      </c>
      <c r="F2557" t="s">
        <v>3305</v>
      </c>
      <c r="G2557" s="23" t="s">
        <v>41</v>
      </c>
      <c r="H2557" s="23" t="s">
        <v>82</v>
      </c>
      <c r="I2557" t="s">
        <v>2644</v>
      </c>
      <c r="J2557" t="s">
        <v>22</v>
      </c>
      <c r="K2557" s="22">
        <v>4</v>
      </c>
      <c r="L2557" s="1">
        <v>42737</v>
      </c>
      <c r="M2557" s="22">
        <f>Table10[[#This Row],[Ship Date]]-Table10[[#This Row],[Order Date]]</f>
        <v>6</v>
      </c>
      <c r="N2557" t="s">
        <v>45</v>
      </c>
      <c r="O2557" t="s">
        <v>23</v>
      </c>
      <c r="P2557" t="s">
        <v>94</v>
      </c>
      <c r="Q2557" t="s">
        <v>95</v>
      </c>
      <c r="R2557" t="s">
        <v>6648</v>
      </c>
      <c r="S2557" s="33">
        <v>0.2</v>
      </c>
      <c r="T2557" s="13">
        <v>23.68</v>
      </c>
      <c r="U2557" s="13">
        <v>7.4</v>
      </c>
      <c r="V2557" s="21">
        <f>Table10[[#This Row],[Profit]]/Table10[[#This Row],[Sales]]</f>
        <v>0.3125</v>
      </c>
    </row>
    <row r="2558" spans="1:22" x14ac:dyDescent="0.2">
      <c r="A2558">
        <v>2557</v>
      </c>
      <c r="B2558" t="s">
        <v>8554</v>
      </c>
      <c r="C2558" s="1">
        <v>42731</v>
      </c>
      <c r="D2558" s="22">
        <f>MONTH(Table10[[#This Row],[Order Date]])</f>
        <v>12</v>
      </c>
      <c r="E2558" t="s">
        <v>3758</v>
      </c>
      <c r="F2558" t="s">
        <v>3759</v>
      </c>
      <c r="G2558" s="23" t="s">
        <v>64</v>
      </c>
      <c r="H2558" s="23" t="s">
        <v>144</v>
      </c>
      <c r="I2558" t="s">
        <v>4654</v>
      </c>
      <c r="J2558" t="s">
        <v>22</v>
      </c>
      <c r="K2558" s="22">
        <v>2</v>
      </c>
      <c r="L2558" s="1">
        <v>42734</v>
      </c>
      <c r="M2558" s="22">
        <f>Table10[[#This Row],[Ship Date]]-Table10[[#This Row],[Order Date]]</f>
        <v>3</v>
      </c>
      <c r="N2558" t="s">
        <v>20</v>
      </c>
      <c r="O2558" t="s">
        <v>23</v>
      </c>
      <c r="P2558" t="s">
        <v>441</v>
      </c>
      <c r="Q2558" t="s">
        <v>133</v>
      </c>
      <c r="R2558" t="s">
        <v>2174</v>
      </c>
      <c r="S2558" s="33">
        <v>0.2</v>
      </c>
      <c r="T2558" s="13">
        <v>40</v>
      </c>
      <c r="U2558" s="13">
        <v>0.5</v>
      </c>
      <c r="V2558" s="21">
        <f>Table10[[#This Row],[Profit]]/Table10[[#This Row],[Sales]]</f>
        <v>1.2500000000000001E-2</v>
      </c>
    </row>
    <row r="2559" spans="1:22" x14ac:dyDescent="0.2">
      <c r="A2559">
        <v>2558</v>
      </c>
      <c r="B2559" t="s">
        <v>9077</v>
      </c>
      <c r="C2559" s="1">
        <v>42731</v>
      </c>
      <c r="D2559" s="22">
        <f>MONTH(Table10[[#This Row],[Order Date]])</f>
        <v>12</v>
      </c>
      <c r="E2559" t="s">
        <v>2568</v>
      </c>
      <c r="F2559" t="s">
        <v>2569</v>
      </c>
      <c r="G2559" s="23" t="s">
        <v>41</v>
      </c>
      <c r="H2559" s="23" t="s">
        <v>42</v>
      </c>
      <c r="I2559" t="s">
        <v>5475</v>
      </c>
      <c r="J2559" t="s">
        <v>92</v>
      </c>
      <c r="K2559" s="22">
        <v>7</v>
      </c>
      <c r="L2559" s="1">
        <v>42735</v>
      </c>
      <c r="M2559" s="22">
        <f>Table10[[#This Row],[Ship Date]]-Table10[[#This Row],[Order Date]]</f>
        <v>4</v>
      </c>
      <c r="N2559" t="s">
        <v>45</v>
      </c>
      <c r="O2559" t="s">
        <v>23</v>
      </c>
      <c r="P2559" t="s">
        <v>38</v>
      </c>
      <c r="Q2559" t="s">
        <v>39</v>
      </c>
      <c r="R2559" t="s">
        <v>2237</v>
      </c>
      <c r="S2559" s="33">
        <v>0</v>
      </c>
      <c r="T2559" s="13">
        <v>20.16</v>
      </c>
      <c r="U2559" s="13">
        <v>9.8783999999999992</v>
      </c>
      <c r="V2559" s="21">
        <f>Table10[[#This Row],[Profit]]/Table10[[#This Row],[Sales]]</f>
        <v>0.48999999999999994</v>
      </c>
    </row>
    <row r="2560" spans="1:22" x14ac:dyDescent="0.2">
      <c r="A2560">
        <v>2559</v>
      </c>
      <c r="B2560" t="s">
        <v>9219</v>
      </c>
      <c r="C2560" s="1">
        <v>42731</v>
      </c>
      <c r="D2560" s="22">
        <f>MONTH(Table10[[#This Row],[Order Date]])</f>
        <v>12</v>
      </c>
      <c r="E2560" t="s">
        <v>442</v>
      </c>
      <c r="F2560" t="s">
        <v>443</v>
      </c>
      <c r="G2560" s="23" t="s">
        <v>41</v>
      </c>
      <c r="H2560" s="23" t="s">
        <v>240</v>
      </c>
      <c r="I2560" t="s">
        <v>2036</v>
      </c>
      <c r="J2560" t="s">
        <v>92</v>
      </c>
      <c r="K2560" s="22">
        <v>6</v>
      </c>
      <c r="L2560" s="1">
        <v>42734</v>
      </c>
      <c r="M2560" s="22">
        <f>Table10[[#This Row],[Ship Date]]-Table10[[#This Row],[Order Date]]</f>
        <v>3</v>
      </c>
      <c r="N2560" t="s">
        <v>169</v>
      </c>
      <c r="O2560" t="s">
        <v>23</v>
      </c>
      <c r="P2560" t="s">
        <v>441</v>
      </c>
      <c r="Q2560" t="s">
        <v>133</v>
      </c>
      <c r="R2560" t="s">
        <v>706</v>
      </c>
      <c r="S2560" s="33">
        <v>0.2</v>
      </c>
      <c r="T2560" s="13">
        <v>17.184000000000001</v>
      </c>
      <c r="U2560" s="13">
        <v>6.2291999999999996</v>
      </c>
      <c r="V2560" s="21">
        <f>Table10[[#This Row],[Profit]]/Table10[[#This Row],[Sales]]</f>
        <v>0.36249999999999993</v>
      </c>
    </row>
    <row r="2561" spans="1:22" x14ac:dyDescent="0.2">
      <c r="A2561">
        <v>2560</v>
      </c>
      <c r="B2561" t="s">
        <v>9336</v>
      </c>
      <c r="C2561" s="1">
        <v>42731</v>
      </c>
      <c r="D2561" s="22">
        <f>MONTH(Table10[[#This Row],[Order Date]])</f>
        <v>12</v>
      </c>
      <c r="E2561" t="s">
        <v>8273</v>
      </c>
      <c r="F2561" t="s">
        <v>8274</v>
      </c>
      <c r="G2561" s="23" t="s">
        <v>41</v>
      </c>
      <c r="H2561" s="23" t="s">
        <v>42</v>
      </c>
      <c r="I2561" t="s">
        <v>3937</v>
      </c>
      <c r="J2561" t="s">
        <v>22</v>
      </c>
      <c r="K2561" s="22">
        <v>1</v>
      </c>
      <c r="L2561" s="1">
        <v>42737</v>
      </c>
      <c r="M2561" s="22">
        <f>Table10[[#This Row],[Ship Date]]-Table10[[#This Row],[Order Date]]</f>
        <v>6</v>
      </c>
      <c r="N2561" t="s">
        <v>45</v>
      </c>
      <c r="O2561" t="s">
        <v>23</v>
      </c>
      <c r="P2561" t="s">
        <v>25</v>
      </c>
      <c r="Q2561" t="s">
        <v>26</v>
      </c>
      <c r="R2561" t="s">
        <v>1303</v>
      </c>
      <c r="S2561" s="33">
        <v>0</v>
      </c>
      <c r="T2561" s="13">
        <v>2.61</v>
      </c>
      <c r="U2561" s="13">
        <v>1.2005999999999999</v>
      </c>
      <c r="V2561" s="21">
        <f>Table10[[#This Row],[Profit]]/Table10[[#This Row],[Sales]]</f>
        <v>0.45999999999999996</v>
      </c>
    </row>
    <row r="2562" spans="1:22" x14ac:dyDescent="0.2">
      <c r="A2562">
        <v>2561</v>
      </c>
      <c r="B2562" t="s">
        <v>4853</v>
      </c>
      <c r="C2562" s="1">
        <v>42733</v>
      </c>
      <c r="D2562" s="22">
        <f>MONTH(Table10[[#This Row],[Order Date]])</f>
        <v>12</v>
      </c>
      <c r="E2562" t="s">
        <v>4791</v>
      </c>
      <c r="F2562" t="s">
        <v>4792</v>
      </c>
      <c r="G2562" s="23" t="s">
        <v>28</v>
      </c>
      <c r="H2562" s="23" t="s">
        <v>32</v>
      </c>
      <c r="I2562" t="s">
        <v>1375</v>
      </c>
      <c r="J2562" t="s">
        <v>22</v>
      </c>
      <c r="K2562" s="22">
        <v>5</v>
      </c>
      <c r="L2562" s="1">
        <v>42737</v>
      </c>
      <c r="M2562" s="22">
        <f>Table10[[#This Row],[Ship Date]]-Table10[[#This Row],[Order Date]]</f>
        <v>4</v>
      </c>
      <c r="N2562" t="s">
        <v>45</v>
      </c>
      <c r="O2562" t="s">
        <v>23</v>
      </c>
      <c r="P2562" t="s">
        <v>103</v>
      </c>
      <c r="Q2562" t="s">
        <v>95</v>
      </c>
      <c r="R2562" t="s">
        <v>2242</v>
      </c>
      <c r="S2562" s="33">
        <v>0</v>
      </c>
      <c r="T2562" s="13">
        <v>754.45</v>
      </c>
      <c r="U2562" s="13">
        <v>60.356000000000002</v>
      </c>
      <c r="V2562" s="21">
        <f>Table10[[#This Row],[Profit]]/Table10[[#This Row],[Sales]]</f>
        <v>0.08</v>
      </c>
    </row>
    <row r="2563" spans="1:22" x14ac:dyDescent="0.2">
      <c r="A2563">
        <v>2562</v>
      </c>
      <c r="B2563" t="s">
        <v>5130</v>
      </c>
      <c r="C2563" s="1">
        <v>42733</v>
      </c>
      <c r="D2563" s="22">
        <f>MONTH(Table10[[#This Row],[Order Date]])</f>
        <v>12</v>
      </c>
      <c r="E2563" t="s">
        <v>3346</v>
      </c>
      <c r="F2563" t="s">
        <v>3347</v>
      </c>
      <c r="G2563" s="23" t="s">
        <v>41</v>
      </c>
      <c r="H2563" s="23" t="s">
        <v>82</v>
      </c>
      <c r="I2563" t="s">
        <v>4394</v>
      </c>
      <c r="J2563" t="s">
        <v>22</v>
      </c>
      <c r="K2563" s="22">
        <v>6</v>
      </c>
      <c r="L2563" s="1">
        <v>42734</v>
      </c>
      <c r="M2563" s="22">
        <f>Table10[[#This Row],[Ship Date]]-Table10[[#This Row],[Order Date]]</f>
        <v>1</v>
      </c>
      <c r="N2563" t="s">
        <v>169</v>
      </c>
      <c r="O2563" t="s">
        <v>23</v>
      </c>
      <c r="P2563" t="s">
        <v>189</v>
      </c>
      <c r="Q2563" t="s">
        <v>95</v>
      </c>
      <c r="R2563" t="s">
        <v>404</v>
      </c>
      <c r="S2563" s="33">
        <v>0.2</v>
      </c>
      <c r="T2563" s="13">
        <v>186.048</v>
      </c>
      <c r="U2563" s="13">
        <v>67.442400000000006</v>
      </c>
      <c r="V2563" s="21">
        <f>Table10[[#This Row],[Profit]]/Table10[[#This Row],[Sales]]</f>
        <v>0.36250000000000004</v>
      </c>
    </row>
    <row r="2564" spans="1:22" x14ac:dyDescent="0.2">
      <c r="A2564">
        <v>2563</v>
      </c>
      <c r="B2564" t="s">
        <v>6526</v>
      </c>
      <c r="C2564" s="1">
        <v>42733</v>
      </c>
      <c r="D2564" s="22">
        <f>MONTH(Table10[[#This Row],[Order Date]])</f>
        <v>12</v>
      </c>
      <c r="E2564" t="s">
        <v>510</v>
      </c>
      <c r="F2564" t="s">
        <v>511</v>
      </c>
      <c r="G2564" s="23" t="s">
        <v>41</v>
      </c>
      <c r="H2564" s="23" t="s">
        <v>68</v>
      </c>
      <c r="I2564" t="s">
        <v>1307</v>
      </c>
      <c r="J2564" t="s">
        <v>36</v>
      </c>
      <c r="K2564" s="22">
        <v>4</v>
      </c>
      <c r="L2564" s="1">
        <v>42738</v>
      </c>
      <c r="M2564" s="22">
        <f>Table10[[#This Row],[Ship Date]]-Table10[[#This Row],[Order Date]]</f>
        <v>5</v>
      </c>
      <c r="N2564" t="s">
        <v>45</v>
      </c>
      <c r="O2564" t="s">
        <v>23</v>
      </c>
      <c r="P2564" t="s">
        <v>299</v>
      </c>
      <c r="Q2564" t="s">
        <v>26</v>
      </c>
      <c r="R2564" t="s">
        <v>456</v>
      </c>
      <c r="S2564" s="33">
        <v>0.7</v>
      </c>
      <c r="T2564" s="13">
        <v>38.088000000000001</v>
      </c>
      <c r="U2564" s="13">
        <v>-27.9312</v>
      </c>
      <c r="V2564" s="21">
        <f>Table10[[#This Row],[Profit]]/Table10[[#This Row],[Sales]]</f>
        <v>-0.73333333333333328</v>
      </c>
    </row>
    <row r="2565" spans="1:22" x14ac:dyDescent="0.2">
      <c r="A2565">
        <v>2564</v>
      </c>
      <c r="B2565" t="s">
        <v>6526</v>
      </c>
      <c r="C2565" s="1">
        <v>42733</v>
      </c>
      <c r="D2565" s="22">
        <f>MONTH(Table10[[#This Row],[Order Date]])</f>
        <v>12</v>
      </c>
      <c r="E2565" t="s">
        <v>2563</v>
      </c>
      <c r="F2565" t="s">
        <v>2564</v>
      </c>
      <c r="G2565" s="23" t="s">
        <v>41</v>
      </c>
      <c r="H2565" s="23" t="s">
        <v>68</v>
      </c>
      <c r="I2565" t="s">
        <v>1307</v>
      </c>
      <c r="J2565" t="s">
        <v>36</v>
      </c>
      <c r="K2565" s="22">
        <v>3</v>
      </c>
      <c r="L2565" s="1">
        <v>42738</v>
      </c>
      <c r="M2565" s="22">
        <f>Table10[[#This Row],[Ship Date]]-Table10[[#This Row],[Order Date]]</f>
        <v>5</v>
      </c>
      <c r="N2565" t="s">
        <v>45</v>
      </c>
      <c r="O2565" t="s">
        <v>23</v>
      </c>
      <c r="P2565" t="s">
        <v>299</v>
      </c>
      <c r="Q2565" t="s">
        <v>26</v>
      </c>
      <c r="R2565" t="s">
        <v>456</v>
      </c>
      <c r="S2565" s="33">
        <v>0.7</v>
      </c>
      <c r="T2565" s="13">
        <v>2.8079999999999998</v>
      </c>
      <c r="U2565" s="13">
        <v>-1.9656</v>
      </c>
      <c r="V2565" s="21">
        <f>Table10[[#This Row],[Profit]]/Table10[[#This Row],[Sales]]</f>
        <v>-0.70000000000000007</v>
      </c>
    </row>
    <row r="2566" spans="1:22" x14ac:dyDescent="0.2">
      <c r="A2566">
        <v>2565</v>
      </c>
      <c r="B2566" t="s">
        <v>7418</v>
      </c>
      <c r="C2566" s="1">
        <v>42733</v>
      </c>
      <c r="D2566" s="22">
        <f>MONTH(Table10[[#This Row],[Order Date]])</f>
        <v>12</v>
      </c>
      <c r="E2566" t="s">
        <v>5870</v>
      </c>
      <c r="F2566" t="s">
        <v>5871</v>
      </c>
      <c r="G2566" s="23" t="s">
        <v>28</v>
      </c>
      <c r="H2566" s="23" t="s">
        <v>58</v>
      </c>
      <c r="I2566" t="s">
        <v>2203</v>
      </c>
      <c r="J2566" t="s">
        <v>22</v>
      </c>
      <c r="K2566" s="22">
        <v>6</v>
      </c>
      <c r="L2566" s="1">
        <v>42737</v>
      </c>
      <c r="M2566" s="22">
        <f>Table10[[#This Row],[Ship Date]]-Table10[[#This Row],[Order Date]]</f>
        <v>4</v>
      </c>
      <c r="N2566" t="s">
        <v>45</v>
      </c>
      <c r="O2566" t="s">
        <v>23</v>
      </c>
      <c r="P2566" t="s">
        <v>4001</v>
      </c>
      <c r="Q2566" t="s">
        <v>95</v>
      </c>
      <c r="R2566" t="s">
        <v>6518</v>
      </c>
      <c r="S2566" s="33">
        <v>0</v>
      </c>
      <c r="T2566" s="13">
        <v>70.56</v>
      </c>
      <c r="U2566" s="13">
        <v>23.990400000000001</v>
      </c>
      <c r="V2566" s="21">
        <f>Table10[[#This Row],[Profit]]/Table10[[#This Row],[Sales]]</f>
        <v>0.34</v>
      </c>
    </row>
    <row r="2567" spans="1:22" x14ac:dyDescent="0.2">
      <c r="A2567">
        <v>2566</v>
      </c>
      <c r="B2567" t="s">
        <v>7418</v>
      </c>
      <c r="C2567" s="1">
        <v>42733</v>
      </c>
      <c r="D2567" s="22">
        <f>MONTH(Table10[[#This Row],[Order Date]])</f>
        <v>12</v>
      </c>
      <c r="E2567" t="s">
        <v>4972</v>
      </c>
      <c r="F2567" t="s">
        <v>4973</v>
      </c>
      <c r="G2567" s="23" t="s">
        <v>41</v>
      </c>
      <c r="H2567" s="23" t="s">
        <v>71</v>
      </c>
      <c r="I2567" t="s">
        <v>2203</v>
      </c>
      <c r="J2567" t="s">
        <v>22</v>
      </c>
      <c r="K2567" s="22">
        <v>2</v>
      </c>
      <c r="L2567" s="1">
        <v>42737</v>
      </c>
      <c r="M2567" s="22">
        <f>Table10[[#This Row],[Ship Date]]-Table10[[#This Row],[Order Date]]</f>
        <v>4</v>
      </c>
      <c r="N2567" t="s">
        <v>45</v>
      </c>
      <c r="O2567" t="s">
        <v>23</v>
      </c>
      <c r="P2567" t="s">
        <v>4001</v>
      </c>
      <c r="Q2567" t="s">
        <v>95</v>
      </c>
      <c r="R2567" t="s">
        <v>6518</v>
      </c>
      <c r="S2567" s="33">
        <v>0</v>
      </c>
      <c r="T2567" s="13">
        <v>81.96</v>
      </c>
      <c r="U2567" s="13">
        <v>22.948799999999999</v>
      </c>
      <c r="V2567" s="21">
        <f>Table10[[#This Row],[Profit]]/Table10[[#This Row],[Sales]]</f>
        <v>0.28000000000000003</v>
      </c>
    </row>
    <row r="2568" spans="1:22" x14ac:dyDescent="0.2">
      <c r="A2568">
        <v>2567</v>
      </c>
      <c r="B2568" t="s">
        <v>7462</v>
      </c>
      <c r="C2568" s="1">
        <v>42733</v>
      </c>
      <c r="D2568" s="22">
        <f>MONTH(Table10[[#This Row],[Order Date]])</f>
        <v>12</v>
      </c>
      <c r="E2568" t="s">
        <v>2074</v>
      </c>
      <c r="F2568" t="s">
        <v>2075</v>
      </c>
      <c r="G2568" s="23" t="s">
        <v>41</v>
      </c>
      <c r="H2568" s="23" t="s">
        <v>68</v>
      </c>
      <c r="I2568" t="s">
        <v>3116</v>
      </c>
      <c r="J2568" t="s">
        <v>22</v>
      </c>
      <c r="K2568" s="22">
        <v>3</v>
      </c>
      <c r="L2568" s="1">
        <v>42737</v>
      </c>
      <c r="M2568" s="22">
        <f>Table10[[#This Row],[Ship Date]]-Table10[[#This Row],[Order Date]]</f>
        <v>4</v>
      </c>
      <c r="N2568" t="s">
        <v>45</v>
      </c>
      <c r="O2568" t="s">
        <v>23</v>
      </c>
      <c r="P2568" t="s">
        <v>38</v>
      </c>
      <c r="Q2568" t="s">
        <v>39</v>
      </c>
      <c r="R2568" t="s">
        <v>37</v>
      </c>
      <c r="S2568" s="33">
        <v>0.2</v>
      </c>
      <c r="T2568" s="13">
        <v>11.231999999999999</v>
      </c>
      <c r="U2568" s="13">
        <v>3.9312</v>
      </c>
      <c r="V2568" s="21">
        <f>Table10[[#This Row],[Profit]]/Table10[[#This Row],[Sales]]</f>
        <v>0.35000000000000003</v>
      </c>
    </row>
    <row r="2569" spans="1:22" x14ac:dyDescent="0.2">
      <c r="A2569">
        <v>2568</v>
      </c>
      <c r="B2569" t="s">
        <v>8489</v>
      </c>
      <c r="C2569" s="1">
        <v>42733</v>
      </c>
      <c r="D2569" s="22">
        <f>MONTH(Table10[[#This Row],[Order Date]])</f>
        <v>12</v>
      </c>
      <c r="E2569" t="s">
        <v>7641</v>
      </c>
      <c r="F2569" t="s">
        <v>7302</v>
      </c>
      <c r="G2569" s="23" t="s">
        <v>41</v>
      </c>
      <c r="H2569" s="23" t="s">
        <v>155</v>
      </c>
      <c r="I2569" t="s">
        <v>808</v>
      </c>
      <c r="J2569" t="s">
        <v>22</v>
      </c>
      <c r="K2569" s="22">
        <v>3</v>
      </c>
      <c r="L2569" s="1">
        <v>42735</v>
      </c>
      <c r="M2569" s="22">
        <f>Table10[[#This Row],[Ship Date]]-Table10[[#This Row],[Order Date]]</f>
        <v>2</v>
      </c>
      <c r="N2569" t="s">
        <v>20</v>
      </c>
      <c r="O2569" t="s">
        <v>23</v>
      </c>
      <c r="P2569" t="s">
        <v>374</v>
      </c>
      <c r="Q2569" t="s">
        <v>39</v>
      </c>
      <c r="R2569" t="s">
        <v>284</v>
      </c>
      <c r="S2569" s="33">
        <v>0.2</v>
      </c>
      <c r="T2569" s="13">
        <v>27.792000000000002</v>
      </c>
      <c r="U2569" s="13">
        <v>10.422000000000001</v>
      </c>
      <c r="V2569" s="21">
        <f>Table10[[#This Row],[Profit]]/Table10[[#This Row],[Sales]]</f>
        <v>0.375</v>
      </c>
    </row>
    <row r="2570" spans="1:22" x14ac:dyDescent="0.2">
      <c r="A2570">
        <v>2569</v>
      </c>
      <c r="B2570" t="s">
        <v>9420</v>
      </c>
      <c r="C2570" s="1">
        <v>42733</v>
      </c>
      <c r="D2570" s="22">
        <f>MONTH(Table10[[#This Row],[Order Date]])</f>
        <v>12</v>
      </c>
      <c r="E2570" t="s">
        <v>1650</v>
      </c>
      <c r="F2570" t="s">
        <v>1651</v>
      </c>
      <c r="G2570" s="23" t="s">
        <v>41</v>
      </c>
      <c r="H2570" s="23" t="s">
        <v>82</v>
      </c>
      <c r="I2570" t="s">
        <v>7471</v>
      </c>
      <c r="J2570" t="s">
        <v>92</v>
      </c>
      <c r="K2570" s="22">
        <v>7</v>
      </c>
      <c r="L2570" s="1">
        <v>42735</v>
      </c>
      <c r="M2570" s="22">
        <f>Table10[[#This Row],[Ship Date]]-Table10[[#This Row],[Order Date]]</f>
        <v>2</v>
      </c>
      <c r="N2570" t="s">
        <v>20</v>
      </c>
      <c r="O2570" t="s">
        <v>23</v>
      </c>
      <c r="P2570" t="s">
        <v>48</v>
      </c>
      <c r="Q2570" t="s">
        <v>26</v>
      </c>
      <c r="R2570" t="s">
        <v>1253</v>
      </c>
      <c r="S2570" s="33">
        <v>0.2</v>
      </c>
      <c r="T2570" s="13">
        <v>37.408000000000001</v>
      </c>
      <c r="U2570" s="13">
        <v>13.0928</v>
      </c>
      <c r="V2570" s="21">
        <f>Table10[[#This Row],[Profit]]/Table10[[#This Row],[Sales]]</f>
        <v>0.35</v>
      </c>
    </row>
    <row r="2571" spans="1:22" x14ac:dyDescent="0.2">
      <c r="A2571">
        <v>2570</v>
      </c>
      <c r="B2571" t="s">
        <v>9420</v>
      </c>
      <c r="C2571" s="1">
        <v>42733</v>
      </c>
      <c r="D2571" s="22">
        <f>MONTH(Table10[[#This Row],[Order Date]])</f>
        <v>12</v>
      </c>
      <c r="E2571" t="s">
        <v>7175</v>
      </c>
      <c r="F2571" t="s">
        <v>7176</v>
      </c>
      <c r="G2571" s="23" t="s">
        <v>41</v>
      </c>
      <c r="H2571" s="23" t="s">
        <v>82</v>
      </c>
      <c r="I2571" t="s">
        <v>7471</v>
      </c>
      <c r="J2571" t="s">
        <v>92</v>
      </c>
      <c r="K2571" s="22">
        <v>6</v>
      </c>
      <c r="L2571" s="1">
        <v>42735</v>
      </c>
      <c r="M2571" s="22">
        <f>Table10[[#This Row],[Ship Date]]-Table10[[#This Row],[Order Date]]</f>
        <v>2</v>
      </c>
      <c r="N2571" t="s">
        <v>20</v>
      </c>
      <c r="O2571" t="s">
        <v>23</v>
      </c>
      <c r="P2571" t="s">
        <v>48</v>
      </c>
      <c r="Q2571" t="s">
        <v>26</v>
      </c>
      <c r="R2571" t="s">
        <v>1253</v>
      </c>
      <c r="S2571" s="33">
        <v>0.2</v>
      </c>
      <c r="T2571" s="13">
        <v>25.344000000000001</v>
      </c>
      <c r="U2571" s="13">
        <v>8.8704000000000001</v>
      </c>
      <c r="V2571" s="21">
        <f>Table10[[#This Row],[Profit]]/Table10[[#This Row],[Sales]]</f>
        <v>0.35</v>
      </c>
    </row>
    <row r="2572" spans="1:22" x14ac:dyDescent="0.2">
      <c r="A2572">
        <v>2571</v>
      </c>
      <c r="B2572" t="s">
        <v>9441</v>
      </c>
      <c r="C2572" s="1">
        <v>42733</v>
      </c>
      <c r="D2572" s="22">
        <f>MONTH(Table10[[#This Row],[Order Date]])</f>
        <v>12</v>
      </c>
      <c r="E2572" t="s">
        <v>2655</v>
      </c>
      <c r="F2572" t="s">
        <v>2656</v>
      </c>
      <c r="G2572" s="23" t="s">
        <v>41</v>
      </c>
      <c r="H2572" s="23" t="s">
        <v>53</v>
      </c>
      <c r="I2572" t="s">
        <v>2783</v>
      </c>
      <c r="J2572" t="s">
        <v>22</v>
      </c>
      <c r="K2572" s="22">
        <v>1</v>
      </c>
      <c r="L2572" s="1">
        <v>42737</v>
      </c>
      <c r="M2572" s="22">
        <f>Table10[[#This Row],[Ship Date]]-Table10[[#This Row],[Order Date]]</f>
        <v>4</v>
      </c>
      <c r="N2572" t="s">
        <v>45</v>
      </c>
      <c r="O2572" t="s">
        <v>23</v>
      </c>
      <c r="P2572" t="s">
        <v>38</v>
      </c>
      <c r="Q2572" t="s">
        <v>39</v>
      </c>
      <c r="R2572" t="s">
        <v>4790</v>
      </c>
      <c r="S2572" s="33">
        <v>0</v>
      </c>
      <c r="T2572" s="13">
        <v>14.03</v>
      </c>
      <c r="U2572" s="13">
        <v>4.0686999999999998</v>
      </c>
      <c r="V2572" s="21">
        <f>Table10[[#This Row],[Profit]]/Table10[[#This Row],[Sales]]</f>
        <v>0.28999999999999998</v>
      </c>
    </row>
    <row r="2573" spans="1:22" x14ac:dyDescent="0.2">
      <c r="A2573">
        <v>2572</v>
      </c>
      <c r="B2573" t="s">
        <v>9441</v>
      </c>
      <c r="C2573" s="1">
        <v>42733</v>
      </c>
      <c r="D2573" s="22">
        <f>MONTH(Table10[[#This Row],[Order Date]])</f>
        <v>12</v>
      </c>
      <c r="E2573" t="s">
        <v>4934</v>
      </c>
      <c r="F2573" t="s">
        <v>4935</v>
      </c>
      <c r="G2573" s="23" t="s">
        <v>41</v>
      </c>
      <c r="H2573" s="23" t="s">
        <v>513</v>
      </c>
      <c r="I2573" t="s">
        <v>2783</v>
      </c>
      <c r="J2573" t="s">
        <v>22</v>
      </c>
      <c r="K2573" s="22">
        <v>2</v>
      </c>
      <c r="L2573" s="1">
        <v>42737</v>
      </c>
      <c r="M2573" s="22">
        <f>Table10[[#This Row],[Ship Date]]-Table10[[#This Row],[Order Date]]</f>
        <v>4</v>
      </c>
      <c r="N2573" t="s">
        <v>45</v>
      </c>
      <c r="O2573" t="s">
        <v>23</v>
      </c>
      <c r="P2573" t="s">
        <v>38</v>
      </c>
      <c r="Q2573" t="s">
        <v>39</v>
      </c>
      <c r="R2573" t="s">
        <v>4790</v>
      </c>
      <c r="S2573" s="33">
        <v>0</v>
      </c>
      <c r="T2573" s="13">
        <v>27.96</v>
      </c>
      <c r="U2573" s="13">
        <v>7.2695999999999996</v>
      </c>
      <c r="V2573" s="21">
        <f>Table10[[#This Row],[Profit]]/Table10[[#This Row],[Sales]]</f>
        <v>0.25999999999999995</v>
      </c>
    </row>
    <row r="2574" spans="1:22" x14ac:dyDescent="0.2">
      <c r="A2574">
        <v>2573</v>
      </c>
      <c r="B2574" t="s">
        <v>6514</v>
      </c>
      <c r="C2574" s="1">
        <v>42734</v>
      </c>
      <c r="D2574" s="22">
        <f>MONTH(Table10[[#This Row],[Order Date]])</f>
        <v>12</v>
      </c>
      <c r="E2574" t="s">
        <v>290</v>
      </c>
      <c r="F2574" t="s">
        <v>291</v>
      </c>
      <c r="G2574" s="23" t="s">
        <v>41</v>
      </c>
      <c r="H2574" s="23" t="s">
        <v>68</v>
      </c>
      <c r="I2574" t="s">
        <v>3475</v>
      </c>
      <c r="J2574" t="s">
        <v>36</v>
      </c>
      <c r="K2574" s="22">
        <v>6</v>
      </c>
      <c r="L2574" s="1">
        <v>42736</v>
      </c>
      <c r="M2574" s="22">
        <f>Table10[[#This Row],[Ship Date]]-Table10[[#This Row],[Order Date]]</f>
        <v>2</v>
      </c>
      <c r="N2574" t="s">
        <v>169</v>
      </c>
      <c r="O2574" t="s">
        <v>23</v>
      </c>
      <c r="P2574" t="s">
        <v>94</v>
      </c>
      <c r="Q2574" t="s">
        <v>95</v>
      </c>
      <c r="R2574" t="s">
        <v>6515</v>
      </c>
      <c r="S2574" s="33">
        <v>0.8</v>
      </c>
      <c r="T2574" s="13">
        <v>6.9240000000000004</v>
      </c>
      <c r="U2574" s="13">
        <v>-10.385999999999999</v>
      </c>
      <c r="V2574" s="21">
        <f>Table10[[#This Row],[Profit]]/Table10[[#This Row],[Sales]]</f>
        <v>-1.4999999999999998</v>
      </c>
    </row>
    <row r="2575" spans="1:22" x14ac:dyDescent="0.2">
      <c r="A2575">
        <v>2574</v>
      </c>
      <c r="B2575" t="s">
        <v>7005</v>
      </c>
      <c r="C2575" s="1">
        <v>42734</v>
      </c>
      <c r="D2575" s="22">
        <f>MONTH(Table10[[#This Row],[Order Date]])</f>
        <v>12</v>
      </c>
      <c r="E2575" t="s">
        <v>6645</v>
      </c>
      <c r="F2575" t="s">
        <v>6646</v>
      </c>
      <c r="G2575" s="23" t="s">
        <v>41</v>
      </c>
      <c r="H2575" s="23" t="s">
        <v>42</v>
      </c>
      <c r="I2575" t="s">
        <v>2165</v>
      </c>
      <c r="J2575" t="s">
        <v>22</v>
      </c>
      <c r="K2575" s="22">
        <v>2</v>
      </c>
      <c r="L2575" s="1">
        <v>42739</v>
      </c>
      <c r="M2575" s="22">
        <f>Table10[[#This Row],[Ship Date]]-Table10[[#This Row],[Order Date]]</f>
        <v>5</v>
      </c>
      <c r="N2575" t="s">
        <v>45</v>
      </c>
      <c r="O2575" t="s">
        <v>23</v>
      </c>
      <c r="P2575" t="s">
        <v>441</v>
      </c>
      <c r="Q2575" t="s">
        <v>133</v>
      </c>
      <c r="R2575" t="s">
        <v>440</v>
      </c>
      <c r="S2575" s="33">
        <v>0.2</v>
      </c>
      <c r="T2575" s="13">
        <v>5.9039999999999999</v>
      </c>
      <c r="U2575" s="13">
        <v>1.9925999999999999</v>
      </c>
      <c r="V2575" s="21">
        <f>Table10[[#This Row],[Profit]]/Table10[[#This Row],[Sales]]</f>
        <v>0.33749999999999997</v>
      </c>
    </row>
    <row r="2576" spans="1:22" x14ac:dyDescent="0.2">
      <c r="A2576">
        <v>2575</v>
      </c>
      <c r="B2576" t="s">
        <v>7005</v>
      </c>
      <c r="C2576" s="1">
        <v>42734</v>
      </c>
      <c r="D2576" s="22">
        <f>MONTH(Table10[[#This Row],[Order Date]])</f>
        <v>12</v>
      </c>
      <c r="E2576" t="s">
        <v>4493</v>
      </c>
      <c r="F2576" t="s">
        <v>4494</v>
      </c>
      <c r="G2576" s="23" t="s">
        <v>41</v>
      </c>
      <c r="H2576" s="23" t="s">
        <v>513</v>
      </c>
      <c r="I2576" t="s">
        <v>2165</v>
      </c>
      <c r="J2576" t="s">
        <v>22</v>
      </c>
      <c r="K2576" s="22">
        <v>2</v>
      </c>
      <c r="L2576" s="1">
        <v>42739</v>
      </c>
      <c r="M2576" s="22">
        <f>Table10[[#This Row],[Ship Date]]-Table10[[#This Row],[Order Date]]</f>
        <v>5</v>
      </c>
      <c r="N2576" t="s">
        <v>45</v>
      </c>
      <c r="O2576" t="s">
        <v>23</v>
      </c>
      <c r="P2576" t="s">
        <v>441</v>
      </c>
      <c r="Q2576" t="s">
        <v>133</v>
      </c>
      <c r="R2576" t="s">
        <v>440</v>
      </c>
      <c r="S2576" s="33">
        <v>0.2</v>
      </c>
      <c r="T2576" s="13">
        <v>13.712</v>
      </c>
      <c r="U2576" s="13">
        <v>1.0284</v>
      </c>
      <c r="V2576" s="21">
        <f>Table10[[#This Row],[Profit]]/Table10[[#This Row],[Sales]]</f>
        <v>7.4999999999999997E-2</v>
      </c>
    </row>
    <row r="2577" spans="1:22" x14ac:dyDescent="0.2">
      <c r="A2577">
        <v>2576</v>
      </c>
      <c r="B2577" t="s">
        <v>7703</v>
      </c>
      <c r="C2577" s="1">
        <v>42734</v>
      </c>
      <c r="D2577" s="22">
        <f>MONTH(Table10[[#This Row],[Order Date]])</f>
        <v>12</v>
      </c>
      <c r="E2577" t="s">
        <v>2668</v>
      </c>
      <c r="F2577" t="s">
        <v>2669</v>
      </c>
      <c r="G2577" s="23" t="s">
        <v>41</v>
      </c>
      <c r="H2577" s="23" t="s">
        <v>53</v>
      </c>
      <c r="I2577" t="s">
        <v>5275</v>
      </c>
      <c r="J2577" t="s">
        <v>92</v>
      </c>
      <c r="K2577" s="22">
        <v>4</v>
      </c>
      <c r="L2577" s="1">
        <v>42734</v>
      </c>
      <c r="M2577" s="22">
        <f>Table10[[#This Row],[Ship Date]]-Table10[[#This Row],[Order Date]]</f>
        <v>0</v>
      </c>
      <c r="N2577" t="s">
        <v>1141</v>
      </c>
      <c r="O2577" t="s">
        <v>23</v>
      </c>
      <c r="P2577" t="s">
        <v>38</v>
      </c>
      <c r="Q2577" t="s">
        <v>39</v>
      </c>
      <c r="R2577" t="s">
        <v>37</v>
      </c>
      <c r="S2577" s="33">
        <v>0</v>
      </c>
      <c r="T2577" s="13">
        <v>481.32</v>
      </c>
      <c r="U2577" s="13">
        <v>125.14319999999999</v>
      </c>
      <c r="V2577" s="21">
        <f>Table10[[#This Row],[Profit]]/Table10[[#This Row],[Sales]]</f>
        <v>0.26</v>
      </c>
    </row>
    <row r="2578" spans="1:22" x14ac:dyDescent="0.2">
      <c r="A2578">
        <v>2577</v>
      </c>
      <c r="B2578" t="s">
        <v>7703</v>
      </c>
      <c r="C2578" s="1">
        <v>42734</v>
      </c>
      <c r="D2578" s="22">
        <f>MONTH(Table10[[#This Row],[Order Date]])</f>
        <v>12</v>
      </c>
      <c r="E2578" t="s">
        <v>1434</v>
      </c>
      <c r="F2578" t="s">
        <v>1435</v>
      </c>
      <c r="G2578" s="23" t="s">
        <v>41</v>
      </c>
      <c r="H2578" s="23" t="s">
        <v>68</v>
      </c>
      <c r="I2578" t="s">
        <v>5275</v>
      </c>
      <c r="J2578" t="s">
        <v>92</v>
      </c>
      <c r="K2578" s="22">
        <v>1</v>
      </c>
      <c r="L2578" s="1">
        <v>42734</v>
      </c>
      <c r="M2578" s="22">
        <f>Table10[[#This Row],[Ship Date]]-Table10[[#This Row],[Order Date]]</f>
        <v>0</v>
      </c>
      <c r="N2578" t="s">
        <v>1141</v>
      </c>
      <c r="O2578" t="s">
        <v>23</v>
      </c>
      <c r="P2578" t="s">
        <v>38</v>
      </c>
      <c r="Q2578" t="s">
        <v>39</v>
      </c>
      <c r="R2578" t="s">
        <v>37</v>
      </c>
      <c r="S2578" s="33">
        <v>0.2</v>
      </c>
      <c r="T2578" s="13">
        <v>6.3840000000000003</v>
      </c>
      <c r="U2578" s="13">
        <v>2.1545999999999998</v>
      </c>
      <c r="V2578" s="21">
        <f>Table10[[#This Row],[Profit]]/Table10[[#This Row],[Sales]]</f>
        <v>0.33749999999999997</v>
      </c>
    </row>
    <row r="2579" spans="1:22" x14ac:dyDescent="0.2">
      <c r="A2579">
        <v>2578</v>
      </c>
      <c r="B2579" t="s">
        <v>8757</v>
      </c>
      <c r="C2579" s="1">
        <v>42734</v>
      </c>
      <c r="D2579" s="22">
        <f>MONTH(Table10[[#This Row],[Order Date]])</f>
        <v>12</v>
      </c>
      <c r="E2579" t="s">
        <v>31</v>
      </c>
      <c r="F2579" t="s">
        <v>33</v>
      </c>
      <c r="G2579" s="23" t="s">
        <v>28</v>
      </c>
      <c r="H2579" s="23" t="s">
        <v>32</v>
      </c>
      <c r="I2579" t="s">
        <v>1583</v>
      </c>
      <c r="J2579" t="s">
        <v>22</v>
      </c>
      <c r="K2579" s="22">
        <v>1</v>
      </c>
      <c r="L2579" s="1">
        <v>42736</v>
      </c>
      <c r="M2579" s="22">
        <f>Table10[[#This Row],[Ship Date]]-Table10[[#This Row],[Order Date]]</f>
        <v>2</v>
      </c>
      <c r="N2579" t="s">
        <v>169</v>
      </c>
      <c r="O2579" t="s">
        <v>23</v>
      </c>
      <c r="P2579" t="s">
        <v>132</v>
      </c>
      <c r="Q2579" t="s">
        <v>133</v>
      </c>
      <c r="R2579" t="s">
        <v>2174</v>
      </c>
      <c r="S2579" s="33">
        <v>0.3</v>
      </c>
      <c r="T2579" s="13">
        <v>170.786</v>
      </c>
      <c r="U2579" s="13">
        <v>0</v>
      </c>
      <c r="V2579" s="21">
        <f>Table10[[#This Row],[Profit]]/Table10[[#This Row],[Sales]]</f>
        <v>0</v>
      </c>
    </row>
    <row r="2580" spans="1:22" x14ac:dyDescent="0.2">
      <c r="A2580">
        <v>2579</v>
      </c>
      <c r="B2580" t="s">
        <v>9386</v>
      </c>
      <c r="C2580" s="1">
        <v>42734</v>
      </c>
      <c r="D2580" s="22">
        <f>MONTH(Table10[[#This Row],[Order Date]])</f>
        <v>12</v>
      </c>
      <c r="E2580" t="s">
        <v>6096</v>
      </c>
      <c r="F2580" t="s">
        <v>6097</v>
      </c>
      <c r="G2580" s="23" t="s">
        <v>41</v>
      </c>
      <c r="H2580" s="23" t="s">
        <v>61</v>
      </c>
      <c r="I2580" t="s">
        <v>9387</v>
      </c>
      <c r="J2580" t="s">
        <v>36</v>
      </c>
      <c r="K2580" s="22">
        <v>5</v>
      </c>
      <c r="L2580" s="1">
        <v>42737</v>
      </c>
      <c r="M2580" s="22">
        <f>Table10[[#This Row],[Ship Date]]-Table10[[#This Row],[Order Date]]</f>
        <v>3</v>
      </c>
      <c r="N2580" t="s">
        <v>169</v>
      </c>
      <c r="O2580" t="s">
        <v>23</v>
      </c>
      <c r="P2580" t="s">
        <v>132</v>
      </c>
      <c r="Q2580" t="s">
        <v>133</v>
      </c>
      <c r="R2580" t="s">
        <v>131</v>
      </c>
      <c r="S2580" s="33">
        <v>0.2</v>
      </c>
      <c r="T2580" s="13">
        <v>16.52</v>
      </c>
      <c r="U2580" s="13">
        <v>1.6519999999999999</v>
      </c>
      <c r="V2580" s="21">
        <f>Table10[[#This Row],[Profit]]/Table10[[#This Row],[Sales]]</f>
        <v>9.9999999999999992E-2</v>
      </c>
    </row>
    <row r="2581" spans="1:22" x14ac:dyDescent="0.2">
      <c r="A2581">
        <v>2580</v>
      </c>
      <c r="B2581" t="s">
        <v>9744</v>
      </c>
      <c r="C2581" s="1">
        <v>42734</v>
      </c>
      <c r="D2581" s="22">
        <f>MONTH(Table10[[#This Row],[Order Date]])</f>
        <v>12</v>
      </c>
      <c r="E2581" t="s">
        <v>5347</v>
      </c>
      <c r="F2581" t="s">
        <v>5348</v>
      </c>
      <c r="G2581" s="23" t="s">
        <v>41</v>
      </c>
      <c r="H2581" s="23" t="s">
        <v>82</v>
      </c>
      <c r="I2581" t="s">
        <v>5796</v>
      </c>
      <c r="J2581" t="s">
        <v>22</v>
      </c>
      <c r="K2581" s="22">
        <v>4</v>
      </c>
      <c r="L2581" s="1">
        <v>42739</v>
      </c>
      <c r="M2581" s="22">
        <f>Table10[[#This Row],[Ship Date]]-Table10[[#This Row],[Order Date]]</f>
        <v>5</v>
      </c>
      <c r="N2581" t="s">
        <v>45</v>
      </c>
      <c r="O2581" t="s">
        <v>23</v>
      </c>
      <c r="P2581" t="s">
        <v>48</v>
      </c>
      <c r="Q2581" t="s">
        <v>26</v>
      </c>
      <c r="R2581" t="s">
        <v>8395</v>
      </c>
      <c r="S2581" s="33">
        <v>0.2</v>
      </c>
      <c r="T2581" s="13">
        <v>72.224000000000004</v>
      </c>
      <c r="U2581" s="13">
        <v>25.278400000000001</v>
      </c>
      <c r="V2581" s="21">
        <f>Table10[[#This Row],[Profit]]/Table10[[#This Row],[Sales]]</f>
        <v>0.35</v>
      </c>
    </row>
    <row r="2582" spans="1:22" x14ac:dyDescent="0.2">
      <c r="A2582">
        <v>2581</v>
      </c>
      <c r="B2582" t="s">
        <v>2926</v>
      </c>
      <c r="C2582" s="1">
        <v>42735</v>
      </c>
      <c r="D2582" s="22">
        <f>MONTH(Table10[[#This Row],[Order Date]])</f>
        <v>12</v>
      </c>
      <c r="E2582" t="s">
        <v>2928</v>
      </c>
      <c r="F2582" t="s">
        <v>2929</v>
      </c>
      <c r="G2582" s="23" t="s">
        <v>41</v>
      </c>
      <c r="H2582" s="23" t="s">
        <v>61</v>
      </c>
      <c r="I2582" t="s">
        <v>953</v>
      </c>
      <c r="J2582" t="s">
        <v>36</v>
      </c>
      <c r="K2582" s="22">
        <v>2</v>
      </c>
      <c r="L2582" s="1">
        <v>42741</v>
      </c>
      <c r="M2582" s="22">
        <f>Table10[[#This Row],[Ship Date]]-Table10[[#This Row],[Order Date]]</f>
        <v>6</v>
      </c>
      <c r="N2582" t="s">
        <v>45</v>
      </c>
      <c r="O2582" t="s">
        <v>23</v>
      </c>
      <c r="P2582" t="s">
        <v>1229</v>
      </c>
      <c r="Q2582" t="s">
        <v>39</v>
      </c>
      <c r="R2582" t="s">
        <v>2927</v>
      </c>
      <c r="S2582" s="33">
        <v>0</v>
      </c>
      <c r="T2582" s="13">
        <v>3.64</v>
      </c>
      <c r="U2582" s="13">
        <v>1.6379999999999999</v>
      </c>
      <c r="V2582" s="21">
        <f>Table10[[#This Row],[Profit]]/Table10[[#This Row],[Sales]]</f>
        <v>0.44999999999999996</v>
      </c>
    </row>
    <row r="2583" spans="1:22" x14ac:dyDescent="0.2">
      <c r="A2583">
        <v>2582</v>
      </c>
      <c r="B2583" t="s">
        <v>2926</v>
      </c>
      <c r="C2583" s="1">
        <v>42735</v>
      </c>
      <c r="D2583" s="22">
        <f>MONTH(Table10[[#This Row],[Order Date]])</f>
        <v>12</v>
      </c>
      <c r="E2583" t="s">
        <v>2389</v>
      </c>
      <c r="F2583" t="s">
        <v>2390</v>
      </c>
      <c r="G2583" s="23" t="s">
        <v>41</v>
      </c>
      <c r="H2583" s="23" t="s">
        <v>68</v>
      </c>
      <c r="I2583" t="s">
        <v>953</v>
      </c>
      <c r="J2583" t="s">
        <v>36</v>
      </c>
      <c r="K2583" s="22">
        <v>7</v>
      </c>
      <c r="L2583" s="1">
        <v>42741</v>
      </c>
      <c r="M2583" s="22">
        <f>Table10[[#This Row],[Ship Date]]-Table10[[#This Row],[Order Date]]</f>
        <v>6</v>
      </c>
      <c r="N2583" t="s">
        <v>45</v>
      </c>
      <c r="O2583" t="s">
        <v>23</v>
      </c>
      <c r="P2583" t="s">
        <v>1229</v>
      </c>
      <c r="Q2583" t="s">
        <v>39</v>
      </c>
      <c r="R2583" t="s">
        <v>2927</v>
      </c>
      <c r="S2583" s="33">
        <v>0.2</v>
      </c>
      <c r="T2583" s="13">
        <v>159.768</v>
      </c>
      <c r="U2583" s="13">
        <v>53.921700000000001</v>
      </c>
      <c r="V2583" s="21">
        <f>Table10[[#This Row],[Profit]]/Table10[[#This Row],[Sales]]</f>
        <v>0.33750000000000002</v>
      </c>
    </row>
    <row r="2584" spans="1:22" x14ac:dyDescent="0.2">
      <c r="A2584">
        <v>2583</v>
      </c>
      <c r="B2584" t="s">
        <v>5341</v>
      </c>
      <c r="C2584" s="1">
        <v>42735</v>
      </c>
      <c r="D2584" s="22">
        <f>MONTH(Table10[[#This Row],[Order Date]])</f>
        <v>12</v>
      </c>
      <c r="E2584" t="s">
        <v>758</v>
      </c>
      <c r="F2584" t="s">
        <v>759</v>
      </c>
      <c r="G2584" s="23" t="s">
        <v>64</v>
      </c>
      <c r="H2584" s="23" t="s">
        <v>65</v>
      </c>
      <c r="I2584" t="s">
        <v>2773</v>
      </c>
      <c r="J2584" t="s">
        <v>22</v>
      </c>
      <c r="K2584" s="22">
        <v>3</v>
      </c>
      <c r="L2584" s="1">
        <v>42740</v>
      </c>
      <c r="M2584" s="22">
        <f>Table10[[#This Row],[Ship Date]]-Table10[[#This Row],[Order Date]]</f>
        <v>5</v>
      </c>
      <c r="N2584" t="s">
        <v>45</v>
      </c>
      <c r="O2584" t="s">
        <v>23</v>
      </c>
      <c r="P2584" t="s">
        <v>38</v>
      </c>
      <c r="Q2584" t="s">
        <v>39</v>
      </c>
      <c r="R2584" t="s">
        <v>1666</v>
      </c>
      <c r="S2584" s="33">
        <v>0.2</v>
      </c>
      <c r="T2584" s="13">
        <v>302.37599999999998</v>
      </c>
      <c r="U2584" s="13">
        <v>22.6782</v>
      </c>
      <c r="V2584" s="21">
        <f>Table10[[#This Row],[Profit]]/Table10[[#This Row],[Sales]]</f>
        <v>7.5000000000000011E-2</v>
      </c>
    </row>
    <row r="2585" spans="1:22" x14ac:dyDescent="0.2">
      <c r="A2585">
        <v>2584</v>
      </c>
      <c r="B2585" t="s">
        <v>6902</v>
      </c>
      <c r="C2585" s="1">
        <v>42735</v>
      </c>
      <c r="D2585" s="22">
        <f>MONTH(Table10[[#This Row],[Order Date]])</f>
        <v>12</v>
      </c>
      <c r="E2585" t="s">
        <v>1381</v>
      </c>
      <c r="F2585" t="s">
        <v>1382</v>
      </c>
      <c r="G2585" s="23" t="s">
        <v>41</v>
      </c>
      <c r="H2585" s="23" t="s">
        <v>61</v>
      </c>
      <c r="I2585" t="s">
        <v>1617</v>
      </c>
      <c r="J2585" t="s">
        <v>22</v>
      </c>
      <c r="K2585" s="22">
        <v>3</v>
      </c>
      <c r="L2585" s="1">
        <v>42741</v>
      </c>
      <c r="M2585" s="22">
        <f>Table10[[#This Row],[Ship Date]]-Table10[[#This Row],[Order Date]]</f>
        <v>6</v>
      </c>
      <c r="N2585" t="s">
        <v>45</v>
      </c>
      <c r="O2585" t="s">
        <v>23</v>
      </c>
      <c r="P2585" t="s">
        <v>48</v>
      </c>
      <c r="Q2585" t="s">
        <v>26</v>
      </c>
      <c r="R2585" t="s">
        <v>1345</v>
      </c>
      <c r="S2585" s="33">
        <v>0.2</v>
      </c>
      <c r="T2585" s="13">
        <v>47.616</v>
      </c>
      <c r="U2585" s="13">
        <v>3.5712000000000002</v>
      </c>
      <c r="V2585" s="21">
        <f>Table10[[#This Row],[Profit]]/Table10[[#This Row],[Sales]]</f>
        <v>7.4999999999999997E-2</v>
      </c>
    </row>
    <row r="2586" spans="1:22" x14ac:dyDescent="0.2">
      <c r="A2586">
        <v>2585</v>
      </c>
      <c r="B2586" t="s">
        <v>6902</v>
      </c>
      <c r="C2586" s="1">
        <v>42735</v>
      </c>
      <c r="D2586" s="22">
        <f>MONTH(Table10[[#This Row],[Order Date]])</f>
        <v>12</v>
      </c>
      <c r="E2586" t="s">
        <v>2431</v>
      </c>
      <c r="F2586" t="s">
        <v>2432</v>
      </c>
      <c r="G2586" s="23" t="s">
        <v>41</v>
      </c>
      <c r="H2586" s="23" t="s">
        <v>82</v>
      </c>
      <c r="I2586" t="s">
        <v>1617</v>
      </c>
      <c r="J2586" t="s">
        <v>22</v>
      </c>
      <c r="K2586" s="22">
        <v>5</v>
      </c>
      <c r="L2586" s="1">
        <v>42741</v>
      </c>
      <c r="M2586" s="22">
        <f>Table10[[#This Row],[Ship Date]]-Table10[[#This Row],[Order Date]]</f>
        <v>6</v>
      </c>
      <c r="N2586" t="s">
        <v>45</v>
      </c>
      <c r="O2586" t="s">
        <v>23</v>
      </c>
      <c r="P2586" t="s">
        <v>48</v>
      </c>
      <c r="Q2586" t="s">
        <v>26</v>
      </c>
      <c r="R2586" t="s">
        <v>1345</v>
      </c>
      <c r="S2586" s="33">
        <v>0.2</v>
      </c>
      <c r="T2586" s="13">
        <v>23.48</v>
      </c>
      <c r="U2586" s="13">
        <v>8.218</v>
      </c>
      <c r="V2586" s="21">
        <f>Table10[[#This Row],[Profit]]/Table10[[#This Row],[Sales]]</f>
        <v>0.35</v>
      </c>
    </row>
    <row r="2587" spans="1:22" x14ac:dyDescent="0.2">
      <c r="A2587">
        <v>2586</v>
      </c>
      <c r="B2587" t="s">
        <v>7688</v>
      </c>
      <c r="C2587" s="1">
        <v>42735</v>
      </c>
      <c r="D2587" s="22">
        <f>MONTH(Table10[[#This Row],[Order Date]])</f>
        <v>12</v>
      </c>
      <c r="E2587" t="s">
        <v>5144</v>
      </c>
      <c r="F2587" t="s">
        <v>5145</v>
      </c>
      <c r="G2587" s="23" t="s">
        <v>41</v>
      </c>
      <c r="H2587" s="23" t="s">
        <v>68</v>
      </c>
      <c r="I2587" t="s">
        <v>5455</v>
      </c>
      <c r="J2587" t="s">
        <v>22</v>
      </c>
      <c r="K2587" s="22">
        <v>3</v>
      </c>
      <c r="L2587" s="1">
        <v>42741</v>
      </c>
      <c r="M2587" s="22">
        <f>Table10[[#This Row],[Ship Date]]-Table10[[#This Row],[Order Date]]</f>
        <v>6</v>
      </c>
      <c r="N2587" t="s">
        <v>45</v>
      </c>
      <c r="O2587" t="s">
        <v>23</v>
      </c>
      <c r="P2587" t="s">
        <v>38</v>
      </c>
      <c r="Q2587" t="s">
        <v>39</v>
      </c>
      <c r="R2587" t="s">
        <v>114</v>
      </c>
      <c r="S2587" s="33">
        <v>0.2</v>
      </c>
      <c r="T2587" s="13">
        <v>38.375999999999998</v>
      </c>
      <c r="U2587" s="13">
        <v>13.4316</v>
      </c>
      <c r="V2587" s="21">
        <f>Table10[[#This Row],[Profit]]/Table10[[#This Row],[Sales]]</f>
        <v>0.35000000000000003</v>
      </c>
    </row>
    <row r="2588" spans="1:22" x14ac:dyDescent="0.2">
      <c r="A2588">
        <v>2587</v>
      </c>
      <c r="B2588" t="s">
        <v>8068</v>
      </c>
      <c r="C2588" s="1">
        <v>42735</v>
      </c>
      <c r="D2588" s="22">
        <f>MONTH(Table10[[#This Row],[Order Date]])</f>
        <v>12</v>
      </c>
      <c r="E2588" t="s">
        <v>4124</v>
      </c>
      <c r="F2588" t="s">
        <v>4125</v>
      </c>
      <c r="G2588" s="23" t="s">
        <v>41</v>
      </c>
      <c r="H2588" s="23" t="s">
        <v>53</v>
      </c>
      <c r="I2588" t="s">
        <v>4198</v>
      </c>
      <c r="J2588" t="s">
        <v>22</v>
      </c>
      <c r="K2588" s="22">
        <v>4</v>
      </c>
      <c r="L2588" s="1">
        <v>42737</v>
      </c>
      <c r="M2588" s="22">
        <f>Table10[[#This Row],[Ship Date]]-Table10[[#This Row],[Order Date]]</f>
        <v>2</v>
      </c>
      <c r="N2588" t="s">
        <v>169</v>
      </c>
      <c r="O2588" t="s">
        <v>23</v>
      </c>
      <c r="P2588" t="s">
        <v>441</v>
      </c>
      <c r="Q2588" t="s">
        <v>133</v>
      </c>
      <c r="R2588" t="s">
        <v>2174</v>
      </c>
      <c r="S2588" s="33">
        <v>0.2</v>
      </c>
      <c r="T2588" s="13">
        <v>156.512</v>
      </c>
      <c r="U2588" s="13">
        <v>-35.215200000000003</v>
      </c>
      <c r="V2588" s="21">
        <f>Table10[[#This Row],[Profit]]/Table10[[#This Row],[Sales]]</f>
        <v>-0.22500000000000001</v>
      </c>
    </row>
  </sheetData>
  <conditionalFormatting sqref="A2589:U1048576 A1:U1 W1:XFD1048576">
    <cfRule type="duplicateValues" dxfId="2" priority="1"/>
  </conditionalFormatting>
  <conditionalFormatting sqref="W1:XFD1">
    <cfRule type="duplicateValues" dxfId="1" priority="2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2AB6-793C-6A4D-8123-61A67348E912}">
  <dimension ref="A1:V3313"/>
  <sheetViews>
    <sheetView topLeftCell="F1" workbookViewId="0">
      <selection activeCell="P17" sqref="P17"/>
    </sheetView>
  </sheetViews>
  <sheetFormatPr baseColWidth="10" defaultRowHeight="16" x14ac:dyDescent="0.2"/>
  <cols>
    <col min="1" max="1" width="11.1640625" bestFit="1" customWidth="1"/>
    <col min="2" max="2" width="14.83203125" bestFit="1" customWidth="1"/>
    <col min="3" max="3" width="12.6640625" bestFit="1" customWidth="1"/>
    <col min="4" max="4" width="12.6640625" style="22" customWidth="1"/>
    <col min="5" max="5" width="16.6640625" bestFit="1" customWidth="1"/>
    <col min="6" max="6" width="108.83203125" bestFit="1" customWidth="1"/>
    <col min="7" max="7" width="13.1640625" style="23" bestFit="1" customWidth="1"/>
    <col min="8" max="8" width="14.83203125" style="23" bestFit="1" customWidth="1"/>
    <col min="9" max="9" width="14.1640625" bestFit="1" customWidth="1"/>
    <col min="10" max="10" width="11.1640625" bestFit="1" customWidth="1"/>
    <col min="11" max="11" width="10.6640625" style="22" bestFit="1" customWidth="1"/>
    <col min="12" max="12" width="11.5" style="1" bestFit="1" customWidth="1"/>
    <col min="13" max="13" width="11.5" style="22" customWidth="1"/>
    <col min="14" max="14" width="13.33203125" style="23" bestFit="1" customWidth="1"/>
    <col min="15" max="15" width="12" style="23" bestFit="1" customWidth="1"/>
    <col min="16" max="16" width="17.5" style="23" bestFit="1" customWidth="1"/>
    <col min="17" max="17" width="9.33203125" style="23" bestFit="1" customWidth="1"/>
    <col min="18" max="18" width="17.5" style="23" bestFit="1" customWidth="1"/>
    <col min="19" max="19" width="11.1640625" style="33" bestFit="1" customWidth="1"/>
    <col min="20" max="20" width="11.5" style="13" bestFit="1" customWidth="1"/>
    <col min="21" max="21" width="11.1640625" style="13" bestFit="1" customWidth="1"/>
    <col min="22" max="22" width="10.83203125" style="55"/>
    <col min="31" max="31" width="12.1640625" customWidth="1"/>
    <col min="32" max="32" width="11" customWidth="1"/>
    <col min="33" max="33" width="11.33203125" customWidth="1"/>
    <col min="36" max="36" width="11.83203125" customWidth="1"/>
    <col min="37" max="37" width="14.6640625" customWidth="1"/>
    <col min="38" max="38" width="15.33203125" customWidth="1"/>
    <col min="41" max="41" width="11" customWidth="1"/>
  </cols>
  <sheetData>
    <row r="1" spans="1:22" x14ac:dyDescent="0.2">
      <c r="A1" t="s">
        <v>0</v>
      </c>
      <c r="B1" t="s">
        <v>1</v>
      </c>
      <c r="C1" s="1" t="s">
        <v>2</v>
      </c>
      <c r="D1" s="22" t="s">
        <v>10169</v>
      </c>
      <c r="E1" t="s">
        <v>11</v>
      </c>
      <c r="F1" t="s">
        <v>14</v>
      </c>
      <c r="G1" s="23" t="s">
        <v>12</v>
      </c>
      <c r="H1" s="23" t="s">
        <v>13</v>
      </c>
      <c r="I1" t="s">
        <v>5</v>
      </c>
      <c r="J1" t="s">
        <v>6</v>
      </c>
      <c r="K1" s="22" t="s">
        <v>16</v>
      </c>
      <c r="L1" s="1" t="s">
        <v>3</v>
      </c>
      <c r="M1" s="22" t="s">
        <v>10153</v>
      </c>
      <c r="N1" s="23" t="s">
        <v>4</v>
      </c>
      <c r="O1" s="23" t="s">
        <v>7</v>
      </c>
      <c r="P1" s="23" t="s">
        <v>9</v>
      </c>
      <c r="Q1" s="23" t="s">
        <v>10</v>
      </c>
      <c r="R1" s="23" t="s">
        <v>8</v>
      </c>
      <c r="S1" s="33" t="s">
        <v>17</v>
      </c>
      <c r="T1" s="13" t="s">
        <v>15</v>
      </c>
      <c r="U1" s="13" t="s">
        <v>18</v>
      </c>
      <c r="V1" s="55" t="s">
        <v>10154</v>
      </c>
    </row>
    <row r="2" spans="1:22" x14ac:dyDescent="0.2">
      <c r="A2">
        <v>1</v>
      </c>
      <c r="B2" t="s">
        <v>2313</v>
      </c>
      <c r="C2" s="1">
        <v>42736</v>
      </c>
      <c r="D2" s="22">
        <f>MONTH(Table3[[#This Row],[Order Date]])</f>
        <v>1</v>
      </c>
      <c r="E2" t="s">
        <v>2316</v>
      </c>
      <c r="F2" t="s">
        <v>2317</v>
      </c>
      <c r="G2" s="23" t="s">
        <v>28</v>
      </c>
      <c r="H2" s="23" t="s">
        <v>58</v>
      </c>
      <c r="I2" t="s">
        <v>2314</v>
      </c>
      <c r="J2" t="s">
        <v>22</v>
      </c>
      <c r="K2" s="22">
        <v>4</v>
      </c>
      <c r="L2" s="1">
        <v>42741</v>
      </c>
      <c r="M2" s="22">
        <f>Table3[[#This Row],[Ship Date]]-Table3[[#This Row],[Order Date]]</f>
        <v>5</v>
      </c>
      <c r="N2" s="23" t="s">
        <v>45</v>
      </c>
      <c r="O2" s="23" t="s">
        <v>23</v>
      </c>
      <c r="P2" s="23" t="s">
        <v>441</v>
      </c>
      <c r="Q2" s="23" t="s">
        <v>133</v>
      </c>
      <c r="R2" s="23" t="s">
        <v>2315</v>
      </c>
      <c r="S2" s="33">
        <v>0.2</v>
      </c>
      <c r="T2" s="13">
        <v>48.896000000000001</v>
      </c>
      <c r="U2" s="13">
        <v>8.5568000000000008</v>
      </c>
      <c r="V2" s="55">
        <f>Table3[[#This Row],[Profit]]/Table3[[#This Row],[Sales]]</f>
        <v>0.17500000000000002</v>
      </c>
    </row>
    <row r="3" spans="1:22" x14ac:dyDescent="0.2">
      <c r="A3">
        <v>2</v>
      </c>
      <c r="B3" t="s">
        <v>6422</v>
      </c>
      <c r="C3" s="1">
        <v>42736</v>
      </c>
      <c r="D3" s="22">
        <f>MONTH(Table3[[#This Row],[Order Date]])</f>
        <v>1</v>
      </c>
      <c r="E3" t="s">
        <v>6423</v>
      </c>
      <c r="F3" t="s">
        <v>6424</v>
      </c>
      <c r="G3" s="23" t="s">
        <v>28</v>
      </c>
      <c r="H3" s="23" t="s">
        <v>58</v>
      </c>
      <c r="I3" t="s">
        <v>460</v>
      </c>
      <c r="J3" t="s">
        <v>22</v>
      </c>
      <c r="K3" s="22">
        <v>11</v>
      </c>
      <c r="L3" s="1">
        <v>42740</v>
      </c>
      <c r="M3" s="22">
        <f>Table3[[#This Row],[Ship Date]]-Table3[[#This Row],[Order Date]]</f>
        <v>4</v>
      </c>
      <c r="N3" s="23" t="s">
        <v>45</v>
      </c>
      <c r="O3" s="23" t="s">
        <v>23</v>
      </c>
      <c r="P3" s="23" t="s">
        <v>38</v>
      </c>
      <c r="Q3" s="23" t="s">
        <v>39</v>
      </c>
      <c r="R3" s="23" t="s">
        <v>37</v>
      </c>
      <c r="S3" s="33">
        <v>0</v>
      </c>
      <c r="T3" s="13">
        <v>474.43</v>
      </c>
      <c r="U3" s="13">
        <v>199.26060000000001</v>
      </c>
      <c r="V3" s="55">
        <f>Table3[[#This Row],[Profit]]/Table3[[#This Row],[Sales]]</f>
        <v>0.42000000000000004</v>
      </c>
    </row>
    <row r="4" spans="1:22" x14ac:dyDescent="0.2">
      <c r="A4">
        <v>3</v>
      </c>
      <c r="B4" t="s">
        <v>8255</v>
      </c>
      <c r="C4" s="1">
        <v>42736</v>
      </c>
      <c r="D4" s="22">
        <f>MONTH(Table3[[#This Row],[Order Date]])</f>
        <v>1</v>
      </c>
      <c r="E4" t="s">
        <v>2585</v>
      </c>
      <c r="F4" t="s">
        <v>2586</v>
      </c>
      <c r="G4" s="23" t="s">
        <v>41</v>
      </c>
      <c r="H4" s="23" t="s">
        <v>68</v>
      </c>
      <c r="I4" t="s">
        <v>3710</v>
      </c>
      <c r="J4" t="s">
        <v>92</v>
      </c>
      <c r="K4" s="22">
        <v>2</v>
      </c>
      <c r="L4" s="1">
        <v>42737</v>
      </c>
      <c r="M4" s="22">
        <f>Table3[[#This Row],[Ship Date]]-Table3[[#This Row],[Order Date]]</f>
        <v>1</v>
      </c>
      <c r="N4" s="23" t="s">
        <v>169</v>
      </c>
      <c r="O4" s="23" t="s">
        <v>23</v>
      </c>
      <c r="P4" s="23" t="s">
        <v>103</v>
      </c>
      <c r="Q4" s="23" t="s">
        <v>95</v>
      </c>
      <c r="R4" s="23" t="s">
        <v>541</v>
      </c>
      <c r="S4" s="33">
        <v>0</v>
      </c>
      <c r="T4" s="13">
        <v>3.6</v>
      </c>
      <c r="U4" s="13">
        <v>1.728</v>
      </c>
      <c r="V4" s="55">
        <f>Table3[[#This Row],[Profit]]/Table3[[#This Row],[Sales]]</f>
        <v>0.48</v>
      </c>
    </row>
    <row r="5" spans="1:22" x14ac:dyDescent="0.2">
      <c r="A5">
        <v>4</v>
      </c>
      <c r="B5" t="s">
        <v>9032</v>
      </c>
      <c r="C5" s="1">
        <v>42736</v>
      </c>
      <c r="D5" s="22">
        <f>MONTH(Table3[[#This Row],[Order Date]])</f>
        <v>1</v>
      </c>
      <c r="E5" t="s">
        <v>1443</v>
      </c>
      <c r="F5" t="s">
        <v>1444</v>
      </c>
      <c r="G5" s="23" t="s">
        <v>41</v>
      </c>
      <c r="H5" s="23" t="s">
        <v>53</v>
      </c>
      <c r="I5" t="s">
        <v>413</v>
      </c>
      <c r="J5" t="s">
        <v>22</v>
      </c>
      <c r="K5" s="22">
        <v>5</v>
      </c>
      <c r="L5" s="1">
        <v>42740</v>
      </c>
      <c r="M5" s="22">
        <f>Table3[[#This Row],[Ship Date]]-Table3[[#This Row],[Order Date]]</f>
        <v>4</v>
      </c>
      <c r="N5" s="23" t="s">
        <v>45</v>
      </c>
      <c r="O5" s="23" t="s">
        <v>23</v>
      </c>
      <c r="P5" s="23" t="s">
        <v>94</v>
      </c>
      <c r="Q5" s="23" t="s">
        <v>95</v>
      </c>
      <c r="R5" s="23" t="s">
        <v>1488</v>
      </c>
      <c r="S5" s="33">
        <v>0.2</v>
      </c>
      <c r="T5" s="13">
        <v>454.56</v>
      </c>
      <c r="U5" s="13">
        <v>-107.958</v>
      </c>
      <c r="V5" s="55">
        <f>Table3[[#This Row],[Profit]]/Table3[[#This Row],[Sales]]</f>
        <v>-0.23749999999999999</v>
      </c>
    </row>
    <row r="6" spans="1:22" x14ac:dyDescent="0.2">
      <c r="A6">
        <v>5</v>
      </c>
      <c r="B6" t="s">
        <v>9032</v>
      </c>
      <c r="C6" s="1">
        <v>42736</v>
      </c>
      <c r="D6" s="22">
        <f>MONTH(Table3[[#This Row],[Order Date]])</f>
        <v>1</v>
      </c>
      <c r="E6" t="s">
        <v>5452</v>
      </c>
      <c r="F6" t="s">
        <v>5453</v>
      </c>
      <c r="G6" s="23" t="s">
        <v>28</v>
      </c>
      <c r="H6" s="23" t="s">
        <v>58</v>
      </c>
      <c r="I6" t="s">
        <v>413</v>
      </c>
      <c r="J6" t="s">
        <v>22</v>
      </c>
      <c r="K6" s="22">
        <v>5</v>
      </c>
      <c r="L6" s="1">
        <v>42740</v>
      </c>
      <c r="M6" s="22">
        <f>Table3[[#This Row],[Ship Date]]-Table3[[#This Row],[Order Date]]</f>
        <v>4</v>
      </c>
      <c r="N6" s="23" t="s">
        <v>45</v>
      </c>
      <c r="O6" s="23" t="s">
        <v>23</v>
      </c>
      <c r="P6" s="23" t="s">
        <v>94</v>
      </c>
      <c r="Q6" s="23" t="s">
        <v>95</v>
      </c>
      <c r="R6" s="23" t="s">
        <v>1488</v>
      </c>
      <c r="S6" s="33">
        <v>0.6</v>
      </c>
      <c r="T6" s="13">
        <v>141.41999999999999</v>
      </c>
      <c r="U6" s="13">
        <v>-187.38149999999999</v>
      </c>
      <c r="V6" s="55">
        <f>Table3[[#This Row],[Profit]]/Table3[[#This Row],[Sales]]</f>
        <v>-1.325</v>
      </c>
    </row>
    <row r="7" spans="1:22" x14ac:dyDescent="0.2">
      <c r="A7">
        <v>6</v>
      </c>
      <c r="B7" t="s">
        <v>9032</v>
      </c>
      <c r="C7" s="1">
        <v>42736</v>
      </c>
      <c r="D7" s="22">
        <f>MONTH(Table3[[#This Row],[Order Date]])</f>
        <v>1</v>
      </c>
      <c r="E7" t="s">
        <v>2184</v>
      </c>
      <c r="F7" t="s">
        <v>2185</v>
      </c>
      <c r="G7" s="23" t="s">
        <v>28</v>
      </c>
      <c r="H7" s="23" t="s">
        <v>32</v>
      </c>
      <c r="I7" t="s">
        <v>413</v>
      </c>
      <c r="J7" t="s">
        <v>22</v>
      </c>
      <c r="K7" s="22">
        <v>4</v>
      </c>
      <c r="L7" s="1">
        <v>42740</v>
      </c>
      <c r="M7" s="22">
        <f>Table3[[#This Row],[Ship Date]]-Table3[[#This Row],[Order Date]]</f>
        <v>4</v>
      </c>
      <c r="N7" s="23" t="s">
        <v>45</v>
      </c>
      <c r="O7" s="23" t="s">
        <v>23</v>
      </c>
      <c r="P7" s="23" t="s">
        <v>94</v>
      </c>
      <c r="Q7" s="23" t="s">
        <v>95</v>
      </c>
      <c r="R7" s="23" t="s">
        <v>1488</v>
      </c>
      <c r="S7" s="33">
        <v>0.3</v>
      </c>
      <c r="T7" s="13">
        <v>310.74400000000003</v>
      </c>
      <c r="U7" s="13">
        <v>-26.635200000000001</v>
      </c>
      <c r="V7" s="55">
        <f>Table3[[#This Row],[Profit]]/Table3[[#This Row],[Sales]]</f>
        <v>-8.5714285714285715E-2</v>
      </c>
    </row>
    <row r="8" spans="1:22" x14ac:dyDescent="0.2">
      <c r="A8">
        <v>7</v>
      </c>
      <c r="B8" t="s">
        <v>9032</v>
      </c>
      <c r="C8" s="1">
        <v>42736</v>
      </c>
      <c r="D8" s="22">
        <f>MONTH(Table3[[#This Row],[Order Date]])</f>
        <v>1</v>
      </c>
      <c r="E8" t="s">
        <v>2416</v>
      </c>
      <c r="F8" t="s">
        <v>2417</v>
      </c>
      <c r="G8" s="23" t="s">
        <v>41</v>
      </c>
      <c r="H8" s="23" t="s">
        <v>61</v>
      </c>
      <c r="I8" t="s">
        <v>413</v>
      </c>
      <c r="J8" t="s">
        <v>22</v>
      </c>
      <c r="K8" s="22">
        <v>4</v>
      </c>
      <c r="L8" s="1">
        <v>42740</v>
      </c>
      <c r="M8" s="22">
        <f>Table3[[#This Row],[Ship Date]]-Table3[[#This Row],[Order Date]]</f>
        <v>4</v>
      </c>
      <c r="N8" s="23" t="s">
        <v>45</v>
      </c>
      <c r="O8" s="23" t="s">
        <v>23</v>
      </c>
      <c r="P8" s="23" t="s">
        <v>94</v>
      </c>
      <c r="Q8" s="23" t="s">
        <v>95</v>
      </c>
      <c r="R8" s="23" t="s">
        <v>1488</v>
      </c>
      <c r="S8" s="33">
        <v>0.2</v>
      </c>
      <c r="T8" s="13">
        <v>12.736000000000001</v>
      </c>
      <c r="U8" s="13">
        <v>2.2288000000000001</v>
      </c>
      <c r="V8" s="55">
        <f>Table3[[#This Row],[Profit]]/Table3[[#This Row],[Sales]]</f>
        <v>0.17499999999999999</v>
      </c>
    </row>
    <row r="9" spans="1:22" x14ac:dyDescent="0.2">
      <c r="A9">
        <v>8</v>
      </c>
      <c r="B9" t="s">
        <v>9032</v>
      </c>
      <c r="C9" s="1">
        <v>42736</v>
      </c>
      <c r="D9" s="22">
        <f>MONTH(Table3[[#This Row],[Order Date]])</f>
        <v>1</v>
      </c>
      <c r="E9" t="s">
        <v>2149</v>
      </c>
      <c r="F9" t="s">
        <v>2150</v>
      </c>
      <c r="G9" s="23" t="s">
        <v>41</v>
      </c>
      <c r="H9" s="23" t="s">
        <v>68</v>
      </c>
      <c r="I9" t="s">
        <v>413</v>
      </c>
      <c r="J9" t="s">
        <v>22</v>
      </c>
      <c r="K9" s="22">
        <v>5</v>
      </c>
      <c r="L9" s="1">
        <v>42740</v>
      </c>
      <c r="M9" s="22">
        <f>Table3[[#This Row],[Ship Date]]-Table3[[#This Row],[Order Date]]</f>
        <v>4</v>
      </c>
      <c r="N9" s="23" t="s">
        <v>45</v>
      </c>
      <c r="O9" s="23" t="s">
        <v>23</v>
      </c>
      <c r="P9" s="23" t="s">
        <v>94</v>
      </c>
      <c r="Q9" s="23" t="s">
        <v>95</v>
      </c>
      <c r="R9" s="23" t="s">
        <v>1488</v>
      </c>
      <c r="S9" s="33">
        <v>0.8</v>
      </c>
      <c r="T9" s="13">
        <v>6.47</v>
      </c>
      <c r="U9" s="13">
        <v>-9.7050000000000001</v>
      </c>
      <c r="V9" s="55">
        <f>Table3[[#This Row],[Profit]]/Table3[[#This Row],[Sales]]</f>
        <v>-1.5</v>
      </c>
    </row>
    <row r="10" spans="1:22" x14ac:dyDescent="0.2">
      <c r="A10">
        <v>9</v>
      </c>
      <c r="B10" t="s">
        <v>9032</v>
      </c>
      <c r="C10" s="1">
        <v>42736</v>
      </c>
      <c r="D10" s="22">
        <f>MONTH(Table3[[#This Row],[Order Date]])</f>
        <v>1</v>
      </c>
      <c r="E10" t="s">
        <v>700</v>
      </c>
      <c r="F10" t="s">
        <v>701</v>
      </c>
      <c r="G10" s="23" t="s">
        <v>41</v>
      </c>
      <c r="H10" s="23" t="s">
        <v>68</v>
      </c>
      <c r="I10" t="s">
        <v>413</v>
      </c>
      <c r="J10" t="s">
        <v>22</v>
      </c>
      <c r="K10" s="22">
        <v>14</v>
      </c>
      <c r="L10" s="1">
        <v>42740</v>
      </c>
      <c r="M10" s="22">
        <f>Table3[[#This Row],[Ship Date]]-Table3[[#This Row],[Order Date]]</f>
        <v>4</v>
      </c>
      <c r="N10" s="23" t="s">
        <v>45</v>
      </c>
      <c r="O10" s="23" t="s">
        <v>23</v>
      </c>
      <c r="P10" s="23" t="s">
        <v>94</v>
      </c>
      <c r="Q10" s="23" t="s">
        <v>95</v>
      </c>
      <c r="R10" s="23" t="s">
        <v>1488</v>
      </c>
      <c r="S10" s="33">
        <v>0.8</v>
      </c>
      <c r="T10" s="13">
        <v>13.747999999999999</v>
      </c>
      <c r="U10" s="13">
        <v>-22.684200000000001</v>
      </c>
      <c r="V10" s="55">
        <f>Table3[[#This Row],[Profit]]/Table3[[#This Row],[Sales]]</f>
        <v>-1.6500000000000001</v>
      </c>
    </row>
    <row r="11" spans="1:22" x14ac:dyDescent="0.2">
      <c r="A11">
        <v>10</v>
      </c>
      <c r="B11" t="s">
        <v>9032</v>
      </c>
      <c r="C11" s="1">
        <v>42736</v>
      </c>
      <c r="D11" s="22">
        <f>MONTH(Table3[[#This Row],[Order Date]])</f>
        <v>1</v>
      </c>
      <c r="E11" t="s">
        <v>1758</v>
      </c>
      <c r="F11" t="s">
        <v>1759</v>
      </c>
      <c r="G11" s="23" t="s">
        <v>41</v>
      </c>
      <c r="H11" s="23" t="s">
        <v>71</v>
      </c>
      <c r="I11" t="s">
        <v>413</v>
      </c>
      <c r="J11" t="s">
        <v>22</v>
      </c>
      <c r="K11" s="22">
        <v>2</v>
      </c>
      <c r="L11" s="1">
        <v>42740</v>
      </c>
      <c r="M11" s="22">
        <f>Table3[[#This Row],[Ship Date]]-Table3[[#This Row],[Order Date]]</f>
        <v>4</v>
      </c>
      <c r="N11" s="23" t="s">
        <v>45</v>
      </c>
      <c r="O11" s="23" t="s">
        <v>23</v>
      </c>
      <c r="P11" s="23" t="s">
        <v>94</v>
      </c>
      <c r="Q11" s="23" t="s">
        <v>95</v>
      </c>
      <c r="R11" s="23" t="s">
        <v>1488</v>
      </c>
      <c r="S11" s="33">
        <v>0.8</v>
      </c>
      <c r="T11" s="13">
        <v>15.224</v>
      </c>
      <c r="U11" s="13">
        <v>-38.821199999999997</v>
      </c>
      <c r="V11" s="55">
        <f>Table3[[#This Row],[Profit]]/Table3[[#This Row],[Sales]]</f>
        <v>-2.5499999999999998</v>
      </c>
    </row>
    <row r="12" spans="1:22" x14ac:dyDescent="0.2">
      <c r="A12">
        <v>11</v>
      </c>
      <c r="B12" t="s">
        <v>3266</v>
      </c>
      <c r="C12" s="1">
        <v>42737</v>
      </c>
      <c r="D12" s="22">
        <f>MONTH(Table3[[#This Row],[Order Date]])</f>
        <v>1</v>
      </c>
      <c r="E12" t="s">
        <v>3268</v>
      </c>
      <c r="F12" t="s">
        <v>3269</v>
      </c>
      <c r="G12" s="23" t="s">
        <v>64</v>
      </c>
      <c r="H12" s="23" t="s">
        <v>602</v>
      </c>
      <c r="I12" t="s">
        <v>3267</v>
      </c>
      <c r="J12" t="s">
        <v>36</v>
      </c>
      <c r="K12" s="22">
        <v>2</v>
      </c>
      <c r="L12" s="1">
        <v>42739</v>
      </c>
      <c r="M12" s="22">
        <f>Table3[[#This Row],[Ship Date]]-Table3[[#This Row],[Order Date]]</f>
        <v>2</v>
      </c>
      <c r="N12" s="23" t="s">
        <v>169</v>
      </c>
      <c r="O12" s="23" t="s">
        <v>23</v>
      </c>
      <c r="P12" s="23" t="s">
        <v>80</v>
      </c>
      <c r="Q12" s="23" t="s">
        <v>26</v>
      </c>
      <c r="R12" s="23" t="s">
        <v>1345</v>
      </c>
      <c r="S12" s="33">
        <v>0.5</v>
      </c>
      <c r="T12" s="13">
        <v>695.7</v>
      </c>
      <c r="U12" s="13">
        <v>-27.827999999999999</v>
      </c>
      <c r="V12" s="55">
        <f>Table3[[#This Row],[Profit]]/Table3[[#This Row],[Sales]]</f>
        <v>-3.9999999999999994E-2</v>
      </c>
    </row>
    <row r="13" spans="1:22" x14ac:dyDescent="0.2">
      <c r="A13">
        <v>12</v>
      </c>
      <c r="B13" t="s">
        <v>3266</v>
      </c>
      <c r="C13" s="1">
        <v>42737</v>
      </c>
      <c r="D13" s="22">
        <f>MONTH(Table3[[#This Row],[Order Date]])</f>
        <v>1</v>
      </c>
      <c r="E13" t="s">
        <v>2970</v>
      </c>
      <c r="F13" t="s">
        <v>2971</v>
      </c>
      <c r="G13" s="23" t="s">
        <v>41</v>
      </c>
      <c r="H13" s="23" t="s">
        <v>68</v>
      </c>
      <c r="I13" t="s">
        <v>3267</v>
      </c>
      <c r="J13" t="s">
        <v>36</v>
      </c>
      <c r="K13" s="22">
        <v>5</v>
      </c>
      <c r="L13" s="1">
        <v>42739</v>
      </c>
      <c r="M13" s="22">
        <f>Table3[[#This Row],[Ship Date]]-Table3[[#This Row],[Order Date]]</f>
        <v>2</v>
      </c>
      <c r="N13" s="23" t="s">
        <v>169</v>
      </c>
      <c r="O13" s="23" t="s">
        <v>23</v>
      </c>
      <c r="P13" s="23" t="s">
        <v>80</v>
      </c>
      <c r="Q13" s="23" t="s">
        <v>26</v>
      </c>
      <c r="R13" s="23" t="s">
        <v>1345</v>
      </c>
      <c r="S13" s="33">
        <v>0.7</v>
      </c>
      <c r="T13" s="13">
        <v>15.66</v>
      </c>
      <c r="U13" s="13">
        <v>-12.528</v>
      </c>
      <c r="V13" s="55">
        <f>Table3[[#This Row],[Profit]]/Table3[[#This Row],[Sales]]</f>
        <v>-0.8</v>
      </c>
    </row>
    <row r="14" spans="1:22" x14ac:dyDescent="0.2">
      <c r="A14">
        <v>13</v>
      </c>
      <c r="B14" t="s">
        <v>3266</v>
      </c>
      <c r="C14" s="1">
        <v>42737</v>
      </c>
      <c r="D14" s="22">
        <f>MONTH(Table3[[#This Row],[Order Date]])</f>
        <v>1</v>
      </c>
      <c r="E14" t="s">
        <v>150</v>
      </c>
      <c r="F14" t="s">
        <v>151</v>
      </c>
      <c r="G14" s="23" t="s">
        <v>41</v>
      </c>
      <c r="H14" s="23" t="s">
        <v>68</v>
      </c>
      <c r="I14" t="s">
        <v>3267</v>
      </c>
      <c r="J14" t="s">
        <v>36</v>
      </c>
      <c r="K14" s="22">
        <v>6</v>
      </c>
      <c r="L14" s="1">
        <v>42739</v>
      </c>
      <c r="M14" s="22">
        <f>Table3[[#This Row],[Ship Date]]-Table3[[#This Row],[Order Date]]</f>
        <v>2</v>
      </c>
      <c r="N14" s="23" t="s">
        <v>169</v>
      </c>
      <c r="O14" s="23" t="s">
        <v>23</v>
      </c>
      <c r="P14" s="23" t="s">
        <v>80</v>
      </c>
      <c r="Q14" s="23" t="s">
        <v>26</v>
      </c>
      <c r="R14" s="23" t="s">
        <v>1345</v>
      </c>
      <c r="S14" s="33">
        <v>0.7</v>
      </c>
      <c r="T14" s="13">
        <v>28.853999999999999</v>
      </c>
      <c r="U14" s="13">
        <v>-21.159600000000001</v>
      </c>
      <c r="V14" s="55">
        <f>Table3[[#This Row],[Profit]]/Table3[[#This Row],[Sales]]</f>
        <v>-0.73333333333333339</v>
      </c>
    </row>
    <row r="15" spans="1:22" x14ac:dyDescent="0.2">
      <c r="A15">
        <v>14</v>
      </c>
      <c r="B15" t="s">
        <v>9196</v>
      </c>
      <c r="C15" s="1">
        <v>42737</v>
      </c>
      <c r="D15" s="22">
        <f>MONTH(Table3[[#This Row],[Order Date]])</f>
        <v>1</v>
      </c>
      <c r="E15" t="s">
        <v>3644</v>
      </c>
      <c r="F15" t="s">
        <v>3645</v>
      </c>
      <c r="G15" s="23" t="s">
        <v>41</v>
      </c>
      <c r="H15" s="23" t="s">
        <v>61</v>
      </c>
      <c r="I15" t="s">
        <v>7882</v>
      </c>
      <c r="J15" t="s">
        <v>22</v>
      </c>
      <c r="K15" s="22">
        <v>2</v>
      </c>
      <c r="L15" s="1">
        <v>42739</v>
      </c>
      <c r="M15" s="22">
        <f>Table3[[#This Row],[Ship Date]]-Table3[[#This Row],[Order Date]]</f>
        <v>2</v>
      </c>
      <c r="N15" s="23" t="s">
        <v>20</v>
      </c>
      <c r="O15" s="23" t="s">
        <v>23</v>
      </c>
      <c r="P15" s="23" t="s">
        <v>94</v>
      </c>
      <c r="Q15" s="23" t="s">
        <v>95</v>
      </c>
      <c r="R15" s="23" t="s">
        <v>3679</v>
      </c>
      <c r="S15" s="33">
        <v>0.2</v>
      </c>
      <c r="T15" s="13">
        <v>31.744</v>
      </c>
      <c r="U15" s="13">
        <v>3.968</v>
      </c>
      <c r="V15" s="55">
        <f>Table3[[#This Row],[Profit]]/Table3[[#This Row],[Sales]]</f>
        <v>0.125</v>
      </c>
    </row>
    <row r="16" spans="1:22" x14ac:dyDescent="0.2">
      <c r="A16">
        <v>15</v>
      </c>
      <c r="B16" t="s">
        <v>9196</v>
      </c>
      <c r="C16" s="1">
        <v>42737</v>
      </c>
      <c r="D16" s="22">
        <f>MONTH(Table3[[#This Row],[Order Date]])</f>
        <v>1</v>
      </c>
      <c r="E16" t="s">
        <v>8842</v>
      </c>
      <c r="F16" t="s">
        <v>8843</v>
      </c>
      <c r="G16" s="23" t="s">
        <v>41</v>
      </c>
      <c r="H16" s="23" t="s">
        <v>71</v>
      </c>
      <c r="I16" t="s">
        <v>7882</v>
      </c>
      <c r="J16" t="s">
        <v>22</v>
      </c>
      <c r="K16" s="22">
        <v>2</v>
      </c>
      <c r="L16" s="1">
        <v>42739</v>
      </c>
      <c r="M16" s="22">
        <f>Table3[[#This Row],[Ship Date]]-Table3[[#This Row],[Order Date]]</f>
        <v>2</v>
      </c>
      <c r="N16" s="23" t="s">
        <v>20</v>
      </c>
      <c r="O16" s="23" t="s">
        <v>23</v>
      </c>
      <c r="P16" s="23" t="s">
        <v>94</v>
      </c>
      <c r="Q16" s="23" t="s">
        <v>95</v>
      </c>
      <c r="R16" s="23" t="s">
        <v>3679</v>
      </c>
      <c r="S16" s="33">
        <v>0.8</v>
      </c>
      <c r="T16" s="13">
        <v>5.4320000000000004</v>
      </c>
      <c r="U16" s="13">
        <v>-13.58</v>
      </c>
      <c r="V16" s="55">
        <f>Table3[[#This Row],[Profit]]/Table3[[#This Row],[Sales]]</f>
        <v>-2.5</v>
      </c>
    </row>
    <row r="17" spans="1:22" x14ac:dyDescent="0.2">
      <c r="A17">
        <v>16</v>
      </c>
      <c r="B17" t="s">
        <v>9196</v>
      </c>
      <c r="C17" s="1">
        <v>42737</v>
      </c>
      <c r="D17" s="22">
        <f>MONTH(Table3[[#This Row],[Order Date]])</f>
        <v>1</v>
      </c>
      <c r="E17" t="s">
        <v>3356</v>
      </c>
      <c r="F17" t="s">
        <v>3357</v>
      </c>
      <c r="G17" s="23" t="s">
        <v>28</v>
      </c>
      <c r="H17" s="23" t="s">
        <v>50</v>
      </c>
      <c r="I17" t="s">
        <v>7882</v>
      </c>
      <c r="J17" t="s">
        <v>22</v>
      </c>
      <c r="K17" s="22">
        <v>5</v>
      </c>
      <c r="L17" s="1">
        <v>42739</v>
      </c>
      <c r="M17" s="22">
        <f>Table3[[#This Row],[Ship Date]]-Table3[[#This Row],[Order Date]]</f>
        <v>2</v>
      </c>
      <c r="N17" s="23" t="s">
        <v>20</v>
      </c>
      <c r="O17" s="23" t="s">
        <v>23</v>
      </c>
      <c r="P17" s="23" t="s">
        <v>94</v>
      </c>
      <c r="Q17" s="23" t="s">
        <v>95</v>
      </c>
      <c r="R17" s="23" t="s">
        <v>3679</v>
      </c>
      <c r="S17" s="33">
        <v>0.3</v>
      </c>
      <c r="T17" s="13">
        <v>913.43</v>
      </c>
      <c r="U17" s="13">
        <v>-169.637</v>
      </c>
      <c r="V17" s="55">
        <f>Table3[[#This Row],[Profit]]/Table3[[#This Row],[Sales]]</f>
        <v>-0.18571428571428572</v>
      </c>
    </row>
    <row r="18" spans="1:22" x14ac:dyDescent="0.2">
      <c r="A18">
        <v>17</v>
      </c>
      <c r="B18" t="s">
        <v>9196</v>
      </c>
      <c r="C18" s="1">
        <v>42737</v>
      </c>
      <c r="D18" s="22">
        <f>MONTH(Table3[[#This Row],[Order Date]])</f>
        <v>1</v>
      </c>
      <c r="E18" t="s">
        <v>5430</v>
      </c>
      <c r="F18" t="s">
        <v>5431</v>
      </c>
      <c r="G18" s="23" t="s">
        <v>41</v>
      </c>
      <c r="H18" s="23" t="s">
        <v>53</v>
      </c>
      <c r="I18" t="s">
        <v>7882</v>
      </c>
      <c r="J18" t="s">
        <v>22</v>
      </c>
      <c r="K18" s="22">
        <v>3</v>
      </c>
      <c r="L18" s="1">
        <v>42739</v>
      </c>
      <c r="M18" s="22">
        <f>Table3[[#This Row],[Ship Date]]-Table3[[#This Row],[Order Date]]</f>
        <v>2</v>
      </c>
      <c r="N18" s="23" t="s">
        <v>20</v>
      </c>
      <c r="O18" s="23" t="s">
        <v>23</v>
      </c>
      <c r="P18" s="23" t="s">
        <v>94</v>
      </c>
      <c r="Q18" s="23" t="s">
        <v>95</v>
      </c>
      <c r="R18" s="23" t="s">
        <v>3679</v>
      </c>
      <c r="S18" s="33">
        <v>0.2</v>
      </c>
      <c r="T18" s="13">
        <v>372.14400000000001</v>
      </c>
      <c r="U18" s="13">
        <v>27.910799999999998</v>
      </c>
      <c r="V18" s="55">
        <f>Table3[[#This Row],[Profit]]/Table3[[#This Row],[Sales]]</f>
        <v>7.4999999999999997E-2</v>
      </c>
    </row>
    <row r="19" spans="1:22" x14ac:dyDescent="0.2">
      <c r="A19">
        <v>18</v>
      </c>
      <c r="B19" t="s">
        <v>9989</v>
      </c>
      <c r="C19" s="1">
        <v>42737</v>
      </c>
      <c r="D19" s="22">
        <f>MONTH(Table3[[#This Row],[Order Date]])</f>
        <v>1</v>
      </c>
      <c r="E19" t="s">
        <v>4926</v>
      </c>
      <c r="F19" t="s">
        <v>4927</v>
      </c>
      <c r="G19" s="23" t="s">
        <v>64</v>
      </c>
      <c r="H19" s="23" t="s">
        <v>144</v>
      </c>
      <c r="I19" t="s">
        <v>8805</v>
      </c>
      <c r="J19" t="s">
        <v>36</v>
      </c>
      <c r="K19" s="22">
        <v>1</v>
      </c>
      <c r="L19" s="1">
        <v>42739</v>
      </c>
      <c r="M19" s="22">
        <f>Table3[[#This Row],[Ship Date]]-Table3[[#This Row],[Order Date]]</f>
        <v>2</v>
      </c>
      <c r="N19" s="23" t="s">
        <v>20</v>
      </c>
      <c r="O19" s="23" t="s">
        <v>23</v>
      </c>
      <c r="P19" s="23" t="s">
        <v>38</v>
      </c>
      <c r="Q19" s="23" t="s">
        <v>39</v>
      </c>
      <c r="R19" s="23" t="s">
        <v>37</v>
      </c>
      <c r="S19" s="33">
        <v>0</v>
      </c>
      <c r="T19" s="13">
        <v>16.59</v>
      </c>
      <c r="U19" s="13">
        <v>5.8064999999999998</v>
      </c>
      <c r="V19" s="55">
        <f>Table3[[#This Row],[Profit]]/Table3[[#This Row],[Sales]]</f>
        <v>0.35</v>
      </c>
    </row>
    <row r="20" spans="1:22" x14ac:dyDescent="0.2">
      <c r="A20">
        <v>19</v>
      </c>
      <c r="B20" t="s">
        <v>7346</v>
      </c>
      <c r="C20" s="1">
        <v>42738</v>
      </c>
      <c r="D20" s="22">
        <f>MONTH(Table3[[#This Row],[Order Date]])</f>
        <v>1</v>
      </c>
      <c r="E20" t="s">
        <v>2861</v>
      </c>
      <c r="F20" t="s">
        <v>2862</v>
      </c>
      <c r="G20" s="23" t="s">
        <v>41</v>
      </c>
      <c r="H20" s="23" t="s">
        <v>82</v>
      </c>
      <c r="I20" t="s">
        <v>840</v>
      </c>
      <c r="J20" t="s">
        <v>22</v>
      </c>
      <c r="K20" s="22">
        <v>6</v>
      </c>
      <c r="L20" s="1">
        <v>42743</v>
      </c>
      <c r="M20" s="22">
        <f>Table3[[#This Row],[Ship Date]]-Table3[[#This Row],[Order Date]]</f>
        <v>5</v>
      </c>
      <c r="N20" s="23" t="s">
        <v>45</v>
      </c>
      <c r="O20" s="23" t="s">
        <v>23</v>
      </c>
      <c r="P20" s="23" t="s">
        <v>38</v>
      </c>
      <c r="Q20" s="23" t="s">
        <v>39</v>
      </c>
      <c r="R20" s="23" t="s">
        <v>4417</v>
      </c>
      <c r="S20" s="33">
        <v>0</v>
      </c>
      <c r="T20" s="13">
        <v>38.880000000000003</v>
      </c>
      <c r="U20" s="13">
        <v>18.662400000000002</v>
      </c>
      <c r="V20" s="55">
        <f>Table3[[#This Row],[Profit]]/Table3[[#This Row],[Sales]]</f>
        <v>0.48000000000000004</v>
      </c>
    </row>
    <row r="21" spans="1:22" x14ac:dyDescent="0.2">
      <c r="A21">
        <v>20</v>
      </c>
      <c r="B21" t="s">
        <v>9872</v>
      </c>
      <c r="C21" s="1">
        <v>42738</v>
      </c>
      <c r="D21" s="22">
        <f>MONTH(Table3[[#This Row],[Order Date]])</f>
        <v>1</v>
      </c>
      <c r="E21" t="s">
        <v>1336</v>
      </c>
      <c r="F21" t="s">
        <v>1337</v>
      </c>
      <c r="G21" s="23" t="s">
        <v>41</v>
      </c>
      <c r="H21" s="23" t="s">
        <v>68</v>
      </c>
      <c r="I21" t="s">
        <v>1536</v>
      </c>
      <c r="J21" t="s">
        <v>22</v>
      </c>
      <c r="K21" s="22">
        <v>8</v>
      </c>
      <c r="L21" s="1">
        <v>42742</v>
      </c>
      <c r="M21" s="22">
        <f>Table3[[#This Row],[Ship Date]]-Table3[[#This Row],[Order Date]]</f>
        <v>4</v>
      </c>
      <c r="N21" s="23" t="s">
        <v>45</v>
      </c>
      <c r="O21" s="23" t="s">
        <v>23</v>
      </c>
      <c r="P21" s="23" t="s">
        <v>38</v>
      </c>
      <c r="Q21" s="23" t="s">
        <v>39</v>
      </c>
      <c r="R21" s="23" t="s">
        <v>114</v>
      </c>
      <c r="S21" s="33">
        <v>0.2</v>
      </c>
      <c r="T21" s="13">
        <v>2022.2719999999999</v>
      </c>
      <c r="U21" s="13">
        <v>682.51679999999999</v>
      </c>
      <c r="V21" s="55">
        <f>Table3[[#This Row],[Profit]]/Table3[[#This Row],[Sales]]</f>
        <v>0.33750000000000002</v>
      </c>
    </row>
    <row r="22" spans="1:22" x14ac:dyDescent="0.2">
      <c r="A22">
        <v>21</v>
      </c>
      <c r="B22" t="s">
        <v>9872</v>
      </c>
      <c r="C22" s="1">
        <v>42738</v>
      </c>
      <c r="D22" s="22">
        <f>MONTH(Table3[[#This Row],[Order Date]])</f>
        <v>1</v>
      </c>
      <c r="E22" t="s">
        <v>4619</v>
      </c>
      <c r="F22" t="s">
        <v>4620</v>
      </c>
      <c r="G22" s="23" t="s">
        <v>41</v>
      </c>
      <c r="H22" s="23" t="s">
        <v>61</v>
      </c>
      <c r="I22" t="s">
        <v>1536</v>
      </c>
      <c r="J22" t="s">
        <v>22</v>
      </c>
      <c r="K22" s="22">
        <v>3</v>
      </c>
      <c r="L22" s="1">
        <v>42742</v>
      </c>
      <c r="M22" s="22">
        <f>Table3[[#This Row],[Ship Date]]-Table3[[#This Row],[Order Date]]</f>
        <v>4</v>
      </c>
      <c r="N22" s="23" t="s">
        <v>45</v>
      </c>
      <c r="O22" s="23" t="s">
        <v>23</v>
      </c>
      <c r="P22" s="23" t="s">
        <v>38</v>
      </c>
      <c r="Q22" s="23" t="s">
        <v>39</v>
      </c>
      <c r="R22" s="23" t="s">
        <v>114</v>
      </c>
      <c r="S22" s="33">
        <v>0</v>
      </c>
      <c r="T22" s="13">
        <v>9.1199999999999992</v>
      </c>
      <c r="U22" s="13">
        <v>3.1008</v>
      </c>
      <c r="V22" s="55">
        <f>Table3[[#This Row],[Profit]]/Table3[[#This Row],[Sales]]</f>
        <v>0.34</v>
      </c>
    </row>
    <row r="23" spans="1:22" x14ac:dyDescent="0.2">
      <c r="A23">
        <v>22</v>
      </c>
      <c r="B23" t="s">
        <v>7130</v>
      </c>
      <c r="C23" s="1">
        <v>42741</v>
      </c>
      <c r="D23" s="22">
        <f>MONTH(Table3[[#This Row],[Order Date]])</f>
        <v>1</v>
      </c>
      <c r="E23" t="s">
        <v>1857</v>
      </c>
      <c r="F23" t="s">
        <v>1858</v>
      </c>
      <c r="G23" s="23" t="s">
        <v>41</v>
      </c>
      <c r="H23" s="23" t="s">
        <v>68</v>
      </c>
      <c r="I23" t="s">
        <v>3710</v>
      </c>
      <c r="J23" t="s">
        <v>92</v>
      </c>
      <c r="K23" s="22">
        <v>7</v>
      </c>
      <c r="L23" s="1">
        <v>42748</v>
      </c>
      <c r="M23" s="22">
        <f>Table3[[#This Row],[Ship Date]]-Table3[[#This Row],[Order Date]]</f>
        <v>7</v>
      </c>
      <c r="N23" s="23" t="s">
        <v>45</v>
      </c>
      <c r="O23" s="23" t="s">
        <v>23</v>
      </c>
      <c r="P23" s="23" t="s">
        <v>320</v>
      </c>
      <c r="Q23" s="23" t="s">
        <v>26</v>
      </c>
      <c r="R23" s="23" t="s">
        <v>7131</v>
      </c>
      <c r="S23" s="33">
        <v>0</v>
      </c>
      <c r="T23" s="13">
        <v>33.74</v>
      </c>
      <c r="U23" s="13">
        <v>15.5204</v>
      </c>
      <c r="V23" s="55">
        <f>Table3[[#This Row],[Profit]]/Table3[[#This Row],[Sales]]</f>
        <v>0.45999999999999996</v>
      </c>
    </row>
    <row r="24" spans="1:22" x14ac:dyDescent="0.2">
      <c r="A24">
        <v>23</v>
      </c>
      <c r="B24" t="s">
        <v>2587</v>
      </c>
      <c r="C24" s="1">
        <v>42742</v>
      </c>
      <c r="D24" s="22">
        <f>MONTH(Table3[[#This Row],[Order Date]])</f>
        <v>1</v>
      </c>
      <c r="E24" t="s">
        <v>601</v>
      </c>
      <c r="F24" t="s">
        <v>603</v>
      </c>
      <c r="G24" s="23" t="s">
        <v>64</v>
      </c>
      <c r="H24" s="23" t="s">
        <v>602</v>
      </c>
      <c r="I24" t="s">
        <v>2241</v>
      </c>
      <c r="J24" t="s">
        <v>36</v>
      </c>
      <c r="K24" s="22">
        <v>2</v>
      </c>
      <c r="L24" s="1">
        <v>42745</v>
      </c>
      <c r="M24" s="22">
        <f>Table3[[#This Row],[Ship Date]]-Table3[[#This Row],[Order Date]]</f>
        <v>3</v>
      </c>
      <c r="N24" s="23" t="s">
        <v>169</v>
      </c>
      <c r="O24" s="23" t="s">
        <v>23</v>
      </c>
      <c r="P24" s="23" t="s">
        <v>212</v>
      </c>
      <c r="Q24" s="23" t="s">
        <v>95</v>
      </c>
      <c r="R24" s="23" t="s">
        <v>775</v>
      </c>
      <c r="S24" s="33">
        <v>0.1</v>
      </c>
      <c r="T24" s="13">
        <v>3059.982</v>
      </c>
      <c r="U24" s="13">
        <v>679.99599999999998</v>
      </c>
      <c r="V24" s="55">
        <f>Table3[[#This Row],[Profit]]/Table3[[#This Row],[Sales]]</f>
        <v>0.22222222222222221</v>
      </c>
    </row>
    <row r="25" spans="1:22" x14ac:dyDescent="0.2">
      <c r="A25">
        <v>24</v>
      </c>
      <c r="B25" t="s">
        <v>4459</v>
      </c>
      <c r="C25" s="1">
        <v>42742</v>
      </c>
      <c r="D25" s="22">
        <f>MONTH(Table3[[#This Row],[Order Date]])</f>
        <v>1</v>
      </c>
      <c r="E25" t="s">
        <v>2563</v>
      </c>
      <c r="F25" t="s">
        <v>2564</v>
      </c>
      <c r="G25" s="23" t="s">
        <v>41</v>
      </c>
      <c r="H25" s="23" t="s">
        <v>68</v>
      </c>
      <c r="I25" t="s">
        <v>3443</v>
      </c>
      <c r="J25" t="s">
        <v>22</v>
      </c>
      <c r="K25" s="22">
        <v>3</v>
      </c>
      <c r="L25" s="1">
        <v>42748</v>
      </c>
      <c r="M25" s="22">
        <f>Table3[[#This Row],[Ship Date]]-Table3[[#This Row],[Order Date]]</f>
        <v>6</v>
      </c>
      <c r="N25" s="23" t="s">
        <v>45</v>
      </c>
      <c r="O25" s="23" t="s">
        <v>23</v>
      </c>
      <c r="P25" s="23" t="s">
        <v>48</v>
      </c>
      <c r="Q25" s="23" t="s">
        <v>26</v>
      </c>
      <c r="R25" s="23" t="s">
        <v>4460</v>
      </c>
      <c r="S25" s="33">
        <v>0.7</v>
      </c>
      <c r="T25" s="13">
        <v>2.8079999999999998</v>
      </c>
      <c r="U25" s="13">
        <v>-1.9656</v>
      </c>
      <c r="V25" s="55">
        <f>Table3[[#This Row],[Profit]]/Table3[[#This Row],[Sales]]</f>
        <v>-0.70000000000000007</v>
      </c>
    </row>
    <row r="26" spans="1:22" x14ac:dyDescent="0.2">
      <c r="A26">
        <v>25</v>
      </c>
      <c r="B26" t="s">
        <v>8673</v>
      </c>
      <c r="C26" s="1">
        <v>42742</v>
      </c>
      <c r="D26" s="22">
        <f>MONTH(Table3[[#This Row],[Order Date]])</f>
        <v>1</v>
      </c>
      <c r="E26" t="s">
        <v>52</v>
      </c>
      <c r="F26" t="s">
        <v>54</v>
      </c>
      <c r="G26" s="23" t="s">
        <v>41</v>
      </c>
      <c r="H26" s="23" t="s">
        <v>53</v>
      </c>
      <c r="I26" t="s">
        <v>3257</v>
      </c>
      <c r="J26" t="s">
        <v>22</v>
      </c>
      <c r="K26" s="22">
        <v>11</v>
      </c>
      <c r="L26" s="1">
        <v>42744</v>
      </c>
      <c r="M26" s="22">
        <f>Table3[[#This Row],[Ship Date]]-Table3[[#This Row],[Order Date]]</f>
        <v>2</v>
      </c>
      <c r="N26" s="23" t="s">
        <v>20</v>
      </c>
      <c r="O26" s="23" t="s">
        <v>23</v>
      </c>
      <c r="P26" s="23" t="s">
        <v>38</v>
      </c>
      <c r="Q26" s="23" t="s">
        <v>39</v>
      </c>
      <c r="R26" s="23" t="s">
        <v>1037</v>
      </c>
      <c r="S26" s="33">
        <v>0</v>
      </c>
      <c r="T26" s="13">
        <v>153.78</v>
      </c>
      <c r="U26" s="13">
        <v>44.596200000000003</v>
      </c>
      <c r="V26" s="55">
        <f>Table3[[#This Row],[Profit]]/Table3[[#This Row],[Sales]]</f>
        <v>0.29000000000000004</v>
      </c>
    </row>
    <row r="27" spans="1:22" x14ac:dyDescent="0.2">
      <c r="A27">
        <v>26</v>
      </c>
      <c r="B27" t="s">
        <v>8673</v>
      </c>
      <c r="C27" s="1">
        <v>42742</v>
      </c>
      <c r="D27" s="22">
        <f>MONTH(Table3[[#This Row],[Order Date]])</f>
        <v>1</v>
      </c>
      <c r="E27" t="s">
        <v>5758</v>
      </c>
      <c r="F27" t="s">
        <v>5759</v>
      </c>
      <c r="G27" s="23" t="s">
        <v>41</v>
      </c>
      <c r="H27" s="23" t="s">
        <v>53</v>
      </c>
      <c r="I27" t="s">
        <v>3257</v>
      </c>
      <c r="J27" t="s">
        <v>22</v>
      </c>
      <c r="K27" s="22">
        <v>3</v>
      </c>
      <c r="L27" s="1">
        <v>42744</v>
      </c>
      <c r="M27" s="22">
        <f>Table3[[#This Row],[Ship Date]]-Table3[[#This Row],[Order Date]]</f>
        <v>2</v>
      </c>
      <c r="N27" s="23" t="s">
        <v>20</v>
      </c>
      <c r="O27" s="23" t="s">
        <v>23</v>
      </c>
      <c r="P27" s="23" t="s">
        <v>38</v>
      </c>
      <c r="Q27" s="23" t="s">
        <v>39</v>
      </c>
      <c r="R27" s="23" t="s">
        <v>1037</v>
      </c>
      <c r="S27" s="33">
        <v>0</v>
      </c>
      <c r="T27" s="13">
        <v>61.02</v>
      </c>
      <c r="U27" s="13">
        <v>0.61019999999999996</v>
      </c>
      <c r="V27" s="55">
        <f>Table3[[#This Row],[Profit]]/Table3[[#This Row],[Sales]]</f>
        <v>9.9999999999999985E-3</v>
      </c>
    </row>
    <row r="28" spans="1:22" x14ac:dyDescent="0.2">
      <c r="A28">
        <v>27</v>
      </c>
      <c r="B28" t="s">
        <v>8673</v>
      </c>
      <c r="C28" s="1">
        <v>42742</v>
      </c>
      <c r="D28" s="22">
        <f>MONTH(Table3[[#This Row],[Order Date]])</f>
        <v>1</v>
      </c>
      <c r="E28" t="s">
        <v>8319</v>
      </c>
      <c r="F28" t="s">
        <v>8320</v>
      </c>
      <c r="G28" s="23" t="s">
        <v>41</v>
      </c>
      <c r="H28" s="23" t="s">
        <v>513</v>
      </c>
      <c r="I28" t="s">
        <v>3257</v>
      </c>
      <c r="J28" t="s">
        <v>22</v>
      </c>
      <c r="K28" s="22">
        <v>7</v>
      </c>
      <c r="L28" s="1">
        <v>42744</v>
      </c>
      <c r="M28" s="22">
        <f>Table3[[#This Row],[Ship Date]]-Table3[[#This Row],[Order Date]]</f>
        <v>2</v>
      </c>
      <c r="N28" s="23" t="s">
        <v>20</v>
      </c>
      <c r="O28" s="23" t="s">
        <v>23</v>
      </c>
      <c r="P28" s="23" t="s">
        <v>38</v>
      </c>
      <c r="Q28" s="23" t="s">
        <v>39</v>
      </c>
      <c r="R28" s="23" t="s">
        <v>1037</v>
      </c>
      <c r="S28" s="33">
        <v>0</v>
      </c>
      <c r="T28" s="13">
        <v>110.11</v>
      </c>
      <c r="U28" s="13">
        <v>31.931899999999999</v>
      </c>
      <c r="V28" s="55">
        <f>Table3[[#This Row],[Profit]]/Table3[[#This Row],[Sales]]</f>
        <v>0.28999999999999998</v>
      </c>
    </row>
    <row r="29" spans="1:22" x14ac:dyDescent="0.2">
      <c r="A29">
        <v>28</v>
      </c>
      <c r="B29" t="s">
        <v>8673</v>
      </c>
      <c r="C29" s="1">
        <v>42742</v>
      </c>
      <c r="D29" s="22">
        <f>MONTH(Table3[[#This Row],[Order Date]])</f>
        <v>1</v>
      </c>
      <c r="E29" t="s">
        <v>1883</v>
      </c>
      <c r="F29" t="s">
        <v>498</v>
      </c>
      <c r="G29" s="23" t="s">
        <v>41</v>
      </c>
      <c r="H29" s="23" t="s">
        <v>240</v>
      </c>
      <c r="I29" t="s">
        <v>3257</v>
      </c>
      <c r="J29" t="s">
        <v>22</v>
      </c>
      <c r="K29" s="22">
        <v>1</v>
      </c>
      <c r="L29" s="1">
        <v>42744</v>
      </c>
      <c r="M29" s="22">
        <f>Table3[[#This Row],[Ship Date]]-Table3[[#This Row],[Order Date]]</f>
        <v>2</v>
      </c>
      <c r="N29" s="23" t="s">
        <v>20</v>
      </c>
      <c r="O29" s="23" t="s">
        <v>23</v>
      </c>
      <c r="P29" s="23" t="s">
        <v>38</v>
      </c>
      <c r="Q29" s="23" t="s">
        <v>39</v>
      </c>
      <c r="R29" s="23" t="s">
        <v>1037</v>
      </c>
      <c r="S29" s="33">
        <v>0</v>
      </c>
      <c r="T29" s="13">
        <v>7.89</v>
      </c>
      <c r="U29" s="13">
        <v>3.5505</v>
      </c>
      <c r="V29" s="55">
        <f>Table3[[#This Row],[Profit]]/Table3[[#This Row],[Sales]]</f>
        <v>0.45</v>
      </c>
    </row>
    <row r="30" spans="1:22" x14ac:dyDescent="0.2">
      <c r="A30">
        <v>29</v>
      </c>
      <c r="B30" t="s">
        <v>4702</v>
      </c>
      <c r="C30" s="1">
        <v>42743</v>
      </c>
      <c r="D30" s="22">
        <f>MONTH(Table3[[#This Row],[Order Date]])</f>
        <v>1</v>
      </c>
      <c r="E30" t="s">
        <v>4704</v>
      </c>
      <c r="F30" t="s">
        <v>4705</v>
      </c>
      <c r="G30" s="23" t="s">
        <v>28</v>
      </c>
      <c r="H30" s="23" t="s">
        <v>50</v>
      </c>
      <c r="I30" t="s">
        <v>4703</v>
      </c>
      <c r="J30" t="s">
        <v>36</v>
      </c>
      <c r="K30" s="22">
        <v>2</v>
      </c>
      <c r="L30" s="1">
        <v>42746</v>
      </c>
      <c r="M30" s="22">
        <f>Table3[[#This Row],[Ship Date]]-Table3[[#This Row],[Order Date]]</f>
        <v>3</v>
      </c>
      <c r="N30" s="23" t="s">
        <v>169</v>
      </c>
      <c r="O30" s="23" t="s">
        <v>23</v>
      </c>
      <c r="P30" s="23" t="s">
        <v>87</v>
      </c>
      <c r="Q30" s="23" t="s">
        <v>39</v>
      </c>
      <c r="R30" s="23" t="s">
        <v>86</v>
      </c>
      <c r="S30" s="33">
        <v>0</v>
      </c>
      <c r="T30" s="13">
        <v>892.98</v>
      </c>
      <c r="U30" s="13">
        <v>80.368200000000002</v>
      </c>
      <c r="V30" s="55">
        <f>Table3[[#This Row],[Profit]]/Table3[[#This Row],[Sales]]</f>
        <v>0.09</v>
      </c>
    </row>
    <row r="31" spans="1:22" x14ac:dyDescent="0.2">
      <c r="A31">
        <v>30</v>
      </c>
      <c r="B31" t="s">
        <v>8577</v>
      </c>
      <c r="C31" s="1">
        <v>42744</v>
      </c>
      <c r="D31" s="22">
        <f>MONTH(Table3[[#This Row],[Order Date]])</f>
        <v>1</v>
      </c>
      <c r="E31" t="s">
        <v>1947</v>
      </c>
      <c r="F31" t="s">
        <v>1948</v>
      </c>
      <c r="G31" s="23" t="s">
        <v>41</v>
      </c>
      <c r="H31" s="23" t="s">
        <v>68</v>
      </c>
      <c r="I31" t="s">
        <v>3286</v>
      </c>
      <c r="J31" t="s">
        <v>22</v>
      </c>
      <c r="K31" s="22">
        <v>3</v>
      </c>
      <c r="L31" s="1">
        <v>42748</v>
      </c>
      <c r="M31" s="22">
        <f>Table3[[#This Row],[Ship Date]]-Table3[[#This Row],[Order Date]]</f>
        <v>4</v>
      </c>
      <c r="N31" s="23" t="s">
        <v>45</v>
      </c>
      <c r="O31" s="23" t="s">
        <v>23</v>
      </c>
      <c r="P31" s="23" t="s">
        <v>132</v>
      </c>
      <c r="Q31" s="23" t="s">
        <v>133</v>
      </c>
      <c r="R31" s="23" t="s">
        <v>131</v>
      </c>
      <c r="S31" s="33">
        <v>0.7</v>
      </c>
      <c r="T31" s="13">
        <v>274.49099999999999</v>
      </c>
      <c r="U31" s="13">
        <v>-228.74250000000001</v>
      </c>
      <c r="V31" s="55">
        <f>Table3[[#This Row],[Profit]]/Table3[[#This Row],[Sales]]</f>
        <v>-0.83333333333333337</v>
      </c>
    </row>
    <row r="32" spans="1:22" x14ac:dyDescent="0.2">
      <c r="A32">
        <v>31</v>
      </c>
      <c r="B32" t="s">
        <v>4089</v>
      </c>
      <c r="C32" s="1">
        <v>42747</v>
      </c>
      <c r="D32" s="22">
        <f>MONTH(Table3[[#This Row],[Order Date]])</f>
        <v>1</v>
      </c>
      <c r="E32" t="s">
        <v>502</v>
      </c>
      <c r="F32" t="s">
        <v>503</v>
      </c>
      <c r="G32" s="23" t="s">
        <v>41</v>
      </c>
      <c r="H32" s="23" t="s">
        <v>82</v>
      </c>
      <c r="I32" t="s">
        <v>3932</v>
      </c>
      <c r="J32" t="s">
        <v>92</v>
      </c>
      <c r="K32" s="22">
        <v>6</v>
      </c>
      <c r="L32" s="1">
        <v>42752</v>
      </c>
      <c r="M32" s="22">
        <f>Table3[[#This Row],[Ship Date]]-Table3[[#This Row],[Order Date]]</f>
        <v>5</v>
      </c>
      <c r="N32" s="23" t="s">
        <v>20</v>
      </c>
      <c r="O32" s="23" t="s">
        <v>23</v>
      </c>
      <c r="P32" s="23" t="s">
        <v>2671</v>
      </c>
      <c r="Q32" s="23" t="s">
        <v>133</v>
      </c>
      <c r="R32" s="23" t="s">
        <v>87</v>
      </c>
      <c r="S32" s="33">
        <v>0</v>
      </c>
      <c r="T32" s="13">
        <v>40.08</v>
      </c>
      <c r="U32" s="13">
        <v>19.238399999999999</v>
      </c>
      <c r="V32" s="55">
        <f>Table3[[#This Row],[Profit]]/Table3[[#This Row],[Sales]]</f>
        <v>0.48</v>
      </c>
    </row>
    <row r="33" spans="1:22" x14ac:dyDescent="0.2">
      <c r="A33">
        <v>32</v>
      </c>
      <c r="B33" t="s">
        <v>4089</v>
      </c>
      <c r="C33" s="1">
        <v>42747</v>
      </c>
      <c r="D33" s="22">
        <f>MONTH(Table3[[#This Row],[Order Date]])</f>
        <v>1</v>
      </c>
      <c r="E33" t="s">
        <v>4090</v>
      </c>
      <c r="F33" t="s">
        <v>4091</v>
      </c>
      <c r="G33" s="23" t="s">
        <v>28</v>
      </c>
      <c r="H33" s="23" t="s">
        <v>58</v>
      </c>
      <c r="I33" t="s">
        <v>3932</v>
      </c>
      <c r="J33" t="s">
        <v>92</v>
      </c>
      <c r="K33" s="22">
        <v>2</v>
      </c>
      <c r="L33" s="1">
        <v>42752</v>
      </c>
      <c r="M33" s="22">
        <f>Table3[[#This Row],[Ship Date]]-Table3[[#This Row],[Order Date]]</f>
        <v>5</v>
      </c>
      <c r="N33" s="23" t="s">
        <v>20</v>
      </c>
      <c r="O33" s="23" t="s">
        <v>23</v>
      </c>
      <c r="P33" s="23" t="s">
        <v>2671</v>
      </c>
      <c r="Q33" s="23" t="s">
        <v>133</v>
      </c>
      <c r="R33" s="23" t="s">
        <v>87</v>
      </c>
      <c r="S33" s="33">
        <v>0</v>
      </c>
      <c r="T33" s="13">
        <v>37.68</v>
      </c>
      <c r="U33" s="13">
        <v>15.8256</v>
      </c>
      <c r="V33" s="55">
        <f>Table3[[#This Row],[Profit]]/Table3[[#This Row],[Sales]]</f>
        <v>0.42</v>
      </c>
    </row>
    <row r="34" spans="1:22" x14ac:dyDescent="0.2">
      <c r="A34">
        <v>33</v>
      </c>
      <c r="B34" t="s">
        <v>7799</v>
      </c>
      <c r="C34" s="1">
        <v>42747</v>
      </c>
      <c r="D34" s="22">
        <f>MONTH(Table3[[#This Row],[Order Date]])</f>
        <v>1</v>
      </c>
      <c r="E34" t="s">
        <v>4145</v>
      </c>
      <c r="F34" t="s">
        <v>591</v>
      </c>
      <c r="G34" s="23" t="s">
        <v>41</v>
      </c>
      <c r="H34" s="23" t="s">
        <v>155</v>
      </c>
      <c r="I34" t="s">
        <v>2361</v>
      </c>
      <c r="J34" t="s">
        <v>36</v>
      </c>
      <c r="K34" s="22">
        <v>1</v>
      </c>
      <c r="L34" s="1">
        <v>42751</v>
      </c>
      <c r="M34" s="22">
        <f>Table3[[#This Row],[Ship Date]]-Table3[[#This Row],[Order Date]]</f>
        <v>4</v>
      </c>
      <c r="N34" s="23" t="s">
        <v>45</v>
      </c>
      <c r="O34" s="23" t="s">
        <v>23</v>
      </c>
      <c r="P34" s="23" t="s">
        <v>38</v>
      </c>
      <c r="Q34" s="23" t="s">
        <v>39</v>
      </c>
      <c r="R34" s="23" t="s">
        <v>114</v>
      </c>
      <c r="S34" s="33">
        <v>0</v>
      </c>
      <c r="T34" s="13">
        <v>9.7799999999999994</v>
      </c>
      <c r="U34" s="13">
        <v>4.8899999999999997</v>
      </c>
      <c r="V34" s="55">
        <f>Table3[[#This Row],[Profit]]/Table3[[#This Row],[Sales]]</f>
        <v>0.5</v>
      </c>
    </row>
    <row r="35" spans="1:22" x14ac:dyDescent="0.2">
      <c r="A35">
        <v>34</v>
      </c>
      <c r="B35" t="s">
        <v>9373</v>
      </c>
      <c r="C35" s="1">
        <v>42747</v>
      </c>
      <c r="D35" s="22">
        <f>MONTH(Table3[[#This Row],[Order Date]])</f>
        <v>1</v>
      </c>
      <c r="E35" t="s">
        <v>2370</v>
      </c>
      <c r="F35" t="s">
        <v>2371</v>
      </c>
      <c r="G35" s="23" t="s">
        <v>41</v>
      </c>
      <c r="H35" s="23" t="s">
        <v>68</v>
      </c>
      <c r="I35" t="s">
        <v>803</v>
      </c>
      <c r="J35" t="s">
        <v>36</v>
      </c>
      <c r="K35" s="22">
        <v>5</v>
      </c>
      <c r="L35" s="1">
        <v>42751</v>
      </c>
      <c r="M35" s="22">
        <f>Table3[[#This Row],[Ship Date]]-Table3[[#This Row],[Order Date]]</f>
        <v>4</v>
      </c>
      <c r="N35" s="23" t="s">
        <v>45</v>
      </c>
      <c r="O35" s="23" t="s">
        <v>23</v>
      </c>
      <c r="P35" s="23" t="s">
        <v>94</v>
      </c>
      <c r="Q35" s="23" t="s">
        <v>95</v>
      </c>
      <c r="R35" s="23" t="s">
        <v>718</v>
      </c>
      <c r="S35" s="33">
        <v>0.8</v>
      </c>
      <c r="T35" s="13">
        <v>760.98</v>
      </c>
      <c r="U35" s="13">
        <v>-1141.47</v>
      </c>
      <c r="V35" s="55">
        <f>Table3[[#This Row],[Profit]]/Table3[[#This Row],[Sales]]</f>
        <v>-1.5</v>
      </c>
    </row>
    <row r="36" spans="1:22" x14ac:dyDescent="0.2">
      <c r="A36">
        <v>35</v>
      </c>
      <c r="B36" t="s">
        <v>8219</v>
      </c>
      <c r="C36" s="1">
        <v>42748</v>
      </c>
      <c r="D36" s="22">
        <f>MONTH(Table3[[#This Row],[Order Date]])</f>
        <v>1</v>
      </c>
      <c r="E36" t="s">
        <v>4916</v>
      </c>
      <c r="F36" t="s">
        <v>4917</v>
      </c>
      <c r="G36" s="23" t="s">
        <v>41</v>
      </c>
      <c r="H36" s="23" t="s">
        <v>82</v>
      </c>
      <c r="I36" t="s">
        <v>3237</v>
      </c>
      <c r="J36" t="s">
        <v>36</v>
      </c>
      <c r="K36" s="22">
        <v>5</v>
      </c>
      <c r="L36" s="1">
        <v>42753</v>
      </c>
      <c r="M36" s="22">
        <f>Table3[[#This Row],[Ship Date]]-Table3[[#This Row],[Order Date]]</f>
        <v>5</v>
      </c>
      <c r="N36" s="23" t="s">
        <v>20</v>
      </c>
      <c r="O36" s="23" t="s">
        <v>23</v>
      </c>
      <c r="P36" s="23" t="s">
        <v>528</v>
      </c>
      <c r="Q36" s="23" t="s">
        <v>95</v>
      </c>
      <c r="R36" s="23" t="s">
        <v>284</v>
      </c>
      <c r="S36" s="33">
        <v>0</v>
      </c>
      <c r="T36" s="13">
        <v>32.4</v>
      </c>
      <c r="U36" s="13">
        <v>15.552</v>
      </c>
      <c r="V36" s="55">
        <f>Table3[[#This Row],[Profit]]/Table3[[#This Row],[Sales]]</f>
        <v>0.48</v>
      </c>
    </row>
    <row r="37" spans="1:22" x14ac:dyDescent="0.2">
      <c r="A37">
        <v>36</v>
      </c>
      <c r="B37" t="s">
        <v>8219</v>
      </c>
      <c r="C37" s="1">
        <v>42748</v>
      </c>
      <c r="D37" s="22">
        <f>MONTH(Table3[[#This Row],[Order Date]])</f>
        <v>1</v>
      </c>
      <c r="E37" t="s">
        <v>7596</v>
      </c>
      <c r="F37" t="s">
        <v>7597</v>
      </c>
      <c r="G37" s="23" t="s">
        <v>41</v>
      </c>
      <c r="H37" s="23" t="s">
        <v>61</v>
      </c>
      <c r="I37" t="s">
        <v>3237</v>
      </c>
      <c r="J37" t="s">
        <v>36</v>
      </c>
      <c r="K37" s="22">
        <v>6</v>
      </c>
      <c r="L37" s="1">
        <v>42753</v>
      </c>
      <c r="M37" s="22">
        <f>Table3[[#This Row],[Ship Date]]-Table3[[#This Row],[Order Date]]</f>
        <v>5</v>
      </c>
      <c r="N37" s="23" t="s">
        <v>20</v>
      </c>
      <c r="O37" s="23" t="s">
        <v>23</v>
      </c>
      <c r="P37" s="23" t="s">
        <v>528</v>
      </c>
      <c r="Q37" s="23" t="s">
        <v>95</v>
      </c>
      <c r="R37" s="23" t="s">
        <v>284</v>
      </c>
      <c r="S37" s="33">
        <v>0</v>
      </c>
      <c r="T37" s="13">
        <v>209.94</v>
      </c>
      <c r="U37" s="13">
        <v>54.584400000000002</v>
      </c>
      <c r="V37" s="55">
        <f>Table3[[#This Row],[Profit]]/Table3[[#This Row],[Sales]]</f>
        <v>0.26</v>
      </c>
    </row>
    <row r="38" spans="1:22" x14ac:dyDescent="0.2">
      <c r="A38">
        <v>37</v>
      </c>
      <c r="B38" t="s">
        <v>8219</v>
      </c>
      <c r="C38" s="1">
        <v>42748</v>
      </c>
      <c r="D38" s="22">
        <f>MONTH(Table3[[#This Row],[Order Date]])</f>
        <v>1</v>
      </c>
      <c r="E38" t="s">
        <v>1594</v>
      </c>
      <c r="F38" t="s">
        <v>1595</v>
      </c>
      <c r="G38" s="23" t="s">
        <v>41</v>
      </c>
      <c r="H38" s="23" t="s">
        <v>513</v>
      </c>
      <c r="I38" t="s">
        <v>3237</v>
      </c>
      <c r="J38" t="s">
        <v>36</v>
      </c>
      <c r="K38" s="22">
        <v>5</v>
      </c>
      <c r="L38" s="1">
        <v>42753</v>
      </c>
      <c r="M38" s="22">
        <f>Table3[[#This Row],[Ship Date]]-Table3[[#This Row],[Order Date]]</f>
        <v>5</v>
      </c>
      <c r="N38" s="23" t="s">
        <v>20</v>
      </c>
      <c r="O38" s="23" t="s">
        <v>23</v>
      </c>
      <c r="P38" s="23" t="s">
        <v>528</v>
      </c>
      <c r="Q38" s="23" t="s">
        <v>95</v>
      </c>
      <c r="R38" s="23" t="s">
        <v>284</v>
      </c>
      <c r="S38" s="33">
        <v>0</v>
      </c>
      <c r="T38" s="13">
        <v>4164.05</v>
      </c>
      <c r="U38" s="13">
        <v>83.281000000000006</v>
      </c>
      <c r="V38" s="55">
        <f>Table3[[#This Row],[Profit]]/Table3[[#This Row],[Sales]]</f>
        <v>0.02</v>
      </c>
    </row>
    <row r="39" spans="1:22" x14ac:dyDescent="0.2">
      <c r="A39">
        <v>38</v>
      </c>
      <c r="B39" t="s">
        <v>8219</v>
      </c>
      <c r="C39" s="1">
        <v>42748</v>
      </c>
      <c r="D39" s="22">
        <f>MONTH(Table3[[#This Row],[Order Date]])</f>
        <v>1</v>
      </c>
      <c r="E39" t="s">
        <v>5992</v>
      </c>
      <c r="F39" t="s">
        <v>5993</v>
      </c>
      <c r="G39" s="23" t="s">
        <v>28</v>
      </c>
      <c r="H39" s="23" t="s">
        <v>29</v>
      </c>
      <c r="I39" t="s">
        <v>3237</v>
      </c>
      <c r="J39" t="s">
        <v>36</v>
      </c>
      <c r="K39" s="22">
        <v>3</v>
      </c>
      <c r="L39" s="1">
        <v>42753</v>
      </c>
      <c r="M39" s="22">
        <f>Table3[[#This Row],[Ship Date]]-Table3[[#This Row],[Order Date]]</f>
        <v>5</v>
      </c>
      <c r="N39" s="23" t="s">
        <v>20</v>
      </c>
      <c r="O39" s="23" t="s">
        <v>23</v>
      </c>
      <c r="P39" s="23" t="s">
        <v>528</v>
      </c>
      <c r="Q39" s="23" t="s">
        <v>95</v>
      </c>
      <c r="R39" s="23" t="s">
        <v>284</v>
      </c>
      <c r="S39" s="33">
        <v>0</v>
      </c>
      <c r="T39" s="13">
        <v>212.94</v>
      </c>
      <c r="U39" s="13">
        <v>53.234999999999999</v>
      </c>
      <c r="V39" s="55">
        <f>Table3[[#This Row],[Profit]]/Table3[[#This Row],[Sales]]</f>
        <v>0.25</v>
      </c>
    </row>
    <row r="40" spans="1:22" x14ac:dyDescent="0.2">
      <c r="A40">
        <v>39</v>
      </c>
      <c r="B40" t="s">
        <v>2988</v>
      </c>
      <c r="C40" s="1">
        <v>42749</v>
      </c>
      <c r="D40" s="22">
        <f>MONTH(Table3[[#This Row],[Order Date]])</f>
        <v>1</v>
      </c>
      <c r="E40" t="s">
        <v>448</v>
      </c>
      <c r="F40" t="s">
        <v>449</v>
      </c>
      <c r="G40" s="23" t="s">
        <v>41</v>
      </c>
      <c r="H40" s="23" t="s">
        <v>155</v>
      </c>
      <c r="I40" t="s">
        <v>1933</v>
      </c>
      <c r="J40" t="s">
        <v>22</v>
      </c>
      <c r="K40" s="22">
        <v>1</v>
      </c>
      <c r="L40" s="1">
        <v>42750</v>
      </c>
      <c r="M40" s="22">
        <f>Table3[[#This Row],[Ship Date]]-Table3[[#This Row],[Order Date]]</f>
        <v>1</v>
      </c>
      <c r="N40" s="23" t="s">
        <v>169</v>
      </c>
      <c r="O40" s="23" t="s">
        <v>23</v>
      </c>
      <c r="P40" s="23" t="s">
        <v>80</v>
      </c>
      <c r="Q40" s="23" t="s">
        <v>26</v>
      </c>
      <c r="R40" s="23" t="s">
        <v>1345</v>
      </c>
      <c r="S40" s="33">
        <v>0.2</v>
      </c>
      <c r="T40" s="13">
        <v>21.744</v>
      </c>
      <c r="U40" s="13">
        <v>7.3385999999999996</v>
      </c>
      <c r="V40" s="55">
        <f>Table3[[#This Row],[Profit]]/Table3[[#This Row],[Sales]]</f>
        <v>0.33749999999999997</v>
      </c>
    </row>
    <row r="41" spans="1:22" x14ac:dyDescent="0.2">
      <c r="A41">
        <v>40</v>
      </c>
      <c r="B41" t="s">
        <v>2988</v>
      </c>
      <c r="C41" s="1">
        <v>42749</v>
      </c>
      <c r="D41" s="22">
        <f>MONTH(Table3[[#This Row],[Order Date]])</f>
        <v>1</v>
      </c>
      <c r="E41" t="s">
        <v>2989</v>
      </c>
      <c r="F41" t="s">
        <v>2990</v>
      </c>
      <c r="G41" s="23" t="s">
        <v>64</v>
      </c>
      <c r="H41" s="23" t="s">
        <v>65</v>
      </c>
      <c r="I41" t="s">
        <v>1933</v>
      </c>
      <c r="J41" t="s">
        <v>22</v>
      </c>
      <c r="K41" s="22">
        <v>5</v>
      </c>
      <c r="L41" s="1">
        <v>42750</v>
      </c>
      <c r="M41" s="22">
        <f>Table3[[#This Row],[Ship Date]]-Table3[[#This Row],[Order Date]]</f>
        <v>1</v>
      </c>
      <c r="N41" s="23" t="s">
        <v>169</v>
      </c>
      <c r="O41" s="23" t="s">
        <v>23</v>
      </c>
      <c r="P41" s="23" t="s">
        <v>80</v>
      </c>
      <c r="Q41" s="23" t="s">
        <v>26</v>
      </c>
      <c r="R41" s="23" t="s">
        <v>1345</v>
      </c>
      <c r="S41" s="33">
        <v>0.2</v>
      </c>
      <c r="T41" s="13">
        <v>7.92</v>
      </c>
      <c r="U41" s="13">
        <v>0.69299999999999995</v>
      </c>
      <c r="V41" s="55">
        <f>Table3[[#This Row],[Profit]]/Table3[[#This Row],[Sales]]</f>
        <v>8.7499999999999994E-2</v>
      </c>
    </row>
    <row r="42" spans="1:22" x14ac:dyDescent="0.2">
      <c r="A42">
        <v>41</v>
      </c>
      <c r="B42" t="s">
        <v>6533</v>
      </c>
      <c r="C42" s="1">
        <v>42749</v>
      </c>
      <c r="D42" s="22">
        <f>MONTH(Table3[[#This Row],[Order Date]])</f>
        <v>1</v>
      </c>
      <c r="E42" t="s">
        <v>143</v>
      </c>
      <c r="F42" t="s">
        <v>145</v>
      </c>
      <c r="G42" s="23" t="s">
        <v>64</v>
      </c>
      <c r="H42" s="23" t="s">
        <v>144</v>
      </c>
      <c r="I42" t="s">
        <v>6534</v>
      </c>
      <c r="J42" t="s">
        <v>36</v>
      </c>
      <c r="K42" s="22">
        <v>7</v>
      </c>
      <c r="L42" s="1">
        <v>42751</v>
      </c>
      <c r="M42" s="22">
        <f>Table3[[#This Row],[Ship Date]]-Table3[[#This Row],[Order Date]]</f>
        <v>2</v>
      </c>
      <c r="N42" s="23" t="s">
        <v>169</v>
      </c>
      <c r="O42" s="23" t="s">
        <v>23</v>
      </c>
      <c r="P42" s="23" t="s">
        <v>405</v>
      </c>
      <c r="Q42" s="23" t="s">
        <v>39</v>
      </c>
      <c r="R42" s="23" t="s">
        <v>404</v>
      </c>
      <c r="S42" s="33">
        <v>0.2</v>
      </c>
      <c r="T42" s="13">
        <v>169.06399999999999</v>
      </c>
      <c r="U42" s="13">
        <v>-14.793100000000001</v>
      </c>
      <c r="V42" s="55">
        <f>Table3[[#This Row],[Profit]]/Table3[[#This Row],[Sales]]</f>
        <v>-8.7500000000000008E-2</v>
      </c>
    </row>
    <row r="43" spans="1:22" x14ac:dyDescent="0.2">
      <c r="A43">
        <v>42</v>
      </c>
      <c r="B43" t="s">
        <v>6533</v>
      </c>
      <c r="C43" s="1">
        <v>42749</v>
      </c>
      <c r="D43" s="22">
        <f>MONTH(Table3[[#This Row],[Order Date]])</f>
        <v>1</v>
      </c>
      <c r="E43" t="s">
        <v>4450</v>
      </c>
      <c r="F43" t="s">
        <v>4451</v>
      </c>
      <c r="G43" s="23" t="s">
        <v>41</v>
      </c>
      <c r="H43" s="23" t="s">
        <v>53</v>
      </c>
      <c r="I43" t="s">
        <v>6534</v>
      </c>
      <c r="J43" t="s">
        <v>36</v>
      </c>
      <c r="K43" s="22">
        <v>9</v>
      </c>
      <c r="L43" s="1">
        <v>42751</v>
      </c>
      <c r="M43" s="22">
        <f>Table3[[#This Row],[Ship Date]]-Table3[[#This Row],[Order Date]]</f>
        <v>2</v>
      </c>
      <c r="N43" s="23" t="s">
        <v>169</v>
      </c>
      <c r="O43" s="23" t="s">
        <v>23</v>
      </c>
      <c r="P43" s="23" t="s">
        <v>405</v>
      </c>
      <c r="Q43" s="23" t="s">
        <v>39</v>
      </c>
      <c r="R43" s="23" t="s">
        <v>404</v>
      </c>
      <c r="S43" s="33">
        <v>0.2</v>
      </c>
      <c r="T43" s="13">
        <v>168.624</v>
      </c>
      <c r="U43" s="13">
        <v>14.7546</v>
      </c>
      <c r="V43" s="55">
        <f>Table3[[#This Row],[Profit]]/Table3[[#This Row],[Sales]]</f>
        <v>8.7500000000000008E-2</v>
      </c>
    </row>
    <row r="44" spans="1:22" x14ac:dyDescent="0.2">
      <c r="A44">
        <v>43</v>
      </c>
      <c r="B44" t="s">
        <v>7108</v>
      </c>
      <c r="C44" s="1">
        <v>42749</v>
      </c>
      <c r="D44" s="22">
        <f>MONTH(Table3[[#This Row],[Order Date]])</f>
        <v>1</v>
      </c>
      <c r="E44" t="s">
        <v>2016</v>
      </c>
      <c r="F44" t="s">
        <v>2017</v>
      </c>
      <c r="G44" s="23" t="s">
        <v>41</v>
      </c>
      <c r="H44" s="23" t="s">
        <v>155</v>
      </c>
      <c r="I44" t="s">
        <v>56</v>
      </c>
      <c r="J44" t="s">
        <v>22</v>
      </c>
      <c r="K44" s="22">
        <v>3</v>
      </c>
      <c r="L44" s="1">
        <v>42753</v>
      </c>
      <c r="M44" s="22">
        <f>Table3[[#This Row],[Ship Date]]-Table3[[#This Row],[Order Date]]</f>
        <v>4</v>
      </c>
      <c r="N44" s="23" t="s">
        <v>45</v>
      </c>
      <c r="O44" s="23" t="s">
        <v>23</v>
      </c>
      <c r="P44" s="23" t="s">
        <v>299</v>
      </c>
      <c r="Q44" s="23" t="s">
        <v>26</v>
      </c>
      <c r="R44" s="23" t="s">
        <v>4331</v>
      </c>
      <c r="S44" s="33">
        <v>0.2</v>
      </c>
      <c r="T44" s="13">
        <v>18.335999999999999</v>
      </c>
      <c r="U44" s="13">
        <v>6.6467999999999998</v>
      </c>
      <c r="V44" s="55">
        <f>Table3[[#This Row],[Profit]]/Table3[[#This Row],[Sales]]</f>
        <v>0.36250000000000004</v>
      </c>
    </row>
    <row r="45" spans="1:22" x14ac:dyDescent="0.2">
      <c r="A45">
        <v>44</v>
      </c>
      <c r="B45" t="s">
        <v>7108</v>
      </c>
      <c r="C45" s="1">
        <v>42749</v>
      </c>
      <c r="D45" s="22">
        <f>MONTH(Table3[[#This Row],[Order Date]])</f>
        <v>1</v>
      </c>
      <c r="E45" t="s">
        <v>2447</v>
      </c>
      <c r="F45" t="s">
        <v>2448</v>
      </c>
      <c r="G45" s="23" t="s">
        <v>41</v>
      </c>
      <c r="H45" s="23" t="s">
        <v>82</v>
      </c>
      <c r="I45" t="s">
        <v>56</v>
      </c>
      <c r="J45" t="s">
        <v>22</v>
      </c>
      <c r="K45" s="22">
        <v>7</v>
      </c>
      <c r="L45" s="1">
        <v>42753</v>
      </c>
      <c r="M45" s="22">
        <f>Table3[[#This Row],[Ship Date]]-Table3[[#This Row],[Order Date]]</f>
        <v>4</v>
      </c>
      <c r="N45" s="23" t="s">
        <v>45</v>
      </c>
      <c r="O45" s="23" t="s">
        <v>23</v>
      </c>
      <c r="P45" s="23" t="s">
        <v>299</v>
      </c>
      <c r="Q45" s="23" t="s">
        <v>26</v>
      </c>
      <c r="R45" s="23" t="s">
        <v>4331</v>
      </c>
      <c r="S45" s="33">
        <v>0.2</v>
      </c>
      <c r="T45" s="13">
        <v>36.287999999999997</v>
      </c>
      <c r="U45" s="13">
        <v>12.700799999999999</v>
      </c>
      <c r="V45" s="55">
        <f>Table3[[#This Row],[Profit]]/Table3[[#This Row],[Sales]]</f>
        <v>0.35000000000000003</v>
      </c>
    </row>
    <row r="46" spans="1:22" x14ac:dyDescent="0.2">
      <c r="A46">
        <v>45</v>
      </c>
      <c r="B46" t="s">
        <v>7108</v>
      </c>
      <c r="C46" s="1">
        <v>42749</v>
      </c>
      <c r="D46" s="22">
        <f>MONTH(Table3[[#This Row],[Order Date]])</f>
        <v>1</v>
      </c>
      <c r="E46" t="s">
        <v>1480</v>
      </c>
      <c r="F46" t="s">
        <v>1481</v>
      </c>
      <c r="G46" s="23" t="s">
        <v>64</v>
      </c>
      <c r="H46" s="23" t="s">
        <v>65</v>
      </c>
      <c r="I46" t="s">
        <v>56</v>
      </c>
      <c r="J46" t="s">
        <v>22</v>
      </c>
      <c r="K46" s="22">
        <v>2</v>
      </c>
      <c r="L46" s="1">
        <v>42753</v>
      </c>
      <c r="M46" s="22">
        <f>Table3[[#This Row],[Ship Date]]-Table3[[#This Row],[Order Date]]</f>
        <v>4</v>
      </c>
      <c r="N46" s="23" t="s">
        <v>45</v>
      </c>
      <c r="O46" s="23" t="s">
        <v>23</v>
      </c>
      <c r="P46" s="23" t="s">
        <v>299</v>
      </c>
      <c r="Q46" s="23" t="s">
        <v>26</v>
      </c>
      <c r="R46" s="23" t="s">
        <v>4331</v>
      </c>
      <c r="S46" s="33">
        <v>0.2</v>
      </c>
      <c r="T46" s="13">
        <v>111.98399999999999</v>
      </c>
      <c r="U46" s="13">
        <v>6.9989999999999997</v>
      </c>
      <c r="V46" s="55">
        <f>Table3[[#This Row],[Profit]]/Table3[[#This Row],[Sales]]</f>
        <v>6.25E-2</v>
      </c>
    </row>
    <row r="47" spans="1:22" x14ac:dyDescent="0.2">
      <c r="A47">
        <v>46</v>
      </c>
      <c r="B47" t="s">
        <v>7108</v>
      </c>
      <c r="C47" s="1">
        <v>42749</v>
      </c>
      <c r="D47" s="22">
        <f>MONTH(Table3[[#This Row],[Order Date]])</f>
        <v>1</v>
      </c>
      <c r="E47" t="s">
        <v>5179</v>
      </c>
      <c r="F47" t="s">
        <v>5180</v>
      </c>
      <c r="G47" s="23" t="s">
        <v>41</v>
      </c>
      <c r="H47" s="23" t="s">
        <v>68</v>
      </c>
      <c r="I47" t="s">
        <v>56</v>
      </c>
      <c r="J47" t="s">
        <v>22</v>
      </c>
      <c r="K47" s="22">
        <v>5</v>
      </c>
      <c r="L47" s="1">
        <v>42753</v>
      </c>
      <c r="M47" s="22">
        <f>Table3[[#This Row],[Ship Date]]-Table3[[#This Row],[Order Date]]</f>
        <v>4</v>
      </c>
      <c r="N47" s="23" t="s">
        <v>45</v>
      </c>
      <c r="O47" s="23" t="s">
        <v>23</v>
      </c>
      <c r="P47" s="23" t="s">
        <v>299</v>
      </c>
      <c r="Q47" s="23" t="s">
        <v>26</v>
      </c>
      <c r="R47" s="23" t="s">
        <v>4331</v>
      </c>
      <c r="S47" s="33">
        <v>0.7</v>
      </c>
      <c r="T47" s="13">
        <v>5.97</v>
      </c>
      <c r="U47" s="13">
        <v>-4.577</v>
      </c>
      <c r="V47" s="55">
        <f>Table3[[#This Row],[Profit]]/Table3[[#This Row],[Sales]]</f>
        <v>-0.76666666666666672</v>
      </c>
    </row>
    <row r="48" spans="1:22" x14ac:dyDescent="0.2">
      <c r="A48">
        <v>47</v>
      </c>
      <c r="B48" t="s">
        <v>7108</v>
      </c>
      <c r="C48" s="1">
        <v>42749</v>
      </c>
      <c r="D48" s="22">
        <f>MONTH(Table3[[#This Row],[Order Date]])</f>
        <v>1</v>
      </c>
      <c r="E48" t="s">
        <v>2788</v>
      </c>
      <c r="F48" t="s">
        <v>2789</v>
      </c>
      <c r="G48" s="23" t="s">
        <v>41</v>
      </c>
      <c r="H48" s="23" t="s">
        <v>68</v>
      </c>
      <c r="I48" t="s">
        <v>56</v>
      </c>
      <c r="J48" t="s">
        <v>22</v>
      </c>
      <c r="K48" s="22">
        <v>2</v>
      </c>
      <c r="L48" s="1">
        <v>42753</v>
      </c>
      <c r="M48" s="22">
        <f>Table3[[#This Row],[Ship Date]]-Table3[[#This Row],[Order Date]]</f>
        <v>4</v>
      </c>
      <c r="N48" s="23" t="s">
        <v>45</v>
      </c>
      <c r="O48" s="23" t="s">
        <v>23</v>
      </c>
      <c r="P48" s="23" t="s">
        <v>299</v>
      </c>
      <c r="Q48" s="23" t="s">
        <v>26</v>
      </c>
      <c r="R48" s="23" t="s">
        <v>4331</v>
      </c>
      <c r="S48" s="33">
        <v>0.7</v>
      </c>
      <c r="T48" s="13">
        <v>2.508</v>
      </c>
      <c r="U48" s="13">
        <v>-1.8391999999999999</v>
      </c>
      <c r="V48" s="55">
        <f>Table3[[#This Row],[Profit]]/Table3[[#This Row],[Sales]]</f>
        <v>-0.73333333333333328</v>
      </c>
    </row>
    <row r="49" spans="1:22" x14ac:dyDescent="0.2">
      <c r="A49">
        <v>48</v>
      </c>
      <c r="B49" t="s">
        <v>8443</v>
      </c>
      <c r="C49" s="1">
        <v>42749</v>
      </c>
      <c r="D49" s="22">
        <f>MONTH(Table3[[#This Row],[Order Date]])</f>
        <v>1</v>
      </c>
      <c r="E49" t="s">
        <v>6972</v>
      </c>
      <c r="F49" t="s">
        <v>6973</v>
      </c>
      <c r="G49" s="23" t="s">
        <v>41</v>
      </c>
      <c r="H49" s="23" t="s">
        <v>82</v>
      </c>
      <c r="I49" t="s">
        <v>46</v>
      </c>
      <c r="J49" t="s">
        <v>22</v>
      </c>
      <c r="K49" s="22">
        <v>5</v>
      </c>
      <c r="L49" s="1">
        <v>42754</v>
      </c>
      <c r="M49" s="22">
        <f>Table3[[#This Row],[Ship Date]]-Table3[[#This Row],[Order Date]]</f>
        <v>5</v>
      </c>
      <c r="N49" s="23" t="s">
        <v>45</v>
      </c>
      <c r="O49" s="23" t="s">
        <v>23</v>
      </c>
      <c r="P49" s="23" t="s">
        <v>38</v>
      </c>
      <c r="Q49" s="23" t="s">
        <v>39</v>
      </c>
      <c r="R49" s="23" t="s">
        <v>37</v>
      </c>
      <c r="S49" s="33">
        <v>0</v>
      </c>
      <c r="T49" s="13">
        <v>154.9</v>
      </c>
      <c r="U49" s="13">
        <v>69.704999999999998</v>
      </c>
      <c r="V49" s="55">
        <f>Table3[[#This Row],[Profit]]/Table3[[#This Row],[Sales]]</f>
        <v>0.44999999999999996</v>
      </c>
    </row>
    <row r="50" spans="1:22" x14ac:dyDescent="0.2">
      <c r="A50">
        <v>49</v>
      </c>
      <c r="B50" t="s">
        <v>10077</v>
      </c>
      <c r="C50" s="1">
        <v>42749</v>
      </c>
      <c r="D50" s="22">
        <f>MONTH(Table3[[#This Row],[Order Date]])</f>
        <v>1</v>
      </c>
      <c r="E50" t="s">
        <v>562</v>
      </c>
      <c r="F50" t="s">
        <v>563</v>
      </c>
      <c r="G50" s="23" t="s">
        <v>41</v>
      </c>
      <c r="H50" s="23" t="s">
        <v>53</v>
      </c>
      <c r="I50" t="s">
        <v>2682</v>
      </c>
      <c r="J50" t="s">
        <v>92</v>
      </c>
      <c r="K50" s="22">
        <v>5</v>
      </c>
      <c r="L50" s="1">
        <v>42755</v>
      </c>
      <c r="M50" s="22">
        <f>Table3[[#This Row],[Ship Date]]-Table3[[#This Row],[Order Date]]</f>
        <v>6</v>
      </c>
      <c r="N50" s="23" t="s">
        <v>45</v>
      </c>
      <c r="O50" s="23" t="s">
        <v>23</v>
      </c>
      <c r="P50" s="23" t="s">
        <v>226</v>
      </c>
      <c r="Q50" s="23" t="s">
        <v>95</v>
      </c>
      <c r="R50" s="23" t="s">
        <v>1294</v>
      </c>
      <c r="S50" s="33">
        <v>0</v>
      </c>
      <c r="T50" s="13">
        <v>67.400000000000006</v>
      </c>
      <c r="U50" s="13">
        <v>17.524000000000001</v>
      </c>
      <c r="V50" s="55">
        <f>Table3[[#This Row],[Profit]]/Table3[[#This Row],[Sales]]</f>
        <v>0.26</v>
      </c>
    </row>
    <row r="51" spans="1:22" x14ac:dyDescent="0.2">
      <c r="A51">
        <v>50</v>
      </c>
      <c r="B51" t="s">
        <v>10077</v>
      </c>
      <c r="C51" s="1">
        <v>42749</v>
      </c>
      <c r="D51" s="22">
        <f>MONTH(Table3[[#This Row],[Order Date]])</f>
        <v>1</v>
      </c>
      <c r="E51" t="s">
        <v>883</v>
      </c>
      <c r="F51" t="s">
        <v>884</v>
      </c>
      <c r="G51" s="23" t="s">
        <v>41</v>
      </c>
      <c r="H51" s="23" t="s">
        <v>240</v>
      </c>
      <c r="I51" t="s">
        <v>2682</v>
      </c>
      <c r="J51" t="s">
        <v>92</v>
      </c>
      <c r="K51" s="22">
        <v>2</v>
      </c>
      <c r="L51" s="1">
        <v>42755</v>
      </c>
      <c r="M51" s="22">
        <f>Table3[[#This Row],[Ship Date]]-Table3[[#This Row],[Order Date]]</f>
        <v>6</v>
      </c>
      <c r="N51" s="23" t="s">
        <v>45</v>
      </c>
      <c r="O51" s="23" t="s">
        <v>23</v>
      </c>
      <c r="P51" s="23" t="s">
        <v>226</v>
      </c>
      <c r="Q51" s="23" t="s">
        <v>95</v>
      </c>
      <c r="R51" s="23" t="s">
        <v>1294</v>
      </c>
      <c r="S51" s="33">
        <v>0</v>
      </c>
      <c r="T51" s="13">
        <v>2.52</v>
      </c>
      <c r="U51" s="13">
        <v>0.1008</v>
      </c>
      <c r="V51" s="55">
        <f>Table3[[#This Row],[Profit]]/Table3[[#This Row],[Sales]]</f>
        <v>0.04</v>
      </c>
    </row>
    <row r="52" spans="1:22" x14ac:dyDescent="0.2">
      <c r="A52">
        <v>51</v>
      </c>
      <c r="B52" t="s">
        <v>10077</v>
      </c>
      <c r="C52" s="1">
        <v>42749</v>
      </c>
      <c r="D52" s="22">
        <f>MONTH(Table3[[#This Row],[Order Date]])</f>
        <v>1</v>
      </c>
      <c r="E52" t="s">
        <v>3680</v>
      </c>
      <c r="F52" t="s">
        <v>3681</v>
      </c>
      <c r="G52" s="23" t="s">
        <v>64</v>
      </c>
      <c r="H52" s="23" t="s">
        <v>65</v>
      </c>
      <c r="I52" t="s">
        <v>2682</v>
      </c>
      <c r="J52" t="s">
        <v>92</v>
      </c>
      <c r="K52" s="22">
        <v>4</v>
      </c>
      <c r="L52" s="1">
        <v>42755</v>
      </c>
      <c r="M52" s="22">
        <f>Table3[[#This Row],[Ship Date]]-Table3[[#This Row],[Order Date]]</f>
        <v>6</v>
      </c>
      <c r="N52" s="23" t="s">
        <v>45</v>
      </c>
      <c r="O52" s="23" t="s">
        <v>23</v>
      </c>
      <c r="P52" s="23" t="s">
        <v>226</v>
      </c>
      <c r="Q52" s="23" t="s">
        <v>95</v>
      </c>
      <c r="R52" s="23" t="s">
        <v>1294</v>
      </c>
      <c r="S52" s="33">
        <v>0</v>
      </c>
      <c r="T52" s="13">
        <v>67.8</v>
      </c>
      <c r="U52" s="13">
        <v>1.3560000000000001</v>
      </c>
      <c r="V52" s="55">
        <f>Table3[[#This Row],[Profit]]/Table3[[#This Row],[Sales]]</f>
        <v>2.0000000000000004E-2</v>
      </c>
    </row>
    <row r="53" spans="1:22" x14ac:dyDescent="0.2">
      <c r="A53">
        <v>52</v>
      </c>
      <c r="B53" t="s">
        <v>10077</v>
      </c>
      <c r="C53" s="1">
        <v>42749</v>
      </c>
      <c r="D53" s="22">
        <f>MONTH(Table3[[#This Row],[Order Date]])</f>
        <v>1</v>
      </c>
      <c r="E53" t="s">
        <v>4224</v>
      </c>
      <c r="F53" t="s">
        <v>2339</v>
      </c>
      <c r="G53" s="23" t="s">
        <v>41</v>
      </c>
      <c r="H53" s="23" t="s">
        <v>53</v>
      </c>
      <c r="I53" t="s">
        <v>2682</v>
      </c>
      <c r="J53" t="s">
        <v>92</v>
      </c>
      <c r="K53" s="22">
        <v>2</v>
      </c>
      <c r="L53" s="1">
        <v>42755</v>
      </c>
      <c r="M53" s="22">
        <f>Table3[[#This Row],[Ship Date]]-Table3[[#This Row],[Order Date]]</f>
        <v>6</v>
      </c>
      <c r="N53" s="23" t="s">
        <v>45</v>
      </c>
      <c r="O53" s="23" t="s">
        <v>23</v>
      </c>
      <c r="P53" s="23" t="s">
        <v>226</v>
      </c>
      <c r="Q53" s="23" t="s">
        <v>95</v>
      </c>
      <c r="R53" s="23" t="s">
        <v>1294</v>
      </c>
      <c r="S53" s="33">
        <v>0</v>
      </c>
      <c r="T53" s="13">
        <v>18.760000000000002</v>
      </c>
      <c r="U53" s="13">
        <v>5.2527999999999997</v>
      </c>
      <c r="V53" s="55">
        <f>Table3[[#This Row],[Profit]]/Table3[[#This Row],[Sales]]</f>
        <v>0.27999999999999997</v>
      </c>
    </row>
    <row r="54" spans="1:22" x14ac:dyDescent="0.2">
      <c r="A54">
        <v>53</v>
      </c>
      <c r="B54" t="s">
        <v>10077</v>
      </c>
      <c r="C54" s="1">
        <v>42749</v>
      </c>
      <c r="D54" s="22">
        <f>MONTH(Table3[[#This Row],[Order Date]])</f>
        <v>1</v>
      </c>
      <c r="E54" t="s">
        <v>1468</v>
      </c>
      <c r="F54" t="s">
        <v>1469</v>
      </c>
      <c r="G54" s="23" t="s">
        <v>64</v>
      </c>
      <c r="H54" s="23" t="s">
        <v>144</v>
      </c>
      <c r="I54" t="s">
        <v>2682</v>
      </c>
      <c r="J54" t="s">
        <v>92</v>
      </c>
      <c r="K54" s="22">
        <v>4</v>
      </c>
      <c r="L54" s="1">
        <v>42755</v>
      </c>
      <c r="M54" s="22">
        <f>Table3[[#This Row],[Ship Date]]-Table3[[#This Row],[Order Date]]</f>
        <v>6</v>
      </c>
      <c r="N54" s="23" t="s">
        <v>45</v>
      </c>
      <c r="O54" s="23" t="s">
        <v>23</v>
      </c>
      <c r="P54" s="23" t="s">
        <v>226</v>
      </c>
      <c r="Q54" s="23" t="s">
        <v>95</v>
      </c>
      <c r="R54" s="23" t="s">
        <v>1294</v>
      </c>
      <c r="S54" s="33">
        <v>0</v>
      </c>
      <c r="T54" s="13">
        <v>12.12</v>
      </c>
      <c r="U54" s="13">
        <v>2.5451999999999999</v>
      </c>
      <c r="V54" s="55">
        <f>Table3[[#This Row],[Profit]]/Table3[[#This Row],[Sales]]</f>
        <v>0.21</v>
      </c>
    </row>
    <row r="55" spans="1:22" x14ac:dyDescent="0.2">
      <c r="A55">
        <v>54</v>
      </c>
      <c r="B55" t="s">
        <v>10077</v>
      </c>
      <c r="C55" s="1">
        <v>42749</v>
      </c>
      <c r="D55" s="22">
        <f>MONTH(Table3[[#This Row],[Order Date]])</f>
        <v>1</v>
      </c>
      <c r="E55" t="s">
        <v>2591</v>
      </c>
      <c r="F55" t="s">
        <v>2592</v>
      </c>
      <c r="G55" s="23" t="s">
        <v>41</v>
      </c>
      <c r="H55" s="23" t="s">
        <v>82</v>
      </c>
      <c r="I55" t="s">
        <v>2682</v>
      </c>
      <c r="J55" t="s">
        <v>92</v>
      </c>
      <c r="K55" s="22">
        <v>1</v>
      </c>
      <c r="L55" s="1">
        <v>42755</v>
      </c>
      <c r="M55" s="22">
        <f>Table3[[#This Row],[Ship Date]]-Table3[[#This Row],[Order Date]]</f>
        <v>6</v>
      </c>
      <c r="N55" s="23" t="s">
        <v>45</v>
      </c>
      <c r="O55" s="23" t="s">
        <v>23</v>
      </c>
      <c r="P55" s="23" t="s">
        <v>226</v>
      </c>
      <c r="Q55" s="23" t="s">
        <v>95</v>
      </c>
      <c r="R55" s="23" t="s">
        <v>1294</v>
      </c>
      <c r="S55" s="33">
        <v>0</v>
      </c>
      <c r="T55" s="13">
        <v>11.34</v>
      </c>
      <c r="U55" s="13">
        <v>5.5566000000000004</v>
      </c>
      <c r="V55" s="55">
        <f>Table3[[#This Row],[Profit]]/Table3[[#This Row],[Sales]]</f>
        <v>0.49000000000000005</v>
      </c>
    </row>
    <row r="56" spans="1:22" x14ac:dyDescent="0.2">
      <c r="A56">
        <v>55</v>
      </c>
      <c r="B56" t="s">
        <v>10077</v>
      </c>
      <c r="C56" s="1">
        <v>42749</v>
      </c>
      <c r="D56" s="22">
        <f>MONTH(Table3[[#This Row],[Order Date]])</f>
        <v>1</v>
      </c>
      <c r="E56" t="s">
        <v>874</v>
      </c>
      <c r="F56" t="s">
        <v>875</v>
      </c>
      <c r="G56" s="23" t="s">
        <v>64</v>
      </c>
      <c r="H56" s="23" t="s">
        <v>144</v>
      </c>
      <c r="I56" t="s">
        <v>2682</v>
      </c>
      <c r="J56" t="s">
        <v>92</v>
      </c>
      <c r="K56" s="22">
        <v>4</v>
      </c>
      <c r="L56" s="1">
        <v>42755</v>
      </c>
      <c r="M56" s="22">
        <f>Table3[[#This Row],[Ship Date]]-Table3[[#This Row],[Order Date]]</f>
        <v>6</v>
      </c>
      <c r="N56" s="23" t="s">
        <v>45</v>
      </c>
      <c r="O56" s="23" t="s">
        <v>23</v>
      </c>
      <c r="P56" s="23" t="s">
        <v>226</v>
      </c>
      <c r="Q56" s="23" t="s">
        <v>95</v>
      </c>
      <c r="R56" s="23" t="s">
        <v>1294</v>
      </c>
      <c r="S56" s="33">
        <v>0</v>
      </c>
      <c r="T56" s="13">
        <v>159.80000000000001</v>
      </c>
      <c r="U56" s="13">
        <v>70.311999999999998</v>
      </c>
      <c r="V56" s="55">
        <f>Table3[[#This Row],[Profit]]/Table3[[#This Row],[Sales]]</f>
        <v>0.43999999999999995</v>
      </c>
    </row>
    <row r="57" spans="1:22" x14ac:dyDescent="0.2">
      <c r="A57">
        <v>56</v>
      </c>
      <c r="B57" t="s">
        <v>10077</v>
      </c>
      <c r="C57" s="1">
        <v>42749</v>
      </c>
      <c r="D57" s="22">
        <f>MONTH(Table3[[#This Row],[Order Date]])</f>
        <v>1</v>
      </c>
      <c r="E57" t="s">
        <v>4199</v>
      </c>
      <c r="F57" t="s">
        <v>4200</v>
      </c>
      <c r="G57" s="23" t="s">
        <v>28</v>
      </c>
      <c r="H57" s="23" t="s">
        <v>58</v>
      </c>
      <c r="I57" t="s">
        <v>2682</v>
      </c>
      <c r="J57" t="s">
        <v>92</v>
      </c>
      <c r="K57" s="22">
        <v>2</v>
      </c>
      <c r="L57" s="1">
        <v>42755</v>
      </c>
      <c r="M57" s="22">
        <f>Table3[[#This Row],[Ship Date]]-Table3[[#This Row],[Order Date]]</f>
        <v>6</v>
      </c>
      <c r="N57" s="23" t="s">
        <v>45</v>
      </c>
      <c r="O57" s="23" t="s">
        <v>23</v>
      </c>
      <c r="P57" s="23" t="s">
        <v>226</v>
      </c>
      <c r="Q57" s="23" t="s">
        <v>95</v>
      </c>
      <c r="R57" s="23" t="s">
        <v>1294</v>
      </c>
      <c r="S57" s="33">
        <v>0</v>
      </c>
      <c r="T57" s="13">
        <v>18.96</v>
      </c>
      <c r="U57" s="13">
        <v>8.532</v>
      </c>
      <c r="V57" s="55">
        <f>Table3[[#This Row],[Profit]]/Table3[[#This Row],[Sales]]</f>
        <v>0.44999999999999996</v>
      </c>
    </row>
    <row r="58" spans="1:22" x14ac:dyDescent="0.2">
      <c r="A58">
        <v>57</v>
      </c>
      <c r="B58" t="s">
        <v>5286</v>
      </c>
      <c r="C58" s="1">
        <v>42750</v>
      </c>
      <c r="D58" s="22">
        <f>MONTH(Table3[[#This Row],[Order Date]])</f>
        <v>1</v>
      </c>
      <c r="E58" t="s">
        <v>5287</v>
      </c>
      <c r="F58" t="s">
        <v>5288</v>
      </c>
      <c r="G58" s="23" t="s">
        <v>41</v>
      </c>
      <c r="H58" s="23" t="s">
        <v>71</v>
      </c>
      <c r="I58" t="s">
        <v>2589</v>
      </c>
      <c r="J58" t="s">
        <v>22</v>
      </c>
      <c r="K58" s="22">
        <v>1</v>
      </c>
      <c r="L58" s="1">
        <v>42753</v>
      </c>
      <c r="M58" s="22">
        <f>Table3[[#This Row],[Ship Date]]-Table3[[#This Row],[Order Date]]</f>
        <v>3</v>
      </c>
      <c r="N58" s="23" t="s">
        <v>169</v>
      </c>
      <c r="O58" s="23" t="s">
        <v>23</v>
      </c>
      <c r="P58" s="23" t="s">
        <v>132</v>
      </c>
      <c r="Q58" s="23" t="s">
        <v>133</v>
      </c>
      <c r="R58" s="23" t="s">
        <v>131</v>
      </c>
      <c r="S58" s="33">
        <v>0.2</v>
      </c>
      <c r="T58" s="13">
        <v>34.384</v>
      </c>
      <c r="U58" s="13">
        <v>3.8681999999999999</v>
      </c>
      <c r="V58" s="55">
        <f>Table3[[#This Row],[Profit]]/Table3[[#This Row],[Sales]]</f>
        <v>0.11249999999999999</v>
      </c>
    </row>
    <row r="59" spans="1:22" x14ac:dyDescent="0.2">
      <c r="A59">
        <v>58</v>
      </c>
      <c r="B59" t="s">
        <v>5286</v>
      </c>
      <c r="C59" s="1">
        <v>42750</v>
      </c>
      <c r="D59" s="22">
        <f>MONTH(Table3[[#This Row],[Order Date]])</f>
        <v>1</v>
      </c>
      <c r="E59" t="s">
        <v>828</v>
      </c>
      <c r="F59" t="s">
        <v>829</v>
      </c>
      <c r="G59" s="23" t="s">
        <v>41</v>
      </c>
      <c r="H59" s="23" t="s">
        <v>71</v>
      </c>
      <c r="I59" t="s">
        <v>2589</v>
      </c>
      <c r="J59" t="s">
        <v>22</v>
      </c>
      <c r="K59" s="22">
        <v>8</v>
      </c>
      <c r="L59" s="1">
        <v>42753</v>
      </c>
      <c r="M59" s="22">
        <f>Table3[[#This Row],[Ship Date]]-Table3[[#This Row],[Order Date]]</f>
        <v>3</v>
      </c>
      <c r="N59" s="23" t="s">
        <v>169</v>
      </c>
      <c r="O59" s="23" t="s">
        <v>23</v>
      </c>
      <c r="P59" s="23" t="s">
        <v>132</v>
      </c>
      <c r="Q59" s="23" t="s">
        <v>133</v>
      </c>
      <c r="R59" s="23" t="s">
        <v>131</v>
      </c>
      <c r="S59" s="33">
        <v>0.2</v>
      </c>
      <c r="T59" s="13">
        <v>1924.16</v>
      </c>
      <c r="U59" s="13">
        <v>312.67599999999999</v>
      </c>
      <c r="V59" s="55">
        <f>Table3[[#This Row],[Profit]]/Table3[[#This Row],[Sales]]</f>
        <v>0.16249999999999998</v>
      </c>
    </row>
    <row r="60" spans="1:22" x14ac:dyDescent="0.2">
      <c r="A60">
        <v>59</v>
      </c>
      <c r="B60" t="s">
        <v>6366</v>
      </c>
      <c r="C60" s="1">
        <v>42750</v>
      </c>
      <c r="D60" s="22">
        <f>MONTH(Table3[[#This Row],[Order Date]])</f>
        <v>1</v>
      </c>
      <c r="E60" t="s">
        <v>294</v>
      </c>
      <c r="F60" t="s">
        <v>295</v>
      </c>
      <c r="G60" s="23" t="s">
        <v>41</v>
      </c>
      <c r="H60" s="23" t="s">
        <v>82</v>
      </c>
      <c r="I60" t="s">
        <v>1402</v>
      </c>
      <c r="J60" t="s">
        <v>22</v>
      </c>
      <c r="K60" s="22">
        <v>2</v>
      </c>
      <c r="L60" s="1">
        <v>42754</v>
      </c>
      <c r="M60" s="22">
        <f>Table3[[#This Row],[Ship Date]]-Table3[[#This Row],[Order Date]]</f>
        <v>4</v>
      </c>
      <c r="N60" s="23" t="s">
        <v>45</v>
      </c>
      <c r="O60" s="23" t="s">
        <v>23</v>
      </c>
      <c r="P60" s="23" t="s">
        <v>1101</v>
      </c>
      <c r="Q60" s="23" t="s">
        <v>133</v>
      </c>
      <c r="R60" s="23" t="s">
        <v>1168</v>
      </c>
      <c r="S60" s="33">
        <v>0</v>
      </c>
      <c r="T60" s="13">
        <v>12.7</v>
      </c>
      <c r="U60" s="13">
        <v>5.8419999999999996</v>
      </c>
      <c r="V60" s="55">
        <f>Table3[[#This Row],[Profit]]/Table3[[#This Row],[Sales]]</f>
        <v>0.46</v>
      </c>
    </row>
    <row r="61" spans="1:22" x14ac:dyDescent="0.2">
      <c r="A61">
        <v>60</v>
      </c>
      <c r="B61" t="s">
        <v>7221</v>
      </c>
      <c r="C61" s="1">
        <v>42750</v>
      </c>
      <c r="D61" s="22">
        <f>MONTH(Table3[[#This Row],[Order Date]])</f>
        <v>1</v>
      </c>
      <c r="E61" t="s">
        <v>3670</v>
      </c>
      <c r="F61" t="s">
        <v>3671</v>
      </c>
      <c r="G61" s="23" t="s">
        <v>41</v>
      </c>
      <c r="H61" s="23" t="s">
        <v>61</v>
      </c>
      <c r="I61" t="s">
        <v>3683</v>
      </c>
      <c r="J61" t="s">
        <v>92</v>
      </c>
      <c r="K61" s="22">
        <v>5</v>
      </c>
      <c r="L61" s="1">
        <v>42754</v>
      </c>
      <c r="M61" s="22">
        <f>Table3[[#This Row],[Ship Date]]-Table3[[#This Row],[Order Date]]</f>
        <v>4</v>
      </c>
      <c r="N61" s="23" t="s">
        <v>45</v>
      </c>
      <c r="O61" s="23" t="s">
        <v>23</v>
      </c>
      <c r="P61" s="23" t="s">
        <v>38</v>
      </c>
      <c r="Q61" s="23" t="s">
        <v>39</v>
      </c>
      <c r="R61" s="23" t="s">
        <v>37</v>
      </c>
      <c r="S61" s="33">
        <v>0</v>
      </c>
      <c r="T61" s="13">
        <v>21.4</v>
      </c>
      <c r="U61" s="13">
        <v>6.2060000000000004</v>
      </c>
      <c r="V61" s="55">
        <f>Table3[[#This Row],[Profit]]/Table3[[#This Row],[Sales]]</f>
        <v>0.29000000000000004</v>
      </c>
    </row>
    <row r="62" spans="1:22" x14ac:dyDescent="0.2">
      <c r="A62">
        <v>61</v>
      </c>
      <c r="B62" t="s">
        <v>8097</v>
      </c>
      <c r="C62" s="1">
        <v>42750</v>
      </c>
      <c r="D62" s="22">
        <f>MONTH(Table3[[#This Row],[Order Date]])</f>
        <v>1</v>
      </c>
      <c r="E62" t="s">
        <v>2755</v>
      </c>
      <c r="F62" t="s">
        <v>2756</v>
      </c>
      <c r="G62" s="23" t="s">
        <v>41</v>
      </c>
      <c r="H62" s="23" t="s">
        <v>68</v>
      </c>
      <c r="I62" t="s">
        <v>4946</v>
      </c>
      <c r="J62" t="s">
        <v>22</v>
      </c>
      <c r="K62" s="22">
        <v>4</v>
      </c>
      <c r="L62" s="1">
        <v>42753</v>
      </c>
      <c r="M62" s="22">
        <f>Table3[[#This Row],[Ship Date]]-Table3[[#This Row],[Order Date]]</f>
        <v>3</v>
      </c>
      <c r="N62" s="23" t="s">
        <v>169</v>
      </c>
      <c r="O62" s="23" t="s">
        <v>23</v>
      </c>
      <c r="P62" s="23" t="s">
        <v>94</v>
      </c>
      <c r="Q62" s="23" t="s">
        <v>95</v>
      </c>
      <c r="R62" s="23" t="s">
        <v>1095</v>
      </c>
      <c r="S62" s="33">
        <v>0.8</v>
      </c>
      <c r="T62" s="13">
        <v>32.783999999999999</v>
      </c>
      <c r="U62" s="13">
        <v>-52.4544</v>
      </c>
      <c r="V62" s="55">
        <f>Table3[[#This Row],[Profit]]/Table3[[#This Row],[Sales]]</f>
        <v>-1.6</v>
      </c>
    </row>
    <row r="63" spans="1:22" x14ac:dyDescent="0.2">
      <c r="A63">
        <v>62</v>
      </c>
      <c r="B63" t="s">
        <v>8097</v>
      </c>
      <c r="C63" s="1">
        <v>42750</v>
      </c>
      <c r="D63" s="22">
        <f>MONTH(Table3[[#This Row],[Order Date]])</f>
        <v>1</v>
      </c>
      <c r="E63" t="s">
        <v>897</v>
      </c>
      <c r="F63" t="s">
        <v>898</v>
      </c>
      <c r="G63" s="23" t="s">
        <v>64</v>
      </c>
      <c r="H63" s="23" t="s">
        <v>144</v>
      </c>
      <c r="I63" t="s">
        <v>4946</v>
      </c>
      <c r="J63" t="s">
        <v>22</v>
      </c>
      <c r="K63" s="22">
        <v>2</v>
      </c>
      <c r="L63" s="1">
        <v>42753</v>
      </c>
      <c r="M63" s="22">
        <f>Table3[[#This Row],[Ship Date]]-Table3[[#This Row],[Order Date]]</f>
        <v>3</v>
      </c>
      <c r="N63" s="23" t="s">
        <v>169</v>
      </c>
      <c r="O63" s="23" t="s">
        <v>23</v>
      </c>
      <c r="P63" s="23" t="s">
        <v>94</v>
      </c>
      <c r="Q63" s="23" t="s">
        <v>95</v>
      </c>
      <c r="R63" s="23" t="s">
        <v>1095</v>
      </c>
      <c r="S63" s="33">
        <v>0.2</v>
      </c>
      <c r="T63" s="13">
        <v>47.984000000000002</v>
      </c>
      <c r="U63" s="13">
        <v>14.395200000000001</v>
      </c>
      <c r="V63" s="55">
        <f>Table3[[#This Row],[Profit]]/Table3[[#This Row],[Sales]]</f>
        <v>0.3</v>
      </c>
    </row>
    <row r="64" spans="1:22" x14ac:dyDescent="0.2">
      <c r="A64">
        <v>63</v>
      </c>
      <c r="B64" t="s">
        <v>8097</v>
      </c>
      <c r="C64" s="1">
        <v>42750</v>
      </c>
      <c r="D64" s="22">
        <f>MONTH(Table3[[#This Row],[Order Date]])</f>
        <v>1</v>
      </c>
      <c r="E64" t="s">
        <v>6317</v>
      </c>
      <c r="F64" t="s">
        <v>6318</v>
      </c>
      <c r="G64" s="23" t="s">
        <v>64</v>
      </c>
      <c r="H64" s="23" t="s">
        <v>144</v>
      </c>
      <c r="I64" t="s">
        <v>4946</v>
      </c>
      <c r="J64" t="s">
        <v>22</v>
      </c>
      <c r="K64" s="22">
        <v>8</v>
      </c>
      <c r="L64" s="1">
        <v>42753</v>
      </c>
      <c r="M64" s="22">
        <f>Table3[[#This Row],[Ship Date]]-Table3[[#This Row],[Order Date]]</f>
        <v>3</v>
      </c>
      <c r="N64" s="23" t="s">
        <v>169</v>
      </c>
      <c r="O64" s="23" t="s">
        <v>23</v>
      </c>
      <c r="P64" s="23" t="s">
        <v>94</v>
      </c>
      <c r="Q64" s="23" t="s">
        <v>95</v>
      </c>
      <c r="R64" s="23" t="s">
        <v>1095</v>
      </c>
      <c r="S64" s="33">
        <v>0.2</v>
      </c>
      <c r="T64" s="13">
        <v>62.591999999999999</v>
      </c>
      <c r="U64" s="13">
        <v>13.300800000000001</v>
      </c>
      <c r="V64" s="55">
        <f>Table3[[#This Row],[Profit]]/Table3[[#This Row],[Sales]]</f>
        <v>0.21250000000000002</v>
      </c>
    </row>
    <row r="65" spans="1:22" x14ac:dyDescent="0.2">
      <c r="A65">
        <v>64</v>
      </c>
      <c r="B65" t="s">
        <v>8097</v>
      </c>
      <c r="C65" s="1">
        <v>42750</v>
      </c>
      <c r="D65" s="22">
        <f>MONTH(Table3[[#This Row],[Order Date]])</f>
        <v>1</v>
      </c>
      <c r="E65" t="s">
        <v>1414</v>
      </c>
      <c r="F65" t="s">
        <v>1415</v>
      </c>
      <c r="G65" s="23" t="s">
        <v>41</v>
      </c>
      <c r="H65" s="23" t="s">
        <v>68</v>
      </c>
      <c r="I65" t="s">
        <v>4946</v>
      </c>
      <c r="J65" t="s">
        <v>22</v>
      </c>
      <c r="K65" s="22">
        <v>1</v>
      </c>
      <c r="L65" s="1">
        <v>42753</v>
      </c>
      <c r="M65" s="22">
        <f>Table3[[#This Row],[Ship Date]]-Table3[[#This Row],[Order Date]]</f>
        <v>3</v>
      </c>
      <c r="N65" s="23" t="s">
        <v>169</v>
      </c>
      <c r="O65" s="23" t="s">
        <v>23</v>
      </c>
      <c r="P65" s="23" t="s">
        <v>94</v>
      </c>
      <c r="Q65" s="23" t="s">
        <v>95</v>
      </c>
      <c r="R65" s="23" t="s">
        <v>1095</v>
      </c>
      <c r="S65" s="33">
        <v>0.8</v>
      </c>
      <c r="T65" s="13">
        <v>4.2759999999999998</v>
      </c>
      <c r="U65" s="13">
        <v>-6.6277999999999997</v>
      </c>
      <c r="V65" s="55">
        <f>Table3[[#This Row],[Profit]]/Table3[[#This Row],[Sales]]</f>
        <v>-1.55</v>
      </c>
    </row>
    <row r="66" spans="1:22" x14ac:dyDescent="0.2">
      <c r="A66">
        <v>65</v>
      </c>
      <c r="B66" t="s">
        <v>7355</v>
      </c>
      <c r="C66" s="1">
        <v>42751</v>
      </c>
      <c r="D66" s="22">
        <f>MONTH(Table3[[#This Row],[Order Date]])</f>
        <v>1</v>
      </c>
      <c r="E66" t="s">
        <v>57</v>
      </c>
      <c r="F66" t="s">
        <v>59</v>
      </c>
      <c r="G66" s="23" t="s">
        <v>28</v>
      </c>
      <c r="H66" s="23" t="s">
        <v>58</v>
      </c>
      <c r="I66" t="s">
        <v>5934</v>
      </c>
      <c r="J66" t="s">
        <v>36</v>
      </c>
      <c r="K66" s="22">
        <v>4</v>
      </c>
      <c r="L66" s="1">
        <v>42751</v>
      </c>
      <c r="M66" s="22">
        <f>Table3[[#This Row],[Ship Date]]-Table3[[#This Row],[Order Date]]</f>
        <v>0</v>
      </c>
      <c r="N66" s="23" t="s">
        <v>1141</v>
      </c>
      <c r="O66" s="23" t="s">
        <v>23</v>
      </c>
      <c r="P66" s="23" t="s">
        <v>38</v>
      </c>
      <c r="Q66" s="23" t="s">
        <v>39</v>
      </c>
      <c r="R66" s="23" t="s">
        <v>37</v>
      </c>
      <c r="S66" s="33">
        <v>0</v>
      </c>
      <c r="T66" s="13">
        <v>27.92</v>
      </c>
      <c r="U66" s="13">
        <v>8.0968</v>
      </c>
      <c r="V66" s="55">
        <f>Table3[[#This Row],[Profit]]/Table3[[#This Row],[Sales]]</f>
        <v>0.28999999999999998</v>
      </c>
    </row>
    <row r="67" spans="1:22" x14ac:dyDescent="0.2">
      <c r="A67">
        <v>66</v>
      </c>
      <c r="B67" t="s">
        <v>7355</v>
      </c>
      <c r="C67" s="1">
        <v>42751</v>
      </c>
      <c r="D67" s="22">
        <f>MONTH(Table3[[#This Row],[Order Date]])</f>
        <v>1</v>
      </c>
      <c r="E67" t="s">
        <v>2469</v>
      </c>
      <c r="F67" t="s">
        <v>2470</v>
      </c>
      <c r="G67" s="23" t="s">
        <v>28</v>
      </c>
      <c r="H67" s="23" t="s">
        <v>50</v>
      </c>
      <c r="I67" t="s">
        <v>5934</v>
      </c>
      <c r="J67" t="s">
        <v>36</v>
      </c>
      <c r="K67" s="22">
        <v>7</v>
      </c>
      <c r="L67" s="1">
        <v>42751</v>
      </c>
      <c r="M67" s="22">
        <f>Table3[[#This Row],[Ship Date]]-Table3[[#This Row],[Order Date]]</f>
        <v>0</v>
      </c>
      <c r="N67" s="23" t="s">
        <v>1141</v>
      </c>
      <c r="O67" s="23" t="s">
        <v>23</v>
      </c>
      <c r="P67" s="23" t="s">
        <v>38</v>
      </c>
      <c r="Q67" s="23" t="s">
        <v>39</v>
      </c>
      <c r="R67" s="23" t="s">
        <v>37</v>
      </c>
      <c r="S67" s="33">
        <v>0.2</v>
      </c>
      <c r="T67" s="13">
        <v>399.67200000000003</v>
      </c>
      <c r="U67" s="13">
        <v>-14.9877</v>
      </c>
      <c r="V67" s="55">
        <f>Table3[[#This Row],[Profit]]/Table3[[#This Row],[Sales]]</f>
        <v>-3.7499999999999999E-2</v>
      </c>
    </row>
    <row r="68" spans="1:22" x14ac:dyDescent="0.2">
      <c r="A68">
        <v>67</v>
      </c>
      <c r="B68" t="s">
        <v>8164</v>
      </c>
      <c r="C68" s="1">
        <v>42751</v>
      </c>
      <c r="D68" s="22">
        <f>MONTH(Table3[[#This Row],[Order Date]])</f>
        <v>1</v>
      </c>
      <c r="E68" t="s">
        <v>1110</v>
      </c>
      <c r="F68" t="s">
        <v>1111</v>
      </c>
      <c r="G68" s="23" t="s">
        <v>41</v>
      </c>
      <c r="H68" s="23" t="s">
        <v>68</v>
      </c>
      <c r="I68" t="s">
        <v>3554</v>
      </c>
      <c r="J68" t="s">
        <v>22</v>
      </c>
      <c r="K68" s="22">
        <v>4</v>
      </c>
      <c r="L68" s="1">
        <v>42753</v>
      </c>
      <c r="M68" s="22">
        <f>Table3[[#This Row],[Ship Date]]-Table3[[#This Row],[Order Date]]</f>
        <v>2</v>
      </c>
      <c r="N68" s="23" t="s">
        <v>20</v>
      </c>
      <c r="O68" s="23" t="s">
        <v>23</v>
      </c>
      <c r="P68" s="23" t="s">
        <v>212</v>
      </c>
      <c r="Q68" s="23" t="s">
        <v>95</v>
      </c>
      <c r="R68" s="23" t="s">
        <v>293</v>
      </c>
      <c r="S68" s="33">
        <v>0</v>
      </c>
      <c r="T68" s="13">
        <v>5443.96</v>
      </c>
      <c r="U68" s="13">
        <v>2504.2215999999999</v>
      </c>
      <c r="V68" s="55">
        <f>Table3[[#This Row],[Profit]]/Table3[[#This Row],[Sales]]</f>
        <v>0.45999999999999996</v>
      </c>
    </row>
    <row r="69" spans="1:22" x14ac:dyDescent="0.2">
      <c r="A69">
        <v>68</v>
      </c>
      <c r="B69" t="s">
        <v>8164</v>
      </c>
      <c r="C69" s="1">
        <v>42751</v>
      </c>
      <c r="D69" s="22">
        <f>MONTH(Table3[[#This Row],[Order Date]])</f>
        <v>1</v>
      </c>
      <c r="E69" t="s">
        <v>7198</v>
      </c>
      <c r="F69" t="s">
        <v>7199</v>
      </c>
      <c r="G69" s="23" t="s">
        <v>28</v>
      </c>
      <c r="H69" s="23" t="s">
        <v>32</v>
      </c>
      <c r="I69" t="s">
        <v>3554</v>
      </c>
      <c r="J69" t="s">
        <v>22</v>
      </c>
      <c r="K69" s="22">
        <v>3</v>
      </c>
      <c r="L69" s="1">
        <v>42753</v>
      </c>
      <c r="M69" s="22">
        <f>Table3[[#This Row],[Ship Date]]-Table3[[#This Row],[Order Date]]</f>
        <v>2</v>
      </c>
      <c r="N69" s="23" t="s">
        <v>20</v>
      </c>
      <c r="O69" s="23" t="s">
        <v>23</v>
      </c>
      <c r="P69" s="23" t="s">
        <v>212</v>
      </c>
      <c r="Q69" s="23" t="s">
        <v>95</v>
      </c>
      <c r="R69" s="23" t="s">
        <v>293</v>
      </c>
      <c r="S69" s="33">
        <v>0</v>
      </c>
      <c r="T69" s="13">
        <v>302.67</v>
      </c>
      <c r="U69" s="13">
        <v>72.640799999999999</v>
      </c>
      <c r="V69" s="55">
        <f>Table3[[#This Row],[Profit]]/Table3[[#This Row],[Sales]]</f>
        <v>0.24</v>
      </c>
    </row>
    <row r="70" spans="1:22" x14ac:dyDescent="0.2">
      <c r="A70">
        <v>69</v>
      </c>
      <c r="B70" t="s">
        <v>8164</v>
      </c>
      <c r="C70" s="1">
        <v>42751</v>
      </c>
      <c r="D70" s="22">
        <f>MONTH(Table3[[#This Row],[Order Date]])</f>
        <v>1</v>
      </c>
      <c r="E70" t="s">
        <v>8165</v>
      </c>
      <c r="F70" t="s">
        <v>8166</v>
      </c>
      <c r="G70" s="23" t="s">
        <v>41</v>
      </c>
      <c r="H70" s="23" t="s">
        <v>82</v>
      </c>
      <c r="I70" t="s">
        <v>3554</v>
      </c>
      <c r="J70" t="s">
        <v>22</v>
      </c>
      <c r="K70" s="22">
        <v>7</v>
      </c>
      <c r="L70" s="1">
        <v>42753</v>
      </c>
      <c r="M70" s="22">
        <f>Table3[[#This Row],[Ship Date]]-Table3[[#This Row],[Order Date]]</f>
        <v>2</v>
      </c>
      <c r="N70" s="23" t="s">
        <v>20</v>
      </c>
      <c r="O70" s="23" t="s">
        <v>23</v>
      </c>
      <c r="P70" s="23" t="s">
        <v>212</v>
      </c>
      <c r="Q70" s="23" t="s">
        <v>95</v>
      </c>
      <c r="R70" s="23" t="s">
        <v>293</v>
      </c>
      <c r="S70" s="33">
        <v>0</v>
      </c>
      <c r="T70" s="13">
        <v>56.07</v>
      </c>
      <c r="U70" s="13">
        <v>25.2315</v>
      </c>
      <c r="V70" s="55">
        <f>Table3[[#This Row],[Profit]]/Table3[[#This Row],[Sales]]</f>
        <v>0.45</v>
      </c>
    </row>
    <row r="71" spans="1:22" x14ac:dyDescent="0.2">
      <c r="A71">
        <v>70</v>
      </c>
      <c r="B71" t="s">
        <v>4147</v>
      </c>
      <c r="C71" s="1">
        <v>42754</v>
      </c>
      <c r="D71" s="22">
        <f>MONTH(Table3[[#This Row],[Order Date]])</f>
        <v>1</v>
      </c>
      <c r="E71" t="s">
        <v>4149</v>
      </c>
      <c r="F71" t="s">
        <v>4150</v>
      </c>
      <c r="G71" s="23" t="s">
        <v>41</v>
      </c>
      <c r="H71" s="23" t="s">
        <v>42</v>
      </c>
      <c r="I71" t="s">
        <v>2156</v>
      </c>
      <c r="J71" t="s">
        <v>22</v>
      </c>
      <c r="K71" s="22">
        <v>2</v>
      </c>
      <c r="L71" s="1">
        <v>42758</v>
      </c>
      <c r="M71" s="22">
        <f>Table3[[#This Row],[Ship Date]]-Table3[[#This Row],[Order Date]]</f>
        <v>4</v>
      </c>
      <c r="N71" s="23" t="s">
        <v>20</v>
      </c>
      <c r="O71" s="23" t="s">
        <v>23</v>
      </c>
      <c r="P71" s="23" t="s">
        <v>94</v>
      </c>
      <c r="Q71" s="23" t="s">
        <v>95</v>
      </c>
      <c r="R71" s="23" t="s">
        <v>4148</v>
      </c>
      <c r="S71" s="33">
        <v>0.2</v>
      </c>
      <c r="T71" s="13">
        <v>6</v>
      </c>
      <c r="U71" s="13">
        <v>2.1</v>
      </c>
      <c r="V71" s="55">
        <f>Table3[[#This Row],[Profit]]/Table3[[#This Row],[Sales]]</f>
        <v>0.35000000000000003</v>
      </c>
    </row>
    <row r="72" spans="1:22" x14ac:dyDescent="0.2">
      <c r="A72">
        <v>71</v>
      </c>
      <c r="B72" t="s">
        <v>9648</v>
      </c>
      <c r="C72" s="1">
        <v>42754</v>
      </c>
      <c r="D72" s="22">
        <f>MONTH(Table3[[#This Row],[Order Date]])</f>
        <v>1</v>
      </c>
      <c r="E72" t="s">
        <v>3942</v>
      </c>
      <c r="F72" t="s">
        <v>3943</v>
      </c>
      <c r="G72" s="23" t="s">
        <v>64</v>
      </c>
      <c r="H72" s="23" t="s">
        <v>65</v>
      </c>
      <c r="I72" t="s">
        <v>3821</v>
      </c>
      <c r="J72" t="s">
        <v>22</v>
      </c>
      <c r="K72" s="22">
        <v>2</v>
      </c>
      <c r="L72" s="1">
        <v>42759</v>
      </c>
      <c r="M72" s="22">
        <f>Table3[[#This Row],[Ship Date]]-Table3[[#This Row],[Order Date]]</f>
        <v>5</v>
      </c>
      <c r="N72" s="23" t="s">
        <v>20</v>
      </c>
      <c r="O72" s="23" t="s">
        <v>23</v>
      </c>
      <c r="P72" s="23" t="s">
        <v>132</v>
      </c>
      <c r="Q72" s="23" t="s">
        <v>133</v>
      </c>
      <c r="R72" s="23" t="s">
        <v>131</v>
      </c>
      <c r="S72" s="33">
        <v>0.4</v>
      </c>
      <c r="T72" s="13">
        <v>429.6</v>
      </c>
      <c r="U72" s="13">
        <v>-93.08</v>
      </c>
      <c r="V72" s="55">
        <f>Table3[[#This Row],[Profit]]/Table3[[#This Row],[Sales]]</f>
        <v>-0.21666666666666665</v>
      </c>
    </row>
    <row r="73" spans="1:22" x14ac:dyDescent="0.2">
      <c r="A73">
        <v>72</v>
      </c>
      <c r="B73" t="s">
        <v>9648</v>
      </c>
      <c r="C73" s="1">
        <v>42754</v>
      </c>
      <c r="D73" s="22">
        <f>MONTH(Table3[[#This Row],[Order Date]])</f>
        <v>1</v>
      </c>
      <c r="E73" t="s">
        <v>1924</v>
      </c>
      <c r="F73" t="s">
        <v>1925</v>
      </c>
      <c r="G73" s="23" t="s">
        <v>28</v>
      </c>
      <c r="H73" s="23" t="s">
        <v>58</v>
      </c>
      <c r="I73" t="s">
        <v>3821</v>
      </c>
      <c r="J73" t="s">
        <v>22</v>
      </c>
      <c r="K73" s="22">
        <v>2</v>
      </c>
      <c r="L73" s="1">
        <v>42759</v>
      </c>
      <c r="M73" s="22">
        <f>Table3[[#This Row],[Ship Date]]-Table3[[#This Row],[Order Date]]</f>
        <v>5</v>
      </c>
      <c r="N73" s="23" t="s">
        <v>20</v>
      </c>
      <c r="O73" s="23" t="s">
        <v>23</v>
      </c>
      <c r="P73" s="23" t="s">
        <v>132</v>
      </c>
      <c r="Q73" s="23" t="s">
        <v>133</v>
      </c>
      <c r="R73" s="23" t="s">
        <v>131</v>
      </c>
      <c r="S73" s="33">
        <v>0.2</v>
      </c>
      <c r="T73" s="13">
        <v>31.968</v>
      </c>
      <c r="U73" s="13">
        <v>6.3936000000000002</v>
      </c>
      <c r="V73" s="55">
        <f>Table3[[#This Row],[Profit]]/Table3[[#This Row],[Sales]]</f>
        <v>0.2</v>
      </c>
    </row>
    <row r="74" spans="1:22" x14ac:dyDescent="0.2">
      <c r="A74">
        <v>73</v>
      </c>
      <c r="B74" t="s">
        <v>9648</v>
      </c>
      <c r="C74" s="1">
        <v>42754</v>
      </c>
      <c r="D74" s="22">
        <f>MONTH(Table3[[#This Row],[Order Date]])</f>
        <v>1</v>
      </c>
      <c r="E74" t="s">
        <v>2674</v>
      </c>
      <c r="F74" t="s">
        <v>2675</v>
      </c>
      <c r="G74" s="23" t="s">
        <v>28</v>
      </c>
      <c r="H74" s="23" t="s">
        <v>32</v>
      </c>
      <c r="I74" t="s">
        <v>3821</v>
      </c>
      <c r="J74" t="s">
        <v>22</v>
      </c>
      <c r="K74" s="22">
        <v>3</v>
      </c>
      <c r="L74" s="1">
        <v>42759</v>
      </c>
      <c r="M74" s="22">
        <f>Table3[[#This Row],[Ship Date]]-Table3[[#This Row],[Order Date]]</f>
        <v>5</v>
      </c>
      <c r="N74" s="23" t="s">
        <v>20</v>
      </c>
      <c r="O74" s="23" t="s">
        <v>23</v>
      </c>
      <c r="P74" s="23" t="s">
        <v>132</v>
      </c>
      <c r="Q74" s="23" t="s">
        <v>133</v>
      </c>
      <c r="R74" s="23" t="s">
        <v>131</v>
      </c>
      <c r="S74" s="33">
        <v>0.3</v>
      </c>
      <c r="T74" s="13">
        <v>887.27099999999996</v>
      </c>
      <c r="U74" s="13">
        <v>-63.3765</v>
      </c>
      <c r="V74" s="55">
        <f>Table3[[#This Row],[Profit]]/Table3[[#This Row],[Sales]]</f>
        <v>-7.1428571428571438E-2</v>
      </c>
    </row>
    <row r="75" spans="1:22" x14ac:dyDescent="0.2">
      <c r="A75">
        <v>74</v>
      </c>
      <c r="B75" t="s">
        <v>9648</v>
      </c>
      <c r="C75" s="1">
        <v>42754</v>
      </c>
      <c r="D75" s="22">
        <f>MONTH(Table3[[#This Row],[Order Date]])</f>
        <v>1</v>
      </c>
      <c r="E75" t="s">
        <v>3410</v>
      </c>
      <c r="F75" t="s">
        <v>3411</v>
      </c>
      <c r="G75" s="23" t="s">
        <v>41</v>
      </c>
      <c r="H75" s="23" t="s">
        <v>82</v>
      </c>
      <c r="I75" t="s">
        <v>3821</v>
      </c>
      <c r="J75" t="s">
        <v>22</v>
      </c>
      <c r="K75" s="22">
        <v>4</v>
      </c>
      <c r="L75" s="1">
        <v>42759</v>
      </c>
      <c r="M75" s="22">
        <f>Table3[[#This Row],[Ship Date]]-Table3[[#This Row],[Order Date]]</f>
        <v>5</v>
      </c>
      <c r="N75" s="23" t="s">
        <v>20</v>
      </c>
      <c r="O75" s="23" t="s">
        <v>23</v>
      </c>
      <c r="P75" s="23" t="s">
        <v>132</v>
      </c>
      <c r="Q75" s="23" t="s">
        <v>133</v>
      </c>
      <c r="R75" s="23" t="s">
        <v>131</v>
      </c>
      <c r="S75" s="33">
        <v>0.2</v>
      </c>
      <c r="T75" s="13">
        <v>21.696000000000002</v>
      </c>
      <c r="U75" s="13">
        <v>7.0511999999999997</v>
      </c>
      <c r="V75" s="55">
        <f>Table3[[#This Row],[Profit]]/Table3[[#This Row],[Sales]]</f>
        <v>0.32499999999999996</v>
      </c>
    </row>
    <row r="76" spans="1:22" x14ac:dyDescent="0.2">
      <c r="A76">
        <v>75</v>
      </c>
      <c r="B76" t="s">
        <v>9802</v>
      </c>
      <c r="C76" s="1">
        <v>42754</v>
      </c>
      <c r="D76" s="22">
        <f>MONTH(Table3[[#This Row],[Order Date]])</f>
        <v>1</v>
      </c>
      <c r="E76" t="s">
        <v>1282</v>
      </c>
      <c r="F76" t="s">
        <v>1283</v>
      </c>
      <c r="G76" s="23" t="s">
        <v>41</v>
      </c>
      <c r="H76" s="23" t="s">
        <v>82</v>
      </c>
      <c r="I76" t="s">
        <v>3946</v>
      </c>
      <c r="J76" t="s">
        <v>22</v>
      </c>
      <c r="K76" s="22">
        <v>4</v>
      </c>
      <c r="L76" s="1">
        <v>42758</v>
      </c>
      <c r="M76" s="22">
        <f>Table3[[#This Row],[Ship Date]]-Table3[[#This Row],[Order Date]]</f>
        <v>4</v>
      </c>
      <c r="N76" s="23" t="s">
        <v>45</v>
      </c>
      <c r="O76" s="23" t="s">
        <v>23</v>
      </c>
      <c r="P76" s="23" t="s">
        <v>4617</v>
      </c>
      <c r="Q76" s="23" t="s">
        <v>133</v>
      </c>
      <c r="R76" s="23" t="s">
        <v>1957</v>
      </c>
      <c r="S76" s="33">
        <v>0</v>
      </c>
      <c r="T76" s="13">
        <v>79.92</v>
      </c>
      <c r="U76" s="13">
        <v>37.562399999999997</v>
      </c>
      <c r="V76" s="55">
        <f>Table3[[#This Row],[Profit]]/Table3[[#This Row],[Sales]]</f>
        <v>0.47</v>
      </c>
    </row>
    <row r="77" spans="1:22" x14ac:dyDescent="0.2">
      <c r="A77">
        <v>76</v>
      </c>
      <c r="B77" t="s">
        <v>9802</v>
      </c>
      <c r="C77" s="1">
        <v>42754</v>
      </c>
      <c r="D77" s="22">
        <f>MONTH(Table3[[#This Row],[Order Date]])</f>
        <v>1</v>
      </c>
      <c r="E77" t="s">
        <v>1106</v>
      </c>
      <c r="F77" t="s">
        <v>1107</v>
      </c>
      <c r="G77" s="23" t="s">
        <v>41</v>
      </c>
      <c r="H77" s="23" t="s">
        <v>82</v>
      </c>
      <c r="I77" t="s">
        <v>3946</v>
      </c>
      <c r="J77" t="s">
        <v>22</v>
      </c>
      <c r="K77" s="22">
        <v>1</v>
      </c>
      <c r="L77" s="1">
        <v>42758</v>
      </c>
      <c r="M77" s="22">
        <f>Table3[[#This Row],[Ship Date]]-Table3[[#This Row],[Order Date]]</f>
        <v>4</v>
      </c>
      <c r="N77" s="23" t="s">
        <v>45</v>
      </c>
      <c r="O77" s="23" t="s">
        <v>23</v>
      </c>
      <c r="P77" s="23" t="s">
        <v>4617</v>
      </c>
      <c r="Q77" s="23" t="s">
        <v>133</v>
      </c>
      <c r="R77" s="23" t="s">
        <v>1957</v>
      </c>
      <c r="S77" s="33">
        <v>0</v>
      </c>
      <c r="T77" s="13">
        <v>12.28</v>
      </c>
      <c r="U77" s="13">
        <v>5.7716000000000003</v>
      </c>
      <c r="V77" s="55">
        <f>Table3[[#This Row],[Profit]]/Table3[[#This Row],[Sales]]</f>
        <v>0.47000000000000003</v>
      </c>
    </row>
    <row r="78" spans="1:22" x14ac:dyDescent="0.2">
      <c r="A78">
        <v>77</v>
      </c>
      <c r="B78" t="s">
        <v>9802</v>
      </c>
      <c r="C78" s="1">
        <v>42754</v>
      </c>
      <c r="D78" s="22">
        <f>MONTH(Table3[[#This Row],[Order Date]])</f>
        <v>1</v>
      </c>
      <c r="E78" t="s">
        <v>3902</v>
      </c>
      <c r="F78" t="s">
        <v>3903</v>
      </c>
      <c r="G78" s="23" t="s">
        <v>41</v>
      </c>
      <c r="H78" s="23" t="s">
        <v>71</v>
      </c>
      <c r="I78" t="s">
        <v>3946</v>
      </c>
      <c r="J78" t="s">
        <v>22</v>
      </c>
      <c r="K78" s="22">
        <v>3</v>
      </c>
      <c r="L78" s="1">
        <v>42758</v>
      </c>
      <c r="M78" s="22">
        <f>Table3[[#This Row],[Ship Date]]-Table3[[#This Row],[Order Date]]</f>
        <v>4</v>
      </c>
      <c r="N78" s="23" t="s">
        <v>45</v>
      </c>
      <c r="O78" s="23" t="s">
        <v>23</v>
      </c>
      <c r="P78" s="23" t="s">
        <v>4617</v>
      </c>
      <c r="Q78" s="23" t="s">
        <v>133</v>
      </c>
      <c r="R78" s="23" t="s">
        <v>1957</v>
      </c>
      <c r="S78" s="33">
        <v>0</v>
      </c>
      <c r="T78" s="13">
        <v>542.94000000000005</v>
      </c>
      <c r="U78" s="13">
        <v>152.0232</v>
      </c>
      <c r="V78" s="55">
        <f>Table3[[#This Row],[Profit]]/Table3[[#This Row],[Sales]]</f>
        <v>0.27999999999999997</v>
      </c>
    </row>
    <row r="79" spans="1:22" x14ac:dyDescent="0.2">
      <c r="A79">
        <v>78</v>
      </c>
      <c r="B79" t="s">
        <v>9802</v>
      </c>
      <c r="C79" s="1">
        <v>42754</v>
      </c>
      <c r="D79" s="22">
        <f>MONTH(Table3[[#This Row],[Order Date]])</f>
        <v>1</v>
      </c>
      <c r="E79" t="s">
        <v>154</v>
      </c>
      <c r="F79" t="s">
        <v>156</v>
      </c>
      <c r="G79" s="23" t="s">
        <v>41</v>
      </c>
      <c r="H79" s="23" t="s">
        <v>155</v>
      </c>
      <c r="I79" t="s">
        <v>3946</v>
      </c>
      <c r="J79" t="s">
        <v>22</v>
      </c>
      <c r="K79" s="22">
        <v>1</v>
      </c>
      <c r="L79" s="1">
        <v>42758</v>
      </c>
      <c r="M79" s="22">
        <f>Table3[[#This Row],[Ship Date]]-Table3[[#This Row],[Order Date]]</f>
        <v>4</v>
      </c>
      <c r="N79" s="23" t="s">
        <v>45</v>
      </c>
      <c r="O79" s="23" t="s">
        <v>23</v>
      </c>
      <c r="P79" s="23" t="s">
        <v>4617</v>
      </c>
      <c r="Q79" s="23" t="s">
        <v>133</v>
      </c>
      <c r="R79" s="23" t="s">
        <v>1957</v>
      </c>
      <c r="S79" s="33">
        <v>0</v>
      </c>
      <c r="T79" s="13">
        <v>2.04</v>
      </c>
      <c r="U79" s="13">
        <v>0.95879999999999999</v>
      </c>
      <c r="V79" s="55">
        <f>Table3[[#This Row],[Profit]]/Table3[[#This Row],[Sales]]</f>
        <v>0.47</v>
      </c>
    </row>
    <row r="80" spans="1:22" x14ac:dyDescent="0.2">
      <c r="A80">
        <v>79</v>
      </c>
      <c r="B80" t="s">
        <v>1358</v>
      </c>
      <c r="C80" s="1">
        <v>42755</v>
      </c>
      <c r="D80" s="22">
        <f>MONTH(Table3[[#This Row],[Order Date]])</f>
        <v>1</v>
      </c>
      <c r="E80" t="s">
        <v>1359</v>
      </c>
      <c r="F80" t="s">
        <v>1360</v>
      </c>
      <c r="G80" s="23" t="s">
        <v>28</v>
      </c>
      <c r="H80" s="23" t="s">
        <v>32</v>
      </c>
      <c r="I80" t="s">
        <v>427</v>
      </c>
      <c r="J80" t="s">
        <v>36</v>
      </c>
      <c r="K80" s="22">
        <v>3</v>
      </c>
      <c r="L80" s="1">
        <v>42758</v>
      </c>
      <c r="M80" s="22">
        <f>Table3[[#This Row],[Ship Date]]-Table3[[#This Row],[Order Date]]</f>
        <v>3</v>
      </c>
      <c r="N80" s="23" t="s">
        <v>20</v>
      </c>
      <c r="O80" s="23" t="s">
        <v>23</v>
      </c>
      <c r="P80" s="23" t="s">
        <v>238</v>
      </c>
      <c r="Q80" s="23" t="s">
        <v>133</v>
      </c>
      <c r="R80" s="23" t="s">
        <v>237</v>
      </c>
      <c r="S80" s="33">
        <v>0.1</v>
      </c>
      <c r="T80" s="13">
        <v>207.846</v>
      </c>
      <c r="U80" s="13">
        <v>2.3094000000000001</v>
      </c>
      <c r="V80" s="55">
        <f>Table3[[#This Row],[Profit]]/Table3[[#This Row],[Sales]]</f>
        <v>1.1111111111111112E-2</v>
      </c>
    </row>
    <row r="81" spans="1:22" x14ac:dyDescent="0.2">
      <c r="A81">
        <v>80</v>
      </c>
      <c r="B81" t="s">
        <v>3811</v>
      </c>
      <c r="C81" s="1">
        <v>42755</v>
      </c>
      <c r="D81" s="22">
        <f>MONTH(Table3[[#This Row],[Order Date]])</f>
        <v>1</v>
      </c>
      <c r="E81" t="s">
        <v>3813</v>
      </c>
      <c r="F81" t="s">
        <v>3814</v>
      </c>
      <c r="G81" s="23" t="s">
        <v>64</v>
      </c>
      <c r="H81" s="23" t="s">
        <v>65</v>
      </c>
      <c r="I81" t="s">
        <v>3812</v>
      </c>
      <c r="J81" t="s">
        <v>22</v>
      </c>
      <c r="K81" s="22">
        <v>3</v>
      </c>
      <c r="L81" s="1">
        <v>42761</v>
      </c>
      <c r="M81" s="22">
        <f>Table3[[#This Row],[Ship Date]]-Table3[[#This Row],[Order Date]]</f>
        <v>6</v>
      </c>
      <c r="N81" s="23" t="s">
        <v>45</v>
      </c>
      <c r="O81" s="23" t="s">
        <v>23</v>
      </c>
      <c r="P81" s="23" t="s">
        <v>38</v>
      </c>
      <c r="Q81" s="23" t="s">
        <v>39</v>
      </c>
      <c r="R81" s="23" t="s">
        <v>37</v>
      </c>
      <c r="S81" s="33">
        <v>0.2</v>
      </c>
      <c r="T81" s="13">
        <v>160.77600000000001</v>
      </c>
      <c r="U81" s="13">
        <v>10.048500000000001</v>
      </c>
      <c r="V81" s="55">
        <f>Table3[[#This Row],[Profit]]/Table3[[#This Row],[Sales]]</f>
        <v>6.25E-2</v>
      </c>
    </row>
    <row r="82" spans="1:22" x14ac:dyDescent="0.2">
      <c r="A82">
        <v>81</v>
      </c>
      <c r="B82" t="s">
        <v>4844</v>
      </c>
      <c r="C82" s="1">
        <v>42755</v>
      </c>
      <c r="D82" s="22">
        <f>MONTH(Table3[[#This Row],[Order Date]])</f>
        <v>1</v>
      </c>
      <c r="E82" t="s">
        <v>4102</v>
      </c>
      <c r="F82" t="s">
        <v>2673</v>
      </c>
      <c r="G82" s="23" t="s">
        <v>41</v>
      </c>
      <c r="H82" s="23" t="s">
        <v>61</v>
      </c>
      <c r="I82" t="s">
        <v>4845</v>
      </c>
      <c r="J82" t="s">
        <v>22</v>
      </c>
      <c r="K82" s="22">
        <v>5</v>
      </c>
      <c r="L82" s="1">
        <v>42760</v>
      </c>
      <c r="M82" s="22">
        <f>Table3[[#This Row],[Ship Date]]-Table3[[#This Row],[Order Date]]</f>
        <v>5</v>
      </c>
      <c r="N82" s="23" t="s">
        <v>45</v>
      </c>
      <c r="O82" s="23" t="s">
        <v>23</v>
      </c>
      <c r="P82" s="23" t="s">
        <v>38</v>
      </c>
      <c r="Q82" s="23" t="s">
        <v>39</v>
      </c>
      <c r="R82" s="23" t="s">
        <v>114</v>
      </c>
      <c r="S82" s="33">
        <v>0</v>
      </c>
      <c r="T82" s="13">
        <v>24.2</v>
      </c>
      <c r="U82" s="13">
        <v>7.9859999999999998</v>
      </c>
      <c r="V82" s="55">
        <f>Table3[[#This Row],[Profit]]/Table3[[#This Row],[Sales]]</f>
        <v>0.33</v>
      </c>
    </row>
    <row r="83" spans="1:22" x14ac:dyDescent="0.2">
      <c r="A83">
        <v>82</v>
      </c>
      <c r="B83" t="s">
        <v>4844</v>
      </c>
      <c r="C83" s="1">
        <v>42755</v>
      </c>
      <c r="D83" s="22">
        <f>MONTH(Table3[[#This Row],[Order Date]])</f>
        <v>1</v>
      </c>
      <c r="E83" t="s">
        <v>4846</v>
      </c>
      <c r="F83" t="s">
        <v>4847</v>
      </c>
      <c r="G83" s="23" t="s">
        <v>64</v>
      </c>
      <c r="H83" s="23" t="s">
        <v>65</v>
      </c>
      <c r="I83" t="s">
        <v>4845</v>
      </c>
      <c r="J83" t="s">
        <v>22</v>
      </c>
      <c r="K83" s="22">
        <v>3</v>
      </c>
      <c r="L83" s="1">
        <v>42760</v>
      </c>
      <c r="M83" s="22">
        <f>Table3[[#This Row],[Ship Date]]-Table3[[#This Row],[Order Date]]</f>
        <v>5</v>
      </c>
      <c r="N83" s="23" t="s">
        <v>45</v>
      </c>
      <c r="O83" s="23" t="s">
        <v>23</v>
      </c>
      <c r="P83" s="23" t="s">
        <v>38</v>
      </c>
      <c r="Q83" s="23" t="s">
        <v>39</v>
      </c>
      <c r="R83" s="23" t="s">
        <v>114</v>
      </c>
      <c r="S83" s="33">
        <v>0.2</v>
      </c>
      <c r="T83" s="13">
        <v>359.976</v>
      </c>
      <c r="U83" s="13">
        <v>130.4913</v>
      </c>
      <c r="V83" s="55">
        <f>Table3[[#This Row],[Profit]]/Table3[[#This Row],[Sales]]</f>
        <v>0.36249999999999999</v>
      </c>
    </row>
    <row r="84" spans="1:22" x14ac:dyDescent="0.2">
      <c r="A84">
        <v>83</v>
      </c>
      <c r="B84" t="s">
        <v>7466</v>
      </c>
      <c r="C84" s="1">
        <v>42755</v>
      </c>
      <c r="D84" s="22">
        <f>MONTH(Table3[[#This Row],[Order Date]])</f>
        <v>1</v>
      </c>
      <c r="E84" t="s">
        <v>2842</v>
      </c>
      <c r="F84" t="s">
        <v>2843</v>
      </c>
      <c r="G84" s="23" t="s">
        <v>41</v>
      </c>
      <c r="H84" s="23" t="s">
        <v>61</v>
      </c>
      <c r="I84" t="s">
        <v>1692</v>
      </c>
      <c r="J84" t="s">
        <v>22</v>
      </c>
      <c r="K84" s="22">
        <v>2</v>
      </c>
      <c r="L84" s="1">
        <v>42761</v>
      </c>
      <c r="M84" s="22">
        <f>Table3[[#This Row],[Ship Date]]-Table3[[#This Row],[Order Date]]</f>
        <v>6</v>
      </c>
      <c r="N84" s="23" t="s">
        <v>45</v>
      </c>
      <c r="O84" s="23" t="s">
        <v>23</v>
      </c>
      <c r="P84" s="23" t="s">
        <v>660</v>
      </c>
      <c r="Q84" s="23" t="s">
        <v>133</v>
      </c>
      <c r="R84" s="23" t="s">
        <v>6962</v>
      </c>
      <c r="S84" s="33">
        <v>0</v>
      </c>
      <c r="T84" s="13">
        <v>3.52</v>
      </c>
      <c r="U84" s="13">
        <v>1.0207999999999999</v>
      </c>
      <c r="V84" s="55">
        <f>Table3[[#This Row],[Profit]]/Table3[[#This Row],[Sales]]</f>
        <v>0.28999999999999998</v>
      </c>
    </row>
    <row r="85" spans="1:22" x14ac:dyDescent="0.2">
      <c r="A85">
        <v>84</v>
      </c>
      <c r="B85" t="s">
        <v>8688</v>
      </c>
      <c r="C85" s="1">
        <v>42755</v>
      </c>
      <c r="D85" s="22">
        <f>MONTH(Table3[[#This Row],[Order Date]])</f>
        <v>1</v>
      </c>
      <c r="E85" t="s">
        <v>2568</v>
      </c>
      <c r="F85" t="s">
        <v>2569</v>
      </c>
      <c r="G85" s="23" t="s">
        <v>41</v>
      </c>
      <c r="H85" s="23" t="s">
        <v>42</v>
      </c>
      <c r="I85" t="s">
        <v>4575</v>
      </c>
      <c r="J85" t="s">
        <v>22</v>
      </c>
      <c r="K85" s="22">
        <v>5</v>
      </c>
      <c r="L85" s="1">
        <v>42756</v>
      </c>
      <c r="M85" s="22">
        <f>Table3[[#This Row],[Ship Date]]-Table3[[#This Row],[Order Date]]</f>
        <v>1</v>
      </c>
      <c r="N85" s="23" t="s">
        <v>169</v>
      </c>
      <c r="O85" s="23" t="s">
        <v>23</v>
      </c>
      <c r="P85" s="23" t="s">
        <v>189</v>
      </c>
      <c r="Q85" s="23" t="s">
        <v>95</v>
      </c>
      <c r="R85" s="23" t="s">
        <v>271</v>
      </c>
      <c r="S85" s="33">
        <v>0.2</v>
      </c>
      <c r="T85" s="13">
        <v>11.52</v>
      </c>
      <c r="U85" s="13">
        <v>4.1760000000000002</v>
      </c>
      <c r="V85" s="55">
        <f>Table3[[#This Row],[Profit]]/Table3[[#This Row],[Sales]]</f>
        <v>0.36250000000000004</v>
      </c>
    </row>
    <row r="86" spans="1:22" x14ac:dyDescent="0.2">
      <c r="A86">
        <v>85</v>
      </c>
      <c r="B86" t="s">
        <v>2068</v>
      </c>
      <c r="C86" s="1">
        <v>42756</v>
      </c>
      <c r="D86" s="22">
        <f>MONTH(Table3[[#This Row],[Order Date]])</f>
        <v>1</v>
      </c>
      <c r="E86" t="s">
        <v>1572</v>
      </c>
      <c r="F86" t="s">
        <v>1573</v>
      </c>
      <c r="G86" s="23" t="s">
        <v>41</v>
      </c>
      <c r="H86" s="23" t="s">
        <v>53</v>
      </c>
      <c r="I86" t="s">
        <v>2069</v>
      </c>
      <c r="J86" t="s">
        <v>92</v>
      </c>
      <c r="K86" s="22">
        <v>3</v>
      </c>
      <c r="L86" s="1">
        <v>42760</v>
      </c>
      <c r="M86" s="22">
        <f>Table3[[#This Row],[Ship Date]]-Table3[[#This Row],[Order Date]]</f>
        <v>4</v>
      </c>
      <c r="N86" s="23" t="s">
        <v>45</v>
      </c>
      <c r="O86" s="23" t="s">
        <v>23</v>
      </c>
      <c r="P86" s="23" t="s">
        <v>87</v>
      </c>
      <c r="Q86" s="23" t="s">
        <v>39</v>
      </c>
      <c r="R86" s="23" t="s">
        <v>86</v>
      </c>
      <c r="S86" s="33">
        <v>0</v>
      </c>
      <c r="T86" s="13">
        <v>242.94</v>
      </c>
      <c r="U86" s="13">
        <v>9.7175999999999991</v>
      </c>
      <c r="V86" s="55">
        <f>Table3[[#This Row],[Profit]]/Table3[[#This Row],[Sales]]</f>
        <v>3.9999999999999994E-2</v>
      </c>
    </row>
    <row r="87" spans="1:22" x14ac:dyDescent="0.2">
      <c r="A87">
        <v>86</v>
      </c>
      <c r="B87" t="s">
        <v>2068</v>
      </c>
      <c r="C87" s="1">
        <v>42756</v>
      </c>
      <c r="D87" s="22">
        <f>MONTH(Table3[[#This Row],[Order Date]])</f>
        <v>1</v>
      </c>
      <c r="E87" t="s">
        <v>2070</v>
      </c>
      <c r="F87" t="s">
        <v>2071</v>
      </c>
      <c r="G87" s="23" t="s">
        <v>64</v>
      </c>
      <c r="H87" s="23" t="s">
        <v>144</v>
      </c>
      <c r="I87" t="s">
        <v>2069</v>
      </c>
      <c r="J87" t="s">
        <v>92</v>
      </c>
      <c r="K87" s="22">
        <v>3</v>
      </c>
      <c r="L87" s="1">
        <v>42760</v>
      </c>
      <c r="M87" s="22">
        <f>Table3[[#This Row],[Ship Date]]-Table3[[#This Row],[Order Date]]</f>
        <v>4</v>
      </c>
      <c r="N87" s="23" t="s">
        <v>45</v>
      </c>
      <c r="O87" s="23" t="s">
        <v>23</v>
      </c>
      <c r="P87" s="23" t="s">
        <v>87</v>
      </c>
      <c r="Q87" s="23" t="s">
        <v>39</v>
      </c>
      <c r="R87" s="23" t="s">
        <v>86</v>
      </c>
      <c r="S87" s="33">
        <v>0</v>
      </c>
      <c r="T87" s="13">
        <v>179.97</v>
      </c>
      <c r="U87" s="13">
        <v>86.385599999999997</v>
      </c>
      <c r="V87" s="55">
        <f>Table3[[#This Row],[Profit]]/Table3[[#This Row],[Sales]]</f>
        <v>0.48</v>
      </c>
    </row>
    <row r="88" spans="1:22" x14ac:dyDescent="0.2">
      <c r="A88">
        <v>87</v>
      </c>
      <c r="B88" t="s">
        <v>2068</v>
      </c>
      <c r="C88" s="1">
        <v>42756</v>
      </c>
      <c r="D88" s="22">
        <f>MONTH(Table3[[#This Row],[Order Date]])</f>
        <v>1</v>
      </c>
      <c r="E88" t="s">
        <v>1224</v>
      </c>
      <c r="F88" t="s">
        <v>1225</v>
      </c>
      <c r="G88" s="23" t="s">
        <v>41</v>
      </c>
      <c r="H88" s="23" t="s">
        <v>68</v>
      </c>
      <c r="I88" t="s">
        <v>2069</v>
      </c>
      <c r="J88" t="s">
        <v>92</v>
      </c>
      <c r="K88" s="22">
        <v>6</v>
      </c>
      <c r="L88" s="1">
        <v>42760</v>
      </c>
      <c r="M88" s="22">
        <f>Table3[[#This Row],[Ship Date]]-Table3[[#This Row],[Order Date]]</f>
        <v>4</v>
      </c>
      <c r="N88" s="23" t="s">
        <v>45</v>
      </c>
      <c r="O88" s="23" t="s">
        <v>23</v>
      </c>
      <c r="P88" s="23" t="s">
        <v>87</v>
      </c>
      <c r="Q88" s="23" t="s">
        <v>39</v>
      </c>
      <c r="R88" s="23" t="s">
        <v>86</v>
      </c>
      <c r="S88" s="33">
        <v>0.2</v>
      </c>
      <c r="T88" s="13">
        <v>99.695999999999998</v>
      </c>
      <c r="U88" s="13">
        <v>33.647399999999998</v>
      </c>
      <c r="V88" s="55">
        <f>Table3[[#This Row],[Profit]]/Table3[[#This Row],[Sales]]</f>
        <v>0.33749999999999997</v>
      </c>
    </row>
    <row r="89" spans="1:22" x14ac:dyDescent="0.2">
      <c r="A89">
        <v>88</v>
      </c>
      <c r="B89" t="s">
        <v>2068</v>
      </c>
      <c r="C89" s="1">
        <v>42756</v>
      </c>
      <c r="D89" s="22">
        <f>MONTH(Table3[[#This Row],[Order Date]])</f>
        <v>1</v>
      </c>
      <c r="E89" t="s">
        <v>207</v>
      </c>
      <c r="F89" t="s">
        <v>208</v>
      </c>
      <c r="G89" s="23" t="s">
        <v>41</v>
      </c>
      <c r="H89" s="23" t="s">
        <v>68</v>
      </c>
      <c r="I89" t="s">
        <v>2069</v>
      </c>
      <c r="J89" t="s">
        <v>92</v>
      </c>
      <c r="K89" s="22">
        <v>4</v>
      </c>
      <c r="L89" s="1">
        <v>42760</v>
      </c>
      <c r="M89" s="22">
        <f>Table3[[#This Row],[Ship Date]]-Table3[[#This Row],[Order Date]]</f>
        <v>4</v>
      </c>
      <c r="N89" s="23" t="s">
        <v>45</v>
      </c>
      <c r="O89" s="23" t="s">
        <v>23</v>
      </c>
      <c r="P89" s="23" t="s">
        <v>87</v>
      </c>
      <c r="Q89" s="23" t="s">
        <v>39</v>
      </c>
      <c r="R89" s="23" t="s">
        <v>86</v>
      </c>
      <c r="S89" s="33">
        <v>0.2</v>
      </c>
      <c r="T89" s="13">
        <v>27.936</v>
      </c>
      <c r="U89" s="13">
        <v>9.4283999999999999</v>
      </c>
      <c r="V89" s="55">
        <f>Table3[[#This Row],[Profit]]/Table3[[#This Row],[Sales]]</f>
        <v>0.33750000000000002</v>
      </c>
    </row>
    <row r="90" spans="1:22" x14ac:dyDescent="0.2">
      <c r="A90">
        <v>89</v>
      </c>
      <c r="B90" t="s">
        <v>2068</v>
      </c>
      <c r="C90" s="1">
        <v>42756</v>
      </c>
      <c r="D90" s="22">
        <f>MONTH(Table3[[#This Row],[Order Date]])</f>
        <v>1</v>
      </c>
      <c r="E90" t="s">
        <v>2072</v>
      </c>
      <c r="F90" t="s">
        <v>2073</v>
      </c>
      <c r="G90" s="23" t="s">
        <v>28</v>
      </c>
      <c r="H90" s="23" t="s">
        <v>29</v>
      </c>
      <c r="I90" t="s">
        <v>2069</v>
      </c>
      <c r="J90" t="s">
        <v>92</v>
      </c>
      <c r="K90" s="22">
        <v>1</v>
      </c>
      <c r="L90" s="1">
        <v>42760</v>
      </c>
      <c r="M90" s="22">
        <f>Table3[[#This Row],[Ship Date]]-Table3[[#This Row],[Order Date]]</f>
        <v>4</v>
      </c>
      <c r="N90" s="23" t="s">
        <v>45</v>
      </c>
      <c r="O90" s="23" t="s">
        <v>23</v>
      </c>
      <c r="P90" s="23" t="s">
        <v>87</v>
      </c>
      <c r="Q90" s="23" t="s">
        <v>39</v>
      </c>
      <c r="R90" s="23" t="s">
        <v>86</v>
      </c>
      <c r="S90" s="33">
        <v>0</v>
      </c>
      <c r="T90" s="13">
        <v>84.98</v>
      </c>
      <c r="U90" s="13">
        <v>18.695599999999999</v>
      </c>
      <c r="V90" s="55">
        <f>Table3[[#This Row],[Profit]]/Table3[[#This Row],[Sales]]</f>
        <v>0.21999999999999997</v>
      </c>
    </row>
    <row r="91" spans="1:22" x14ac:dyDescent="0.2">
      <c r="A91">
        <v>90</v>
      </c>
      <c r="B91" t="s">
        <v>2068</v>
      </c>
      <c r="C91" s="1">
        <v>42756</v>
      </c>
      <c r="D91" s="22">
        <f>MONTH(Table3[[#This Row],[Order Date]])</f>
        <v>1</v>
      </c>
      <c r="E91" t="s">
        <v>2074</v>
      </c>
      <c r="F91" t="s">
        <v>2075</v>
      </c>
      <c r="G91" s="23" t="s">
        <v>41</v>
      </c>
      <c r="H91" s="23" t="s">
        <v>68</v>
      </c>
      <c r="I91" t="s">
        <v>2069</v>
      </c>
      <c r="J91" t="s">
        <v>92</v>
      </c>
      <c r="K91" s="22">
        <v>5</v>
      </c>
      <c r="L91" s="1">
        <v>42760</v>
      </c>
      <c r="M91" s="22">
        <f>Table3[[#This Row],[Ship Date]]-Table3[[#This Row],[Order Date]]</f>
        <v>4</v>
      </c>
      <c r="N91" s="23" t="s">
        <v>45</v>
      </c>
      <c r="O91" s="23" t="s">
        <v>23</v>
      </c>
      <c r="P91" s="23" t="s">
        <v>87</v>
      </c>
      <c r="Q91" s="23" t="s">
        <v>39</v>
      </c>
      <c r="R91" s="23" t="s">
        <v>86</v>
      </c>
      <c r="S91" s="33">
        <v>0.2</v>
      </c>
      <c r="T91" s="13">
        <v>18.72</v>
      </c>
      <c r="U91" s="13">
        <v>6.5519999999999996</v>
      </c>
      <c r="V91" s="55">
        <f>Table3[[#This Row],[Profit]]/Table3[[#This Row],[Sales]]</f>
        <v>0.35</v>
      </c>
    </row>
    <row r="92" spans="1:22" x14ac:dyDescent="0.2">
      <c r="A92">
        <v>91</v>
      </c>
      <c r="B92" t="s">
        <v>2831</v>
      </c>
      <c r="C92" s="1">
        <v>42756</v>
      </c>
      <c r="D92" s="22">
        <f>MONTH(Table3[[#This Row],[Order Date]])</f>
        <v>1</v>
      </c>
      <c r="E92" t="s">
        <v>2833</v>
      </c>
      <c r="F92" t="s">
        <v>2834</v>
      </c>
      <c r="G92" s="23" t="s">
        <v>41</v>
      </c>
      <c r="H92" s="23" t="s">
        <v>53</v>
      </c>
      <c r="I92" t="s">
        <v>2832</v>
      </c>
      <c r="J92" t="s">
        <v>92</v>
      </c>
      <c r="K92" s="22">
        <v>7</v>
      </c>
      <c r="L92" s="1">
        <v>42761</v>
      </c>
      <c r="M92" s="22">
        <f>Table3[[#This Row],[Ship Date]]-Table3[[#This Row],[Order Date]]</f>
        <v>5</v>
      </c>
      <c r="N92" s="23" t="s">
        <v>45</v>
      </c>
      <c r="O92" s="23" t="s">
        <v>23</v>
      </c>
      <c r="P92" s="23" t="s">
        <v>80</v>
      </c>
      <c r="Q92" s="23" t="s">
        <v>26</v>
      </c>
      <c r="R92" s="23" t="s">
        <v>414</v>
      </c>
      <c r="S92" s="33">
        <v>0.2</v>
      </c>
      <c r="T92" s="13">
        <v>348.20800000000003</v>
      </c>
      <c r="U92" s="13">
        <v>30.4682</v>
      </c>
      <c r="V92" s="55">
        <f>Table3[[#This Row],[Profit]]/Table3[[#This Row],[Sales]]</f>
        <v>8.7499999999999994E-2</v>
      </c>
    </row>
    <row r="93" spans="1:22" x14ac:dyDescent="0.2">
      <c r="A93">
        <v>92</v>
      </c>
      <c r="B93" t="s">
        <v>2831</v>
      </c>
      <c r="C93" s="1">
        <v>42756</v>
      </c>
      <c r="D93" s="22">
        <f>MONTH(Table3[[#This Row],[Order Date]])</f>
        <v>1</v>
      </c>
      <c r="E93" t="s">
        <v>2835</v>
      </c>
      <c r="F93" t="s">
        <v>2836</v>
      </c>
      <c r="G93" s="23" t="s">
        <v>41</v>
      </c>
      <c r="H93" s="23" t="s">
        <v>68</v>
      </c>
      <c r="I93" t="s">
        <v>2832</v>
      </c>
      <c r="J93" t="s">
        <v>92</v>
      </c>
      <c r="K93" s="22">
        <v>7</v>
      </c>
      <c r="L93" s="1">
        <v>42761</v>
      </c>
      <c r="M93" s="22">
        <f>Table3[[#This Row],[Ship Date]]-Table3[[#This Row],[Order Date]]</f>
        <v>5</v>
      </c>
      <c r="N93" s="23" t="s">
        <v>45</v>
      </c>
      <c r="O93" s="23" t="s">
        <v>23</v>
      </c>
      <c r="P93" s="23" t="s">
        <v>80</v>
      </c>
      <c r="Q93" s="23" t="s">
        <v>26</v>
      </c>
      <c r="R93" s="23" t="s">
        <v>414</v>
      </c>
      <c r="S93" s="33">
        <v>0.7</v>
      </c>
      <c r="T93" s="13">
        <v>35.783999999999999</v>
      </c>
      <c r="U93" s="13">
        <v>-28.627199999999998</v>
      </c>
      <c r="V93" s="55">
        <f>Table3[[#This Row],[Profit]]/Table3[[#This Row],[Sales]]</f>
        <v>-0.79999999999999993</v>
      </c>
    </row>
    <row r="94" spans="1:22" x14ac:dyDescent="0.2">
      <c r="A94">
        <v>93</v>
      </c>
      <c r="B94" t="s">
        <v>5169</v>
      </c>
      <c r="C94" s="1">
        <v>42756</v>
      </c>
      <c r="D94" s="22">
        <f>MONTH(Table3[[#This Row],[Order Date]])</f>
        <v>1</v>
      </c>
      <c r="E94" t="s">
        <v>2104</v>
      </c>
      <c r="F94" t="s">
        <v>2105</v>
      </c>
      <c r="G94" s="23" t="s">
        <v>41</v>
      </c>
      <c r="H94" s="23" t="s">
        <v>68</v>
      </c>
      <c r="I94" t="s">
        <v>3095</v>
      </c>
      <c r="J94" t="s">
        <v>92</v>
      </c>
      <c r="K94" s="22">
        <v>5</v>
      </c>
      <c r="L94" s="1">
        <v>42762</v>
      </c>
      <c r="M94" s="22">
        <f>Table3[[#This Row],[Ship Date]]-Table3[[#This Row],[Order Date]]</f>
        <v>6</v>
      </c>
      <c r="N94" s="23" t="s">
        <v>45</v>
      </c>
      <c r="O94" s="23" t="s">
        <v>23</v>
      </c>
      <c r="P94" s="23" t="s">
        <v>212</v>
      </c>
      <c r="Q94" s="23" t="s">
        <v>95</v>
      </c>
      <c r="R94" s="23" t="s">
        <v>293</v>
      </c>
      <c r="S94" s="33">
        <v>0</v>
      </c>
      <c r="T94" s="13">
        <v>14.4</v>
      </c>
      <c r="U94" s="13">
        <v>7.056</v>
      </c>
      <c r="V94" s="55">
        <f>Table3[[#This Row],[Profit]]/Table3[[#This Row],[Sales]]</f>
        <v>0.49</v>
      </c>
    </row>
    <row r="95" spans="1:22" x14ac:dyDescent="0.2">
      <c r="A95">
        <v>94</v>
      </c>
      <c r="B95" t="s">
        <v>5169</v>
      </c>
      <c r="C95" s="1">
        <v>42756</v>
      </c>
      <c r="D95" s="22">
        <f>MONTH(Table3[[#This Row],[Order Date]])</f>
        <v>1</v>
      </c>
      <c r="E95" t="s">
        <v>2382</v>
      </c>
      <c r="F95" t="s">
        <v>2383</v>
      </c>
      <c r="G95" s="23" t="s">
        <v>64</v>
      </c>
      <c r="H95" s="23" t="s">
        <v>144</v>
      </c>
      <c r="I95" t="s">
        <v>3095</v>
      </c>
      <c r="J95" t="s">
        <v>92</v>
      </c>
      <c r="K95" s="22">
        <v>5</v>
      </c>
      <c r="L95" s="1">
        <v>42762</v>
      </c>
      <c r="M95" s="22">
        <f>Table3[[#This Row],[Ship Date]]-Table3[[#This Row],[Order Date]]</f>
        <v>6</v>
      </c>
      <c r="N95" s="23" t="s">
        <v>45</v>
      </c>
      <c r="O95" s="23" t="s">
        <v>23</v>
      </c>
      <c r="P95" s="23" t="s">
        <v>212</v>
      </c>
      <c r="Q95" s="23" t="s">
        <v>95</v>
      </c>
      <c r="R95" s="23" t="s">
        <v>293</v>
      </c>
      <c r="S95" s="33">
        <v>0</v>
      </c>
      <c r="T95" s="13">
        <v>619.95000000000005</v>
      </c>
      <c r="U95" s="13">
        <v>111.59099999999999</v>
      </c>
      <c r="V95" s="55">
        <f>Table3[[#This Row],[Profit]]/Table3[[#This Row],[Sales]]</f>
        <v>0.17999999999999997</v>
      </c>
    </row>
    <row r="96" spans="1:22" x14ac:dyDescent="0.2">
      <c r="A96">
        <v>95</v>
      </c>
      <c r="B96" t="s">
        <v>5169</v>
      </c>
      <c r="C96" s="1">
        <v>42756</v>
      </c>
      <c r="D96" s="22">
        <f>MONTH(Table3[[#This Row],[Order Date]])</f>
        <v>1</v>
      </c>
      <c r="E96" t="s">
        <v>5170</v>
      </c>
      <c r="F96" t="s">
        <v>5171</v>
      </c>
      <c r="G96" s="23" t="s">
        <v>41</v>
      </c>
      <c r="H96" s="23" t="s">
        <v>68</v>
      </c>
      <c r="I96" t="s">
        <v>3095</v>
      </c>
      <c r="J96" t="s">
        <v>92</v>
      </c>
      <c r="K96" s="22">
        <v>4</v>
      </c>
      <c r="L96" s="1">
        <v>42762</v>
      </c>
      <c r="M96" s="22">
        <f>Table3[[#This Row],[Ship Date]]-Table3[[#This Row],[Order Date]]</f>
        <v>6</v>
      </c>
      <c r="N96" s="23" t="s">
        <v>45</v>
      </c>
      <c r="O96" s="23" t="s">
        <v>23</v>
      </c>
      <c r="P96" s="23" t="s">
        <v>212</v>
      </c>
      <c r="Q96" s="23" t="s">
        <v>95</v>
      </c>
      <c r="R96" s="23" t="s">
        <v>293</v>
      </c>
      <c r="S96" s="33">
        <v>0</v>
      </c>
      <c r="T96" s="13">
        <v>89.52</v>
      </c>
      <c r="U96" s="13">
        <v>42.074399999999997</v>
      </c>
      <c r="V96" s="55">
        <f>Table3[[#This Row],[Profit]]/Table3[[#This Row],[Sales]]</f>
        <v>0.47</v>
      </c>
    </row>
    <row r="97" spans="1:22" x14ac:dyDescent="0.2">
      <c r="A97">
        <v>96</v>
      </c>
      <c r="B97" t="s">
        <v>5169</v>
      </c>
      <c r="C97" s="1">
        <v>42756</v>
      </c>
      <c r="D97" s="22">
        <f>MONTH(Table3[[#This Row],[Order Date]])</f>
        <v>1</v>
      </c>
      <c r="E97" t="s">
        <v>5172</v>
      </c>
      <c r="F97" t="s">
        <v>5173</v>
      </c>
      <c r="G97" s="23" t="s">
        <v>64</v>
      </c>
      <c r="H97" s="23" t="s">
        <v>602</v>
      </c>
      <c r="I97" t="s">
        <v>3095</v>
      </c>
      <c r="J97" t="s">
        <v>92</v>
      </c>
      <c r="K97" s="22">
        <v>3</v>
      </c>
      <c r="L97" s="1">
        <v>42762</v>
      </c>
      <c r="M97" s="22">
        <f>Table3[[#This Row],[Ship Date]]-Table3[[#This Row],[Order Date]]</f>
        <v>6</v>
      </c>
      <c r="N97" s="23" t="s">
        <v>45</v>
      </c>
      <c r="O97" s="23" t="s">
        <v>23</v>
      </c>
      <c r="P97" s="23" t="s">
        <v>212</v>
      </c>
      <c r="Q97" s="23" t="s">
        <v>95</v>
      </c>
      <c r="R97" s="23" t="s">
        <v>293</v>
      </c>
      <c r="S97" s="33">
        <v>0.1</v>
      </c>
      <c r="T97" s="13">
        <v>350.97300000000001</v>
      </c>
      <c r="U97" s="13">
        <v>152.0883</v>
      </c>
      <c r="V97" s="55">
        <f>Table3[[#This Row],[Profit]]/Table3[[#This Row],[Sales]]</f>
        <v>0.43333333333333335</v>
      </c>
    </row>
    <row r="98" spans="1:22" x14ac:dyDescent="0.2">
      <c r="A98">
        <v>97</v>
      </c>
      <c r="B98" t="s">
        <v>5169</v>
      </c>
      <c r="C98" s="1">
        <v>42756</v>
      </c>
      <c r="D98" s="22">
        <f>MONTH(Table3[[#This Row],[Order Date]])</f>
        <v>1</v>
      </c>
      <c r="E98" t="s">
        <v>5174</v>
      </c>
      <c r="F98" t="s">
        <v>5175</v>
      </c>
      <c r="G98" s="23" t="s">
        <v>64</v>
      </c>
      <c r="H98" s="23" t="s">
        <v>65</v>
      </c>
      <c r="I98" t="s">
        <v>3095</v>
      </c>
      <c r="J98" t="s">
        <v>92</v>
      </c>
      <c r="K98" s="22">
        <v>1</v>
      </c>
      <c r="L98" s="1">
        <v>42762</v>
      </c>
      <c r="M98" s="22">
        <f>Table3[[#This Row],[Ship Date]]-Table3[[#This Row],[Order Date]]</f>
        <v>6</v>
      </c>
      <c r="N98" s="23" t="s">
        <v>45</v>
      </c>
      <c r="O98" s="23" t="s">
        <v>23</v>
      </c>
      <c r="P98" s="23" t="s">
        <v>212</v>
      </c>
      <c r="Q98" s="23" t="s">
        <v>95</v>
      </c>
      <c r="R98" s="23" t="s">
        <v>293</v>
      </c>
      <c r="S98" s="33">
        <v>0</v>
      </c>
      <c r="T98" s="13">
        <v>164.99</v>
      </c>
      <c r="U98" s="13">
        <v>49.497</v>
      </c>
      <c r="V98" s="55">
        <f>Table3[[#This Row],[Profit]]/Table3[[#This Row],[Sales]]</f>
        <v>0.3</v>
      </c>
    </row>
    <row r="99" spans="1:22" x14ac:dyDescent="0.2">
      <c r="A99">
        <v>98</v>
      </c>
      <c r="B99" t="s">
        <v>10026</v>
      </c>
      <c r="C99" s="1">
        <v>42756</v>
      </c>
      <c r="D99" s="22">
        <f>MONTH(Table3[[#This Row],[Order Date]])</f>
        <v>1</v>
      </c>
      <c r="E99" t="s">
        <v>1902</v>
      </c>
      <c r="F99" t="s">
        <v>1903</v>
      </c>
      <c r="G99" s="23" t="s">
        <v>41</v>
      </c>
      <c r="H99" s="23" t="s">
        <v>155</v>
      </c>
      <c r="I99" t="s">
        <v>5195</v>
      </c>
      <c r="J99" t="s">
        <v>22</v>
      </c>
      <c r="K99" s="22">
        <v>4</v>
      </c>
      <c r="L99" s="1">
        <v>42760</v>
      </c>
      <c r="M99" s="22">
        <f>Table3[[#This Row],[Ship Date]]-Table3[[#This Row],[Order Date]]</f>
        <v>4</v>
      </c>
      <c r="N99" s="23" t="s">
        <v>45</v>
      </c>
      <c r="O99" s="23" t="s">
        <v>23</v>
      </c>
      <c r="P99" s="23" t="s">
        <v>189</v>
      </c>
      <c r="Q99" s="23" t="s">
        <v>95</v>
      </c>
      <c r="R99" s="23" t="s">
        <v>404</v>
      </c>
      <c r="S99" s="33">
        <v>0.2</v>
      </c>
      <c r="T99" s="13">
        <v>268.57600000000002</v>
      </c>
      <c r="U99" s="13">
        <v>90.644400000000005</v>
      </c>
      <c r="V99" s="55">
        <f>Table3[[#This Row],[Profit]]/Table3[[#This Row],[Sales]]</f>
        <v>0.33749999999999997</v>
      </c>
    </row>
    <row r="100" spans="1:22" x14ac:dyDescent="0.2">
      <c r="A100">
        <v>99</v>
      </c>
      <c r="B100" t="s">
        <v>1559</v>
      </c>
      <c r="C100" s="1">
        <v>42757</v>
      </c>
      <c r="D100" s="22">
        <f>MONTH(Table3[[#This Row],[Order Date]])</f>
        <v>1</v>
      </c>
      <c r="E100" t="s">
        <v>1562</v>
      </c>
      <c r="F100" t="s">
        <v>1563</v>
      </c>
      <c r="G100" s="23" t="s">
        <v>64</v>
      </c>
      <c r="H100" s="23" t="s">
        <v>1075</v>
      </c>
      <c r="I100" t="s">
        <v>471</v>
      </c>
      <c r="J100" t="s">
        <v>92</v>
      </c>
      <c r="K100" s="22">
        <v>5</v>
      </c>
      <c r="L100" s="1">
        <v>42762</v>
      </c>
      <c r="M100" s="22">
        <f>Table3[[#This Row],[Ship Date]]-Table3[[#This Row],[Order Date]]</f>
        <v>5</v>
      </c>
      <c r="N100" s="23" t="s">
        <v>45</v>
      </c>
      <c r="O100" s="23" t="s">
        <v>23</v>
      </c>
      <c r="P100" s="23" t="s">
        <v>1561</v>
      </c>
      <c r="Q100" s="23" t="s">
        <v>39</v>
      </c>
      <c r="R100" s="23" t="s">
        <v>1560</v>
      </c>
      <c r="S100" s="33">
        <v>0</v>
      </c>
      <c r="T100" s="13">
        <v>2999.95</v>
      </c>
      <c r="U100" s="13">
        <v>1379.9770000000001</v>
      </c>
      <c r="V100" s="55">
        <f>Table3[[#This Row],[Profit]]/Table3[[#This Row],[Sales]]</f>
        <v>0.46000000000000008</v>
      </c>
    </row>
    <row r="101" spans="1:22" x14ac:dyDescent="0.2">
      <c r="A101">
        <v>100</v>
      </c>
      <c r="B101" t="s">
        <v>1559</v>
      </c>
      <c r="C101" s="1">
        <v>42757</v>
      </c>
      <c r="D101" s="22">
        <f>MONTH(Table3[[#This Row],[Order Date]])</f>
        <v>1</v>
      </c>
      <c r="E101" t="s">
        <v>1564</v>
      </c>
      <c r="F101" t="s">
        <v>1565</v>
      </c>
      <c r="G101" s="23" t="s">
        <v>41</v>
      </c>
      <c r="H101" s="23" t="s">
        <v>53</v>
      </c>
      <c r="I101" t="s">
        <v>471</v>
      </c>
      <c r="J101" t="s">
        <v>92</v>
      </c>
      <c r="K101" s="22">
        <v>3</v>
      </c>
      <c r="L101" s="1">
        <v>42762</v>
      </c>
      <c r="M101" s="22">
        <f>Table3[[#This Row],[Ship Date]]-Table3[[#This Row],[Order Date]]</f>
        <v>5</v>
      </c>
      <c r="N101" s="23" t="s">
        <v>45</v>
      </c>
      <c r="O101" s="23" t="s">
        <v>23</v>
      </c>
      <c r="P101" s="23" t="s">
        <v>1561</v>
      </c>
      <c r="Q101" s="23" t="s">
        <v>39</v>
      </c>
      <c r="R101" s="23" t="s">
        <v>1560</v>
      </c>
      <c r="S101" s="33">
        <v>0</v>
      </c>
      <c r="T101" s="13">
        <v>51.45</v>
      </c>
      <c r="U101" s="13">
        <v>13.891500000000001</v>
      </c>
      <c r="V101" s="55">
        <f>Table3[[#This Row],[Profit]]/Table3[[#This Row],[Sales]]</f>
        <v>0.27</v>
      </c>
    </row>
    <row r="102" spans="1:22" x14ac:dyDescent="0.2">
      <c r="A102">
        <v>101</v>
      </c>
      <c r="B102" t="s">
        <v>1559</v>
      </c>
      <c r="C102" s="1">
        <v>42757</v>
      </c>
      <c r="D102" s="22">
        <f>MONTH(Table3[[#This Row],[Order Date]])</f>
        <v>1</v>
      </c>
      <c r="E102" t="s">
        <v>1566</v>
      </c>
      <c r="F102" t="s">
        <v>1567</v>
      </c>
      <c r="G102" s="23" t="s">
        <v>41</v>
      </c>
      <c r="H102" s="23" t="s">
        <v>82</v>
      </c>
      <c r="I102" t="s">
        <v>471</v>
      </c>
      <c r="J102" t="s">
        <v>92</v>
      </c>
      <c r="K102" s="22">
        <v>2</v>
      </c>
      <c r="L102" s="1">
        <v>42762</v>
      </c>
      <c r="M102" s="22">
        <f>Table3[[#This Row],[Ship Date]]-Table3[[#This Row],[Order Date]]</f>
        <v>5</v>
      </c>
      <c r="N102" s="23" t="s">
        <v>45</v>
      </c>
      <c r="O102" s="23" t="s">
        <v>23</v>
      </c>
      <c r="P102" s="23" t="s">
        <v>1561</v>
      </c>
      <c r="Q102" s="23" t="s">
        <v>39</v>
      </c>
      <c r="R102" s="23" t="s">
        <v>1560</v>
      </c>
      <c r="S102" s="33">
        <v>0</v>
      </c>
      <c r="T102" s="13">
        <v>11.96</v>
      </c>
      <c r="U102" s="13">
        <v>5.3819999999999997</v>
      </c>
      <c r="V102" s="55">
        <f>Table3[[#This Row],[Profit]]/Table3[[#This Row],[Sales]]</f>
        <v>0.44999999999999996</v>
      </c>
    </row>
    <row r="103" spans="1:22" x14ac:dyDescent="0.2">
      <c r="A103">
        <v>102</v>
      </c>
      <c r="B103" t="s">
        <v>1559</v>
      </c>
      <c r="C103" s="1">
        <v>42757</v>
      </c>
      <c r="D103" s="22">
        <f>MONTH(Table3[[#This Row],[Order Date]])</f>
        <v>1</v>
      </c>
      <c r="E103" t="s">
        <v>1568</v>
      </c>
      <c r="F103" t="s">
        <v>1569</v>
      </c>
      <c r="G103" s="23" t="s">
        <v>41</v>
      </c>
      <c r="H103" s="23" t="s">
        <v>53</v>
      </c>
      <c r="I103" t="s">
        <v>471</v>
      </c>
      <c r="J103" t="s">
        <v>92</v>
      </c>
      <c r="K103" s="22">
        <v>3</v>
      </c>
      <c r="L103" s="1">
        <v>42762</v>
      </c>
      <c r="M103" s="22">
        <f>Table3[[#This Row],[Ship Date]]-Table3[[#This Row],[Order Date]]</f>
        <v>5</v>
      </c>
      <c r="N103" s="23" t="s">
        <v>45</v>
      </c>
      <c r="O103" s="23" t="s">
        <v>23</v>
      </c>
      <c r="P103" s="23" t="s">
        <v>1561</v>
      </c>
      <c r="Q103" s="23" t="s">
        <v>39</v>
      </c>
      <c r="R103" s="23" t="s">
        <v>1560</v>
      </c>
      <c r="S103" s="33">
        <v>0</v>
      </c>
      <c r="T103" s="13">
        <v>1126.02</v>
      </c>
      <c r="U103" s="13">
        <v>56.301000000000002</v>
      </c>
      <c r="V103" s="55">
        <f>Table3[[#This Row],[Profit]]/Table3[[#This Row],[Sales]]</f>
        <v>0.05</v>
      </c>
    </row>
    <row r="104" spans="1:22" x14ac:dyDescent="0.2">
      <c r="A104">
        <v>103</v>
      </c>
      <c r="B104" t="s">
        <v>8988</v>
      </c>
      <c r="C104" s="1">
        <v>42757</v>
      </c>
      <c r="D104" s="22">
        <f>MONTH(Table3[[#This Row],[Order Date]])</f>
        <v>1</v>
      </c>
      <c r="E104" t="s">
        <v>4377</v>
      </c>
      <c r="F104" t="s">
        <v>498</v>
      </c>
      <c r="G104" s="23" t="s">
        <v>41</v>
      </c>
      <c r="H104" s="23" t="s">
        <v>240</v>
      </c>
      <c r="I104" t="s">
        <v>4217</v>
      </c>
      <c r="J104" t="s">
        <v>36</v>
      </c>
      <c r="K104" s="22">
        <v>5</v>
      </c>
      <c r="L104" s="1">
        <v>42760</v>
      </c>
      <c r="M104" s="22">
        <f>Table3[[#This Row],[Ship Date]]-Table3[[#This Row],[Order Date]]</f>
        <v>3</v>
      </c>
      <c r="N104" s="23" t="s">
        <v>20</v>
      </c>
      <c r="O104" s="23" t="s">
        <v>23</v>
      </c>
      <c r="P104" s="23" t="s">
        <v>189</v>
      </c>
      <c r="Q104" s="23" t="s">
        <v>95</v>
      </c>
      <c r="R104" s="23" t="s">
        <v>271</v>
      </c>
      <c r="S104" s="33">
        <v>0.2</v>
      </c>
      <c r="T104" s="13">
        <v>15.12</v>
      </c>
      <c r="U104" s="13">
        <v>4.9139999999999997</v>
      </c>
      <c r="V104" s="55">
        <f>Table3[[#This Row],[Profit]]/Table3[[#This Row],[Sales]]</f>
        <v>0.32500000000000001</v>
      </c>
    </row>
    <row r="105" spans="1:22" x14ac:dyDescent="0.2">
      <c r="A105">
        <v>104</v>
      </c>
      <c r="B105" t="s">
        <v>8988</v>
      </c>
      <c r="C105" s="1">
        <v>42757</v>
      </c>
      <c r="D105" s="22">
        <f>MONTH(Table3[[#This Row],[Order Date]])</f>
        <v>1</v>
      </c>
      <c r="E105" t="s">
        <v>6375</v>
      </c>
      <c r="F105" t="s">
        <v>6376</v>
      </c>
      <c r="G105" s="23" t="s">
        <v>41</v>
      </c>
      <c r="H105" s="23" t="s">
        <v>61</v>
      </c>
      <c r="I105" t="s">
        <v>4217</v>
      </c>
      <c r="J105" t="s">
        <v>36</v>
      </c>
      <c r="K105" s="22">
        <v>3</v>
      </c>
      <c r="L105" s="1">
        <v>42760</v>
      </c>
      <c r="M105" s="22">
        <f>Table3[[#This Row],[Ship Date]]-Table3[[#This Row],[Order Date]]</f>
        <v>3</v>
      </c>
      <c r="N105" s="23" t="s">
        <v>20</v>
      </c>
      <c r="O105" s="23" t="s">
        <v>23</v>
      </c>
      <c r="P105" s="23" t="s">
        <v>189</v>
      </c>
      <c r="Q105" s="23" t="s">
        <v>95</v>
      </c>
      <c r="R105" s="23" t="s">
        <v>271</v>
      </c>
      <c r="S105" s="33">
        <v>0.2</v>
      </c>
      <c r="T105" s="13">
        <v>7.8719999999999999</v>
      </c>
      <c r="U105" s="13">
        <v>0.88560000000000005</v>
      </c>
      <c r="V105" s="55">
        <f>Table3[[#This Row],[Profit]]/Table3[[#This Row],[Sales]]</f>
        <v>0.1125</v>
      </c>
    </row>
    <row r="106" spans="1:22" x14ac:dyDescent="0.2">
      <c r="A106">
        <v>105</v>
      </c>
      <c r="B106" t="s">
        <v>1576</v>
      </c>
      <c r="C106" s="1">
        <v>42758</v>
      </c>
      <c r="D106" s="22">
        <f>MONTH(Table3[[#This Row],[Order Date]])</f>
        <v>1</v>
      </c>
      <c r="E106" t="s">
        <v>1505</v>
      </c>
      <c r="F106" t="s">
        <v>1506</v>
      </c>
      <c r="G106" s="23" t="s">
        <v>28</v>
      </c>
      <c r="H106" s="23" t="s">
        <v>50</v>
      </c>
      <c r="I106" t="s">
        <v>1577</v>
      </c>
      <c r="J106" t="s">
        <v>36</v>
      </c>
      <c r="K106" s="22">
        <v>2</v>
      </c>
      <c r="L106" s="1">
        <v>42760</v>
      </c>
      <c r="M106" s="22">
        <f>Table3[[#This Row],[Ship Date]]-Table3[[#This Row],[Order Date]]</f>
        <v>2</v>
      </c>
      <c r="N106" s="23" t="s">
        <v>169</v>
      </c>
      <c r="O106" s="23" t="s">
        <v>23</v>
      </c>
      <c r="P106" s="23" t="s">
        <v>212</v>
      </c>
      <c r="Q106" s="23" t="s">
        <v>95</v>
      </c>
      <c r="R106" s="23" t="s">
        <v>775</v>
      </c>
      <c r="S106" s="33">
        <v>0</v>
      </c>
      <c r="T106" s="13">
        <v>210.98</v>
      </c>
      <c r="U106" s="13">
        <v>21.097999999999999</v>
      </c>
      <c r="V106" s="55">
        <f>Table3[[#This Row],[Profit]]/Table3[[#This Row],[Sales]]</f>
        <v>0.1</v>
      </c>
    </row>
    <row r="107" spans="1:22" x14ac:dyDescent="0.2">
      <c r="A107">
        <v>106</v>
      </c>
      <c r="B107" t="s">
        <v>8077</v>
      </c>
      <c r="C107" s="1">
        <v>42758</v>
      </c>
      <c r="D107" s="22">
        <f>MONTH(Table3[[#This Row],[Order Date]])</f>
        <v>1</v>
      </c>
      <c r="E107" t="s">
        <v>4192</v>
      </c>
      <c r="F107" t="s">
        <v>4193</v>
      </c>
      <c r="G107" s="23" t="s">
        <v>41</v>
      </c>
      <c r="H107" s="23" t="s">
        <v>68</v>
      </c>
      <c r="I107" t="s">
        <v>2128</v>
      </c>
      <c r="J107" t="s">
        <v>36</v>
      </c>
      <c r="K107" s="22">
        <v>5</v>
      </c>
      <c r="L107" s="1">
        <v>42763</v>
      </c>
      <c r="M107" s="22">
        <f>Table3[[#This Row],[Ship Date]]-Table3[[#This Row],[Order Date]]</f>
        <v>5</v>
      </c>
      <c r="N107" s="23" t="s">
        <v>45</v>
      </c>
      <c r="O107" s="23" t="s">
        <v>23</v>
      </c>
      <c r="P107" s="23" t="s">
        <v>87</v>
      </c>
      <c r="Q107" s="23" t="s">
        <v>39</v>
      </c>
      <c r="R107" s="23" t="s">
        <v>86</v>
      </c>
      <c r="S107" s="33">
        <v>0.2</v>
      </c>
      <c r="T107" s="13">
        <v>19.68</v>
      </c>
      <c r="U107" s="13">
        <v>6.8879999999999999</v>
      </c>
      <c r="V107" s="55">
        <f>Table3[[#This Row],[Profit]]/Table3[[#This Row],[Sales]]</f>
        <v>0.35</v>
      </c>
    </row>
    <row r="108" spans="1:22" x14ac:dyDescent="0.2">
      <c r="A108">
        <v>107</v>
      </c>
      <c r="B108" t="s">
        <v>8077</v>
      </c>
      <c r="C108" s="1">
        <v>42758</v>
      </c>
      <c r="D108" s="22">
        <f>MONTH(Table3[[#This Row],[Order Date]])</f>
        <v>1</v>
      </c>
      <c r="E108" t="s">
        <v>2574</v>
      </c>
      <c r="F108" t="s">
        <v>2575</v>
      </c>
      <c r="G108" s="23" t="s">
        <v>41</v>
      </c>
      <c r="H108" s="23" t="s">
        <v>82</v>
      </c>
      <c r="I108" t="s">
        <v>2128</v>
      </c>
      <c r="J108" t="s">
        <v>36</v>
      </c>
      <c r="K108" s="22">
        <v>4</v>
      </c>
      <c r="L108" s="1">
        <v>42763</v>
      </c>
      <c r="M108" s="22">
        <f>Table3[[#This Row],[Ship Date]]-Table3[[#This Row],[Order Date]]</f>
        <v>5</v>
      </c>
      <c r="N108" s="23" t="s">
        <v>45</v>
      </c>
      <c r="O108" s="23" t="s">
        <v>23</v>
      </c>
      <c r="P108" s="23" t="s">
        <v>87</v>
      </c>
      <c r="Q108" s="23" t="s">
        <v>39</v>
      </c>
      <c r="R108" s="23" t="s">
        <v>86</v>
      </c>
      <c r="S108" s="33">
        <v>0</v>
      </c>
      <c r="T108" s="13">
        <v>25.92</v>
      </c>
      <c r="U108" s="13">
        <v>12.441599999999999</v>
      </c>
      <c r="V108" s="55">
        <f>Table3[[#This Row],[Profit]]/Table3[[#This Row],[Sales]]</f>
        <v>0.47999999999999993</v>
      </c>
    </row>
    <row r="109" spans="1:22" x14ac:dyDescent="0.2">
      <c r="A109">
        <v>108</v>
      </c>
      <c r="B109" t="s">
        <v>8077</v>
      </c>
      <c r="C109" s="1">
        <v>42758</v>
      </c>
      <c r="D109" s="22">
        <f>MONTH(Table3[[#This Row],[Order Date]])</f>
        <v>1</v>
      </c>
      <c r="E109" t="s">
        <v>3506</v>
      </c>
      <c r="F109" t="s">
        <v>3507</v>
      </c>
      <c r="G109" s="23" t="s">
        <v>41</v>
      </c>
      <c r="H109" s="23" t="s">
        <v>82</v>
      </c>
      <c r="I109" t="s">
        <v>2128</v>
      </c>
      <c r="J109" t="s">
        <v>36</v>
      </c>
      <c r="K109" s="22">
        <v>1</v>
      </c>
      <c r="L109" s="1">
        <v>42763</v>
      </c>
      <c r="M109" s="22">
        <f>Table3[[#This Row],[Ship Date]]-Table3[[#This Row],[Order Date]]</f>
        <v>5</v>
      </c>
      <c r="N109" s="23" t="s">
        <v>45</v>
      </c>
      <c r="O109" s="23" t="s">
        <v>23</v>
      </c>
      <c r="P109" s="23" t="s">
        <v>87</v>
      </c>
      <c r="Q109" s="23" t="s">
        <v>39</v>
      </c>
      <c r="R109" s="23" t="s">
        <v>86</v>
      </c>
      <c r="S109" s="33">
        <v>0</v>
      </c>
      <c r="T109" s="13">
        <v>6.48</v>
      </c>
      <c r="U109" s="13">
        <v>3.1103999999999998</v>
      </c>
      <c r="V109" s="55">
        <f>Table3[[#This Row],[Profit]]/Table3[[#This Row],[Sales]]</f>
        <v>0.47999999999999993</v>
      </c>
    </row>
    <row r="110" spans="1:22" x14ac:dyDescent="0.2">
      <c r="A110">
        <v>109</v>
      </c>
      <c r="B110" t="s">
        <v>8077</v>
      </c>
      <c r="C110" s="1">
        <v>42758</v>
      </c>
      <c r="D110" s="22">
        <f>MONTH(Table3[[#This Row],[Order Date]])</f>
        <v>1</v>
      </c>
      <c r="E110" t="s">
        <v>7753</v>
      </c>
      <c r="F110" t="s">
        <v>7754</v>
      </c>
      <c r="G110" s="23" t="s">
        <v>64</v>
      </c>
      <c r="H110" s="23" t="s">
        <v>65</v>
      </c>
      <c r="I110" t="s">
        <v>2128</v>
      </c>
      <c r="J110" t="s">
        <v>36</v>
      </c>
      <c r="K110" s="22">
        <v>6</v>
      </c>
      <c r="L110" s="1">
        <v>42763</v>
      </c>
      <c r="M110" s="22">
        <f>Table3[[#This Row],[Ship Date]]-Table3[[#This Row],[Order Date]]</f>
        <v>5</v>
      </c>
      <c r="N110" s="23" t="s">
        <v>45</v>
      </c>
      <c r="O110" s="23" t="s">
        <v>23</v>
      </c>
      <c r="P110" s="23" t="s">
        <v>87</v>
      </c>
      <c r="Q110" s="23" t="s">
        <v>39</v>
      </c>
      <c r="R110" s="23" t="s">
        <v>86</v>
      </c>
      <c r="S110" s="33">
        <v>0.2</v>
      </c>
      <c r="T110" s="13">
        <v>86.352000000000004</v>
      </c>
      <c r="U110" s="13">
        <v>8.6351999999999993</v>
      </c>
      <c r="V110" s="55">
        <f>Table3[[#This Row],[Profit]]/Table3[[#This Row],[Sales]]</f>
        <v>9.9999999999999992E-2</v>
      </c>
    </row>
    <row r="111" spans="1:22" x14ac:dyDescent="0.2">
      <c r="A111">
        <v>110</v>
      </c>
      <c r="B111" t="s">
        <v>9968</v>
      </c>
      <c r="C111" s="1">
        <v>42758</v>
      </c>
      <c r="D111" s="22">
        <f>MONTH(Table3[[#This Row],[Order Date]])</f>
        <v>1</v>
      </c>
      <c r="E111" t="s">
        <v>6206</v>
      </c>
      <c r="F111" t="s">
        <v>6207</v>
      </c>
      <c r="G111" s="23" t="s">
        <v>64</v>
      </c>
      <c r="H111" s="23" t="s">
        <v>144</v>
      </c>
      <c r="I111" t="s">
        <v>91</v>
      </c>
      <c r="J111" t="s">
        <v>92</v>
      </c>
      <c r="K111" s="22">
        <v>2</v>
      </c>
      <c r="L111" s="1">
        <v>42762</v>
      </c>
      <c r="M111" s="22">
        <f>Table3[[#This Row],[Ship Date]]-Table3[[#This Row],[Order Date]]</f>
        <v>4</v>
      </c>
      <c r="N111" s="23" t="s">
        <v>45</v>
      </c>
      <c r="O111" s="23" t="s">
        <v>23</v>
      </c>
      <c r="P111" s="23" t="s">
        <v>277</v>
      </c>
      <c r="Q111" s="23" t="s">
        <v>39</v>
      </c>
      <c r="R111" s="23" t="s">
        <v>1159</v>
      </c>
      <c r="S111" s="33">
        <v>0.2</v>
      </c>
      <c r="T111" s="13">
        <v>95.983999999999995</v>
      </c>
      <c r="U111" s="13">
        <v>11.997999999999999</v>
      </c>
      <c r="V111" s="55">
        <f>Table3[[#This Row],[Profit]]/Table3[[#This Row],[Sales]]</f>
        <v>0.125</v>
      </c>
    </row>
    <row r="112" spans="1:22" x14ac:dyDescent="0.2">
      <c r="A112">
        <v>111</v>
      </c>
      <c r="B112" t="s">
        <v>9968</v>
      </c>
      <c r="C112" s="1">
        <v>42758</v>
      </c>
      <c r="D112" s="22">
        <f>MONTH(Table3[[#This Row],[Order Date]])</f>
        <v>1</v>
      </c>
      <c r="E112" t="s">
        <v>4535</v>
      </c>
      <c r="F112" t="s">
        <v>4536</v>
      </c>
      <c r="G112" s="23" t="s">
        <v>41</v>
      </c>
      <c r="H112" s="23" t="s">
        <v>68</v>
      </c>
      <c r="I112" t="s">
        <v>91</v>
      </c>
      <c r="J112" t="s">
        <v>92</v>
      </c>
      <c r="K112" s="22">
        <v>2</v>
      </c>
      <c r="L112" s="1">
        <v>42762</v>
      </c>
      <c r="M112" s="22">
        <f>Table3[[#This Row],[Ship Date]]-Table3[[#This Row],[Order Date]]</f>
        <v>4</v>
      </c>
      <c r="N112" s="23" t="s">
        <v>45</v>
      </c>
      <c r="O112" s="23" t="s">
        <v>23</v>
      </c>
      <c r="P112" s="23" t="s">
        <v>277</v>
      </c>
      <c r="Q112" s="23" t="s">
        <v>39</v>
      </c>
      <c r="R112" s="23" t="s">
        <v>1159</v>
      </c>
      <c r="S112" s="33">
        <v>0.7</v>
      </c>
      <c r="T112" s="13">
        <v>4.9379999999999997</v>
      </c>
      <c r="U112" s="13">
        <v>-3.6212</v>
      </c>
      <c r="V112" s="55">
        <f>Table3[[#This Row],[Profit]]/Table3[[#This Row],[Sales]]</f>
        <v>-0.73333333333333339</v>
      </c>
    </row>
    <row r="113" spans="1:22" x14ac:dyDescent="0.2">
      <c r="A113">
        <v>112</v>
      </c>
      <c r="B113" t="s">
        <v>4803</v>
      </c>
      <c r="C113" s="1">
        <v>42759</v>
      </c>
      <c r="D113" s="22">
        <f>MONTH(Table3[[#This Row],[Order Date]])</f>
        <v>1</v>
      </c>
      <c r="E113" t="s">
        <v>3348</v>
      </c>
      <c r="F113" t="s">
        <v>3349</v>
      </c>
      <c r="G113" s="23" t="s">
        <v>41</v>
      </c>
      <c r="H113" s="23" t="s">
        <v>240</v>
      </c>
      <c r="I113" t="s">
        <v>1763</v>
      </c>
      <c r="J113" t="s">
        <v>22</v>
      </c>
      <c r="K113" s="22">
        <v>3</v>
      </c>
      <c r="L113" s="1">
        <v>42765</v>
      </c>
      <c r="M113" s="22">
        <f>Table3[[#This Row],[Ship Date]]-Table3[[#This Row],[Order Date]]</f>
        <v>6</v>
      </c>
      <c r="N113" s="23" t="s">
        <v>45</v>
      </c>
      <c r="O113" s="23" t="s">
        <v>23</v>
      </c>
      <c r="P113" s="23" t="s">
        <v>1125</v>
      </c>
      <c r="Q113" s="23" t="s">
        <v>26</v>
      </c>
      <c r="R113" s="23" t="s">
        <v>3345</v>
      </c>
      <c r="S113" s="33">
        <v>0</v>
      </c>
      <c r="T113" s="13">
        <v>5.67</v>
      </c>
      <c r="U113" s="13">
        <v>0.1134</v>
      </c>
      <c r="V113" s="55">
        <f>Table3[[#This Row],[Profit]]/Table3[[#This Row],[Sales]]</f>
        <v>0.02</v>
      </c>
    </row>
    <row r="114" spans="1:22" x14ac:dyDescent="0.2">
      <c r="A114">
        <v>113</v>
      </c>
      <c r="B114" t="s">
        <v>9934</v>
      </c>
      <c r="C114" s="1">
        <v>42759</v>
      </c>
      <c r="D114" s="22">
        <f>MONTH(Table3[[#This Row],[Order Date]])</f>
        <v>1</v>
      </c>
      <c r="E114" t="s">
        <v>127</v>
      </c>
      <c r="F114" t="s">
        <v>128</v>
      </c>
      <c r="G114" s="23" t="s">
        <v>41</v>
      </c>
      <c r="H114" s="23" t="s">
        <v>71</v>
      </c>
      <c r="I114" t="s">
        <v>3475</v>
      </c>
      <c r="J114" t="s">
        <v>36</v>
      </c>
      <c r="K114" s="22">
        <v>3</v>
      </c>
      <c r="L114" s="1">
        <v>42764</v>
      </c>
      <c r="M114" s="22">
        <f>Table3[[#This Row],[Ship Date]]-Table3[[#This Row],[Order Date]]</f>
        <v>5</v>
      </c>
      <c r="N114" s="23" t="s">
        <v>45</v>
      </c>
      <c r="O114" s="23" t="s">
        <v>23</v>
      </c>
      <c r="P114" s="23" t="s">
        <v>38</v>
      </c>
      <c r="Q114" s="23" t="s">
        <v>39</v>
      </c>
      <c r="R114" s="23" t="s">
        <v>557</v>
      </c>
      <c r="S114" s="33">
        <v>0</v>
      </c>
      <c r="T114" s="13">
        <v>25.86</v>
      </c>
      <c r="U114" s="13">
        <v>6.7236000000000002</v>
      </c>
      <c r="V114" s="55">
        <f>Table3[[#This Row],[Profit]]/Table3[[#This Row],[Sales]]</f>
        <v>0.26</v>
      </c>
    </row>
    <row r="115" spans="1:22" x14ac:dyDescent="0.2">
      <c r="A115">
        <v>114</v>
      </c>
      <c r="B115" t="s">
        <v>9934</v>
      </c>
      <c r="C115" s="1">
        <v>42759</v>
      </c>
      <c r="D115" s="22">
        <f>MONTH(Table3[[#This Row],[Order Date]])</f>
        <v>1</v>
      </c>
      <c r="E115" t="s">
        <v>6271</v>
      </c>
      <c r="F115" t="s">
        <v>6272</v>
      </c>
      <c r="G115" s="23" t="s">
        <v>41</v>
      </c>
      <c r="H115" s="23" t="s">
        <v>68</v>
      </c>
      <c r="I115" t="s">
        <v>3475</v>
      </c>
      <c r="J115" t="s">
        <v>36</v>
      </c>
      <c r="K115" s="22">
        <v>2</v>
      </c>
      <c r="L115" s="1">
        <v>42764</v>
      </c>
      <c r="M115" s="22">
        <f>Table3[[#This Row],[Ship Date]]-Table3[[#This Row],[Order Date]]</f>
        <v>5</v>
      </c>
      <c r="N115" s="23" t="s">
        <v>45</v>
      </c>
      <c r="O115" s="23" t="s">
        <v>23</v>
      </c>
      <c r="P115" s="23" t="s">
        <v>38</v>
      </c>
      <c r="Q115" s="23" t="s">
        <v>39</v>
      </c>
      <c r="R115" s="23" t="s">
        <v>557</v>
      </c>
      <c r="S115" s="33">
        <v>0.2</v>
      </c>
      <c r="T115" s="13">
        <v>276.78399999999999</v>
      </c>
      <c r="U115" s="13">
        <v>89.954800000000006</v>
      </c>
      <c r="V115" s="55">
        <f>Table3[[#This Row],[Profit]]/Table3[[#This Row],[Sales]]</f>
        <v>0.32500000000000001</v>
      </c>
    </row>
    <row r="116" spans="1:22" x14ac:dyDescent="0.2">
      <c r="A116">
        <v>115</v>
      </c>
      <c r="B116" t="s">
        <v>9934</v>
      </c>
      <c r="C116" s="1">
        <v>42759</v>
      </c>
      <c r="D116" s="22">
        <f>MONTH(Table3[[#This Row],[Order Date]])</f>
        <v>1</v>
      </c>
      <c r="E116" t="s">
        <v>6856</v>
      </c>
      <c r="F116" t="s">
        <v>6857</v>
      </c>
      <c r="G116" s="23" t="s">
        <v>64</v>
      </c>
      <c r="H116" s="23" t="s">
        <v>65</v>
      </c>
      <c r="I116" t="s">
        <v>3475</v>
      </c>
      <c r="J116" t="s">
        <v>36</v>
      </c>
      <c r="K116" s="22">
        <v>3</v>
      </c>
      <c r="L116" s="1">
        <v>42764</v>
      </c>
      <c r="M116" s="22">
        <f>Table3[[#This Row],[Ship Date]]-Table3[[#This Row],[Order Date]]</f>
        <v>5</v>
      </c>
      <c r="N116" s="23" t="s">
        <v>45</v>
      </c>
      <c r="O116" s="23" t="s">
        <v>23</v>
      </c>
      <c r="P116" s="23" t="s">
        <v>38</v>
      </c>
      <c r="Q116" s="23" t="s">
        <v>39</v>
      </c>
      <c r="R116" s="23" t="s">
        <v>557</v>
      </c>
      <c r="S116" s="33">
        <v>0.2</v>
      </c>
      <c r="T116" s="13">
        <v>110.352</v>
      </c>
      <c r="U116" s="13">
        <v>8.2764000000000006</v>
      </c>
      <c r="V116" s="55">
        <f>Table3[[#This Row],[Profit]]/Table3[[#This Row],[Sales]]</f>
        <v>7.4999999999999997E-2</v>
      </c>
    </row>
    <row r="117" spans="1:22" x14ac:dyDescent="0.2">
      <c r="A117">
        <v>116</v>
      </c>
      <c r="B117" t="s">
        <v>5354</v>
      </c>
      <c r="C117" s="1">
        <v>42761</v>
      </c>
      <c r="D117" s="22">
        <f>MONTH(Table3[[#This Row],[Order Date]])</f>
        <v>1</v>
      </c>
      <c r="E117" t="s">
        <v>566</v>
      </c>
      <c r="F117" t="s">
        <v>567</v>
      </c>
      <c r="G117" s="23" t="s">
        <v>41</v>
      </c>
      <c r="H117" s="23" t="s">
        <v>61</v>
      </c>
      <c r="I117" t="s">
        <v>5355</v>
      </c>
      <c r="J117" t="s">
        <v>36</v>
      </c>
      <c r="K117" s="22">
        <v>7</v>
      </c>
      <c r="L117" s="1">
        <v>42766</v>
      </c>
      <c r="M117" s="22">
        <f>Table3[[#This Row],[Ship Date]]-Table3[[#This Row],[Order Date]]</f>
        <v>5</v>
      </c>
      <c r="N117" s="23" t="s">
        <v>20</v>
      </c>
      <c r="O117" s="23" t="s">
        <v>23</v>
      </c>
      <c r="P117" s="23" t="s">
        <v>320</v>
      </c>
      <c r="Q117" s="23" t="s">
        <v>26</v>
      </c>
      <c r="R117" s="23" t="s">
        <v>5246</v>
      </c>
      <c r="S117" s="33">
        <v>0</v>
      </c>
      <c r="T117" s="13">
        <v>15.47</v>
      </c>
      <c r="U117" s="13">
        <v>4.1768999999999998</v>
      </c>
      <c r="V117" s="55">
        <f>Table3[[#This Row],[Profit]]/Table3[[#This Row],[Sales]]</f>
        <v>0.26999999999999996</v>
      </c>
    </row>
    <row r="118" spans="1:22" x14ac:dyDescent="0.2">
      <c r="A118">
        <v>117</v>
      </c>
      <c r="B118" t="s">
        <v>5354</v>
      </c>
      <c r="C118" s="1">
        <v>42761</v>
      </c>
      <c r="D118" s="22">
        <f>MONTH(Table3[[#This Row],[Order Date]])</f>
        <v>1</v>
      </c>
      <c r="E118" t="s">
        <v>661</v>
      </c>
      <c r="F118" t="s">
        <v>662</v>
      </c>
      <c r="G118" s="23" t="s">
        <v>41</v>
      </c>
      <c r="H118" s="23" t="s">
        <v>68</v>
      </c>
      <c r="I118" t="s">
        <v>5355</v>
      </c>
      <c r="J118" t="s">
        <v>36</v>
      </c>
      <c r="K118" s="22">
        <v>2</v>
      </c>
      <c r="L118" s="1">
        <v>42766</v>
      </c>
      <c r="M118" s="22">
        <f>Table3[[#This Row],[Ship Date]]-Table3[[#This Row],[Order Date]]</f>
        <v>5</v>
      </c>
      <c r="N118" s="23" t="s">
        <v>20</v>
      </c>
      <c r="O118" s="23" t="s">
        <v>23</v>
      </c>
      <c r="P118" s="23" t="s">
        <v>320</v>
      </c>
      <c r="Q118" s="23" t="s">
        <v>26</v>
      </c>
      <c r="R118" s="23" t="s">
        <v>5246</v>
      </c>
      <c r="S118" s="33">
        <v>0</v>
      </c>
      <c r="T118" s="13">
        <v>7.16</v>
      </c>
      <c r="U118" s="13">
        <v>3.4367999999999999</v>
      </c>
      <c r="V118" s="55">
        <f>Table3[[#This Row],[Profit]]/Table3[[#This Row],[Sales]]</f>
        <v>0.48</v>
      </c>
    </row>
    <row r="119" spans="1:22" x14ac:dyDescent="0.2">
      <c r="A119">
        <v>118</v>
      </c>
      <c r="B119" t="s">
        <v>7523</v>
      </c>
      <c r="C119" s="1">
        <v>42761</v>
      </c>
      <c r="D119" s="22">
        <f>MONTH(Table3[[#This Row],[Order Date]])</f>
        <v>1</v>
      </c>
      <c r="E119" t="s">
        <v>312</v>
      </c>
      <c r="F119" t="s">
        <v>313</v>
      </c>
      <c r="G119" s="23" t="s">
        <v>41</v>
      </c>
      <c r="H119" s="23" t="s">
        <v>53</v>
      </c>
      <c r="I119" t="s">
        <v>21</v>
      </c>
      <c r="J119" t="s">
        <v>22</v>
      </c>
      <c r="K119" s="22">
        <v>2</v>
      </c>
      <c r="L119" s="1">
        <v>42762</v>
      </c>
      <c r="M119" s="22">
        <f>Table3[[#This Row],[Ship Date]]-Table3[[#This Row],[Order Date]]</f>
        <v>1</v>
      </c>
      <c r="N119" s="23" t="s">
        <v>169</v>
      </c>
      <c r="O119" s="23" t="s">
        <v>23</v>
      </c>
      <c r="P119" s="23" t="s">
        <v>94</v>
      </c>
      <c r="Q119" s="23" t="s">
        <v>95</v>
      </c>
      <c r="R119" s="23" t="s">
        <v>165</v>
      </c>
      <c r="S119" s="33">
        <v>0.2</v>
      </c>
      <c r="T119" s="13">
        <v>18.16</v>
      </c>
      <c r="U119" s="13">
        <v>1.8160000000000001</v>
      </c>
      <c r="V119" s="55">
        <f>Table3[[#This Row],[Profit]]/Table3[[#This Row],[Sales]]</f>
        <v>0.1</v>
      </c>
    </row>
    <row r="120" spans="1:22" x14ac:dyDescent="0.2">
      <c r="A120">
        <v>119</v>
      </c>
      <c r="B120" t="s">
        <v>8904</v>
      </c>
      <c r="C120" s="1">
        <v>42761</v>
      </c>
      <c r="D120" s="22">
        <f>MONTH(Table3[[#This Row],[Order Date]])</f>
        <v>1</v>
      </c>
      <c r="E120" t="s">
        <v>3806</v>
      </c>
      <c r="F120" t="s">
        <v>3807</v>
      </c>
      <c r="G120" s="23" t="s">
        <v>41</v>
      </c>
      <c r="H120" s="23" t="s">
        <v>240</v>
      </c>
      <c r="I120" t="s">
        <v>1285</v>
      </c>
      <c r="J120" t="s">
        <v>22</v>
      </c>
      <c r="K120" s="22">
        <v>8</v>
      </c>
      <c r="L120" s="1">
        <v>42765</v>
      </c>
      <c r="M120" s="22">
        <f>Table3[[#This Row],[Ship Date]]-Table3[[#This Row],[Order Date]]</f>
        <v>4</v>
      </c>
      <c r="N120" s="23" t="s">
        <v>45</v>
      </c>
      <c r="O120" s="23" t="s">
        <v>23</v>
      </c>
      <c r="P120" s="23" t="s">
        <v>38</v>
      </c>
      <c r="Q120" s="23" t="s">
        <v>39</v>
      </c>
      <c r="R120" s="23" t="s">
        <v>114</v>
      </c>
      <c r="S120" s="33">
        <v>0</v>
      </c>
      <c r="T120" s="13">
        <v>11.84</v>
      </c>
      <c r="U120" s="13">
        <v>5.6832000000000003</v>
      </c>
      <c r="V120" s="55">
        <f>Table3[[#This Row],[Profit]]/Table3[[#This Row],[Sales]]</f>
        <v>0.48000000000000004</v>
      </c>
    </row>
    <row r="121" spans="1:22" x14ac:dyDescent="0.2">
      <c r="A121">
        <v>120</v>
      </c>
      <c r="B121" t="s">
        <v>9167</v>
      </c>
      <c r="C121" s="1">
        <v>42761</v>
      </c>
      <c r="D121" s="22">
        <f>MONTH(Table3[[#This Row],[Order Date]])</f>
        <v>1</v>
      </c>
      <c r="E121" t="s">
        <v>462</v>
      </c>
      <c r="F121" t="s">
        <v>463</v>
      </c>
      <c r="G121" s="23" t="s">
        <v>28</v>
      </c>
      <c r="H121" s="23" t="s">
        <v>58</v>
      </c>
      <c r="I121" t="s">
        <v>1630</v>
      </c>
      <c r="J121" t="s">
        <v>22</v>
      </c>
      <c r="K121" s="22">
        <v>4</v>
      </c>
      <c r="L121" s="1">
        <v>42766</v>
      </c>
      <c r="M121" s="22">
        <f>Table3[[#This Row],[Ship Date]]-Table3[[#This Row],[Order Date]]</f>
        <v>5</v>
      </c>
      <c r="N121" s="23" t="s">
        <v>45</v>
      </c>
      <c r="O121" s="23" t="s">
        <v>23</v>
      </c>
      <c r="P121" s="23" t="s">
        <v>1125</v>
      </c>
      <c r="Q121" s="23" t="s">
        <v>26</v>
      </c>
      <c r="R121" s="23" t="s">
        <v>440</v>
      </c>
      <c r="S121" s="33">
        <v>0</v>
      </c>
      <c r="T121" s="13">
        <v>62.72</v>
      </c>
      <c r="U121" s="13">
        <v>24.460799999999999</v>
      </c>
      <c r="V121" s="55">
        <f>Table3[[#This Row],[Profit]]/Table3[[#This Row],[Sales]]</f>
        <v>0.39</v>
      </c>
    </row>
    <row r="122" spans="1:22" x14ac:dyDescent="0.2">
      <c r="A122">
        <v>121</v>
      </c>
      <c r="B122" t="s">
        <v>9167</v>
      </c>
      <c r="C122" s="1">
        <v>42761</v>
      </c>
      <c r="D122" s="22">
        <f>MONTH(Table3[[#This Row],[Order Date]])</f>
        <v>1</v>
      </c>
      <c r="E122" t="s">
        <v>5480</v>
      </c>
      <c r="F122" t="s">
        <v>5481</v>
      </c>
      <c r="G122" s="23" t="s">
        <v>64</v>
      </c>
      <c r="H122" s="23" t="s">
        <v>65</v>
      </c>
      <c r="I122" t="s">
        <v>1630</v>
      </c>
      <c r="J122" t="s">
        <v>22</v>
      </c>
      <c r="K122" s="22">
        <v>7</v>
      </c>
      <c r="L122" s="1">
        <v>42766</v>
      </c>
      <c r="M122" s="22">
        <f>Table3[[#This Row],[Ship Date]]-Table3[[#This Row],[Order Date]]</f>
        <v>5</v>
      </c>
      <c r="N122" s="23" t="s">
        <v>45</v>
      </c>
      <c r="O122" s="23" t="s">
        <v>23</v>
      </c>
      <c r="P122" s="23" t="s">
        <v>1125</v>
      </c>
      <c r="Q122" s="23" t="s">
        <v>26</v>
      </c>
      <c r="R122" s="23" t="s">
        <v>440</v>
      </c>
      <c r="S122" s="33">
        <v>0</v>
      </c>
      <c r="T122" s="13">
        <v>2939.93</v>
      </c>
      <c r="U122" s="13">
        <v>764.3818</v>
      </c>
      <c r="V122" s="55">
        <f>Table3[[#This Row],[Profit]]/Table3[[#This Row],[Sales]]</f>
        <v>0.26</v>
      </c>
    </row>
    <row r="123" spans="1:22" x14ac:dyDescent="0.2">
      <c r="A123">
        <v>122</v>
      </c>
      <c r="B123" t="s">
        <v>4529</v>
      </c>
      <c r="C123" s="1">
        <v>42762</v>
      </c>
      <c r="D123" s="22">
        <f>MONTH(Table3[[#This Row],[Order Date]])</f>
        <v>1</v>
      </c>
      <c r="E123" t="s">
        <v>1754</v>
      </c>
      <c r="F123" t="s">
        <v>1755</v>
      </c>
      <c r="G123" s="23" t="s">
        <v>41</v>
      </c>
      <c r="H123" s="23" t="s">
        <v>61</v>
      </c>
      <c r="I123" t="s">
        <v>4530</v>
      </c>
      <c r="J123" t="s">
        <v>22</v>
      </c>
      <c r="K123" s="22">
        <v>3</v>
      </c>
      <c r="L123" s="1">
        <v>42765</v>
      </c>
      <c r="M123" s="22">
        <f>Table3[[#This Row],[Ship Date]]-Table3[[#This Row],[Order Date]]</f>
        <v>3</v>
      </c>
      <c r="N123" s="23" t="s">
        <v>20</v>
      </c>
      <c r="O123" s="23" t="s">
        <v>23</v>
      </c>
      <c r="P123" s="23" t="s">
        <v>441</v>
      </c>
      <c r="Q123" s="23" t="s">
        <v>133</v>
      </c>
      <c r="R123" s="23" t="s">
        <v>3755</v>
      </c>
      <c r="S123" s="33">
        <v>0.2</v>
      </c>
      <c r="T123" s="13">
        <v>14.016</v>
      </c>
      <c r="U123" s="13">
        <v>1.752</v>
      </c>
      <c r="V123" s="55">
        <f>Table3[[#This Row],[Profit]]/Table3[[#This Row],[Sales]]</f>
        <v>0.125</v>
      </c>
    </row>
    <row r="124" spans="1:22" x14ac:dyDescent="0.2">
      <c r="A124">
        <v>123</v>
      </c>
      <c r="B124" t="s">
        <v>4529</v>
      </c>
      <c r="C124" s="1">
        <v>42762</v>
      </c>
      <c r="D124" s="22">
        <f>MONTH(Table3[[#This Row],[Order Date]])</f>
        <v>1</v>
      </c>
      <c r="E124" t="s">
        <v>2411</v>
      </c>
      <c r="F124" t="s">
        <v>2412</v>
      </c>
      <c r="G124" s="23" t="s">
        <v>64</v>
      </c>
      <c r="H124" s="23" t="s">
        <v>144</v>
      </c>
      <c r="I124" t="s">
        <v>4530</v>
      </c>
      <c r="J124" t="s">
        <v>22</v>
      </c>
      <c r="K124" s="22">
        <v>3</v>
      </c>
      <c r="L124" s="1">
        <v>42765</v>
      </c>
      <c r="M124" s="22">
        <f>Table3[[#This Row],[Ship Date]]-Table3[[#This Row],[Order Date]]</f>
        <v>3</v>
      </c>
      <c r="N124" s="23" t="s">
        <v>20</v>
      </c>
      <c r="O124" s="23" t="s">
        <v>23</v>
      </c>
      <c r="P124" s="23" t="s">
        <v>441</v>
      </c>
      <c r="Q124" s="23" t="s">
        <v>133</v>
      </c>
      <c r="R124" s="23" t="s">
        <v>3755</v>
      </c>
      <c r="S124" s="33">
        <v>0.2</v>
      </c>
      <c r="T124" s="13">
        <v>71.975999999999999</v>
      </c>
      <c r="U124" s="13">
        <v>-8.9969999999999999</v>
      </c>
      <c r="V124" s="55">
        <f>Table3[[#This Row],[Profit]]/Table3[[#This Row],[Sales]]</f>
        <v>-0.125</v>
      </c>
    </row>
    <row r="125" spans="1:22" x14ac:dyDescent="0.2">
      <c r="A125">
        <v>124</v>
      </c>
      <c r="B125" t="s">
        <v>4529</v>
      </c>
      <c r="C125" s="1">
        <v>42762</v>
      </c>
      <c r="D125" s="22">
        <f>MONTH(Table3[[#This Row],[Order Date]])</f>
        <v>1</v>
      </c>
      <c r="E125" t="s">
        <v>612</v>
      </c>
      <c r="F125" t="s">
        <v>613</v>
      </c>
      <c r="G125" s="23" t="s">
        <v>64</v>
      </c>
      <c r="H125" s="23" t="s">
        <v>65</v>
      </c>
      <c r="I125" t="s">
        <v>4530</v>
      </c>
      <c r="J125" t="s">
        <v>22</v>
      </c>
      <c r="K125" s="22">
        <v>3</v>
      </c>
      <c r="L125" s="1">
        <v>42765</v>
      </c>
      <c r="M125" s="22">
        <f>Table3[[#This Row],[Ship Date]]-Table3[[#This Row],[Order Date]]</f>
        <v>3</v>
      </c>
      <c r="N125" s="23" t="s">
        <v>20</v>
      </c>
      <c r="O125" s="23" t="s">
        <v>23</v>
      </c>
      <c r="P125" s="23" t="s">
        <v>441</v>
      </c>
      <c r="Q125" s="23" t="s">
        <v>133</v>
      </c>
      <c r="R125" s="23" t="s">
        <v>3755</v>
      </c>
      <c r="S125" s="33">
        <v>0.4</v>
      </c>
      <c r="T125" s="13">
        <v>107.982</v>
      </c>
      <c r="U125" s="13">
        <v>-26.9955</v>
      </c>
      <c r="V125" s="55">
        <f>Table3[[#This Row],[Profit]]/Table3[[#This Row],[Sales]]</f>
        <v>-0.25</v>
      </c>
    </row>
    <row r="126" spans="1:22" x14ac:dyDescent="0.2">
      <c r="A126">
        <v>125</v>
      </c>
      <c r="B126" t="s">
        <v>8578</v>
      </c>
      <c r="C126" s="1">
        <v>42762</v>
      </c>
      <c r="D126" s="22">
        <f>MONTH(Table3[[#This Row],[Order Date]])</f>
        <v>1</v>
      </c>
      <c r="E126" t="s">
        <v>6856</v>
      </c>
      <c r="F126" t="s">
        <v>6857</v>
      </c>
      <c r="G126" s="23" t="s">
        <v>64</v>
      </c>
      <c r="H126" s="23" t="s">
        <v>65</v>
      </c>
      <c r="I126" t="s">
        <v>4628</v>
      </c>
      <c r="J126" t="s">
        <v>22</v>
      </c>
      <c r="K126" s="22">
        <v>3</v>
      </c>
      <c r="L126" s="1">
        <v>42766</v>
      </c>
      <c r="M126" s="22">
        <f>Table3[[#This Row],[Ship Date]]-Table3[[#This Row],[Order Date]]</f>
        <v>4</v>
      </c>
      <c r="N126" s="23" t="s">
        <v>45</v>
      </c>
      <c r="O126" s="23" t="s">
        <v>23</v>
      </c>
      <c r="P126" s="23" t="s">
        <v>238</v>
      </c>
      <c r="Q126" s="23" t="s">
        <v>133</v>
      </c>
      <c r="R126" s="23" t="s">
        <v>237</v>
      </c>
      <c r="S126" s="33">
        <v>0</v>
      </c>
      <c r="T126" s="13">
        <v>137.94</v>
      </c>
      <c r="U126" s="13">
        <v>35.864400000000003</v>
      </c>
      <c r="V126" s="55">
        <f>Table3[[#This Row],[Profit]]/Table3[[#This Row],[Sales]]</f>
        <v>0.26</v>
      </c>
    </row>
    <row r="127" spans="1:22" x14ac:dyDescent="0.2">
      <c r="A127">
        <v>126</v>
      </c>
      <c r="B127" t="s">
        <v>3385</v>
      </c>
      <c r="C127" s="1">
        <v>42763</v>
      </c>
      <c r="D127" s="22">
        <f>MONTH(Table3[[#This Row],[Order Date]])</f>
        <v>1</v>
      </c>
      <c r="E127" t="s">
        <v>3133</v>
      </c>
      <c r="F127" t="s">
        <v>3134</v>
      </c>
      <c r="G127" s="23" t="s">
        <v>64</v>
      </c>
      <c r="H127" s="23" t="s">
        <v>144</v>
      </c>
      <c r="I127" t="s">
        <v>3386</v>
      </c>
      <c r="J127" t="s">
        <v>92</v>
      </c>
      <c r="K127" s="22">
        <v>3</v>
      </c>
      <c r="L127" s="1">
        <v>42766</v>
      </c>
      <c r="M127" s="22">
        <f>Table3[[#This Row],[Ship Date]]-Table3[[#This Row],[Order Date]]</f>
        <v>3</v>
      </c>
      <c r="N127" s="23" t="s">
        <v>20</v>
      </c>
      <c r="O127" s="23" t="s">
        <v>23</v>
      </c>
      <c r="P127" s="23" t="s">
        <v>38</v>
      </c>
      <c r="Q127" s="23" t="s">
        <v>39</v>
      </c>
      <c r="R127" s="23" t="s">
        <v>1514</v>
      </c>
      <c r="S127" s="33">
        <v>0</v>
      </c>
      <c r="T127" s="13">
        <v>239.97</v>
      </c>
      <c r="U127" s="13">
        <v>26.396699999999999</v>
      </c>
      <c r="V127" s="55">
        <f>Table3[[#This Row],[Profit]]/Table3[[#This Row],[Sales]]</f>
        <v>0.11</v>
      </c>
    </row>
    <row r="128" spans="1:22" x14ac:dyDescent="0.2">
      <c r="A128">
        <v>127</v>
      </c>
      <c r="B128" t="s">
        <v>3385</v>
      </c>
      <c r="C128" s="1">
        <v>42763</v>
      </c>
      <c r="D128" s="22">
        <f>MONTH(Table3[[#This Row],[Order Date]])</f>
        <v>1</v>
      </c>
      <c r="E128" t="s">
        <v>3387</v>
      </c>
      <c r="F128" t="s">
        <v>3388</v>
      </c>
      <c r="G128" s="23" t="s">
        <v>28</v>
      </c>
      <c r="H128" s="23" t="s">
        <v>58</v>
      </c>
      <c r="I128" t="s">
        <v>3386</v>
      </c>
      <c r="J128" t="s">
        <v>92</v>
      </c>
      <c r="K128" s="22">
        <v>3</v>
      </c>
      <c r="L128" s="1">
        <v>42766</v>
      </c>
      <c r="M128" s="22">
        <f>Table3[[#This Row],[Ship Date]]-Table3[[#This Row],[Order Date]]</f>
        <v>3</v>
      </c>
      <c r="N128" s="23" t="s">
        <v>20</v>
      </c>
      <c r="O128" s="23" t="s">
        <v>23</v>
      </c>
      <c r="P128" s="23" t="s">
        <v>38</v>
      </c>
      <c r="Q128" s="23" t="s">
        <v>39</v>
      </c>
      <c r="R128" s="23" t="s">
        <v>1514</v>
      </c>
      <c r="S128" s="33">
        <v>0</v>
      </c>
      <c r="T128" s="13">
        <v>37.74</v>
      </c>
      <c r="U128" s="13">
        <v>12.8316</v>
      </c>
      <c r="V128" s="55">
        <f>Table3[[#This Row],[Profit]]/Table3[[#This Row],[Sales]]</f>
        <v>0.33999999999999997</v>
      </c>
    </row>
    <row r="129" spans="1:22" x14ac:dyDescent="0.2">
      <c r="A129">
        <v>128</v>
      </c>
      <c r="B129" t="s">
        <v>7027</v>
      </c>
      <c r="C129" s="1">
        <v>42763</v>
      </c>
      <c r="D129" s="22">
        <f>MONTH(Table3[[#This Row],[Order Date]])</f>
        <v>1</v>
      </c>
      <c r="E129" t="s">
        <v>3333</v>
      </c>
      <c r="F129" t="s">
        <v>3334</v>
      </c>
      <c r="G129" s="23" t="s">
        <v>41</v>
      </c>
      <c r="H129" s="23" t="s">
        <v>82</v>
      </c>
      <c r="I129" t="s">
        <v>5505</v>
      </c>
      <c r="J129" t="s">
        <v>22</v>
      </c>
      <c r="K129" s="22">
        <v>5</v>
      </c>
      <c r="L129" s="1">
        <v>42767</v>
      </c>
      <c r="M129" s="22">
        <f>Table3[[#This Row],[Ship Date]]-Table3[[#This Row],[Order Date]]</f>
        <v>4</v>
      </c>
      <c r="N129" s="23" t="s">
        <v>45</v>
      </c>
      <c r="O129" s="23" t="s">
        <v>23</v>
      </c>
      <c r="P129" s="23" t="s">
        <v>4001</v>
      </c>
      <c r="Q129" s="23" t="s">
        <v>95</v>
      </c>
      <c r="R129" s="23" t="s">
        <v>6518</v>
      </c>
      <c r="S129" s="33">
        <v>0</v>
      </c>
      <c r="T129" s="13">
        <v>279.89999999999998</v>
      </c>
      <c r="U129" s="13">
        <v>137.15100000000001</v>
      </c>
      <c r="V129" s="55">
        <f>Table3[[#This Row],[Profit]]/Table3[[#This Row],[Sales]]</f>
        <v>0.4900000000000001</v>
      </c>
    </row>
    <row r="130" spans="1:22" x14ac:dyDescent="0.2">
      <c r="A130">
        <v>129</v>
      </c>
      <c r="B130" t="s">
        <v>8316</v>
      </c>
      <c r="C130" s="1">
        <v>42763</v>
      </c>
      <c r="D130" s="22">
        <f>MONTH(Table3[[#This Row],[Order Date]])</f>
        <v>1</v>
      </c>
      <c r="E130" t="s">
        <v>4387</v>
      </c>
      <c r="F130" t="s">
        <v>4388</v>
      </c>
      <c r="G130" s="23" t="s">
        <v>64</v>
      </c>
      <c r="H130" s="23" t="s">
        <v>144</v>
      </c>
      <c r="I130" t="s">
        <v>5152</v>
      </c>
      <c r="J130" t="s">
        <v>92</v>
      </c>
      <c r="K130" s="22">
        <v>9</v>
      </c>
      <c r="L130" s="1">
        <v>42767</v>
      </c>
      <c r="M130" s="22">
        <f>Table3[[#This Row],[Ship Date]]-Table3[[#This Row],[Order Date]]</f>
        <v>4</v>
      </c>
      <c r="N130" s="23" t="s">
        <v>45</v>
      </c>
      <c r="O130" s="23" t="s">
        <v>23</v>
      </c>
      <c r="P130" s="23" t="s">
        <v>238</v>
      </c>
      <c r="Q130" s="23" t="s">
        <v>133</v>
      </c>
      <c r="R130" s="23" t="s">
        <v>237</v>
      </c>
      <c r="S130" s="33">
        <v>0</v>
      </c>
      <c r="T130" s="13">
        <v>449.91</v>
      </c>
      <c r="U130" s="13">
        <v>157.46850000000001</v>
      </c>
      <c r="V130" s="55">
        <f>Table3[[#This Row],[Profit]]/Table3[[#This Row],[Sales]]</f>
        <v>0.35</v>
      </c>
    </row>
    <row r="131" spans="1:22" x14ac:dyDescent="0.2">
      <c r="A131">
        <v>130</v>
      </c>
      <c r="B131" t="s">
        <v>6309</v>
      </c>
      <c r="C131" s="1">
        <v>42764</v>
      </c>
      <c r="D131" s="22">
        <f>MONTH(Table3[[#This Row],[Order Date]])</f>
        <v>1</v>
      </c>
      <c r="E131" t="s">
        <v>991</v>
      </c>
      <c r="F131" t="s">
        <v>992</v>
      </c>
      <c r="G131" s="23" t="s">
        <v>41</v>
      </c>
      <c r="H131" s="23" t="s">
        <v>68</v>
      </c>
      <c r="I131" t="s">
        <v>1795</v>
      </c>
      <c r="J131" t="s">
        <v>22</v>
      </c>
      <c r="K131" s="22">
        <v>4</v>
      </c>
      <c r="L131" s="1">
        <v>42768</v>
      </c>
      <c r="M131" s="22">
        <f>Table3[[#This Row],[Ship Date]]-Table3[[#This Row],[Order Date]]</f>
        <v>4</v>
      </c>
      <c r="N131" s="23" t="s">
        <v>45</v>
      </c>
      <c r="O131" s="23" t="s">
        <v>23</v>
      </c>
      <c r="P131" s="23" t="s">
        <v>189</v>
      </c>
      <c r="Q131" s="23" t="s">
        <v>95</v>
      </c>
      <c r="R131" s="23" t="s">
        <v>271</v>
      </c>
      <c r="S131" s="33">
        <v>0.8</v>
      </c>
      <c r="T131" s="13">
        <v>12.128</v>
      </c>
      <c r="U131" s="13">
        <v>-20.617599999999999</v>
      </c>
      <c r="V131" s="55">
        <f>Table3[[#This Row],[Profit]]/Table3[[#This Row],[Sales]]</f>
        <v>-1.7</v>
      </c>
    </row>
    <row r="132" spans="1:22" x14ac:dyDescent="0.2">
      <c r="A132">
        <v>131</v>
      </c>
      <c r="B132" t="s">
        <v>7201</v>
      </c>
      <c r="C132" s="1">
        <v>42764</v>
      </c>
      <c r="D132" s="22">
        <f>MONTH(Table3[[#This Row],[Order Date]])</f>
        <v>1</v>
      </c>
      <c r="E132" t="s">
        <v>5578</v>
      </c>
      <c r="F132" t="s">
        <v>5579</v>
      </c>
      <c r="G132" s="23" t="s">
        <v>41</v>
      </c>
      <c r="H132" s="23" t="s">
        <v>61</v>
      </c>
      <c r="I132" t="s">
        <v>2650</v>
      </c>
      <c r="J132" t="s">
        <v>22</v>
      </c>
      <c r="K132" s="22">
        <v>3</v>
      </c>
      <c r="L132" s="1">
        <v>42768</v>
      </c>
      <c r="M132" s="22">
        <f>Table3[[#This Row],[Ship Date]]-Table3[[#This Row],[Order Date]]</f>
        <v>4</v>
      </c>
      <c r="N132" s="23" t="s">
        <v>45</v>
      </c>
      <c r="O132" s="23" t="s">
        <v>23</v>
      </c>
      <c r="P132" s="23" t="s">
        <v>38</v>
      </c>
      <c r="Q132" s="23" t="s">
        <v>39</v>
      </c>
      <c r="R132" s="23" t="s">
        <v>114</v>
      </c>
      <c r="S132" s="33">
        <v>0</v>
      </c>
      <c r="T132" s="13">
        <v>8.34</v>
      </c>
      <c r="U132" s="13">
        <v>2.1684000000000001</v>
      </c>
      <c r="V132" s="55">
        <f>Table3[[#This Row],[Profit]]/Table3[[#This Row],[Sales]]</f>
        <v>0.26</v>
      </c>
    </row>
    <row r="133" spans="1:22" x14ac:dyDescent="0.2">
      <c r="A133">
        <v>132</v>
      </c>
      <c r="B133" t="s">
        <v>7201</v>
      </c>
      <c r="C133" s="1">
        <v>42764</v>
      </c>
      <c r="D133" s="22">
        <f>MONTH(Table3[[#This Row],[Order Date]])</f>
        <v>1</v>
      </c>
      <c r="E133" t="s">
        <v>4493</v>
      </c>
      <c r="F133" t="s">
        <v>4494</v>
      </c>
      <c r="G133" s="23" t="s">
        <v>41</v>
      </c>
      <c r="H133" s="23" t="s">
        <v>513</v>
      </c>
      <c r="I133" t="s">
        <v>2650</v>
      </c>
      <c r="J133" t="s">
        <v>22</v>
      </c>
      <c r="K133" s="22">
        <v>1</v>
      </c>
      <c r="L133" s="1">
        <v>42768</v>
      </c>
      <c r="M133" s="22">
        <f>Table3[[#This Row],[Ship Date]]-Table3[[#This Row],[Order Date]]</f>
        <v>4</v>
      </c>
      <c r="N133" s="23" t="s">
        <v>45</v>
      </c>
      <c r="O133" s="23" t="s">
        <v>23</v>
      </c>
      <c r="P133" s="23" t="s">
        <v>38</v>
      </c>
      <c r="Q133" s="23" t="s">
        <v>39</v>
      </c>
      <c r="R133" s="23" t="s">
        <v>114</v>
      </c>
      <c r="S133" s="33">
        <v>0</v>
      </c>
      <c r="T133" s="13">
        <v>8.57</v>
      </c>
      <c r="U133" s="13">
        <v>2.2282000000000002</v>
      </c>
      <c r="V133" s="55">
        <f>Table3[[#This Row],[Profit]]/Table3[[#This Row],[Sales]]</f>
        <v>0.26</v>
      </c>
    </row>
    <row r="134" spans="1:22" x14ac:dyDescent="0.2">
      <c r="A134">
        <v>133</v>
      </c>
      <c r="B134" t="s">
        <v>7201</v>
      </c>
      <c r="C134" s="1">
        <v>42764</v>
      </c>
      <c r="D134" s="22">
        <f>MONTH(Table3[[#This Row],[Order Date]])</f>
        <v>1</v>
      </c>
      <c r="E134" t="s">
        <v>1515</v>
      </c>
      <c r="F134" t="s">
        <v>1516</v>
      </c>
      <c r="G134" s="23" t="s">
        <v>41</v>
      </c>
      <c r="H134" s="23" t="s">
        <v>68</v>
      </c>
      <c r="I134" t="s">
        <v>2650</v>
      </c>
      <c r="J134" t="s">
        <v>22</v>
      </c>
      <c r="K134" s="22">
        <v>8</v>
      </c>
      <c r="L134" s="1">
        <v>42768</v>
      </c>
      <c r="M134" s="22">
        <f>Table3[[#This Row],[Ship Date]]-Table3[[#This Row],[Order Date]]</f>
        <v>4</v>
      </c>
      <c r="N134" s="23" t="s">
        <v>45</v>
      </c>
      <c r="O134" s="23" t="s">
        <v>23</v>
      </c>
      <c r="P134" s="23" t="s">
        <v>38</v>
      </c>
      <c r="Q134" s="23" t="s">
        <v>39</v>
      </c>
      <c r="R134" s="23" t="s">
        <v>114</v>
      </c>
      <c r="S134" s="33">
        <v>0.2</v>
      </c>
      <c r="T134" s="13">
        <v>119.616</v>
      </c>
      <c r="U134" s="13">
        <v>40.370399999999997</v>
      </c>
      <c r="V134" s="55">
        <f>Table3[[#This Row],[Profit]]/Table3[[#This Row],[Sales]]</f>
        <v>0.33749999999999997</v>
      </c>
    </row>
    <row r="135" spans="1:22" x14ac:dyDescent="0.2">
      <c r="A135">
        <v>134</v>
      </c>
      <c r="B135" t="s">
        <v>8471</v>
      </c>
      <c r="C135" s="1">
        <v>42764</v>
      </c>
      <c r="D135" s="22">
        <f>MONTH(Table3[[#This Row],[Order Date]])</f>
        <v>1</v>
      </c>
      <c r="E135" t="s">
        <v>2439</v>
      </c>
      <c r="F135" t="s">
        <v>2440</v>
      </c>
      <c r="G135" s="23" t="s">
        <v>41</v>
      </c>
      <c r="H135" s="23" t="s">
        <v>42</v>
      </c>
      <c r="I135" t="s">
        <v>2626</v>
      </c>
      <c r="J135" t="s">
        <v>22</v>
      </c>
      <c r="K135" s="22">
        <v>2</v>
      </c>
      <c r="L135" s="1">
        <v>42771</v>
      </c>
      <c r="M135" s="22">
        <f>Table3[[#This Row],[Ship Date]]-Table3[[#This Row],[Order Date]]</f>
        <v>7</v>
      </c>
      <c r="N135" s="23" t="s">
        <v>45</v>
      </c>
      <c r="O135" s="23" t="s">
        <v>23</v>
      </c>
      <c r="P135" s="23" t="s">
        <v>238</v>
      </c>
      <c r="Q135" s="23" t="s">
        <v>133</v>
      </c>
      <c r="R135" s="23" t="s">
        <v>237</v>
      </c>
      <c r="S135" s="33">
        <v>0</v>
      </c>
      <c r="T135" s="13">
        <v>5.22</v>
      </c>
      <c r="U135" s="13">
        <v>2.4011999999999998</v>
      </c>
      <c r="V135" s="55">
        <f>Table3[[#This Row],[Profit]]/Table3[[#This Row],[Sales]]</f>
        <v>0.45999999999999996</v>
      </c>
    </row>
    <row r="136" spans="1:22" x14ac:dyDescent="0.2">
      <c r="A136">
        <v>135</v>
      </c>
      <c r="B136" t="s">
        <v>9343</v>
      </c>
      <c r="C136" s="1">
        <v>42764</v>
      </c>
      <c r="D136" s="22">
        <f>MONTH(Table3[[#This Row],[Order Date]])</f>
        <v>1</v>
      </c>
      <c r="E136" t="s">
        <v>327</v>
      </c>
      <c r="F136" t="s">
        <v>328</v>
      </c>
      <c r="G136" s="23" t="s">
        <v>41</v>
      </c>
      <c r="H136" s="23" t="s">
        <v>61</v>
      </c>
      <c r="I136" t="s">
        <v>3136</v>
      </c>
      <c r="J136" t="s">
        <v>22</v>
      </c>
      <c r="K136" s="22">
        <v>2</v>
      </c>
      <c r="L136" s="1">
        <v>42767</v>
      </c>
      <c r="M136" s="22">
        <f>Table3[[#This Row],[Ship Date]]-Table3[[#This Row],[Order Date]]</f>
        <v>3</v>
      </c>
      <c r="N136" s="23" t="s">
        <v>169</v>
      </c>
      <c r="O136" s="23" t="s">
        <v>23</v>
      </c>
      <c r="P136" s="23" t="s">
        <v>132</v>
      </c>
      <c r="Q136" s="23" t="s">
        <v>133</v>
      </c>
      <c r="R136" s="23" t="s">
        <v>131</v>
      </c>
      <c r="S136" s="33">
        <v>0.2</v>
      </c>
      <c r="T136" s="13">
        <v>4.7679999999999998</v>
      </c>
      <c r="U136" s="13">
        <v>0.4768</v>
      </c>
      <c r="V136" s="55">
        <f>Table3[[#This Row],[Profit]]/Table3[[#This Row],[Sales]]</f>
        <v>0.1</v>
      </c>
    </row>
    <row r="137" spans="1:22" x14ac:dyDescent="0.2">
      <c r="A137">
        <v>136</v>
      </c>
      <c r="B137" t="s">
        <v>10104</v>
      </c>
      <c r="C137" s="1">
        <v>42764</v>
      </c>
      <c r="D137" s="22">
        <f>MONTH(Table3[[#This Row],[Order Date]])</f>
        <v>1</v>
      </c>
      <c r="E137" t="s">
        <v>5506</v>
      </c>
      <c r="F137" t="s">
        <v>5507</v>
      </c>
      <c r="G137" s="23" t="s">
        <v>41</v>
      </c>
      <c r="H137" s="23" t="s">
        <v>82</v>
      </c>
      <c r="I137" t="s">
        <v>4845</v>
      </c>
      <c r="J137" t="s">
        <v>22</v>
      </c>
      <c r="K137" s="22">
        <v>2</v>
      </c>
      <c r="L137" s="1">
        <v>42766</v>
      </c>
      <c r="M137" s="22">
        <f>Table3[[#This Row],[Ship Date]]-Table3[[#This Row],[Order Date]]</f>
        <v>2</v>
      </c>
      <c r="N137" s="23" t="s">
        <v>20</v>
      </c>
      <c r="O137" s="23" t="s">
        <v>23</v>
      </c>
      <c r="P137" s="23" t="s">
        <v>433</v>
      </c>
      <c r="Q137" s="23" t="s">
        <v>95</v>
      </c>
      <c r="R137" s="23" t="s">
        <v>4594</v>
      </c>
      <c r="S137" s="33">
        <v>0</v>
      </c>
      <c r="T137" s="13">
        <v>12.96</v>
      </c>
      <c r="U137" s="13">
        <v>6.2207999999999997</v>
      </c>
      <c r="V137" s="55">
        <f>Table3[[#This Row],[Profit]]/Table3[[#This Row],[Sales]]</f>
        <v>0.47999999999999993</v>
      </c>
    </row>
    <row r="138" spans="1:22" x14ac:dyDescent="0.2">
      <c r="A138">
        <v>137</v>
      </c>
      <c r="B138" t="s">
        <v>10104</v>
      </c>
      <c r="C138" s="1">
        <v>42764</v>
      </c>
      <c r="D138" s="22">
        <f>MONTH(Table3[[#This Row],[Order Date]])</f>
        <v>1</v>
      </c>
      <c r="E138" t="s">
        <v>2198</v>
      </c>
      <c r="F138" t="s">
        <v>2199</v>
      </c>
      <c r="G138" s="23" t="s">
        <v>41</v>
      </c>
      <c r="H138" s="23" t="s">
        <v>82</v>
      </c>
      <c r="I138" t="s">
        <v>4845</v>
      </c>
      <c r="J138" t="s">
        <v>22</v>
      </c>
      <c r="K138" s="22">
        <v>5</v>
      </c>
      <c r="L138" s="1">
        <v>42766</v>
      </c>
      <c r="M138" s="22">
        <f>Table3[[#This Row],[Ship Date]]-Table3[[#This Row],[Order Date]]</f>
        <v>2</v>
      </c>
      <c r="N138" s="23" t="s">
        <v>20</v>
      </c>
      <c r="O138" s="23" t="s">
        <v>23</v>
      </c>
      <c r="P138" s="23" t="s">
        <v>433</v>
      </c>
      <c r="Q138" s="23" t="s">
        <v>95</v>
      </c>
      <c r="R138" s="23" t="s">
        <v>4594</v>
      </c>
      <c r="S138" s="33">
        <v>0</v>
      </c>
      <c r="T138" s="13">
        <v>94.85</v>
      </c>
      <c r="U138" s="13">
        <v>45.527999999999999</v>
      </c>
      <c r="V138" s="55">
        <f>Table3[[#This Row],[Profit]]/Table3[[#This Row],[Sales]]</f>
        <v>0.48000000000000004</v>
      </c>
    </row>
    <row r="139" spans="1:22" x14ac:dyDescent="0.2">
      <c r="A139">
        <v>138</v>
      </c>
      <c r="B139" t="s">
        <v>10104</v>
      </c>
      <c r="C139" s="1">
        <v>42764</v>
      </c>
      <c r="D139" s="22">
        <f>MONTH(Table3[[#This Row],[Order Date]])</f>
        <v>1</v>
      </c>
      <c r="E139" t="s">
        <v>562</v>
      </c>
      <c r="F139" t="s">
        <v>563</v>
      </c>
      <c r="G139" s="23" t="s">
        <v>41</v>
      </c>
      <c r="H139" s="23" t="s">
        <v>53</v>
      </c>
      <c r="I139" t="s">
        <v>4845</v>
      </c>
      <c r="J139" t="s">
        <v>22</v>
      </c>
      <c r="K139" s="22">
        <v>1</v>
      </c>
      <c r="L139" s="1">
        <v>42766</v>
      </c>
      <c r="M139" s="22">
        <f>Table3[[#This Row],[Ship Date]]-Table3[[#This Row],[Order Date]]</f>
        <v>2</v>
      </c>
      <c r="N139" s="23" t="s">
        <v>20</v>
      </c>
      <c r="O139" s="23" t="s">
        <v>23</v>
      </c>
      <c r="P139" s="23" t="s">
        <v>433</v>
      </c>
      <c r="Q139" s="23" t="s">
        <v>95</v>
      </c>
      <c r="R139" s="23" t="s">
        <v>4594</v>
      </c>
      <c r="S139" s="33">
        <v>0</v>
      </c>
      <c r="T139" s="13">
        <v>13.48</v>
      </c>
      <c r="U139" s="13">
        <v>3.5047999999999999</v>
      </c>
      <c r="V139" s="55">
        <f>Table3[[#This Row],[Profit]]/Table3[[#This Row],[Sales]]</f>
        <v>0.26</v>
      </c>
    </row>
    <row r="140" spans="1:22" x14ac:dyDescent="0.2">
      <c r="A140">
        <v>139</v>
      </c>
      <c r="B140" t="s">
        <v>10104</v>
      </c>
      <c r="C140" s="1">
        <v>42764</v>
      </c>
      <c r="D140" s="22">
        <f>MONTH(Table3[[#This Row],[Order Date]])</f>
        <v>1</v>
      </c>
      <c r="E140" t="s">
        <v>1803</v>
      </c>
      <c r="F140" t="s">
        <v>1804</v>
      </c>
      <c r="G140" s="23" t="s">
        <v>28</v>
      </c>
      <c r="H140" s="23" t="s">
        <v>58</v>
      </c>
      <c r="I140" t="s">
        <v>4845</v>
      </c>
      <c r="J140" t="s">
        <v>22</v>
      </c>
      <c r="K140" s="22">
        <v>3</v>
      </c>
      <c r="L140" s="1">
        <v>42766</v>
      </c>
      <c r="M140" s="22">
        <f>Table3[[#This Row],[Ship Date]]-Table3[[#This Row],[Order Date]]</f>
        <v>2</v>
      </c>
      <c r="N140" s="23" t="s">
        <v>20</v>
      </c>
      <c r="O140" s="23" t="s">
        <v>23</v>
      </c>
      <c r="P140" s="23" t="s">
        <v>433</v>
      </c>
      <c r="Q140" s="23" t="s">
        <v>95</v>
      </c>
      <c r="R140" s="23" t="s">
        <v>4594</v>
      </c>
      <c r="S140" s="33">
        <v>0</v>
      </c>
      <c r="T140" s="13">
        <v>14.91</v>
      </c>
      <c r="U140" s="13">
        <v>4.6220999999999997</v>
      </c>
      <c r="V140" s="55">
        <f>Table3[[#This Row],[Profit]]/Table3[[#This Row],[Sales]]</f>
        <v>0.31</v>
      </c>
    </row>
    <row r="141" spans="1:22" x14ac:dyDescent="0.2">
      <c r="A141">
        <v>140</v>
      </c>
      <c r="B141" t="s">
        <v>2145</v>
      </c>
      <c r="C141" s="1">
        <v>42765</v>
      </c>
      <c r="D141" s="22">
        <f>MONTH(Table3[[#This Row],[Order Date]])</f>
        <v>1</v>
      </c>
      <c r="E141" t="s">
        <v>2147</v>
      </c>
      <c r="F141" t="s">
        <v>2148</v>
      </c>
      <c r="G141" s="23" t="s">
        <v>41</v>
      </c>
      <c r="H141" s="23" t="s">
        <v>68</v>
      </c>
      <c r="I141" t="s">
        <v>2146</v>
      </c>
      <c r="J141" t="s">
        <v>36</v>
      </c>
      <c r="K141" s="22">
        <v>2</v>
      </c>
      <c r="L141" s="1">
        <v>42771</v>
      </c>
      <c r="M141" s="22">
        <f>Table3[[#This Row],[Ship Date]]-Table3[[#This Row],[Order Date]]</f>
        <v>6</v>
      </c>
      <c r="N141" s="23" t="s">
        <v>45</v>
      </c>
      <c r="O141" s="23" t="s">
        <v>23</v>
      </c>
      <c r="P141" s="23" t="s">
        <v>433</v>
      </c>
      <c r="Q141" s="23" t="s">
        <v>95</v>
      </c>
      <c r="R141" s="23" t="s">
        <v>1216</v>
      </c>
      <c r="S141" s="33">
        <v>0</v>
      </c>
      <c r="T141" s="13">
        <v>18.28</v>
      </c>
      <c r="U141" s="13">
        <v>9.14</v>
      </c>
      <c r="V141" s="55">
        <f>Table3[[#This Row],[Profit]]/Table3[[#This Row],[Sales]]</f>
        <v>0.5</v>
      </c>
    </row>
    <row r="142" spans="1:22" x14ac:dyDescent="0.2">
      <c r="A142">
        <v>141</v>
      </c>
      <c r="B142" t="s">
        <v>2145</v>
      </c>
      <c r="C142" s="1">
        <v>42765</v>
      </c>
      <c r="D142" s="22">
        <f>MONTH(Table3[[#This Row],[Order Date]])</f>
        <v>1</v>
      </c>
      <c r="E142" t="s">
        <v>1064</v>
      </c>
      <c r="F142" t="s">
        <v>1065</v>
      </c>
      <c r="G142" s="23" t="s">
        <v>64</v>
      </c>
      <c r="H142" s="23" t="s">
        <v>65</v>
      </c>
      <c r="I142" t="s">
        <v>2146</v>
      </c>
      <c r="J142" t="s">
        <v>36</v>
      </c>
      <c r="K142" s="22">
        <v>3</v>
      </c>
      <c r="L142" s="1">
        <v>42771</v>
      </c>
      <c r="M142" s="22">
        <f>Table3[[#This Row],[Ship Date]]-Table3[[#This Row],[Order Date]]</f>
        <v>6</v>
      </c>
      <c r="N142" s="23" t="s">
        <v>45</v>
      </c>
      <c r="O142" s="23" t="s">
        <v>23</v>
      </c>
      <c r="P142" s="23" t="s">
        <v>433</v>
      </c>
      <c r="Q142" s="23" t="s">
        <v>95</v>
      </c>
      <c r="R142" s="23" t="s">
        <v>1216</v>
      </c>
      <c r="S142" s="33">
        <v>0</v>
      </c>
      <c r="T142" s="13">
        <v>207</v>
      </c>
      <c r="U142" s="13">
        <v>51.75</v>
      </c>
      <c r="V142" s="55">
        <f>Table3[[#This Row],[Profit]]/Table3[[#This Row],[Sales]]</f>
        <v>0.25</v>
      </c>
    </row>
    <row r="143" spans="1:22" x14ac:dyDescent="0.2">
      <c r="A143">
        <v>142</v>
      </c>
      <c r="B143" t="s">
        <v>2145</v>
      </c>
      <c r="C143" s="1">
        <v>42765</v>
      </c>
      <c r="D143" s="22">
        <f>MONTH(Table3[[#This Row],[Order Date]])</f>
        <v>1</v>
      </c>
      <c r="E143" t="s">
        <v>2149</v>
      </c>
      <c r="F143" t="s">
        <v>2150</v>
      </c>
      <c r="G143" s="23" t="s">
        <v>41</v>
      </c>
      <c r="H143" s="23" t="s">
        <v>68</v>
      </c>
      <c r="I143" t="s">
        <v>2146</v>
      </c>
      <c r="J143" t="s">
        <v>36</v>
      </c>
      <c r="K143" s="22">
        <v>5</v>
      </c>
      <c r="L143" s="1">
        <v>42771</v>
      </c>
      <c r="M143" s="22">
        <f>Table3[[#This Row],[Ship Date]]-Table3[[#This Row],[Order Date]]</f>
        <v>6</v>
      </c>
      <c r="N143" s="23" t="s">
        <v>45</v>
      </c>
      <c r="O143" s="23" t="s">
        <v>23</v>
      </c>
      <c r="P143" s="23" t="s">
        <v>433</v>
      </c>
      <c r="Q143" s="23" t="s">
        <v>95</v>
      </c>
      <c r="R143" s="23" t="s">
        <v>1216</v>
      </c>
      <c r="S143" s="33">
        <v>0</v>
      </c>
      <c r="T143" s="13">
        <v>32.35</v>
      </c>
      <c r="U143" s="13">
        <v>16.175000000000001</v>
      </c>
      <c r="V143" s="55">
        <f>Table3[[#This Row],[Profit]]/Table3[[#This Row],[Sales]]</f>
        <v>0.5</v>
      </c>
    </row>
    <row r="144" spans="1:22" x14ac:dyDescent="0.2">
      <c r="A144">
        <v>143</v>
      </c>
      <c r="B144" t="s">
        <v>2145</v>
      </c>
      <c r="C144" s="1">
        <v>42765</v>
      </c>
      <c r="D144" s="22">
        <f>MONTH(Table3[[#This Row],[Order Date]])</f>
        <v>1</v>
      </c>
      <c r="E144" t="s">
        <v>67</v>
      </c>
      <c r="F144" t="s">
        <v>69</v>
      </c>
      <c r="G144" s="23" t="s">
        <v>41</v>
      </c>
      <c r="H144" s="23" t="s">
        <v>68</v>
      </c>
      <c r="I144" t="s">
        <v>2146</v>
      </c>
      <c r="J144" t="s">
        <v>36</v>
      </c>
      <c r="K144" s="22">
        <v>1</v>
      </c>
      <c r="L144" s="1">
        <v>42771</v>
      </c>
      <c r="M144" s="22">
        <f>Table3[[#This Row],[Ship Date]]-Table3[[#This Row],[Order Date]]</f>
        <v>6</v>
      </c>
      <c r="N144" s="23" t="s">
        <v>45</v>
      </c>
      <c r="O144" s="23" t="s">
        <v>23</v>
      </c>
      <c r="P144" s="23" t="s">
        <v>433</v>
      </c>
      <c r="Q144" s="23" t="s">
        <v>95</v>
      </c>
      <c r="R144" s="23" t="s">
        <v>1216</v>
      </c>
      <c r="S144" s="33">
        <v>0</v>
      </c>
      <c r="T144" s="13">
        <v>7.71</v>
      </c>
      <c r="U144" s="13">
        <v>3.4695</v>
      </c>
      <c r="V144" s="55">
        <f>Table3[[#This Row],[Profit]]/Table3[[#This Row],[Sales]]</f>
        <v>0.45</v>
      </c>
    </row>
    <row r="145" spans="1:22" x14ac:dyDescent="0.2">
      <c r="A145">
        <v>144</v>
      </c>
      <c r="B145" t="s">
        <v>2145</v>
      </c>
      <c r="C145" s="1">
        <v>42765</v>
      </c>
      <c r="D145" s="22">
        <f>MONTH(Table3[[#This Row],[Order Date]])</f>
        <v>1</v>
      </c>
      <c r="E145" t="s">
        <v>2151</v>
      </c>
      <c r="F145" t="s">
        <v>2152</v>
      </c>
      <c r="G145" s="23" t="s">
        <v>41</v>
      </c>
      <c r="H145" s="23" t="s">
        <v>61</v>
      </c>
      <c r="I145" t="s">
        <v>2146</v>
      </c>
      <c r="J145" t="s">
        <v>36</v>
      </c>
      <c r="K145" s="22">
        <v>2</v>
      </c>
      <c r="L145" s="1">
        <v>42771</v>
      </c>
      <c r="M145" s="22">
        <f>Table3[[#This Row],[Ship Date]]-Table3[[#This Row],[Order Date]]</f>
        <v>6</v>
      </c>
      <c r="N145" s="23" t="s">
        <v>45</v>
      </c>
      <c r="O145" s="23" t="s">
        <v>23</v>
      </c>
      <c r="P145" s="23" t="s">
        <v>433</v>
      </c>
      <c r="Q145" s="23" t="s">
        <v>95</v>
      </c>
      <c r="R145" s="23" t="s">
        <v>1216</v>
      </c>
      <c r="S145" s="33">
        <v>0</v>
      </c>
      <c r="T145" s="13">
        <v>40.299999999999997</v>
      </c>
      <c r="U145" s="13">
        <v>10.881</v>
      </c>
      <c r="V145" s="55">
        <f>Table3[[#This Row],[Profit]]/Table3[[#This Row],[Sales]]</f>
        <v>0.27</v>
      </c>
    </row>
    <row r="146" spans="1:22" x14ac:dyDescent="0.2">
      <c r="A146">
        <v>145</v>
      </c>
      <c r="B146" t="s">
        <v>2145</v>
      </c>
      <c r="C146" s="1">
        <v>42765</v>
      </c>
      <c r="D146" s="22">
        <f>MONTH(Table3[[#This Row],[Order Date]])</f>
        <v>1</v>
      </c>
      <c r="E146" t="s">
        <v>2153</v>
      </c>
      <c r="F146" t="s">
        <v>2154</v>
      </c>
      <c r="G146" s="23" t="s">
        <v>28</v>
      </c>
      <c r="H146" s="23" t="s">
        <v>58</v>
      </c>
      <c r="I146" t="s">
        <v>2146</v>
      </c>
      <c r="J146" t="s">
        <v>36</v>
      </c>
      <c r="K146" s="22">
        <v>7</v>
      </c>
      <c r="L146" s="1">
        <v>42771</v>
      </c>
      <c r="M146" s="22">
        <f>Table3[[#This Row],[Ship Date]]-Table3[[#This Row],[Order Date]]</f>
        <v>6</v>
      </c>
      <c r="N146" s="23" t="s">
        <v>45</v>
      </c>
      <c r="O146" s="23" t="s">
        <v>23</v>
      </c>
      <c r="P146" s="23" t="s">
        <v>433</v>
      </c>
      <c r="Q146" s="23" t="s">
        <v>95</v>
      </c>
      <c r="R146" s="23" t="s">
        <v>1216</v>
      </c>
      <c r="S146" s="33">
        <v>0</v>
      </c>
      <c r="T146" s="13">
        <v>34.58</v>
      </c>
      <c r="U146" s="13">
        <v>14.5236</v>
      </c>
      <c r="V146" s="55">
        <f>Table3[[#This Row],[Profit]]/Table3[[#This Row],[Sales]]</f>
        <v>0.42000000000000004</v>
      </c>
    </row>
    <row r="147" spans="1:22" x14ac:dyDescent="0.2">
      <c r="A147">
        <v>146</v>
      </c>
      <c r="B147" t="s">
        <v>5448</v>
      </c>
      <c r="C147" s="1">
        <v>42765</v>
      </c>
      <c r="D147" s="22">
        <f>MONTH(Table3[[#This Row],[Order Date]])</f>
        <v>1</v>
      </c>
      <c r="E147" t="s">
        <v>1907</v>
      </c>
      <c r="F147" t="s">
        <v>1908</v>
      </c>
      <c r="G147" s="23" t="s">
        <v>41</v>
      </c>
      <c r="H147" s="23" t="s">
        <v>53</v>
      </c>
      <c r="I147" t="s">
        <v>3425</v>
      </c>
      <c r="J147" t="s">
        <v>22</v>
      </c>
      <c r="K147" s="22">
        <v>2</v>
      </c>
      <c r="L147" s="1">
        <v>42765</v>
      </c>
      <c r="M147" s="22">
        <f>Table3[[#This Row],[Ship Date]]-Table3[[#This Row],[Order Date]]</f>
        <v>0</v>
      </c>
      <c r="N147" s="23" t="s">
        <v>1141</v>
      </c>
      <c r="O147" s="23" t="s">
        <v>23</v>
      </c>
      <c r="P147" s="23" t="s">
        <v>38</v>
      </c>
      <c r="Q147" s="23" t="s">
        <v>39</v>
      </c>
      <c r="R147" s="23" t="s">
        <v>114</v>
      </c>
      <c r="S147" s="33">
        <v>0</v>
      </c>
      <c r="T147" s="13">
        <v>129.30000000000001</v>
      </c>
      <c r="U147" s="13">
        <v>6.4649999999999999</v>
      </c>
      <c r="V147" s="55">
        <f>Table3[[#This Row],[Profit]]/Table3[[#This Row],[Sales]]</f>
        <v>4.9999999999999996E-2</v>
      </c>
    </row>
    <row r="148" spans="1:22" x14ac:dyDescent="0.2">
      <c r="A148">
        <v>147</v>
      </c>
      <c r="B148" t="s">
        <v>6520</v>
      </c>
      <c r="C148" s="1">
        <v>42765</v>
      </c>
      <c r="D148" s="22">
        <f>MONTH(Table3[[#This Row],[Order Date]])</f>
        <v>1</v>
      </c>
      <c r="E148" t="s">
        <v>2928</v>
      </c>
      <c r="F148" t="s">
        <v>2929</v>
      </c>
      <c r="G148" s="23" t="s">
        <v>41</v>
      </c>
      <c r="H148" s="23" t="s">
        <v>61</v>
      </c>
      <c r="I148" t="s">
        <v>1905</v>
      </c>
      <c r="J148" t="s">
        <v>92</v>
      </c>
      <c r="K148" s="22">
        <v>7</v>
      </c>
      <c r="L148" s="1">
        <v>42772</v>
      </c>
      <c r="M148" s="22">
        <f>Table3[[#This Row],[Ship Date]]-Table3[[#This Row],[Order Date]]</f>
        <v>7</v>
      </c>
      <c r="N148" s="23" t="s">
        <v>45</v>
      </c>
      <c r="O148" s="23" t="s">
        <v>23</v>
      </c>
      <c r="P148" s="23" t="s">
        <v>38</v>
      </c>
      <c r="Q148" s="23" t="s">
        <v>39</v>
      </c>
      <c r="R148" s="23" t="s">
        <v>114</v>
      </c>
      <c r="S148" s="33">
        <v>0</v>
      </c>
      <c r="T148" s="13">
        <v>12.74</v>
      </c>
      <c r="U148" s="13">
        <v>5.7329999999999997</v>
      </c>
      <c r="V148" s="55">
        <f>Table3[[#This Row],[Profit]]/Table3[[#This Row],[Sales]]</f>
        <v>0.44999999999999996</v>
      </c>
    </row>
    <row r="149" spans="1:22" x14ac:dyDescent="0.2">
      <c r="A149">
        <v>148</v>
      </c>
      <c r="B149" t="s">
        <v>6520</v>
      </c>
      <c r="C149" s="1">
        <v>42765</v>
      </c>
      <c r="D149" s="22">
        <f>MONTH(Table3[[#This Row],[Order Date]])</f>
        <v>1</v>
      </c>
      <c r="E149" t="s">
        <v>6521</v>
      </c>
      <c r="F149" t="s">
        <v>6522</v>
      </c>
      <c r="G149" s="23" t="s">
        <v>41</v>
      </c>
      <c r="H149" s="23" t="s">
        <v>61</v>
      </c>
      <c r="I149" t="s">
        <v>1905</v>
      </c>
      <c r="J149" t="s">
        <v>92</v>
      </c>
      <c r="K149" s="22">
        <v>3</v>
      </c>
      <c r="L149" s="1">
        <v>42772</v>
      </c>
      <c r="M149" s="22">
        <f>Table3[[#This Row],[Ship Date]]-Table3[[#This Row],[Order Date]]</f>
        <v>7</v>
      </c>
      <c r="N149" s="23" t="s">
        <v>45</v>
      </c>
      <c r="O149" s="23" t="s">
        <v>23</v>
      </c>
      <c r="P149" s="23" t="s">
        <v>38</v>
      </c>
      <c r="Q149" s="23" t="s">
        <v>39</v>
      </c>
      <c r="R149" s="23" t="s">
        <v>114</v>
      </c>
      <c r="S149" s="33">
        <v>0</v>
      </c>
      <c r="T149" s="13">
        <v>8.82</v>
      </c>
      <c r="U149" s="13">
        <v>2.3814000000000002</v>
      </c>
      <c r="V149" s="55">
        <f>Table3[[#This Row],[Profit]]/Table3[[#This Row],[Sales]]</f>
        <v>0.27</v>
      </c>
    </row>
    <row r="150" spans="1:22" x14ac:dyDescent="0.2">
      <c r="A150">
        <v>149</v>
      </c>
      <c r="B150" t="s">
        <v>6520</v>
      </c>
      <c r="C150" s="1">
        <v>42765</v>
      </c>
      <c r="D150" s="22">
        <f>MONTH(Table3[[#This Row],[Order Date]])</f>
        <v>1</v>
      </c>
      <c r="E150" t="s">
        <v>343</v>
      </c>
      <c r="F150" t="s">
        <v>344</v>
      </c>
      <c r="G150" s="23" t="s">
        <v>28</v>
      </c>
      <c r="H150" s="23" t="s">
        <v>32</v>
      </c>
      <c r="I150" t="s">
        <v>1905</v>
      </c>
      <c r="J150" t="s">
        <v>92</v>
      </c>
      <c r="K150" s="22">
        <v>1</v>
      </c>
      <c r="L150" s="1">
        <v>42772</v>
      </c>
      <c r="M150" s="22">
        <f>Table3[[#This Row],[Ship Date]]-Table3[[#This Row],[Order Date]]</f>
        <v>7</v>
      </c>
      <c r="N150" s="23" t="s">
        <v>45</v>
      </c>
      <c r="O150" s="23" t="s">
        <v>23</v>
      </c>
      <c r="P150" s="23" t="s">
        <v>38</v>
      </c>
      <c r="Q150" s="23" t="s">
        <v>39</v>
      </c>
      <c r="R150" s="23" t="s">
        <v>114</v>
      </c>
      <c r="S150" s="33">
        <v>0.2</v>
      </c>
      <c r="T150" s="13">
        <v>120.78400000000001</v>
      </c>
      <c r="U150" s="13">
        <v>-13.588200000000001</v>
      </c>
      <c r="V150" s="55">
        <f>Table3[[#This Row],[Profit]]/Table3[[#This Row],[Sales]]</f>
        <v>-0.1125</v>
      </c>
    </row>
    <row r="151" spans="1:22" x14ac:dyDescent="0.2">
      <c r="A151">
        <v>150</v>
      </c>
      <c r="B151" t="s">
        <v>7517</v>
      </c>
      <c r="C151" s="1">
        <v>42765</v>
      </c>
      <c r="D151" s="22">
        <f>MONTH(Table3[[#This Row],[Order Date]])</f>
        <v>1</v>
      </c>
      <c r="E151" t="s">
        <v>7518</v>
      </c>
      <c r="F151" t="s">
        <v>7519</v>
      </c>
      <c r="G151" s="23" t="s">
        <v>28</v>
      </c>
      <c r="H151" s="23" t="s">
        <v>32</v>
      </c>
      <c r="I151" t="s">
        <v>137</v>
      </c>
      <c r="J151" t="s">
        <v>22</v>
      </c>
      <c r="K151" s="22">
        <v>4</v>
      </c>
      <c r="L151" s="1">
        <v>42770</v>
      </c>
      <c r="M151" s="22">
        <f>Table3[[#This Row],[Ship Date]]-Table3[[#This Row],[Order Date]]</f>
        <v>5</v>
      </c>
      <c r="N151" s="23" t="s">
        <v>45</v>
      </c>
      <c r="O151" s="23" t="s">
        <v>23</v>
      </c>
      <c r="P151" s="23" t="s">
        <v>48</v>
      </c>
      <c r="Q151" s="23" t="s">
        <v>26</v>
      </c>
      <c r="R151" s="23" t="s">
        <v>1253</v>
      </c>
      <c r="S151" s="33">
        <v>0.2</v>
      </c>
      <c r="T151" s="13">
        <v>419.13600000000002</v>
      </c>
      <c r="U151" s="13">
        <v>-68.1096</v>
      </c>
      <c r="V151" s="55">
        <f>Table3[[#This Row],[Profit]]/Table3[[#This Row],[Sales]]</f>
        <v>-0.16249999999999998</v>
      </c>
    </row>
    <row r="152" spans="1:22" x14ac:dyDescent="0.2">
      <c r="A152">
        <v>151</v>
      </c>
      <c r="B152" t="s">
        <v>9143</v>
      </c>
      <c r="C152" s="1">
        <v>42765</v>
      </c>
      <c r="D152" s="22">
        <f>MONTH(Table3[[#This Row],[Order Date]])</f>
        <v>1</v>
      </c>
      <c r="E152" t="s">
        <v>6229</v>
      </c>
      <c r="F152" t="s">
        <v>6230</v>
      </c>
      <c r="G152" s="23" t="s">
        <v>28</v>
      </c>
      <c r="H152" s="23" t="s">
        <v>50</v>
      </c>
      <c r="I152" t="s">
        <v>3222</v>
      </c>
      <c r="J152" t="s">
        <v>22</v>
      </c>
      <c r="K152" s="22">
        <v>1</v>
      </c>
      <c r="L152" s="1">
        <v>42772</v>
      </c>
      <c r="M152" s="22">
        <f>Table3[[#This Row],[Ship Date]]-Table3[[#This Row],[Order Date]]</f>
        <v>7</v>
      </c>
      <c r="N152" s="23" t="s">
        <v>45</v>
      </c>
      <c r="O152" s="23" t="s">
        <v>23</v>
      </c>
      <c r="P152" s="23" t="s">
        <v>189</v>
      </c>
      <c r="Q152" s="23" t="s">
        <v>95</v>
      </c>
      <c r="R152" s="23" t="s">
        <v>404</v>
      </c>
      <c r="S152" s="33">
        <v>0.5</v>
      </c>
      <c r="T152" s="13">
        <v>69.375</v>
      </c>
      <c r="U152" s="13">
        <v>-47.174999999999997</v>
      </c>
      <c r="V152" s="55">
        <f>Table3[[#This Row],[Profit]]/Table3[[#This Row],[Sales]]</f>
        <v>-0.67999999999999994</v>
      </c>
    </row>
    <row r="153" spans="1:22" x14ac:dyDescent="0.2">
      <c r="A153">
        <v>152</v>
      </c>
      <c r="B153" t="s">
        <v>9143</v>
      </c>
      <c r="C153" s="1">
        <v>42765</v>
      </c>
      <c r="D153" s="22">
        <f>MONTH(Table3[[#This Row],[Order Date]])</f>
        <v>1</v>
      </c>
      <c r="E153" t="s">
        <v>1914</v>
      </c>
      <c r="F153" t="s">
        <v>1915</v>
      </c>
      <c r="G153" s="23" t="s">
        <v>41</v>
      </c>
      <c r="H153" s="23" t="s">
        <v>513</v>
      </c>
      <c r="I153" t="s">
        <v>3222</v>
      </c>
      <c r="J153" t="s">
        <v>22</v>
      </c>
      <c r="K153" s="22">
        <v>4</v>
      </c>
      <c r="L153" s="1">
        <v>42772</v>
      </c>
      <c r="M153" s="22">
        <f>Table3[[#This Row],[Ship Date]]-Table3[[#This Row],[Order Date]]</f>
        <v>7</v>
      </c>
      <c r="N153" s="23" t="s">
        <v>45</v>
      </c>
      <c r="O153" s="23" t="s">
        <v>23</v>
      </c>
      <c r="P153" s="23" t="s">
        <v>189</v>
      </c>
      <c r="Q153" s="23" t="s">
        <v>95</v>
      </c>
      <c r="R153" s="23" t="s">
        <v>404</v>
      </c>
      <c r="S153" s="33">
        <v>0.2</v>
      </c>
      <c r="T153" s="13">
        <v>31.68</v>
      </c>
      <c r="U153" s="13">
        <v>2.7719999999999998</v>
      </c>
      <c r="V153" s="55">
        <f>Table3[[#This Row],[Profit]]/Table3[[#This Row],[Sales]]</f>
        <v>8.7499999999999994E-2</v>
      </c>
    </row>
    <row r="154" spans="1:22" x14ac:dyDescent="0.2">
      <c r="A154">
        <v>153</v>
      </c>
      <c r="B154" t="s">
        <v>9143</v>
      </c>
      <c r="C154" s="1">
        <v>42765</v>
      </c>
      <c r="D154" s="22">
        <f>MONTH(Table3[[#This Row],[Order Date]])</f>
        <v>1</v>
      </c>
      <c r="E154" t="s">
        <v>7191</v>
      </c>
      <c r="F154" t="s">
        <v>7192</v>
      </c>
      <c r="G154" s="23" t="s">
        <v>64</v>
      </c>
      <c r="H154" s="23" t="s">
        <v>65</v>
      </c>
      <c r="I154" t="s">
        <v>3222</v>
      </c>
      <c r="J154" t="s">
        <v>22</v>
      </c>
      <c r="K154" s="22">
        <v>4</v>
      </c>
      <c r="L154" s="1">
        <v>42772</v>
      </c>
      <c r="M154" s="22">
        <f>Table3[[#This Row],[Ship Date]]-Table3[[#This Row],[Order Date]]</f>
        <v>7</v>
      </c>
      <c r="N154" s="23" t="s">
        <v>45</v>
      </c>
      <c r="O154" s="23" t="s">
        <v>23</v>
      </c>
      <c r="P154" s="23" t="s">
        <v>189</v>
      </c>
      <c r="Q154" s="23" t="s">
        <v>95</v>
      </c>
      <c r="R154" s="23" t="s">
        <v>404</v>
      </c>
      <c r="S154" s="33">
        <v>0.2</v>
      </c>
      <c r="T154" s="13">
        <v>2003.1679999999999</v>
      </c>
      <c r="U154" s="13">
        <v>250.39599999999999</v>
      </c>
      <c r="V154" s="55">
        <f>Table3[[#This Row],[Profit]]/Table3[[#This Row],[Sales]]</f>
        <v>0.125</v>
      </c>
    </row>
    <row r="155" spans="1:22" x14ac:dyDescent="0.2">
      <c r="A155">
        <v>154</v>
      </c>
      <c r="B155" t="s">
        <v>9143</v>
      </c>
      <c r="C155" s="1">
        <v>42765</v>
      </c>
      <c r="D155" s="22">
        <f>MONTH(Table3[[#This Row],[Order Date]])</f>
        <v>1</v>
      </c>
      <c r="E155" t="s">
        <v>879</v>
      </c>
      <c r="F155" t="s">
        <v>880</v>
      </c>
      <c r="G155" s="23" t="s">
        <v>41</v>
      </c>
      <c r="H155" s="23" t="s">
        <v>61</v>
      </c>
      <c r="I155" t="s">
        <v>3222</v>
      </c>
      <c r="J155" t="s">
        <v>22</v>
      </c>
      <c r="K155" s="22">
        <v>2</v>
      </c>
      <c r="L155" s="1">
        <v>42772</v>
      </c>
      <c r="M155" s="22">
        <f>Table3[[#This Row],[Ship Date]]-Table3[[#This Row],[Order Date]]</f>
        <v>7</v>
      </c>
      <c r="N155" s="23" t="s">
        <v>45</v>
      </c>
      <c r="O155" s="23" t="s">
        <v>23</v>
      </c>
      <c r="P155" s="23" t="s">
        <v>189</v>
      </c>
      <c r="Q155" s="23" t="s">
        <v>95</v>
      </c>
      <c r="R155" s="23" t="s">
        <v>404</v>
      </c>
      <c r="S155" s="33">
        <v>0.2</v>
      </c>
      <c r="T155" s="13">
        <v>9.3439999999999994</v>
      </c>
      <c r="U155" s="13">
        <v>3.1536</v>
      </c>
      <c r="V155" s="55">
        <f>Table3[[#This Row],[Profit]]/Table3[[#This Row],[Sales]]</f>
        <v>0.33750000000000002</v>
      </c>
    </row>
    <row r="156" spans="1:22" x14ac:dyDescent="0.2">
      <c r="A156">
        <v>155</v>
      </c>
      <c r="B156" t="s">
        <v>9199</v>
      </c>
      <c r="C156" s="1">
        <v>42765</v>
      </c>
      <c r="D156" s="22">
        <f>MONTH(Table3[[#This Row],[Order Date]])</f>
        <v>1</v>
      </c>
      <c r="E156" t="s">
        <v>63</v>
      </c>
      <c r="F156" t="s">
        <v>66</v>
      </c>
      <c r="G156" s="23" t="s">
        <v>64</v>
      </c>
      <c r="H156" s="23" t="s">
        <v>65</v>
      </c>
      <c r="I156" t="s">
        <v>3315</v>
      </c>
      <c r="J156" t="s">
        <v>92</v>
      </c>
      <c r="K156" s="22">
        <v>4</v>
      </c>
      <c r="L156" s="1">
        <v>42768</v>
      </c>
      <c r="M156" s="22">
        <f>Table3[[#This Row],[Ship Date]]-Table3[[#This Row],[Order Date]]</f>
        <v>3</v>
      </c>
      <c r="N156" s="23" t="s">
        <v>169</v>
      </c>
      <c r="O156" s="23" t="s">
        <v>23</v>
      </c>
      <c r="P156" s="23" t="s">
        <v>87</v>
      </c>
      <c r="Q156" s="23" t="s">
        <v>39</v>
      </c>
      <c r="R156" s="23" t="s">
        <v>86</v>
      </c>
      <c r="S156" s="33">
        <v>0.2</v>
      </c>
      <c r="T156" s="13">
        <v>604.76800000000003</v>
      </c>
      <c r="U156" s="13">
        <v>60.476799999999997</v>
      </c>
      <c r="V156" s="55">
        <f>Table3[[#This Row],[Profit]]/Table3[[#This Row],[Sales]]</f>
        <v>9.9999999999999992E-2</v>
      </c>
    </row>
    <row r="157" spans="1:22" x14ac:dyDescent="0.2">
      <c r="A157">
        <v>156</v>
      </c>
      <c r="B157" t="s">
        <v>491</v>
      </c>
      <c r="C157" s="1">
        <v>42768</v>
      </c>
      <c r="D157" s="22">
        <f>MONTH(Table3[[#This Row],[Order Date]])</f>
        <v>2</v>
      </c>
      <c r="E157" t="s">
        <v>493</v>
      </c>
      <c r="F157" t="s">
        <v>494</v>
      </c>
      <c r="G157" s="23" t="s">
        <v>64</v>
      </c>
      <c r="H157" s="23" t="s">
        <v>65</v>
      </c>
      <c r="I157" t="s">
        <v>492</v>
      </c>
      <c r="J157" t="s">
        <v>36</v>
      </c>
      <c r="K157" s="22">
        <v>5</v>
      </c>
      <c r="L157" s="1">
        <v>42771</v>
      </c>
      <c r="M157" s="22">
        <f>Table3[[#This Row],[Ship Date]]-Table3[[#This Row],[Order Date]]</f>
        <v>3</v>
      </c>
      <c r="N157" s="23" t="s">
        <v>169</v>
      </c>
      <c r="O157" s="23" t="s">
        <v>23</v>
      </c>
      <c r="P157" s="23" t="s">
        <v>441</v>
      </c>
      <c r="Q157" s="23" t="s">
        <v>133</v>
      </c>
      <c r="R157" s="23" t="s">
        <v>440</v>
      </c>
      <c r="S157" s="33">
        <v>0.4</v>
      </c>
      <c r="T157" s="13">
        <v>59.97</v>
      </c>
      <c r="U157" s="13">
        <v>-11.994</v>
      </c>
      <c r="V157" s="55">
        <f>Table3[[#This Row],[Profit]]/Table3[[#This Row],[Sales]]</f>
        <v>-0.2</v>
      </c>
    </row>
    <row r="158" spans="1:22" x14ac:dyDescent="0.2">
      <c r="A158">
        <v>157</v>
      </c>
      <c r="B158" t="s">
        <v>491</v>
      </c>
      <c r="C158" s="1">
        <v>42768</v>
      </c>
      <c r="D158" s="22">
        <f>MONTH(Table3[[#This Row],[Order Date]])</f>
        <v>2</v>
      </c>
      <c r="E158" t="s">
        <v>495</v>
      </c>
      <c r="F158" t="s">
        <v>496</v>
      </c>
      <c r="G158" s="23" t="s">
        <v>41</v>
      </c>
      <c r="H158" s="23" t="s">
        <v>82</v>
      </c>
      <c r="I158" t="s">
        <v>492</v>
      </c>
      <c r="J158" t="s">
        <v>36</v>
      </c>
      <c r="K158" s="22">
        <v>2</v>
      </c>
      <c r="L158" s="1">
        <v>42771</v>
      </c>
      <c r="M158" s="22">
        <f>Table3[[#This Row],[Ship Date]]-Table3[[#This Row],[Order Date]]</f>
        <v>3</v>
      </c>
      <c r="N158" s="23" t="s">
        <v>169</v>
      </c>
      <c r="O158" s="23" t="s">
        <v>23</v>
      </c>
      <c r="P158" s="23" t="s">
        <v>441</v>
      </c>
      <c r="Q158" s="23" t="s">
        <v>133</v>
      </c>
      <c r="R158" s="23" t="s">
        <v>440</v>
      </c>
      <c r="S158" s="33">
        <v>0.2</v>
      </c>
      <c r="T158" s="13">
        <v>78.304000000000002</v>
      </c>
      <c r="U158" s="13">
        <v>29.364000000000001</v>
      </c>
      <c r="V158" s="55">
        <f>Table3[[#This Row],[Profit]]/Table3[[#This Row],[Sales]]</f>
        <v>0.375</v>
      </c>
    </row>
    <row r="159" spans="1:22" x14ac:dyDescent="0.2">
      <c r="A159">
        <v>158</v>
      </c>
      <c r="B159" t="s">
        <v>491</v>
      </c>
      <c r="C159" s="1">
        <v>42768</v>
      </c>
      <c r="D159" s="22">
        <f>MONTH(Table3[[#This Row],[Order Date]])</f>
        <v>2</v>
      </c>
      <c r="E159" t="s">
        <v>497</v>
      </c>
      <c r="F159" t="s">
        <v>498</v>
      </c>
      <c r="G159" s="23" t="s">
        <v>41</v>
      </c>
      <c r="H159" s="23" t="s">
        <v>240</v>
      </c>
      <c r="I159" t="s">
        <v>492</v>
      </c>
      <c r="J159" t="s">
        <v>36</v>
      </c>
      <c r="K159" s="22">
        <v>9</v>
      </c>
      <c r="L159" s="1">
        <v>42771</v>
      </c>
      <c r="M159" s="22">
        <f>Table3[[#This Row],[Ship Date]]-Table3[[#This Row],[Order Date]]</f>
        <v>3</v>
      </c>
      <c r="N159" s="23" t="s">
        <v>169</v>
      </c>
      <c r="O159" s="23" t="s">
        <v>23</v>
      </c>
      <c r="P159" s="23" t="s">
        <v>441</v>
      </c>
      <c r="Q159" s="23" t="s">
        <v>133</v>
      </c>
      <c r="R159" s="23" t="s">
        <v>440</v>
      </c>
      <c r="S159" s="33">
        <v>0.2</v>
      </c>
      <c r="T159" s="13">
        <v>21.456</v>
      </c>
      <c r="U159" s="13">
        <v>6.9732000000000003</v>
      </c>
      <c r="V159" s="55">
        <f>Table3[[#This Row],[Profit]]/Table3[[#This Row],[Sales]]</f>
        <v>0.32500000000000001</v>
      </c>
    </row>
    <row r="160" spans="1:22" x14ac:dyDescent="0.2">
      <c r="A160">
        <v>159</v>
      </c>
      <c r="B160" t="s">
        <v>7271</v>
      </c>
      <c r="C160" s="1">
        <v>42768</v>
      </c>
      <c r="D160" s="22">
        <f>MONTH(Table3[[#This Row],[Order Date]])</f>
        <v>2</v>
      </c>
      <c r="E160" t="s">
        <v>1659</v>
      </c>
      <c r="F160" t="s">
        <v>1660</v>
      </c>
      <c r="G160" s="23" t="s">
        <v>28</v>
      </c>
      <c r="H160" s="23" t="s">
        <v>58</v>
      </c>
      <c r="I160" t="s">
        <v>1864</v>
      </c>
      <c r="J160" t="s">
        <v>22</v>
      </c>
      <c r="K160" s="22">
        <v>2</v>
      </c>
      <c r="L160" s="1">
        <v>42773</v>
      </c>
      <c r="M160" s="22">
        <f>Table3[[#This Row],[Ship Date]]-Table3[[#This Row],[Order Date]]</f>
        <v>5</v>
      </c>
      <c r="N160" s="23" t="s">
        <v>45</v>
      </c>
      <c r="O160" s="23" t="s">
        <v>23</v>
      </c>
      <c r="P160" s="23" t="s">
        <v>38</v>
      </c>
      <c r="Q160" s="23" t="s">
        <v>39</v>
      </c>
      <c r="R160" s="23" t="s">
        <v>37</v>
      </c>
      <c r="S160" s="33">
        <v>0</v>
      </c>
      <c r="T160" s="13">
        <v>86.26</v>
      </c>
      <c r="U160" s="13">
        <v>29.328399999999998</v>
      </c>
      <c r="V160" s="55">
        <f>Table3[[#This Row],[Profit]]/Table3[[#This Row],[Sales]]</f>
        <v>0.33999999999999997</v>
      </c>
    </row>
    <row r="161" spans="1:22" x14ac:dyDescent="0.2">
      <c r="A161">
        <v>160</v>
      </c>
      <c r="B161" t="s">
        <v>7271</v>
      </c>
      <c r="C161" s="1">
        <v>42768</v>
      </c>
      <c r="D161" s="22">
        <f>MONTH(Table3[[#This Row],[Order Date]])</f>
        <v>2</v>
      </c>
      <c r="E161" t="s">
        <v>4095</v>
      </c>
      <c r="F161" t="s">
        <v>4096</v>
      </c>
      <c r="G161" s="23" t="s">
        <v>41</v>
      </c>
      <c r="H161" s="23" t="s">
        <v>53</v>
      </c>
      <c r="I161" t="s">
        <v>1864</v>
      </c>
      <c r="J161" t="s">
        <v>22</v>
      </c>
      <c r="K161" s="22">
        <v>4</v>
      </c>
      <c r="L161" s="1">
        <v>42773</v>
      </c>
      <c r="M161" s="22">
        <f>Table3[[#This Row],[Ship Date]]-Table3[[#This Row],[Order Date]]</f>
        <v>5</v>
      </c>
      <c r="N161" s="23" t="s">
        <v>45</v>
      </c>
      <c r="O161" s="23" t="s">
        <v>23</v>
      </c>
      <c r="P161" s="23" t="s">
        <v>38</v>
      </c>
      <c r="Q161" s="23" t="s">
        <v>39</v>
      </c>
      <c r="R161" s="23" t="s">
        <v>37</v>
      </c>
      <c r="S161" s="33">
        <v>0</v>
      </c>
      <c r="T161" s="13">
        <v>139.04</v>
      </c>
      <c r="U161" s="13">
        <v>38.931199999999997</v>
      </c>
      <c r="V161" s="55">
        <f>Table3[[#This Row],[Profit]]/Table3[[#This Row],[Sales]]</f>
        <v>0.27999999999999997</v>
      </c>
    </row>
    <row r="162" spans="1:22" x14ac:dyDescent="0.2">
      <c r="A162">
        <v>161</v>
      </c>
      <c r="B162" t="s">
        <v>7271</v>
      </c>
      <c r="C162" s="1">
        <v>42768</v>
      </c>
      <c r="D162" s="22">
        <f>MONTH(Table3[[#This Row],[Order Date]])</f>
        <v>2</v>
      </c>
      <c r="E162" t="s">
        <v>4555</v>
      </c>
      <c r="F162" t="s">
        <v>4556</v>
      </c>
      <c r="G162" s="23" t="s">
        <v>41</v>
      </c>
      <c r="H162" s="23" t="s">
        <v>71</v>
      </c>
      <c r="I162" t="s">
        <v>1864</v>
      </c>
      <c r="J162" t="s">
        <v>22</v>
      </c>
      <c r="K162" s="22">
        <v>4</v>
      </c>
      <c r="L162" s="1">
        <v>42773</v>
      </c>
      <c r="M162" s="22">
        <f>Table3[[#This Row],[Ship Date]]-Table3[[#This Row],[Order Date]]</f>
        <v>5</v>
      </c>
      <c r="N162" s="23" t="s">
        <v>45</v>
      </c>
      <c r="O162" s="23" t="s">
        <v>23</v>
      </c>
      <c r="P162" s="23" t="s">
        <v>38</v>
      </c>
      <c r="Q162" s="23" t="s">
        <v>39</v>
      </c>
      <c r="R162" s="23" t="s">
        <v>37</v>
      </c>
      <c r="S162" s="33">
        <v>0</v>
      </c>
      <c r="T162" s="13">
        <v>46.8</v>
      </c>
      <c r="U162" s="13">
        <v>16.38</v>
      </c>
      <c r="V162" s="55">
        <f>Table3[[#This Row],[Profit]]/Table3[[#This Row],[Sales]]</f>
        <v>0.35</v>
      </c>
    </row>
    <row r="163" spans="1:22" x14ac:dyDescent="0.2">
      <c r="A163">
        <v>162</v>
      </c>
      <c r="B163" t="s">
        <v>9433</v>
      </c>
      <c r="C163" s="1">
        <v>42768</v>
      </c>
      <c r="D163" s="22">
        <f>MONTH(Table3[[#This Row],[Order Date]])</f>
        <v>2</v>
      </c>
      <c r="E163" t="s">
        <v>2738</v>
      </c>
      <c r="F163" t="s">
        <v>2739</v>
      </c>
      <c r="G163" s="23" t="s">
        <v>28</v>
      </c>
      <c r="H163" s="23" t="s">
        <v>58</v>
      </c>
      <c r="I163" t="s">
        <v>5094</v>
      </c>
      <c r="J163" t="s">
        <v>36</v>
      </c>
      <c r="K163" s="22">
        <v>2</v>
      </c>
      <c r="L163" s="1">
        <v>42773</v>
      </c>
      <c r="M163" s="22">
        <f>Table3[[#This Row],[Ship Date]]-Table3[[#This Row],[Order Date]]</f>
        <v>5</v>
      </c>
      <c r="N163" s="23" t="s">
        <v>45</v>
      </c>
      <c r="O163" s="23" t="s">
        <v>23</v>
      </c>
      <c r="P163" s="23" t="s">
        <v>38</v>
      </c>
      <c r="Q163" s="23" t="s">
        <v>39</v>
      </c>
      <c r="R163" s="23" t="s">
        <v>836</v>
      </c>
      <c r="S163" s="33">
        <v>0</v>
      </c>
      <c r="T163" s="13">
        <v>210.58</v>
      </c>
      <c r="U163" s="13">
        <v>12.6348</v>
      </c>
      <c r="V163" s="55">
        <f>Table3[[#This Row],[Profit]]/Table3[[#This Row],[Sales]]</f>
        <v>0.06</v>
      </c>
    </row>
    <row r="164" spans="1:22" x14ac:dyDescent="0.2">
      <c r="A164">
        <v>163</v>
      </c>
      <c r="B164" t="s">
        <v>9433</v>
      </c>
      <c r="C164" s="1">
        <v>42768</v>
      </c>
      <c r="D164" s="22">
        <f>MONTH(Table3[[#This Row],[Order Date]])</f>
        <v>2</v>
      </c>
      <c r="E164" t="s">
        <v>2100</v>
      </c>
      <c r="F164" t="s">
        <v>2101</v>
      </c>
      <c r="G164" s="23" t="s">
        <v>41</v>
      </c>
      <c r="H164" s="23" t="s">
        <v>68</v>
      </c>
      <c r="I164" t="s">
        <v>5094</v>
      </c>
      <c r="J164" t="s">
        <v>36</v>
      </c>
      <c r="K164" s="22">
        <v>2</v>
      </c>
      <c r="L164" s="1">
        <v>42773</v>
      </c>
      <c r="M164" s="22">
        <f>Table3[[#This Row],[Ship Date]]-Table3[[#This Row],[Order Date]]</f>
        <v>5</v>
      </c>
      <c r="N164" s="23" t="s">
        <v>45</v>
      </c>
      <c r="O164" s="23" t="s">
        <v>23</v>
      </c>
      <c r="P164" s="23" t="s">
        <v>38</v>
      </c>
      <c r="Q164" s="23" t="s">
        <v>39</v>
      </c>
      <c r="R164" s="23" t="s">
        <v>836</v>
      </c>
      <c r="S164" s="33">
        <v>0.2</v>
      </c>
      <c r="T164" s="13">
        <v>30.96</v>
      </c>
      <c r="U164" s="13">
        <v>10.061999999999999</v>
      </c>
      <c r="V164" s="55">
        <f>Table3[[#This Row],[Profit]]/Table3[[#This Row],[Sales]]</f>
        <v>0.32499999999999996</v>
      </c>
    </row>
    <row r="165" spans="1:22" x14ac:dyDescent="0.2">
      <c r="A165">
        <v>164</v>
      </c>
      <c r="B165" t="s">
        <v>9433</v>
      </c>
      <c r="C165" s="1">
        <v>42768</v>
      </c>
      <c r="D165" s="22">
        <f>MONTH(Table3[[#This Row],[Order Date]])</f>
        <v>2</v>
      </c>
      <c r="E165" t="s">
        <v>7569</v>
      </c>
      <c r="F165" t="s">
        <v>7570</v>
      </c>
      <c r="G165" s="23" t="s">
        <v>64</v>
      </c>
      <c r="H165" s="23" t="s">
        <v>602</v>
      </c>
      <c r="I165" t="s">
        <v>5094</v>
      </c>
      <c r="J165" t="s">
        <v>36</v>
      </c>
      <c r="K165" s="22">
        <v>2</v>
      </c>
      <c r="L165" s="1">
        <v>42773</v>
      </c>
      <c r="M165" s="22">
        <f>Table3[[#This Row],[Ship Date]]-Table3[[#This Row],[Order Date]]</f>
        <v>5</v>
      </c>
      <c r="N165" s="23" t="s">
        <v>45</v>
      </c>
      <c r="O165" s="23" t="s">
        <v>23</v>
      </c>
      <c r="P165" s="23" t="s">
        <v>38</v>
      </c>
      <c r="Q165" s="23" t="s">
        <v>39</v>
      </c>
      <c r="R165" s="23" t="s">
        <v>836</v>
      </c>
      <c r="S165" s="33">
        <v>0.2</v>
      </c>
      <c r="T165" s="13">
        <v>239.98400000000001</v>
      </c>
      <c r="U165" s="13">
        <v>38.997399999999999</v>
      </c>
      <c r="V165" s="55">
        <f>Table3[[#This Row],[Profit]]/Table3[[#This Row],[Sales]]</f>
        <v>0.16249999999999998</v>
      </c>
    </row>
    <row r="166" spans="1:22" x14ac:dyDescent="0.2">
      <c r="A166">
        <v>165</v>
      </c>
      <c r="B166" t="s">
        <v>3219</v>
      </c>
      <c r="C166" s="1">
        <v>42769</v>
      </c>
      <c r="D166" s="22">
        <f>MONTH(Table3[[#This Row],[Order Date]])</f>
        <v>2</v>
      </c>
      <c r="E166" t="s">
        <v>2401</v>
      </c>
      <c r="F166" t="s">
        <v>2402</v>
      </c>
      <c r="G166" s="23" t="s">
        <v>41</v>
      </c>
      <c r="H166" s="23" t="s">
        <v>68</v>
      </c>
      <c r="I166" t="s">
        <v>3220</v>
      </c>
      <c r="J166" t="s">
        <v>22</v>
      </c>
      <c r="K166" s="22">
        <v>3</v>
      </c>
      <c r="L166" s="1">
        <v>42774</v>
      </c>
      <c r="M166" s="22">
        <f>Table3[[#This Row],[Ship Date]]-Table3[[#This Row],[Order Date]]</f>
        <v>5</v>
      </c>
      <c r="N166" s="23" t="s">
        <v>45</v>
      </c>
      <c r="O166" s="23" t="s">
        <v>23</v>
      </c>
      <c r="P166" s="23" t="s">
        <v>441</v>
      </c>
      <c r="Q166" s="23" t="s">
        <v>133</v>
      </c>
      <c r="R166" s="23" t="s">
        <v>887</v>
      </c>
      <c r="S166" s="33">
        <v>0.7</v>
      </c>
      <c r="T166" s="13">
        <v>5.2290000000000001</v>
      </c>
      <c r="U166" s="13">
        <v>-4.1832000000000003</v>
      </c>
      <c r="V166" s="55">
        <f>Table3[[#This Row],[Profit]]/Table3[[#This Row],[Sales]]</f>
        <v>-0.8</v>
      </c>
    </row>
    <row r="167" spans="1:22" x14ac:dyDescent="0.2">
      <c r="A167">
        <v>166</v>
      </c>
      <c r="B167" t="s">
        <v>3219</v>
      </c>
      <c r="C167" s="1">
        <v>42769</v>
      </c>
      <c r="D167" s="22">
        <f>MONTH(Table3[[#This Row],[Order Date]])</f>
        <v>2</v>
      </c>
      <c r="E167" t="s">
        <v>1774</v>
      </c>
      <c r="F167" t="s">
        <v>1775</v>
      </c>
      <c r="G167" s="23" t="s">
        <v>41</v>
      </c>
      <c r="H167" s="23" t="s">
        <v>53</v>
      </c>
      <c r="I167" t="s">
        <v>3220</v>
      </c>
      <c r="J167" t="s">
        <v>22</v>
      </c>
      <c r="K167" s="22">
        <v>2</v>
      </c>
      <c r="L167" s="1">
        <v>42774</v>
      </c>
      <c r="M167" s="22">
        <f>Table3[[#This Row],[Ship Date]]-Table3[[#This Row],[Order Date]]</f>
        <v>5</v>
      </c>
      <c r="N167" s="23" t="s">
        <v>45</v>
      </c>
      <c r="O167" s="23" t="s">
        <v>23</v>
      </c>
      <c r="P167" s="23" t="s">
        <v>441</v>
      </c>
      <c r="Q167" s="23" t="s">
        <v>133</v>
      </c>
      <c r="R167" s="23" t="s">
        <v>887</v>
      </c>
      <c r="S167" s="33">
        <v>0.2</v>
      </c>
      <c r="T167" s="13">
        <v>285.55200000000002</v>
      </c>
      <c r="U167" s="13">
        <v>35.694000000000003</v>
      </c>
      <c r="V167" s="55">
        <f>Table3[[#This Row],[Profit]]/Table3[[#This Row],[Sales]]</f>
        <v>0.125</v>
      </c>
    </row>
    <row r="168" spans="1:22" x14ac:dyDescent="0.2">
      <c r="A168">
        <v>167</v>
      </c>
      <c r="B168" t="s">
        <v>6999</v>
      </c>
      <c r="C168" s="1">
        <v>42769</v>
      </c>
      <c r="D168" s="22">
        <f>MONTH(Table3[[#This Row],[Order Date]])</f>
        <v>2</v>
      </c>
      <c r="E168" t="s">
        <v>2149</v>
      </c>
      <c r="F168" t="s">
        <v>2150</v>
      </c>
      <c r="G168" s="23" t="s">
        <v>41</v>
      </c>
      <c r="H168" s="23" t="s">
        <v>68</v>
      </c>
      <c r="I168" t="s">
        <v>4910</v>
      </c>
      <c r="J168" t="s">
        <v>22</v>
      </c>
      <c r="K168" s="22">
        <v>2</v>
      </c>
      <c r="L168" s="1">
        <v>42774</v>
      </c>
      <c r="M168" s="22">
        <f>Table3[[#This Row],[Ship Date]]-Table3[[#This Row],[Order Date]]</f>
        <v>5</v>
      </c>
      <c r="N168" s="23" t="s">
        <v>45</v>
      </c>
      <c r="O168" s="23" t="s">
        <v>23</v>
      </c>
      <c r="P168" s="23" t="s">
        <v>48</v>
      </c>
      <c r="Q168" s="23" t="s">
        <v>26</v>
      </c>
      <c r="R168" s="23" t="s">
        <v>1195</v>
      </c>
      <c r="S168" s="33">
        <v>0.7</v>
      </c>
      <c r="T168" s="13">
        <v>3.8820000000000001</v>
      </c>
      <c r="U168" s="13">
        <v>-2.5880000000000001</v>
      </c>
      <c r="V168" s="55">
        <f>Table3[[#This Row],[Profit]]/Table3[[#This Row],[Sales]]</f>
        <v>-0.66666666666666663</v>
      </c>
    </row>
    <row r="169" spans="1:22" x14ac:dyDescent="0.2">
      <c r="A169">
        <v>168</v>
      </c>
      <c r="B169" t="s">
        <v>6999</v>
      </c>
      <c r="C169" s="1">
        <v>42769</v>
      </c>
      <c r="D169" s="22">
        <f>MONTH(Table3[[#This Row],[Order Date]])</f>
        <v>2</v>
      </c>
      <c r="E169" t="s">
        <v>7000</v>
      </c>
      <c r="F169" t="s">
        <v>7001</v>
      </c>
      <c r="G169" s="23" t="s">
        <v>41</v>
      </c>
      <c r="H169" s="23" t="s">
        <v>82</v>
      </c>
      <c r="I169" t="s">
        <v>4910</v>
      </c>
      <c r="J169" t="s">
        <v>22</v>
      </c>
      <c r="K169" s="22">
        <v>3</v>
      </c>
      <c r="L169" s="1">
        <v>42774</v>
      </c>
      <c r="M169" s="22">
        <f>Table3[[#This Row],[Ship Date]]-Table3[[#This Row],[Order Date]]</f>
        <v>5</v>
      </c>
      <c r="N169" s="23" t="s">
        <v>45</v>
      </c>
      <c r="O169" s="23" t="s">
        <v>23</v>
      </c>
      <c r="P169" s="23" t="s">
        <v>48</v>
      </c>
      <c r="Q169" s="23" t="s">
        <v>26</v>
      </c>
      <c r="R169" s="23" t="s">
        <v>1195</v>
      </c>
      <c r="S169" s="33">
        <v>0.2</v>
      </c>
      <c r="T169" s="13">
        <v>115.29600000000001</v>
      </c>
      <c r="U169" s="13">
        <v>40.3536</v>
      </c>
      <c r="V169" s="55">
        <f>Table3[[#This Row],[Profit]]/Table3[[#This Row],[Sales]]</f>
        <v>0.35</v>
      </c>
    </row>
    <row r="170" spans="1:22" x14ac:dyDescent="0.2">
      <c r="A170">
        <v>169</v>
      </c>
      <c r="B170" t="s">
        <v>8706</v>
      </c>
      <c r="C170" s="1">
        <v>42769</v>
      </c>
      <c r="D170" s="22">
        <f>MONTH(Table3[[#This Row],[Order Date]])</f>
        <v>2</v>
      </c>
      <c r="E170" t="s">
        <v>2687</v>
      </c>
      <c r="F170" t="s">
        <v>2688</v>
      </c>
      <c r="G170" s="23" t="s">
        <v>41</v>
      </c>
      <c r="H170" s="23" t="s">
        <v>82</v>
      </c>
      <c r="I170" t="s">
        <v>2036</v>
      </c>
      <c r="J170" t="s">
        <v>92</v>
      </c>
      <c r="K170" s="22">
        <v>1</v>
      </c>
      <c r="L170" s="1">
        <v>42773</v>
      </c>
      <c r="M170" s="22">
        <f>Table3[[#This Row],[Ship Date]]-Table3[[#This Row],[Order Date]]</f>
        <v>4</v>
      </c>
      <c r="N170" s="23" t="s">
        <v>20</v>
      </c>
      <c r="O170" s="23" t="s">
        <v>23</v>
      </c>
      <c r="P170" s="23" t="s">
        <v>189</v>
      </c>
      <c r="Q170" s="23" t="s">
        <v>95</v>
      </c>
      <c r="R170" s="23" t="s">
        <v>271</v>
      </c>
      <c r="S170" s="33">
        <v>0.2</v>
      </c>
      <c r="T170" s="13">
        <v>5.1840000000000002</v>
      </c>
      <c r="U170" s="13">
        <v>1.8144</v>
      </c>
      <c r="V170" s="55">
        <f>Table3[[#This Row],[Profit]]/Table3[[#This Row],[Sales]]</f>
        <v>0.35</v>
      </c>
    </row>
    <row r="171" spans="1:22" x14ac:dyDescent="0.2">
      <c r="A171">
        <v>170</v>
      </c>
      <c r="B171" t="s">
        <v>8706</v>
      </c>
      <c r="C171" s="1">
        <v>42769</v>
      </c>
      <c r="D171" s="22">
        <f>MONTH(Table3[[#This Row],[Order Date]])</f>
        <v>2</v>
      </c>
      <c r="E171" t="s">
        <v>5840</v>
      </c>
      <c r="F171" t="s">
        <v>5841</v>
      </c>
      <c r="G171" s="23" t="s">
        <v>41</v>
      </c>
      <c r="H171" s="23" t="s">
        <v>82</v>
      </c>
      <c r="I171" t="s">
        <v>2036</v>
      </c>
      <c r="J171" t="s">
        <v>92</v>
      </c>
      <c r="K171" s="22">
        <v>2</v>
      </c>
      <c r="L171" s="1">
        <v>42773</v>
      </c>
      <c r="M171" s="22">
        <f>Table3[[#This Row],[Ship Date]]-Table3[[#This Row],[Order Date]]</f>
        <v>4</v>
      </c>
      <c r="N171" s="23" t="s">
        <v>20</v>
      </c>
      <c r="O171" s="23" t="s">
        <v>23</v>
      </c>
      <c r="P171" s="23" t="s">
        <v>189</v>
      </c>
      <c r="Q171" s="23" t="s">
        <v>95</v>
      </c>
      <c r="R171" s="23" t="s">
        <v>271</v>
      </c>
      <c r="S171" s="33">
        <v>0.2</v>
      </c>
      <c r="T171" s="13">
        <v>65.584000000000003</v>
      </c>
      <c r="U171" s="13">
        <v>23.7742</v>
      </c>
      <c r="V171" s="55">
        <f>Table3[[#This Row],[Profit]]/Table3[[#This Row],[Sales]]</f>
        <v>0.36249999999999999</v>
      </c>
    </row>
    <row r="172" spans="1:22" x14ac:dyDescent="0.2">
      <c r="A172">
        <v>171</v>
      </c>
      <c r="B172" t="s">
        <v>8706</v>
      </c>
      <c r="C172" s="1">
        <v>42769</v>
      </c>
      <c r="D172" s="22">
        <f>MONTH(Table3[[#This Row],[Order Date]])</f>
        <v>2</v>
      </c>
      <c r="E172" t="s">
        <v>4625</v>
      </c>
      <c r="F172" t="s">
        <v>4626</v>
      </c>
      <c r="G172" s="23" t="s">
        <v>28</v>
      </c>
      <c r="H172" s="23" t="s">
        <v>58</v>
      </c>
      <c r="I172" t="s">
        <v>2036</v>
      </c>
      <c r="J172" t="s">
        <v>92</v>
      </c>
      <c r="K172" s="22">
        <v>1</v>
      </c>
      <c r="L172" s="1">
        <v>42773</v>
      </c>
      <c r="M172" s="22">
        <f>Table3[[#This Row],[Ship Date]]-Table3[[#This Row],[Order Date]]</f>
        <v>4</v>
      </c>
      <c r="N172" s="23" t="s">
        <v>20</v>
      </c>
      <c r="O172" s="23" t="s">
        <v>23</v>
      </c>
      <c r="P172" s="23" t="s">
        <v>189</v>
      </c>
      <c r="Q172" s="23" t="s">
        <v>95</v>
      </c>
      <c r="R172" s="23" t="s">
        <v>271</v>
      </c>
      <c r="S172" s="33">
        <v>0.6</v>
      </c>
      <c r="T172" s="13">
        <v>22.2</v>
      </c>
      <c r="U172" s="13">
        <v>-26.085000000000001</v>
      </c>
      <c r="V172" s="55">
        <f>Table3[[#This Row],[Profit]]/Table3[[#This Row],[Sales]]</f>
        <v>-1.175</v>
      </c>
    </row>
    <row r="173" spans="1:22" x14ac:dyDescent="0.2">
      <c r="A173">
        <v>172</v>
      </c>
      <c r="B173" t="s">
        <v>8706</v>
      </c>
      <c r="C173" s="1">
        <v>42769</v>
      </c>
      <c r="D173" s="22">
        <f>MONTH(Table3[[#This Row],[Order Date]])</f>
        <v>2</v>
      </c>
      <c r="E173" t="s">
        <v>3370</v>
      </c>
      <c r="F173" t="s">
        <v>3371</v>
      </c>
      <c r="G173" s="23" t="s">
        <v>41</v>
      </c>
      <c r="H173" s="23" t="s">
        <v>82</v>
      </c>
      <c r="I173" t="s">
        <v>2036</v>
      </c>
      <c r="J173" t="s">
        <v>92</v>
      </c>
      <c r="K173" s="22">
        <v>5</v>
      </c>
      <c r="L173" s="1">
        <v>42773</v>
      </c>
      <c r="M173" s="22">
        <f>Table3[[#This Row],[Ship Date]]-Table3[[#This Row],[Order Date]]</f>
        <v>4</v>
      </c>
      <c r="N173" s="23" t="s">
        <v>20</v>
      </c>
      <c r="O173" s="23" t="s">
        <v>23</v>
      </c>
      <c r="P173" s="23" t="s">
        <v>189</v>
      </c>
      <c r="Q173" s="23" t="s">
        <v>95</v>
      </c>
      <c r="R173" s="23" t="s">
        <v>271</v>
      </c>
      <c r="S173" s="33">
        <v>0.2</v>
      </c>
      <c r="T173" s="13">
        <v>419.4</v>
      </c>
      <c r="U173" s="13">
        <v>146.79</v>
      </c>
      <c r="V173" s="55">
        <f>Table3[[#This Row],[Profit]]/Table3[[#This Row],[Sales]]</f>
        <v>0.35</v>
      </c>
    </row>
    <row r="174" spans="1:22" x14ac:dyDescent="0.2">
      <c r="A174">
        <v>173</v>
      </c>
      <c r="B174" t="s">
        <v>8491</v>
      </c>
      <c r="C174" s="1">
        <v>42770</v>
      </c>
      <c r="D174" s="22">
        <f>MONTH(Table3[[#This Row],[Order Date]])</f>
        <v>2</v>
      </c>
      <c r="E174" t="s">
        <v>3197</v>
      </c>
      <c r="F174" t="s">
        <v>3198</v>
      </c>
      <c r="G174" s="23" t="s">
        <v>41</v>
      </c>
      <c r="H174" s="23" t="s">
        <v>71</v>
      </c>
      <c r="I174" t="s">
        <v>2054</v>
      </c>
      <c r="J174" t="s">
        <v>22</v>
      </c>
      <c r="K174" s="22">
        <v>3</v>
      </c>
      <c r="L174" s="1">
        <v>42775</v>
      </c>
      <c r="M174" s="22">
        <f>Table3[[#This Row],[Ship Date]]-Table3[[#This Row],[Order Date]]</f>
        <v>5</v>
      </c>
      <c r="N174" s="23" t="s">
        <v>45</v>
      </c>
      <c r="O174" s="23" t="s">
        <v>23</v>
      </c>
      <c r="P174" s="23" t="s">
        <v>238</v>
      </c>
      <c r="Q174" s="23" t="s">
        <v>133</v>
      </c>
      <c r="R174" s="23" t="s">
        <v>347</v>
      </c>
      <c r="S174" s="33">
        <v>0</v>
      </c>
      <c r="T174" s="13">
        <v>32.67</v>
      </c>
      <c r="U174" s="13">
        <v>8.4941999999999993</v>
      </c>
      <c r="V174" s="55">
        <f>Table3[[#This Row],[Profit]]/Table3[[#This Row],[Sales]]</f>
        <v>0.25999999999999995</v>
      </c>
    </row>
    <row r="175" spans="1:22" x14ac:dyDescent="0.2">
      <c r="A175">
        <v>174</v>
      </c>
      <c r="B175" t="s">
        <v>8190</v>
      </c>
      <c r="C175" s="1">
        <v>42771</v>
      </c>
      <c r="D175" s="22">
        <f>MONTH(Table3[[#This Row],[Order Date]])</f>
        <v>2</v>
      </c>
      <c r="E175" t="s">
        <v>1947</v>
      </c>
      <c r="F175" t="s">
        <v>1948</v>
      </c>
      <c r="G175" s="23" t="s">
        <v>41</v>
      </c>
      <c r="H175" s="23" t="s">
        <v>68</v>
      </c>
      <c r="I175" t="s">
        <v>686</v>
      </c>
      <c r="J175" t="s">
        <v>22</v>
      </c>
      <c r="K175" s="22">
        <v>4</v>
      </c>
      <c r="L175" s="1">
        <v>42774</v>
      </c>
      <c r="M175" s="22">
        <f>Table3[[#This Row],[Ship Date]]-Table3[[#This Row],[Order Date]]</f>
        <v>3</v>
      </c>
      <c r="N175" s="23" t="s">
        <v>20</v>
      </c>
      <c r="O175" s="23" t="s">
        <v>23</v>
      </c>
      <c r="P175" s="23" t="s">
        <v>94</v>
      </c>
      <c r="Q175" s="23" t="s">
        <v>95</v>
      </c>
      <c r="R175" s="23" t="s">
        <v>7290</v>
      </c>
      <c r="S175" s="33">
        <v>0.8</v>
      </c>
      <c r="T175" s="13">
        <v>243.99199999999999</v>
      </c>
      <c r="U175" s="13">
        <v>-426.98599999999999</v>
      </c>
      <c r="V175" s="55">
        <f>Table3[[#This Row],[Profit]]/Table3[[#This Row],[Sales]]</f>
        <v>-1.75</v>
      </c>
    </row>
    <row r="176" spans="1:22" x14ac:dyDescent="0.2">
      <c r="A176">
        <v>175</v>
      </c>
      <c r="B176" t="s">
        <v>8190</v>
      </c>
      <c r="C176" s="1">
        <v>42771</v>
      </c>
      <c r="D176" s="22">
        <f>MONTH(Table3[[#This Row],[Order Date]])</f>
        <v>2</v>
      </c>
      <c r="E176" t="s">
        <v>4817</v>
      </c>
      <c r="F176" t="s">
        <v>2673</v>
      </c>
      <c r="G176" s="23" t="s">
        <v>41</v>
      </c>
      <c r="H176" s="23" t="s">
        <v>61</v>
      </c>
      <c r="I176" t="s">
        <v>686</v>
      </c>
      <c r="J176" t="s">
        <v>22</v>
      </c>
      <c r="K176" s="22">
        <v>5</v>
      </c>
      <c r="L176" s="1">
        <v>42774</v>
      </c>
      <c r="M176" s="22">
        <f>Table3[[#This Row],[Ship Date]]-Table3[[#This Row],[Order Date]]</f>
        <v>3</v>
      </c>
      <c r="N176" s="23" t="s">
        <v>20</v>
      </c>
      <c r="O176" s="23" t="s">
        <v>23</v>
      </c>
      <c r="P176" s="23" t="s">
        <v>94</v>
      </c>
      <c r="Q176" s="23" t="s">
        <v>95</v>
      </c>
      <c r="R176" s="23" t="s">
        <v>7290</v>
      </c>
      <c r="S176" s="33">
        <v>0.2</v>
      </c>
      <c r="T176" s="13">
        <v>7.12</v>
      </c>
      <c r="U176" s="13">
        <v>0.71199999999999997</v>
      </c>
      <c r="V176" s="55">
        <f>Table3[[#This Row],[Profit]]/Table3[[#This Row],[Sales]]</f>
        <v>9.9999999999999992E-2</v>
      </c>
    </row>
    <row r="177" spans="1:22" x14ac:dyDescent="0.2">
      <c r="A177">
        <v>176</v>
      </c>
      <c r="B177" t="s">
        <v>8352</v>
      </c>
      <c r="C177" s="1">
        <v>42771</v>
      </c>
      <c r="D177" s="22">
        <f>MONTH(Table3[[#This Row],[Order Date]])</f>
        <v>2</v>
      </c>
      <c r="E177" t="s">
        <v>7478</v>
      </c>
      <c r="F177" t="s">
        <v>7479</v>
      </c>
      <c r="G177" s="23" t="s">
        <v>41</v>
      </c>
      <c r="H177" s="23" t="s">
        <v>71</v>
      </c>
      <c r="I177" t="s">
        <v>6044</v>
      </c>
      <c r="J177" t="s">
        <v>36</v>
      </c>
      <c r="K177" s="22">
        <v>5</v>
      </c>
      <c r="L177" s="1">
        <v>42775</v>
      </c>
      <c r="M177" s="22">
        <f>Table3[[#This Row],[Ship Date]]-Table3[[#This Row],[Order Date]]</f>
        <v>4</v>
      </c>
      <c r="N177" s="23" t="s">
        <v>45</v>
      </c>
      <c r="O177" s="23" t="s">
        <v>23</v>
      </c>
      <c r="P177" s="23" t="s">
        <v>38</v>
      </c>
      <c r="Q177" s="23" t="s">
        <v>39</v>
      </c>
      <c r="R177" s="23" t="s">
        <v>2523</v>
      </c>
      <c r="S177" s="33">
        <v>0</v>
      </c>
      <c r="T177" s="13">
        <v>1640.7</v>
      </c>
      <c r="U177" s="13">
        <v>459.39600000000002</v>
      </c>
      <c r="V177" s="55">
        <f>Table3[[#This Row],[Profit]]/Table3[[#This Row],[Sales]]</f>
        <v>0.28000000000000003</v>
      </c>
    </row>
    <row r="178" spans="1:22" x14ac:dyDescent="0.2">
      <c r="A178">
        <v>177</v>
      </c>
      <c r="B178" t="s">
        <v>8352</v>
      </c>
      <c r="C178" s="1">
        <v>42771</v>
      </c>
      <c r="D178" s="22">
        <f>MONTH(Table3[[#This Row],[Order Date]])</f>
        <v>2</v>
      </c>
      <c r="E178" t="s">
        <v>3147</v>
      </c>
      <c r="F178" t="s">
        <v>3148</v>
      </c>
      <c r="G178" s="23" t="s">
        <v>64</v>
      </c>
      <c r="H178" s="23" t="s">
        <v>65</v>
      </c>
      <c r="I178" t="s">
        <v>6044</v>
      </c>
      <c r="J178" t="s">
        <v>36</v>
      </c>
      <c r="K178" s="22">
        <v>5</v>
      </c>
      <c r="L178" s="1">
        <v>42775</v>
      </c>
      <c r="M178" s="22">
        <f>Table3[[#This Row],[Ship Date]]-Table3[[#This Row],[Order Date]]</f>
        <v>4</v>
      </c>
      <c r="N178" s="23" t="s">
        <v>45</v>
      </c>
      <c r="O178" s="23" t="s">
        <v>23</v>
      </c>
      <c r="P178" s="23" t="s">
        <v>38</v>
      </c>
      <c r="Q178" s="23" t="s">
        <v>39</v>
      </c>
      <c r="R178" s="23" t="s">
        <v>2523</v>
      </c>
      <c r="S178" s="33">
        <v>0.2</v>
      </c>
      <c r="T178" s="13">
        <v>371.2</v>
      </c>
      <c r="U178" s="13">
        <v>41.76</v>
      </c>
      <c r="V178" s="55">
        <f>Table3[[#This Row],[Profit]]/Table3[[#This Row],[Sales]]</f>
        <v>0.1125</v>
      </c>
    </row>
    <row r="179" spans="1:22" x14ac:dyDescent="0.2">
      <c r="A179">
        <v>178</v>
      </c>
      <c r="B179" t="s">
        <v>4655</v>
      </c>
      <c r="C179" s="1">
        <v>42772</v>
      </c>
      <c r="D179" s="22">
        <f>MONTH(Table3[[#This Row],[Order Date]])</f>
        <v>2</v>
      </c>
      <c r="E179" t="s">
        <v>1966</v>
      </c>
      <c r="F179" t="s">
        <v>1967</v>
      </c>
      <c r="G179" s="23" t="s">
        <v>28</v>
      </c>
      <c r="H179" s="23" t="s">
        <v>29</v>
      </c>
      <c r="I179" t="s">
        <v>4656</v>
      </c>
      <c r="J179" t="s">
        <v>22</v>
      </c>
      <c r="K179" s="22">
        <v>3</v>
      </c>
      <c r="L179" s="1">
        <v>42775</v>
      </c>
      <c r="M179" s="22">
        <f>Table3[[#This Row],[Ship Date]]-Table3[[#This Row],[Order Date]]</f>
        <v>3</v>
      </c>
      <c r="N179" s="23" t="s">
        <v>169</v>
      </c>
      <c r="O179" s="23" t="s">
        <v>23</v>
      </c>
      <c r="P179" s="23" t="s">
        <v>285</v>
      </c>
      <c r="Q179" s="23" t="s">
        <v>26</v>
      </c>
      <c r="R179" s="23" t="s">
        <v>997</v>
      </c>
      <c r="S179" s="33">
        <v>0</v>
      </c>
      <c r="T179" s="13">
        <v>359.97</v>
      </c>
      <c r="U179" s="13">
        <v>79.193399999999997</v>
      </c>
      <c r="V179" s="55">
        <f>Table3[[#This Row],[Profit]]/Table3[[#This Row],[Sales]]</f>
        <v>0.21999999999999997</v>
      </c>
    </row>
    <row r="180" spans="1:22" x14ac:dyDescent="0.2">
      <c r="A180">
        <v>179</v>
      </c>
      <c r="B180" t="s">
        <v>7834</v>
      </c>
      <c r="C180" s="1">
        <v>42772</v>
      </c>
      <c r="D180" s="22">
        <f>MONTH(Table3[[#This Row],[Order Date]])</f>
        <v>2</v>
      </c>
      <c r="E180" t="s">
        <v>2722</v>
      </c>
      <c r="F180" t="s">
        <v>2723</v>
      </c>
      <c r="G180" s="23" t="s">
        <v>28</v>
      </c>
      <c r="H180" s="23" t="s">
        <v>29</v>
      </c>
      <c r="I180" t="s">
        <v>3136</v>
      </c>
      <c r="J180" t="s">
        <v>22</v>
      </c>
      <c r="K180" s="22">
        <v>1</v>
      </c>
      <c r="L180" s="1">
        <v>42777</v>
      </c>
      <c r="M180" s="22">
        <f>Table3[[#This Row],[Ship Date]]-Table3[[#This Row],[Order Date]]</f>
        <v>5</v>
      </c>
      <c r="N180" s="23" t="s">
        <v>45</v>
      </c>
      <c r="O180" s="23" t="s">
        <v>23</v>
      </c>
      <c r="P180" s="23" t="s">
        <v>238</v>
      </c>
      <c r="Q180" s="23" t="s">
        <v>133</v>
      </c>
      <c r="R180" s="23" t="s">
        <v>237</v>
      </c>
      <c r="S180" s="33">
        <v>0.2</v>
      </c>
      <c r="T180" s="13">
        <v>240.78399999999999</v>
      </c>
      <c r="U180" s="13">
        <v>30.097999999999999</v>
      </c>
      <c r="V180" s="55">
        <f>Table3[[#This Row],[Profit]]/Table3[[#This Row],[Sales]]</f>
        <v>0.125</v>
      </c>
    </row>
    <row r="181" spans="1:22" x14ac:dyDescent="0.2">
      <c r="A181">
        <v>180</v>
      </c>
      <c r="B181" t="s">
        <v>8470</v>
      </c>
      <c r="C181" s="1">
        <v>42772</v>
      </c>
      <c r="D181" s="22">
        <f>MONTH(Table3[[#This Row],[Order Date]])</f>
        <v>2</v>
      </c>
      <c r="E181" t="s">
        <v>1807</v>
      </c>
      <c r="F181" t="s">
        <v>1808</v>
      </c>
      <c r="G181" s="23" t="s">
        <v>64</v>
      </c>
      <c r="H181" s="23" t="s">
        <v>65</v>
      </c>
      <c r="I181" t="s">
        <v>1910</v>
      </c>
      <c r="J181" t="s">
        <v>36</v>
      </c>
      <c r="K181" s="22">
        <v>6</v>
      </c>
      <c r="L181" s="1">
        <v>42778</v>
      </c>
      <c r="M181" s="22">
        <f>Table3[[#This Row],[Ship Date]]-Table3[[#This Row],[Order Date]]</f>
        <v>6</v>
      </c>
      <c r="N181" s="23" t="s">
        <v>45</v>
      </c>
      <c r="O181" s="23" t="s">
        <v>23</v>
      </c>
      <c r="P181" s="23" t="s">
        <v>238</v>
      </c>
      <c r="Q181" s="23" t="s">
        <v>133</v>
      </c>
      <c r="R181" s="23" t="s">
        <v>237</v>
      </c>
      <c r="S181" s="33">
        <v>0</v>
      </c>
      <c r="T181" s="13">
        <v>227.46</v>
      </c>
      <c r="U181" s="13">
        <v>65.963399999999993</v>
      </c>
      <c r="V181" s="55">
        <f>Table3[[#This Row],[Profit]]/Table3[[#This Row],[Sales]]</f>
        <v>0.28999999999999998</v>
      </c>
    </row>
    <row r="182" spans="1:22" x14ac:dyDescent="0.2">
      <c r="A182">
        <v>181</v>
      </c>
      <c r="B182" t="s">
        <v>8470</v>
      </c>
      <c r="C182" s="1">
        <v>42772</v>
      </c>
      <c r="D182" s="22">
        <f>MONTH(Table3[[#This Row],[Order Date]])</f>
        <v>2</v>
      </c>
      <c r="E182" t="s">
        <v>8101</v>
      </c>
      <c r="F182" t="s">
        <v>8102</v>
      </c>
      <c r="G182" s="23" t="s">
        <v>41</v>
      </c>
      <c r="H182" s="23" t="s">
        <v>68</v>
      </c>
      <c r="I182" t="s">
        <v>1910</v>
      </c>
      <c r="J182" t="s">
        <v>36</v>
      </c>
      <c r="K182" s="22">
        <v>4</v>
      </c>
      <c r="L182" s="1">
        <v>42778</v>
      </c>
      <c r="M182" s="22">
        <f>Table3[[#This Row],[Ship Date]]-Table3[[#This Row],[Order Date]]</f>
        <v>6</v>
      </c>
      <c r="N182" s="23" t="s">
        <v>45</v>
      </c>
      <c r="O182" s="23" t="s">
        <v>23</v>
      </c>
      <c r="P182" s="23" t="s">
        <v>238</v>
      </c>
      <c r="Q182" s="23" t="s">
        <v>133</v>
      </c>
      <c r="R182" s="23" t="s">
        <v>237</v>
      </c>
      <c r="S182" s="33">
        <v>0.2</v>
      </c>
      <c r="T182" s="13">
        <v>46.24</v>
      </c>
      <c r="U182" s="13">
        <v>15.606</v>
      </c>
      <c r="V182" s="55">
        <f>Table3[[#This Row],[Profit]]/Table3[[#This Row],[Sales]]</f>
        <v>0.33749999999999997</v>
      </c>
    </row>
    <row r="183" spans="1:22" x14ac:dyDescent="0.2">
      <c r="A183">
        <v>182</v>
      </c>
      <c r="B183" t="s">
        <v>8663</v>
      </c>
      <c r="C183" s="1">
        <v>42772</v>
      </c>
      <c r="D183" s="22">
        <f>MONTH(Table3[[#This Row],[Order Date]])</f>
        <v>2</v>
      </c>
      <c r="E183" t="s">
        <v>7922</v>
      </c>
      <c r="F183" t="s">
        <v>7923</v>
      </c>
      <c r="G183" s="23" t="s">
        <v>41</v>
      </c>
      <c r="H183" s="23" t="s">
        <v>82</v>
      </c>
      <c r="I183" t="s">
        <v>2779</v>
      </c>
      <c r="J183" t="s">
        <v>92</v>
      </c>
      <c r="K183" s="22">
        <v>5</v>
      </c>
      <c r="L183" s="1">
        <v>42779</v>
      </c>
      <c r="M183" s="22">
        <f>Table3[[#This Row],[Ship Date]]-Table3[[#This Row],[Order Date]]</f>
        <v>7</v>
      </c>
      <c r="N183" s="23" t="s">
        <v>45</v>
      </c>
      <c r="O183" s="23" t="s">
        <v>23</v>
      </c>
      <c r="P183" s="23" t="s">
        <v>38</v>
      </c>
      <c r="Q183" s="23" t="s">
        <v>39</v>
      </c>
      <c r="R183" s="23" t="s">
        <v>114</v>
      </c>
      <c r="S183" s="33">
        <v>0</v>
      </c>
      <c r="T183" s="13">
        <v>29.9</v>
      </c>
      <c r="U183" s="13">
        <v>13.455</v>
      </c>
      <c r="V183" s="55">
        <f>Table3[[#This Row],[Profit]]/Table3[[#This Row],[Sales]]</f>
        <v>0.45</v>
      </c>
    </row>
    <row r="184" spans="1:22" x14ac:dyDescent="0.2">
      <c r="A184">
        <v>183</v>
      </c>
      <c r="B184" t="s">
        <v>5620</v>
      </c>
      <c r="C184" s="1">
        <v>42775</v>
      </c>
      <c r="D184" s="22">
        <f>MONTH(Table3[[#This Row],[Order Date]])</f>
        <v>2</v>
      </c>
      <c r="E184" t="s">
        <v>1336</v>
      </c>
      <c r="F184" t="s">
        <v>1337</v>
      </c>
      <c r="G184" s="23" t="s">
        <v>41</v>
      </c>
      <c r="H184" s="23" t="s">
        <v>68</v>
      </c>
      <c r="I184" t="s">
        <v>4665</v>
      </c>
      <c r="J184" t="s">
        <v>22</v>
      </c>
      <c r="K184" s="22">
        <v>4</v>
      </c>
      <c r="L184" s="1">
        <v>42780</v>
      </c>
      <c r="M184" s="22">
        <f>Table3[[#This Row],[Ship Date]]-Table3[[#This Row],[Order Date]]</f>
        <v>5</v>
      </c>
      <c r="N184" s="23" t="s">
        <v>45</v>
      </c>
      <c r="O184" s="23" t="s">
        <v>23</v>
      </c>
      <c r="P184" s="23" t="s">
        <v>94</v>
      </c>
      <c r="Q184" s="23" t="s">
        <v>95</v>
      </c>
      <c r="R184" s="23" t="s">
        <v>165</v>
      </c>
      <c r="S184" s="33">
        <v>0.8</v>
      </c>
      <c r="T184" s="13">
        <v>252.78399999999999</v>
      </c>
      <c r="U184" s="13">
        <v>-417.09359999999998</v>
      </c>
      <c r="V184" s="55">
        <f>Table3[[#This Row],[Profit]]/Table3[[#This Row],[Sales]]</f>
        <v>-1.65</v>
      </c>
    </row>
    <row r="185" spans="1:22" x14ac:dyDescent="0.2">
      <c r="A185">
        <v>184</v>
      </c>
      <c r="B185" t="s">
        <v>5620</v>
      </c>
      <c r="C185" s="1">
        <v>42775</v>
      </c>
      <c r="D185" s="22">
        <f>MONTH(Table3[[#This Row],[Order Date]])</f>
        <v>2</v>
      </c>
      <c r="E185" t="s">
        <v>2257</v>
      </c>
      <c r="F185" t="s">
        <v>2258</v>
      </c>
      <c r="G185" s="23" t="s">
        <v>64</v>
      </c>
      <c r="H185" s="23" t="s">
        <v>144</v>
      </c>
      <c r="I185" t="s">
        <v>4665</v>
      </c>
      <c r="J185" t="s">
        <v>22</v>
      </c>
      <c r="K185" s="22">
        <v>2</v>
      </c>
      <c r="L185" s="1">
        <v>42780</v>
      </c>
      <c r="M185" s="22">
        <f>Table3[[#This Row],[Ship Date]]-Table3[[#This Row],[Order Date]]</f>
        <v>5</v>
      </c>
      <c r="N185" s="23" t="s">
        <v>45</v>
      </c>
      <c r="O185" s="23" t="s">
        <v>23</v>
      </c>
      <c r="P185" s="23" t="s">
        <v>94</v>
      </c>
      <c r="Q185" s="23" t="s">
        <v>95</v>
      </c>
      <c r="R185" s="23" t="s">
        <v>165</v>
      </c>
      <c r="S185" s="33">
        <v>0.2</v>
      </c>
      <c r="T185" s="13">
        <v>127.98399999999999</v>
      </c>
      <c r="U185" s="13">
        <v>15.997999999999999</v>
      </c>
      <c r="V185" s="55">
        <f>Table3[[#This Row],[Profit]]/Table3[[#This Row],[Sales]]</f>
        <v>0.125</v>
      </c>
    </row>
    <row r="186" spans="1:22" x14ac:dyDescent="0.2">
      <c r="A186">
        <v>185</v>
      </c>
      <c r="B186" t="s">
        <v>5620</v>
      </c>
      <c r="C186" s="1">
        <v>42775</v>
      </c>
      <c r="D186" s="22">
        <f>MONTH(Table3[[#This Row],[Order Date]])</f>
        <v>2</v>
      </c>
      <c r="E186" t="s">
        <v>5521</v>
      </c>
      <c r="F186" t="s">
        <v>5522</v>
      </c>
      <c r="G186" s="23" t="s">
        <v>28</v>
      </c>
      <c r="H186" s="23" t="s">
        <v>58</v>
      </c>
      <c r="I186" t="s">
        <v>4665</v>
      </c>
      <c r="J186" t="s">
        <v>22</v>
      </c>
      <c r="K186" s="22">
        <v>2</v>
      </c>
      <c r="L186" s="1">
        <v>42780</v>
      </c>
      <c r="M186" s="22">
        <f>Table3[[#This Row],[Ship Date]]-Table3[[#This Row],[Order Date]]</f>
        <v>5</v>
      </c>
      <c r="N186" s="23" t="s">
        <v>45</v>
      </c>
      <c r="O186" s="23" t="s">
        <v>23</v>
      </c>
      <c r="P186" s="23" t="s">
        <v>94</v>
      </c>
      <c r="Q186" s="23" t="s">
        <v>95</v>
      </c>
      <c r="R186" s="23" t="s">
        <v>165</v>
      </c>
      <c r="S186" s="33">
        <v>0.6</v>
      </c>
      <c r="T186" s="13">
        <v>3.984</v>
      </c>
      <c r="U186" s="13">
        <v>-2.6892</v>
      </c>
      <c r="V186" s="55">
        <f>Table3[[#This Row],[Profit]]/Table3[[#This Row],[Sales]]</f>
        <v>-0.67500000000000004</v>
      </c>
    </row>
    <row r="187" spans="1:22" x14ac:dyDescent="0.2">
      <c r="A187">
        <v>186</v>
      </c>
      <c r="B187" t="s">
        <v>5620</v>
      </c>
      <c r="C187" s="1">
        <v>42775</v>
      </c>
      <c r="D187" s="22">
        <f>MONTH(Table3[[#This Row],[Order Date]])</f>
        <v>2</v>
      </c>
      <c r="E187" t="s">
        <v>2728</v>
      </c>
      <c r="F187" t="s">
        <v>2729</v>
      </c>
      <c r="G187" s="23" t="s">
        <v>41</v>
      </c>
      <c r="H187" s="23" t="s">
        <v>71</v>
      </c>
      <c r="I187" t="s">
        <v>4665</v>
      </c>
      <c r="J187" t="s">
        <v>22</v>
      </c>
      <c r="K187" s="22">
        <v>2</v>
      </c>
      <c r="L187" s="1">
        <v>42780</v>
      </c>
      <c r="M187" s="22">
        <f>Table3[[#This Row],[Ship Date]]-Table3[[#This Row],[Order Date]]</f>
        <v>5</v>
      </c>
      <c r="N187" s="23" t="s">
        <v>45</v>
      </c>
      <c r="O187" s="23" t="s">
        <v>23</v>
      </c>
      <c r="P187" s="23" t="s">
        <v>94</v>
      </c>
      <c r="Q187" s="23" t="s">
        <v>95</v>
      </c>
      <c r="R187" s="23" t="s">
        <v>165</v>
      </c>
      <c r="S187" s="33">
        <v>0.8</v>
      </c>
      <c r="T187" s="13">
        <v>12.992000000000001</v>
      </c>
      <c r="U187" s="13">
        <v>-32.479999999999997</v>
      </c>
      <c r="V187" s="55">
        <f>Table3[[#This Row],[Profit]]/Table3[[#This Row],[Sales]]</f>
        <v>-2.4999999999999996</v>
      </c>
    </row>
    <row r="188" spans="1:22" x14ac:dyDescent="0.2">
      <c r="A188">
        <v>187</v>
      </c>
      <c r="B188" t="s">
        <v>7829</v>
      </c>
      <c r="C188" s="1">
        <v>42775</v>
      </c>
      <c r="D188" s="22">
        <f>MONTH(Table3[[#This Row],[Order Date]])</f>
        <v>2</v>
      </c>
      <c r="E188" t="s">
        <v>4370</v>
      </c>
      <c r="F188" t="s">
        <v>4371</v>
      </c>
      <c r="G188" s="23" t="s">
        <v>28</v>
      </c>
      <c r="H188" s="23" t="s">
        <v>58</v>
      </c>
      <c r="I188" t="s">
        <v>3738</v>
      </c>
      <c r="J188" t="s">
        <v>36</v>
      </c>
      <c r="K188" s="22">
        <v>4</v>
      </c>
      <c r="L188" s="1">
        <v>42780</v>
      </c>
      <c r="M188" s="22">
        <f>Table3[[#This Row],[Ship Date]]-Table3[[#This Row],[Order Date]]</f>
        <v>5</v>
      </c>
      <c r="N188" s="23" t="s">
        <v>20</v>
      </c>
      <c r="O188" s="23" t="s">
        <v>23</v>
      </c>
      <c r="P188" s="23" t="s">
        <v>38</v>
      </c>
      <c r="Q188" s="23" t="s">
        <v>39</v>
      </c>
      <c r="R188" s="23" t="s">
        <v>37</v>
      </c>
      <c r="S188" s="33">
        <v>0</v>
      </c>
      <c r="T188" s="13">
        <v>21.12</v>
      </c>
      <c r="U188" s="13">
        <v>6.5472000000000001</v>
      </c>
      <c r="V188" s="55">
        <f>Table3[[#This Row],[Profit]]/Table3[[#This Row],[Sales]]</f>
        <v>0.31</v>
      </c>
    </row>
    <row r="189" spans="1:22" x14ac:dyDescent="0.2">
      <c r="A189">
        <v>188</v>
      </c>
      <c r="B189" t="s">
        <v>8593</v>
      </c>
      <c r="C189" s="1">
        <v>42775</v>
      </c>
      <c r="D189" s="22">
        <f>MONTH(Table3[[#This Row],[Order Date]])</f>
        <v>2</v>
      </c>
      <c r="E189" t="s">
        <v>3658</v>
      </c>
      <c r="F189" t="s">
        <v>3659</v>
      </c>
      <c r="G189" s="23" t="s">
        <v>41</v>
      </c>
      <c r="H189" s="23" t="s">
        <v>53</v>
      </c>
      <c r="I189" t="s">
        <v>5123</v>
      </c>
      <c r="J189" t="s">
        <v>22</v>
      </c>
      <c r="K189" s="22">
        <v>5</v>
      </c>
      <c r="L189" s="1">
        <v>42779</v>
      </c>
      <c r="M189" s="22">
        <f>Table3[[#This Row],[Ship Date]]-Table3[[#This Row],[Order Date]]</f>
        <v>4</v>
      </c>
      <c r="N189" s="23" t="s">
        <v>45</v>
      </c>
      <c r="O189" s="23" t="s">
        <v>23</v>
      </c>
      <c r="P189" s="23" t="s">
        <v>38</v>
      </c>
      <c r="Q189" s="23" t="s">
        <v>39</v>
      </c>
      <c r="R189" s="23" t="s">
        <v>37</v>
      </c>
      <c r="S189" s="33">
        <v>0</v>
      </c>
      <c r="T189" s="13">
        <v>354.9</v>
      </c>
      <c r="U189" s="13">
        <v>17.745000000000001</v>
      </c>
      <c r="V189" s="55">
        <f>Table3[[#This Row],[Profit]]/Table3[[#This Row],[Sales]]</f>
        <v>0.05</v>
      </c>
    </row>
    <row r="190" spans="1:22" x14ac:dyDescent="0.2">
      <c r="A190">
        <v>189</v>
      </c>
      <c r="B190" t="s">
        <v>3601</v>
      </c>
      <c r="C190" s="1">
        <v>42776</v>
      </c>
      <c r="D190" s="22">
        <f>MONTH(Table3[[#This Row],[Order Date]])</f>
        <v>2</v>
      </c>
      <c r="E190" t="s">
        <v>1966</v>
      </c>
      <c r="F190" t="s">
        <v>1967</v>
      </c>
      <c r="G190" s="23" t="s">
        <v>28</v>
      </c>
      <c r="H190" s="23" t="s">
        <v>29</v>
      </c>
      <c r="I190" t="s">
        <v>3602</v>
      </c>
      <c r="J190" t="s">
        <v>92</v>
      </c>
      <c r="K190" s="22">
        <v>2</v>
      </c>
      <c r="L190" s="1">
        <v>42780</v>
      </c>
      <c r="M190" s="22">
        <f>Table3[[#This Row],[Ship Date]]-Table3[[#This Row],[Order Date]]</f>
        <v>4</v>
      </c>
      <c r="N190" s="23" t="s">
        <v>45</v>
      </c>
      <c r="O190" s="23" t="s">
        <v>23</v>
      </c>
      <c r="P190" s="23" t="s">
        <v>38</v>
      </c>
      <c r="Q190" s="23" t="s">
        <v>39</v>
      </c>
      <c r="R190" s="23" t="s">
        <v>3603</v>
      </c>
      <c r="S190" s="33">
        <v>0.15</v>
      </c>
      <c r="T190" s="13">
        <v>203.983</v>
      </c>
      <c r="U190" s="13">
        <v>16.7986</v>
      </c>
      <c r="V190" s="55">
        <f>Table3[[#This Row],[Profit]]/Table3[[#This Row],[Sales]]</f>
        <v>8.2352941176470587E-2</v>
      </c>
    </row>
    <row r="191" spans="1:22" x14ac:dyDescent="0.2">
      <c r="A191">
        <v>190</v>
      </c>
      <c r="B191" t="s">
        <v>4793</v>
      </c>
      <c r="C191" s="1">
        <v>42776</v>
      </c>
      <c r="D191" s="22">
        <f>MONTH(Table3[[#This Row],[Order Date]])</f>
        <v>2</v>
      </c>
      <c r="E191" t="s">
        <v>3508</v>
      </c>
      <c r="F191" t="s">
        <v>3509</v>
      </c>
      <c r="G191" s="23" t="s">
        <v>41</v>
      </c>
      <c r="H191" s="23" t="s">
        <v>82</v>
      </c>
      <c r="I191" t="s">
        <v>3247</v>
      </c>
      <c r="J191" t="s">
        <v>22</v>
      </c>
      <c r="K191" s="22">
        <v>4</v>
      </c>
      <c r="L191" s="1">
        <v>42779</v>
      </c>
      <c r="M191" s="22">
        <f>Table3[[#This Row],[Ship Date]]-Table3[[#This Row],[Order Date]]</f>
        <v>3</v>
      </c>
      <c r="N191" s="23" t="s">
        <v>169</v>
      </c>
      <c r="O191" s="23" t="s">
        <v>23</v>
      </c>
      <c r="P191" s="23" t="s">
        <v>2408</v>
      </c>
      <c r="Q191" s="23" t="s">
        <v>133</v>
      </c>
      <c r="R191" s="23" t="s">
        <v>2828</v>
      </c>
      <c r="S191" s="33">
        <v>0</v>
      </c>
      <c r="T191" s="13">
        <v>23.12</v>
      </c>
      <c r="U191" s="13">
        <v>11.328799999999999</v>
      </c>
      <c r="V191" s="55">
        <f>Table3[[#This Row],[Profit]]/Table3[[#This Row],[Sales]]</f>
        <v>0.48999999999999994</v>
      </c>
    </row>
    <row r="192" spans="1:22" x14ac:dyDescent="0.2">
      <c r="A192">
        <v>191</v>
      </c>
      <c r="B192" t="s">
        <v>3571</v>
      </c>
      <c r="C192" s="1">
        <v>42777</v>
      </c>
      <c r="D192" s="22">
        <f>MONTH(Table3[[#This Row],[Order Date]])</f>
        <v>2</v>
      </c>
      <c r="E192" t="s">
        <v>2524</v>
      </c>
      <c r="F192" t="s">
        <v>2525</v>
      </c>
      <c r="G192" s="23" t="s">
        <v>41</v>
      </c>
      <c r="H192" s="23" t="s">
        <v>68</v>
      </c>
      <c r="I192" t="s">
        <v>746</v>
      </c>
      <c r="J192" t="s">
        <v>36</v>
      </c>
      <c r="K192" s="22">
        <v>7</v>
      </c>
      <c r="L192" s="1">
        <v>42780</v>
      </c>
      <c r="M192" s="22">
        <f>Table3[[#This Row],[Ship Date]]-Table3[[#This Row],[Order Date]]</f>
        <v>3</v>
      </c>
      <c r="N192" s="23" t="s">
        <v>20</v>
      </c>
      <c r="O192" s="23" t="s">
        <v>23</v>
      </c>
      <c r="P192" s="23" t="s">
        <v>38</v>
      </c>
      <c r="Q192" s="23" t="s">
        <v>39</v>
      </c>
      <c r="R192" s="23" t="s">
        <v>114</v>
      </c>
      <c r="S192" s="33">
        <v>0.2</v>
      </c>
      <c r="T192" s="13">
        <v>21.335999999999999</v>
      </c>
      <c r="U192" s="13">
        <v>7.7343000000000002</v>
      </c>
      <c r="V192" s="55">
        <f>Table3[[#This Row],[Profit]]/Table3[[#This Row],[Sales]]</f>
        <v>0.36250000000000004</v>
      </c>
    </row>
    <row r="193" spans="1:22" x14ac:dyDescent="0.2">
      <c r="A193">
        <v>192</v>
      </c>
      <c r="B193" t="s">
        <v>5671</v>
      </c>
      <c r="C193" s="1">
        <v>42777</v>
      </c>
      <c r="D193" s="22">
        <f>MONTH(Table3[[#This Row],[Order Date]])</f>
        <v>2</v>
      </c>
      <c r="E193" t="s">
        <v>5673</v>
      </c>
      <c r="F193" t="s">
        <v>5674</v>
      </c>
      <c r="G193" s="23" t="s">
        <v>28</v>
      </c>
      <c r="H193" s="23" t="s">
        <v>32</v>
      </c>
      <c r="I193" t="s">
        <v>5672</v>
      </c>
      <c r="J193" t="s">
        <v>36</v>
      </c>
      <c r="K193" s="22">
        <v>4</v>
      </c>
      <c r="L193" s="1">
        <v>42779</v>
      </c>
      <c r="M193" s="22">
        <f>Table3[[#This Row],[Ship Date]]-Table3[[#This Row],[Order Date]]</f>
        <v>2</v>
      </c>
      <c r="N193" s="23" t="s">
        <v>20</v>
      </c>
      <c r="O193" s="23" t="s">
        <v>23</v>
      </c>
      <c r="P193" s="23" t="s">
        <v>87</v>
      </c>
      <c r="Q193" s="23" t="s">
        <v>39</v>
      </c>
      <c r="R193" s="23" t="s">
        <v>86</v>
      </c>
      <c r="S193" s="33">
        <v>0.2</v>
      </c>
      <c r="T193" s="13">
        <v>963.13599999999997</v>
      </c>
      <c r="U193" s="13">
        <v>108.3528</v>
      </c>
      <c r="V193" s="55">
        <f>Table3[[#This Row],[Profit]]/Table3[[#This Row],[Sales]]</f>
        <v>0.1125</v>
      </c>
    </row>
    <row r="194" spans="1:22" x14ac:dyDescent="0.2">
      <c r="A194">
        <v>193</v>
      </c>
      <c r="B194" t="s">
        <v>5671</v>
      </c>
      <c r="C194" s="1">
        <v>42777</v>
      </c>
      <c r="D194" s="22">
        <f>MONTH(Table3[[#This Row],[Order Date]])</f>
        <v>2</v>
      </c>
      <c r="E194" t="s">
        <v>2352</v>
      </c>
      <c r="F194" t="s">
        <v>2353</v>
      </c>
      <c r="G194" s="23" t="s">
        <v>64</v>
      </c>
      <c r="H194" s="23" t="s">
        <v>65</v>
      </c>
      <c r="I194" t="s">
        <v>5672</v>
      </c>
      <c r="J194" t="s">
        <v>36</v>
      </c>
      <c r="K194" s="22">
        <v>3</v>
      </c>
      <c r="L194" s="1">
        <v>42779</v>
      </c>
      <c r="M194" s="22">
        <f>Table3[[#This Row],[Ship Date]]-Table3[[#This Row],[Order Date]]</f>
        <v>2</v>
      </c>
      <c r="N194" s="23" t="s">
        <v>20</v>
      </c>
      <c r="O194" s="23" t="s">
        <v>23</v>
      </c>
      <c r="P194" s="23" t="s">
        <v>87</v>
      </c>
      <c r="Q194" s="23" t="s">
        <v>39</v>
      </c>
      <c r="R194" s="23" t="s">
        <v>86</v>
      </c>
      <c r="S194" s="33">
        <v>0.2</v>
      </c>
      <c r="T194" s="13">
        <v>88.775999999999996</v>
      </c>
      <c r="U194" s="13">
        <v>7.7679</v>
      </c>
      <c r="V194" s="55">
        <f>Table3[[#This Row],[Profit]]/Table3[[#This Row],[Sales]]</f>
        <v>8.7500000000000008E-2</v>
      </c>
    </row>
    <row r="195" spans="1:22" x14ac:dyDescent="0.2">
      <c r="A195">
        <v>194</v>
      </c>
      <c r="B195" t="s">
        <v>9279</v>
      </c>
      <c r="C195" s="1">
        <v>42777</v>
      </c>
      <c r="D195" s="22">
        <f>MONTH(Table3[[#This Row],[Order Date]])</f>
        <v>2</v>
      </c>
      <c r="E195" t="s">
        <v>1675</v>
      </c>
      <c r="F195" t="s">
        <v>1676</v>
      </c>
      <c r="G195" s="23" t="s">
        <v>41</v>
      </c>
      <c r="H195" s="23" t="s">
        <v>42</v>
      </c>
      <c r="I195" t="s">
        <v>1046</v>
      </c>
      <c r="J195" t="s">
        <v>36</v>
      </c>
      <c r="K195" s="22">
        <v>2</v>
      </c>
      <c r="L195" s="1">
        <v>42781</v>
      </c>
      <c r="M195" s="22">
        <f>Table3[[#This Row],[Ship Date]]-Table3[[#This Row],[Order Date]]</f>
        <v>4</v>
      </c>
      <c r="N195" s="23" t="s">
        <v>45</v>
      </c>
      <c r="O195" s="23" t="s">
        <v>23</v>
      </c>
      <c r="P195" s="23" t="s">
        <v>238</v>
      </c>
      <c r="Q195" s="23" t="s">
        <v>133</v>
      </c>
      <c r="R195" s="23" t="s">
        <v>237</v>
      </c>
      <c r="S195" s="33">
        <v>0</v>
      </c>
      <c r="T195" s="13">
        <v>20.7</v>
      </c>
      <c r="U195" s="13">
        <v>9.9359999999999999</v>
      </c>
      <c r="V195" s="55">
        <f>Table3[[#This Row],[Profit]]/Table3[[#This Row],[Sales]]</f>
        <v>0.48000000000000004</v>
      </c>
    </row>
    <row r="196" spans="1:22" x14ac:dyDescent="0.2">
      <c r="A196">
        <v>195</v>
      </c>
      <c r="B196" t="s">
        <v>9719</v>
      </c>
      <c r="C196" s="1">
        <v>42777</v>
      </c>
      <c r="D196" s="22">
        <f>MONTH(Table3[[#This Row],[Order Date]])</f>
        <v>2</v>
      </c>
      <c r="E196" t="s">
        <v>2535</v>
      </c>
      <c r="F196" t="s">
        <v>2536</v>
      </c>
      <c r="G196" s="23" t="s">
        <v>28</v>
      </c>
      <c r="H196" s="23" t="s">
        <v>58</v>
      </c>
      <c r="I196" t="s">
        <v>4421</v>
      </c>
      <c r="J196" t="s">
        <v>22</v>
      </c>
      <c r="K196" s="22">
        <v>2</v>
      </c>
      <c r="L196" s="1">
        <v>42780</v>
      </c>
      <c r="M196" s="22">
        <f>Table3[[#This Row],[Ship Date]]-Table3[[#This Row],[Order Date]]</f>
        <v>3</v>
      </c>
      <c r="N196" s="23" t="s">
        <v>169</v>
      </c>
      <c r="O196" s="23" t="s">
        <v>23</v>
      </c>
      <c r="P196" s="23" t="s">
        <v>441</v>
      </c>
      <c r="Q196" s="23" t="s">
        <v>133</v>
      </c>
      <c r="R196" s="23" t="s">
        <v>440</v>
      </c>
      <c r="S196" s="33">
        <v>0.2</v>
      </c>
      <c r="T196" s="13">
        <v>147.56800000000001</v>
      </c>
      <c r="U196" s="13">
        <v>-3.6892</v>
      </c>
      <c r="V196" s="55">
        <f>Table3[[#This Row],[Profit]]/Table3[[#This Row],[Sales]]</f>
        <v>-2.4999999999999998E-2</v>
      </c>
    </row>
    <row r="197" spans="1:22" x14ac:dyDescent="0.2">
      <c r="A197">
        <v>196</v>
      </c>
      <c r="B197" t="s">
        <v>5237</v>
      </c>
      <c r="C197" s="1">
        <v>42779</v>
      </c>
      <c r="D197" s="22">
        <f>MONTH(Table3[[#This Row],[Order Date]])</f>
        <v>2</v>
      </c>
      <c r="E197" t="s">
        <v>566</v>
      </c>
      <c r="F197" t="s">
        <v>567</v>
      </c>
      <c r="G197" s="23" t="s">
        <v>41</v>
      </c>
      <c r="H197" s="23" t="s">
        <v>61</v>
      </c>
      <c r="I197" t="s">
        <v>5238</v>
      </c>
      <c r="J197" t="s">
        <v>22</v>
      </c>
      <c r="K197" s="22">
        <v>3</v>
      </c>
      <c r="L197" s="1">
        <v>42785</v>
      </c>
      <c r="M197" s="22">
        <f>Table3[[#This Row],[Ship Date]]-Table3[[#This Row],[Order Date]]</f>
        <v>6</v>
      </c>
      <c r="N197" s="23" t="s">
        <v>45</v>
      </c>
      <c r="O197" s="23" t="s">
        <v>23</v>
      </c>
      <c r="P197" s="23" t="s">
        <v>87</v>
      </c>
      <c r="Q197" s="23" t="s">
        <v>39</v>
      </c>
      <c r="R197" s="23" t="s">
        <v>86</v>
      </c>
      <c r="S197" s="33">
        <v>0</v>
      </c>
      <c r="T197" s="13">
        <v>6.63</v>
      </c>
      <c r="U197" s="13">
        <v>1.7901</v>
      </c>
      <c r="V197" s="55">
        <f>Table3[[#This Row],[Profit]]/Table3[[#This Row],[Sales]]</f>
        <v>0.27</v>
      </c>
    </row>
    <row r="198" spans="1:22" x14ac:dyDescent="0.2">
      <c r="A198">
        <v>197</v>
      </c>
      <c r="B198" t="s">
        <v>5237</v>
      </c>
      <c r="C198" s="1">
        <v>42779</v>
      </c>
      <c r="D198" s="22">
        <f>MONTH(Table3[[#This Row],[Order Date]])</f>
        <v>2</v>
      </c>
      <c r="E198" t="s">
        <v>2238</v>
      </c>
      <c r="F198" t="s">
        <v>2239</v>
      </c>
      <c r="G198" s="23" t="s">
        <v>64</v>
      </c>
      <c r="H198" s="23" t="s">
        <v>144</v>
      </c>
      <c r="I198" t="s">
        <v>5238</v>
      </c>
      <c r="J198" t="s">
        <v>22</v>
      </c>
      <c r="K198" s="22">
        <v>4</v>
      </c>
      <c r="L198" s="1">
        <v>42785</v>
      </c>
      <c r="M198" s="22">
        <f>Table3[[#This Row],[Ship Date]]-Table3[[#This Row],[Order Date]]</f>
        <v>6</v>
      </c>
      <c r="N198" s="23" t="s">
        <v>45</v>
      </c>
      <c r="O198" s="23" t="s">
        <v>23</v>
      </c>
      <c r="P198" s="23" t="s">
        <v>87</v>
      </c>
      <c r="Q198" s="23" t="s">
        <v>39</v>
      </c>
      <c r="R198" s="23" t="s">
        <v>86</v>
      </c>
      <c r="S198" s="33">
        <v>0</v>
      </c>
      <c r="T198" s="13">
        <v>799.96</v>
      </c>
      <c r="U198" s="13">
        <v>343.9828</v>
      </c>
      <c r="V198" s="55">
        <f>Table3[[#This Row],[Profit]]/Table3[[#This Row],[Sales]]</f>
        <v>0.43</v>
      </c>
    </row>
    <row r="199" spans="1:22" x14ac:dyDescent="0.2">
      <c r="A199">
        <v>198</v>
      </c>
      <c r="B199" t="s">
        <v>5237</v>
      </c>
      <c r="C199" s="1">
        <v>42779</v>
      </c>
      <c r="D199" s="22">
        <f>MONTH(Table3[[#This Row],[Order Date]])</f>
        <v>2</v>
      </c>
      <c r="E199" t="s">
        <v>798</v>
      </c>
      <c r="F199" t="s">
        <v>799</v>
      </c>
      <c r="G199" s="23" t="s">
        <v>28</v>
      </c>
      <c r="H199" s="23" t="s">
        <v>58</v>
      </c>
      <c r="I199" t="s">
        <v>5238</v>
      </c>
      <c r="J199" t="s">
        <v>22</v>
      </c>
      <c r="K199" s="22">
        <v>1</v>
      </c>
      <c r="L199" s="1">
        <v>42785</v>
      </c>
      <c r="M199" s="22">
        <f>Table3[[#This Row],[Ship Date]]-Table3[[#This Row],[Order Date]]</f>
        <v>6</v>
      </c>
      <c r="N199" s="23" t="s">
        <v>45</v>
      </c>
      <c r="O199" s="23" t="s">
        <v>23</v>
      </c>
      <c r="P199" s="23" t="s">
        <v>87</v>
      </c>
      <c r="Q199" s="23" t="s">
        <v>39</v>
      </c>
      <c r="R199" s="23" t="s">
        <v>86</v>
      </c>
      <c r="S199" s="33">
        <v>0</v>
      </c>
      <c r="T199" s="13">
        <v>107.53</v>
      </c>
      <c r="U199" s="13">
        <v>21.506</v>
      </c>
      <c r="V199" s="55">
        <f>Table3[[#This Row],[Profit]]/Table3[[#This Row],[Sales]]</f>
        <v>0.2</v>
      </c>
    </row>
    <row r="200" spans="1:22" x14ac:dyDescent="0.2">
      <c r="A200">
        <v>199</v>
      </c>
      <c r="B200" t="s">
        <v>7594</v>
      </c>
      <c r="C200" s="1">
        <v>42779</v>
      </c>
      <c r="D200" s="22">
        <f>MONTH(Table3[[#This Row],[Order Date]])</f>
        <v>2</v>
      </c>
      <c r="E200" t="s">
        <v>3719</v>
      </c>
      <c r="F200" t="s">
        <v>3720</v>
      </c>
      <c r="G200" s="23" t="s">
        <v>41</v>
      </c>
      <c r="H200" s="23" t="s">
        <v>513</v>
      </c>
      <c r="I200" t="s">
        <v>5168</v>
      </c>
      <c r="J200" t="s">
        <v>22</v>
      </c>
      <c r="K200" s="22">
        <v>3</v>
      </c>
      <c r="L200" s="1">
        <v>42786</v>
      </c>
      <c r="M200" s="22">
        <f>Table3[[#This Row],[Ship Date]]-Table3[[#This Row],[Order Date]]</f>
        <v>7</v>
      </c>
      <c r="N200" s="23" t="s">
        <v>45</v>
      </c>
      <c r="O200" s="23" t="s">
        <v>23</v>
      </c>
      <c r="P200" s="23" t="s">
        <v>2408</v>
      </c>
      <c r="Q200" s="23" t="s">
        <v>133</v>
      </c>
      <c r="R200" s="23" t="s">
        <v>3967</v>
      </c>
      <c r="S200" s="33">
        <v>0</v>
      </c>
      <c r="T200" s="13">
        <v>25.02</v>
      </c>
      <c r="U200" s="13">
        <v>6.5052000000000003</v>
      </c>
      <c r="V200" s="55">
        <f>Table3[[#This Row],[Profit]]/Table3[[#This Row],[Sales]]</f>
        <v>0.26</v>
      </c>
    </row>
    <row r="201" spans="1:22" x14ac:dyDescent="0.2">
      <c r="A201">
        <v>200</v>
      </c>
      <c r="B201" t="s">
        <v>7594</v>
      </c>
      <c r="C201" s="1">
        <v>42779</v>
      </c>
      <c r="D201" s="22">
        <f>MONTH(Table3[[#This Row],[Order Date]])</f>
        <v>2</v>
      </c>
      <c r="E201" t="s">
        <v>7490</v>
      </c>
      <c r="F201" t="s">
        <v>7491</v>
      </c>
      <c r="G201" s="23" t="s">
        <v>41</v>
      </c>
      <c r="H201" s="23" t="s">
        <v>61</v>
      </c>
      <c r="I201" t="s">
        <v>5168</v>
      </c>
      <c r="J201" t="s">
        <v>22</v>
      </c>
      <c r="K201" s="22">
        <v>3</v>
      </c>
      <c r="L201" s="1">
        <v>42786</v>
      </c>
      <c r="M201" s="22">
        <f>Table3[[#This Row],[Ship Date]]-Table3[[#This Row],[Order Date]]</f>
        <v>7</v>
      </c>
      <c r="N201" s="23" t="s">
        <v>45</v>
      </c>
      <c r="O201" s="23" t="s">
        <v>23</v>
      </c>
      <c r="P201" s="23" t="s">
        <v>2408</v>
      </c>
      <c r="Q201" s="23" t="s">
        <v>133</v>
      </c>
      <c r="R201" s="23" t="s">
        <v>3967</v>
      </c>
      <c r="S201" s="33">
        <v>0</v>
      </c>
      <c r="T201" s="13">
        <v>10.71</v>
      </c>
      <c r="U201" s="13">
        <v>2.7846000000000002</v>
      </c>
      <c r="V201" s="55">
        <f>Table3[[#This Row],[Profit]]/Table3[[#This Row],[Sales]]</f>
        <v>0.26</v>
      </c>
    </row>
    <row r="202" spans="1:22" x14ac:dyDescent="0.2">
      <c r="A202">
        <v>201</v>
      </c>
      <c r="B202" t="s">
        <v>8518</v>
      </c>
      <c r="C202" s="1">
        <v>42779</v>
      </c>
      <c r="D202" s="22">
        <f>MONTH(Table3[[#This Row],[Order Date]])</f>
        <v>2</v>
      </c>
      <c r="E202" t="s">
        <v>4830</v>
      </c>
      <c r="F202" t="s">
        <v>4831</v>
      </c>
      <c r="G202" s="23" t="s">
        <v>41</v>
      </c>
      <c r="H202" s="23" t="s">
        <v>82</v>
      </c>
      <c r="I202" t="s">
        <v>5661</v>
      </c>
      <c r="J202" t="s">
        <v>36</v>
      </c>
      <c r="K202" s="22">
        <v>3</v>
      </c>
      <c r="L202" s="1">
        <v>42783</v>
      </c>
      <c r="M202" s="22">
        <f>Table3[[#This Row],[Ship Date]]-Table3[[#This Row],[Order Date]]</f>
        <v>4</v>
      </c>
      <c r="N202" s="23" t="s">
        <v>45</v>
      </c>
      <c r="O202" s="23" t="s">
        <v>23</v>
      </c>
      <c r="P202" s="23" t="s">
        <v>238</v>
      </c>
      <c r="Q202" s="23" t="s">
        <v>133</v>
      </c>
      <c r="R202" s="23" t="s">
        <v>237</v>
      </c>
      <c r="S202" s="33">
        <v>0</v>
      </c>
      <c r="T202" s="13">
        <v>17.940000000000001</v>
      </c>
      <c r="U202" s="13">
        <v>8.7905999999999995</v>
      </c>
      <c r="V202" s="55">
        <f>Table3[[#This Row],[Profit]]/Table3[[#This Row],[Sales]]</f>
        <v>0.48999999999999994</v>
      </c>
    </row>
    <row r="203" spans="1:22" x14ac:dyDescent="0.2">
      <c r="A203">
        <v>202</v>
      </c>
      <c r="B203" t="s">
        <v>9958</v>
      </c>
      <c r="C203" s="1">
        <v>42779</v>
      </c>
      <c r="D203" s="22">
        <f>MONTH(Table3[[#This Row],[Order Date]])</f>
        <v>2</v>
      </c>
      <c r="E203" t="s">
        <v>4264</v>
      </c>
      <c r="F203" t="s">
        <v>4265</v>
      </c>
      <c r="G203" s="23" t="s">
        <v>41</v>
      </c>
      <c r="H203" s="23" t="s">
        <v>71</v>
      </c>
      <c r="I203" t="s">
        <v>5960</v>
      </c>
      <c r="J203" t="s">
        <v>22</v>
      </c>
      <c r="K203" s="22">
        <v>8</v>
      </c>
      <c r="L203" s="1">
        <v>42783</v>
      </c>
      <c r="M203" s="22">
        <f>Table3[[#This Row],[Ship Date]]-Table3[[#This Row],[Order Date]]</f>
        <v>4</v>
      </c>
      <c r="N203" s="23" t="s">
        <v>45</v>
      </c>
      <c r="O203" s="23" t="s">
        <v>23</v>
      </c>
      <c r="P203" s="23" t="s">
        <v>204</v>
      </c>
      <c r="Q203" s="23" t="s">
        <v>95</v>
      </c>
      <c r="R203" s="23" t="s">
        <v>364</v>
      </c>
      <c r="S203" s="33">
        <v>0</v>
      </c>
      <c r="T203" s="13">
        <v>90.64</v>
      </c>
      <c r="U203" s="13">
        <v>38.975200000000001</v>
      </c>
      <c r="V203" s="55">
        <f>Table3[[#This Row],[Profit]]/Table3[[#This Row],[Sales]]</f>
        <v>0.43</v>
      </c>
    </row>
    <row r="204" spans="1:22" x14ac:dyDescent="0.2">
      <c r="A204">
        <v>203</v>
      </c>
      <c r="B204" t="s">
        <v>6211</v>
      </c>
      <c r="C204" s="1">
        <v>42782</v>
      </c>
      <c r="D204" s="22">
        <f>MONTH(Table3[[#This Row],[Order Date]])</f>
        <v>2</v>
      </c>
      <c r="E204" t="s">
        <v>1453</v>
      </c>
      <c r="F204" t="s">
        <v>1454</v>
      </c>
      <c r="G204" s="23" t="s">
        <v>41</v>
      </c>
      <c r="H204" s="23" t="s">
        <v>82</v>
      </c>
      <c r="I204" t="s">
        <v>1252</v>
      </c>
      <c r="J204" t="s">
        <v>22</v>
      </c>
      <c r="K204" s="22">
        <v>2</v>
      </c>
      <c r="L204" s="1">
        <v>42786</v>
      </c>
      <c r="M204" s="22">
        <f>Table3[[#This Row],[Ship Date]]-Table3[[#This Row],[Order Date]]</f>
        <v>4</v>
      </c>
      <c r="N204" s="23" t="s">
        <v>45</v>
      </c>
      <c r="O204" s="23" t="s">
        <v>23</v>
      </c>
      <c r="P204" s="23" t="s">
        <v>238</v>
      </c>
      <c r="Q204" s="23" t="s">
        <v>133</v>
      </c>
      <c r="R204" s="23" t="s">
        <v>237</v>
      </c>
      <c r="S204" s="33">
        <v>0</v>
      </c>
      <c r="T204" s="13">
        <v>37.94</v>
      </c>
      <c r="U204" s="13">
        <v>18.211200000000002</v>
      </c>
      <c r="V204" s="55">
        <f>Table3[[#This Row],[Profit]]/Table3[[#This Row],[Sales]]</f>
        <v>0.48000000000000009</v>
      </c>
    </row>
    <row r="205" spans="1:22" x14ac:dyDescent="0.2">
      <c r="A205">
        <v>204</v>
      </c>
      <c r="B205" t="s">
        <v>8056</v>
      </c>
      <c r="C205" s="1">
        <v>42782</v>
      </c>
      <c r="D205" s="22">
        <f>MONTH(Table3[[#This Row],[Order Date]])</f>
        <v>2</v>
      </c>
      <c r="E205" t="s">
        <v>6765</v>
      </c>
      <c r="F205" t="s">
        <v>6766</v>
      </c>
      <c r="G205" s="23" t="s">
        <v>41</v>
      </c>
      <c r="H205" s="23" t="s">
        <v>53</v>
      </c>
      <c r="I205" t="s">
        <v>1800</v>
      </c>
      <c r="J205" t="s">
        <v>36</v>
      </c>
      <c r="K205" s="22">
        <v>3</v>
      </c>
      <c r="L205" s="1">
        <v>42787</v>
      </c>
      <c r="M205" s="22">
        <f>Table3[[#This Row],[Ship Date]]-Table3[[#This Row],[Order Date]]</f>
        <v>5</v>
      </c>
      <c r="N205" s="23" t="s">
        <v>45</v>
      </c>
      <c r="O205" s="23" t="s">
        <v>23</v>
      </c>
      <c r="P205" s="23" t="s">
        <v>660</v>
      </c>
      <c r="Q205" s="23" t="s">
        <v>133</v>
      </c>
      <c r="R205" s="23" t="s">
        <v>659</v>
      </c>
      <c r="S205" s="33">
        <v>0</v>
      </c>
      <c r="T205" s="13">
        <v>579.51</v>
      </c>
      <c r="U205" s="13">
        <v>81.131399999999999</v>
      </c>
      <c r="V205" s="55">
        <f>Table3[[#This Row],[Profit]]/Table3[[#This Row],[Sales]]</f>
        <v>0.14000000000000001</v>
      </c>
    </row>
    <row r="206" spans="1:22" x14ac:dyDescent="0.2">
      <c r="A206">
        <v>205</v>
      </c>
      <c r="B206" t="s">
        <v>8056</v>
      </c>
      <c r="C206" s="1">
        <v>42782</v>
      </c>
      <c r="D206" s="22">
        <f>MONTH(Table3[[#This Row],[Order Date]])</f>
        <v>2</v>
      </c>
      <c r="E206" t="s">
        <v>4467</v>
      </c>
      <c r="F206" t="s">
        <v>4468</v>
      </c>
      <c r="G206" s="23" t="s">
        <v>64</v>
      </c>
      <c r="H206" s="23" t="s">
        <v>65</v>
      </c>
      <c r="I206" t="s">
        <v>1800</v>
      </c>
      <c r="J206" t="s">
        <v>36</v>
      </c>
      <c r="K206" s="22">
        <v>1</v>
      </c>
      <c r="L206" s="1">
        <v>42787</v>
      </c>
      <c r="M206" s="22">
        <f>Table3[[#This Row],[Ship Date]]-Table3[[#This Row],[Order Date]]</f>
        <v>5</v>
      </c>
      <c r="N206" s="23" t="s">
        <v>45</v>
      </c>
      <c r="O206" s="23" t="s">
        <v>23</v>
      </c>
      <c r="P206" s="23" t="s">
        <v>660</v>
      </c>
      <c r="Q206" s="23" t="s">
        <v>133</v>
      </c>
      <c r="R206" s="23" t="s">
        <v>659</v>
      </c>
      <c r="S206" s="33">
        <v>0</v>
      </c>
      <c r="T206" s="13">
        <v>14.99</v>
      </c>
      <c r="U206" s="13">
        <v>7.3451000000000004</v>
      </c>
      <c r="V206" s="55">
        <f>Table3[[#This Row],[Profit]]/Table3[[#This Row],[Sales]]</f>
        <v>0.49000000000000005</v>
      </c>
    </row>
    <row r="207" spans="1:22" x14ac:dyDescent="0.2">
      <c r="A207">
        <v>206</v>
      </c>
      <c r="B207" t="s">
        <v>9391</v>
      </c>
      <c r="C207" s="1">
        <v>42782</v>
      </c>
      <c r="D207" s="22">
        <f>MONTH(Table3[[#This Row],[Order Date]])</f>
        <v>2</v>
      </c>
      <c r="E207" t="s">
        <v>963</v>
      </c>
      <c r="F207" t="s">
        <v>964</v>
      </c>
      <c r="G207" s="23" t="s">
        <v>41</v>
      </c>
      <c r="H207" s="23" t="s">
        <v>240</v>
      </c>
      <c r="I207" t="s">
        <v>4316</v>
      </c>
      <c r="J207" t="s">
        <v>22</v>
      </c>
      <c r="K207" s="22">
        <v>2</v>
      </c>
      <c r="L207" s="1">
        <v>42787</v>
      </c>
      <c r="M207" s="22">
        <f>Table3[[#This Row],[Ship Date]]-Table3[[#This Row],[Order Date]]</f>
        <v>5</v>
      </c>
      <c r="N207" s="23" t="s">
        <v>45</v>
      </c>
      <c r="O207" s="23" t="s">
        <v>23</v>
      </c>
      <c r="P207" s="23" t="s">
        <v>189</v>
      </c>
      <c r="Q207" s="23" t="s">
        <v>95</v>
      </c>
      <c r="R207" s="23" t="s">
        <v>319</v>
      </c>
      <c r="S207" s="33">
        <v>0.2</v>
      </c>
      <c r="T207" s="13">
        <v>18.367999999999999</v>
      </c>
      <c r="U207" s="13">
        <v>6.1992000000000003</v>
      </c>
      <c r="V207" s="55">
        <f>Table3[[#This Row],[Profit]]/Table3[[#This Row],[Sales]]</f>
        <v>0.33750000000000002</v>
      </c>
    </row>
    <row r="208" spans="1:22" x14ac:dyDescent="0.2">
      <c r="A208">
        <v>207</v>
      </c>
      <c r="B208" t="s">
        <v>9391</v>
      </c>
      <c r="C208" s="1">
        <v>42782</v>
      </c>
      <c r="D208" s="22">
        <f>MONTH(Table3[[#This Row],[Order Date]])</f>
        <v>2</v>
      </c>
      <c r="E208" t="s">
        <v>472</v>
      </c>
      <c r="F208" t="s">
        <v>473</v>
      </c>
      <c r="G208" s="23" t="s">
        <v>28</v>
      </c>
      <c r="H208" s="23" t="s">
        <v>32</v>
      </c>
      <c r="I208" t="s">
        <v>4316</v>
      </c>
      <c r="J208" t="s">
        <v>22</v>
      </c>
      <c r="K208" s="22">
        <v>3</v>
      </c>
      <c r="L208" s="1">
        <v>42787</v>
      </c>
      <c r="M208" s="22">
        <f>Table3[[#This Row],[Ship Date]]-Table3[[#This Row],[Order Date]]</f>
        <v>5</v>
      </c>
      <c r="N208" s="23" t="s">
        <v>45</v>
      </c>
      <c r="O208" s="23" t="s">
        <v>23</v>
      </c>
      <c r="P208" s="23" t="s">
        <v>189</v>
      </c>
      <c r="Q208" s="23" t="s">
        <v>95</v>
      </c>
      <c r="R208" s="23" t="s">
        <v>319</v>
      </c>
      <c r="S208" s="33">
        <v>0.3</v>
      </c>
      <c r="T208" s="13">
        <v>600.55799999999999</v>
      </c>
      <c r="U208" s="13">
        <v>-8.5793999999999997</v>
      </c>
      <c r="V208" s="55">
        <f>Table3[[#This Row],[Profit]]/Table3[[#This Row],[Sales]]</f>
        <v>-1.4285714285714285E-2</v>
      </c>
    </row>
    <row r="209" spans="1:22" x14ac:dyDescent="0.2">
      <c r="A209">
        <v>208</v>
      </c>
      <c r="B209" t="s">
        <v>9391</v>
      </c>
      <c r="C209" s="1">
        <v>42782</v>
      </c>
      <c r="D209" s="22">
        <f>MONTH(Table3[[#This Row],[Order Date]])</f>
        <v>2</v>
      </c>
      <c r="E209" t="s">
        <v>733</v>
      </c>
      <c r="F209" t="s">
        <v>734</v>
      </c>
      <c r="G209" s="23" t="s">
        <v>41</v>
      </c>
      <c r="H209" s="23" t="s">
        <v>53</v>
      </c>
      <c r="I209" t="s">
        <v>4316</v>
      </c>
      <c r="J209" t="s">
        <v>22</v>
      </c>
      <c r="K209" s="22">
        <v>3</v>
      </c>
      <c r="L209" s="1">
        <v>42787</v>
      </c>
      <c r="M209" s="22">
        <f>Table3[[#This Row],[Ship Date]]-Table3[[#This Row],[Order Date]]</f>
        <v>5</v>
      </c>
      <c r="N209" s="23" t="s">
        <v>45</v>
      </c>
      <c r="O209" s="23" t="s">
        <v>23</v>
      </c>
      <c r="P209" s="23" t="s">
        <v>189</v>
      </c>
      <c r="Q209" s="23" t="s">
        <v>95</v>
      </c>
      <c r="R209" s="23" t="s">
        <v>319</v>
      </c>
      <c r="S209" s="33">
        <v>0.2</v>
      </c>
      <c r="T209" s="13">
        <v>50.351999999999997</v>
      </c>
      <c r="U209" s="13">
        <v>-8.1821999999999999</v>
      </c>
      <c r="V209" s="55">
        <f>Table3[[#This Row],[Profit]]/Table3[[#This Row],[Sales]]</f>
        <v>-0.16250000000000001</v>
      </c>
    </row>
    <row r="210" spans="1:22" x14ac:dyDescent="0.2">
      <c r="A210">
        <v>209</v>
      </c>
      <c r="B210" t="s">
        <v>9391</v>
      </c>
      <c r="C210" s="1">
        <v>42782</v>
      </c>
      <c r="D210" s="22">
        <f>MONTH(Table3[[#This Row],[Order Date]])</f>
        <v>2</v>
      </c>
      <c r="E210" t="s">
        <v>1754</v>
      </c>
      <c r="F210" t="s">
        <v>1755</v>
      </c>
      <c r="G210" s="23" t="s">
        <v>41</v>
      </c>
      <c r="H210" s="23" t="s">
        <v>61</v>
      </c>
      <c r="I210" t="s">
        <v>4316</v>
      </c>
      <c r="J210" t="s">
        <v>22</v>
      </c>
      <c r="K210" s="22">
        <v>6</v>
      </c>
      <c r="L210" s="1">
        <v>42787</v>
      </c>
      <c r="M210" s="22">
        <f>Table3[[#This Row],[Ship Date]]-Table3[[#This Row],[Order Date]]</f>
        <v>5</v>
      </c>
      <c r="N210" s="23" t="s">
        <v>45</v>
      </c>
      <c r="O210" s="23" t="s">
        <v>23</v>
      </c>
      <c r="P210" s="23" t="s">
        <v>189</v>
      </c>
      <c r="Q210" s="23" t="s">
        <v>95</v>
      </c>
      <c r="R210" s="23" t="s">
        <v>319</v>
      </c>
      <c r="S210" s="33">
        <v>0.2</v>
      </c>
      <c r="T210" s="13">
        <v>28.032</v>
      </c>
      <c r="U210" s="13">
        <v>3.504</v>
      </c>
      <c r="V210" s="55">
        <f>Table3[[#This Row],[Profit]]/Table3[[#This Row],[Sales]]</f>
        <v>0.125</v>
      </c>
    </row>
    <row r="211" spans="1:22" x14ac:dyDescent="0.2">
      <c r="A211">
        <v>210</v>
      </c>
      <c r="B211" t="s">
        <v>9391</v>
      </c>
      <c r="C211" s="1">
        <v>42782</v>
      </c>
      <c r="D211" s="22">
        <f>MONTH(Table3[[#This Row],[Order Date]])</f>
        <v>2</v>
      </c>
      <c r="E211" t="s">
        <v>3490</v>
      </c>
      <c r="F211" t="s">
        <v>5133</v>
      </c>
      <c r="G211" s="23" t="s">
        <v>28</v>
      </c>
      <c r="H211" s="23" t="s">
        <v>58</v>
      </c>
      <c r="I211" t="s">
        <v>4316</v>
      </c>
      <c r="J211" t="s">
        <v>22</v>
      </c>
      <c r="K211" s="22">
        <v>1</v>
      </c>
      <c r="L211" s="1">
        <v>42787</v>
      </c>
      <c r="M211" s="22">
        <f>Table3[[#This Row],[Ship Date]]-Table3[[#This Row],[Order Date]]</f>
        <v>5</v>
      </c>
      <c r="N211" s="23" t="s">
        <v>45</v>
      </c>
      <c r="O211" s="23" t="s">
        <v>23</v>
      </c>
      <c r="P211" s="23" t="s">
        <v>189</v>
      </c>
      <c r="Q211" s="23" t="s">
        <v>95</v>
      </c>
      <c r="R211" s="23" t="s">
        <v>319</v>
      </c>
      <c r="S211" s="33">
        <v>0.6</v>
      </c>
      <c r="T211" s="13">
        <v>7.6920000000000002</v>
      </c>
      <c r="U211" s="13">
        <v>-3.6537000000000002</v>
      </c>
      <c r="V211" s="55">
        <f>Table3[[#This Row],[Profit]]/Table3[[#This Row],[Sales]]</f>
        <v>-0.47500000000000003</v>
      </c>
    </row>
    <row r="212" spans="1:22" x14ac:dyDescent="0.2">
      <c r="A212">
        <v>211</v>
      </c>
      <c r="B212" t="s">
        <v>6285</v>
      </c>
      <c r="C212" s="1">
        <v>42783</v>
      </c>
      <c r="D212" s="22">
        <f>MONTH(Table3[[#This Row],[Order Date]])</f>
        <v>2</v>
      </c>
      <c r="E212" t="s">
        <v>2934</v>
      </c>
      <c r="F212" t="s">
        <v>2935</v>
      </c>
      <c r="G212" s="23" t="s">
        <v>28</v>
      </c>
      <c r="H212" s="23" t="s">
        <v>50</v>
      </c>
      <c r="I212" t="s">
        <v>3342</v>
      </c>
      <c r="J212" t="s">
        <v>92</v>
      </c>
      <c r="K212" s="22">
        <v>3</v>
      </c>
      <c r="L212" s="1">
        <v>42788</v>
      </c>
      <c r="M212" s="22">
        <f>Table3[[#This Row],[Ship Date]]-Table3[[#This Row],[Order Date]]</f>
        <v>5</v>
      </c>
      <c r="N212" s="23" t="s">
        <v>45</v>
      </c>
      <c r="O212" s="23" t="s">
        <v>23</v>
      </c>
      <c r="P212" s="23" t="s">
        <v>189</v>
      </c>
      <c r="Q212" s="23" t="s">
        <v>95</v>
      </c>
      <c r="R212" s="23" t="s">
        <v>271</v>
      </c>
      <c r="S212" s="33">
        <v>0.5</v>
      </c>
      <c r="T212" s="13">
        <v>480.96</v>
      </c>
      <c r="U212" s="13">
        <v>-269.33760000000001</v>
      </c>
      <c r="V212" s="55">
        <f>Table3[[#This Row],[Profit]]/Table3[[#This Row],[Sales]]</f>
        <v>-0.56000000000000005</v>
      </c>
    </row>
    <row r="213" spans="1:22" x14ac:dyDescent="0.2">
      <c r="A213">
        <v>212</v>
      </c>
      <c r="B213" t="s">
        <v>6285</v>
      </c>
      <c r="C213" s="1">
        <v>42783</v>
      </c>
      <c r="D213" s="22">
        <f>MONTH(Table3[[#This Row],[Order Date]])</f>
        <v>2</v>
      </c>
      <c r="E213" t="s">
        <v>6286</v>
      </c>
      <c r="F213" t="s">
        <v>6287</v>
      </c>
      <c r="G213" s="23" t="s">
        <v>64</v>
      </c>
      <c r="H213" s="23" t="s">
        <v>65</v>
      </c>
      <c r="I213" t="s">
        <v>3342</v>
      </c>
      <c r="J213" t="s">
        <v>92</v>
      </c>
      <c r="K213" s="22">
        <v>1</v>
      </c>
      <c r="L213" s="1">
        <v>42788</v>
      </c>
      <c r="M213" s="22">
        <f>Table3[[#This Row],[Ship Date]]-Table3[[#This Row],[Order Date]]</f>
        <v>5</v>
      </c>
      <c r="N213" s="23" t="s">
        <v>45</v>
      </c>
      <c r="O213" s="23" t="s">
        <v>23</v>
      </c>
      <c r="P213" s="23" t="s">
        <v>189</v>
      </c>
      <c r="Q213" s="23" t="s">
        <v>95</v>
      </c>
      <c r="R213" s="23" t="s">
        <v>271</v>
      </c>
      <c r="S213" s="33">
        <v>0.2</v>
      </c>
      <c r="T213" s="13">
        <v>124.792</v>
      </c>
      <c r="U213" s="13">
        <v>10.9193</v>
      </c>
      <c r="V213" s="55">
        <f>Table3[[#This Row],[Profit]]/Table3[[#This Row],[Sales]]</f>
        <v>8.7499999999999994E-2</v>
      </c>
    </row>
    <row r="214" spans="1:22" x14ac:dyDescent="0.2">
      <c r="A214">
        <v>213</v>
      </c>
      <c r="B214" t="s">
        <v>6707</v>
      </c>
      <c r="C214" s="1">
        <v>42783</v>
      </c>
      <c r="D214" s="22">
        <f>MONTH(Table3[[#This Row],[Order Date]])</f>
        <v>2</v>
      </c>
      <c r="E214" t="s">
        <v>468</v>
      </c>
      <c r="F214" t="s">
        <v>469</v>
      </c>
      <c r="G214" s="23" t="s">
        <v>64</v>
      </c>
      <c r="H214" s="23" t="s">
        <v>65</v>
      </c>
      <c r="I214" t="s">
        <v>2396</v>
      </c>
      <c r="J214" t="s">
        <v>22</v>
      </c>
      <c r="K214" s="22">
        <v>3</v>
      </c>
      <c r="L214" s="1">
        <v>42787</v>
      </c>
      <c r="M214" s="22">
        <f>Table3[[#This Row],[Ship Date]]-Table3[[#This Row],[Order Date]]</f>
        <v>4</v>
      </c>
      <c r="N214" s="23" t="s">
        <v>20</v>
      </c>
      <c r="O214" s="23" t="s">
        <v>23</v>
      </c>
      <c r="P214" s="23" t="s">
        <v>650</v>
      </c>
      <c r="Q214" s="23" t="s">
        <v>26</v>
      </c>
      <c r="R214" s="23" t="s">
        <v>3766</v>
      </c>
      <c r="S214" s="33">
        <v>0</v>
      </c>
      <c r="T214" s="13">
        <v>29.16</v>
      </c>
      <c r="U214" s="13">
        <v>8.4564000000000004</v>
      </c>
      <c r="V214" s="55">
        <f>Table3[[#This Row],[Profit]]/Table3[[#This Row],[Sales]]</f>
        <v>0.29000000000000004</v>
      </c>
    </row>
    <row r="215" spans="1:22" x14ac:dyDescent="0.2">
      <c r="A215">
        <v>214</v>
      </c>
      <c r="B215" t="s">
        <v>6934</v>
      </c>
      <c r="C215" s="1">
        <v>42783</v>
      </c>
      <c r="D215" s="22">
        <f>MONTH(Table3[[#This Row],[Order Date]])</f>
        <v>2</v>
      </c>
      <c r="E215" t="s">
        <v>3532</v>
      </c>
      <c r="F215" t="s">
        <v>3533</v>
      </c>
      <c r="G215" s="23" t="s">
        <v>41</v>
      </c>
      <c r="H215" s="23" t="s">
        <v>82</v>
      </c>
      <c r="I215" t="s">
        <v>5686</v>
      </c>
      <c r="J215" t="s">
        <v>92</v>
      </c>
      <c r="K215" s="22">
        <v>2</v>
      </c>
      <c r="L215" s="1">
        <v>42789</v>
      </c>
      <c r="M215" s="22">
        <f>Table3[[#This Row],[Ship Date]]-Table3[[#This Row],[Order Date]]</f>
        <v>6</v>
      </c>
      <c r="N215" s="23" t="s">
        <v>45</v>
      </c>
      <c r="O215" s="23" t="s">
        <v>23</v>
      </c>
      <c r="P215" s="23" t="s">
        <v>695</v>
      </c>
      <c r="Q215" s="23" t="s">
        <v>133</v>
      </c>
      <c r="R215" s="23" t="s">
        <v>4366</v>
      </c>
      <c r="S215" s="33">
        <v>0</v>
      </c>
      <c r="T215" s="13">
        <v>11.76</v>
      </c>
      <c r="U215" s="13">
        <v>5.7624000000000004</v>
      </c>
      <c r="V215" s="55">
        <f>Table3[[#This Row],[Profit]]/Table3[[#This Row],[Sales]]</f>
        <v>0.49000000000000005</v>
      </c>
    </row>
    <row r="216" spans="1:22" x14ac:dyDescent="0.2">
      <c r="A216">
        <v>215</v>
      </c>
      <c r="B216" t="s">
        <v>6934</v>
      </c>
      <c r="C216" s="1">
        <v>42783</v>
      </c>
      <c r="D216" s="22">
        <f>MONTH(Table3[[#This Row],[Order Date]])</f>
        <v>2</v>
      </c>
      <c r="E216" t="s">
        <v>4673</v>
      </c>
      <c r="F216" t="s">
        <v>4674</v>
      </c>
      <c r="G216" s="23" t="s">
        <v>41</v>
      </c>
      <c r="H216" s="23" t="s">
        <v>53</v>
      </c>
      <c r="I216" t="s">
        <v>5686</v>
      </c>
      <c r="J216" t="s">
        <v>92</v>
      </c>
      <c r="K216" s="22">
        <v>5</v>
      </c>
      <c r="L216" s="1">
        <v>42789</v>
      </c>
      <c r="M216" s="22">
        <f>Table3[[#This Row],[Ship Date]]-Table3[[#This Row],[Order Date]]</f>
        <v>6</v>
      </c>
      <c r="N216" s="23" t="s">
        <v>45</v>
      </c>
      <c r="O216" s="23" t="s">
        <v>23</v>
      </c>
      <c r="P216" s="23" t="s">
        <v>695</v>
      </c>
      <c r="Q216" s="23" t="s">
        <v>133</v>
      </c>
      <c r="R216" s="23" t="s">
        <v>4366</v>
      </c>
      <c r="S216" s="33">
        <v>0</v>
      </c>
      <c r="T216" s="13">
        <v>166.45</v>
      </c>
      <c r="U216" s="13">
        <v>39.948</v>
      </c>
      <c r="V216" s="55">
        <f>Table3[[#This Row],[Profit]]/Table3[[#This Row],[Sales]]</f>
        <v>0.24000000000000002</v>
      </c>
    </row>
    <row r="217" spans="1:22" x14ac:dyDescent="0.2">
      <c r="A217">
        <v>216</v>
      </c>
      <c r="B217" t="s">
        <v>9052</v>
      </c>
      <c r="C217" s="1">
        <v>42783</v>
      </c>
      <c r="D217" s="22">
        <f>MONTH(Table3[[#This Row],[Order Date]])</f>
        <v>2</v>
      </c>
      <c r="E217" t="s">
        <v>1445</v>
      </c>
      <c r="F217" t="s">
        <v>1446</v>
      </c>
      <c r="G217" s="23" t="s">
        <v>28</v>
      </c>
      <c r="H217" s="23" t="s">
        <v>29</v>
      </c>
      <c r="I217" t="s">
        <v>6549</v>
      </c>
      <c r="J217" t="s">
        <v>92</v>
      </c>
      <c r="K217" s="22">
        <v>1</v>
      </c>
      <c r="L217" s="1">
        <v>42785</v>
      </c>
      <c r="M217" s="22">
        <f>Table3[[#This Row],[Ship Date]]-Table3[[#This Row],[Order Date]]</f>
        <v>2</v>
      </c>
      <c r="N217" s="23" t="s">
        <v>169</v>
      </c>
      <c r="O217" s="23" t="s">
        <v>23</v>
      </c>
      <c r="P217" s="23" t="s">
        <v>94</v>
      </c>
      <c r="Q217" s="23" t="s">
        <v>95</v>
      </c>
      <c r="R217" s="23" t="s">
        <v>165</v>
      </c>
      <c r="S217" s="33">
        <v>0.32</v>
      </c>
      <c r="T217" s="13">
        <v>89.066400000000002</v>
      </c>
      <c r="U217" s="13">
        <v>-17.0274</v>
      </c>
      <c r="V217" s="55">
        <f>Table3[[#This Row],[Profit]]/Table3[[#This Row],[Sales]]</f>
        <v>-0.19117647058823528</v>
      </c>
    </row>
    <row r="218" spans="1:22" x14ac:dyDescent="0.2">
      <c r="A218">
        <v>217</v>
      </c>
      <c r="B218" t="s">
        <v>9052</v>
      </c>
      <c r="C218" s="1">
        <v>42783</v>
      </c>
      <c r="D218" s="22">
        <f>MONTH(Table3[[#This Row],[Order Date]])</f>
        <v>2</v>
      </c>
      <c r="E218" t="s">
        <v>9053</v>
      </c>
      <c r="F218" t="s">
        <v>9054</v>
      </c>
      <c r="G218" s="23" t="s">
        <v>41</v>
      </c>
      <c r="H218" s="23" t="s">
        <v>61</v>
      </c>
      <c r="I218" t="s">
        <v>6549</v>
      </c>
      <c r="J218" t="s">
        <v>92</v>
      </c>
      <c r="K218" s="22">
        <v>6</v>
      </c>
      <c r="L218" s="1">
        <v>42785</v>
      </c>
      <c r="M218" s="22">
        <f>Table3[[#This Row],[Ship Date]]-Table3[[#This Row],[Order Date]]</f>
        <v>2</v>
      </c>
      <c r="N218" s="23" t="s">
        <v>169</v>
      </c>
      <c r="O218" s="23" t="s">
        <v>23</v>
      </c>
      <c r="P218" s="23" t="s">
        <v>94</v>
      </c>
      <c r="Q218" s="23" t="s">
        <v>95</v>
      </c>
      <c r="R218" s="23" t="s">
        <v>165</v>
      </c>
      <c r="S218" s="33">
        <v>0.2</v>
      </c>
      <c r="T218" s="13">
        <v>175.44</v>
      </c>
      <c r="U218" s="13">
        <v>52.631999999999998</v>
      </c>
      <c r="V218" s="55">
        <f>Table3[[#This Row],[Profit]]/Table3[[#This Row],[Sales]]</f>
        <v>0.3</v>
      </c>
    </row>
    <row r="219" spans="1:22" x14ac:dyDescent="0.2">
      <c r="A219">
        <v>218</v>
      </c>
      <c r="B219" t="s">
        <v>9052</v>
      </c>
      <c r="C219" s="1">
        <v>42783</v>
      </c>
      <c r="D219" s="22">
        <f>MONTH(Table3[[#This Row],[Order Date]])</f>
        <v>2</v>
      </c>
      <c r="E219" t="s">
        <v>3776</v>
      </c>
      <c r="F219" t="s">
        <v>3777</v>
      </c>
      <c r="G219" s="23" t="s">
        <v>64</v>
      </c>
      <c r="H219" s="23" t="s">
        <v>65</v>
      </c>
      <c r="I219" t="s">
        <v>6549</v>
      </c>
      <c r="J219" t="s">
        <v>92</v>
      </c>
      <c r="K219" s="22">
        <v>4</v>
      </c>
      <c r="L219" s="1">
        <v>42785</v>
      </c>
      <c r="M219" s="22">
        <f>Table3[[#This Row],[Ship Date]]-Table3[[#This Row],[Order Date]]</f>
        <v>2</v>
      </c>
      <c r="N219" s="23" t="s">
        <v>169</v>
      </c>
      <c r="O219" s="23" t="s">
        <v>23</v>
      </c>
      <c r="P219" s="23" t="s">
        <v>94</v>
      </c>
      <c r="Q219" s="23" t="s">
        <v>95</v>
      </c>
      <c r="R219" s="23" t="s">
        <v>165</v>
      </c>
      <c r="S219" s="33">
        <v>0.2</v>
      </c>
      <c r="T219" s="13">
        <v>438.33600000000001</v>
      </c>
      <c r="U219" s="13">
        <v>-87.667199999999994</v>
      </c>
      <c r="V219" s="55">
        <f>Table3[[#This Row],[Profit]]/Table3[[#This Row],[Sales]]</f>
        <v>-0.19999999999999998</v>
      </c>
    </row>
    <row r="220" spans="1:22" x14ac:dyDescent="0.2">
      <c r="A220">
        <v>219</v>
      </c>
      <c r="B220" t="s">
        <v>9778</v>
      </c>
      <c r="C220" s="1">
        <v>42783</v>
      </c>
      <c r="D220" s="22">
        <f>MONTH(Table3[[#This Row],[Order Date]])</f>
        <v>2</v>
      </c>
      <c r="E220" t="s">
        <v>7555</v>
      </c>
      <c r="F220" t="s">
        <v>7556</v>
      </c>
      <c r="G220" s="23" t="s">
        <v>28</v>
      </c>
      <c r="H220" s="23" t="s">
        <v>50</v>
      </c>
      <c r="I220" t="s">
        <v>2034</v>
      </c>
      <c r="J220" t="s">
        <v>92</v>
      </c>
      <c r="K220" s="22">
        <v>5</v>
      </c>
      <c r="L220" s="1">
        <v>42786</v>
      </c>
      <c r="M220" s="22">
        <f>Table3[[#This Row],[Ship Date]]-Table3[[#This Row],[Order Date]]</f>
        <v>3</v>
      </c>
      <c r="N220" s="23" t="s">
        <v>169</v>
      </c>
      <c r="O220" s="23" t="s">
        <v>23</v>
      </c>
      <c r="P220" s="23" t="s">
        <v>441</v>
      </c>
      <c r="Q220" s="23" t="s">
        <v>133</v>
      </c>
      <c r="R220" s="23" t="s">
        <v>246</v>
      </c>
      <c r="S220" s="33">
        <v>0.4</v>
      </c>
      <c r="T220" s="13">
        <v>455.97</v>
      </c>
      <c r="U220" s="13">
        <v>-106.393</v>
      </c>
      <c r="V220" s="55">
        <f>Table3[[#This Row],[Profit]]/Table3[[#This Row],[Sales]]</f>
        <v>-0.23333333333333331</v>
      </c>
    </row>
    <row r="221" spans="1:22" x14ac:dyDescent="0.2">
      <c r="A221">
        <v>220</v>
      </c>
      <c r="B221" t="s">
        <v>9778</v>
      </c>
      <c r="C221" s="1">
        <v>42783</v>
      </c>
      <c r="D221" s="22">
        <f>MONTH(Table3[[#This Row],[Order Date]])</f>
        <v>2</v>
      </c>
      <c r="E221" t="s">
        <v>159</v>
      </c>
      <c r="F221" t="s">
        <v>160</v>
      </c>
      <c r="G221" s="23" t="s">
        <v>41</v>
      </c>
      <c r="H221" s="23" t="s">
        <v>68</v>
      </c>
      <c r="I221" t="s">
        <v>2034</v>
      </c>
      <c r="J221" t="s">
        <v>92</v>
      </c>
      <c r="K221" s="22">
        <v>5</v>
      </c>
      <c r="L221" s="1">
        <v>42786</v>
      </c>
      <c r="M221" s="22">
        <f>Table3[[#This Row],[Ship Date]]-Table3[[#This Row],[Order Date]]</f>
        <v>3</v>
      </c>
      <c r="N221" s="23" t="s">
        <v>169</v>
      </c>
      <c r="O221" s="23" t="s">
        <v>23</v>
      </c>
      <c r="P221" s="23" t="s">
        <v>441</v>
      </c>
      <c r="Q221" s="23" t="s">
        <v>133</v>
      </c>
      <c r="R221" s="23" t="s">
        <v>246</v>
      </c>
      <c r="S221" s="33">
        <v>0.7</v>
      </c>
      <c r="T221" s="13">
        <v>5.7149999999999999</v>
      </c>
      <c r="U221" s="13">
        <v>-4.7625000000000002</v>
      </c>
      <c r="V221" s="55">
        <f>Table3[[#This Row],[Profit]]/Table3[[#This Row],[Sales]]</f>
        <v>-0.83333333333333337</v>
      </c>
    </row>
    <row r="222" spans="1:22" x14ac:dyDescent="0.2">
      <c r="A222">
        <v>221</v>
      </c>
      <c r="B222" t="s">
        <v>9778</v>
      </c>
      <c r="C222" s="1">
        <v>42783</v>
      </c>
      <c r="D222" s="22">
        <f>MONTH(Table3[[#This Row],[Order Date]])</f>
        <v>2</v>
      </c>
      <c r="E222" t="s">
        <v>5622</v>
      </c>
      <c r="F222" t="s">
        <v>5623</v>
      </c>
      <c r="G222" s="23" t="s">
        <v>64</v>
      </c>
      <c r="H222" s="23" t="s">
        <v>65</v>
      </c>
      <c r="I222" t="s">
        <v>2034</v>
      </c>
      <c r="J222" t="s">
        <v>92</v>
      </c>
      <c r="K222" s="22">
        <v>1</v>
      </c>
      <c r="L222" s="1">
        <v>42786</v>
      </c>
      <c r="M222" s="22">
        <f>Table3[[#This Row],[Ship Date]]-Table3[[#This Row],[Order Date]]</f>
        <v>3</v>
      </c>
      <c r="N222" s="23" t="s">
        <v>169</v>
      </c>
      <c r="O222" s="23" t="s">
        <v>23</v>
      </c>
      <c r="P222" s="23" t="s">
        <v>441</v>
      </c>
      <c r="Q222" s="23" t="s">
        <v>133</v>
      </c>
      <c r="R222" s="23" t="s">
        <v>246</v>
      </c>
      <c r="S222" s="33">
        <v>0.4</v>
      </c>
      <c r="T222" s="13">
        <v>57.594000000000001</v>
      </c>
      <c r="U222" s="13">
        <v>-11.518800000000001</v>
      </c>
      <c r="V222" s="55">
        <f>Table3[[#This Row],[Profit]]/Table3[[#This Row],[Sales]]</f>
        <v>-0.2</v>
      </c>
    </row>
    <row r="223" spans="1:22" x14ac:dyDescent="0.2">
      <c r="A223">
        <v>222</v>
      </c>
      <c r="B223" t="s">
        <v>9778</v>
      </c>
      <c r="C223" s="1">
        <v>42783</v>
      </c>
      <c r="D223" s="22">
        <f>MONTH(Table3[[#This Row],[Order Date]])</f>
        <v>2</v>
      </c>
      <c r="E223" t="s">
        <v>4090</v>
      </c>
      <c r="F223" t="s">
        <v>4091</v>
      </c>
      <c r="G223" s="23" t="s">
        <v>28</v>
      </c>
      <c r="H223" s="23" t="s">
        <v>58</v>
      </c>
      <c r="I223" t="s">
        <v>2034</v>
      </c>
      <c r="J223" t="s">
        <v>92</v>
      </c>
      <c r="K223" s="22">
        <v>2</v>
      </c>
      <c r="L223" s="1">
        <v>42786</v>
      </c>
      <c r="M223" s="22">
        <f>Table3[[#This Row],[Ship Date]]-Table3[[#This Row],[Order Date]]</f>
        <v>3</v>
      </c>
      <c r="N223" s="23" t="s">
        <v>169</v>
      </c>
      <c r="O223" s="23" t="s">
        <v>23</v>
      </c>
      <c r="P223" s="23" t="s">
        <v>441</v>
      </c>
      <c r="Q223" s="23" t="s">
        <v>133</v>
      </c>
      <c r="R223" s="23" t="s">
        <v>246</v>
      </c>
      <c r="S223" s="33">
        <v>0.2</v>
      </c>
      <c r="T223" s="13">
        <v>30.143999999999998</v>
      </c>
      <c r="U223" s="13">
        <v>8.2896000000000001</v>
      </c>
      <c r="V223" s="55">
        <f>Table3[[#This Row],[Profit]]/Table3[[#This Row],[Sales]]</f>
        <v>0.27500000000000002</v>
      </c>
    </row>
    <row r="224" spans="1:22" x14ac:dyDescent="0.2">
      <c r="A224">
        <v>223</v>
      </c>
      <c r="B224" t="s">
        <v>9778</v>
      </c>
      <c r="C224" s="1">
        <v>42783</v>
      </c>
      <c r="D224" s="22">
        <f>MONTH(Table3[[#This Row],[Order Date]])</f>
        <v>2</v>
      </c>
      <c r="E224" t="s">
        <v>4220</v>
      </c>
      <c r="F224" t="s">
        <v>4221</v>
      </c>
      <c r="G224" s="23" t="s">
        <v>28</v>
      </c>
      <c r="H224" s="23" t="s">
        <v>32</v>
      </c>
      <c r="I224" t="s">
        <v>2034</v>
      </c>
      <c r="J224" t="s">
        <v>92</v>
      </c>
      <c r="K224" s="22">
        <v>5</v>
      </c>
      <c r="L224" s="1">
        <v>42786</v>
      </c>
      <c r="M224" s="22">
        <f>Table3[[#This Row],[Ship Date]]-Table3[[#This Row],[Order Date]]</f>
        <v>3</v>
      </c>
      <c r="N224" s="23" t="s">
        <v>169</v>
      </c>
      <c r="O224" s="23" t="s">
        <v>23</v>
      </c>
      <c r="P224" s="23" t="s">
        <v>441</v>
      </c>
      <c r="Q224" s="23" t="s">
        <v>133</v>
      </c>
      <c r="R224" s="23" t="s">
        <v>246</v>
      </c>
      <c r="S224" s="33">
        <v>0.3</v>
      </c>
      <c r="T224" s="13">
        <v>899.43</v>
      </c>
      <c r="U224" s="13">
        <v>-12.849</v>
      </c>
      <c r="V224" s="55">
        <f>Table3[[#This Row],[Profit]]/Table3[[#This Row],[Sales]]</f>
        <v>-1.4285714285714287E-2</v>
      </c>
    </row>
    <row r="225" spans="1:22" x14ac:dyDescent="0.2">
      <c r="A225">
        <v>224</v>
      </c>
      <c r="B225" t="s">
        <v>7437</v>
      </c>
      <c r="C225" s="1">
        <v>42784</v>
      </c>
      <c r="D225" s="22">
        <f>MONTH(Table3[[#This Row],[Order Date]])</f>
        <v>2</v>
      </c>
      <c r="E225" t="s">
        <v>1480</v>
      </c>
      <c r="F225" t="s">
        <v>1481</v>
      </c>
      <c r="G225" s="23" t="s">
        <v>64</v>
      </c>
      <c r="H225" s="23" t="s">
        <v>65</v>
      </c>
      <c r="I225" t="s">
        <v>427</v>
      </c>
      <c r="J225" t="s">
        <v>36</v>
      </c>
      <c r="K225" s="22">
        <v>3</v>
      </c>
      <c r="L225" s="1">
        <v>42787</v>
      </c>
      <c r="M225" s="22">
        <f>Table3[[#This Row],[Ship Date]]-Table3[[#This Row],[Order Date]]</f>
        <v>3</v>
      </c>
      <c r="N225" s="23" t="s">
        <v>20</v>
      </c>
      <c r="O225" s="23" t="s">
        <v>23</v>
      </c>
      <c r="P225" s="23" t="s">
        <v>38</v>
      </c>
      <c r="Q225" s="23" t="s">
        <v>39</v>
      </c>
      <c r="R225" s="23" t="s">
        <v>37</v>
      </c>
      <c r="S225" s="33">
        <v>0.2</v>
      </c>
      <c r="T225" s="13">
        <v>167.976</v>
      </c>
      <c r="U225" s="13">
        <v>10.4985</v>
      </c>
      <c r="V225" s="55">
        <f>Table3[[#This Row],[Profit]]/Table3[[#This Row],[Sales]]</f>
        <v>6.25E-2</v>
      </c>
    </row>
    <row r="226" spans="1:22" x14ac:dyDescent="0.2">
      <c r="A226">
        <v>225</v>
      </c>
      <c r="B226" t="s">
        <v>7437</v>
      </c>
      <c r="C226" s="1">
        <v>42784</v>
      </c>
      <c r="D226" s="22">
        <f>MONTH(Table3[[#This Row],[Order Date]])</f>
        <v>2</v>
      </c>
      <c r="E226" t="s">
        <v>4774</v>
      </c>
      <c r="F226" t="s">
        <v>4775</v>
      </c>
      <c r="G226" s="23" t="s">
        <v>64</v>
      </c>
      <c r="H226" s="23" t="s">
        <v>144</v>
      </c>
      <c r="I226" t="s">
        <v>427</v>
      </c>
      <c r="J226" t="s">
        <v>36</v>
      </c>
      <c r="K226" s="22">
        <v>3</v>
      </c>
      <c r="L226" s="1">
        <v>42787</v>
      </c>
      <c r="M226" s="22">
        <f>Table3[[#This Row],[Ship Date]]-Table3[[#This Row],[Order Date]]</f>
        <v>3</v>
      </c>
      <c r="N226" s="23" t="s">
        <v>20</v>
      </c>
      <c r="O226" s="23" t="s">
        <v>23</v>
      </c>
      <c r="P226" s="23" t="s">
        <v>38</v>
      </c>
      <c r="Q226" s="23" t="s">
        <v>39</v>
      </c>
      <c r="R226" s="23" t="s">
        <v>37</v>
      </c>
      <c r="S226" s="33">
        <v>0</v>
      </c>
      <c r="T226" s="13">
        <v>109.53</v>
      </c>
      <c r="U226" s="13">
        <v>47.097900000000003</v>
      </c>
      <c r="V226" s="55">
        <f>Table3[[#This Row],[Profit]]/Table3[[#This Row],[Sales]]</f>
        <v>0.43</v>
      </c>
    </row>
    <row r="227" spans="1:22" x14ac:dyDescent="0.2">
      <c r="A227">
        <v>226</v>
      </c>
      <c r="B227" t="s">
        <v>7437</v>
      </c>
      <c r="C227" s="1">
        <v>42784</v>
      </c>
      <c r="D227" s="22">
        <f>MONTH(Table3[[#This Row],[Order Date]])</f>
        <v>2</v>
      </c>
      <c r="E227" t="s">
        <v>1786</v>
      </c>
      <c r="F227" t="s">
        <v>1787</v>
      </c>
      <c r="G227" s="23" t="s">
        <v>41</v>
      </c>
      <c r="H227" s="23" t="s">
        <v>42</v>
      </c>
      <c r="I227" t="s">
        <v>427</v>
      </c>
      <c r="J227" t="s">
        <v>36</v>
      </c>
      <c r="K227" s="22">
        <v>2</v>
      </c>
      <c r="L227" s="1">
        <v>42787</v>
      </c>
      <c r="M227" s="22">
        <f>Table3[[#This Row],[Ship Date]]-Table3[[#This Row],[Order Date]]</f>
        <v>3</v>
      </c>
      <c r="N227" s="23" t="s">
        <v>20</v>
      </c>
      <c r="O227" s="23" t="s">
        <v>23</v>
      </c>
      <c r="P227" s="23" t="s">
        <v>38</v>
      </c>
      <c r="Q227" s="23" t="s">
        <v>39</v>
      </c>
      <c r="R227" s="23" t="s">
        <v>37</v>
      </c>
      <c r="S227" s="33">
        <v>0</v>
      </c>
      <c r="T227" s="13">
        <v>9.82</v>
      </c>
      <c r="U227" s="13">
        <v>4.8117999999999999</v>
      </c>
      <c r="V227" s="55">
        <f>Table3[[#This Row],[Profit]]/Table3[[#This Row],[Sales]]</f>
        <v>0.49</v>
      </c>
    </row>
    <row r="228" spans="1:22" x14ac:dyDescent="0.2">
      <c r="A228">
        <v>227</v>
      </c>
      <c r="B228" t="s">
        <v>4074</v>
      </c>
      <c r="C228" s="1">
        <v>42785</v>
      </c>
      <c r="D228" s="22">
        <f>MONTH(Table3[[#This Row],[Order Date]])</f>
        <v>2</v>
      </c>
      <c r="E228" t="s">
        <v>610</v>
      </c>
      <c r="F228" t="s">
        <v>611</v>
      </c>
      <c r="G228" s="23" t="s">
        <v>41</v>
      </c>
      <c r="H228" s="23" t="s">
        <v>71</v>
      </c>
      <c r="I228" t="s">
        <v>3462</v>
      </c>
      <c r="J228" t="s">
        <v>36</v>
      </c>
      <c r="K228" s="22">
        <v>7</v>
      </c>
      <c r="L228" s="1">
        <v>42787</v>
      </c>
      <c r="M228" s="22">
        <f>Table3[[#This Row],[Ship Date]]-Table3[[#This Row],[Order Date]]</f>
        <v>2</v>
      </c>
      <c r="N228" s="23" t="s">
        <v>20</v>
      </c>
      <c r="O228" s="23" t="s">
        <v>23</v>
      </c>
      <c r="P228" s="23" t="s">
        <v>1125</v>
      </c>
      <c r="Q228" s="23" t="s">
        <v>26</v>
      </c>
      <c r="R228" s="23" t="s">
        <v>2871</v>
      </c>
      <c r="S228" s="33">
        <v>0</v>
      </c>
      <c r="T228" s="13">
        <v>1245.8599999999999</v>
      </c>
      <c r="U228" s="13">
        <v>361.29939999999999</v>
      </c>
      <c r="V228" s="55">
        <f>Table3[[#This Row],[Profit]]/Table3[[#This Row],[Sales]]</f>
        <v>0.29000000000000004</v>
      </c>
    </row>
    <row r="229" spans="1:22" x14ac:dyDescent="0.2">
      <c r="A229">
        <v>228</v>
      </c>
      <c r="B229" t="s">
        <v>5435</v>
      </c>
      <c r="C229" s="1">
        <v>42785</v>
      </c>
      <c r="D229" s="22">
        <f>MONTH(Table3[[#This Row],[Order Date]])</f>
        <v>2</v>
      </c>
      <c r="E229" t="s">
        <v>3587</v>
      </c>
      <c r="F229" t="s">
        <v>3588</v>
      </c>
      <c r="G229" s="23" t="s">
        <v>41</v>
      </c>
      <c r="H229" s="23" t="s">
        <v>240</v>
      </c>
      <c r="I229" t="s">
        <v>1850</v>
      </c>
      <c r="J229" t="s">
        <v>22</v>
      </c>
      <c r="K229" s="22">
        <v>3</v>
      </c>
      <c r="L229" s="1">
        <v>42789</v>
      </c>
      <c r="M229" s="22">
        <f>Table3[[#This Row],[Ship Date]]-Table3[[#This Row],[Order Date]]</f>
        <v>4</v>
      </c>
      <c r="N229" s="23" t="s">
        <v>45</v>
      </c>
      <c r="O229" s="23" t="s">
        <v>23</v>
      </c>
      <c r="P229" s="23" t="s">
        <v>87</v>
      </c>
      <c r="Q229" s="23" t="s">
        <v>39</v>
      </c>
      <c r="R229" s="23" t="s">
        <v>86</v>
      </c>
      <c r="S229" s="33">
        <v>0</v>
      </c>
      <c r="T229" s="13">
        <v>11.22</v>
      </c>
      <c r="U229" s="13">
        <v>0.22439999999999999</v>
      </c>
      <c r="V229" s="55">
        <f>Table3[[#This Row],[Profit]]/Table3[[#This Row],[Sales]]</f>
        <v>1.9999999999999997E-2</v>
      </c>
    </row>
    <row r="230" spans="1:22" x14ac:dyDescent="0.2">
      <c r="A230">
        <v>229</v>
      </c>
      <c r="B230" t="s">
        <v>6373</v>
      </c>
      <c r="C230" s="1">
        <v>42785</v>
      </c>
      <c r="D230" s="22">
        <f>MONTH(Table3[[#This Row],[Order Date]])</f>
        <v>2</v>
      </c>
      <c r="E230" t="s">
        <v>3485</v>
      </c>
      <c r="F230" t="s">
        <v>3486</v>
      </c>
      <c r="G230" s="23" t="s">
        <v>41</v>
      </c>
      <c r="H230" s="23" t="s">
        <v>61</v>
      </c>
      <c r="I230" t="s">
        <v>3924</v>
      </c>
      <c r="J230" t="s">
        <v>92</v>
      </c>
      <c r="K230" s="22">
        <v>3</v>
      </c>
      <c r="L230" s="1">
        <v>42786</v>
      </c>
      <c r="M230" s="22">
        <f>Table3[[#This Row],[Ship Date]]-Table3[[#This Row],[Order Date]]</f>
        <v>1</v>
      </c>
      <c r="N230" s="23" t="s">
        <v>169</v>
      </c>
      <c r="O230" s="23" t="s">
        <v>23</v>
      </c>
      <c r="P230" s="23" t="s">
        <v>38</v>
      </c>
      <c r="Q230" s="23" t="s">
        <v>39</v>
      </c>
      <c r="R230" s="23" t="s">
        <v>37</v>
      </c>
      <c r="S230" s="33">
        <v>0</v>
      </c>
      <c r="T230" s="13">
        <v>12.84</v>
      </c>
      <c r="U230" s="13">
        <v>3.4668000000000001</v>
      </c>
      <c r="V230" s="55">
        <f>Table3[[#This Row],[Profit]]/Table3[[#This Row],[Sales]]</f>
        <v>0.27</v>
      </c>
    </row>
    <row r="231" spans="1:22" x14ac:dyDescent="0.2">
      <c r="A231">
        <v>230</v>
      </c>
      <c r="B231" t="s">
        <v>6373</v>
      </c>
      <c r="C231" s="1">
        <v>42785</v>
      </c>
      <c r="D231" s="22">
        <f>MONTH(Table3[[#This Row],[Order Date]])</f>
        <v>2</v>
      </c>
      <c r="E231" t="s">
        <v>3260</v>
      </c>
      <c r="F231" t="s">
        <v>3261</v>
      </c>
      <c r="G231" s="23" t="s">
        <v>28</v>
      </c>
      <c r="H231" s="23" t="s">
        <v>58</v>
      </c>
      <c r="I231" t="s">
        <v>3924</v>
      </c>
      <c r="J231" t="s">
        <v>92</v>
      </c>
      <c r="K231" s="22">
        <v>3</v>
      </c>
      <c r="L231" s="1">
        <v>42786</v>
      </c>
      <c r="M231" s="22">
        <f>Table3[[#This Row],[Ship Date]]-Table3[[#This Row],[Order Date]]</f>
        <v>1</v>
      </c>
      <c r="N231" s="23" t="s">
        <v>169</v>
      </c>
      <c r="O231" s="23" t="s">
        <v>23</v>
      </c>
      <c r="P231" s="23" t="s">
        <v>38</v>
      </c>
      <c r="Q231" s="23" t="s">
        <v>39</v>
      </c>
      <c r="R231" s="23" t="s">
        <v>37</v>
      </c>
      <c r="S231" s="33">
        <v>0</v>
      </c>
      <c r="T231" s="13">
        <v>44.67</v>
      </c>
      <c r="U231" s="13">
        <v>12.0609</v>
      </c>
      <c r="V231" s="55">
        <f>Table3[[#This Row],[Profit]]/Table3[[#This Row],[Sales]]</f>
        <v>0.27</v>
      </c>
    </row>
    <row r="232" spans="1:22" x14ac:dyDescent="0.2">
      <c r="A232">
        <v>231</v>
      </c>
      <c r="B232" t="s">
        <v>2205</v>
      </c>
      <c r="C232" s="1">
        <v>42786</v>
      </c>
      <c r="D232" s="22">
        <f>MONTH(Table3[[#This Row],[Order Date]])</f>
        <v>2</v>
      </c>
      <c r="E232" t="s">
        <v>2207</v>
      </c>
      <c r="F232" t="s">
        <v>2208</v>
      </c>
      <c r="G232" s="23" t="s">
        <v>28</v>
      </c>
      <c r="H232" s="23" t="s">
        <v>58</v>
      </c>
      <c r="I232" t="s">
        <v>2206</v>
      </c>
      <c r="J232" t="s">
        <v>36</v>
      </c>
      <c r="K232" s="22">
        <v>1</v>
      </c>
      <c r="L232" s="1">
        <v>42789</v>
      </c>
      <c r="M232" s="22">
        <f>Table3[[#This Row],[Ship Date]]-Table3[[#This Row],[Order Date]]</f>
        <v>3</v>
      </c>
      <c r="N232" s="23" t="s">
        <v>169</v>
      </c>
      <c r="O232" s="23" t="s">
        <v>23</v>
      </c>
      <c r="P232" s="23" t="s">
        <v>38</v>
      </c>
      <c r="Q232" s="23" t="s">
        <v>39</v>
      </c>
      <c r="R232" s="23" t="s">
        <v>836</v>
      </c>
      <c r="S232" s="33">
        <v>0</v>
      </c>
      <c r="T232" s="13">
        <v>22.23</v>
      </c>
      <c r="U232" s="13">
        <v>7.3358999999999996</v>
      </c>
      <c r="V232" s="55">
        <f>Table3[[#This Row],[Profit]]/Table3[[#This Row],[Sales]]</f>
        <v>0.32999999999999996</v>
      </c>
    </row>
    <row r="233" spans="1:22" x14ac:dyDescent="0.2">
      <c r="A233">
        <v>232</v>
      </c>
      <c r="B233" t="s">
        <v>2205</v>
      </c>
      <c r="C233" s="1">
        <v>42786</v>
      </c>
      <c r="D233" s="22">
        <f>MONTH(Table3[[#This Row],[Order Date]])</f>
        <v>2</v>
      </c>
      <c r="E233" t="s">
        <v>849</v>
      </c>
      <c r="F233" t="s">
        <v>850</v>
      </c>
      <c r="G233" s="23" t="s">
        <v>64</v>
      </c>
      <c r="H233" s="23" t="s">
        <v>65</v>
      </c>
      <c r="I233" t="s">
        <v>2206</v>
      </c>
      <c r="J233" t="s">
        <v>36</v>
      </c>
      <c r="K233" s="22">
        <v>2</v>
      </c>
      <c r="L233" s="1">
        <v>42789</v>
      </c>
      <c r="M233" s="22">
        <f>Table3[[#This Row],[Ship Date]]-Table3[[#This Row],[Order Date]]</f>
        <v>3</v>
      </c>
      <c r="N233" s="23" t="s">
        <v>169</v>
      </c>
      <c r="O233" s="23" t="s">
        <v>23</v>
      </c>
      <c r="P233" s="23" t="s">
        <v>38</v>
      </c>
      <c r="Q233" s="23" t="s">
        <v>39</v>
      </c>
      <c r="R233" s="23" t="s">
        <v>836</v>
      </c>
      <c r="S233" s="33">
        <v>0.2</v>
      </c>
      <c r="T233" s="13">
        <v>215.96799999999999</v>
      </c>
      <c r="U233" s="13">
        <v>18.897200000000002</v>
      </c>
      <c r="V233" s="55">
        <f>Table3[[#This Row],[Profit]]/Table3[[#This Row],[Sales]]</f>
        <v>8.7500000000000008E-2</v>
      </c>
    </row>
    <row r="234" spans="1:22" x14ac:dyDescent="0.2">
      <c r="A234">
        <v>233</v>
      </c>
      <c r="B234" t="s">
        <v>5810</v>
      </c>
      <c r="C234" s="1">
        <v>42786</v>
      </c>
      <c r="D234" s="22">
        <f>MONTH(Table3[[#This Row],[Order Date]])</f>
        <v>2</v>
      </c>
      <c r="E234" t="s">
        <v>2878</v>
      </c>
      <c r="F234" t="s">
        <v>2879</v>
      </c>
      <c r="G234" s="23" t="s">
        <v>41</v>
      </c>
      <c r="H234" s="23" t="s">
        <v>61</v>
      </c>
      <c r="I234" t="s">
        <v>5275</v>
      </c>
      <c r="J234" t="s">
        <v>92</v>
      </c>
      <c r="K234" s="22">
        <v>2</v>
      </c>
      <c r="L234" s="1">
        <v>42791</v>
      </c>
      <c r="M234" s="22">
        <f>Table3[[#This Row],[Ship Date]]-Table3[[#This Row],[Order Date]]</f>
        <v>5</v>
      </c>
      <c r="N234" s="23" t="s">
        <v>45</v>
      </c>
      <c r="O234" s="23" t="s">
        <v>23</v>
      </c>
      <c r="P234" s="23" t="s">
        <v>573</v>
      </c>
      <c r="Q234" s="23" t="s">
        <v>95</v>
      </c>
      <c r="R234" s="23" t="s">
        <v>4063</v>
      </c>
      <c r="S234" s="33">
        <v>0</v>
      </c>
      <c r="T234" s="13">
        <v>6.56</v>
      </c>
      <c r="U234" s="13">
        <v>1.9024000000000001</v>
      </c>
      <c r="V234" s="55">
        <f>Table3[[#This Row],[Profit]]/Table3[[#This Row],[Sales]]</f>
        <v>0.29000000000000004</v>
      </c>
    </row>
    <row r="235" spans="1:22" x14ac:dyDescent="0.2">
      <c r="A235">
        <v>234</v>
      </c>
      <c r="B235" t="s">
        <v>5810</v>
      </c>
      <c r="C235" s="1">
        <v>42786</v>
      </c>
      <c r="D235" s="22">
        <f>MONTH(Table3[[#This Row],[Order Date]])</f>
        <v>2</v>
      </c>
      <c r="E235" t="s">
        <v>5811</v>
      </c>
      <c r="F235" t="s">
        <v>5812</v>
      </c>
      <c r="G235" s="23" t="s">
        <v>41</v>
      </c>
      <c r="H235" s="23" t="s">
        <v>71</v>
      </c>
      <c r="I235" t="s">
        <v>5275</v>
      </c>
      <c r="J235" t="s">
        <v>92</v>
      </c>
      <c r="K235" s="22">
        <v>3</v>
      </c>
      <c r="L235" s="1">
        <v>42791</v>
      </c>
      <c r="M235" s="22">
        <f>Table3[[#This Row],[Ship Date]]-Table3[[#This Row],[Order Date]]</f>
        <v>5</v>
      </c>
      <c r="N235" s="23" t="s">
        <v>45</v>
      </c>
      <c r="O235" s="23" t="s">
        <v>23</v>
      </c>
      <c r="P235" s="23" t="s">
        <v>573</v>
      </c>
      <c r="Q235" s="23" t="s">
        <v>95</v>
      </c>
      <c r="R235" s="23" t="s">
        <v>4063</v>
      </c>
      <c r="S235" s="33">
        <v>0</v>
      </c>
      <c r="T235" s="13">
        <v>13.11</v>
      </c>
      <c r="U235" s="13">
        <v>3.4085999999999999</v>
      </c>
      <c r="V235" s="55">
        <f>Table3[[#This Row],[Profit]]/Table3[[#This Row],[Sales]]</f>
        <v>0.26</v>
      </c>
    </row>
    <row r="236" spans="1:22" x14ac:dyDescent="0.2">
      <c r="A236">
        <v>235</v>
      </c>
      <c r="B236" t="s">
        <v>6825</v>
      </c>
      <c r="C236" s="1">
        <v>42786</v>
      </c>
      <c r="D236" s="22">
        <f>MONTH(Table3[[#This Row],[Order Date]])</f>
        <v>2</v>
      </c>
      <c r="E236" t="s">
        <v>4823</v>
      </c>
      <c r="F236" t="s">
        <v>498</v>
      </c>
      <c r="G236" s="23" t="s">
        <v>41</v>
      </c>
      <c r="H236" s="23" t="s">
        <v>240</v>
      </c>
      <c r="I236" t="s">
        <v>1222</v>
      </c>
      <c r="J236" t="s">
        <v>36</v>
      </c>
      <c r="K236" s="22">
        <v>3</v>
      </c>
      <c r="L236" s="1">
        <v>42791</v>
      </c>
      <c r="M236" s="22">
        <f>Table3[[#This Row],[Ship Date]]-Table3[[#This Row],[Order Date]]</f>
        <v>5</v>
      </c>
      <c r="N236" s="23" t="s">
        <v>20</v>
      </c>
      <c r="O236" s="23" t="s">
        <v>23</v>
      </c>
      <c r="P236" s="23" t="s">
        <v>405</v>
      </c>
      <c r="Q236" s="23" t="s">
        <v>39</v>
      </c>
      <c r="R236" s="23" t="s">
        <v>1303</v>
      </c>
      <c r="S236" s="33">
        <v>0.2</v>
      </c>
      <c r="T236" s="13">
        <v>9.4320000000000004</v>
      </c>
      <c r="U236" s="13">
        <v>3.0653999999999999</v>
      </c>
      <c r="V236" s="55">
        <f>Table3[[#This Row],[Profit]]/Table3[[#This Row],[Sales]]</f>
        <v>0.32499999999999996</v>
      </c>
    </row>
    <row r="237" spans="1:22" x14ac:dyDescent="0.2">
      <c r="A237">
        <v>236</v>
      </c>
      <c r="B237" t="s">
        <v>8239</v>
      </c>
      <c r="C237" s="1">
        <v>42786</v>
      </c>
      <c r="D237" s="22">
        <f>MONTH(Table3[[#This Row],[Order Date]])</f>
        <v>2</v>
      </c>
      <c r="E237" t="s">
        <v>2999</v>
      </c>
      <c r="F237" t="s">
        <v>3000</v>
      </c>
      <c r="G237" s="23" t="s">
        <v>64</v>
      </c>
      <c r="H237" s="23" t="s">
        <v>65</v>
      </c>
      <c r="I237" t="s">
        <v>3366</v>
      </c>
      <c r="J237" t="s">
        <v>92</v>
      </c>
      <c r="K237" s="22">
        <v>3</v>
      </c>
      <c r="L237" s="1">
        <v>42793</v>
      </c>
      <c r="M237" s="22">
        <f>Table3[[#This Row],[Ship Date]]-Table3[[#This Row],[Order Date]]</f>
        <v>7</v>
      </c>
      <c r="N237" s="23" t="s">
        <v>45</v>
      </c>
      <c r="O237" s="23" t="s">
        <v>23</v>
      </c>
      <c r="P237" s="23" t="s">
        <v>277</v>
      </c>
      <c r="Q237" s="23" t="s">
        <v>39</v>
      </c>
      <c r="R237" s="23" t="s">
        <v>276</v>
      </c>
      <c r="S237" s="33">
        <v>0.2</v>
      </c>
      <c r="T237" s="13">
        <v>333.57600000000002</v>
      </c>
      <c r="U237" s="13">
        <v>25.0182</v>
      </c>
      <c r="V237" s="55">
        <f>Table3[[#This Row],[Profit]]/Table3[[#This Row],[Sales]]</f>
        <v>7.4999999999999997E-2</v>
      </c>
    </row>
    <row r="238" spans="1:22" x14ac:dyDescent="0.2">
      <c r="A238">
        <v>237</v>
      </c>
      <c r="B238" t="s">
        <v>8239</v>
      </c>
      <c r="C238" s="1">
        <v>42786</v>
      </c>
      <c r="D238" s="22">
        <f>MONTH(Table3[[#This Row],[Order Date]])</f>
        <v>2</v>
      </c>
      <c r="E238" t="s">
        <v>4374</v>
      </c>
      <c r="F238" t="s">
        <v>4375</v>
      </c>
      <c r="G238" s="23" t="s">
        <v>64</v>
      </c>
      <c r="H238" s="23" t="s">
        <v>144</v>
      </c>
      <c r="I238" t="s">
        <v>3366</v>
      </c>
      <c r="J238" t="s">
        <v>92</v>
      </c>
      <c r="K238" s="22">
        <v>1</v>
      </c>
      <c r="L238" s="1">
        <v>42793</v>
      </c>
      <c r="M238" s="22">
        <f>Table3[[#This Row],[Ship Date]]-Table3[[#This Row],[Order Date]]</f>
        <v>7</v>
      </c>
      <c r="N238" s="23" t="s">
        <v>45</v>
      </c>
      <c r="O238" s="23" t="s">
        <v>23</v>
      </c>
      <c r="P238" s="23" t="s">
        <v>277</v>
      </c>
      <c r="Q238" s="23" t="s">
        <v>39</v>
      </c>
      <c r="R238" s="23" t="s">
        <v>276</v>
      </c>
      <c r="S238" s="33">
        <v>0.2</v>
      </c>
      <c r="T238" s="13">
        <v>31.992000000000001</v>
      </c>
      <c r="U238" s="13">
        <v>4.7988</v>
      </c>
      <c r="V238" s="55">
        <f>Table3[[#This Row],[Profit]]/Table3[[#This Row],[Sales]]</f>
        <v>0.15</v>
      </c>
    </row>
    <row r="239" spans="1:22" x14ac:dyDescent="0.2">
      <c r="A239">
        <v>238</v>
      </c>
      <c r="B239" t="s">
        <v>8239</v>
      </c>
      <c r="C239" s="1">
        <v>42786</v>
      </c>
      <c r="D239" s="22">
        <f>MONTH(Table3[[#This Row],[Order Date]])</f>
        <v>2</v>
      </c>
      <c r="E239" t="s">
        <v>3126</v>
      </c>
      <c r="F239" t="s">
        <v>3127</v>
      </c>
      <c r="G239" s="23" t="s">
        <v>41</v>
      </c>
      <c r="H239" s="23" t="s">
        <v>53</v>
      </c>
      <c r="I239" t="s">
        <v>3366</v>
      </c>
      <c r="J239" t="s">
        <v>92</v>
      </c>
      <c r="K239" s="22">
        <v>2</v>
      </c>
      <c r="L239" s="1">
        <v>42793</v>
      </c>
      <c r="M239" s="22">
        <f>Table3[[#This Row],[Ship Date]]-Table3[[#This Row],[Order Date]]</f>
        <v>7</v>
      </c>
      <c r="N239" s="23" t="s">
        <v>45</v>
      </c>
      <c r="O239" s="23" t="s">
        <v>23</v>
      </c>
      <c r="P239" s="23" t="s">
        <v>277</v>
      </c>
      <c r="Q239" s="23" t="s">
        <v>39</v>
      </c>
      <c r="R239" s="23" t="s">
        <v>276</v>
      </c>
      <c r="S239" s="33">
        <v>0.2</v>
      </c>
      <c r="T239" s="13">
        <v>51.167999999999999</v>
      </c>
      <c r="U239" s="13">
        <v>-6.3959999999999999</v>
      </c>
      <c r="V239" s="55">
        <f>Table3[[#This Row],[Profit]]/Table3[[#This Row],[Sales]]</f>
        <v>-0.125</v>
      </c>
    </row>
    <row r="240" spans="1:22" x14ac:dyDescent="0.2">
      <c r="A240">
        <v>239</v>
      </c>
      <c r="B240" t="s">
        <v>8239</v>
      </c>
      <c r="C240" s="1">
        <v>42786</v>
      </c>
      <c r="D240" s="22">
        <f>MONTH(Table3[[#This Row],[Order Date]])</f>
        <v>2</v>
      </c>
      <c r="E240" t="s">
        <v>5751</v>
      </c>
      <c r="F240" t="s">
        <v>5752</v>
      </c>
      <c r="G240" s="23" t="s">
        <v>41</v>
      </c>
      <c r="H240" s="23" t="s">
        <v>155</v>
      </c>
      <c r="I240" t="s">
        <v>3366</v>
      </c>
      <c r="J240" t="s">
        <v>92</v>
      </c>
      <c r="K240" s="22">
        <v>5</v>
      </c>
      <c r="L240" s="1">
        <v>42793</v>
      </c>
      <c r="M240" s="22">
        <f>Table3[[#This Row],[Ship Date]]-Table3[[#This Row],[Order Date]]</f>
        <v>7</v>
      </c>
      <c r="N240" s="23" t="s">
        <v>45</v>
      </c>
      <c r="O240" s="23" t="s">
        <v>23</v>
      </c>
      <c r="P240" s="23" t="s">
        <v>277</v>
      </c>
      <c r="Q240" s="23" t="s">
        <v>39</v>
      </c>
      <c r="R240" s="23" t="s">
        <v>276</v>
      </c>
      <c r="S240" s="33">
        <v>0.2</v>
      </c>
      <c r="T240" s="13">
        <v>10.64</v>
      </c>
      <c r="U240" s="13">
        <v>3.8570000000000002</v>
      </c>
      <c r="V240" s="55">
        <f>Table3[[#This Row],[Profit]]/Table3[[#This Row],[Sales]]</f>
        <v>0.36249999999999999</v>
      </c>
    </row>
    <row r="241" spans="1:22" x14ac:dyDescent="0.2">
      <c r="A241">
        <v>240</v>
      </c>
      <c r="B241" t="s">
        <v>8239</v>
      </c>
      <c r="C241" s="1">
        <v>42786</v>
      </c>
      <c r="D241" s="22">
        <f>MONTH(Table3[[#This Row],[Order Date]])</f>
        <v>2</v>
      </c>
      <c r="E241" t="s">
        <v>2031</v>
      </c>
      <c r="F241" t="s">
        <v>2032</v>
      </c>
      <c r="G241" s="23" t="s">
        <v>28</v>
      </c>
      <c r="H241" s="23" t="s">
        <v>58</v>
      </c>
      <c r="I241" t="s">
        <v>3366</v>
      </c>
      <c r="J241" t="s">
        <v>92</v>
      </c>
      <c r="K241" s="22">
        <v>2</v>
      </c>
      <c r="L241" s="1">
        <v>42793</v>
      </c>
      <c r="M241" s="22">
        <f>Table3[[#This Row],[Ship Date]]-Table3[[#This Row],[Order Date]]</f>
        <v>7</v>
      </c>
      <c r="N241" s="23" t="s">
        <v>45</v>
      </c>
      <c r="O241" s="23" t="s">
        <v>23</v>
      </c>
      <c r="P241" s="23" t="s">
        <v>277</v>
      </c>
      <c r="Q241" s="23" t="s">
        <v>39</v>
      </c>
      <c r="R241" s="23" t="s">
        <v>276</v>
      </c>
      <c r="S241" s="33">
        <v>0.2</v>
      </c>
      <c r="T241" s="13">
        <v>68.703999999999994</v>
      </c>
      <c r="U241" s="13">
        <v>16.3172</v>
      </c>
      <c r="V241" s="55">
        <f>Table3[[#This Row],[Profit]]/Table3[[#This Row],[Sales]]</f>
        <v>0.23750000000000002</v>
      </c>
    </row>
    <row r="242" spans="1:22" x14ac:dyDescent="0.2">
      <c r="A242">
        <v>241</v>
      </c>
      <c r="B242" t="s">
        <v>8239</v>
      </c>
      <c r="C242" s="1">
        <v>42786</v>
      </c>
      <c r="D242" s="22">
        <f>MONTH(Table3[[#This Row],[Order Date]])</f>
        <v>2</v>
      </c>
      <c r="E242" t="s">
        <v>3373</v>
      </c>
      <c r="F242" t="s">
        <v>2884</v>
      </c>
      <c r="G242" s="23" t="s">
        <v>28</v>
      </c>
      <c r="H242" s="23" t="s">
        <v>50</v>
      </c>
      <c r="I242" t="s">
        <v>3366</v>
      </c>
      <c r="J242" t="s">
        <v>92</v>
      </c>
      <c r="K242" s="22">
        <v>9</v>
      </c>
      <c r="L242" s="1">
        <v>42793</v>
      </c>
      <c r="M242" s="22">
        <f>Table3[[#This Row],[Ship Date]]-Table3[[#This Row],[Order Date]]</f>
        <v>7</v>
      </c>
      <c r="N242" s="23" t="s">
        <v>45</v>
      </c>
      <c r="O242" s="23" t="s">
        <v>23</v>
      </c>
      <c r="P242" s="23" t="s">
        <v>277</v>
      </c>
      <c r="Q242" s="23" t="s">
        <v>39</v>
      </c>
      <c r="R242" s="23" t="s">
        <v>276</v>
      </c>
      <c r="S242" s="33">
        <v>0.5</v>
      </c>
      <c r="T242" s="13">
        <v>386.91</v>
      </c>
      <c r="U242" s="13">
        <v>-185.71680000000001</v>
      </c>
      <c r="V242" s="55">
        <f>Table3[[#This Row],[Profit]]/Table3[[#This Row],[Sales]]</f>
        <v>-0.48</v>
      </c>
    </row>
    <row r="243" spans="1:22" x14ac:dyDescent="0.2">
      <c r="A243">
        <v>242</v>
      </c>
      <c r="B243" t="s">
        <v>9763</v>
      </c>
      <c r="C243" s="1">
        <v>42787</v>
      </c>
      <c r="D243" s="22">
        <f>MONTH(Table3[[#This Row],[Order Date]])</f>
        <v>2</v>
      </c>
      <c r="E243" t="s">
        <v>1164</v>
      </c>
      <c r="F243" t="s">
        <v>1165</v>
      </c>
      <c r="G243" s="23" t="s">
        <v>64</v>
      </c>
      <c r="H243" s="23" t="s">
        <v>144</v>
      </c>
      <c r="I243" t="s">
        <v>451</v>
      </c>
      <c r="J243" t="s">
        <v>22</v>
      </c>
      <c r="K243" s="22">
        <v>1</v>
      </c>
      <c r="L243" s="1">
        <v>42792</v>
      </c>
      <c r="M243" s="22">
        <f>Table3[[#This Row],[Ship Date]]-Table3[[#This Row],[Order Date]]</f>
        <v>5</v>
      </c>
      <c r="N243" s="23" t="s">
        <v>45</v>
      </c>
      <c r="O243" s="23" t="s">
        <v>23</v>
      </c>
      <c r="P243" s="23" t="s">
        <v>94</v>
      </c>
      <c r="Q243" s="23" t="s">
        <v>95</v>
      </c>
      <c r="R243" s="23" t="s">
        <v>3716</v>
      </c>
      <c r="S243" s="33">
        <v>0.2</v>
      </c>
      <c r="T243" s="13">
        <v>47.904000000000003</v>
      </c>
      <c r="U243" s="13">
        <v>-2.9940000000000002</v>
      </c>
      <c r="V243" s="55">
        <f>Table3[[#This Row],[Profit]]/Table3[[#This Row],[Sales]]</f>
        <v>-6.25E-2</v>
      </c>
    </row>
    <row r="244" spans="1:22" x14ac:dyDescent="0.2">
      <c r="A244">
        <v>243</v>
      </c>
      <c r="B244" t="s">
        <v>4409</v>
      </c>
      <c r="C244" s="1">
        <v>42789</v>
      </c>
      <c r="D244" s="22">
        <f>MONTH(Table3[[#This Row],[Order Date]])</f>
        <v>2</v>
      </c>
      <c r="E244" t="s">
        <v>3123</v>
      </c>
      <c r="F244" t="s">
        <v>3124</v>
      </c>
      <c r="G244" s="23" t="s">
        <v>41</v>
      </c>
      <c r="H244" s="23" t="s">
        <v>82</v>
      </c>
      <c r="I244" t="s">
        <v>1795</v>
      </c>
      <c r="J244" t="s">
        <v>22</v>
      </c>
      <c r="K244" s="22">
        <v>6</v>
      </c>
      <c r="L244" s="1">
        <v>42795</v>
      </c>
      <c r="M244" s="22">
        <f>Table3[[#This Row],[Ship Date]]-Table3[[#This Row],[Order Date]]</f>
        <v>6</v>
      </c>
      <c r="N244" s="23" t="s">
        <v>45</v>
      </c>
      <c r="O244" s="23" t="s">
        <v>23</v>
      </c>
      <c r="P244" s="23" t="s">
        <v>38</v>
      </c>
      <c r="Q244" s="23" t="s">
        <v>39</v>
      </c>
      <c r="R244" s="23" t="s">
        <v>37</v>
      </c>
      <c r="S244" s="33">
        <v>0</v>
      </c>
      <c r="T244" s="13">
        <v>37.44</v>
      </c>
      <c r="U244" s="13">
        <v>16.847999999999999</v>
      </c>
      <c r="V244" s="55">
        <f>Table3[[#This Row],[Profit]]/Table3[[#This Row],[Sales]]</f>
        <v>0.45</v>
      </c>
    </row>
    <row r="245" spans="1:22" x14ac:dyDescent="0.2">
      <c r="A245">
        <v>244</v>
      </c>
      <c r="B245" t="s">
        <v>7862</v>
      </c>
      <c r="C245" s="1">
        <v>42789</v>
      </c>
      <c r="D245" s="22">
        <f>MONTH(Table3[[#This Row],[Order Date]])</f>
        <v>2</v>
      </c>
      <c r="E245" t="s">
        <v>5546</v>
      </c>
      <c r="F245" t="s">
        <v>5547</v>
      </c>
      <c r="G245" s="23" t="s">
        <v>41</v>
      </c>
      <c r="H245" s="23" t="s">
        <v>240</v>
      </c>
      <c r="I245" t="s">
        <v>4258</v>
      </c>
      <c r="J245" t="s">
        <v>36</v>
      </c>
      <c r="K245" s="22">
        <v>5</v>
      </c>
      <c r="L245" s="1">
        <v>42796</v>
      </c>
      <c r="M245" s="22">
        <f>Table3[[#This Row],[Ship Date]]-Table3[[#This Row],[Order Date]]</f>
        <v>7</v>
      </c>
      <c r="N245" s="23" t="s">
        <v>45</v>
      </c>
      <c r="O245" s="23" t="s">
        <v>23</v>
      </c>
      <c r="P245" s="23" t="s">
        <v>87</v>
      </c>
      <c r="Q245" s="23" t="s">
        <v>39</v>
      </c>
      <c r="R245" s="23" t="s">
        <v>86</v>
      </c>
      <c r="S245" s="33">
        <v>0</v>
      </c>
      <c r="T245" s="13">
        <v>8.4</v>
      </c>
      <c r="U245" s="13">
        <v>0.33600000000000002</v>
      </c>
      <c r="V245" s="55">
        <f>Table3[[#This Row],[Profit]]/Table3[[#This Row],[Sales]]</f>
        <v>0.04</v>
      </c>
    </row>
    <row r="246" spans="1:22" x14ac:dyDescent="0.2">
      <c r="A246">
        <v>245</v>
      </c>
      <c r="B246" t="s">
        <v>7862</v>
      </c>
      <c r="C246" s="1">
        <v>42789</v>
      </c>
      <c r="D246" s="22">
        <f>MONTH(Table3[[#This Row],[Order Date]])</f>
        <v>2</v>
      </c>
      <c r="E246" t="s">
        <v>2859</v>
      </c>
      <c r="F246" t="s">
        <v>2860</v>
      </c>
      <c r="G246" s="23" t="s">
        <v>64</v>
      </c>
      <c r="H246" s="23" t="s">
        <v>65</v>
      </c>
      <c r="I246" t="s">
        <v>4258</v>
      </c>
      <c r="J246" t="s">
        <v>36</v>
      </c>
      <c r="K246" s="22">
        <v>5</v>
      </c>
      <c r="L246" s="1">
        <v>42796</v>
      </c>
      <c r="M246" s="22">
        <f>Table3[[#This Row],[Ship Date]]-Table3[[#This Row],[Order Date]]</f>
        <v>7</v>
      </c>
      <c r="N246" s="23" t="s">
        <v>45</v>
      </c>
      <c r="O246" s="23" t="s">
        <v>23</v>
      </c>
      <c r="P246" s="23" t="s">
        <v>87</v>
      </c>
      <c r="Q246" s="23" t="s">
        <v>39</v>
      </c>
      <c r="R246" s="23" t="s">
        <v>86</v>
      </c>
      <c r="S246" s="33">
        <v>0.2</v>
      </c>
      <c r="T246" s="13">
        <v>71.959999999999994</v>
      </c>
      <c r="U246" s="13">
        <v>25.186</v>
      </c>
      <c r="V246" s="55">
        <f>Table3[[#This Row],[Profit]]/Table3[[#This Row],[Sales]]</f>
        <v>0.35000000000000003</v>
      </c>
    </row>
    <row r="247" spans="1:22" x14ac:dyDescent="0.2">
      <c r="A247">
        <v>246</v>
      </c>
      <c r="B247" t="s">
        <v>4309</v>
      </c>
      <c r="C247" s="1">
        <v>42790</v>
      </c>
      <c r="D247" s="22">
        <f>MONTH(Table3[[#This Row],[Order Date]])</f>
        <v>2</v>
      </c>
      <c r="E247" t="s">
        <v>3170</v>
      </c>
      <c r="F247" t="s">
        <v>3171</v>
      </c>
      <c r="G247" s="23" t="s">
        <v>41</v>
      </c>
      <c r="H247" s="23" t="s">
        <v>68</v>
      </c>
      <c r="I247" t="s">
        <v>4300</v>
      </c>
      <c r="J247" t="s">
        <v>22</v>
      </c>
      <c r="K247" s="22">
        <v>4</v>
      </c>
      <c r="L247" s="1">
        <v>42794</v>
      </c>
      <c r="M247" s="22">
        <f>Table3[[#This Row],[Ship Date]]-Table3[[#This Row],[Order Date]]</f>
        <v>4</v>
      </c>
      <c r="N247" s="23" t="s">
        <v>45</v>
      </c>
      <c r="O247" s="23" t="s">
        <v>23</v>
      </c>
      <c r="P247" s="23" t="s">
        <v>132</v>
      </c>
      <c r="Q247" s="23" t="s">
        <v>133</v>
      </c>
      <c r="R247" s="23" t="s">
        <v>131</v>
      </c>
      <c r="S247" s="33">
        <v>0.7</v>
      </c>
      <c r="T247" s="13">
        <v>4.9560000000000004</v>
      </c>
      <c r="U247" s="13">
        <v>-3.7995999999999999</v>
      </c>
      <c r="V247" s="55">
        <f>Table3[[#This Row],[Profit]]/Table3[[#This Row],[Sales]]</f>
        <v>-0.76666666666666661</v>
      </c>
    </row>
    <row r="248" spans="1:22" x14ac:dyDescent="0.2">
      <c r="A248">
        <v>247</v>
      </c>
      <c r="B248" t="s">
        <v>8581</v>
      </c>
      <c r="C248" s="1">
        <v>42790</v>
      </c>
      <c r="D248" s="22">
        <f>MONTH(Table3[[#This Row],[Order Date]])</f>
        <v>2</v>
      </c>
      <c r="E248" t="s">
        <v>3592</v>
      </c>
      <c r="F248" t="s">
        <v>3593</v>
      </c>
      <c r="G248" s="23" t="s">
        <v>41</v>
      </c>
      <c r="H248" s="23" t="s">
        <v>82</v>
      </c>
      <c r="I248" t="s">
        <v>197</v>
      </c>
      <c r="J248" t="s">
        <v>36</v>
      </c>
      <c r="K248" s="22">
        <v>5</v>
      </c>
      <c r="L248" s="1">
        <v>42794</v>
      </c>
      <c r="M248" s="22">
        <f>Table3[[#This Row],[Ship Date]]-Table3[[#This Row],[Order Date]]</f>
        <v>4</v>
      </c>
      <c r="N248" s="23" t="s">
        <v>45</v>
      </c>
      <c r="O248" s="23" t="s">
        <v>23</v>
      </c>
      <c r="P248" s="23" t="s">
        <v>132</v>
      </c>
      <c r="Q248" s="23" t="s">
        <v>133</v>
      </c>
      <c r="R248" s="23" t="s">
        <v>131</v>
      </c>
      <c r="S248" s="33">
        <v>0.2</v>
      </c>
      <c r="T248" s="13">
        <v>123.92</v>
      </c>
      <c r="U248" s="13">
        <v>38.725000000000001</v>
      </c>
      <c r="V248" s="55">
        <f>Table3[[#This Row],[Profit]]/Table3[[#This Row],[Sales]]</f>
        <v>0.3125</v>
      </c>
    </row>
    <row r="249" spans="1:22" x14ac:dyDescent="0.2">
      <c r="A249">
        <v>248</v>
      </c>
      <c r="B249" t="s">
        <v>8581</v>
      </c>
      <c r="C249" s="1">
        <v>42790</v>
      </c>
      <c r="D249" s="22">
        <f>MONTH(Table3[[#This Row],[Order Date]])</f>
        <v>2</v>
      </c>
      <c r="E249" t="s">
        <v>2635</v>
      </c>
      <c r="F249" t="s">
        <v>2636</v>
      </c>
      <c r="G249" s="23" t="s">
        <v>64</v>
      </c>
      <c r="H249" s="23" t="s">
        <v>144</v>
      </c>
      <c r="I249" t="s">
        <v>197</v>
      </c>
      <c r="J249" t="s">
        <v>36</v>
      </c>
      <c r="K249" s="22">
        <v>5</v>
      </c>
      <c r="L249" s="1">
        <v>42794</v>
      </c>
      <c r="M249" s="22">
        <f>Table3[[#This Row],[Ship Date]]-Table3[[#This Row],[Order Date]]</f>
        <v>4</v>
      </c>
      <c r="N249" s="23" t="s">
        <v>45</v>
      </c>
      <c r="O249" s="23" t="s">
        <v>23</v>
      </c>
      <c r="P249" s="23" t="s">
        <v>132</v>
      </c>
      <c r="Q249" s="23" t="s">
        <v>133</v>
      </c>
      <c r="R249" s="23" t="s">
        <v>131</v>
      </c>
      <c r="S249" s="33">
        <v>0.2</v>
      </c>
      <c r="T249" s="13">
        <v>1319.8</v>
      </c>
      <c r="U249" s="13">
        <v>214.4675</v>
      </c>
      <c r="V249" s="55">
        <f>Table3[[#This Row],[Profit]]/Table3[[#This Row],[Sales]]</f>
        <v>0.16250000000000001</v>
      </c>
    </row>
    <row r="250" spans="1:22" x14ac:dyDescent="0.2">
      <c r="A250">
        <v>249</v>
      </c>
      <c r="B250" t="s">
        <v>6196</v>
      </c>
      <c r="C250" s="1">
        <v>42791</v>
      </c>
      <c r="D250" s="22">
        <f>MONTH(Table3[[#This Row],[Order Date]])</f>
        <v>2</v>
      </c>
      <c r="E250" t="s">
        <v>396</v>
      </c>
      <c r="F250" t="s">
        <v>397</v>
      </c>
      <c r="G250" s="23" t="s">
        <v>41</v>
      </c>
      <c r="H250" s="23" t="s">
        <v>68</v>
      </c>
      <c r="I250" t="s">
        <v>5331</v>
      </c>
      <c r="J250" t="s">
        <v>22</v>
      </c>
      <c r="K250" s="22">
        <v>3</v>
      </c>
      <c r="L250" s="1">
        <v>42796</v>
      </c>
      <c r="M250" s="22">
        <f>Table3[[#This Row],[Ship Date]]-Table3[[#This Row],[Order Date]]</f>
        <v>5</v>
      </c>
      <c r="N250" s="23" t="s">
        <v>45</v>
      </c>
      <c r="O250" s="23" t="s">
        <v>23</v>
      </c>
      <c r="P250" s="23" t="s">
        <v>189</v>
      </c>
      <c r="Q250" s="23" t="s">
        <v>95</v>
      </c>
      <c r="R250" s="23" t="s">
        <v>271</v>
      </c>
      <c r="S250" s="33">
        <v>0.8</v>
      </c>
      <c r="T250" s="13">
        <v>1.788</v>
      </c>
      <c r="U250" s="13">
        <v>-3.0396000000000001</v>
      </c>
      <c r="V250" s="55">
        <f>Table3[[#This Row],[Profit]]/Table3[[#This Row],[Sales]]</f>
        <v>-1.7</v>
      </c>
    </row>
    <row r="251" spans="1:22" x14ac:dyDescent="0.2">
      <c r="A251">
        <v>250</v>
      </c>
      <c r="B251" t="s">
        <v>8745</v>
      </c>
      <c r="C251" s="1">
        <v>42791</v>
      </c>
      <c r="D251" s="22">
        <f>MONTH(Table3[[#This Row],[Order Date]])</f>
        <v>2</v>
      </c>
      <c r="E251" t="s">
        <v>2803</v>
      </c>
      <c r="F251" t="s">
        <v>2804</v>
      </c>
      <c r="G251" s="23" t="s">
        <v>28</v>
      </c>
      <c r="H251" s="23" t="s">
        <v>32</v>
      </c>
      <c r="I251" t="s">
        <v>4456</v>
      </c>
      <c r="J251" t="s">
        <v>22</v>
      </c>
      <c r="K251" s="22">
        <v>2</v>
      </c>
      <c r="L251" s="1">
        <v>42795</v>
      </c>
      <c r="M251" s="22">
        <f>Table3[[#This Row],[Ship Date]]-Table3[[#This Row],[Order Date]]</f>
        <v>4</v>
      </c>
      <c r="N251" s="23" t="s">
        <v>45</v>
      </c>
      <c r="O251" s="23" t="s">
        <v>23</v>
      </c>
      <c r="P251" s="23" t="s">
        <v>80</v>
      </c>
      <c r="Q251" s="23" t="s">
        <v>26</v>
      </c>
      <c r="R251" s="23" t="s">
        <v>3109</v>
      </c>
      <c r="S251" s="33">
        <v>0.2</v>
      </c>
      <c r="T251" s="13">
        <v>196.78399999999999</v>
      </c>
      <c r="U251" s="13">
        <v>-22.138200000000001</v>
      </c>
      <c r="V251" s="55">
        <f>Table3[[#This Row],[Profit]]/Table3[[#This Row],[Sales]]</f>
        <v>-0.11250000000000002</v>
      </c>
    </row>
    <row r="252" spans="1:22" x14ac:dyDescent="0.2">
      <c r="A252">
        <v>251</v>
      </c>
      <c r="B252" t="s">
        <v>8745</v>
      </c>
      <c r="C252" s="1">
        <v>42791</v>
      </c>
      <c r="D252" s="22">
        <f>MONTH(Table3[[#This Row],[Order Date]])</f>
        <v>2</v>
      </c>
      <c r="E252" t="s">
        <v>950</v>
      </c>
      <c r="F252" t="s">
        <v>951</v>
      </c>
      <c r="G252" s="23" t="s">
        <v>28</v>
      </c>
      <c r="H252" s="23" t="s">
        <v>29</v>
      </c>
      <c r="I252" t="s">
        <v>4456</v>
      </c>
      <c r="J252" t="s">
        <v>22</v>
      </c>
      <c r="K252" s="22">
        <v>5</v>
      </c>
      <c r="L252" s="1">
        <v>42795</v>
      </c>
      <c r="M252" s="22">
        <f>Table3[[#This Row],[Ship Date]]-Table3[[#This Row],[Order Date]]</f>
        <v>4</v>
      </c>
      <c r="N252" s="23" t="s">
        <v>45</v>
      </c>
      <c r="O252" s="23" t="s">
        <v>23</v>
      </c>
      <c r="P252" s="23" t="s">
        <v>80</v>
      </c>
      <c r="Q252" s="23" t="s">
        <v>26</v>
      </c>
      <c r="R252" s="23" t="s">
        <v>3109</v>
      </c>
      <c r="S252" s="33">
        <v>0.2</v>
      </c>
      <c r="T252" s="13">
        <v>231.92</v>
      </c>
      <c r="U252" s="13">
        <v>5.798</v>
      </c>
      <c r="V252" s="55">
        <f>Table3[[#This Row],[Profit]]/Table3[[#This Row],[Sales]]</f>
        <v>2.5000000000000001E-2</v>
      </c>
    </row>
    <row r="253" spans="1:22" x14ac:dyDescent="0.2">
      <c r="A253">
        <v>252</v>
      </c>
      <c r="B253" t="s">
        <v>2997</v>
      </c>
      <c r="C253" s="1">
        <v>42792</v>
      </c>
      <c r="D253" s="22">
        <f>MONTH(Table3[[#This Row],[Order Date]])</f>
        <v>2</v>
      </c>
      <c r="E253" t="s">
        <v>1934</v>
      </c>
      <c r="F253" t="s">
        <v>1935</v>
      </c>
      <c r="G253" s="23" t="s">
        <v>41</v>
      </c>
      <c r="H253" s="23" t="s">
        <v>71</v>
      </c>
      <c r="I253" t="s">
        <v>2998</v>
      </c>
      <c r="J253" t="s">
        <v>92</v>
      </c>
      <c r="K253" s="22">
        <v>4</v>
      </c>
      <c r="L253" s="1">
        <v>42794</v>
      </c>
      <c r="M253" s="22">
        <f>Table3[[#This Row],[Ship Date]]-Table3[[#This Row],[Order Date]]</f>
        <v>2</v>
      </c>
      <c r="N253" s="23" t="s">
        <v>20</v>
      </c>
      <c r="O253" s="23" t="s">
        <v>23</v>
      </c>
      <c r="P253" s="23" t="s">
        <v>38</v>
      </c>
      <c r="Q253" s="23" t="s">
        <v>39</v>
      </c>
      <c r="R253" s="23" t="s">
        <v>37</v>
      </c>
      <c r="S253" s="33">
        <v>0</v>
      </c>
      <c r="T253" s="13">
        <v>81.92</v>
      </c>
      <c r="U253" s="13">
        <v>22.118400000000001</v>
      </c>
      <c r="V253" s="55">
        <f>Table3[[#This Row],[Profit]]/Table3[[#This Row],[Sales]]</f>
        <v>0.27</v>
      </c>
    </row>
    <row r="254" spans="1:22" x14ac:dyDescent="0.2">
      <c r="A254">
        <v>253</v>
      </c>
      <c r="B254" t="s">
        <v>2997</v>
      </c>
      <c r="C254" s="1">
        <v>42792</v>
      </c>
      <c r="D254" s="22">
        <f>MONTH(Table3[[#This Row],[Order Date]])</f>
        <v>2</v>
      </c>
      <c r="E254" t="s">
        <v>2999</v>
      </c>
      <c r="F254" t="s">
        <v>3000</v>
      </c>
      <c r="G254" s="23" t="s">
        <v>64</v>
      </c>
      <c r="H254" s="23" t="s">
        <v>65</v>
      </c>
      <c r="I254" t="s">
        <v>2998</v>
      </c>
      <c r="J254" t="s">
        <v>92</v>
      </c>
      <c r="K254" s="22">
        <v>8</v>
      </c>
      <c r="L254" s="1">
        <v>42794</v>
      </c>
      <c r="M254" s="22">
        <f>Table3[[#This Row],[Ship Date]]-Table3[[#This Row],[Order Date]]</f>
        <v>2</v>
      </c>
      <c r="N254" s="23" t="s">
        <v>20</v>
      </c>
      <c r="O254" s="23" t="s">
        <v>23</v>
      </c>
      <c r="P254" s="23" t="s">
        <v>38</v>
      </c>
      <c r="Q254" s="23" t="s">
        <v>39</v>
      </c>
      <c r="R254" s="23" t="s">
        <v>37</v>
      </c>
      <c r="S254" s="33">
        <v>0.2</v>
      </c>
      <c r="T254" s="13">
        <v>889.53599999999994</v>
      </c>
      <c r="U254" s="13">
        <v>66.715199999999996</v>
      </c>
      <c r="V254" s="55">
        <f>Table3[[#This Row],[Profit]]/Table3[[#This Row],[Sales]]</f>
        <v>7.4999999999999997E-2</v>
      </c>
    </row>
    <row r="255" spans="1:22" x14ac:dyDescent="0.2">
      <c r="A255">
        <v>254</v>
      </c>
      <c r="B255" t="s">
        <v>2997</v>
      </c>
      <c r="C255" s="1">
        <v>42792</v>
      </c>
      <c r="D255" s="22">
        <f>MONTH(Table3[[#This Row],[Order Date]])</f>
        <v>2</v>
      </c>
      <c r="E255" t="s">
        <v>3001</v>
      </c>
      <c r="F255" t="s">
        <v>3002</v>
      </c>
      <c r="G255" s="23" t="s">
        <v>28</v>
      </c>
      <c r="H255" s="23" t="s">
        <v>32</v>
      </c>
      <c r="I255" t="s">
        <v>2998</v>
      </c>
      <c r="J255" t="s">
        <v>92</v>
      </c>
      <c r="K255" s="22">
        <v>3</v>
      </c>
      <c r="L255" s="1">
        <v>42794</v>
      </c>
      <c r="M255" s="22">
        <f>Table3[[#This Row],[Ship Date]]-Table3[[#This Row],[Order Date]]</f>
        <v>2</v>
      </c>
      <c r="N255" s="23" t="s">
        <v>20</v>
      </c>
      <c r="O255" s="23" t="s">
        <v>23</v>
      </c>
      <c r="P255" s="23" t="s">
        <v>38</v>
      </c>
      <c r="Q255" s="23" t="s">
        <v>39</v>
      </c>
      <c r="R255" s="23" t="s">
        <v>37</v>
      </c>
      <c r="S255" s="33">
        <v>0.2</v>
      </c>
      <c r="T255" s="13">
        <v>892.22400000000005</v>
      </c>
      <c r="U255" s="13">
        <v>89.222399999999993</v>
      </c>
      <c r="V255" s="55">
        <f>Table3[[#This Row],[Profit]]/Table3[[#This Row],[Sales]]</f>
        <v>9.9999999999999992E-2</v>
      </c>
    </row>
    <row r="256" spans="1:22" x14ac:dyDescent="0.2">
      <c r="A256">
        <v>255</v>
      </c>
      <c r="B256" t="s">
        <v>2997</v>
      </c>
      <c r="C256" s="1">
        <v>42792</v>
      </c>
      <c r="D256" s="22">
        <f>MONTH(Table3[[#This Row],[Order Date]])</f>
        <v>2</v>
      </c>
      <c r="E256" t="s">
        <v>1106</v>
      </c>
      <c r="F256" t="s">
        <v>1275</v>
      </c>
      <c r="G256" s="23" t="s">
        <v>41</v>
      </c>
      <c r="H256" s="23" t="s">
        <v>82</v>
      </c>
      <c r="I256" t="s">
        <v>2998</v>
      </c>
      <c r="J256" t="s">
        <v>92</v>
      </c>
      <c r="K256" s="22">
        <v>4</v>
      </c>
      <c r="L256" s="1">
        <v>42794</v>
      </c>
      <c r="M256" s="22">
        <f>Table3[[#This Row],[Ship Date]]-Table3[[#This Row],[Order Date]]</f>
        <v>2</v>
      </c>
      <c r="N256" s="23" t="s">
        <v>20</v>
      </c>
      <c r="O256" s="23" t="s">
        <v>23</v>
      </c>
      <c r="P256" s="23" t="s">
        <v>38</v>
      </c>
      <c r="Q256" s="23" t="s">
        <v>39</v>
      </c>
      <c r="R256" s="23" t="s">
        <v>37</v>
      </c>
      <c r="S256" s="33">
        <v>0</v>
      </c>
      <c r="T256" s="13">
        <v>223.92</v>
      </c>
      <c r="U256" s="13">
        <v>109.7208</v>
      </c>
      <c r="V256" s="55">
        <f>Table3[[#This Row],[Profit]]/Table3[[#This Row],[Sales]]</f>
        <v>0.49</v>
      </c>
    </row>
    <row r="257" spans="1:22" x14ac:dyDescent="0.2">
      <c r="A257">
        <v>256</v>
      </c>
      <c r="B257" t="s">
        <v>2997</v>
      </c>
      <c r="C257" s="1">
        <v>42792</v>
      </c>
      <c r="D257" s="22">
        <f>MONTH(Table3[[#This Row],[Order Date]])</f>
        <v>2</v>
      </c>
      <c r="E257" t="s">
        <v>3003</v>
      </c>
      <c r="F257" t="s">
        <v>3004</v>
      </c>
      <c r="G257" s="23" t="s">
        <v>41</v>
      </c>
      <c r="H257" s="23" t="s">
        <v>82</v>
      </c>
      <c r="I257" t="s">
        <v>2998</v>
      </c>
      <c r="J257" t="s">
        <v>92</v>
      </c>
      <c r="K257" s="22">
        <v>4</v>
      </c>
      <c r="L257" s="1">
        <v>42794</v>
      </c>
      <c r="M257" s="22">
        <f>Table3[[#This Row],[Ship Date]]-Table3[[#This Row],[Order Date]]</f>
        <v>2</v>
      </c>
      <c r="N257" s="23" t="s">
        <v>20</v>
      </c>
      <c r="O257" s="23" t="s">
        <v>23</v>
      </c>
      <c r="P257" s="23" t="s">
        <v>38</v>
      </c>
      <c r="Q257" s="23" t="s">
        <v>39</v>
      </c>
      <c r="R257" s="23" t="s">
        <v>37</v>
      </c>
      <c r="S257" s="33">
        <v>0</v>
      </c>
      <c r="T257" s="13">
        <v>23.12</v>
      </c>
      <c r="U257" s="13">
        <v>11.328799999999999</v>
      </c>
      <c r="V257" s="55">
        <f>Table3[[#This Row],[Profit]]/Table3[[#This Row],[Sales]]</f>
        <v>0.48999999999999994</v>
      </c>
    </row>
    <row r="258" spans="1:22" x14ac:dyDescent="0.2">
      <c r="A258">
        <v>257</v>
      </c>
      <c r="B258" t="s">
        <v>8400</v>
      </c>
      <c r="C258" s="1">
        <v>42792</v>
      </c>
      <c r="D258" s="22">
        <f>MONTH(Table3[[#This Row],[Order Date]])</f>
        <v>2</v>
      </c>
      <c r="E258" t="s">
        <v>1853</v>
      </c>
      <c r="F258" t="s">
        <v>1854</v>
      </c>
      <c r="G258" s="23" t="s">
        <v>41</v>
      </c>
      <c r="H258" s="23" t="s">
        <v>71</v>
      </c>
      <c r="I258" t="s">
        <v>597</v>
      </c>
      <c r="J258" t="s">
        <v>22</v>
      </c>
      <c r="K258" s="22">
        <v>7</v>
      </c>
      <c r="L258" s="1">
        <v>42796</v>
      </c>
      <c r="M258" s="22">
        <f>Table3[[#This Row],[Ship Date]]-Table3[[#This Row],[Order Date]]</f>
        <v>4</v>
      </c>
      <c r="N258" s="23" t="s">
        <v>45</v>
      </c>
      <c r="O258" s="23" t="s">
        <v>23</v>
      </c>
      <c r="P258" s="23" t="s">
        <v>38</v>
      </c>
      <c r="Q258" s="23" t="s">
        <v>39</v>
      </c>
      <c r="R258" s="23" t="s">
        <v>7543</v>
      </c>
      <c r="S258" s="33">
        <v>0</v>
      </c>
      <c r="T258" s="13">
        <v>356.79</v>
      </c>
      <c r="U258" s="13">
        <v>99.901200000000003</v>
      </c>
      <c r="V258" s="55">
        <f>Table3[[#This Row],[Profit]]/Table3[[#This Row],[Sales]]</f>
        <v>0.27999999999999997</v>
      </c>
    </row>
    <row r="259" spans="1:22" x14ac:dyDescent="0.2">
      <c r="A259">
        <v>258</v>
      </c>
      <c r="B259" t="s">
        <v>10142</v>
      </c>
      <c r="C259" s="1">
        <v>42792</v>
      </c>
      <c r="D259" s="22">
        <f>MONTH(Table3[[#This Row],[Order Date]])</f>
        <v>2</v>
      </c>
      <c r="E259" t="s">
        <v>7738</v>
      </c>
      <c r="F259" t="s">
        <v>7739</v>
      </c>
      <c r="G259" s="23" t="s">
        <v>28</v>
      </c>
      <c r="H259" s="23" t="s">
        <v>58</v>
      </c>
      <c r="I259" t="s">
        <v>569</v>
      </c>
      <c r="J259" t="s">
        <v>22</v>
      </c>
      <c r="K259" s="22">
        <v>2</v>
      </c>
      <c r="L259" s="1">
        <v>42797</v>
      </c>
      <c r="M259" s="22">
        <f>Table3[[#This Row],[Ship Date]]-Table3[[#This Row],[Order Date]]</f>
        <v>5</v>
      </c>
      <c r="N259" s="23" t="s">
        <v>45</v>
      </c>
      <c r="O259" s="23" t="s">
        <v>23</v>
      </c>
      <c r="P259" s="23" t="s">
        <v>38</v>
      </c>
      <c r="Q259" s="23" t="s">
        <v>39</v>
      </c>
      <c r="R259" s="23" t="s">
        <v>1514</v>
      </c>
      <c r="S259" s="33">
        <v>0</v>
      </c>
      <c r="T259" s="13">
        <v>91.96</v>
      </c>
      <c r="U259" s="13">
        <v>15.6332</v>
      </c>
      <c r="V259" s="55">
        <f>Table3[[#This Row],[Profit]]/Table3[[#This Row],[Sales]]</f>
        <v>0.17</v>
      </c>
    </row>
    <row r="260" spans="1:22" x14ac:dyDescent="0.2">
      <c r="A260">
        <v>259</v>
      </c>
      <c r="B260" t="s">
        <v>10142</v>
      </c>
      <c r="C260" s="1">
        <v>42792</v>
      </c>
      <c r="D260" s="22">
        <f>MONTH(Table3[[#This Row],[Order Date]])</f>
        <v>2</v>
      </c>
      <c r="E260" t="s">
        <v>1052</v>
      </c>
      <c r="F260" t="s">
        <v>1053</v>
      </c>
      <c r="G260" s="23" t="s">
        <v>64</v>
      </c>
      <c r="H260" s="23" t="s">
        <v>65</v>
      </c>
      <c r="I260" t="s">
        <v>569</v>
      </c>
      <c r="J260" t="s">
        <v>22</v>
      </c>
      <c r="K260" s="22">
        <v>2</v>
      </c>
      <c r="L260" s="1">
        <v>42797</v>
      </c>
      <c r="M260" s="22">
        <f>Table3[[#This Row],[Ship Date]]-Table3[[#This Row],[Order Date]]</f>
        <v>5</v>
      </c>
      <c r="N260" s="23" t="s">
        <v>45</v>
      </c>
      <c r="O260" s="23" t="s">
        <v>23</v>
      </c>
      <c r="P260" s="23" t="s">
        <v>38</v>
      </c>
      <c r="Q260" s="23" t="s">
        <v>39</v>
      </c>
      <c r="R260" s="23" t="s">
        <v>1514</v>
      </c>
      <c r="S260" s="33">
        <v>0.2</v>
      </c>
      <c r="T260" s="13">
        <v>258.57600000000002</v>
      </c>
      <c r="U260" s="13">
        <v>19.3932</v>
      </c>
      <c r="V260" s="55">
        <f>Table3[[#This Row],[Profit]]/Table3[[#This Row],[Sales]]</f>
        <v>7.4999999999999997E-2</v>
      </c>
    </row>
    <row r="261" spans="1:22" x14ac:dyDescent="0.2">
      <c r="A261">
        <v>260</v>
      </c>
      <c r="B261" t="s">
        <v>10142</v>
      </c>
      <c r="C261" s="1">
        <v>42792</v>
      </c>
      <c r="D261" s="22">
        <f>MONTH(Table3[[#This Row],[Order Date]])</f>
        <v>2</v>
      </c>
      <c r="E261" t="s">
        <v>3304</v>
      </c>
      <c r="F261" t="s">
        <v>3305</v>
      </c>
      <c r="G261" s="23" t="s">
        <v>41</v>
      </c>
      <c r="H261" s="23" t="s">
        <v>82</v>
      </c>
      <c r="I261" t="s">
        <v>569</v>
      </c>
      <c r="J261" t="s">
        <v>22</v>
      </c>
      <c r="K261" s="22">
        <v>4</v>
      </c>
      <c r="L261" s="1">
        <v>42797</v>
      </c>
      <c r="M261" s="22">
        <f>Table3[[#This Row],[Ship Date]]-Table3[[#This Row],[Order Date]]</f>
        <v>5</v>
      </c>
      <c r="N261" s="23" t="s">
        <v>45</v>
      </c>
      <c r="O261" s="23" t="s">
        <v>23</v>
      </c>
      <c r="P261" s="23" t="s">
        <v>38</v>
      </c>
      <c r="Q261" s="23" t="s">
        <v>39</v>
      </c>
      <c r="R261" s="23" t="s">
        <v>1514</v>
      </c>
      <c r="S261" s="33">
        <v>0</v>
      </c>
      <c r="T261" s="13">
        <v>29.6</v>
      </c>
      <c r="U261" s="13">
        <v>13.32</v>
      </c>
      <c r="V261" s="55">
        <f>Table3[[#This Row],[Profit]]/Table3[[#This Row],[Sales]]</f>
        <v>0.45</v>
      </c>
    </row>
    <row r="262" spans="1:22" x14ac:dyDescent="0.2">
      <c r="A262">
        <v>261</v>
      </c>
      <c r="B262" t="s">
        <v>10038</v>
      </c>
      <c r="C262" s="1">
        <v>42794</v>
      </c>
      <c r="D262" s="22">
        <f>MONTH(Table3[[#This Row],[Order Date]])</f>
        <v>2</v>
      </c>
      <c r="E262" t="s">
        <v>4192</v>
      </c>
      <c r="F262" t="s">
        <v>4193</v>
      </c>
      <c r="G262" s="23" t="s">
        <v>41</v>
      </c>
      <c r="H262" s="23" t="s">
        <v>68</v>
      </c>
      <c r="I262" t="s">
        <v>4198</v>
      </c>
      <c r="J262" t="s">
        <v>22</v>
      </c>
      <c r="K262" s="22">
        <v>2</v>
      </c>
      <c r="L262" s="1">
        <v>42800</v>
      </c>
      <c r="M262" s="22">
        <f>Table3[[#This Row],[Ship Date]]-Table3[[#This Row],[Order Date]]</f>
        <v>6</v>
      </c>
      <c r="N262" s="23" t="s">
        <v>45</v>
      </c>
      <c r="O262" s="23" t="s">
        <v>23</v>
      </c>
      <c r="P262" s="23" t="s">
        <v>660</v>
      </c>
      <c r="Q262" s="23" t="s">
        <v>133</v>
      </c>
      <c r="R262" s="23" t="s">
        <v>3253</v>
      </c>
      <c r="S262" s="33">
        <v>0</v>
      </c>
      <c r="T262" s="13">
        <v>9.84</v>
      </c>
      <c r="U262" s="13">
        <v>4.7232000000000003</v>
      </c>
      <c r="V262" s="55">
        <f>Table3[[#This Row],[Profit]]/Table3[[#This Row],[Sales]]</f>
        <v>0.48000000000000004</v>
      </c>
    </row>
    <row r="263" spans="1:22" x14ac:dyDescent="0.2">
      <c r="A263">
        <v>262</v>
      </c>
      <c r="B263" t="s">
        <v>10038</v>
      </c>
      <c r="C263" s="1">
        <v>42794</v>
      </c>
      <c r="D263" s="22">
        <f>MONTH(Table3[[#This Row],[Order Date]])</f>
        <v>2</v>
      </c>
      <c r="E263" t="s">
        <v>1936</v>
      </c>
      <c r="F263" t="s">
        <v>1937</v>
      </c>
      <c r="G263" s="23" t="s">
        <v>41</v>
      </c>
      <c r="H263" s="23" t="s">
        <v>82</v>
      </c>
      <c r="I263" t="s">
        <v>4198</v>
      </c>
      <c r="J263" t="s">
        <v>22</v>
      </c>
      <c r="K263" s="22">
        <v>1</v>
      </c>
      <c r="L263" s="1">
        <v>42800</v>
      </c>
      <c r="M263" s="22">
        <f>Table3[[#This Row],[Ship Date]]-Table3[[#This Row],[Order Date]]</f>
        <v>6</v>
      </c>
      <c r="N263" s="23" t="s">
        <v>45</v>
      </c>
      <c r="O263" s="23" t="s">
        <v>23</v>
      </c>
      <c r="P263" s="23" t="s">
        <v>660</v>
      </c>
      <c r="Q263" s="23" t="s">
        <v>133</v>
      </c>
      <c r="R263" s="23" t="s">
        <v>3253</v>
      </c>
      <c r="S263" s="33">
        <v>0</v>
      </c>
      <c r="T263" s="13">
        <v>7.78</v>
      </c>
      <c r="U263" s="13">
        <v>3.5009999999999999</v>
      </c>
      <c r="V263" s="55">
        <f>Table3[[#This Row],[Profit]]/Table3[[#This Row],[Sales]]</f>
        <v>0.44999999999999996</v>
      </c>
    </row>
    <row r="264" spans="1:22" x14ac:dyDescent="0.2">
      <c r="A264">
        <v>263</v>
      </c>
      <c r="B264" t="s">
        <v>3964</v>
      </c>
      <c r="C264" s="1">
        <v>42796</v>
      </c>
      <c r="D264" s="22">
        <f>MONTH(Table3[[#This Row],[Order Date]])</f>
        <v>3</v>
      </c>
      <c r="E264" t="s">
        <v>1653</v>
      </c>
      <c r="F264" t="s">
        <v>1147</v>
      </c>
      <c r="G264" s="23" t="s">
        <v>41</v>
      </c>
      <c r="H264" s="23" t="s">
        <v>513</v>
      </c>
      <c r="I264" t="s">
        <v>318</v>
      </c>
      <c r="J264" t="s">
        <v>36</v>
      </c>
      <c r="K264" s="22">
        <v>4</v>
      </c>
      <c r="L264" s="1">
        <v>42802</v>
      </c>
      <c r="M264" s="22">
        <f>Table3[[#This Row],[Ship Date]]-Table3[[#This Row],[Order Date]]</f>
        <v>6</v>
      </c>
      <c r="N264" s="23" t="s">
        <v>45</v>
      </c>
      <c r="O264" s="23" t="s">
        <v>23</v>
      </c>
      <c r="P264" s="23" t="s">
        <v>94</v>
      </c>
      <c r="Q264" s="23" t="s">
        <v>95</v>
      </c>
      <c r="R264" s="23" t="s">
        <v>718</v>
      </c>
      <c r="S264" s="33">
        <v>0.2</v>
      </c>
      <c r="T264" s="13">
        <v>6.976</v>
      </c>
      <c r="U264" s="13">
        <v>-1.3952</v>
      </c>
      <c r="V264" s="55">
        <f>Table3[[#This Row],[Profit]]/Table3[[#This Row],[Sales]]</f>
        <v>-0.2</v>
      </c>
    </row>
    <row r="265" spans="1:22" x14ac:dyDescent="0.2">
      <c r="A265">
        <v>264</v>
      </c>
      <c r="B265" t="s">
        <v>3964</v>
      </c>
      <c r="C265" s="1">
        <v>42796</v>
      </c>
      <c r="D265" s="22">
        <f>MONTH(Table3[[#This Row],[Order Date]])</f>
        <v>3</v>
      </c>
      <c r="E265" t="s">
        <v>207</v>
      </c>
      <c r="F265" t="s">
        <v>208</v>
      </c>
      <c r="G265" s="23" t="s">
        <v>41</v>
      </c>
      <c r="H265" s="23" t="s">
        <v>68</v>
      </c>
      <c r="I265" t="s">
        <v>318</v>
      </c>
      <c r="J265" t="s">
        <v>36</v>
      </c>
      <c r="K265" s="22">
        <v>7</v>
      </c>
      <c r="L265" s="1">
        <v>42802</v>
      </c>
      <c r="M265" s="22">
        <f>Table3[[#This Row],[Ship Date]]-Table3[[#This Row],[Order Date]]</f>
        <v>6</v>
      </c>
      <c r="N265" s="23" t="s">
        <v>45</v>
      </c>
      <c r="O265" s="23" t="s">
        <v>23</v>
      </c>
      <c r="P265" s="23" t="s">
        <v>94</v>
      </c>
      <c r="Q265" s="23" t="s">
        <v>95</v>
      </c>
      <c r="R265" s="23" t="s">
        <v>718</v>
      </c>
      <c r="S265" s="33">
        <v>0.8</v>
      </c>
      <c r="T265" s="13">
        <v>12.222</v>
      </c>
      <c r="U265" s="13">
        <v>-20.1663</v>
      </c>
      <c r="V265" s="55">
        <f>Table3[[#This Row],[Profit]]/Table3[[#This Row],[Sales]]</f>
        <v>-1.6500000000000001</v>
      </c>
    </row>
    <row r="266" spans="1:22" x14ac:dyDescent="0.2">
      <c r="A266">
        <v>265</v>
      </c>
      <c r="B266" t="s">
        <v>4974</v>
      </c>
      <c r="C266" s="1">
        <v>42796</v>
      </c>
      <c r="D266" s="22">
        <f>MONTH(Table3[[#This Row],[Order Date]])</f>
        <v>3</v>
      </c>
      <c r="E266" t="s">
        <v>4975</v>
      </c>
      <c r="F266" t="s">
        <v>4976</v>
      </c>
      <c r="G266" s="23" t="s">
        <v>64</v>
      </c>
      <c r="H266" s="23" t="s">
        <v>65</v>
      </c>
      <c r="I266" t="s">
        <v>1522</v>
      </c>
      <c r="J266" t="s">
        <v>36</v>
      </c>
      <c r="K266" s="22">
        <v>3</v>
      </c>
      <c r="L266" s="1">
        <v>42802</v>
      </c>
      <c r="M266" s="22">
        <f>Table3[[#This Row],[Ship Date]]-Table3[[#This Row],[Order Date]]</f>
        <v>6</v>
      </c>
      <c r="N266" s="23" t="s">
        <v>45</v>
      </c>
      <c r="O266" s="23" t="s">
        <v>23</v>
      </c>
      <c r="P266" s="23" t="s">
        <v>38</v>
      </c>
      <c r="Q266" s="23" t="s">
        <v>39</v>
      </c>
      <c r="R266" s="23" t="s">
        <v>37</v>
      </c>
      <c r="S266" s="33">
        <v>0.2</v>
      </c>
      <c r="T266" s="13">
        <v>196.77600000000001</v>
      </c>
      <c r="U266" s="13">
        <v>14.7582</v>
      </c>
      <c r="V266" s="55">
        <f>Table3[[#This Row],[Profit]]/Table3[[#This Row],[Sales]]</f>
        <v>7.4999999999999997E-2</v>
      </c>
    </row>
    <row r="267" spans="1:22" x14ac:dyDescent="0.2">
      <c r="A267">
        <v>266</v>
      </c>
      <c r="B267" t="s">
        <v>4974</v>
      </c>
      <c r="C267" s="1">
        <v>42796</v>
      </c>
      <c r="D267" s="22">
        <f>MONTH(Table3[[#This Row],[Order Date]])</f>
        <v>3</v>
      </c>
      <c r="E267" t="s">
        <v>3133</v>
      </c>
      <c r="F267" t="s">
        <v>3134</v>
      </c>
      <c r="G267" s="23" t="s">
        <v>64</v>
      </c>
      <c r="H267" s="23" t="s">
        <v>144</v>
      </c>
      <c r="I267" t="s">
        <v>1522</v>
      </c>
      <c r="J267" t="s">
        <v>36</v>
      </c>
      <c r="K267" s="22">
        <v>6</v>
      </c>
      <c r="L267" s="1">
        <v>42802</v>
      </c>
      <c r="M267" s="22">
        <f>Table3[[#This Row],[Ship Date]]-Table3[[#This Row],[Order Date]]</f>
        <v>6</v>
      </c>
      <c r="N267" s="23" t="s">
        <v>45</v>
      </c>
      <c r="O267" s="23" t="s">
        <v>23</v>
      </c>
      <c r="P267" s="23" t="s">
        <v>38</v>
      </c>
      <c r="Q267" s="23" t="s">
        <v>39</v>
      </c>
      <c r="R267" s="23" t="s">
        <v>37</v>
      </c>
      <c r="S267" s="33">
        <v>0</v>
      </c>
      <c r="T267" s="13">
        <v>479.94</v>
      </c>
      <c r="U267" s="13">
        <v>52.793399999999998</v>
      </c>
      <c r="V267" s="55">
        <f>Table3[[#This Row],[Profit]]/Table3[[#This Row],[Sales]]</f>
        <v>0.11</v>
      </c>
    </row>
    <row r="268" spans="1:22" x14ac:dyDescent="0.2">
      <c r="A268">
        <v>267</v>
      </c>
      <c r="B268" t="s">
        <v>8795</v>
      </c>
      <c r="C268" s="1">
        <v>42796</v>
      </c>
      <c r="D268" s="22">
        <f>MONTH(Table3[[#This Row],[Order Date]])</f>
        <v>3</v>
      </c>
      <c r="E268" t="s">
        <v>5694</v>
      </c>
      <c r="F268" t="s">
        <v>5695</v>
      </c>
      <c r="G268" s="23" t="s">
        <v>41</v>
      </c>
      <c r="H268" s="23" t="s">
        <v>61</v>
      </c>
      <c r="I268" t="s">
        <v>4587</v>
      </c>
      <c r="J268" t="s">
        <v>36</v>
      </c>
      <c r="K268" s="22">
        <v>3</v>
      </c>
      <c r="L268" s="1">
        <v>42802</v>
      </c>
      <c r="M268" s="22">
        <f>Table3[[#This Row],[Ship Date]]-Table3[[#This Row],[Order Date]]</f>
        <v>6</v>
      </c>
      <c r="N268" s="23" t="s">
        <v>45</v>
      </c>
      <c r="O268" s="23" t="s">
        <v>23</v>
      </c>
      <c r="P268" s="23" t="s">
        <v>218</v>
      </c>
      <c r="Q268" s="23" t="s">
        <v>133</v>
      </c>
      <c r="R268" s="23" t="s">
        <v>536</v>
      </c>
      <c r="S268" s="33">
        <v>0</v>
      </c>
      <c r="T268" s="13">
        <v>59.52</v>
      </c>
      <c r="U268" s="13">
        <v>15.475199999999999</v>
      </c>
      <c r="V268" s="55">
        <f>Table3[[#This Row],[Profit]]/Table3[[#This Row],[Sales]]</f>
        <v>0.25999999999999995</v>
      </c>
    </row>
    <row r="269" spans="1:22" x14ac:dyDescent="0.2">
      <c r="A269">
        <v>268</v>
      </c>
      <c r="B269" t="s">
        <v>8795</v>
      </c>
      <c r="C269" s="1">
        <v>42796</v>
      </c>
      <c r="D269" s="22">
        <f>MONTH(Table3[[#This Row],[Order Date]])</f>
        <v>3</v>
      </c>
      <c r="E269" t="s">
        <v>5439</v>
      </c>
      <c r="F269" t="s">
        <v>591</v>
      </c>
      <c r="G269" s="23" t="s">
        <v>41</v>
      </c>
      <c r="H269" s="23" t="s">
        <v>155</v>
      </c>
      <c r="I269" t="s">
        <v>4587</v>
      </c>
      <c r="J269" t="s">
        <v>36</v>
      </c>
      <c r="K269" s="22">
        <v>7</v>
      </c>
      <c r="L269" s="1">
        <v>42802</v>
      </c>
      <c r="M269" s="22">
        <f>Table3[[#This Row],[Ship Date]]-Table3[[#This Row],[Order Date]]</f>
        <v>6</v>
      </c>
      <c r="N269" s="23" t="s">
        <v>45</v>
      </c>
      <c r="O269" s="23" t="s">
        <v>23</v>
      </c>
      <c r="P269" s="23" t="s">
        <v>218</v>
      </c>
      <c r="Q269" s="23" t="s">
        <v>133</v>
      </c>
      <c r="R269" s="23" t="s">
        <v>536</v>
      </c>
      <c r="S269" s="33">
        <v>0</v>
      </c>
      <c r="T269" s="13">
        <v>57.96</v>
      </c>
      <c r="U269" s="13">
        <v>27.241199999999999</v>
      </c>
      <c r="V269" s="55">
        <f>Table3[[#This Row],[Profit]]/Table3[[#This Row],[Sales]]</f>
        <v>0.47</v>
      </c>
    </row>
    <row r="270" spans="1:22" x14ac:dyDescent="0.2">
      <c r="A270">
        <v>269</v>
      </c>
      <c r="B270" t="s">
        <v>8795</v>
      </c>
      <c r="C270" s="1">
        <v>42796</v>
      </c>
      <c r="D270" s="22">
        <f>MONTH(Table3[[#This Row],[Order Date]])</f>
        <v>3</v>
      </c>
      <c r="E270" t="s">
        <v>5633</v>
      </c>
      <c r="F270" t="s">
        <v>5634</v>
      </c>
      <c r="G270" s="23" t="s">
        <v>28</v>
      </c>
      <c r="H270" s="23" t="s">
        <v>29</v>
      </c>
      <c r="I270" t="s">
        <v>4587</v>
      </c>
      <c r="J270" t="s">
        <v>36</v>
      </c>
      <c r="K270" s="22">
        <v>2</v>
      </c>
      <c r="L270" s="1">
        <v>42802</v>
      </c>
      <c r="M270" s="22">
        <f>Table3[[#This Row],[Ship Date]]-Table3[[#This Row],[Order Date]]</f>
        <v>6</v>
      </c>
      <c r="N270" s="23" t="s">
        <v>45</v>
      </c>
      <c r="O270" s="23" t="s">
        <v>23</v>
      </c>
      <c r="P270" s="23" t="s">
        <v>218</v>
      </c>
      <c r="Q270" s="23" t="s">
        <v>133</v>
      </c>
      <c r="R270" s="23" t="s">
        <v>536</v>
      </c>
      <c r="S270" s="33">
        <v>0</v>
      </c>
      <c r="T270" s="13">
        <v>441.96</v>
      </c>
      <c r="U270" s="13">
        <v>101.6508</v>
      </c>
      <c r="V270" s="55">
        <f>Table3[[#This Row],[Profit]]/Table3[[#This Row],[Sales]]</f>
        <v>0.23</v>
      </c>
    </row>
    <row r="271" spans="1:22" x14ac:dyDescent="0.2">
      <c r="A271">
        <v>270</v>
      </c>
      <c r="B271" t="s">
        <v>8795</v>
      </c>
      <c r="C271" s="1">
        <v>42796</v>
      </c>
      <c r="D271" s="22">
        <f>MONTH(Table3[[#This Row],[Order Date]])</f>
        <v>3</v>
      </c>
      <c r="E271" t="s">
        <v>7171</v>
      </c>
      <c r="F271" t="s">
        <v>167</v>
      </c>
      <c r="G271" s="23" t="s">
        <v>41</v>
      </c>
      <c r="H271" s="23" t="s">
        <v>82</v>
      </c>
      <c r="I271" t="s">
        <v>4587</v>
      </c>
      <c r="J271" t="s">
        <v>36</v>
      </c>
      <c r="K271" s="22">
        <v>6</v>
      </c>
      <c r="L271" s="1">
        <v>42802</v>
      </c>
      <c r="M271" s="22">
        <f>Table3[[#This Row],[Ship Date]]-Table3[[#This Row],[Order Date]]</f>
        <v>6</v>
      </c>
      <c r="N271" s="23" t="s">
        <v>45</v>
      </c>
      <c r="O271" s="23" t="s">
        <v>23</v>
      </c>
      <c r="P271" s="23" t="s">
        <v>218</v>
      </c>
      <c r="Q271" s="23" t="s">
        <v>133</v>
      </c>
      <c r="R271" s="23" t="s">
        <v>536</v>
      </c>
      <c r="S271" s="33">
        <v>0</v>
      </c>
      <c r="T271" s="13">
        <v>68.040000000000006</v>
      </c>
      <c r="U271" s="13">
        <v>33.339599999999997</v>
      </c>
      <c r="V271" s="55">
        <f>Table3[[#This Row],[Profit]]/Table3[[#This Row],[Sales]]</f>
        <v>0.48999999999999994</v>
      </c>
    </row>
    <row r="272" spans="1:22" x14ac:dyDescent="0.2">
      <c r="A272">
        <v>271</v>
      </c>
      <c r="B272" t="s">
        <v>8927</v>
      </c>
      <c r="C272" s="1">
        <v>42796</v>
      </c>
      <c r="D272" s="22">
        <f>MONTH(Table3[[#This Row],[Order Date]])</f>
        <v>3</v>
      </c>
      <c r="E272" t="s">
        <v>3818</v>
      </c>
      <c r="F272" t="s">
        <v>3819</v>
      </c>
      <c r="G272" s="23" t="s">
        <v>41</v>
      </c>
      <c r="H272" s="23" t="s">
        <v>68</v>
      </c>
      <c r="I272" t="s">
        <v>2550</v>
      </c>
      <c r="J272" t="s">
        <v>22</v>
      </c>
      <c r="K272" s="22">
        <v>4</v>
      </c>
      <c r="L272" s="1">
        <v>42800</v>
      </c>
      <c r="M272" s="22">
        <f>Table3[[#This Row],[Ship Date]]-Table3[[#This Row],[Order Date]]</f>
        <v>4</v>
      </c>
      <c r="N272" s="23" t="s">
        <v>45</v>
      </c>
      <c r="O272" s="23" t="s">
        <v>23</v>
      </c>
      <c r="P272" s="23" t="s">
        <v>441</v>
      </c>
      <c r="Q272" s="23" t="s">
        <v>133</v>
      </c>
      <c r="R272" s="23" t="s">
        <v>2923</v>
      </c>
      <c r="S272" s="33">
        <v>0.7</v>
      </c>
      <c r="T272" s="13">
        <v>18.527999999999999</v>
      </c>
      <c r="U272" s="13">
        <v>-12.352</v>
      </c>
      <c r="V272" s="55">
        <f>Table3[[#This Row],[Profit]]/Table3[[#This Row],[Sales]]</f>
        <v>-0.66666666666666674</v>
      </c>
    </row>
    <row r="273" spans="1:22" x14ac:dyDescent="0.2">
      <c r="A273">
        <v>272</v>
      </c>
      <c r="B273" t="s">
        <v>9725</v>
      </c>
      <c r="C273" s="1">
        <v>42796</v>
      </c>
      <c r="D273" s="22">
        <f>MONTH(Table3[[#This Row],[Order Date]])</f>
        <v>3</v>
      </c>
      <c r="E273" t="s">
        <v>3794</v>
      </c>
      <c r="F273" t="s">
        <v>3795</v>
      </c>
      <c r="G273" s="23" t="s">
        <v>41</v>
      </c>
      <c r="H273" s="23" t="s">
        <v>68</v>
      </c>
      <c r="I273" t="s">
        <v>5008</v>
      </c>
      <c r="J273" t="s">
        <v>36</v>
      </c>
      <c r="K273" s="22">
        <v>2</v>
      </c>
      <c r="L273" s="1">
        <v>42802</v>
      </c>
      <c r="M273" s="22">
        <f>Table3[[#This Row],[Ship Date]]-Table3[[#This Row],[Order Date]]</f>
        <v>6</v>
      </c>
      <c r="N273" s="23" t="s">
        <v>45</v>
      </c>
      <c r="O273" s="23" t="s">
        <v>23</v>
      </c>
      <c r="P273" s="23" t="s">
        <v>38</v>
      </c>
      <c r="Q273" s="23" t="s">
        <v>39</v>
      </c>
      <c r="R273" s="23" t="s">
        <v>37</v>
      </c>
      <c r="S273" s="33">
        <v>0.2</v>
      </c>
      <c r="T273" s="13">
        <v>107.648</v>
      </c>
      <c r="U273" s="13">
        <v>33.64</v>
      </c>
      <c r="V273" s="55">
        <f>Table3[[#This Row],[Profit]]/Table3[[#This Row],[Sales]]</f>
        <v>0.3125</v>
      </c>
    </row>
    <row r="274" spans="1:22" x14ac:dyDescent="0.2">
      <c r="A274">
        <v>273</v>
      </c>
      <c r="B274" t="s">
        <v>9752</v>
      </c>
      <c r="C274" s="1">
        <v>42796</v>
      </c>
      <c r="D274" s="22">
        <f>MONTH(Table3[[#This Row],[Order Date]])</f>
        <v>3</v>
      </c>
      <c r="E274" t="s">
        <v>2608</v>
      </c>
      <c r="F274" t="s">
        <v>2609</v>
      </c>
      <c r="G274" s="23" t="s">
        <v>41</v>
      </c>
      <c r="H274" s="23" t="s">
        <v>68</v>
      </c>
      <c r="I274" t="s">
        <v>2019</v>
      </c>
      <c r="J274" t="s">
        <v>36</v>
      </c>
      <c r="K274" s="22">
        <v>1</v>
      </c>
      <c r="L274" s="1">
        <v>42796</v>
      </c>
      <c r="M274" s="22">
        <f>Table3[[#This Row],[Ship Date]]-Table3[[#This Row],[Order Date]]</f>
        <v>0</v>
      </c>
      <c r="N274" s="23" t="s">
        <v>1141</v>
      </c>
      <c r="O274" s="23" t="s">
        <v>23</v>
      </c>
      <c r="P274" s="23" t="s">
        <v>94</v>
      </c>
      <c r="Q274" s="23" t="s">
        <v>95</v>
      </c>
      <c r="R274" s="23" t="s">
        <v>7290</v>
      </c>
      <c r="S274" s="33">
        <v>0.8</v>
      </c>
      <c r="T274" s="13">
        <v>0.55600000000000005</v>
      </c>
      <c r="U274" s="13">
        <v>-0.94520000000000004</v>
      </c>
      <c r="V274" s="55">
        <f>Table3[[#This Row],[Profit]]/Table3[[#This Row],[Sales]]</f>
        <v>-1.7</v>
      </c>
    </row>
    <row r="275" spans="1:22" x14ac:dyDescent="0.2">
      <c r="A275">
        <v>274</v>
      </c>
      <c r="B275" t="s">
        <v>3221</v>
      </c>
      <c r="C275" s="1">
        <v>42797</v>
      </c>
      <c r="D275" s="22">
        <f>MONTH(Table3[[#This Row],[Order Date]])</f>
        <v>3</v>
      </c>
      <c r="E275" t="s">
        <v>3224</v>
      </c>
      <c r="F275" t="s">
        <v>3225</v>
      </c>
      <c r="G275" s="23" t="s">
        <v>41</v>
      </c>
      <c r="H275" s="23" t="s">
        <v>71</v>
      </c>
      <c r="I275" t="s">
        <v>3222</v>
      </c>
      <c r="J275" t="s">
        <v>22</v>
      </c>
      <c r="K275" s="22">
        <v>5</v>
      </c>
      <c r="L275" s="1">
        <v>42802</v>
      </c>
      <c r="M275" s="22">
        <f>Table3[[#This Row],[Ship Date]]-Table3[[#This Row],[Order Date]]</f>
        <v>5</v>
      </c>
      <c r="N275" s="23" t="s">
        <v>45</v>
      </c>
      <c r="O275" s="23" t="s">
        <v>23</v>
      </c>
      <c r="P275" s="23" t="s">
        <v>25</v>
      </c>
      <c r="Q275" s="23" t="s">
        <v>26</v>
      </c>
      <c r="R275" s="23" t="s">
        <v>3223</v>
      </c>
      <c r="S275" s="33">
        <v>0</v>
      </c>
      <c r="T275" s="13">
        <v>72.8</v>
      </c>
      <c r="U275" s="13">
        <v>19.655999999999999</v>
      </c>
      <c r="V275" s="55">
        <f>Table3[[#This Row],[Profit]]/Table3[[#This Row],[Sales]]</f>
        <v>0.27</v>
      </c>
    </row>
    <row r="276" spans="1:22" x14ac:dyDescent="0.2">
      <c r="A276">
        <v>275</v>
      </c>
      <c r="B276" t="s">
        <v>5595</v>
      </c>
      <c r="C276" s="1">
        <v>42797</v>
      </c>
      <c r="D276" s="22">
        <f>MONTH(Table3[[#This Row],[Order Date]])</f>
        <v>3</v>
      </c>
      <c r="E276" t="s">
        <v>2740</v>
      </c>
      <c r="F276" t="s">
        <v>2741</v>
      </c>
      <c r="G276" s="23" t="s">
        <v>41</v>
      </c>
      <c r="H276" s="23" t="s">
        <v>82</v>
      </c>
      <c r="I276" t="s">
        <v>5596</v>
      </c>
      <c r="J276" t="s">
        <v>22</v>
      </c>
      <c r="K276" s="22">
        <v>8</v>
      </c>
      <c r="L276" s="1">
        <v>42801</v>
      </c>
      <c r="M276" s="22">
        <f>Table3[[#This Row],[Ship Date]]-Table3[[#This Row],[Order Date]]</f>
        <v>4</v>
      </c>
      <c r="N276" s="23" t="s">
        <v>45</v>
      </c>
      <c r="O276" s="23" t="s">
        <v>23</v>
      </c>
      <c r="P276" s="23" t="s">
        <v>94</v>
      </c>
      <c r="Q276" s="23" t="s">
        <v>95</v>
      </c>
      <c r="R276" s="23" t="s">
        <v>718</v>
      </c>
      <c r="S276" s="33">
        <v>0.2</v>
      </c>
      <c r="T276" s="13">
        <v>26.88</v>
      </c>
      <c r="U276" s="13">
        <v>9.7439999999999998</v>
      </c>
      <c r="V276" s="55">
        <f>Table3[[#This Row],[Profit]]/Table3[[#This Row],[Sales]]</f>
        <v>0.36249999999999999</v>
      </c>
    </row>
    <row r="277" spans="1:22" x14ac:dyDescent="0.2">
      <c r="A277">
        <v>276</v>
      </c>
      <c r="B277" t="s">
        <v>5963</v>
      </c>
      <c r="C277" s="1">
        <v>42797</v>
      </c>
      <c r="D277" s="22">
        <f>MONTH(Table3[[#This Row],[Order Date]])</f>
        <v>3</v>
      </c>
      <c r="E277" t="s">
        <v>1132</v>
      </c>
      <c r="F277" t="s">
        <v>1133</v>
      </c>
      <c r="G277" s="23" t="s">
        <v>28</v>
      </c>
      <c r="H277" s="23" t="s">
        <v>32</v>
      </c>
      <c r="I277" t="s">
        <v>1617</v>
      </c>
      <c r="J277" t="s">
        <v>22</v>
      </c>
      <c r="K277" s="22">
        <v>1</v>
      </c>
      <c r="L277" s="1">
        <v>42804</v>
      </c>
      <c r="M277" s="22">
        <f>Table3[[#This Row],[Ship Date]]-Table3[[#This Row],[Order Date]]</f>
        <v>7</v>
      </c>
      <c r="N277" s="23" t="s">
        <v>45</v>
      </c>
      <c r="O277" s="23" t="s">
        <v>23</v>
      </c>
      <c r="P277" s="23" t="s">
        <v>212</v>
      </c>
      <c r="Q277" s="23" t="s">
        <v>95</v>
      </c>
      <c r="R277" s="23" t="s">
        <v>5964</v>
      </c>
      <c r="S277" s="33">
        <v>0</v>
      </c>
      <c r="T277" s="13">
        <v>180.98</v>
      </c>
      <c r="U277" s="13">
        <v>47.0548</v>
      </c>
      <c r="V277" s="55">
        <f>Table3[[#This Row],[Profit]]/Table3[[#This Row],[Sales]]</f>
        <v>0.26</v>
      </c>
    </row>
    <row r="278" spans="1:22" x14ac:dyDescent="0.2">
      <c r="A278">
        <v>277</v>
      </c>
      <c r="B278" t="s">
        <v>5963</v>
      </c>
      <c r="C278" s="1">
        <v>42797</v>
      </c>
      <c r="D278" s="22">
        <f>MONTH(Table3[[#This Row],[Order Date]])</f>
        <v>3</v>
      </c>
      <c r="E278" t="s">
        <v>4012</v>
      </c>
      <c r="F278" t="s">
        <v>4013</v>
      </c>
      <c r="G278" s="23" t="s">
        <v>64</v>
      </c>
      <c r="H278" s="23" t="s">
        <v>144</v>
      </c>
      <c r="I278" t="s">
        <v>1617</v>
      </c>
      <c r="J278" t="s">
        <v>22</v>
      </c>
      <c r="K278" s="22">
        <v>2</v>
      </c>
      <c r="L278" s="1">
        <v>42804</v>
      </c>
      <c r="M278" s="22">
        <f>Table3[[#This Row],[Ship Date]]-Table3[[#This Row],[Order Date]]</f>
        <v>7</v>
      </c>
      <c r="N278" s="23" t="s">
        <v>45</v>
      </c>
      <c r="O278" s="23" t="s">
        <v>23</v>
      </c>
      <c r="P278" s="23" t="s">
        <v>212</v>
      </c>
      <c r="Q278" s="23" t="s">
        <v>95</v>
      </c>
      <c r="R278" s="23" t="s">
        <v>5964</v>
      </c>
      <c r="S278" s="33">
        <v>0</v>
      </c>
      <c r="T278" s="13">
        <v>99.98</v>
      </c>
      <c r="U278" s="13">
        <v>42.991399999999999</v>
      </c>
      <c r="V278" s="55">
        <f>Table3[[#This Row],[Profit]]/Table3[[#This Row],[Sales]]</f>
        <v>0.43</v>
      </c>
    </row>
    <row r="279" spans="1:22" x14ac:dyDescent="0.2">
      <c r="A279">
        <v>278</v>
      </c>
      <c r="B279" t="s">
        <v>8196</v>
      </c>
      <c r="C279" s="1">
        <v>42797</v>
      </c>
      <c r="D279" s="22">
        <f>MONTH(Table3[[#This Row],[Order Date]])</f>
        <v>3</v>
      </c>
      <c r="E279" t="s">
        <v>5983</v>
      </c>
      <c r="F279" t="s">
        <v>5984</v>
      </c>
      <c r="G279" s="23" t="s">
        <v>64</v>
      </c>
      <c r="H279" s="23" t="s">
        <v>144</v>
      </c>
      <c r="I279" t="s">
        <v>6228</v>
      </c>
      <c r="J279" t="s">
        <v>22</v>
      </c>
      <c r="K279" s="22">
        <v>8</v>
      </c>
      <c r="L279" s="1">
        <v>42802</v>
      </c>
      <c r="M279" s="22">
        <f>Table3[[#This Row],[Ship Date]]-Table3[[#This Row],[Order Date]]</f>
        <v>5</v>
      </c>
      <c r="N279" s="23" t="s">
        <v>45</v>
      </c>
      <c r="O279" s="23" t="s">
        <v>23</v>
      </c>
      <c r="P279" s="23" t="s">
        <v>38</v>
      </c>
      <c r="Q279" s="23" t="s">
        <v>39</v>
      </c>
      <c r="R279" s="23" t="s">
        <v>37</v>
      </c>
      <c r="S279" s="33">
        <v>0</v>
      </c>
      <c r="T279" s="13">
        <v>1049.44</v>
      </c>
      <c r="U279" s="13">
        <v>440.76479999999998</v>
      </c>
      <c r="V279" s="55">
        <f>Table3[[#This Row],[Profit]]/Table3[[#This Row],[Sales]]</f>
        <v>0.42</v>
      </c>
    </row>
    <row r="280" spans="1:22" x14ac:dyDescent="0.2">
      <c r="A280">
        <v>279</v>
      </c>
      <c r="B280" t="s">
        <v>8196</v>
      </c>
      <c r="C280" s="1">
        <v>42797</v>
      </c>
      <c r="D280" s="22">
        <f>MONTH(Table3[[#This Row],[Order Date]])</f>
        <v>3</v>
      </c>
      <c r="E280" t="s">
        <v>251</v>
      </c>
      <c r="F280" t="s">
        <v>252</v>
      </c>
      <c r="G280" s="23" t="s">
        <v>28</v>
      </c>
      <c r="H280" s="23" t="s">
        <v>32</v>
      </c>
      <c r="I280" t="s">
        <v>6228</v>
      </c>
      <c r="J280" t="s">
        <v>22</v>
      </c>
      <c r="K280" s="22">
        <v>3</v>
      </c>
      <c r="L280" s="1">
        <v>42802</v>
      </c>
      <c r="M280" s="22">
        <f>Table3[[#This Row],[Ship Date]]-Table3[[#This Row],[Order Date]]</f>
        <v>5</v>
      </c>
      <c r="N280" s="23" t="s">
        <v>45</v>
      </c>
      <c r="O280" s="23" t="s">
        <v>23</v>
      </c>
      <c r="P280" s="23" t="s">
        <v>38</v>
      </c>
      <c r="Q280" s="23" t="s">
        <v>39</v>
      </c>
      <c r="R280" s="23" t="s">
        <v>37</v>
      </c>
      <c r="S280" s="33">
        <v>0.2</v>
      </c>
      <c r="T280" s="13">
        <v>170.352</v>
      </c>
      <c r="U280" s="13">
        <v>-17.0352</v>
      </c>
      <c r="V280" s="55">
        <f>Table3[[#This Row],[Profit]]/Table3[[#This Row],[Sales]]</f>
        <v>-9.9999999999999992E-2</v>
      </c>
    </row>
    <row r="281" spans="1:22" x14ac:dyDescent="0.2">
      <c r="A281">
        <v>280</v>
      </c>
      <c r="B281" t="s">
        <v>9359</v>
      </c>
      <c r="C281" s="1">
        <v>42797</v>
      </c>
      <c r="D281" s="22">
        <f>MONTH(Table3[[#This Row],[Order Date]])</f>
        <v>3</v>
      </c>
      <c r="E281" t="s">
        <v>2469</v>
      </c>
      <c r="F281" t="s">
        <v>2470</v>
      </c>
      <c r="G281" s="23" t="s">
        <v>28</v>
      </c>
      <c r="H281" s="23" t="s">
        <v>50</v>
      </c>
      <c r="I281" t="s">
        <v>2801</v>
      </c>
      <c r="J281" t="s">
        <v>36</v>
      </c>
      <c r="K281" s="22">
        <v>7</v>
      </c>
      <c r="L281" s="1">
        <v>42802</v>
      </c>
      <c r="M281" s="22">
        <f>Table3[[#This Row],[Ship Date]]-Table3[[#This Row],[Order Date]]</f>
        <v>5</v>
      </c>
      <c r="N281" s="23" t="s">
        <v>45</v>
      </c>
      <c r="O281" s="23" t="s">
        <v>23</v>
      </c>
      <c r="P281" s="23" t="s">
        <v>38</v>
      </c>
      <c r="Q281" s="23" t="s">
        <v>39</v>
      </c>
      <c r="R281" s="23" t="s">
        <v>37</v>
      </c>
      <c r="S281" s="33">
        <v>0.2</v>
      </c>
      <c r="T281" s="13">
        <v>399.67200000000003</v>
      </c>
      <c r="U281" s="13">
        <v>-14.9877</v>
      </c>
      <c r="V281" s="55">
        <f>Table3[[#This Row],[Profit]]/Table3[[#This Row],[Sales]]</f>
        <v>-3.7499999999999999E-2</v>
      </c>
    </row>
    <row r="282" spans="1:22" x14ac:dyDescent="0.2">
      <c r="A282">
        <v>281</v>
      </c>
      <c r="B282" t="s">
        <v>1297</v>
      </c>
      <c r="C282" s="1">
        <v>42798</v>
      </c>
      <c r="D282" s="22">
        <f>MONTH(Table3[[#This Row],[Order Date]])</f>
        <v>3</v>
      </c>
      <c r="E282" t="s">
        <v>1298</v>
      </c>
      <c r="F282" t="s">
        <v>1299</v>
      </c>
      <c r="G282" s="23" t="s">
        <v>41</v>
      </c>
      <c r="H282" s="23" t="s">
        <v>61</v>
      </c>
      <c r="I282" t="s">
        <v>1024</v>
      </c>
      <c r="J282" t="s">
        <v>36</v>
      </c>
      <c r="K282" s="22">
        <v>4</v>
      </c>
      <c r="L282" s="1">
        <v>42803</v>
      </c>
      <c r="M282" s="22">
        <f>Table3[[#This Row],[Ship Date]]-Table3[[#This Row],[Order Date]]</f>
        <v>5</v>
      </c>
      <c r="N282" s="23" t="s">
        <v>45</v>
      </c>
      <c r="O282" s="23" t="s">
        <v>23</v>
      </c>
      <c r="P282" s="23" t="s">
        <v>38</v>
      </c>
      <c r="Q282" s="23" t="s">
        <v>39</v>
      </c>
      <c r="R282" s="23" t="s">
        <v>37</v>
      </c>
      <c r="S282" s="33">
        <v>0</v>
      </c>
      <c r="T282" s="13">
        <v>9.32</v>
      </c>
      <c r="U282" s="13">
        <v>2.7027999999999999</v>
      </c>
      <c r="V282" s="55">
        <f>Table3[[#This Row],[Profit]]/Table3[[#This Row],[Sales]]</f>
        <v>0.28999999999999998</v>
      </c>
    </row>
    <row r="283" spans="1:22" x14ac:dyDescent="0.2">
      <c r="A283">
        <v>282</v>
      </c>
      <c r="B283" t="s">
        <v>1297</v>
      </c>
      <c r="C283" s="1">
        <v>42798</v>
      </c>
      <c r="D283" s="22">
        <f>MONTH(Table3[[#This Row],[Order Date]])</f>
        <v>3</v>
      </c>
      <c r="E283" t="s">
        <v>1300</v>
      </c>
      <c r="F283" t="s">
        <v>1301</v>
      </c>
      <c r="G283" s="23" t="s">
        <v>41</v>
      </c>
      <c r="H283" s="23" t="s">
        <v>155</v>
      </c>
      <c r="I283" t="s">
        <v>1024</v>
      </c>
      <c r="J283" t="s">
        <v>36</v>
      </c>
      <c r="K283" s="22">
        <v>1</v>
      </c>
      <c r="L283" s="1">
        <v>42803</v>
      </c>
      <c r="M283" s="22">
        <f>Table3[[#This Row],[Ship Date]]-Table3[[#This Row],[Order Date]]</f>
        <v>5</v>
      </c>
      <c r="N283" s="23" t="s">
        <v>45</v>
      </c>
      <c r="O283" s="23" t="s">
        <v>23</v>
      </c>
      <c r="P283" s="23" t="s">
        <v>38</v>
      </c>
      <c r="Q283" s="23" t="s">
        <v>39</v>
      </c>
      <c r="R283" s="23" t="s">
        <v>37</v>
      </c>
      <c r="S283" s="33">
        <v>0</v>
      </c>
      <c r="T283" s="13">
        <v>15.25</v>
      </c>
      <c r="U283" s="13">
        <v>7.0149999999999997</v>
      </c>
      <c r="V283" s="55">
        <f>Table3[[#This Row],[Profit]]/Table3[[#This Row],[Sales]]</f>
        <v>0.45999999999999996</v>
      </c>
    </row>
    <row r="284" spans="1:22" x14ac:dyDescent="0.2">
      <c r="A284">
        <v>283</v>
      </c>
      <c r="B284" t="s">
        <v>7373</v>
      </c>
      <c r="C284" s="1">
        <v>42798</v>
      </c>
      <c r="D284" s="22">
        <f>MONTH(Table3[[#This Row],[Order Date]])</f>
        <v>3</v>
      </c>
      <c r="E284" t="s">
        <v>3333</v>
      </c>
      <c r="F284" t="s">
        <v>3334</v>
      </c>
      <c r="G284" s="23" t="s">
        <v>41</v>
      </c>
      <c r="H284" s="23" t="s">
        <v>82</v>
      </c>
      <c r="I284" t="s">
        <v>224</v>
      </c>
      <c r="J284" t="s">
        <v>22</v>
      </c>
      <c r="K284" s="22">
        <v>2</v>
      </c>
      <c r="L284" s="1">
        <v>42803</v>
      </c>
      <c r="M284" s="22">
        <f>Table3[[#This Row],[Ship Date]]-Table3[[#This Row],[Order Date]]</f>
        <v>5</v>
      </c>
      <c r="N284" s="23" t="s">
        <v>45</v>
      </c>
      <c r="O284" s="23" t="s">
        <v>23</v>
      </c>
      <c r="P284" s="23" t="s">
        <v>94</v>
      </c>
      <c r="Q284" s="23" t="s">
        <v>95</v>
      </c>
      <c r="R284" s="23" t="s">
        <v>165</v>
      </c>
      <c r="S284" s="33">
        <v>0.2</v>
      </c>
      <c r="T284" s="13">
        <v>89.567999999999998</v>
      </c>
      <c r="U284" s="13">
        <v>32.468400000000003</v>
      </c>
      <c r="V284" s="55">
        <f>Table3[[#This Row],[Profit]]/Table3[[#This Row],[Sales]]</f>
        <v>0.36250000000000004</v>
      </c>
    </row>
    <row r="285" spans="1:22" x14ac:dyDescent="0.2">
      <c r="A285">
        <v>284</v>
      </c>
      <c r="B285" t="s">
        <v>8131</v>
      </c>
      <c r="C285" s="1">
        <v>42798</v>
      </c>
      <c r="D285" s="22">
        <f>MONTH(Table3[[#This Row],[Order Date]])</f>
        <v>3</v>
      </c>
      <c r="E285" t="s">
        <v>152</v>
      </c>
      <c r="F285" t="s">
        <v>153</v>
      </c>
      <c r="G285" s="23" t="s">
        <v>28</v>
      </c>
      <c r="H285" s="23" t="s">
        <v>58</v>
      </c>
      <c r="I285" t="s">
        <v>3683</v>
      </c>
      <c r="J285" t="s">
        <v>92</v>
      </c>
      <c r="K285" s="22">
        <v>5</v>
      </c>
      <c r="L285" s="1">
        <v>42800</v>
      </c>
      <c r="M285" s="22">
        <f>Table3[[#This Row],[Ship Date]]-Table3[[#This Row],[Order Date]]</f>
        <v>2</v>
      </c>
      <c r="N285" s="23" t="s">
        <v>20</v>
      </c>
      <c r="O285" s="23" t="s">
        <v>23</v>
      </c>
      <c r="P285" s="23" t="s">
        <v>94</v>
      </c>
      <c r="Q285" s="23" t="s">
        <v>95</v>
      </c>
      <c r="R285" s="23" t="s">
        <v>165</v>
      </c>
      <c r="S285" s="33">
        <v>0.6</v>
      </c>
      <c r="T285" s="13">
        <v>103.5</v>
      </c>
      <c r="U285" s="13">
        <v>-77.625</v>
      </c>
      <c r="V285" s="55">
        <f>Table3[[#This Row],[Profit]]/Table3[[#This Row],[Sales]]</f>
        <v>-0.75</v>
      </c>
    </row>
    <row r="286" spans="1:22" x14ac:dyDescent="0.2">
      <c r="A286">
        <v>285</v>
      </c>
      <c r="B286" t="s">
        <v>8131</v>
      </c>
      <c r="C286" s="1">
        <v>42798</v>
      </c>
      <c r="D286" s="22">
        <f>MONTH(Table3[[#This Row],[Order Date]])</f>
        <v>3</v>
      </c>
      <c r="E286" t="s">
        <v>3870</v>
      </c>
      <c r="F286" t="s">
        <v>3871</v>
      </c>
      <c r="G286" s="23" t="s">
        <v>41</v>
      </c>
      <c r="H286" s="23" t="s">
        <v>42</v>
      </c>
      <c r="I286" t="s">
        <v>3683</v>
      </c>
      <c r="J286" t="s">
        <v>92</v>
      </c>
      <c r="K286" s="22">
        <v>1</v>
      </c>
      <c r="L286" s="1">
        <v>42800</v>
      </c>
      <c r="M286" s="22">
        <f>Table3[[#This Row],[Ship Date]]-Table3[[#This Row],[Order Date]]</f>
        <v>2</v>
      </c>
      <c r="N286" s="23" t="s">
        <v>20</v>
      </c>
      <c r="O286" s="23" t="s">
        <v>23</v>
      </c>
      <c r="P286" s="23" t="s">
        <v>94</v>
      </c>
      <c r="Q286" s="23" t="s">
        <v>95</v>
      </c>
      <c r="R286" s="23" t="s">
        <v>165</v>
      </c>
      <c r="S286" s="33">
        <v>0.2</v>
      </c>
      <c r="T286" s="13">
        <v>2.464</v>
      </c>
      <c r="U286" s="13">
        <v>0.86240000000000006</v>
      </c>
      <c r="V286" s="55">
        <f>Table3[[#This Row],[Profit]]/Table3[[#This Row],[Sales]]</f>
        <v>0.35000000000000003</v>
      </c>
    </row>
    <row r="287" spans="1:22" x14ac:dyDescent="0.2">
      <c r="A287">
        <v>286</v>
      </c>
      <c r="B287" t="s">
        <v>8131</v>
      </c>
      <c r="C287" s="1">
        <v>42798</v>
      </c>
      <c r="D287" s="22">
        <f>MONTH(Table3[[#This Row],[Order Date]])</f>
        <v>3</v>
      </c>
      <c r="E287" t="s">
        <v>1311</v>
      </c>
      <c r="F287" t="s">
        <v>1312</v>
      </c>
      <c r="G287" s="23" t="s">
        <v>41</v>
      </c>
      <c r="H287" s="23" t="s">
        <v>53</v>
      </c>
      <c r="I287" t="s">
        <v>3683</v>
      </c>
      <c r="J287" t="s">
        <v>92</v>
      </c>
      <c r="K287" s="22">
        <v>1</v>
      </c>
      <c r="L287" s="1">
        <v>42800</v>
      </c>
      <c r="M287" s="22">
        <f>Table3[[#This Row],[Ship Date]]-Table3[[#This Row],[Order Date]]</f>
        <v>2</v>
      </c>
      <c r="N287" s="23" t="s">
        <v>20</v>
      </c>
      <c r="O287" s="23" t="s">
        <v>23</v>
      </c>
      <c r="P287" s="23" t="s">
        <v>94</v>
      </c>
      <c r="Q287" s="23" t="s">
        <v>95</v>
      </c>
      <c r="R287" s="23" t="s">
        <v>165</v>
      </c>
      <c r="S287" s="33">
        <v>0.2</v>
      </c>
      <c r="T287" s="13">
        <v>8.7200000000000006</v>
      </c>
      <c r="U287" s="13">
        <v>0.65400000000000003</v>
      </c>
      <c r="V287" s="55">
        <f>Table3[[#This Row],[Profit]]/Table3[[#This Row],[Sales]]</f>
        <v>7.4999999999999997E-2</v>
      </c>
    </row>
    <row r="288" spans="1:22" x14ac:dyDescent="0.2">
      <c r="A288">
        <v>287</v>
      </c>
      <c r="B288" t="s">
        <v>6242</v>
      </c>
      <c r="C288" s="1">
        <v>42799</v>
      </c>
      <c r="D288" s="22">
        <f>MONTH(Table3[[#This Row],[Order Date]])</f>
        <v>3</v>
      </c>
      <c r="E288" t="s">
        <v>6243</v>
      </c>
      <c r="F288" t="s">
        <v>6244</v>
      </c>
      <c r="G288" s="23" t="s">
        <v>41</v>
      </c>
      <c r="H288" s="23" t="s">
        <v>42</v>
      </c>
      <c r="I288" t="s">
        <v>101</v>
      </c>
      <c r="J288" t="s">
        <v>22</v>
      </c>
      <c r="K288" s="22">
        <v>2</v>
      </c>
      <c r="L288" s="1">
        <v>42799</v>
      </c>
      <c r="M288" s="22">
        <f>Table3[[#This Row],[Ship Date]]-Table3[[#This Row],[Order Date]]</f>
        <v>0</v>
      </c>
      <c r="N288" s="23" t="s">
        <v>1141</v>
      </c>
      <c r="O288" s="23" t="s">
        <v>23</v>
      </c>
      <c r="P288" s="23" t="s">
        <v>103</v>
      </c>
      <c r="Q288" s="23" t="s">
        <v>95</v>
      </c>
      <c r="R288" s="23" t="s">
        <v>2242</v>
      </c>
      <c r="S288" s="33">
        <v>0</v>
      </c>
      <c r="T288" s="13">
        <v>25.06</v>
      </c>
      <c r="U288" s="13">
        <v>11.7782</v>
      </c>
      <c r="V288" s="55">
        <f>Table3[[#This Row],[Profit]]/Table3[[#This Row],[Sales]]</f>
        <v>0.47000000000000003</v>
      </c>
    </row>
    <row r="289" spans="1:22" x14ac:dyDescent="0.2">
      <c r="A289">
        <v>288</v>
      </c>
      <c r="B289" t="s">
        <v>6990</v>
      </c>
      <c r="C289" s="1">
        <v>42799</v>
      </c>
      <c r="D289" s="22">
        <f>MONTH(Table3[[#This Row],[Order Date]])</f>
        <v>3</v>
      </c>
      <c r="E289" t="s">
        <v>5314</v>
      </c>
      <c r="F289" t="s">
        <v>5315</v>
      </c>
      <c r="G289" s="23" t="s">
        <v>41</v>
      </c>
      <c r="H289" s="23" t="s">
        <v>240</v>
      </c>
      <c r="I289" t="s">
        <v>1139</v>
      </c>
      <c r="J289" t="s">
        <v>22</v>
      </c>
      <c r="K289" s="22">
        <v>2</v>
      </c>
      <c r="L289" s="1">
        <v>42799</v>
      </c>
      <c r="M289" s="22">
        <f>Table3[[#This Row],[Ship Date]]-Table3[[#This Row],[Order Date]]</f>
        <v>0</v>
      </c>
      <c r="N289" s="23" t="s">
        <v>1141</v>
      </c>
      <c r="O289" s="23" t="s">
        <v>23</v>
      </c>
      <c r="P289" s="23" t="s">
        <v>204</v>
      </c>
      <c r="Q289" s="23" t="s">
        <v>95</v>
      </c>
      <c r="R289" s="23" t="s">
        <v>347</v>
      </c>
      <c r="S289" s="33">
        <v>0</v>
      </c>
      <c r="T289" s="13">
        <v>7.9</v>
      </c>
      <c r="U289" s="13">
        <v>2.528</v>
      </c>
      <c r="V289" s="55">
        <f>Table3[[#This Row],[Profit]]/Table3[[#This Row],[Sales]]</f>
        <v>0.32</v>
      </c>
    </row>
    <row r="290" spans="1:22" x14ac:dyDescent="0.2">
      <c r="A290">
        <v>289</v>
      </c>
      <c r="B290" t="s">
        <v>6990</v>
      </c>
      <c r="C290" s="1">
        <v>42799</v>
      </c>
      <c r="D290" s="22">
        <f>MONTH(Table3[[#This Row],[Order Date]])</f>
        <v>3</v>
      </c>
      <c r="E290" t="s">
        <v>3970</v>
      </c>
      <c r="F290" t="s">
        <v>3971</v>
      </c>
      <c r="G290" s="23" t="s">
        <v>41</v>
      </c>
      <c r="H290" s="23" t="s">
        <v>53</v>
      </c>
      <c r="I290" t="s">
        <v>1139</v>
      </c>
      <c r="J290" t="s">
        <v>22</v>
      </c>
      <c r="K290" s="22">
        <v>4</v>
      </c>
      <c r="L290" s="1">
        <v>42799</v>
      </c>
      <c r="M290" s="22">
        <f>Table3[[#This Row],[Ship Date]]-Table3[[#This Row],[Order Date]]</f>
        <v>0</v>
      </c>
      <c r="N290" s="23" t="s">
        <v>1141</v>
      </c>
      <c r="O290" s="23" t="s">
        <v>23</v>
      </c>
      <c r="P290" s="23" t="s">
        <v>204</v>
      </c>
      <c r="Q290" s="23" t="s">
        <v>95</v>
      </c>
      <c r="R290" s="23" t="s">
        <v>347</v>
      </c>
      <c r="S290" s="33">
        <v>0</v>
      </c>
      <c r="T290" s="13">
        <v>221.16</v>
      </c>
      <c r="U290" s="13">
        <v>57.501600000000003</v>
      </c>
      <c r="V290" s="55">
        <f>Table3[[#This Row],[Profit]]/Table3[[#This Row],[Sales]]</f>
        <v>0.26</v>
      </c>
    </row>
    <row r="291" spans="1:22" x14ac:dyDescent="0.2">
      <c r="A291">
        <v>290</v>
      </c>
      <c r="B291" t="s">
        <v>6990</v>
      </c>
      <c r="C291" s="1">
        <v>42799</v>
      </c>
      <c r="D291" s="22">
        <f>MONTH(Table3[[#This Row],[Order Date]])</f>
        <v>3</v>
      </c>
      <c r="E291" t="s">
        <v>2288</v>
      </c>
      <c r="F291" t="s">
        <v>2289</v>
      </c>
      <c r="G291" s="23" t="s">
        <v>41</v>
      </c>
      <c r="H291" s="23" t="s">
        <v>68</v>
      </c>
      <c r="I291" t="s">
        <v>1139</v>
      </c>
      <c r="J291" t="s">
        <v>22</v>
      </c>
      <c r="K291" s="22">
        <v>2</v>
      </c>
      <c r="L291" s="1">
        <v>42799</v>
      </c>
      <c r="M291" s="22">
        <f>Table3[[#This Row],[Ship Date]]-Table3[[#This Row],[Order Date]]</f>
        <v>0</v>
      </c>
      <c r="N291" s="23" t="s">
        <v>1141</v>
      </c>
      <c r="O291" s="23" t="s">
        <v>23</v>
      </c>
      <c r="P291" s="23" t="s">
        <v>204</v>
      </c>
      <c r="Q291" s="23" t="s">
        <v>95</v>
      </c>
      <c r="R291" s="23" t="s">
        <v>347</v>
      </c>
      <c r="S291" s="33">
        <v>0</v>
      </c>
      <c r="T291" s="13">
        <v>127.96</v>
      </c>
      <c r="U291" s="13">
        <v>62.700400000000002</v>
      </c>
      <c r="V291" s="55">
        <f>Table3[[#This Row],[Profit]]/Table3[[#This Row],[Sales]]</f>
        <v>0.49000000000000005</v>
      </c>
    </row>
    <row r="292" spans="1:22" x14ac:dyDescent="0.2">
      <c r="A292">
        <v>291</v>
      </c>
      <c r="B292" t="s">
        <v>6990</v>
      </c>
      <c r="C292" s="1">
        <v>42799</v>
      </c>
      <c r="D292" s="22">
        <f>MONTH(Table3[[#This Row],[Order Date]])</f>
        <v>3</v>
      </c>
      <c r="E292" t="s">
        <v>2753</v>
      </c>
      <c r="F292" t="s">
        <v>2754</v>
      </c>
      <c r="G292" s="23" t="s">
        <v>41</v>
      </c>
      <c r="H292" s="23" t="s">
        <v>68</v>
      </c>
      <c r="I292" t="s">
        <v>1139</v>
      </c>
      <c r="J292" t="s">
        <v>22</v>
      </c>
      <c r="K292" s="22">
        <v>3</v>
      </c>
      <c r="L292" s="1">
        <v>42799</v>
      </c>
      <c r="M292" s="22">
        <f>Table3[[#This Row],[Ship Date]]-Table3[[#This Row],[Order Date]]</f>
        <v>0</v>
      </c>
      <c r="N292" s="23" t="s">
        <v>1141</v>
      </c>
      <c r="O292" s="23" t="s">
        <v>23</v>
      </c>
      <c r="P292" s="23" t="s">
        <v>204</v>
      </c>
      <c r="Q292" s="23" t="s">
        <v>95</v>
      </c>
      <c r="R292" s="23" t="s">
        <v>347</v>
      </c>
      <c r="S292" s="33">
        <v>0</v>
      </c>
      <c r="T292" s="13">
        <v>18.690000000000001</v>
      </c>
      <c r="U292" s="13">
        <v>9.1580999999999992</v>
      </c>
      <c r="V292" s="55">
        <f>Table3[[#This Row],[Profit]]/Table3[[#This Row],[Sales]]</f>
        <v>0.48999999999999994</v>
      </c>
    </row>
    <row r="293" spans="1:22" x14ac:dyDescent="0.2">
      <c r="A293">
        <v>292</v>
      </c>
      <c r="B293" t="s">
        <v>7821</v>
      </c>
      <c r="C293" s="1">
        <v>42799</v>
      </c>
      <c r="D293" s="22">
        <f>MONTH(Table3[[#This Row],[Order Date]])</f>
        <v>3</v>
      </c>
      <c r="E293" t="s">
        <v>2627</v>
      </c>
      <c r="F293" t="s">
        <v>2628</v>
      </c>
      <c r="G293" s="23" t="s">
        <v>41</v>
      </c>
      <c r="H293" s="23" t="s">
        <v>155</v>
      </c>
      <c r="I293" t="s">
        <v>877</v>
      </c>
      <c r="J293" t="s">
        <v>36</v>
      </c>
      <c r="K293" s="22">
        <v>4</v>
      </c>
      <c r="L293" s="1">
        <v>42799</v>
      </c>
      <c r="M293" s="22">
        <f>Table3[[#This Row],[Ship Date]]-Table3[[#This Row],[Order Date]]</f>
        <v>0</v>
      </c>
      <c r="N293" s="23" t="s">
        <v>1141</v>
      </c>
      <c r="O293" s="23" t="s">
        <v>23</v>
      </c>
      <c r="P293" s="23" t="s">
        <v>1315</v>
      </c>
      <c r="Q293" s="23" t="s">
        <v>26</v>
      </c>
      <c r="R293" s="23" t="s">
        <v>4684</v>
      </c>
      <c r="S293" s="33">
        <v>0</v>
      </c>
      <c r="T293" s="13">
        <v>42.68</v>
      </c>
      <c r="U293" s="13">
        <v>19.6328</v>
      </c>
      <c r="V293" s="55">
        <f>Table3[[#This Row],[Profit]]/Table3[[#This Row],[Sales]]</f>
        <v>0.46</v>
      </c>
    </row>
    <row r="294" spans="1:22" x14ac:dyDescent="0.2">
      <c r="A294">
        <v>293</v>
      </c>
      <c r="B294" t="s">
        <v>7821</v>
      </c>
      <c r="C294" s="1">
        <v>42799</v>
      </c>
      <c r="D294" s="22">
        <f>MONTH(Table3[[#This Row],[Order Date]])</f>
        <v>3</v>
      </c>
      <c r="E294" t="s">
        <v>1412</v>
      </c>
      <c r="F294" t="s">
        <v>1413</v>
      </c>
      <c r="G294" s="23" t="s">
        <v>64</v>
      </c>
      <c r="H294" s="23" t="s">
        <v>144</v>
      </c>
      <c r="I294" t="s">
        <v>877</v>
      </c>
      <c r="J294" t="s">
        <v>36</v>
      </c>
      <c r="K294" s="22">
        <v>3</v>
      </c>
      <c r="L294" s="1">
        <v>42799</v>
      </c>
      <c r="M294" s="22">
        <f>Table3[[#This Row],[Ship Date]]-Table3[[#This Row],[Order Date]]</f>
        <v>0</v>
      </c>
      <c r="N294" s="23" t="s">
        <v>1141</v>
      </c>
      <c r="O294" s="23" t="s">
        <v>23</v>
      </c>
      <c r="P294" s="23" t="s">
        <v>1315</v>
      </c>
      <c r="Q294" s="23" t="s">
        <v>26</v>
      </c>
      <c r="R294" s="23" t="s">
        <v>4684</v>
      </c>
      <c r="S294" s="33">
        <v>0</v>
      </c>
      <c r="T294" s="13">
        <v>299.97000000000003</v>
      </c>
      <c r="U294" s="13">
        <v>125.98739999999999</v>
      </c>
      <c r="V294" s="55">
        <f>Table3[[#This Row],[Profit]]/Table3[[#This Row],[Sales]]</f>
        <v>0.41999999999999993</v>
      </c>
    </row>
    <row r="295" spans="1:22" x14ac:dyDescent="0.2">
      <c r="A295">
        <v>294</v>
      </c>
      <c r="B295" t="s">
        <v>7821</v>
      </c>
      <c r="C295" s="1">
        <v>42799</v>
      </c>
      <c r="D295" s="22">
        <f>MONTH(Table3[[#This Row],[Order Date]])</f>
        <v>3</v>
      </c>
      <c r="E295" t="s">
        <v>624</v>
      </c>
      <c r="F295" t="s">
        <v>625</v>
      </c>
      <c r="G295" s="23" t="s">
        <v>41</v>
      </c>
      <c r="H295" s="23" t="s">
        <v>71</v>
      </c>
      <c r="I295" t="s">
        <v>877</v>
      </c>
      <c r="J295" t="s">
        <v>36</v>
      </c>
      <c r="K295" s="22">
        <v>2</v>
      </c>
      <c r="L295" s="1">
        <v>42799</v>
      </c>
      <c r="M295" s="22">
        <f>Table3[[#This Row],[Ship Date]]-Table3[[#This Row],[Order Date]]</f>
        <v>0</v>
      </c>
      <c r="N295" s="23" t="s">
        <v>1141</v>
      </c>
      <c r="O295" s="23" t="s">
        <v>23</v>
      </c>
      <c r="P295" s="23" t="s">
        <v>1315</v>
      </c>
      <c r="Q295" s="23" t="s">
        <v>26</v>
      </c>
      <c r="R295" s="23" t="s">
        <v>4684</v>
      </c>
      <c r="S295" s="33">
        <v>0</v>
      </c>
      <c r="T295" s="13">
        <v>262.24</v>
      </c>
      <c r="U295" s="13">
        <v>78.671999999999997</v>
      </c>
      <c r="V295" s="55">
        <f>Table3[[#This Row],[Profit]]/Table3[[#This Row],[Sales]]</f>
        <v>0.3</v>
      </c>
    </row>
    <row r="296" spans="1:22" x14ac:dyDescent="0.2">
      <c r="A296">
        <v>295</v>
      </c>
      <c r="B296" t="s">
        <v>7821</v>
      </c>
      <c r="C296" s="1">
        <v>42799</v>
      </c>
      <c r="D296" s="22">
        <f>MONTH(Table3[[#This Row],[Order Date]])</f>
        <v>3</v>
      </c>
      <c r="E296" t="s">
        <v>3152</v>
      </c>
      <c r="F296" t="s">
        <v>7822</v>
      </c>
      <c r="G296" s="23" t="s">
        <v>41</v>
      </c>
      <c r="H296" s="23" t="s">
        <v>68</v>
      </c>
      <c r="I296" t="s">
        <v>877</v>
      </c>
      <c r="J296" t="s">
        <v>36</v>
      </c>
      <c r="K296" s="22">
        <v>6</v>
      </c>
      <c r="L296" s="1">
        <v>42799</v>
      </c>
      <c r="M296" s="22">
        <f>Table3[[#This Row],[Ship Date]]-Table3[[#This Row],[Order Date]]</f>
        <v>0</v>
      </c>
      <c r="N296" s="23" t="s">
        <v>1141</v>
      </c>
      <c r="O296" s="23" t="s">
        <v>23</v>
      </c>
      <c r="P296" s="23" t="s">
        <v>1315</v>
      </c>
      <c r="Q296" s="23" t="s">
        <v>26</v>
      </c>
      <c r="R296" s="23" t="s">
        <v>4684</v>
      </c>
      <c r="S296" s="33">
        <v>0</v>
      </c>
      <c r="T296" s="13">
        <v>234.36</v>
      </c>
      <c r="U296" s="13">
        <v>112.4928</v>
      </c>
      <c r="V296" s="55">
        <f>Table3[[#This Row],[Profit]]/Table3[[#This Row],[Sales]]</f>
        <v>0.48</v>
      </c>
    </row>
    <row r="297" spans="1:22" x14ac:dyDescent="0.2">
      <c r="A297">
        <v>296</v>
      </c>
      <c r="B297" t="s">
        <v>6177</v>
      </c>
      <c r="C297" s="1">
        <v>42800</v>
      </c>
      <c r="D297" s="22">
        <f>MONTH(Table3[[#This Row],[Order Date]])</f>
        <v>3</v>
      </c>
      <c r="E297" t="s">
        <v>560</v>
      </c>
      <c r="F297" t="s">
        <v>561</v>
      </c>
      <c r="G297" s="23" t="s">
        <v>41</v>
      </c>
      <c r="H297" s="23" t="s">
        <v>82</v>
      </c>
      <c r="I297" t="s">
        <v>6178</v>
      </c>
      <c r="J297" t="s">
        <v>22</v>
      </c>
      <c r="K297" s="22">
        <v>1</v>
      </c>
      <c r="L297" s="1">
        <v>42805</v>
      </c>
      <c r="M297" s="22">
        <f>Table3[[#This Row],[Ship Date]]-Table3[[#This Row],[Order Date]]</f>
        <v>5</v>
      </c>
      <c r="N297" s="23" t="s">
        <v>20</v>
      </c>
      <c r="O297" s="23" t="s">
        <v>23</v>
      </c>
      <c r="P297" s="23" t="s">
        <v>238</v>
      </c>
      <c r="Q297" s="23" t="s">
        <v>133</v>
      </c>
      <c r="R297" s="23" t="s">
        <v>237</v>
      </c>
      <c r="S297" s="33">
        <v>0</v>
      </c>
      <c r="T297" s="13">
        <v>26.38</v>
      </c>
      <c r="U297" s="13">
        <v>12.1348</v>
      </c>
      <c r="V297" s="55">
        <f>Table3[[#This Row],[Profit]]/Table3[[#This Row],[Sales]]</f>
        <v>0.46</v>
      </c>
    </row>
    <row r="298" spans="1:22" x14ac:dyDescent="0.2">
      <c r="A298">
        <v>297</v>
      </c>
      <c r="B298" t="s">
        <v>6177</v>
      </c>
      <c r="C298" s="1">
        <v>42800</v>
      </c>
      <c r="D298" s="22">
        <f>MONTH(Table3[[#This Row],[Order Date]])</f>
        <v>3</v>
      </c>
      <c r="E298" t="s">
        <v>3191</v>
      </c>
      <c r="F298" t="s">
        <v>3192</v>
      </c>
      <c r="G298" s="23" t="s">
        <v>28</v>
      </c>
      <c r="H298" s="23" t="s">
        <v>58</v>
      </c>
      <c r="I298" t="s">
        <v>6178</v>
      </c>
      <c r="J298" t="s">
        <v>22</v>
      </c>
      <c r="K298" s="22">
        <v>3</v>
      </c>
      <c r="L298" s="1">
        <v>42805</v>
      </c>
      <c r="M298" s="22">
        <f>Table3[[#This Row],[Ship Date]]-Table3[[#This Row],[Order Date]]</f>
        <v>5</v>
      </c>
      <c r="N298" s="23" t="s">
        <v>20</v>
      </c>
      <c r="O298" s="23" t="s">
        <v>23</v>
      </c>
      <c r="P298" s="23" t="s">
        <v>238</v>
      </c>
      <c r="Q298" s="23" t="s">
        <v>133</v>
      </c>
      <c r="R298" s="23" t="s">
        <v>237</v>
      </c>
      <c r="S298" s="33">
        <v>0</v>
      </c>
      <c r="T298" s="13">
        <v>71.97</v>
      </c>
      <c r="U298" s="13">
        <v>16.553100000000001</v>
      </c>
      <c r="V298" s="55">
        <f>Table3[[#This Row],[Profit]]/Table3[[#This Row],[Sales]]</f>
        <v>0.23</v>
      </c>
    </row>
    <row r="299" spans="1:22" x14ac:dyDescent="0.2">
      <c r="A299">
        <v>298</v>
      </c>
      <c r="B299" t="s">
        <v>6546</v>
      </c>
      <c r="C299" s="1">
        <v>42800</v>
      </c>
      <c r="D299" s="22">
        <f>MONTH(Table3[[#This Row],[Order Date]])</f>
        <v>3</v>
      </c>
      <c r="E299" t="s">
        <v>308</v>
      </c>
      <c r="F299" t="s">
        <v>309</v>
      </c>
      <c r="G299" s="23" t="s">
        <v>41</v>
      </c>
      <c r="H299" s="23" t="s">
        <v>68</v>
      </c>
      <c r="I299" t="s">
        <v>3034</v>
      </c>
      <c r="J299" t="s">
        <v>92</v>
      </c>
      <c r="K299" s="22">
        <v>9</v>
      </c>
      <c r="L299" s="1">
        <v>42804</v>
      </c>
      <c r="M299" s="22">
        <f>Table3[[#This Row],[Ship Date]]-Table3[[#This Row],[Order Date]]</f>
        <v>4</v>
      </c>
      <c r="N299" s="23" t="s">
        <v>45</v>
      </c>
      <c r="O299" s="23" t="s">
        <v>23</v>
      </c>
      <c r="P299" s="23" t="s">
        <v>38</v>
      </c>
      <c r="Q299" s="23" t="s">
        <v>39</v>
      </c>
      <c r="R299" s="23" t="s">
        <v>114</v>
      </c>
      <c r="S299" s="33">
        <v>0.2</v>
      </c>
      <c r="T299" s="13">
        <v>14.976000000000001</v>
      </c>
      <c r="U299" s="13">
        <v>5.4287999999999998</v>
      </c>
      <c r="V299" s="55">
        <f>Table3[[#This Row],[Profit]]/Table3[[#This Row],[Sales]]</f>
        <v>0.36249999999999999</v>
      </c>
    </row>
    <row r="300" spans="1:22" x14ac:dyDescent="0.2">
      <c r="A300">
        <v>299</v>
      </c>
      <c r="B300" t="s">
        <v>7275</v>
      </c>
      <c r="C300" s="1">
        <v>42800</v>
      </c>
      <c r="D300" s="22">
        <f>MONTH(Table3[[#This Row],[Order Date]])</f>
        <v>3</v>
      </c>
      <c r="E300" t="s">
        <v>1054</v>
      </c>
      <c r="F300" t="s">
        <v>1055</v>
      </c>
      <c r="G300" s="23" t="s">
        <v>41</v>
      </c>
      <c r="H300" s="23" t="s">
        <v>53</v>
      </c>
      <c r="I300" t="s">
        <v>518</v>
      </c>
      <c r="J300" t="s">
        <v>36</v>
      </c>
      <c r="K300" s="22">
        <v>2</v>
      </c>
      <c r="L300" s="1">
        <v>42804</v>
      </c>
      <c r="M300" s="22">
        <f>Table3[[#This Row],[Ship Date]]-Table3[[#This Row],[Order Date]]</f>
        <v>4</v>
      </c>
      <c r="N300" s="23" t="s">
        <v>20</v>
      </c>
      <c r="O300" s="23" t="s">
        <v>23</v>
      </c>
      <c r="P300" s="23" t="s">
        <v>38</v>
      </c>
      <c r="Q300" s="23" t="s">
        <v>39</v>
      </c>
      <c r="R300" s="23" t="s">
        <v>114</v>
      </c>
      <c r="S300" s="33">
        <v>0</v>
      </c>
      <c r="T300" s="13">
        <v>67.78</v>
      </c>
      <c r="U300" s="13">
        <v>16.945</v>
      </c>
      <c r="V300" s="55">
        <f>Table3[[#This Row],[Profit]]/Table3[[#This Row],[Sales]]</f>
        <v>0.25</v>
      </c>
    </row>
    <row r="301" spans="1:22" x14ac:dyDescent="0.2">
      <c r="A301">
        <v>300</v>
      </c>
      <c r="B301" t="s">
        <v>8162</v>
      </c>
      <c r="C301" s="1">
        <v>42800</v>
      </c>
      <c r="D301" s="22">
        <f>MONTH(Table3[[#This Row],[Order Date]])</f>
        <v>3</v>
      </c>
      <c r="E301" t="s">
        <v>2416</v>
      </c>
      <c r="F301" t="s">
        <v>2417</v>
      </c>
      <c r="G301" s="23" t="s">
        <v>41</v>
      </c>
      <c r="H301" s="23" t="s">
        <v>61</v>
      </c>
      <c r="I301" t="s">
        <v>7475</v>
      </c>
      <c r="J301" t="s">
        <v>92</v>
      </c>
      <c r="K301" s="22">
        <v>6</v>
      </c>
      <c r="L301" s="1">
        <v>42804</v>
      </c>
      <c r="M301" s="22">
        <f>Table3[[#This Row],[Ship Date]]-Table3[[#This Row],[Order Date]]</f>
        <v>4</v>
      </c>
      <c r="N301" s="23" t="s">
        <v>45</v>
      </c>
      <c r="O301" s="23" t="s">
        <v>23</v>
      </c>
      <c r="P301" s="23" t="s">
        <v>38</v>
      </c>
      <c r="Q301" s="23" t="s">
        <v>39</v>
      </c>
      <c r="R301" s="23" t="s">
        <v>114</v>
      </c>
      <c r="S301" s="33">
        <v>0</v>
      </c>
      <c r="T301" s="13">
        <v>23.88</v>
      </c>
      <c r="U301" s="13">
        <v>8.1191999999999993</v>
      </c>
      <c r="V301" s="55">
        <f>Table3[[#This Row],[Profit]]/Table3[[#This Row],[Sales]]</f>
        <v>0.33999999999999997</v>
      </c>
    </row>
    <row r="302" spans="1:22" x14ac:dyDescent="0.2">
      <c r="A302">
        <v>301</v>
      </c>
      <c r="B302" t="s">
        <v>8162</v>
      </c>
      <c r="C302" s="1">
        <v>42800</v>
      </c>
      <c r="D302" s="22">
        <f>MONTH(Table3[[#This Row],[Order Date]])</f>
        <v>3</v>
      </c>
      <c r="E302" t="s">
        <v>4988</v>
      </c>
      <c r="F302" t="s">
        <v>4989</v>
      </c>
      <c r="G302" s="23" t="s">
        <v>41</v>
      </c>
      <c r="H302" s="23" t="s">
        <v>42</v>
      </c>
      <c r="I302" t="s">
        <v>7475</v>
      </c>
      <c r="J302" t="s">
        <v>92</v>
      </c>
      <c r="K302" s="22">
        <v>4</v>
      </c>
      <c r="L302" s="1">
        <v>42804</v>
      </c>
      <c r="M302" s="22">
        <f>Table3[[#This Row],[Ship Date]]-Table3[[#This Row],[Order Date]]</f>
        <v>4</v>
      </c>
      <c r="N302" s="23" t="s">
        <v>45</v>
      </c>
      <c r="O302" s="23" t="s">
        <v>23</v>
      </c>
      <c r="P302" s="23" t="s">
        <v>38</v>
      </c>
      <c r="Q302" s="23" t="s">
        <v>39</v>
      </c>
      <c r="R302" s="23" t="s">
        <v>114</v>
      </c>
      <c r="S302" s="33">
        <v>0</v>
      </c>
      <c r="T302" s="13">
        <v>11.52</v>
      </c>
      <c r="U302" s="13">
        <v>5.6448</v>
      </c>
      <c r="V302" s="55">
        <f>Table3[[#This Row],[Profit]]/Table3[[#This Row],[Sales]]</f>
        <v>0.49000000000000005</v>
      </c>
    </row>
    <row r="303" spans="1:22" x14ac:dyDescent="0.2">
      <c r="A303">
        <v>302</v>
      </c>
      <c r="B303" t="s">
        <v>8162</v>
      </c>
      <c r="C303" s="1">
        <v>42800</v>
      </c>
      <c r="D303" s="22">
        <f>MONTH(Table3[[#This Row],[Order Date]])</f>
        <v>3</v>
      </c>
      <c r="E303" t="s">
        <v>5840</v>
      </c>
      <c r="F303" t="s">
        <v>5841</v>
      </c>
      <c r="G303" s="23" t="s">
        <v>41</v>
      </c>
      <c r="H303" s="23" t="s">
        <v>82</v>
      </c>
      <c r="I303" t="s">
        <v>7475</v>
      </c>
      <c r="J303" t="s">
        <v>92</v>
      </c>
      <c r="K303" s="22">
        <v>7</v>
      </c>
      <c r="L303" s="1">
        <v>42804</v>
      </c>
      <c r="M303" s="22">
        <f>Table3[[#This Row],[Ship Date]]-Table3[[#This Row],[Order Date]]</f>
        <v>4</v>
      </c>
      <c r="N303" s="23" t="s">
        <v>45</v>
      </c>
      <c r="O303" s="23" t="s">
        <v>23</v>
      </c>
      <c r="P303" s="23" t="s">
        <v>38</v>
      </c>
      <c r="Q303" s="23" t="s">
        <v>39</v>
      </c>
      <c r="R303" s="23" t="s">
        <v>114</v>
      </c>
      <c r="S303" s="33">
        <v>0</v>
      </c>
      <c r="T303" s="13">
        <v>286.93</v>
      </c>
      <c r="U303" s="13">
        <v>140.59569999999999</v>
      </c>
      <c r="V303" s="55">
        <f>Table3[[#This Row],[Profit]]/Table3[[#This Row],[Sales]]</f>
        <v>0.49</v>
      </c>
    </row>
    <row r="304" spans="1:22" x14ac:dyDescent="0.2">
      <c r="A304">
        <v>303</v>
      </c>
      <c r="B304" t="s">
        <v>8162</v>
      </c>
      <c r="C304" s="1">
        <v>42800</v>
      </c>
      <c r="D304" s="22">
        <f>MONTH(Table3[[#This Row],[Order Date]])</f>
        <v>3</v>
      </c>
      <c r="E304" t="s">
        <v>3306</v>
      </c>
      <c r="F304" t="s">
        <v>3307</v>
      </c>
      <c r="G304" s="23" t="s">
        <v>64</v>
      </c>
      <c r="H304" s="23" t="s">
        <v>65</v>
      </c>
      <c r="I304" t="s">
        <v>7475</v>
      </c>
      <c r="J304" t="s">
        <v>92</v>
      </c>
      <c r="K304" s="22">
        <v>2</v>
      </c>
      <c r="L304" s="1">
        <v>42804</v>
      </c>
      <c r="M304" s="22">
        <f>Table3[[#This Row],[Ship Date]]-Table3[[#This Row],[Order Date]]</f>
        <v>4</v>
      </c>
      <c r="N304" s="23" t="s">
        <v>45</v>
      </c>
      <c r="O304" s="23" t="s">
        <v>23</v>
      </c>
      <c r="P304" s="23" t="s">
        <v>38</v>
      </c>
      <c r="Q304" s="23" t="s">
        <v>39</v>
      </c>
      <c r="R304" s="23" t="s">
        <v>114</v>
      </c>
      <c r="S304" s="33">
        <v>0.2</v>
      </c>
      <c r="T304" s="13">
        <v>206.38399999999999</v>
      </c>
      <c r="U304" s="13">
        <v>23.2182</v>
      </c>
      <c r="V304" s="55">
        <f>Table3[[#This Row],[Profit]]/Table3[[#This Row],[Sales]]</f>
        <v>0.1125</v>
      </c>
    </row>
    <row r="305" spans="1:22" x14ac:dyDescent="0.2">
      <c r="A305">
        <v>304</v>
      </c>
      <c r="B305" t="s">
        <v>9760</v>
      </c>
      <c r="C305" s="1">
        <v>42800</v>
      </c>
      <c r="D305" s="22">
        <f>MONTH(Table3[[#This Row],[Order Date]])</f>
        <v>3</v>
      </c>
      <c r="E305" t="s">
        <v>350</v>
      </c>
      <c r="F305" t="s">
        <v>351</v>
      </c>
      <c r="G305" s="23" t="s">
        <v>41</v>
      </c>
      <c r="H305" s="23" t="s">
        <v>42</v>
      </c>
      <c r="I305" t="s">
        <v>2797</v>
      </c>
      <c r="J305" t="s">
        <v>22</v>
      </c>
      <c r="K305" s="22">
        <v>2</v>
      </c>
      <c r="L305" s="1">
        <v>42806</v>
      </c>
      <c r="M305" s="22">
        <f>Table3[[#This Row],[Ship Date]]-Table3[[#This Row],[Order Date]]</f>
        <v>6</v>
      </c>
      <c r="N305" s="23" t="s">
        <v>45</v>
      </c>
      <c r="O305" s="23" t="s">
        <v>23</v>
      </c>
      <c r="P305" s="23" t="s">
        <v>94</v>
      </c>
      <c r="Q305" s="23" t="s">
        <v>95</v>
      </c>
      <c r="R305" s="23" t="s">
        <v>718</v>
      </c>
      <c r="S305" s="33">
        <v>0.2</v>
      </c>
      <c r="T305" s="13">
        <v>4.9279999999999999</v>
      </c>
      <c r="U305" s="13">
        <v>1.7248000000000001</v>
      </c>
      <c r="V305" s="55">
        <f>Table3[[#This Row],[Profit]]/Table3[[#This Row],[Sales]]</f>
        <v>0.35000000000000003</v>
      </c>
    </row>
    <row r="306" spans="1:22" x14ac:dyDescent="0.2">
      <c r="A306">
        <v>305</v>
      </c>
      <c r="B306" t="s">
        <v>9760</v>
      </c>
      <c r="C306" s="1">
        <v>42800</v>
      </c>
      <c r="D306" s="22">
        <f>MONTH(Table3[[#This Row],[Order Date]])</f>
        <v>3</v>
      </c>
      <c r="E306" t="s">
        <v>1381</v>
      </c>
      <c r="F306" t="s">
        <v>1382</v>
      </c>
      <c r="G306" s="23" t="s">
        <v>41</v>
      </c>
      <c r="H306" s="23" t="s">
        <v>61</v>
      </c>
      <c r="I306" t="s">
        <v>2797</v>
      </c>
      <c r="J306" t="s">
        <v>22</v>
      </c>
      <c r="K306" s="22">
        <v>4</v>
      </c>
      <c r="L306" s="1">
        <v>42806</v>
      </c>
      <c r="M306" s="22">
        <f>Table3[[#This Row],[Ship Date]]-Table3[[#This Row],[Order Date]]</f>
        <v>6</v>
      </c>
      <c r="N306" s="23" t="s">
        <v>45</v>
      </c>
      <c r="O306" s="23" t="s">
        <v>23</v>
      </c>
      <c r="P306" s="23" t="s">
        <v>94</v>
      </c>
      <c r="Q306" s="23" t="s">
        <v>95</v>
      </c>
      <c r="R306" s="23" t="s">
        <v>718</v>
      </c>
      <c r="S306" s="33">
        <v>0.2</v>
      </c>
      <c r="T306" s="13">
        <v>63.488</v>
      </c>
      <c r="U306" s="13">
        <v>4.7615999999999996</v>
      </c>
      <c r="V306" s="55">
        <f>Table3[[#This Row],[Profit]]/Table3[[#This Row],[Sales]]</f>
        <v>7.4999999999999997E-2</v>
      </c>
    </row>
    <row r="307" spans="1:22" x14ac:dyDescent="0.2">
      <c r="A307">
        <v>306</v>
      </c>
      <c r="B307" t="s">
        <v>3318</v>
      </c>
      <c r="C307" s="1">
        <v>42801</v>
      </c>
      <c r="D307" s="22">
        <f>MONTH(Table3[[#This Row],[Order Date]])</f>
        <v>3</v>
      </c>
      <c r="E307" t="s">
        <v>3320</v>
      </c>
      <c r="F307" t="s">
        <v>3321</v>
      </c>
      <c r="G307" s="23" t="s">
        <v>64</v>
      </c>
      <c r="H307" s="23" t="s">
        <v>144</v>
      </c>
      <c r="I307" t="s">
        <v>3319</v>
      </c>
      <c r="J307" t="s">
        <v>92</v>
      </c>
      <c r="K307" s="22">
        <v>3</v>
      </c>
      <c r="L307" s="1">
        <v>42806</v>
      </c>
      <c r="M307" s="22">
        <f>Table3[[#This Row],[Ship Date]]-Table3[[#This Row],[Order Date]]</f>
        <v>5</v>
      </c>
      <c r="N307" s="23" t="s">
        <v>45</v>
      </c>
      <c r="O307" s="23" t="s">
        <v>23</v>
      </c>
      <c r="P307" s="23" t="s">
        <v>2408</v>
      </c>
      <c r="Q307" s="23" t="s">
        <v>133</v>
      </c>
      <c r="R307" s="23" t="s">
        <v>2828</v>
      </c>
      <c r="S307" s="33">
        <v>0</v>
      </c>
      <c r="T307" s="13">
        <v>49.08</v>
      </c>
      <c r="U307" s="13">
        <v>4.9080000000000004</v>
      </c>
      <c r="V307" s="55">
        <f>Table3[[#This Row],[Profit]]/Table3[[#This Row],[Sales]]</f>
        <v>0.1</v>
      </c>
    </row>
    <row r="308" spans="1:22" x14ac:dyDescent="0.2">
      <c r="A308">
        <v>307</v>
      </c>
      <c r="B308" t="s">
        <v>7102</v>
      </c>
      <c r="C308" s="1">
        <v>42801</v>
      </c>
      <c r="D308" s="22">
        <f>MONTH(Table3[[#This Row],[Order Date]])</f>
        <v>3</v>
      </c>
      <c r="E308" t="s">
        <v>2784</v>
      </c>
      <c r="F308" t="s">
        <v>2785</v>
      </c>
      <c r="G308" s="23" t="s">
        <v>41</v>
      </c>
      <c r="H308" s="23" t="s">
        <v>68</v>
      </c>
      <c r="I308" t="s">
        <v>996</v>
      </c>
      <c r="J308" t="s">
        <v>22</v>
      </c>
      <c r="K308" s="22">
        <v>6</v>
      </c>
      <c r="L308" s="1">
        <v>42806</v>
      </c>
      <c r="M308" s="22">
        <f>Table3[[#This Row],[Ship Date]]-Table3[[#This Row],[Order Date]]</f>
        <v>5</v>
      </c>
      <c r="N308" s="23" t="s">
        <v>45</v>
      </c>
      <c r="O308" s="23" t="s">
        <v>23</v>
      </c>
      <c r="P308" s="23" t="s">
        <v>238</v>
      </c>
      <c r="Q308" s="23" t="s">
        <v>133</v>
      </c>
      <c r="R308" s="23" t="s">
        <v>237</v>
      </c>
      <c r="S308" s="33">
        <v>0.2</v>
      </c>
      <c r="T308" s="13">
        <v>25.92</v>
      </c>
      <c r="U308" s="13">
        <v>9.0719999999999992</v>
      </c>
      <c r="V308" s="55">
        <f>Table3[[#This Row],[Profit]]/Table3[[#This Row],[Sales]]</f>
        <v>0.34999999999999992</v>
      </c>
    </row>
    <row r="309" spans="1:22" x14ac:dyDescent="0.2">
      <c r="A309">
        <v>308</v>
      </c>
      <c r="B309" t="s">
        <v>7102</v>
      </c>
      <c r="C309" s="1">
        <v>42801</v>
      </c>
      <c r="D309" s="22">
        <f>MONTH(Table3[[#This Row],[Order Date]])</f>
        <v>3</v>
      </c>
      <c r="E309" t="s">
        <v>1986</v>
      </c>
      <c r="F309" t="s">
        <v>1987</v>
      </c>
      <c r="G309" s="23" t="s">
        <v>41</v>
      </c>
      <c r="H309" s="23" t="s">
        <v>42</v>
      </c>
      <c r="I309" t="s">
        <v>996</v>
      </c>
      <c r="J309" t="s">
        <v>22</v>
      </c>
      <c r="K309" s="22">
        <v>3</v>
      </c>
      <c r="L309" s="1">
        <v>42806</v>
      </c>
      <c r="M309" s="22">
        <f>Table3[[#This Row],[Ship Date]]-Table3[[#This Row],[Order Date]]</f>
        <v>5</v>
      </c>
      <c r="N309" s="23" t="s">
        <v>45</v>
      </c>
      <c r="O309" s="23" t="s">
        <v>23</v>
      </c>
      <c r="P309" s="23" t="s">
        <v>238</v>
      </c>
      <c r="Q309" s="23" t="s">
        <v>133</v>
      </c>
      <c r="R309" s="23" t="s">
        <v>237</v>
      </c>
      <c r="S309" s="33">
        <v>0</v>
      </c>
      <c r="T309" s="13">
        <v>91.59</v>
      </c>
      <c r="U309" s="13">
        <v>42.131399999999999</v>
      </c>
      <c r="V309" s="55">
        <f>Table3[[#This Row],[Profit]]/Table3[[#This Row],[Sales]]</f>
        <v>0.45999999999999996</v>
      </c>
    </row>
    <row r="310" spans="1:22" x14ac:dyDescent="0.2">
      <c r="A310">
        <v>309</v>
      </c>
      <c r="B310" t="s">
        <v>1123</v>
      </c>
      <c r="C310" s="1">
        <v>42802</v>
      </c>
      <c r="D310" s="22">
        <f>MONTH(Table3[[#This Row],[Order Date]])</f>
        <v>3</v>
      </c>
      <c r="E310" t="s">
        <v>1126</v>
      </c>
      <c r="F310" t="s">
        <v>1127</v>
      </c>
      <c r="G310" s="23" t="s">
        <v>41</v>
      </c>
      <c r="H310" s="23" t="s">
        <v>71</v>
      </c>
      <c r="I310" t="s">
        <v>1124</v>
      </c>
      <c r="J310" t="s">
        <v>36</v>
      </c>
      <c r="K310" s="22">
        <v>8</v>
      </c>
      <c r="L310" s="1">
        <v>42805</v>
      </c>
      <c r="M310" s="22">
        <f>Table3[[#This Row],[Ship Date]]-Table3[[#This Row],[Order Date]]</f>
        <v>3</v>
      </c>
      <c r="N310" s="23" t="s">
        <v>169</v>
      </c>
      <c r="O310" s="23" t="s">
        <v>23</v>
      </c>
      <c r="P310" s="23" t="s">
        <v>1125</v>
      </c>
      <c r="Q310" s="23" t="s">
        <v>26</v>
      </c>
      <c r="R310" s="23" t="s">
        <v>440</v>
      </c>
      <c r="S310" s="33">
        <v>0</v>
      </c>
      <c r="T310" s="13">
        <v>647.84</v>
      </c>
      <c r="U310" s="13">
        <v>168.4384</v>
      </c>
      <c r="V310" s="55">
        <f>Table3[[#This Row],[Profit]]/Table3[[#This Row],[Sales]]</f>
        <v>0.26</v>
      </c>
    </row>
    <row r="311" spans="1:22" x14ac:dyDescent="0.2">
      <c r="A311">
        <v>310</v>
      </c>
      <c r="B311" t="s">
        <v>1123</v>
      </c>
      <c r="C311" s="1">
        <v>42802</v>
      </c>
      <c r="D311" s="22">
        <f>MONTH(Table3[[#This Row],[Order Date]])</f>
        <v>3</v>
      </c>
      <c r="E311" t="s">
        <v>1128</v>
      </c>
      <c r="F311" t="s">
        <v>1129</v>
      </c>
      <c r="G311" s="23" t="s">
        <v>41</v>
      </c>
      <c r="H311" s="23" t="s">
        <v>42</v>
      </c>
      <c r="I311" t="s">
        <v>1124</v>
      </c>
      <c r="J311" t="s">
        <v>36</v>
      </c>
      <c r="K311" s="22">
        <v>2</v>
      </c>
      <c r="L311" s="1">
        <v>42805</v>
      </c>
      <c r="M311" s="22">
        <f>Table3[[#This Row],[Ship Date]]-Table3[[#This Row],[Order Date]]</f>
        <v>3</v>
      </c>
      <c r="N311" s="23" t="s">
        <v>169</v>
      </c>
      <c r="O311" s="23" t="s">
        <v>23</v>
      </c>
      <c r="P311" s="23" t="s">
        <v>1125</v>
      </c>
      <c r="Q311" s="23" t="s">
        <v>26</v>
      </c>
      <c r="R311" s="23" t="s">
        <v>440</v>
      </c>
      <c r="S311" s="33">
        <v>0</v>
      </c>
      <c r="T311" s="13">
        <v>20.7</v>
      </c>
      <c r="U311" s="13">
        <v>9.9359999999999999</v>
      </c>
      <c r="V311" s="55">
        <f>Table3[[#This Row],[Profit]]/Table3[[#This Row],[Sales]]</f>
        <v>0.48000000000000004</v>
      </c>
    </row>
    <row r="312" spans="1:22" x14ac:dyDescent="0.2">
      <c r="A312">
        <v>311</v>
      </c>
      <c r="B312" t="s">
        <v>7093</v>
      </c>
      <c r="C312" s="1">
        <v>42802</v>
      </c>
      <c r="D312" s="22">
        <f>MONTH(Table3[[#This Row],[Order Date]])</f>
        <v>3</v>
      </c>
      <c r="E312" t="s">
        <v>6580</v>
      </c>
      <c r="F312" t="s">
        <v>6581</v>
      </c>
      <c r="G312" s="23" t="s">
        <v>41</v>
      </c>
      <c r="H312" s="23" t="s">
        <v>68</v>
      </c>
      <c r="I312" t="s">
        <v>872</v>
      </c>
      <c r="J312" t="s">
        <v>22</v>
      </c>
      <c r="K312" s="22">
        <v>5</v>
      </c>
      <c r="L312" s="1">
        <v>42809</v>
      </c>
      <c r="M312" s="22">
        <f>Table3[[#This Row],[Ship Date]]-Table3[[#This Row],[Order Date]]</f>
        <v>7</v>
      </c>
      <c r="N312" s="23" t="s">
        <v>45</v>
      </c>
      <c r="O312" s="23" t="s">
        <v>23</v>
      </c>
      <c r="P312" s="23" t="s">
        <v>38</v>
      </c>
      <c r="Q312" s="23" t="s">
        <v>39</v>
      </c>
      <c r="R312" s="23" t="s">
        <v>1666</v>
      </c>
      <c r="S312" s="33">
        <v>0.2</v>
      </c>
      <c r="T312" s="13">
        <v>171.2</v>
      </c>
      <c r="U312" s="13">
        <v>64.2</v>
      </c>
      <c r="V312" s="55">
        <f>Table3[[#This Row],[Profit]]/Table3[[#This Row],[Sales]]</f>
        <v>0.37500000000000006</v>
      </c>
    </row>
    <row r="313" spans="1:22" x14ac:dyDescent="0.2">
      <c r="A313">
        <v>312</v>
      </c>
      <c r="B313" t="s">
        <v>7093</v>
      </c>
      <c r="C313" s="1">
        <v>42802</v>
      </c>
      <c r="D313" s="22">
        <f>MONTH(Table3[[#This Row],[Order Date]])</f>
        <v>3</v>
      </c>
      <c r="E313" t="s">
        <v>6606</v>
      </c>
      <c r="F313" t="s">
        <v>6607</v>
      </c>
      <c r="G313" s="23" t="s">
        <v>41</v>
      </c>
      <c r="H313" s="23" t="s">
        <v>61</v>
      </c>
      <c r="I313" t="s">
        <v>872</v>
      </c>
      <c r="J313" t="s">
        <v>22</v>
      </c>
      <c r="K313" s="22">
        <v>2</v>
      </c>
      <c r="L313" s="1">
        <v>42809</v>
      </c>
      <c r="M313" s="22">
        <f>Table3[[#This Row],[Ship Date]]-Table3[[#This Row],[Order Date]]</f>
        <v>7</v>
      </c>
      <c r="N313" s="23" t="s">
        <v>45</v>
      </c>
      <c r="O313" s="23" t="s">
        <v>23</v>
      </c>
      <c r="P313" s="23" t="s">
        <v>38</v>
      </c>
      <c r="Q313" s="23" t="s">
        <v>39</v>
      </c>
      <c r="R313" s="23" t="s">
        <v>1666</v>
      </c>
      <c r="S313" s="33">
        <v>0</v>
      </c>
      <c r="T313" s="13">
        <v>3.36</v>
      </c>
      <c r="U313" s="13">
        <v>0.87360000000000004</v>
      </c>
      <c r="V313" s="55">
        <f>Table3[[#This Row],[Profit]]/Table3[[#This Row],[Sales]]</f>
        <v>0.26</v>
      </c>
    </row>
    <row r="314" spans="1:22" x14ac:dyDescent="0.2">
      <c r="A314">
        <v>313</v>
      </c>
      <c r="B314" t="s">
        <v>4230</v>
      </c>
      <c r="C314" s="1">
        <v>42803</v>
      </c>
      <c r="D314" s="22">
        <f>MONTH(Table3[[#This Row],[Order Date]])</f>
        <v>3</v>
      </c>
      <c r="E314" t="s">
        <v>1043</v>
      </c>
      <c r="F314" t="s">
        <v>1044</v>
      </c>
      <c r="G314" s="23" t="s">
        <v>64</v>
      </c>
      <c r="H314" s="23" t="s">
        <v>144</v>
      </c>
      <c r="I314" t="s">
        <v>2560</v>
      </c>
      <c r="J314" t="s">
        <v>36</v>
      </c>
      <c r="K314" s="22">
        <v>2</v>
      </c>
      <c r="L314" s="1">
        <v>42807</v>
      </c>
      <c r="M314" s="22">
        <f>Table3[[#This Row],[Ship Date]]-Table3[[#This Row],[Order Date]]</f>
        <v>4</v>
      </c>
      <c r="N314" s="23" t="s">
        <v>45</v>
      </c>
      <c r="O314" s="23" t="s">
        <v>23</v>
      </c>
      <c r="P314" s="23" t="s">
        <v>38</v>
      </c>
      <c r="Q314" s="23" t="s">
        <v>39</v>
      </c>
      <c r="R314" s="23" t="s">
        <v>114</v>
      </c>
      <c r="S314" s="33">
        <v>0</v>
      </c>
      <c r="T314" s="13">
        <v>199.98</v>
      </c>
      <c r="U314" s="13">
        <v>69.992999999999995</v>
      </c>
      <c r="V314" s="55">
        <f>Table3[[#This Row],[Profit]]/Table3[[#This Row],[Sales]]</f>
        <v>0.35</v>
      </c>
    </row>
    <row r="315" spans="1:22" x14ac:dyDescent="0.2">
      <c r="A315">
        <v>314</v>
      </c>
      <c r="B315" t="s">
        <v>9311</v>
      </c>
      <c r="C315" s="1">
        <v>42803</v>
      </c>
      <c r="D315" s="22">
        <f>MONTH(Table3[[#This Row],[Order Date]])</f>
        <v>3</v>
      </c>
      <c r="E315" t="s">
        <v>4820</v>
      </c>
      <c r="F315" t="s">
        <v>4821</v>
      </c>
      <c r="G315" s="23" t="s">
        <v>64</v>
      </c>
      <c r="H315" s="23" t="s">
        <v>1075</v>
      </c>
      <c r="I315" t="s">
        <v>363</v>
      </c>
      <c r="J315" t="s">
        <v>22</v>
      </c>
      <c r="K315" s="22">
        <v>2</v>
      </c>
      <c r="L315" s="1">
        <v>42807</v>
      </c>
      <c r="M315" s="22">
        <f>Table3[[#This Row],[Ship Date]]-Table3[[#This Row],[Order Date]]</f>
        <v>4</v>
      </c>
      <c r="N315" s="23" t="s">
        <v>45</v>
      </c>
      <c r="O315" s="23" t="s">
        <v>23</v>
      </c>
      <c r="P315" s="23" t="s">
        <v>38</v>
      </c>
      <c r="Q315" s="23" t="s">
        <v>39</v>
      </c>
      <c r="R315" s="23" t="s">
        <v>37</v>
      </c>
      <c r="S315" s="33">
        <v>0.2</v>
      </c>
      <c r="T315" s="13">
        <v>479.98399999999998</v>
      </c>
      <c r="U315" s="13">
        <v>59.997999999999998</v>
      </c>
      <c r="V315" s="55">
        <f>Table3[[#This Row],[Profit]]/Table3[[#This Row],[Sales]]</f>
        <v>0.125</v>
      </c>
    </row>
    <row r="316" spans="1:22" x14ac:dyDescent="0.2">
      <c r="A316">
        <v>315</v>
      </c>
      <c r="B316" t="s">
        <v>9311</v>
      </c>
      <c r="C316" s="1">
        <v>42803</v>
      </c>
      <c r="D316" s="22">
        <f>MONTH(Table3[[#This Row],[Order Date]])</f>
        <v>3</v>
      </c>
      <c r="E316" t="s">
        <v>67</v>
      </c>
      <c r="F316" t="s">
        <v>69</v>
      </c>
      <c r="G316" s="23" t="s">
        <v>41</v>
      </c>
      <c r="H316" s="23" t="s">
        <v>68</v>
      </c>
      <c r="I316" t="s">
        <v>363</v>
      </c>
      <c r="J316" t="s">
        <v>22</v>
      </c>
      <c r="K316" s="22">
        <v>5</v>
      </c>
      <c r="L316" s="1">
        <v>42807</v>
      </c>
      <c r="M316" s="22">
        <f>Table3[[#This Row],[Ship Date]]-Table3[[#This Row],[Order Date]]</f>
        <v>4</v>
      </c>
      <c r="N316" s="23" t="s">
        <v>45</v>
      </c>
      <c r="O316" s="23" t="s">
        <v>23</v>
      </c>
      <c r="P316" s="23" t="s">
        <v>38</v>
      </c>
      <c r="Q316" s="23" t="s">
        <v>39</v>
      </c>
      <c r="R316" s="23" t="s">
        <v>37</v>
      </c>
      <c r="S316" s="33">
        <v>0.2</v>
      </c>
      <c r="T316" s="13">
        <v>30.84</v>
      </c>
      <c r="U316" s="13">
        <v>9.6374999999999993</v>
      </c>
      <c r="V316" s="55">
        <f>Table3[[#This Row],[Profit]]/Table3[[#This Row],[Sales]]</f>
        <v>0.3125</v>
      </c>
    </row>
    <row r="317" spans="1:22" x14ac:dyDescent="0.2">
      <c r="A317">
        <v>316</v>
      </c>
      <c r="B317" t="s">
        <v>3094</v>
      </c>
      <c r="C317" s="1">
        <v>42804</v>
      </c>
      <c r="D317" s="22">
        <f>MONTH(Table3[[#This Row],[Order Date]])</f>
        <v>3</v>
      </c>
      <c r="E317" t="s">
        <v>2350</v>
      </c>
      <c r="F317" t="s">
        <v>2351</v>
      </c>
      <c r="G317" s="23" t="s">
        <v>41</v>
      </c>
      <c r="H317" s="23" t="s">
        <v>61</v>
      </c>
      <c r="I317" t="s">
        <v>3095</v>
      </c>
      <c r="J317" t="s">
        <v>92</v>
      </c>
      <c r="K317" s="22">
        <v>2</v>
      </c>
      <c r="L317" s="1">
        <v>42808</v>
      </c>
      <c r="M317" s="22">
        <f>Table3[[#This Row],[Ship Date]]-Table3[[#This Row],[Order Date]]</f>
        <v>4</v>
      </c>
      <c r="N317" s="23" t="s">
        <v>45</v>
      </c>
      <c r="O317" s="23" t="s">
        <v>23</v>
      </c>
      <c r="P317" s="23" t="s">
        <v>132</v>
      </c>
      <c r="Q317" s="23" t="s">
        <v>133</v>
      </c>
      <c r="R317" s="23" t="s">
        <v>1983</v>
      </c>
      <c r="S317" s="33">
        <v>0.2</v>
      </c>
      <c r="T317" s="13">
        <v>5.2480000000000002</v>
      </c>
      <c r="U317" s="13">
        <v>0.59040000000000004</v>
      </c>
      <c r="V317" s="55">
        <f>Table3[[#This Row],[Profit]]/Table3[[#This Row],[Sales]]</f>
        <v>0.1125</v>
      </c>
    </row>
    <row r="318" spans="1:22" x14ac:dyDescent="0.2">
      <c r="A318">
        <v>317</v>
      </c>
      <c r="B318" t="s">
        <v>3094</v>
      </c>
      <c r="C318" s="1">
        <v>42804</v>
      </c>
      <c r="D318" s="22">
        <f>MONTH(Table3[[#This Row],[Order Date]])</f>
        <v>3</v>
      </c>
      <c r="E318" t="s">
        <v>1456</v>
      </c>
      <c r="F318" t="s">
        <v>1457</v>
      </c>
      <c r="G318" s="23" t="s">
        <v>64</v>
      </c>
      <c r="H318" s="23" t="s">
        <v>65</v>
      </c>
      <c r="I318" t="s">
        <v>3095</v>
      </c>
      <c r="J318" t="s">
        <v>92</v>
      </c>
      <c r="K318" s="22">
        <v>3</v>
      </c>
      <c r="L318" s="1">
        <v>42808</v>
      </c>
      <c r="M318" s="22">
        <f>Table3[[#This Row],[Ship Date]]-Table3[[#This Row],[Order Date]]</f>
        <v>4</v>
      </c>
      <c r="N318" s="23" t="s">
        <v>45</v>
      </c>
      <c r="O318" s="23" t="s">
        <v>23</v>
      </c>
      <c r="P318" s="23" t="s">
        <v>132</v>
      </c>
      <c r="Q318" s="23" t="s">
        <v>133</v>
      </c>
      <c r="R318" s="23" t="s">
        <v>1983</v>
      </c>
      <c r="S318" s="33">
        <v>0.4</v>
      </c>
      <c r="T318" s="13">
        <v>35.909999999999997</v>
      </c>
      <c r="U318" s="13">
        <v>-8.3789999999999996</v>
      </c>
      <c r="V318" s="55">
        <f>Table3[[#This Row],[Profit]]/Table3[[#This Row],[Sales]]</f>
        <v>-0.23333333333333334</v>
      </c>
    </row>
    <row r="319" spans="1:22" x14ac:dyDescent="0.2">
      <c r="A319">
        <v>318</v>
      </c>
      <c r="B319" t="s">
        <v>3094</v>
      </c>
      <c r="C319" s="1">
        <v>42804</v>
      </c>
      <c r="D319" s="22">
        <f>MONTH(Table3[[#This Row],[Order Date]])</f>
        <v>3</v>
      </c>
      <c r="E319" t="s">
        <v>3096</v>
      </c>
      <c r="F319" t="s">
        <v>3097</v>
      </c>
      <c r="G319" s="23" t="s">
        <v>28</v>
      </c>
      <c r="H319" s="23" t="s">
        <v>58</v>
      </c>
      <c r="I319" t="s">
        <v>3095</v>
      </c>
      <c r="J319" t="s">
        <v>92</v>
      </c>
      <c r="K319" s="22">
        <v>1</v>
      </c>
      <c r="L319" s="1">
        <v>42808</v>
      </c>
      <c r="M319" s="22">
        <f>Table3[[#This Row],[Ship Date]]-Table3[[#This Row],[Order Date]]</f>
        <v>4</v>
      </c>
      <c r="N319" s="23" t="s">
        <v>45</v>
      </c>
      <c r="O319" s="23" t="s">
        <v>23</v>
      </c>
      <c r="P319" s="23" t="s">
        <v>132</v>
      </c>
      <c r="Q319" s="23" t="s">
        <v>133</v>
      </c>
      <c r="R319" s="23" t="s">
        <v>1983</v>
      </c>
      <c r="S319" s="33">
        <v>0.2</v>
      </c>
      <c r="T319" s="13">
        <v>6.6959999999999997</v>
      </c>
      <c r="U319" s="13">
        <v>0.50219999999999998</v>
      </c>
      <c r="V319" s="55">
        <f>Table3[[#This Row],[Profit]]/Table3[[#This Row],[Sales]]</f>
        <v>7.4999999999999997E-2</v>
      </c>
    </row>
    <row r="320" spans="1:22" x14ac:dyDescent="0.2">
      <c r="A320">
        <v>319</v>
      </c>
      <c r="B320" t="s">
        <v>3094</v>
      </c>
      <c r="C320" s="1">
        <v>42804</v>
      </c>
      <c r="D320" s="22">
        <f>MONTH(Table3[[#This Row],[Order Date]])</f>
        <v>3</v>
      </c>
      <c r="E320" t="s">
        <v>3098</v>
      </c>
      <c r="F320" t="s">
        <v>3099</v>
      </c>
      <c r="G320" s="23" t="s">
        <v>28</v>
      </c>
      <c r="H320" s="23" t="s">
        <v>58</v>
      </c>
      <c r="I320" t="s">
        <v>3095</v>
      </c>
      <c r="J320" t="s">
        <v>92</v>
      </c>
      <c r="K320" s="22">
        <v>2</v>
      </c>
      <c r="L320" s="1">
        <v>42808</v>
      </c>
      <c r="M320" s="22">
        <f>Table3[[#This Row],[Ship Date]]-Table3[[#This Row],[Order Date]]</f>
        <v>4</v>
      </c>
      <c r="N320" s="23" t="s">
        <v>45</v>
      </c>
      <c r="O320" s="23" t="s">
        <v>23</v>
      </c>
      <c r="P320" s="23" t="s">
        <v>132</v>
      </c>
      <c r="Q320" s="23" t="s">
        <v>133</v>
      </c>
      <c r="R320" s="23" t="s">
        <v>1983</v>
      </c>
      <c r="S320" s="33">
        <v>0.2</v>
      </c>
      <c r="T320" s="13">
        <v>43.872</v>
      </c>
      <c r="U320" s="13">
        <v>11.516400000000001</v>
      </c>
      <c r="V320" s="55">
        <f>Table3[[#This Row],[Profit]]/Table3[[#This Row],[Sales]]</f>
        <v>0.26250000000000001</v>
      </c>
    </row>
    <row r="321" spans="1:22" x14ac:dyDescent="0.2">
      <c r="A321">
        <v>320</v>
      </c>
      <c r="B321" t="s">
        <v>6652</v>
      </c>
      <c r="C321" s="1">
        <v>42804</v>
      </c>
      <c r="D321" s="22">
        <f>MONTH(Table3[[#This Row],[Order Date]])</f>
        <v>3</v>
      </c>
      <c r="E321" t="s">
        <v>653</v>
      </c>
      <c r="F321" t="s">
        <v>654</v>
      </c>
      <c r="G321" s="23" t="s">
        <v>64</v>
      </c>
      <c r="H321" s="23" t="s">
        <v>65</v>
      </c>
      <c r="I321" t="s">
        <v>137</v>
      </c>
      <c r="J321" t="s">
        <v>22</v>
      </c>
      <c r="K321" s="22">
        <v>3</v>
      </c>
      <c r="L321" s="1">
        <v>42810</v>
      </c>
      <c r="M321" s="22">
        <f>Table3[[#This Row],[Ship Date]]-Table3[[#This Row],[Order Date]]</f>
        <v>6</v>
      </c>
      <c r="N321" s="23" t="s">
        <v>45</v>
      </c>
      <c r="O321" s="23" t="s">
        <v>23</v>
      </c>
      <c r="P321" s="23" t="s">
        <v>132</v>
      </c>
      <c r="Q321" s="23" t="s">
        <v>133</v>
      </c>
      <c r="R321" s="23" t="s">
        <v>131</v>
      </c>
      <c r="S321" s="33">
        <v>0.4</v>
      </c>
      <c r="T321" s="13">
        <v>53.981999999999999</v>
      </c>
      <c r="U321" s="13">
        <v>-10.7964</v>
      </c>
      <c r="V321" s="55">
        <f>Table3[[#This Row],[Profit]]/Table3[[#This Row],[Sales]]</f>
        <v>-0.2</v>
      </c>
    </row>
    <row r="322" spans="1:22" x14ac:dyDescent="0.2">
      <c r="A322">
        <v>321</v>
      </c>
      <c r="B322" t="s">
        <v>7167</v>
      </c>
      <c r="C322" s="1">
        <v>42804</v>
      </c>
      <c r="D322" s="22">
        <f>MONTH(Table3[[#This Row],[Order Date]])</f>
        <v>3</v>
      </c>
      <c r="E322" t="s">
        <v>7168</v>
      </c>
      <c r="F322" t="s">
        <v>7169</v>
      </c>
      <c r="G322" s="23" t="s">
        <v>41</v>
      </c>
      <c r="H322" s="23" t="s">
        <v>71</v>
      </c>
      <c r="I322" t="s">
        <v>7126</v>
      </c>
      <c r="J322" t="s">
        <v>36</v>
      </c>
      <c r="K322" s="22">
        <v>1</v>
      </c>
      <c r="L322" s="1">
        <v>42809</v>
      </c>
      <c r="M322" s="22">
        <f>Table3[[#This Row],[Ship Date]]-Table3[[#This Row],[Order Date]]</f>
        <v>5</v>
      </c>
      <c r="N322" s="23" t="s">
        <v>45</v>
      </c>
      <c r="O322" s="23" t="s">
        <v>23</v>
      </c>
      <c r="P322" s="23" t="s">
        <v>80</v>
      </c>
      <c r="Q322" s="23" t="s">
        <v>26</v>
      </c>
      <c r="R322" s="23" t="s">
        <v>4054</v>
      </c>
      <c r="S322" s="33">
        <v>0.2</v>
      </c>
      <c r="T322" s="13">
        <v>48.783999999999999</v>
      </c>
      <c r="U322" s="13">
        <v>3.6587999999999998</v>
      </c>
      <c r="V322" s="55">
        <f>Table3[[#This Row],[Profit]]/Table3[[#This Row],[Sales]]</f>
        <v>7.4999999999999997E-2</v>
      </c>
    </row>
    <row r="323" spans="1:22" x14ac:dyDescent="0.2">
      <c r="A323">
        <v>322</v>
      </c>
      <c r="B323" t="s">
        <v>7167</v>
      </c>
      <c r="C323" s="1">
        <v>42804</v>
      </c>
      <c r="D323" s="22">
        <f>MONTH(Table3[[#This Row],[Order Date]])</f>
        <v>3</v>
      </c>
      <c r="E323" t="s">
        <v>2175</v>
      </c>
      <c r="F323" t="s">
        <v>2176</v>
      </c>
      <c r="G323" s="23" t="s">
        <v>41</v>
      </c>
      <c r="H323" s="23" t="s">
        <v>68</v>
      </c>
      <c r="I323" t="s">
        <v>7126</v>
      </c>
      <c r="J323" t="s">
        <v>36</v>
      </c>
      <c r="K323" s="22">
        <v>4</v>
      </c>
      <c r="L323" s="1">
        <v>42809</v>
      </c>
      <c r="M323" s="22">
        <f>Table3[[#This Row],[Ship Date]]-Table3[[#This Row],[Order Date]]</f>
        <v>5</v>
      </c>
      <c r="N323" s="23" t="s">
        <v>45</v>
      </c>
      <c r="O323" s="23" t="s">
        <v>23</v>
      </c>
      <c r="P323" s="23" t="s">
        <v>80</v>
      </c>
      <c r="Q323" s="23" t="s">
        <v>26</v>
      </c>
      <c r="R323" s="23" t="s">
        <v>4054</v>
      </c>
      <c r="S323" s="33">
        <v>0.7</v>
      </c>
      <c r="T323" s="13">
        <v>13.092000000000001</v>
      </c>
      <c r="U323" s="13">
        <v>-10.0372</v>
      </c>
      <c r="V323" s="55">
        <f>Table3[[#This Row],[Profit]]/Table3[[#This Row],[Sales]]</f>
        <v>-0.76666666666666661</v>
      </c>
    </row>
    <row r="324" spans="1:22" x14ac:dyDescent="0.2">
      <c r="A324">
        <v>323</v>
      </c>
      <c r="B324" t="s">
        <v>8259</v>
      </c>
      <c r="C324" s="1">
        <v>42804</v>
      </c>
      <c r="D324" s="22">
        <f>MONTH(Table3[[#This Row],[Order Date]])</f>
        <v>3</v>
      </c>
      <c r="E324" t="s">
        <v>3988</v>
      </c>
      <c r="F324" t="s">
        <v>3989</v>
      </c>
      <c r="G324" s="23" t="s">
        <v>64</v>
      </c>
      <c r="H324" s="23" t="s">
        <v>144</v>
      </c>
      <c r="I324" t="s">
        <v>5789</v>
      </c>
      <c r="J324" t="s">
        <v>36</v>
      </c>
      <c r="K324" s="22">
        <v>4</v>
      </c>
      <c r="L324" s="1">
        <v>42809</v>
      </c>
      <c r="M324" s="22">
        <f>Table3[[#This Row],[Ship Date]]-Table3[[#This Row],[Order Date]]</f>
        <v>5</v>
      </c>
      <c r="N324" s="23" t="s">
        <v>20</v>
      </c>
      <c r="O324" s="23" t="s">
        <v>23</v>
      </c>
      <c r="P324" s="23" t="s">
        <v>38</v>
      </c>
      <c r="Q324" s="23" t="s">
        <v>39</v>
      </c>
      <c r="R324" s="23" t="s">
        <v>114</v>
      </c>
      <c r="S324" s="33">
        <v>0</v>
      </c>
      <c r="T324" s="13">
        <v>111.96</v>
      </c>
      <c r="U324" s="13">
        <v>21.272400000000001</v>
      </c>
      <c r="V324" s="55">
        <f>Table3[[#This Row],[Profit]]/Table3[[#This Row],[Sales]]</f>
        <v>0.19000000000000003</v>
      </c>
    </row>
    <row r="325" spans="1:22" x14ac:dyDescent="0.2">
      <c r="A325">
        <v>324</v>
      </c>
      <c r="B325" t="s">
        <v>9234</v>
      </c>
      <c r="C325" s="1">
        <v>42804</v>
      </c>
      <c r="D325" s="22">
        <f>MONTH(Table3[[#This Row],[Order Date]])</f>
        <v>3</v>
      </c>
      <c r="E325" t="s">
        <v>2064</v>
      </c>
      <c r="F325" t="s">
        <v>2065</v>
      </c>
      <c r="G325" s="23" t="s">
        <v>28</v>
      </c>
      <c r="H325" s="23" t="s">
        <v>50</v>
      </c>
      <c r="I325" t="s">
        <v>1508</v>
      </c>
      <c r="J325" t="s">
        <v>22</v>
      </c>
      <c r="K325" s="22">
        <v>4</v>
      </c>
      <c r="L325" s="1">
        <v>42808</v>
      </c>
      <c r="M325" s="22">
        <f>Table3[[#This Row],[Ship Date]]-Table3[[#This Row],[Order Date]]</f>
        <v>4</v>
      </c>
      <c r="N325" s="23" t="s">
        <v>45</v>
      </c>
      <c r="O325" s="23" t="s">
        <v>23</v>
      </c>
      <c r="P325" s="23" t="s">
        <v>94</v>
      </c>
      <c r="Q325" s="23" t="s">
        <v>95</v>
      </c>
      <c r="R325" s="23" t="s">
        <v>718</v>
      </c>
      <c r="S325" s="33">
        <v>0.3</v>
      </c>
      <c r="T325" s="13">
        <v>933.40800000000002</v>
      </c>
      <c r="U325" s="13">
        <v>-173.34719999999999</v>
      </c>
      <c r="V325" s="55">
        <f>Table3[[#This Row],[Profit]]/Table3[[#This Row],[Sales]]</f>
        <v>-0.18571428571428569</v>
      </c>
    </row>
    <row r="326" spans="1:22" x14ac:dyDescent="0.2">
      <c r="A326">
        <v>325</v>
      </c>
      <c r="B326" t="s">
        <v>5516</v>
      </c>
      <c r="C326" s="1">
        <v>42805</v>
      </c>
      <c r="D326" s="22">
        <f>MONTH(Table3[[#This Row],[Order Date]])</f>
        <v>3</v>
      </c>
      <c r="E326" t="s">
        <v>4218</v>
      </c>
      <c r="F326" t="s">
        <v>4219</v>
      </c>
      <c r="G326" s="23" t="s">
        <v>41</v>
      </c>
      <c r="H326" s="23" t="s">
        <v>68</v>
      </c>
      <c r="I326" t="s">
        <v>593</v>
      </c>
      <c r="J326" t="s">
        <v>22</v>
      </c>
      <c r="K326" s="22">
        <v>4</v>
      </c>
      <c r="L326" s="1">
        <v>42811</v>
      </c>
      <c r="M326" s="22">
        <f>Table3[[#This Row],[Ship Date]]-Table3[[#This Row],[Order Date]]</f>
        <v>6</v>
      </c>
      <c r="N326" s="23" t="s">
        <v>45</v>
      </c>
      <c r="O326" s="23" t="s">
        <v>23</v>
      </c>
      <c r="P326" s="23" t="s">
        <v>212</v>
      </c>
      <c r="Q326" s="23" t="s">
        <v>95</v>
      </c>
      <c r="R326" s="23" t="s">
        <v>775</v>
      </c>
      <c r="S326" s="33">
        <v>0</v>
      </c>
      <c r="T326" s="13">
        <v>895.92</v>
      </c>
      <c r="U326" s="13">
        <v>421.08240000000001</v>
      </c>
      <c r="V326" s="55">
        <f>Table3[[#This Row],[Profit]]/Table3[[#This Row],[Sales]]</f>
        <v>0.47000000000000003</v>
      </c>
    </row>
    <row r="327" spans="1:22" x14ac:dyDescent="0.2">
      <c r="A327">
        <v>326</v>
      </c>
      <c r="B327" t="s">
        <v>8531</v>
      </c>
      <c r="C327" s="1">
        <v>42805</v>
      </c>
      <c r="D327" s="22">
        <f>MONTH(Table3[[#This Row],[Order Date]])</f>
        <v>3</v>
      </c>
      <c r="E327" t="s">
        <v>5004</v>
      </c>
      <c r="F327" t="s">
        <v>5005</v>
      </c>
      <c r="G327" s="23" t="s">
        <v>64</v>
      </c>
      <c r="H327" s="23" t="s">
        <v>65</v>
      </c>
      <c r="I327" t="s">
        <v>7471</v>
      </c>
      <c r="J327" t="s">
        <v>92</v>
      </c>
      <c r="K327" s="22">
        <v>5</v>
      </c>
      <c r="L327" s="1">
        <v>42810</v>
      </c>
      <c r="M327" s="22">
        <f>Table3[[#This Row],[Ship Date]]-Table3[[#This Row],[Order Date]]</f>
        <v>5</v>
      </c>
      <c r="N327" s="23" t="s">
        <v>45</v>
      </c>
      <c r="O327" s="23" t="s">
        <v>23</v>
      </c>
      <c r="P327" s="23" t="s">
        <v>132</v>
      </c>
      <c r="Q327" s="23" t="s">
        <v>133</v>
      </c>
      <c r="R327" s="23" t="s">
        <v>131</v>
      </c>
      <c r="S327" s="33">
        <v>0.4</v>
      </c>
      <c r="T327" s="13">
        <v>776.85</v>
      </c>
      <c r="U327" s="13">
        <v>-181.26499999999999</v>
      </c>
      <c r="V327" s="55">
        <f>Table3[[#This Row],[Profit]]/Table3[[#This Row],[Sales]]</f>
        <v>-0.23333333333333331</v>
      </c>
    </row>
    <row r="328" spans="1:22" x14ac:dyDescent="0.2">
      <c r="A328">
        <v>327</v>
      </c>
      <c r="B328" t="s">
        <v>8531</v>
      </c>
      <c r="C328" s="1">
        <v>42805</v>
      </c>
      <c r="D328" s="22">
        <f>MONTH(Table3[[#This Row],[Order Date]])</f>
        <v>3</v>
      </c>
      <c r="E328" t="s">
        <v>410</v>
      </c>
      <c r="F328" t="s">
        <v>411</v>
      </c>
      <c r="G328" s="23" t="s">
        <v>41</v>
      </c>
      <c r="H328" s="23" t="s">
        <v>68</v>
      </c>
      <c r="I328" t="s">
        <v>7471</v>
      </c>
      <c r="J328" t="s">
        <v>92</v>
      </c>
      <c r="K328" s="22">
        <v>1</v>
      </c>
      <c r="L328" s="1">
        <v>42810</v>
      </c>
      <c r="M328" s="22">
        <f>Table3[[#This Row],[Ship Date]]-Table3[[#This Row],[Order Date]]</f>
        <v>5</v>
      </c>
      <c r="N328" s="23" t="s">
        <v>45</v>
      </c>
      <c r="O328" s="23" t="s">
        <v>23</v>
      </c>
      <c r="P328" s="23" t="s">
        <v>132</v>
      </c>
      <c r="Q328" s="23" t="s">
        <v>133</v>
      </c>
      <c r="R328" s="23" t="s">
        <v>131</v>
      </c>
      <c r="S328" s="33">
        <v>0.7</v>
      </c>
      <c r="T328" s="13">
        <v>12.294</v>
      </c>
      <c r="U328" s="13">
        <v>-8.6058000000000003</v>
      </c>
      <c r="V328" s="55">
        <f>Table3[[#This Row],[Profit]]/Table3[[#This Row],[Sales]]</f>
        <v>-0.7</v>
      </c>
    </row>
    <row r="329" spans="1:22" x14ac:dyDescent="0.2">
      <c r="A329">
        <v>328</v>
      </c>
      <c r="B329" t="s">
        <v>8531</v>
      </c>
      <c r="C329" s="1">
        <v>42805</v>
      </c>
      <c r="D329" s="22">
        <f>MONTH(Table3[[#This Row],[Order Date]])</f>
        <v>3</v>
      </c>
      <c r="E329" t="s">
        <v>2883</v>
      </c>
      <c r="F329" t="s">
        <v>2884</v>
      </c>
      <c r="G329" s="23" t="s">
        <v>28</v>
      </c>
      <c r="H329" s="23" t="s">
        <v>50</v>
      </c>
      <c r="I329" t="s">
        <v>7471</v>
      </c>
      <c r="J329" t="s">
        <v>92</v>
      </c>
      <c r="K329" s="22">
        <v>3</v>
      </c>
      <c r="L329" s="1">
        <v>42810</v>
      </c>
      <c r="M329" s="22">
        <f>Table3[[#This Row],[Ship Date]]-Table3[[#This Row],[Order Date]]</f>
        <v>5</v>
      </c>
      <c r="N329" s="23" t="s">
        <v>45</v>
      </c>
      <c r="O329" s="23" t="s">
        <v>23</v>
      </c>
      <c r="P329" s="23" t="s">
        <v>132</v>
      </c>
      <c r="Q329" s="23" t="s">
        <v>133</v>
      </c>
      <c r="R329" s="23" t="s">
        <v>131</v>
      </c>
      <c r="S329" s="33">
        <v>0.4</v>
      </c>
      <c r="T329" s="13">
        <v>154.76400000000001</v>
      </c>
      <c r="U329" s="13">
        <v>-46.429200000000002</v>
      </c>
      <c r="V329" s="55">
        <f>Table3[[#This Row],[Profit]]/Table3[[#This Row],[Sales]]</f>
        <v>-0.3</v>
      </c>
    </row>
    <row r="330" spans="1:22" x14ac:dyDescent="0.2">
      <c r="A330">
        <v>329</v>
      </c>
      <c r="B330" t="s">
        <v>8531</v>
      </c>
      <c r="C330" s="1">
        <v>42805</v>
      </c>
      <c r="D330" s="22">
        <f>MONTH(Table3[[#This Row],[Order Date]])</f>
        <v>3</v>
      </c>
      <c r="E330" t="s">
        <v>8170</v>
      </c>
      <c r="F330" t="s">
        <v>8171</v>
      </c>
      <c r="G330" s="23" t="s">
        <v>41</v>
      </c>
      <c r="H330" s="23" t="s">
        <v>53</v>
      </c>
      <c r="I330" t="s">
        <v>7471</v>
      </c>
      <c r="J330" t="s">
        <v>92</v>
      </c>
      <c r="K330" s="22">
        <v>1</v>
      </c>
      <c r="L330" s="1">
        <v>42810</v>
      </c>
      <c r="M330" s="22">
        <f>Table3[[#This Row],[Ship Date]]-Table3[[#This Row],[Order Date]]</f>
        <v>5</v>
      </c>
      <c r="N330" s="23" t="s">
        <v>45</v>
      </c>
      <c r="O330" s="23" t="s">
        <v>23</v>
      </c>
      <c r="P330" s="23" t="s">
        <v>132</v>
      </c>
      <c r="Q330" s="23" t="s">
        <v>133</v>
      </c>
      <c r="R330" s="23" t="s">
        <v>131</v>
      </c>
      <c r="S330" s="33">
        <v>0.2</v>
      </c>
      <c r="T330" s="13">
        <v>43.28</v>
      </c>
      <c r="U330" s="13">
        <v>3.246</v>
      </c>
      <c r="V330" s="55">
        <f>Table3[[#This Row],[Profit]]/Table3[[#This Row],[Sales]]</f>
        <v>7.4999999999999997E-2</v>
      </c>
    </row>
    <row r="331" spans="1:22" x14ac:dyDescent="0.2">
      <c r="A331">
        <v>330</v>
      </c>
      <c r="B331" t="s">
        <v>9017</v>
      </c>
      <c r="C331" s="1">
        <v>42805</v>
      </c>
      <c r="D331" s="22">
        <f>MONTH(Table3[[#This Row],[Order Date]])</f>
        <v>3</v>
      </c>
      <c r="E331" t="s">
        <v>1399</v>
      </c>
      <c r="F331" t="s">
        <v>1400</v>
      </c>
      <c r="G331" s="23" t="s">
        <v>64</v>
      </c>
      <c r="H331" s="23" t="s">
        <v>144</v>
      </c>
      <c r="I331" t="s">
        <v>2841</v>
      </c>
      <c r="J331" t="s">
        <v>92</v>
      </c>
      <c r="K331" s="22">
        <v>4</v>
      </c>
      <c r="L331" s="1">
        <v>42809</v>
      </c>
      <c r="M331" s="22">
        <f>Table3[[#This Row],[Ship Date]]-Table3[[#This Row],[Order Date]]</f>
        <v>4</v>
      </c>
      <c r="N331" s="23" t="s">
        <v>45</v>
      </c>
      <c r="O331" s="23" t="s">
        <v>23</v>
      </c>
      <c r="P331" s="23" t="s">
        <v>1101</v>
      </c>
      <c r="Q331" s="23" t="s">
        <v>133</v>
      </c>
      <c r="R331" s="23" t="s">
        <v>8023</v>
      </c>
      <c r="S331" s="33">
        <v>0</v>
      </c>
      <c r="T331" s="13">
        <v>63.88</v>
      </c>
      <c r="U331" s="13">
        <v>24.9132</v>
      </c>
      <c r="V331" s="55">
        <f>Table3[[#This Row],[Profit]]/Table3[[#This Row],[Sales]]</f>
        <v>0.38999999999999996</v>
      </c>
    </row>
    <row r="332" spans="1:22" x14ac:dyDescent="0.2">
      <c r="A332">
        <v>331</v>
      </c>
      <c r="B332" t="s">
        <v>9017</v>
      </c>
      <c r="C332" s="1">
        <v>42805</v>
      </c>
      <c r="D332" s="22">
        <f>MONTH(Table3[[#This Row],[Order Date]])</f>
        <v>3</v>
      </c>
      <c r="E332" t="s">
        <v>9018</v>
      </c>
      <c r="F332" t="s">
        <v>9019</v>
      </c>
      <c r="G332" s="23" t="s">
        <v>28</v>
      </c>
      <c r="H332" s="23" t="s">
        <v>58</v>
      </c>
      <c r="I332" t="s">
        <v>2841</v>
      </c>
      <c r="J332" t="s">
        <v>92</v>
      </c>
      <c r="K332" s="22">
        <v>1</v>
      </c>
      <c r="L332" s="1">
        <v>42809</v>
      </c>
      <c r="M332" s="22">
        <f>Table3[[#This Row],[Ship Date]]-Table3[[#This Row],[Order Date]]</f>
        <v>4</v>
      </c>
      <c r="N332" s="23" t="s">
        <v>45</v>
      </c>
      <c r="O332" s="23" t="s">
        <v>23</v>
      </c>
      <c r="P332" s="23" t="s">
        <v>1101</v>
      </c>
      <c r="Q332" s="23" t="s">
        <v>133</v>
      </c>
      <c r="R332" s="23" t="s">
        <v>8023</v>
      </c>
      <c r="S332" s="33">
        <v>0</v>
      </c>
      <c r="T332" s="13">
        <v>26.72</v>
      </c>
      <c r="U332" s="13">
        <v>11.7568</v>
      </c>
      <c r="V332" s="55">
        <f>Table3[[#This Row],[Profit]]/Table3[[#This Row],[Sales]]</f>
        <v>0.44</v>
      </c>
    </row>
    <row r="333" spans="1:22" x14ac:dyDescent="0.2">
      <c r="A333">
        <v>332</v>
      </c>
      <c r="B333" t="s">
        <v>5711</v>
      </c>
      <c r="C333" s="1">
        <v>42806</v>
      </c>
      <c r="D333" s="22">
        <f>MONTH(Table3[[#This Row],[Order Date]])</f>
        <v>3</v>
      </c>
      <c r="E333" t="s">
        <v>2947</v>
      </c>
      <c r="F333" t="s">
        <v>2948</v>
      </c>
      <c r="G333" s="23" t="s">
        <v>64</v>
      </c>
      <c r="H333" s="23" t="s">
        <v>65</v>
      </c>
      <c r="I333" t="s">
        <v>122</v>
      </c>
      <c r="J333" t="s">
        <v>36</v>
      </c>
      <c r="K333" s="22">
        <v>7</v>
      </c>
      <c r="L333" s="1">
        <v>42811</v>
      </c>
      <c r="M333" s="22">
        <f>Table3[[#This Row],[Ship Date]]-Table3[[#This Row],[Order Date]]</f>
        <v>5</v>
      </c>
      <c r="N333" s="23" t="s">
        <v>45</v>
      </c>
      <c r="O333" s="23" t="s">
        <v>23</v>
      </c>
      <c r="P333" s="23" t="s">
        <v>1101</v>
      </c>
      <c r="Q333" s="23" t="s">
        <v>133</v>
      </c>
      <c r="R333" s="23" t="s">
        <v>1100</v>
      </c>
      <c r="S333" s="33">
        <v>0</v>
      </c>
      <c r="T333" s="13">
        <v>69.930000000000007</v>
      </c>
      <c r="U333" s="13">
        <v>32.1678</v>
      </c>
      <c r="V333" s="55">
        <f>Table3[[#This Row],[Profit]]/Table3[[#This Row],[Sales]]</f>
        <v>0.45999999999999996</v>
      </c>
    </row>
    <row r="334" spans="1:22" x14ac:dyDescent="0.2">
      <c r="A334">
        <v>333</v>
      </c>
      <c r="B334" t="s">
        <v>6917</v>
      </c>
      <c r="C334" s="1">
        <v>42806</v>
      </c>
      <c r="D334" s="22">
        <f>MONTH(Table3[[#This Row],[Order Date]])</f>
        <v>3</v>
      </c>
      <c r="E334" t="s">
        <v>1572</v>
      </c>
      <c r="F334" t="s">
        <v>1573</v>
      </c>
      <c r="G334" s="23" t="s">
        <v>41</v>
      </c>
      <c r="H334" s="23" t="s">
        <v>53</v>
      </c>
      <c r="I334" t="s">
        <v>3783</v>
      </c>
      <c r="J334" t="s">
        <v>36</v>
      </c>
      <c r="K334" s="22">
        <v>3</v>
      </c>
      <c r="L334" s="1">
        <v>42811</v>
      </c>
      <c r="M334" s="22">
        <f>Table3[[#This Row],[Ship Date]]-Table3[[#This Row],[Order Date]]</f>
        <v>5</v>
      </c>
      <c r="N334" s="23" t="s">
        <v>45</v>
      </c>
      <c r="O334" s="23" t="s">
        <v>23</v>
      </c>
      <c r="P334" s="23" t="s">
        <v>38</v>
      </c>
      <c r="Q334" s="23" t="s">
        <v>39</v>
      </c>
      <c r="R334" s="23" t="s">
        <v>114</v>
      </c>
      <c r="S334" s="33">
        <v>0</v>
      </c>
      <c r="T334" s="13">
        <v>242.94</v>
      </c>
      <c r="U334" s="13">
        <v>9.7175999999999991</v>
      </c>
      <c r="V334" s="55">
        <f>Table3[[#This Row],[Profit]]/Table3[[#This Row],[Sales]]</f>
        <v>3.9999999999999994E-2</v>
      </c>
    </row>
    <row r="335" spans="1:22" x14ac:dyDescent="0.2">
      <c r="A335">
        <v>334</v>
      </c>
      <c r="B335" t="s">
        <v>7435</v>
      </c>
      <c r="C335" s="1">
        <v>42806</v>
      </c>
      <c r="D335" s="22">
        <f>MONTH(Table3[[#This Row],[Order Date]])</f>
        <v>3</v>
      </c>
      <c r="E335" t="s">
        <v>4998</v>
      </c>
      <c r="F335" t="s">
        <v>1078</v>
      </c>
      <c r="G335" s="23" t="s">
        <v>41</v>
      </c>
      <c r="H335" s="23" t="s">
        <v>68</v>
      </c>
      <c r="I335" t="s">
        <v>2314</v>
      </c>
      <c r="J335" t="s">
        <v>22</v>
      </c>
      <c r="K335" s="22">
        <v>9</v>
      </c>
      <c r="L335" s="1">
        <v>42811</v>
      </c>
      <c r="M335" s="22">
        <f>Table3[[#This Row],[Ship Date]]-Table3[[#This Row],[Order Date]]</f>
        <v>5</v>
      </c>
      <c r="N335" s="23" t="s">
        <v>45</v>
      </c>
      <c r="O335" s="23" t="s">
        <v>23</v>
      </c>
      <c r="P335" s="23" t="s">
        <v>1510</v>
      </c>
      <c r="Q335" s="23" t="s">
        <v>26</v>
      </c>
      <c r="R335" s="23" t="s">
        <v>7436</v>
      </c>
      <c r="S335" s="33">
        <v>0</v>
      </c>
      <c r="T335" s="13">
        <v>40.409999999999997</v>
      </c>
      <c r="U335" s="13">
        <v>18.5886</v>
      </c>
      <c r="V335" s="55">
        <f>Table3[[#This Row],[Profit]]/Table3[[#This Row],[Sales]]</f>
        <v>0.46</v>
      </c>
    </row>
    <row r="336" spans="1:22" x14ac:dyDescent="0.2">
      <c r="A336">
        <v>335</v>
      </c>
      <c r="B336" t="s">
        <v>4523</v>
      </c>
      <c r="C336" s="1">
        <v>42807</v>
      </c>
      <c r="D336" s="22">
        <f>MONTH(Table3[[#This Row],[Order Date]])</f>
        <v>3</v>
      </c>
      <c r="E336" t="s">
        <v>3788</v>
      </c>
      <c r="F336" t="s">
        <v>3789</v>
      </c>
      <c r="G336" s="23" t="s">
        <v>41</v>
      </c>
      <c r="H336" s="23" t="s">
        <v>82</v>
      </c>
      <c r="I336" t="s">
        <v>4524</v>
      </c>
      <c r="J336" t="s">
        <v>92</v>
      </c>
      <c r="K336" s="22">
        <v>3</v>
      </c>
      <c r="L336" s="1">
        <v>42813</v>
      </c>
      <c r="M336" s="22">
        <f>Table3[[#This Row],[Ship Date]]-Table3[[#This Row],[Order Date]]</f>
        <v>6</v>
      </c>
      <c r="N336" s="23" t="s">
        <v>45</v>
      </c>
      <c r="O336" s="23" t="s">
        <v>23</v>
      </c>
      <c r="P336" s="23" t="s">
        <v>38</v>
      </c>
      <c r="Q336" s="23" t="s">
        <v>39</v>
      </c>
      <c r="R336" s="23" t="s">
        <v>4525</v>
      </c>
      <c r="S336" s="33">
        <v>0</v>
      </c>
      <c r="T336" s="13">
        <v>314.55</v>
      </c>
      <c r="U336" s="13">
        <v>150.98400000000001</v>
      </c>
      <c r="V336" s="55">
        <f>Table3[[#This Row],[Profit]]/Table3[[#This Row],[Sales]]</f>
        <v>0.48000000000000004</v>
      </c>
    </row>
    <row r="337" spans="1:22" x14ac:dyDescent="0.2">
      <c r="A337">
        <v>336</v>
      </c>
      <c r="B337" t="s">
        <v>5602</v>
      </c>
      <c r="C337" s="1">
        <v>42807</v>
      </c>
      <c r="D337" s="22">
        <f>MONTH(Table3[[#This Row],[Order Date]])</f>
        <v>3</v>
      </c>
      <c r="E337" t="s">
        <v>312</v>
      </c>
      <c r="F337" t="s">
        <v>313</v>
      </c>
      <c r="G337" s="23" t="s">
        <v>41</v>
      </c>
      <c r="H337" s="23" t="s">
        <v>53</v>
      </c>
      <c r="I337" t="s">
        <v>5603</v>
      </c>
      <c r="J337" t="s">
        <v>92</v>
      </c>
      <c r="K337" s="22">
        <v>8</v>
      </c>
      <c r="L337" s="1">
        <v>42812</v>
      </c>
      <c r="M337" s="22">
        <f>Table3[[#This Row],[Ship Date]]-Table3[[#This Row],[Order Date]]</f>
        <v>5</v>
      </c>
      <c r="N337" s="23" t="s">
        <v>20</v>
      </c>
      <c r="O337" s="23" t="s">
        <v>23</v>
      </c>
      <c r="P337" s="23" t="s">
        <v>589</v>
      </c>
      <c r="Q337" s="23" t="s">
        <v>39</v>
      </c>
      <c r="R337" s="23" t="s">
        <v>4858</v>
      </c>
      <c r="S337" s="33">
        <v>0</v>
      </c>
      <c r="T337" s="13">
        <v>90.8</v>
      </c>
      <c r="U337" s="13">
        <v>25.423999999999999</v>
      </c>
      <c r="V337" s="55">
        <f>Table3[[#This Row],[Profit]]/Table3[[#This Row],[Sales]]</f>
        <v>0.28000000000000003</v>
      </c>
    </row>
    <row r="338" spans="1:22" x14ac:dyDescent="0.2">
      <c r="A338">
        <v>337</v>
      </c>
      <c r="B338" t="s">
        <v>5602</v>
      </c>
      <c r="C338" s="1">
        <v>42807</v>
      </c>
      <c r="D338" s="22">
        <f>MONTH(Table3[[#This Row],[Order Date]])</f>
        <v>3</v>
      </c>
      <c r="E338" t="s">
        <v>2481</v>
      </c>
      <c r="F338" t="s">
        <v>2482</v>
      </c>
      <c r="G338" s="23" t="s">
        <v>64</v>
      </c>
      <c r="H338" s="23" t="s">
        <v>65</v>
      </c>
      <c r="I338" t="s">
        <v>5603</v>
      </c>
      <c r="J338" t="s">
        <v>92</v>
      </c>
      <c r="K338" s="22">
        <v>8</v>
      </c>
      <c r="L338" s="1">
        <v>42812</v>
      </c>
      <c r="M338" s="22">
        <f>Table3[[#This Row],[Ship Date]]-Table3[[#This Row],[Order Date]]</f>
        <v>5</v>
      </c>
      <c r="N338" s="23" t="s">
        <v>20</v>
      </c>
      <c r="O338" s="23" t="s">
        <v>23</v>
      </c>
      <c r="P338" s="23" t="s">
        <v>589</v>
      </c>
      <c r="Q338" s="23" t="s">
        <v>39</v>
      </c>
      <c r="R338" s="23" t="s">
        <v>4858</v>
      </c>
      <c r="S338" s="33">
        <v>0.2</v>
      </c>
      <c r="T338" s="13">
        <v>140.73599999999999</v>
      </c>
      <c r="U338" s="13">
        <v>49.257599999999996</v>
      </c>
      <c r="V338" s="55">
        <f>Table3[[#This Row],[Profit]]/Table3[[#This Row],[Sales]]</f>
        <v>0.35</v>
      </c>
    </row>
    <row r="339" spans="1:22" x14ac:dyDescent="0.2">
      <c r="A339">
        <v>338</v>
      </c>
      <c r="B339" t="s">
        <v>5602</v>
      </c>
      <c r="C339" s="1">
        <v>42807</v>
      </c>
      <c r="D339" s="22">
        <f>MONTH(Table3[[#This Row],[Order Date]])</f>
        <v>3</v>
      </c>
      <c r="E339" t="s">
        <v>5604</v>
      </c>
      <c r="F339" t="s">
        <v>5605</v>
      </c>
      <c r="G339" s="23" t="s">
        <v>64</v>
      </c>
      <c r="H339" s="23" t="s">
        <v>144</v>
      </c>
      <c r="I339" t="s">
        <v>5603</v>
      </c>
      <c r="J339" t="s">
        <v>92</v>
      </c>
      <c r="K339" s="22">
        <v>5</v>
      </c>
      <c r="L339" s="1">
        <v>42812</v>
      </c>
      <c r="M339" s="22">
        <f>Table3[[#This Row],[Ship Date]]-Table3[[#This Row],[Order Date]]</f>
        <v>5</v>
      </c>
      <c r="N339" s="23" t="s">
        <v>20</v>
      </c>
      <c r="O339" s="23" t="s">
        <v>23</v>
      </c>
      <c r="P339" s="23" t="s">
        <v>589</v>
      </c>
      <c r="Q339" s="23" t="s">
        <v>39</v>
      </c>
      <c r="R339" s="23" t="s">
        <v>4858</v>
      </c>
      <c r="S339" s="33">
        <v>0</v>
      </c>
      <c r="T339" s="13">
        <v>214.95</v>
      </c>
      <c r="U339" s="13">
        <v>88.129499999999993</v>
      </c>
      <c r="V339" s="55">
        <f>Table3[[#This Row],[Profit]]/Table3[[#This Row],[Sales]]</f>
        <v>0.41</v>
      </c>
    </row>
    <row r="340" spans="1:22" x14ac:dyDescent="0.2">
      <c r="A340">
        <v>339</v>
      </c>
      <c r="B340" t="s">
        <v>5602</v>
      </c>
      <c r="C340" s="1">
        <v>42807</v>
      </c>
      <c r="D340" s="22">
        <f>MONTH(Table3[[#This Row],[Order Date]])</f>
        <v>3</v>
      </c>
      <c r="E340" t="s">
        <v>5606</v>
      </c>
      <c r="F340" t="s">
        <v>5607</v>
      </c>
      <c r="G340" s="23" t="s">
        <v>41</v>
      </c>
      <c r="H340" s="23" t="s">
        <v>82</v>
      </c>
      <c r="I340" t="s">
        <v>5603</v>
      </c>
      <c r="J340" t="s">
        <v>92</v>
      </c>
      <c r="K340" s="22">
        <v>7</v>
      </c>
      <c r="L340" s="1">
        <v>42812</v>
      </c>
      <c r="M340" s="22">
        <f>Table3[[#This Row],[Ship Date]]-Table3[[#This Row],[Order Date]]</f>
        <v>5</v>
      </c>
      <c r="N340" s="23" t="s">
        <v>20</v>
      </c>
      <c r="O340" s="23" t="s">
        <v>23</v>
      </c>
      <c r="P340" s="23" t="s">
        <v>589</v>
      </c>
      <c r="Q340" s="23" t="s">
        <v>39</v>
      </c>
      <c r="R340" s="23" t="s">
        <v>4858</v>
      </c>
      <c r="S340" s="33">
        <v>0</v>
      </c>
      <c r="T340" s="13">
        <v>45.36</v>
      </c>
      <c r="U340" s="13">
        <v>21.7728</v>
      </c>
      <c r="V340" s="55">
        <f>Table3[[#This Row],[Profit]]/Table3[[#This Row],[Sales]]</f>
        <v>0.48</v>
      </c>
    </row>
    <row r="341" spans="1:22" x14ac:dyDescent="0.2">
      <c r="A341">
        <v>340</v>
      </c>
      <c r="B341" t="s">
        <v>5602</v>
      </c>
      <c r="C341" s="1">
        <v>42807</v>
      </c>
      <c r="D341" s="22">
        <f>MONTH(Table3[[#This Row],[Order Date]])</f>
        <v>3</v>
      </c>
      <c r="E341" t="s">
        <v>5210</v>
      </c>
      <c r="F341" t="s">
        <v>5211</v>
      </c>
      <c r="G341" s="23" t="s">
        <v>41</v>
      </c>
      <c r="H341" s="23" t="s">
        <v>82</v>
      </c>
      <c r="I341" t="s">
        <v>5603</v>
      </c>
      <c r="J341" t="s">
        <v>92</v>
      </c>
      <c r="K341" s="22">
        <v>6</v>
      </c>
      <c r="L341" s="1">
        <v>42812</v>
      </c>
      <c r="M341" s="22">
        <f>Table3[[#This Row],[Ship Date]]-Table3[[#This Row],[Order Date]]</f>
        <v>5</v>
      </c>
      <c r="N341" s="23" t="s">
        <v>20</v>
      </c>
      <c r="O341" s="23" t="s">
        <v>23</v>
      </c>
      <c r="P341" s="23" t="s">
        <v>589</v>
      </c>
      <c r="Q341" s="23" t="s">
        <v>39</v>
      </c>
      <c r="R341" s="23" t="s">
        <v>4858</v>
      </c>
      <c r="S341" s="33">
        <v>0</v>
      </c>
      <c r="T341" s="13">
        <v>288.24</v>
      </c>
      <c r="U341" s="13">
        <v>138.3552</v>
      </c>
      <c r="V341" s="55">
        <f>Table3[[#This Row],[Profit]]/Table3[[#This Row],[Sales]]</f>
        <v>0.48</v>
      </c>
    </row>
    <row r="342" spans="1:22" x14ac:dyDescent="0.2">
      <c r="A342">
        <v>341</v>
      </c>
      <c r="B342" t="s">
        <v>6776</v>
      </c>
      <c r="C342" s="1">
        <v>42807</v>
      </c>
      <c r="D342" s="22">
        <f>MONTH(Table3[[#This Row],[Order Date]])</f>
        <v>3</v>
      </c>
      <c r="E342" t="s">
        <v>1594</v>
      </c>
      <c r="F342" t="s">
        <v>1595</v>
      </c>
      <c r="G342" s="23" t="s">
        <v>41</v>
      </c>
      <c r="H342" s="23" t="s">
        <v>513</v>
      </c>
      <c r="I342" t="s">
        <v>2478</v>
      </c>
      <c r="J342" t="s">
        <v>22</v>
      </c>
      <c r="K342" s="22">
        <v>2</v>
      </c>
      <c r="L342" s="1">
        <v>42814</v>
      </c>
      <c r="M342" s="22">
        <f>Table3[[#This Row],[Ship Date]]-Table3[[#This Row],[Order Date]]</f>
        <v>7</v>
      </c>
      <c r="N342" s="23" t="s">
        <v>45</v>
      </c>
      <c r="O342" s="23" t="s">
        <v>23</v>
      </c>
      <c r="P342" s="23" t="s">
        <v>405</v>
      </c>
      <c r="Q342" s="23" t="s">
        <v>39</v>
      </c>
      <c r="R342" s="23" t="s">
        <v>711</v>
      </c>
      <c r="S342" s="33">
        <v>0.2</v>
      </c>
      <c r="T342" s="13">
        <v>1332.4960000000001</v>
      </c>
      <c r="U342" s="13">
        <v>-299.8116</v>
      </c>
      <c r="V342" s="55">
        <f>Table3[[#This Row],[Profit]]/Table3[[#This Row],[Sales]]</f>
        <v>-0.22499999999999998</v>
      </c>
    </row>
    <row r="343" spans="1:22" x14ac:dyDescent="0.2">
      <c r="A343">
        <v>342</v>
      </c>
      <c r="B343" t="s">
        <v>7568</v>
      </c>
      <c r="C343" s="1">
        <v>42807</v>
      </c>
      <c r="D343" s="22">
        <f>MONTH(Table3[[#This Row],[Order Date]])</f>
        <v>3</v>
      </c>
      <c r="E343" t="s">
        <v>5775</v>
      </c>
      <c r="F343" t="s">
        <v>5776</v>
      </c>
      <c r="G343" s="23" t="s">
        <v>41</v>
      </c>
      <c r="H343" s="23" t="s">
        <v>61</v>
      </c>
      <c r="I343" t="s">
        <v>6007</v>
      </c>
      <c r="J343" t="s">
        <v>92</v>
      </c>
      <c r="K343" s="22">
        <v>4</v>
      </c>
      <c r="L343" s="1">
        <v>42807</v>
      </c>
      <c r="M343" s="22">
        <f>Table3[[#This Row],[Ship Date]]-Table3[[#This Row],[Order Date]]</f>
        <v>0</v>
      </c>
      <c r="N343" s="23" t="s">
        <v>1141</v>
      </c>
      <c r="O343" s="23" t="s">
        <v>23</v>
      </c>
      <c r="P343" s="23" t="s">
        <v>189</v>
      </c>
      <c r="Q343" s="23" t="s">
        <v>95</v>
      </c>
      <c r="R343" s="23" t="s">
        <v>271</v>
      </c>
      <c r="S343" s="33">
        <v>0.2</v>
      </c>
      <c r="T343" s="13">
        <v>19.456</v>
      </c>
      <c r="U343" s="13">
        <v>2.1888000000000001</v>
      </c>
      <c r="V343" s="55">
        <f>Table3[[#This Row],[Profit]]/Table3[[#This Row],[Sales]]</f>
        <v>0.1125</v>
      </c>
    </row>
    <row r="344" spans="1:22" x14ac:dyDescent="0.2">
      <c r="A344">
        <v>343</v>
      </c>
      <c r="B344" t="s">
        <v>7568</v>
      </c>
      <c r="C344" s="1">
        <v>42807</v>
      </c>
      <c r="D344" s="22">
        <f>MONTH(Table3[[#This Row],[Order Date]])</f>
        <v>3</v>
      </c>
      <c r="E344" t="s">
        <v>7569</v>
      </c>
      <c r="F344" t="s">
        <v>7570</v>
      </c>
      <c r="G344" s="23" t="s">
        <v>64</v>
      </c>
      <c r="H344" s="23" t="s">
        <v>602</v>
      </c>
      <c r="I344" t="s">
        <v>6007</v>
      </c>
      <c r="J344" t="s">
        <v>92</v>
      </c>
      <c r="K344" s="22">
        <v>2</v>
      </c>
      <c r="L344" s="1">
        <v>42807</v>
      </c>
      <c r="M344" s="22">
        <f>Table3[[#This Row],[Ship Date]]-Table3[[#This Row],[Order Date]]</f>
        <v>0</v>
      </c>
      <c r="N344" s="23" t="s">
        <v>1141</v>
      </c>
      <c r="O344" s="23" t="s">
        <v>23</v>
      </c>
      <c r="P344" s="23" t="s">
        <v>189</v>
      </c>
      <c r="Q344" s="23" t="s">
        <v>95</v>
      </c>
      <c r="R344" s="23" t="s">
        <v>271</v>
      </c>
      <c r="S344" s="33">
        <v>0.3</v>
      </c>
      <c r="T344" s="13">
        <v>209.98599999999999</v>
      </c>
      <c r="U344" s="13">
        <v>8.9993999999999996</v>
      </c>
      <c r="V344" s="55">
        <f>Table3[[#This Row],[Profit]]/Table3[[#This Row],[Sales]]</f>
        <v>4.2857142857142858E-2</v>
      </c>
    </row>
    <row r="345" spans="1:22" x14ac:dyDescent="0.2">
      <c r="A345">
        <v>344</v>
      </c>
      <c r="B345" t="s">
        <v>7568</v>
      </c>
      <c r="C345" s="1">
        <v>42807</v>
      </c>
      <c r="D345" s="22">
        <f>MONTH(Table3[[#This Row],[Order Date]])</f>
        <v>3</v>
      </c>
      <c r="E345" t="s">
        <v>5445</v>
      </c>
      <c r="F345" t="s">
        <v>5446</v>
      </c>
      <c r="G345" s="23" t="s">
        <v>41</v>
      </c>
      <c r="H345" s="23" t="s">
        <v>61</v>
      </c>
      <c r="I345" t="s">
        <v>6007</v>
      </c>
      <c r="J345" t="s">
        <v>92</v>
      </c>
      <c r="K345" s="22">
        <v>5</v>
      </c>
      <c r="L345" s="1">
        <v>42807</v>
      </c>
      <c r="M345" s="22">
        <f>Table3[[#This Row],[Ship Date]]-Table3[[#This Row],[Order Date]]</f>
        <v>0</v>
      </c>
      <c r="N345" s="23" t="s">
        <v>1141</v>
      </c>
      <c r="O345" s="23" t="s">
        <v>23</v>
      </c>
      <c r="P345" s="23" t="s">
        <v>189</v>
      </c>
      <c r="Q345" s="23" t="s">
        <v>95</v>
      </c>
      <c r="R345" s="23" t="s">
        <v>271</v>
      </c>
      <c r="S345" s="33">
        <v>0.2</v>
      </c>
      <c r="T345" s="13">
        <v>29.76</v>
      </c>
      <c r="U345" s="13">
        <v>1.86</v>
      </c>
      <c r="V345" s="55">
        <f>Table3[[#This Row],[Profit]]/Table3[[#This Row],[Sales]]</f>
        <v>6.25E-2</v>
      </c>
    </row>
    <row r="346" spans="1:22" x14ac:dyDescent="0.2">
      <c r="A346">
        <v>345</v>
      </c>
      <c r="B346" t="s">
        <v>7568</v>
      </c>
      <c r="C346" s="1">
        <v>42807</v>
      </c>
      <c r="D346" s="22">
        <f>MONTH(Table3[[#This Row],[Order Date]])</f>
        <v>3</v>
      </c>
      <c r="E346" t="s">
        <v>6237</v>
      </c>
      <c r="F346" t="s">
        <v>6238</v>
      </c>
      <c r="G346" s="23" t="s">
        <v>28</v>
      </c>
      <c r="H346" s="23" t="s">
        <v>32</v>
      </c>
      <c r="I346" t="s">
        <v>6007</v>
      </c>
      <c r="J346" t="s">
        <v>92</v>
      </c>
      <c r="K346" s="22">
        <v>1</v>
      </c>
      <c r="L346" s="1">
        <v>42807</v>
      </c>
      <c r="M346" s="22">
        <f>Table3[[#This Row],[Ship Date]]-Table3[[#This Row],[Order Date]]</f>
        <v>0</v>
      </c>
      <c r="N346" s="23" t="s">
        <v>1141</v>
      </c>
      <c r="O346" s="23" t="s">
        <v>23</v>
      </c>
      <c r="P346" s="23" t="s">
        <v>189</v>
      </c>
      <c r="Q346" s="23" t="s">
        <v>95</v>
      </c>
      <c r="R346" s="23" t="s">
        <v>271</v>
      </c>
      <c r="S346" s="33">
        <v>0.3</v>
      </c>
      <c r="T346" s="13">
        <v>89.768000000000001</v>
      </c>
      <c r="U346" s="13">
        <v>-2.5648</v>
      </c>
      <c r="V346" s="55">
        <f>Table3[[#This Row],[Profit]]/Table3[[#This Row],[Sales]]</f>
        <v>-2.8571428571428571E-2</v>
      </c>
    </row>
    <row r="347" spans="1:22" x14ac:dyDescent="0.2">
      <c r="A347">
        <v>346</v>
      </c>
      <c r="B347" t="s">
        <v>7568</v>
      </c>
      <c r="C347" s="1">
        <v>42807</v>
      </c>
      <c r="D347" s="22">
        <f>MONTH(Table3[[#This Row],[Order Date]])</f>
        <v>3</v>
      </c>
      <c r="E347" t="s">
        <v>1074</v>
      </c>
      <c r="F347" t="s">
        <v>1076</v>
      </c>
      <c r="G347" s="23" t="s">
        <v>64</v>
      </c>
      <c r="H347" s="23" t="s">
        <v>1075</v>
      </c>
      <c r="I347" t="s">
        <v>6007</v>
      </c>
      <c r="J347" t="s">
        <v>92</v>
      </c>
      <c r="K347" s="22">
        <v>2</v>
      </c>
      <c r="L347" s="1">
        <v>42807</v>
      </c>
      <c r="M347" s="22">
        <f>Table3[[#This Row],[Ship Date]]-Table3[[#This Row],[Order Date]]</f>
        <v>0</v>
      </c>
      <c r="N347" s="23" t="s">
        <v>1141</v>
      </c>
      <c r="O347" s="23" t="s">
        <v>23</v>
      </c>
      <c r="P347" s="23" t="s">
        <v>189</v>
      </c>
      <c r="Q347" s="23" t="s">
        <v>95</v>
      </c>
      <c r="R347" s="23" t="s">
        <v>271</v>
      </c>
      <c r="S347" s="33">
        <v>0.2</v>
      </c>
      <c r="T347" s="13">
        <v>959.98400000000004</v>
      </c>
      <c r="U347" s="13">
        <v>335.99439999999998</v>
      </c>
      <c r="V347" s="55">
        <f>Table3[[#This Row],[Profit]]/Table3[[#This Row],[Sales]]</f>
        <v>0.35</v>
      </c>
    </row>
    <row r="348" spans="1:22" x14ac:dyDescent="0.2">
      <c r="A348">
        <v>347</v>
      </c>
      <c r="B348" t="s">
        <v>7568</v>
      </c>
      <c r="C348" s="1">
        <v>42807</v>
      </c>
      <c r="D348" s="22">
        <f>MONTH(Table3[[#This Row],[Order Date]])</f>
        <v>3</v>
      </c>
      <c r="E348" t="s">
        <v>1875</v>
      </c>
      <c r="F348" t="s">
        <v>1876</v>
      </c>
      <c r="G348" s="23" t="s">
        <v>41</v>
      </c>
      <c r="H348" s="23" t="s">
        <v>82</v>
      </c>
      <c r="I348" t="s">
        <v>6007</v>
      </c>
      <c r="J348" t="s">
        <v>92</v>
      </c>
      <c r="K348" s="22">
        <v>3</v>
      </c>
      <c r="L348" s="1">
        <v>42807</v>
      </c>
      <c r="M348" s="22">
        <f>Table3[[#This Row],[Ship Date]]-Table3[[#This Row],[Order Date]]</f>
        <v>0</v>
      </c>
      <c r="N348" s="23" t="s">
        <v>1141</v>
      </c>
      <c r="O348" s="23" t="s">
        <v>23</v>
      </c>
      <c r="P348" s="23" t="s">
        <v>189</v>
      </c>
      <c r="Q348" s="23" t="s">
        <v>95</v>
      </c>
      <c r="R348" s="23" t="s">
        <v>271</v>
      </c>
      <c r="S348" s="33">
        <v>0.2</v>
      </c>
      <c r="T348" s="13">
        <v>15.552</v>
      </c>
      <c r="U348" s="13">
        <v>5.6375999999999999</v>
      </c>
      <c r="V348" s="55">
        <f>Table3[[#This Row],[Profit]]/Table3[[#This Row],[Sales]]</f>
        <v>0.36249999999999999</v>
      </c>
    </row>
    <row r="349" spans="1:22" x14ac:dyDescent="0.2">
      <c r="A349">
        <v>348</v>
      </c>
      <c r="B349" t="s">
        <v>7568</v>
      </c>
      <c r="C349" s="1">
        <v>42807</v>
      </c>
      <c r="D349" s="22">
        <f>MONTH(Table3[[#This Row],[Order Date]])</f>
        <v>3</v>
      </c>
      <c r="E349" t="s">
        <v>4710</v>
      </c>
      <c r="F349" t="s">
        <v>4711</v>
      </c>
      <c r="G349" s="23" t="s">
        <v>64</v>
      </c>
      <c r="H349" s="23" t="s">
        <v>65</v>
      </c>
      <c r="I349" t="s">
        <v>6007</v>
      </c>
      <c r="J349" t="s">
        <v>92</v>
      </c>
      <c r="K349" s="22">
        <v>1</v>
      </c>
      <c r="L349" s="1">
        <v>42807</v>
      </c>
      <c r="M349" s="22">
        <f>Table3[[#This Row],[Ship Date]]-Table3[[#This Row],[Order Date]]</f>
        <v>0</v>
      </c>
      <c r="N349" s="23" t="s">
        <v>1141</v>
      </c>
      <c r="O349" s="23" t="s">
        <v>23</v>
      </c>
      <c r="P349" s="23" t="s">
        <v>189</v>
      </c>
      <c r="Q349" s="23" t="s">
        <v>95</v>
      </c>
      <c r="R349" s="23" t="s">
        <v>271</v>
      </c>
      <c r="S349" s="33">
        <v>0.2</v>
      </c>
      <c r="T349" s="13">
        <v>34.36</v>
      </c>
      <c r="U349" s="13">
        <v>-7.3014999999999999</v>
      </c>
      <c r="V349" s="55">
        <f>Table3[[#This Row],[Profit]]/Table3[[#This Row],[Sales]]</f>
        <v>-0.21249999999999999</v>
      </c>
    </row>
    <row r="350" spans="1:22" x14ac:dyDescent="0.2">
      <c r="A350">
        <v>349</v>
      </c>
      <c r="B350" t="s">
        <v>8583</v>
      </c>
      <c r="C350" s="1">
        <v>42807</v>
      </c>
      <c r="D350" s="22">
        <f>MONTH(Table3[[#This Row],[Order Date]])</f>
        <v>3</v>
      </c>
      <c r="E350" t="s">
        <v>3818</v>
      </c>
      <c r="F350" t="s">
        <v>3819</v>
      </c>
      <c r="G350" s="23" t="s">
        <v>41</v>
      </c>
      <c r="H350" s="23" t="s">
        <v>68</v>
      </c>
      <c r="I350" t="s">
        <v>4910</v>
      </c>
      <c r="J350" t="s">
        <v>22</v>
      </c>
      <c r="K350" s="22">
        <v>2</v>
      </c>
      <c r="L350" s="1">
        <v>42809</v>
      </c>
      <c r="M350" s="22">
        <f>Table3[[#This Row],[Ship Date]]-Table3[[#This Row],[Order Date]]</f>
        <v>2</v>
      </c>
      <c r="N350" s="23" t="s">
        <v>169</v>
      </c>
      <c r="O350" s="23" t="s">
        <v>23</v>
      </c>
      <c r="P350" s="23" t="s">
        <v>660</v>
      </c>
      <c r="Q350" s="23" t="s">
        <v>133</v>
      </c>
      <c r="R350" s="23" t="s">
        <v>659</v>
      </c>
      <c r="S350" s="33">
        <v>0</v>
      </c>
      <c r="T350" s="13">
        <v>30.88</v>
      </c>
      <c r="U350" s="13">
        <v>15.44</v>
      </c>
      <c r="V350" s="55">
        <f>Table3[[#This Row],[Profit]]/Table3[[#This Row],[Sales]]</f>
        <v>0.5</v>
      </c>
    </row>
    <row r="351" spans="1:22" x14ac:dyDescent="0.2">
      <c r="A351">
        <v>350</v>
      </c>
      <c r="B351" t="s">
        <v>8583</v>
      </c>
      <c r="C351" s="1">
        <v>42807</v>
      </c>
      <c r="D351" s="22">
        <f>MONTH(Table3[[#This Row],[Order Date]])</f>
        <v>3</v>
      </c>
      <c r="E351" t="s">
        <v>8006</v>
      </c>
      <c r="F351" t="s">
        <v>8007</v>
      </c>
      <c r="G351" s="23" t="s">
        <v>41</v>
      </c>
      <c r="H351" s="23" t="s">
        <v>71</v>
      </c>
      <c r="I351" t="s">
        <v>4910</v>
      </c>
      <c r="J351" t="s">
        <v>22</v>
      </c>
      <c r="K351" s="22">
        <v>2</v>
      </c>
      <c r="L351" s="1">
        <v>42809</v>
      </c>
      <c r="M351" s="22">
        <f>Table3[[#This Row],[Ship Date]]-Table3[[#This Row],[Order Date]]</f>
        <v>2</v>
      </c>
      <c r="N351" s="23" t="s">
        <v>169</v>
      </c>
      <c r="O351" s="23" t="s">
        <v>23</v>
      </c>
      <c r="P351" s="23" t="s">
        <v>660</v>
      </c>
      <c r="Q351" s="23" t="s">
        <v>133</v>
      </c>
      <c r="R351" s="23" t="s">
        <v>659</v>
      </c>
      <c r="S351" s="33">
        <v>0</v>
      </c>
      <c r="T351" s="13">
        <v>465.16</v>
      </c>
      <c r="U351" s="13">
        <v>120.94159999999999</v>
      </c>
      <c r="V351" s="55">
        <f>Table3[[#This Row],[Profit]]/Table3[[#This Row],[Sales]]</f>
        <v>0.25999999999999995</v>
      </c>
    </row>
    <row r="352" spans="1:22" x14ac:dyDescent="0.2">
      <c r="A352">
        <v>351</v>
      </c>
      <c r="B352" t="s">
        <v>8583</v>
      </c>
      <c r="C352" s="1">
        <v>42807</v>
      </c>
      <c r="D352" s="22">
        <f>MONTH(Table3[[#This Row],[Order Date]])</f>
        <v>3</v>
      </c>
      <c r="E352" t="s">
        <v>3410</v>
      </c>
      <c r="F352" t="s">
        <v>3411</v>
      </c>
      <c r="G352" s="23" t="s">
        <v>41</v>
      </c>
      <c r="H352" s="23" t="s">
        <v>82</v>
      </c>
      <c r="I352" t="s">
        <v>4910</v>
      </c>
      <c r="J352" t="s">
        <v>22</v>
      </c>
      <c r="K352" s="22">
        <v>4</v>
      </c>
      <c r="L352" s="1">
        <v>42809</v>
      </c>
      <c r="M352" s="22">
        <f>Table3[[#This Row],[Ship Date]]-Table3[[#This Row],[Order Date]]</f>
        <v>2</v>
      </c>
      <c r="N352" s="23" t="s">
        <v>169</v>
      </c>
      <c r="O352" s="23" t="s">
        <v>23</v>
      </c>
      <c r="P352" s="23" t="s">
        <v>660</v>
      </c>
      <c r="Q352" s="23" t="s">
        <v>133</v>
      </c>
      <c r="R352" s="23" t="s">
        <v>659</v>
      </c>
      <c r="S352" s="33">
        <v>0</v>
      </c>
      <c r="T352" s="13">
        <v>27.12</v>
      </c>
      <c r="U352" s="13">
        <v>12.475199999999999</v>
      </c>
      <c r="V352" s="55">
        <f>Table3[[#This Row],[Profit]]/Table3[[#This Row],[Sales]]</f>
        <v>0.45999999999999996</v>
      </c>
    </row>
    <row r="353" spans="1:22" x14ac:dyDescent="0.2">
      <c r="A353">
        <v>352</v>
      </c>
      <c r="B353" t="s">
        <v>8963</v>
      </c>
      <c r="C353" s="1">
        <v>42807</v>
      </c>
      <c r="D353" s="22">
        <f>MONTH(Table3[[#This Row],[Order Date]])</f>
        <v>3</v>
      </c>
      <c r="E353" t="s">
        <v>3152</v>
      </c>
      <c r="F353" t="s">
        <v>3153</v>
      </c>
      <c r="G353" s="23" t="s">
        <v>41</v>
      </c>
      <c r="H353" s="23" t="s">
        <v>68</v>
      </c>
      <c r="I353" t="s">
        <v>5549</v>
      </c>
      <c r="J353" t="s">
        <v>22</v>
      </c>
      <c r="K353" s="22">
        <v>3</v>
      </c>
      <c r="L353" s="1">
        <v>42811</v>
      </c>
      <c r="M353" s="22">
        <f>Table3[[#This Row],[Ship Date]]-Table3[[#This Row],[Order Date]]</f>
        <v>4</v>
      </c>
      <c r="N353" s="23" t="s">
        <v>45</v>
      </c>
      <c r="O353" s="23" t="s">
        <v>23</v>
      </c>
      <c r="P353" s="23" t="s">
        <v>2408</v>
      </c>
      <c r="Q353" s="23" t="s">
        <v>133</v>
      </c>
      <c r="R353" s="23" t="s">
        <v>341</v>
      </c>
      <c r="S353" s="33">
        <v>0</v>
      </c>
      <c r="T353" s="13">
        <v>174.3</v>
      </c>
      <c r="U353" s="13">
        <v>81.921000000000006</v>
      </c>
      <c r="V353" s="55">
        <f>Table3[[#This Row],[Profit]]/Table3[[#This Row],[Sales]]</f>
        <v>0.47000000000000003</v>
      </c>
    </row>
    <row r="354" spans="1:22" x14ac:dyDescent="0.2">
      <c r="A354">
        <v>353</v>
      </c>
      <c r="B354" t="s">
        <v>9156</v>
      </c>
      <c r="C354" s="1">
        <v>42807</v>
      </c>
      <c r="D354" s="22">
        <f>MONTH(Table3[[#This Row],[Order Date]])</f>
        <v>3</v>
      </c>
      <c r="E354" t="s">
        <v>4214</v>
      </c>
      <c r="F354" t="s">
        <v>4215</v>
      </c>
      <c r="G354" s="23" t="s">
        <v>64</v>
      </c>
      <c r="H354" s="23" t="s">
        <v>65</v>
      </c>
      <c r="I354" t="s">
        <v>2644</v>
      </c>
      <c r="J354" t="s">
        <v>22</v>
      </c>
      <c r="K354" s="22">
        <v>2</v>
      </c>
      <c r="L354" s="1">
        <v>42811</v>
      </c>
      <c r="M354" s="22">
        <f>Table3[[#This Row],[Ship Date]]-Table3[[#This Row],[Order Date]]</f>
        <v>4</v>
      </c>
      <c r="N354" s="23" t="s">
        <v>45</v>
      </c>
      <c r="O354" s="23" t="s">
        <v>23</v>
      </c>
      <c r="P354" s="23" t="s">
        <v>238</v>
      </c>
      <c r="Q354" s="23" t="s">
        <v>133</v>
      </c>
      <c r="R354" s="23" t="s">
        <v>237</v>
      </c>
      <c r="S354" s="33">
        <v>0</v>
      </c>
      <c r="T354" s="13">
        <v>299.89999999999998</v>
      </c>
      <c r="U354" s="13">
        <v>74.974999999999994</v>
      </c>
      <c r="V354" s="55">
        <f>Table3[[#This Row],[Profit]]/Table3[[#This Row],[Sales]]</f>
        <v>0.25</v>
      </c>
    </row>
    <row r="355" spans="1:22" x14ac:dyDescent="0.2">
      <c r="A355">
        <v>354</v>
      </c>
      <c r="B355" t="s">
        <v>9804</v>
      </c>
      <c r="C355" s="1">
        <v>42807</v>
      </c>
      <c r="D355" s="22">
        <f>MONTH(Table3[[#This Row],[Order Date]])</f>
        <v>3</v>
      </c>
      <c r="E355" t="s">
        <v>2947</v>
      </c>
      <c r="F355" t="s">
        <v>2948</v>
      </c>
      <c r="G355" s="23" t="s">
        <v>64</v>
      </c>
      <c r="H355" s="23" t="s">
        <v>65</v>
      </c>
      <c r="I355" t="s">
        <v>2897</v>
      </c>
      <c r="J355" t="s">
        <v>36</v>
      </c>
      <c r="K355" s="22">
        <v>1</v>
      </c>
      <c r="L355" s="1">
        <v>42810</v>
      </c>
      <c r="M355" s="22">
        <f>Table3[[#This Row],[Ship Date]]-Table3[[#This Row],[Order Date]]</f>
        <v>3</v>
      </c>
      <c r="N355" s="23" t="s">
        <v>169</v>
      </c>
      <c r="O355" s="23" t="s">
        <v>23</v>
      </c>
      <c r="P355" s="23" t="s">
        <v>189</v>
      </c>
      <c r="Q355" s="23" t="s">
        <v>95</v>
      </c>
      <c r="R355" s="23" t="s">
        <v>404</v>
      </c>
      <c r="S355" s="33">
        <v>0.2</v>
      </c>
      <c r="T355" s="13">
        <v>7.992</v>
      </c>
      <c r="U355" s="13">
        <v>2.5973999999999999</v>
      </c>
      <c r="V355" s="55">
        <f>Table3[[#This Row],[Profit]]/Table3[[#This Row],[Sales]]</f>
        <v>0.32500000000000001</v>
      </c>
    </row>
    <row r="356" spans="1:22" x14ac:dyDescent="0.2">
      <c r="A356">
        <v>355</v>
      </c>
      <c r="B356" t="s">
        <v>9250</v>
      </c>
      <c r="C356" s="1">
        <v>42808</v>
      </c>
      <c r="D356" s="22">
        <f>MONTH(Table3[[#This Row],[Order Date]])</f>
        <v>3</v>
      </c>
      <c r="E356" t="s">
        <v>6807</v>
      </c>
      <c r="F356" t="s">
        <v>6808</v>
      </c>
      <c r="G356" s="23" t="s">
        <v>64</v>
      </c>
      <c r="H356" s="23" t="s">
        <v>65</v>
      </c>
      <c r="I356" t="s">
        <v>2001</v>
      </c>
      <c r="J356" t="s">
        <v>36</v>
      </c>
      <c r="K356" s="22">
        <v>2</v>
      </c>
      <c r="L356" s="1">
        <v>42811</v>
      </c>
      <c r="M356" s="22">
        <f>Table3[[#This Row],[Ship Date]]-Table3[[#This Row],[Order Date]]</f>
        <v>3</v>
      </c>
      <c r="N356" s="23" t="s">
        <v>20</v>
      </c>
      <c r="O356" s="23" t="s">
        <v>23</v>
      </c>
      <c r="P356" s="23" t="s">
        <v>189</v>
      </c>
      <c r="Q356" s="23" t="s">
        <v>95</v>
      </c>
      <c r="R356" s="23" t="s">
        <v>271</v>
      </c>
      <c r="S356" s="33">
        <v>0.2</v>
      </c>
      <c r="T356" s="13">
        <v>49.616</v>
      </c>
      <c r="U356" s="13">
        <v>4.9615999999999998</v>
      </c>
      <c r="V356" s="55">
        <f>Table3[[#This Row],[Profit]]/Table3[[#This Row],[Sales]]</f>
        <v>9.9999999999999992E-2</v>
      </c>
    </row>
    <row r="357" spans="1:22" x14ac:dyDescent="0.2">
      <c r="A357">
        <v>356</v>
      </c>
      <c r="B357" t="s">
        <v>4235</v>
      </c>
      <c r="C357" s="1">
        <v>42810</v>
      </c>
      <c r="D357" s="22">
        <f>MONTH(Table3[[#This Row],[Order Date]])</f>
        <v>3</v>
      </c>
      <c r="E357" t="s">
        <v>4236</v>
      </c>
      <c r="F357" t="s">
        <v>4237</v>
      </c>
      <c r="G357" s="23" t="s">
        <v>41</v>
      </c>
      <c r="H357" s="23" t="s">
        <v>82</v>
      </c>
      <c r="I357" t="s">
        <v>693</v>
      </c>
      <c r="J357" t="s">
        <v>92</v>
      </c>
      <c r="K357" s="22">
        <v>1</v>
      </c>
      <c r="L357" s="1">
        <v>42812</v>
      </c>
      <c r="M357" s="22">
        <f>Table3[[#This Row],[Ship Date]]-Table3[[#This Row],[Order Date]]</f>
        <v>2</v>
      </c>
      <c r="N357" s="23" t="s">
        <v>20</v>
      </c>
      <c r="O357" s="23" t="s">
        <v>23</v>
      </c>
      <c r="P357" s="23" t="s">
        <v>87</v>
      </c>
      <c r="Q357" s="23" t="s">
        <v>39</v>
      </c>
      <c r="R357" s="23" t="s">
        <v>86</v>
      </c>
      <c r="S357" s="33">
        <v>0</v>
      </c>
      <c r="T357" s="13">
        <v>6.48</v>
      </c>
      <c r="U357" s="13">
        <v>3.1103999999999998</v>
      </c>
      <c r="V357" s="55">
        <f>Table3[[#This Row],[Profit]]/Table3[[#This Row],[Sales]]</f>
        <v>0.47999999999999993</v>
      </c>
    </row>
    <row r="358" spans="1:22" x14ac:dyDescent="0.2">
      <c r="A358">
        <v>357</v>
      </c>
      <c r="B358" t="s">
        <v>4235</v>
      </c>
      <c r="C358" s="1">
        <v>42810</v>
      </c>
      <c r="D358" s="22">
        <f>MONTH(Table3[[#This Row],[Order Date]])</f>
        <v>3</v>
      </c>
      <c r="E358" t="s">
        <v>888</v>
      </c>
      <c r="F358" t="s">
        <v>889</v>
      </c>
      <c r="G358" s="23" t="s">
        <v>41</v>
      </c>
      <c r="H358" s="23" t="s">
        <v>53</v>
      </c>
      <c r="I358" t="s">
        <v>693</v>
      </c>
      <c r="J358" t="s">
        <v>92</v>
      </c>
      <c r="K358" s="22">
        <v>1</v>
      </c>
      <c r="L358" s="1">
        <v>42812</v>
      </c>
      <c r="M358" s="22">
        <f>Table3[[#This Row],[Ship Date]]-Table3[[#This Row],[Order Date]]</f>
        <v>2</v>
      </c>
      <c r="N358" s="23" t="s">
        <v>20</v>
      </c>
      <c r="O358" s="23" t="s">
        <v>23</v>
      </c>
      <c r="P358" s="23" t="s">
        <v>87</v>
      </c>
      <c r="Q358" s="23" t="s">
        <v>39</v>
      </c>
      <c r="R358" s="23" t="s">
        <v>86</v>
      </c>
      <c r="S358" s="33">
        <v>0</v>
      </c>
      <c r="T358" s="13">
        <v>46.51</v>
      </c>
      <c r="U358" s="13">
        <v>1.8604000000000001</v>
      </c>
      <c r="V358" s="55">
        <f>Table3[[#This Row],[Profit]]/Table3[[#This Row],[Sales]]</f>
        <v>0.04</v>
      </c>
    </row>
    <row r="359" spans="1:22" x14ac:dyDescent="0.2">
      <c r="A359">
        <v>358</v>
      </c>
      <c r="B359" t="s">
        <v>4235</v>
      </c>
      <c r="C359" s="1">
        <v>42810</v>
      </c>
      <c r="D359" s="22">
        <f>MONTH(Table3[[#This Row],[Order Date]])</f>
        <v>3</v>
      </c>
      <c r="E359" t="s">
        <v>3092</v>
      </c>
      <c r="F359" t="s">
        <v>3093</v>
      </c>
      <c r="G359" s="23" t="s">
        <v>64</v>
      </c>
      <c r="H359" s="23" t="s">
        <v>65</v>
      </c>
      <c r="I359" t="s">
        <v>693</v>
      </c>
      <c r="J359" t="s">
        <v>92</v>
      </c>
      <c r="K359" s="22">
        <v>3</v>
      </c>
      <c r="L359" s="1">
        <v>42812</v>
      </c>
      <c r="M359" s="22">
        <f>Table3[[#This Row],[Ship Date]]-Table3[[#This Row],[Order Date]]</f>
        <v>2</v>
      </c>
      <c r="N359" s="23" t="s">
        <v>20</v>
      </c>
      <c r="O359" s="23" t="s">
        <v>23</v>
      </c>
      <c r="P359" s="23" t="s">
        <v>87</v>
      </c>
      <c r="Q359" s="23" t="s">
        <v>39</v>
      </c>
      <c r="R359" s="23" t="s">
        <v>86</v>
      </c>
      <c r="S359" s="33">
        <v>0.2</v>
      </c>
      <c r="T359" s="13">
        <v>659.976</v>
      </c>
      <c r="U359" s="13">
        <v>49.498199999999997</v>
      </c>
      <c r="V359" s="55">
        <f>Table3[[#This Row],[Profit]]/Table3[[#This Row],[Sales]]</f>
        <v>7.4999999999999997E-2</v>
      </c>
    </row>
    <row r="360" spans="1:22" x14ac:dyDescent="0.2">
      <c r="A360">
        <v>359</v>
      </c>
      <c r="B360" t="s">
        <v>8661</v>
      </c>
      <c r="C360" s="1">
        <v>42810</v>
      </c>
      <c r="D360" s="22">
        <f>MONTH(Table3[[#This Row],[Order Date]])</f>
        <v>3</v>
      </c>
      <c r="E360" t="s">
        <v>3147</v>
      </c>
      <c r="F360" t="s">
        <v>3148</v>
      </c>
      <c r="G360" s="23" t="s">
        <v>64</v>
      </c>
      <c r="H360" s="23" t="s">
        <v>65</v>
      </c>
      <c r="I360" t="s">
        <v>2758</v>
      </c>
      <c r="J360" t="s">
        <v>92</v>
      </c>
      <c r="K360" s="22">
        <v>8</v>
      </c>
      <c r="L360" s="1">
        <v>42812</v>
      </c>
      <c r="M360" s="22">
        <f>Table3[[#This Row],[Ship Date]]-Table3[[#This Row],[Order Date]]</f>
        <v>2</v>
      </c>
      <c r="N360" s="23" t="s">
        <v>20</v>
      </c>
      <c r="O360" s="23" t="s">
        <v>23</v>
      </c>
      <c r="P360" s="23" t="s">
        <v>441</v>
      </c>
      <c r="Q360" s="23" t="s">
        <v>133</v>
      </c>
      <c r="R360" s="23" t="s">
        <v>990</v>
      </c>
      <c r="S360" s="33">
        <v>0.4</v>
      </c>
      <c r="T360" s="13">
        <v>445.44</v>
      </c>
      <c r="U360" s="13">
        <v>-81.664000000000001</v>
      </c>
      <c r="V360" s="55">
        <f>Table3[[#This Row],[Profit]]/Table3[[#This Row],[Sales]]</f>
        <v>-0.18333333333333335</v>
      </c>
    </row>
    <row r="361" spans="1:22" x14ac:dyDescent="0.2">
      <c r="A361">
        <v>360</v>
      </c>
      <c r="B361" t="s">
        <v>9304</v>
      </c>
      <c r="C361" s="1">
        <v>42810</v>
      </c>
      <c r="D361" s="22">
        <f>MONTH(Table3[[#This Row],[Order Date]])</f>
        <v>3</v>
      </c>
      <c r="E361" t="s">
        <v>3440</v>
      </c>
      <c r="F361" t="s">
        <v>3441</v>
      </c>
      <c r="G361" s="23" t="s">
        <v>64</v>
      </c>
      <c r="H361" s="23" t="s">
        <v>65</v>
      </c>
      <c r="I361" t="s">
        <v>6384</v>
      </c>
      <c r="J361" t="s">
        <v>22</v>
      </c>
      <c r="K361" s="22">
        <v>2</v>
      </c>
      <c r="L361" s="1">
        <v>42810</v>
      </c>
      <c r="M361" s="22">
        <f>Table3[[#This Row],[Ship Date]]-Table3[[#This Row],[Order Date]]</f>
        <v>0</v>
      </c>
      <c r="N361" s="23" t="s">
        <v>1141</v>
      </c>
      <c r="O361" s="23" t="s">
        <v>23</v>
      </c>
      <c r="P361" s="23" t="s">
        <v>441</v>
      </c>
      <c r="Q361" s="23" t="s">
        <v>133</v>
      </c>
      <c r="R361" s="23" t="s">
        <v>440</v>
      </c>
      <c r="S361" s="33">
        <v>0.4</v>
      </c>
      <c r="T361" s="13">
        <v>44.375999999999998</v>
      </c>
      <c r="U361" s="13">
        <v>-7.3959999999999999</v>
      </c>
      <c r="V361" s="55">
        <f>Table3[[#This Row],[Profit]]/Table3[[#This Row],[Sales]]</f>
        <v>-0.16666666666666669</v>
      </c>
    </row>
    <row r="362" spans="1:22" x14ac:dyDescent="0.2">
      <c r="A362">
        <v>361</v>
      </c>
      <c r="B362" t="s">
        <v>9304</v>
      </c>
      <c r="C362" s="1">
        <v>42810</v>
      </c>
      <c r="D362" s="22">
        <f>MONTH(Table3[[#This Row],[Order Date]])</f>
        <v>3</v>
      </c>
      <c r="E362" t="s">
        <v>6879</v>
      </c>
      <c r="F362" t="s">
        <v>6880</v>
      </c>
      <c r="G362" s="23" t="s">
        <v>28</v>
      </c>
      <c r="H362" s="23" t="s">
        <v>58</v>
      </c>
      <c r="I362" t="s">
        <v>6384</v>
      </c>
      <c r="J362" t="s">
        <v>22</v>
      </c>
      <c r="K362" s="22">
        <v>6</v>
      </c>
      <c r="L362" s="1">
        <v>42810</v>
      </c>
      <c r="M362" s="22">
        <f>Table3[[#This Row],[Ship Date]]-Table3[[#This Row],[Order Date]]</f>
        <v>0</v>
      </c>
      <c r="N362" s="23" t="s">
        <v>1141</v>
      </c>
      <c r="O362" s="23" t="s">
        <v>23</v>
      </c>
      <c r="P362" s="23" t="s">
        <v>441</v>
      </c>
      <c r="Q362" s="23" t="s">
        <v>133</v>
      </c>
      <c r="R362" s="23" t="s">
        <v>440</v>
      </c>
      <c r="S362" s="33">
        <v>0.2</v>
      </c>
      <c r="T362" s="13">
        <v>51.264000000000003</v>
      </c>
      <c r="U362" s="13">
        <v>7.6896000000000004</v>
      </c>
      <c r="V362" s="55">
        <f>Table3[[#This Row],[Profit]]/Table3[[#This Row],[Sales]]</f>
        <v>0.15</v>
      </c>
    </row>
    <row r="363" spans="1:22" x14ac:dyDescent="0.2">
      <c r="A363">
        <v>362</v>
      </c>
      <c r="B363" t="s">
        <v>9304</v>
      </c>
      <c r="C363" s="1">
        <v>42810</v>
      </c>
      <c r="D363" s="22">
        <f>MONTH(Table3[[#This Row],[Order Date]])</f>
        <v>3</v>
      </c>
      <c r="E363" t="s">
        <v>290</v>
      </c>
      <c r="F363" t="s">
        <v>291</v>
      </c>
      <c r="G363" s="23" t="s">
        <v>41</v>
      </c>
      <c r="H363" s="23" t="s">
        <v>68</v>
      </c>
      <c r="I363" t="s">
        <v>6384</v>
      </c>
      <c r="J363" t="s">
        <v>22</v>
      </c>
      <c r="K363" s="22">
        <v>3</v>
      </c>
      <c r="L363" s="1">
        <v>42810</v>
      </c>
      <c r="M363" s="22">
        <f>Table3[[#This Row],[Ship Date]]-Table3[[#This Row],[Order Date]]</f>
        <v>0</v>
      </c>
      <c r="N363" s="23" t="s">
        <v>1141</v>
      </c>
      <c r="O363" s="23" t="s">
        <v>23</v>
      </c>
      <c r="P363" s="23" t="s">
        <v>441</v>
      </c>
      <c r="Q363" s="23" t="s">
        <v>133</v>
      </c>
      <c r="R363" s="23" t="s">
        <v>440</v>
      </c>
      <c r="S363" s="33">
        <v>0.7</v>
      </c>
      <c r="T363" s="13">
        <v>5.1929999999999996</v>
      </c>
      <c r="U363" s="13">
        <v>-3.4620000000000002</v>
      </c>
      <c r="V363" s="55">
        <f>Table3[[#This Row],[Profit]]/Table3[[#This Row],[Sales]]</f>
        <v>-0.66666666666666674</v>
      </c>
    </row>
    <row r="364" spans="1:22" x14ac:dyDescent="0.2">
      <c r="A364">
        <v>363</v>
      </c>
      <c r="B364" t="s">
        <v>9304</v>
      </c>
      <c r="C364" s="1">
        <v>42810</v>
      </c>
      <c r="D364" s="22">
        <f>MONTH(Table3[[#This Row],[Order Date]])</f>
        <v>3</v>
      </c>
      <c r="E364" t="s">
        <v>1412</v>
      </c>
      <c r="F364" t="s">
        <v>1413</v>
      </c>
      <c r="G364" s="23" t="s">
        <v>64</v>
      </c>
      <c r="H364" s="23" t="s">
        <v>144</v>
      </c>
      <c r="I364" t="s">
        <v>6384</v>
      </c>
      <c r="J364" t="s">
        <v>22</v>
      </c>
      <c r="K364" s="22">
        <v>2</v>
      </c>
      <c r="L364" s="1">
        <v>42810</v>
      </c>
      <c r="M364" s="22">
        <f>Table3[[#This Row],[Ship Date]]-Table3[[#This Row],[Order Date]]</f>
        <v>0</v>
      </c>
      <c r="N364" s="23" t="s">
        <v>1141</v>
      </c>
      <c r="O364" s="23" t="s">
        <v>23</v>
      </c>
      <c r="P364" s="23" t="s">
        <v>441</v>
      </c>
      <c r="Q364" s="23" t="s">
        <v>133</v>
      </c>
      <c r="R364" s="23" t="s">
        <v>440</v>
      </c>
      <c r="S364" s="33">
        <v>0.2</v>
      </c>
      <c r="T364" s="13">
        <v>159.98400000000001</v>
      </c>
      <c r="U364" s="13">
        <v>43.995600000000003</v>
      </c>
      <c r="V364" s="55">
        <f>Table3[[#This Row],[Profit]]/Table3[[#This Row],[Sales]]</f>
        <v>0.27500000000000002</v>
      </c>
    </row>
    <row r="365" spans="1:22" x14ac:dyDescent="0.2">
      <c r="A365">
        <v>364</v>
      </c>
      <c r="B365" t="s">
        <v>9304</v>
      </c>
      <c r="C365" s="1">
        <v>42810</v>
      </c>
      <c r="D365" s="22">
        <f>MONTH(Table3[[#This Row],[Order Date]])</f>
        <v>3</v>
      </c>
      <c r="E365" t="s">
        <v>1054</v>
      </c>
      <c r="F365" t="s">
        <v>1055</v>
      </c>
      <c r="G365" s="23" t="s">
        <v>41</v>
      </c>
      <c r="H365" s="23" t="s">
        <v>53</v>
      </c>
      <c r="I365" t="s">
        <v>6384</v>
      </c>
      <c r="J365" t="s">
        <v>22</v>
      </c>
      <c r="K365" s="22">
        <v>2</v>
      </c>
      <c r="L365" s="1">
        <v>42810</v>
      </c>
      <c r="M365" s="22">
        <f>Table3[[#This Row],[Ship Date]]-Table3[[#This Row],[Order Date]]</f>
        <v>0</v>
      </c>
      <c r="N365" s="23" t="s">
        <v>1141</v>
      </c>
      <c r="O365" s="23" t="s">
        <v>23</v>
      </c>
      <c r="P365" s="23" t="s">
        <v>441</v>
      </c>
      <c r="Q365" s="23" t="s">
        <v>133</v>
      </c>
      <c r="R365" s="23" t="s">
        <v>440</v>
      </c>
      <c r="S365" s="33">
        <v>0.2</v>
      </c>
      <c r="T365" s="13">
        <v>54.223999999999997</v>
      </c>
      <c r="U365" s="13">
        <v>3.3889999999999998</v>
      </c>
      <c r="V365" s="55">
        <f>Table3[[#This Row],[Profit]]/Table3[[#This Row],[Sales]]</f>
        <v>6.25E-2</v>
      </c>
    </row>
    <row r="366" spans="1:22" x14ac:dyDescent="0.2">
      <c r="A366">
        <v>365</v>
      </c>
      <c r="B366" t="s">
        <v>10022</v>
      </c>
      <c r="C366" s="1">
        <v>42810</v>
      </c>
      <c r="D366" s="22">
        <f>MONTH(Table3[[#This Row],[Order Date]])</f>
        <v>3</v>
      </c>
      <c r="E366" t="s">
        <v>5430</v>
      </c>
      <c r="F366" t="s">
        <v>5431</v>
      </c>
      <c r="G366" s="23" t="s">
        <v>41</v>
      </c>
      <c r="H366" s="23" t="s">
        <v>53</v>
      </c>
      <c r="I366" t="s">
        <v>5008</v>
      </c>
      <c r="J366" t="s">
        <v>36</v>
      </c>
      <c r="K366" s="22">
        <v>2</v>
      </c>
      <c r="L366" s="1">
        <v>42815</v>
      </c>
      <c r="M366" s="22">
        <f>Table3[[#This Row],[Ship Date]]-Table3[[#This Row],[Order Date]]</f>
        <v>5</v>
      </c>
      <c r="N366" s="23" t="s">
        <v>45</v>
      </c>
      <c r="O366" s="23" t="s">
        <v>23</v>
      </c>
      <c r="P366" s="23" t="s">
        <v>38</v>
      </c>
      <c r="Q366" s="23" t="s">
        <v>39</v>
      </c>
      <c r="R366" s="23" t="s">
        <v>37</v>
      </c>
      <c r="S366" s="33">
        <v>0</v>
      </c>
      <c r="T366" s="13">
        <v>310.12</v>
      </c>
      <c r="U366" s="13">
        <v>80.631200000000007</v>
      </c>
      <c r="V366" s="55">
        <f>Table3[[#This Row],[Profit]]/Table3[[#This Row],[Sales]]</f>
        <v>0.26</v>
      </c>
    </row>
    <row r="367" spans="1:22" x14ac:dyDescent="0.2">
      <c r="A367">
        <v>366</v>
      </c>
      <c r="B367" t="s">
        <v>10022</v>
      </c>
      <c r="C367" s="1">
        <v>42810</v>
      </c>
      <c r="D367" s="22">
        <f>MONTH(Table3[[#This Row],[Order Date]])</f>
        <v>3</v>
      </c>
      <c r="E367" t="s">
        <v>3110</v>
      </c>
      <c r="F367" t="s">
        <v>3111</v>
      </c>
      <c r="G367" s="23" t="s">
        <v>41</v>
      </c>
      <c r="H367" s="23" t="s">
        <v>68</v>
      </c>
      <c r="I367" t="s">
        <v>5008</v>
      </c>
      <c r="J367" t="s">
        <v>36</v>
      </c>
      <c r="K367" s="22">
        <v>6</v>
      </c>
      <c r="L367" s="1">
        <v>42815</v>
      </c>
      <c r="M367" s="22">
        <f>Table3[[#This Row],[Ship Date]]-Table3[[#This Row],[Order Date]]</f>
        <v>5</v>
      </c>
      <c r="N367" s="23" t="s">
        <v>45</v>
      </c>
      <c r="O367" s="23" t="s">
        <v>23</v>
      </c>
      <c r="P367" s="23" t="s">
        <v>38</v>
      </c>
      <c r="Q367" s="23" t="s">
        <v>39</v>
      </c>
      <c r="R367" s="23" t="s">
        <v>37</v>
      </c>
      <c r="S367" s="33">
        <v>0.2</v>
      </c>
      <c r="T367" s="13">
        <v>70.463999999999999</v>
      </c>
      <c r="U367" s="13">
        <v>22.9008</v>
      </c>
      <c r="V367" s="55">
        <f>Table3[[#This Row],[Profit]]/Table3[[#This Row],[Sales]]</f>
        <v>0.32500000000000001</v>
      </c>
    </row>
    <row r="368" spans="1:22" x14ac:dyDescent="0.2">
      <c r="A368">
        <v>367</v>
      </c>
      <c r="B368" t="s">
        <v>10022</v>
      </c>
      <c r="C368" s="1">
        <v>42810</v>
      </c>
      <c r="D368" s="22">
        <f>MONTH(Table3[[#This Row],[Order Date]])</f>
        <v>3</v>
      </c>
      <c r="E368" t="s">
        <v>4192</v>
      </c>
      <c r="F368" t="s">
        <v>4193</v>
      </c>
      <c r="G368" s="23" t="s">
        <v>41</v>
      </c>
      <c r="H368" s="23" t="s">
        <v>68</v>
      </c>
      <c r="I368" t="s">
        <v>5008</v>
      </c>
      <c r="J368" t="s">
        <v>36</v>
      </c>
      <c r="K368" s="22">
        <v>5</v>
      </c>
      <c r="L368" s="1">
        <v>42815</v>
      </c>
      <c r="M368" s="22">
        <f>Table3[[#This Row],[Ship Date]]-Table3[[#This Row],[Order Date]]</f>
        <v>5</v>
      </c>
      <c r="N368" s="23" t="s">
        <v>45</v>
      </c>
      <c r="O368" s="23" t="s">
        <v>23</v>
      </c>
      <c r="P368" s="23" t="s">
        <v>38</v>
      </c>
      <c r="Q368" s="23" t="s">
        <v>39</v>
      </c>
      <c r="R368" s="23" t="s">
        <v>37</v>
      </c>
      <c r="S368" s="33">
        <v>0.2</v>
      </c>
      <c r="T368" s="13">
        <v>19.68</v>
      </c>
      <c r="U368" s="13">
        <v>6.8879999999999999</v>
      </c>
      <c r="V368" s="55">
        <f>Table3[[#This Row],[Profit]]/Table3[[#This Row],[Sales]]</f>
        <v>0.35</v>
      </c>
    </row>
    <row r="369" spans="1:22" x14ac:dyDescent="0.2">
      <c r="A369">
        <v>368</v>
      </c>
      <c r="B369" t="s">
        <v>10022</v>
      </c>
      <c r="C369" s="1">
        <v>42810</v>
      </c>
      <c r="D369" s="22">
        <f>MONTH(Table3[[#This Row],[Order Date]])</f>
        <v>3</v>
      </c>
      <c r="E369" t="s">
        <v>2021</v>
      </c>
      <c r="F369" t="s">
        <v>2022</v>
      </c>
      <c r="G369" s="23" t="s">
        <v>41</v>
      </c>
      <c r="H369" s="23" t="s">
        <v>71</v>
      </c>
      <c r="I369" t="s">
        <v>5008</v>
      </c>
      <c r="J369" t="s">
        <v>36</v>
      </c>
      <c r="K369" s="22">
        <v>3</v>
      </c>
      <c r="L369" s="1">
        <v>42815</v>
      </c>
      <c r="M369" s="22">
        <f>Table3[[#This Row],[Ship Date]]-Table3[[#This Row],[Order Date]]</f>
        <v>5</v>
      </c>
      <c r="N369" s="23" t="s">
        <v>45</v>
      </c>
      <c r="O369" s="23" t="s">
        <v>23</v>
      </c>
      <c r="P369" s="23" t="s">
        <v>38</v>
      </c>
      <c r="Q369" s="23" t="s">
        <v>39</v>
      </c>
      <c r="R369" s="23" t="s">
        <v>37</v>
      </c>
      <c r="S369" s="33">
        <v>0</v>
      </c>
      <c r="T369" s="13">
        <v>140.66999999999999</v>
      </c>
      <c r="U369" s="13">
        <v>54.8613</v>
      </c>
      <c r="V369" s="55">
        <f>Table3[[#This Row],[Profit]]/Table3[[#This Row],[Sales]]</f>
        <v>0.39</v>
      </c>
    </row>
    <row r="370" spans="1:22" x14ac:dyDescent="0.2">
      <c r="A370">
        <v>369</v>
      </c>
      <c r="B370" t="s">
        <v>2173</v>
      </c>
      <c r="C370" s="1">
        <v>42811</v>
      </c>
      <c r="D370" s="22">
        <f>MONTH(Table3[[#This Row],[Order Date]])</f>
        <v>3</v>
      </c>
      <c r="E370" t="s">
        <v>2175</v>
      </c>
      <c r="F370" t="s">
        <v>2176</v>
      </c>
      <c r="G370" s="23" t="s">
        <v>41</v>
      </c>
      <c r="H370" s="23" t="s">
        <v>68</v>
      </c>
      <c r="I370" t="s">
        <v>431</v>
      </c>
      <c r="J370" t="s">
        <v>22</v>
      </c>
      <c r="K370" s="22">
        <v>2</v>
      </c>
      <c r="L370" s="1">
        <v>42815</v>
      </c>
      <c r="M370" s="22">
        <f>Table3[[#This Row],[Ship Date]]-Table3[[#This Row],[Order Date]]</f>
        <v>4</v>
      </c>
      <c r="N370" s="23" t="s">
        <v>20</v>
      </c>
      <c r="O370" s="23" t="s">
        <v>23</v>
      </c>
      <c r="P370" s="23" t="s">
        <v>38</v>
      </c>
      <c r="Q370" s="23" t="s">
        <v>39</v>
      </c>
      <c r="R370" s="23" t="s">
        <v>2174</v>
      </c>
      <c r="S370" s="33">
        <v>0.2</v>
      </c>
      <c r="T370" s="13">
        <v>17.456</v>
      </c>
      <c r="U370" s="13">
        <v>5.8914</v>
      </c>
      <c r="V370" s="55">
        <f>Table3[[#This Row],[Profit]]/Table3[[#This Row],[Sales]]</f>
        <v>0.33750000000000002</v>
      </c>
    </row>
    <row r="371" spans="1:22" x14ac:dyDescent="0.2">
      <c r="A371">
        <v>370</v>
      </c>
      <c r="B371" t="s">
        <v>4905</v>
      </c>
      <c r="C371" s="1">
        <v>42811</v>
      </c>
      <c r="D371" s="22">
        <f>MONTH(Table3[[#This Row],[Order Date]])</f>
        <v>3</v>
      </c>
      <c r="E371" t="s">
        <v>4906</v>
      </c>
      <c r="F371" t="s">
        <v>4907</v>
      </c>
      <c r="G371" s="23" t="s">
        <v>41</v>
      </c>
      <c r="H371" s="23" t="s">
        <v>42</v>
      </c>
      <c r="I371" t="s">
        <v>4609</v>
      </c>
      <c r="J371" t="s">
        <v>22</v>
      </c>
      <c r="K371" s="22">
        <v>5</v>
      </c>
      <c r="L371" s="1">
        <v>42816</v>
      </c>
      <c r="M371" s="22">
        <f>Table3[[#This Row],[Ship Date]]-Table3[[#This Row],[Order Date]]</f>
        <v>5</v>
      </c>
      <c r="N371" s="23" t="s">
        <v>20</v>
      </c>
      <c r="O371" s="23" t="s">
        <v>23</v>
      </c>
      <c r="P371" s="23" t="s">
        <v>238</v>
      </c>
      <c r="Q371" s="23" t="s">
        <v>133</v>
      </c>
      <c r="R371" s="23" t="s">
        <v>237</v>
      </c>
      <c r="S371" s="33">
        <v>0</v>
      </c>
      <c r="T371" s="13">
        <v>18.75</v>
      </c>
      <c r="U371" s="13">
        <v>9</v>
      </c>
      <c r="V371" s="55">
        <f>Table3[[#This Row],[Profit]]/Table3[[#This Row],[Sales]]</f>
        <v>0.48</v>
      </c>
    </row>
    <row r="372" spans="1:22" x14ac:dyDescent="0.2">
      <c r="A372">
        <v>371</v>
      </c>
      <c r="B372" t="s">
        <v>4905</v>
      </c>
      <c r="C372" s="1">
        <v>42811</v>
      </c>
      <c r="D372" s="22">
        <f>MONTH(Table3[[#This Row],[Order Date]])</f>
        <v>3</v>
      </c>
      <c r="E372" t="s">
        <v>1456</v>
      </c>
      <c r="F372" t="s">
        <v>1457</v>
      </c>
      <c r="G372" s="23" t="s">
        <v>64</v>
      </c>
      <c r="H372" s="23" t="s">
        <v>65</v>
      </c>
      <c r="I372" t="s">
        <v>4609</v>
      </c>
      <c r="J372" t="s">
        <v>22</v>
      </c>
      <c r="K372" s="22">
        <v>6</v>
      </c>
      <c r="L372" s="1">
        <v>42816</v>
      </c>
      <c r="M372" s="22">
        <f>Table3[[#This Row],[Ship Date]]-Table3[[#This Row],[Order Date]]</f>
        <v>5</v>
      </c>
      <c r="N372" s="23" t="s">
        <v>20</v>
      </c>
      <c r="O372" s="23" t="s">
        <v>23</v>
      </c>
      <c r="P372" s="23" t="s">
        <v>238</v>
      </c>
      <c r="Q372" s="23" t="s">
        <v>133</v>
      </c>
      <c r="R372" s="23" t="s">
        <v>237</v>
      </c>
      <c r="S372" s="33">
        <v>0</v>
      </c>
      <c r="T372" s="13">
        <v>119.7</v>
      </c>
      <c r="U372" s="13">
        <v>31.122</v>
      </c>
      <c r="V372" s="55">
        <f>Table3[[#This Row],[Profit]]/Table3[[#This Row],[Sales]]</f>
        <v>0.26</v>
      </c>
    </row>
    <row r="373" spans="1:22" x14ac:dyDescent="0.2">
      <c r="A373">
        <v>372</v>
      </c>
      <c r="B373" t="s">
        <v>4905</v>
      </c>
      <c r="C373" s="1">
        <v>42811</v>
      </c>
      <c r="D373" s="22">
        <f>MONTH(Table3[[#This Row],[Order Date]])</f>
        <v>3</v>
      </c>
      <c r="E373" t="s">
        <v>1831</v>
      </c>
      <c r="F373" t="s">
        <v>1832</v>
      </c>
      <c r="G373" s="23" t="s">
        <v>41</v>
      </c>
      <c r="H373" s="23" t="s">
        <v>68</v>
      </c>
      <c r="I373" t="s">
        <v>4609</v>
      </c>
      <c r="J373" t="s">
        <v>22</v>
      </c>
      <c r="K373" s="22">
        <v>3</v>
      </c>
      <c r="L373" s="1">
        <v>42816</v>
      </c>
      <c r="M373" s="22">
        <f>Table3[[#This Row],[Ship Date]]-Table3[[#This Row],[Order Date]]</f>
        <v>5</v>
      </c>
      <c r="N373" s="23" t="s">
        <v>20</v>
      </c>
      <c r="O373" s="23" t="s">
        <v>23</v>
      </c>
      <c r="P373" s="23" t="s">
        <v>238</v>
      </c>
      <c r="Q373" s="23" t="s">
        <v>133</v>
      </c>
      <c r="R373" s="23" t="s">
        <v>237</v>
      </c>
      <c r="S373" s="33">
        <v>0.2</v>
      </c>
      <c r="T373" s="13">
        <v>9.1440000000000001</v>
      </c>
      <c r="U373" s="13">
        <v>3.0861000000000001</v>
      </c>
      <c r="V373" s="55">
        <f>Table3[[#This Row],[Profit]]/Table3[[#This Row],[Sales]]</f>
        <v>0.33750000000000002</v>
      </c>
    </row>
    <row r="374" spans="1:22" x14ac:dyDescent="0.2">
      <c r="A374">
        <v>373</v>
      </c>
      <c r="B374" t="s">
        <v>4905</v>
      </c>
      <c r="C374" s="1">
        <v>42811</v>
      </c>
      <c r="D374" s="22">
        <f>MONTH(Table3[[#This Row],[Order Date]])</f>
        <v>3</v>
      </c>
      <c r="E374" t="s">
        <v>1550</v>
      </c>
      <c r="F374" t="s">
        <v>1551</v>
      </c>
      <c r="G374" s="23" t="s">
        <v>64</v>
      </c>
      <c r="H374" s="23" t="s">
        <v>144</v>
      </c>
      <c r="I374" t="s">
        <v>4609</v>
      </c>
      <c r="J374" t="s">
        <v>22</v>
      </c>
      <c r="K374" s="22">
        <v>3</v>
      </c>
      <c r="L374" s="1">
        <v>42816</v>
      </c>
      <c r="M374" s="22">
        <f>Table3[[#This Row],[Ship Date]]-Table3[[#This Row],[Order Date]]</f>
        <v>5</v>
      </c>
      <c r="N374" s="23" t="s">
        <v>20</v>
      </c>
      <c r="O374" s="23" t="s">
        <v>23</v>
      </c>
      <c r="P374" s="23" t="s">
        <v>238</v>
      </c>
      <c r="Q374" s="23" t="s">
        <v>133</v>
      </c>
      <c r="R374" s="23" t="s">
        <v>237</v>
      </c>
      <c r="S374" s="33">
        <v>0</v>
      </c>
      <c r="T374" s="13">
        <v>57.06</v>
      </c>
      <c r="U374" s="13">
        <v>18.2592</v>
      </c>
      <c r="V374" s="55">
        <f>Table3[[#This Row],[Profit]]/Table3[[#This Row],[Sales]]</f>
        <v>0.32</v>
      </c>
    </row>
    <row r="375" spans="1:22" x14ac:dyDescent="0.2">
      <c r="A375">
        <v>374</v>
      </c>
      <c r="B375" t="s">
        <v>4905</v>
      </c>
      <c r="C375" s="1">
        <v>42811</v>
      </c>
      <c r="D375" s="22">
        <f>MONTH(Table3[[#This Row],[Order Date]])</f>
        <v>3</v>
      </c>
      <c r="E375" t="s">
        <v>3664</v>
      </c>
      <c r="F375" t="s">
        <v>3665</v>
      </c>
      <c r="G375" s="23" t="s">
        <v>64</v>
      </c>
      <c r="H375" s="23" t="s">
        <v>144</v>
      </c>
      <c r="I375" t="s">
        <v>4609</v>
      </c>
      <c r="J375" t="s">
        <v>22</v>
      </c>
      <c r="K375" s="22">
        <v>8</v>
      </c>
      <c r="L375" s="1">
        <v>42816</v>
      </c>
      <c r="M375" s="22">
        <f>Table3[[#This Row],[Ship Date]]-Table3[[#This Row],[Order Date]]</f>
        <v>5</v>
      </c>
      <c r="N375" s="23" t="s">
        <v>20</v>
      </c>
      <c r="O375" s="23" t="s">
        <v>23</v>
      </c>
      <c r="P375" s="23" t="s">
        <v>238</v>
      </c>
      <c r="Q375" s="23" t="s">
        <v>133</v>
      </c>
      <c r="R375" s="23" t="s">
        <v>237</v>
      </c>
      <c r="S375" s="33">
        <v>0</v>
      </c>
      <c r="T375" s="13">
        <v>71.599999999999994</v>
      </c>
      <c r="U375" s="13">
        <v>13.603999999999999</v>
      </c>
      <c r="V375" s="55">
        <f>Table3[[#This Row],[Profit]]/Table3[[#This Row],[Sales]]</f>
        <v>0.19</v>
      </c>
    </row>
    <row r="376" spans="1:22" x14ac:dyDescent="0.2">
      <c r="A376">
        <v>375</v>
      </c>
      <c r="B376" t="s">
        <v>4905</v>
      </c>
      <c r="C376" s="1">
        <v>42811</v>
      </c>
      <c r="D376" s="22">
        <f>MONTH(Table3[[#This Row],[Order Date]])</f>
        <v>3</v>
      </c>
      <c r="E376" t="s">
        <v>3596</v>
      </c>
      <c r="F376" t="s">
        <v>3597</v>
      </c>
      <c r="G376" s="23" t="s">
        <v>41</v>
      </c>
      <c r="H376" s="23" t="s">
        <v>53</v>
      </c>
      <c r="I376" t="s">
        <v>4609</v>
      </c>
      <c r="J376" t="s">
        <v>22</v>
      </c>
      <c r="K376" s="22">
        <v>8</v>
      </c>
      <c r="L376" s="1">
        <v>42816</v>
      </c>
      <c r="M376" s="22">
        <f>Table3[[#This Row],[Ship Date]]-Table3[[#This Row],[Order Date]]</f>
        <v>5</v>
      </c>
      <c r="N376" s="23" t="s">
        <v>20</v>
      </c>
      <c r="O376" s="23" t="s">
        <v>23</v>
      </c>
      <c r="P376" s="23" t="s">
        <v>238</v>
      </c>
      <c r="Q376" s="23" t="s">
        <v>133</v>
      </c>
      <c r="R376" s="23" t="s">
        <v>237</v>
      </c>
      <c r="S376" s="33">
        <v>0</v>
      </c>
      <c r="T376" s="13">
        <v>107.44</v>
      </c>
      <c r="U376" s="13">
        <v>27.9344</v>
      </c>
      <c r="V376" s="55">
        <f>Table3[[#This Row],[Profit]]/Table3[[#This Row],[Sales]]</f>
        <v>0.26</v>
      </c>
    </row>
    <row r="377" spans="1:22" x14ac:dyDescent="0.2">
      <c r="A377">
        <v>376</v>
      </c>
      <c r="B377" t="s">
        <v>4905</v>
      </c>
      <c r="C377" s="1">
        <v>42811</v>
      </c>
      <c r="D377" s="22">
        <f>MONTH(Table3[[#This Row],[Order Date]])</f>
        <v>3</v>
      </c>
      <c r="E377" t="s">
        <v>2309</v>
      </c>
      <c r="F377" t="s">
        <v>2310</v>
      </c>
      <c r="G377" s="23" t="s">
        <v>41</v>
      </c>
      <c r="H377" s="23" t="s">
        <v>42</v>
      </c>
      <c r="I377" t="s">
        <v>4609</v>
      </c>
      <c r="J377" t="s">
        <v>22</v>
      </c>
      <c r="K377" s="22">
        <v>1</v>
      </c>
      <c r="L377" s="1">
        <v>42816</v>
      </c>
      <c r="M377" s="22">
        <f>Table3[[#This Row],[Ship Date]]-Table3[[#This Row],[Order Date]]</f>
        <v>5</v>
      </c>
      <c r="N377" s="23" t="s">
        <v>20</v>
      </c>
      <c r="O377" s="23" t="s">
        <v>23</v>
      </c>
      <c r="P377" s="23" t="s">
        <v>238</v>
      </c>
      <c r="Q377" s="23" t="s">
        <v>133</v>
      </c>
      <c r="R377" s="23" t="s">
        <v>237</v>
      </c>
      <c r="S377" s="33">
        <v>0</v>
      </c>
      <c r="T377" s="13">
        <v>7.31</v>
      </c>
      <c r="U377" s="13">
        <v>3.4357000000000002</v>
      </c>
      <c r="V377" s="55">
        <f>Table3[[#This Row],[Profit]]/Table3[[#This Row],[Sales]]</f>
        <v>0.47000000000000003</v>
      </c>
    </row>
    <row r="378" spans="1:22" x14ac:dyDescent="0.2">
      <c r="A378">
        <v>377</v>
      </c>
      <c r="B378" t="s">
        <v>4905</v>
      </c>
      <c r="C378" s="1">
        <v>42811</v>
      </c>
      <c r="D378" s="22">
        <f>MONTH(Table3[[#This Row],[Order Date]])</f>
        <v>3</v>
      </c>
      <c r="E378" t="s">
        <v>161</v>
      </c>
      <c r="F378" t="s">
        <v>162</v>
      </c>
      <c r="G378" s="23" t="s">
        <v>41</v>
      </c>
      <c r="H378" s="23" t="s">
        <v>61</v>
      </c>
      <c r="I378" t="s">
        <v>4609</v>
      </c>
      <c r="J378" t="s">
        <v>22</v>
      </c>
      <c r="K378" s="22">
        <v>6</v>
      </c>
      <c r="L378" s="1">
        <v>42816</v>
      </c>
      <c r="M378" s="22">
        <f>Table3[[#This Row],[Ship Date]]-Table3[[#This Row],[Order Date]]</f>
        <v>5</v>
      </c>
      <c r="N378" s="23" t="s">
        <v>20</v>
      </c>
      <c r="O378" s="23" t="s">
        <v>23</v>
      </c>
      <c r="P378" s="23" t="s">
        <v>238</v>
      </c>
      <c r="Q378" s="23" t="s">
        <v>133</v>
      </c>
      <c r="R378" s="23" t="s">
        <v>237</v>
      </c>
      <c r="S378" s="33">
        <v>0</v>
      </c>
      <c r="T378" s="13">
        <v>59.1</v>
      </c>
      <c r="U378" s="13">
        <v>22.457999999999998</v>
      </c>
      <c r="V378" s="55">
        <f>Table3[[#This Row],[Profit]]/Table3[[#This Row],[Sales]]</f>
        <v>0.37999999999999995</v>
      </c>
    </row>
    <row r="379" spans="1:22" x14ac:dyDescent="0.2">
      <c r="A379">
        <v>378</v>
      </c>
      <c r="B379" t="s">
        <v>4905</v>
      </c>
      <c r="C379" s="1">
        <v>42811</v>
      </c>
      <c r="D379" s="22">
        <f>MONTH(Table3[[#This Row],[Order Date]])</f>
        <v>3</v>
      </c>
      <c r="E379" t="s">
        <v>643</v>
      </c>
      <c r="F379" t="s">
        <v>644</v>
      </c>
      <c r="G379" s="23" t="s">
        <v>41</v>
      </c>
      <c r="H379" s="23" t="s">
        <v>53</v>
      </c>
      <c r="I379" t="s">
        <v>4609</v>
      </c>
      <c r="J379" t="s">
        <v>22</v>
      </c>
      <c r="K379" s="22">
        <v>3</v>
      </c>
      <c r="L379" s="1">
        <v>42816</v>
      </c>
      <c r="M379" s="22">
        <f>Table3[[#This Row],[Ship Date]]-Table3[[#This Row],[Order Date]]</f>
        <v>5</v>
      </c>
      <c r="N379" s="23" t="s">
        <v>20</v>
      </c>
      <c r="O379" s="23" t="s">
        <v>23</v>
      </c>
      <c r="P379" s="23" t="s">
        <v>238</v>
      </c>
      <c r="Q379" s="23" t="s">
        <v>133</v>
      </c>
      <c r="R379" s="23" t="s">
        <v>237</v>
      </c>
      <c r="S379" s="33">
        <v>0</v>
      </c>
      <c r="T379" s="13">
        <v>46.53</v>
      </c>
      <c r="U379" s="13">
        <v>12.097799999999999</v>
      </c>
      <c r="V379" s="55">
        <f>Table3[[#This Row],[Profit]]/Table3[[#This Row],[Sales]]</f>
        <v>0.26</v>
      </c>
    </row>
    <row r="380" spans="1:22" x14ac:dyDescent="0.2">
      <c r="A380">
        <v>379</v>
      </c>
      <c r="B380" t="s">
        <v>5888</v>
      </c>
      <c r="C380" s="1">
        <v>42811</v>
      </c>
      <c r="D380" s="22">
        <f>MONTH(Table3[[#This Row],[Order Date]])</f>
        <v>3</v>
      </c>
      <c r="E380" t="s">
        <v>5282</v>
      </c>
      <c r="F380" t="s">
        <v>5283</v>
      </c>
      <c r="G380" s="23" t="s">
        <v>41</v>
      </c>
      <c r="H380" s="23" t="s">
        <v>68</v>
      </c>
      <c r="I380" t="s">
        <v>1351</v>
      </c>
      <c r="J380" t="s">
        <v>92</v>
      </c>
      <c r="K380" s="22">
        <v>6</v>
      </c>
      <c r="L380" s="1">
        <v>42815</v>
      </c>
      <c r="M380" s="22">
        <f>Table3[[#This Row],[Ship Date]]-Table3[[#This Row],[Order Date]]</f>
        <v>4</v>
      </c>
      <c r="N380" s="23" t="s">
        <v>45</v>
      </c>
      <c r="O380" s="23" t="s">
        <v>23</v>
      </c>
      <c r="P380" s="23" t="s">
        <v>94</v>
      </c>
      <c r="Q380" s="23" t="s">
        <v>95</v>
      </c>
      <c r="R380" s="23" t="s">
        <v>165</v>
      </c>
      <c r="S380" s="33">
        <v>0.8</v>
      </c>
      <c r="T380" s="13">
        <v>13.776</v>
      </c>
      <c r="U380" s="13">
        <v>-22.041599999999999</v>
      </c>
      <c r="V380" s="55">
        <f>Table3[[#This Row],[Profit]]/Table3[[#This Row],[Sales]]</f>
        <v>-1.5999999999999999</v>
      </c>
    </row>
    <row r="381" spans="1:22" x14ac:dyDescent="0.2">
      <c r="A381">
        <v>380</v>
      </c>
      <c r="B381" t="s">
        <v>5888</v>
      </c>
      <c r="C381" s="1">
        <v>42811</v>
      </c>
      <c r="D381" s="22">
        <f>MONTH(Table3[[#This Row],[Order Date]])</f>
        <v>3</v>
      </c>
      <c r="E381" t="s">
        <v>5889</v>
      </c>
      <c r="F381" t="s">
        <v>5890</v>
      </c>
      <c r="G381" s="23" t="s">
        <v>41</v>
      </c>
      <c r="H381" s="23" t="s">
        <v>82</v>
      </c>
      <c r="I381" t="s">
        <v>1351</v>
      </c>
      <c r="J381" t="s">
        <v>92</v>
      </c>
      <c r="K381" s="22">
        <v>3</v>
      </c>
      <c r="L381" s="1">
        <v>42815</v>
      </c>
      <c r="M381" s="22">
        <f>Table3[[#This Row],[Ship Date]]-Table3[[#This Row],[Order Date]]</f>
        <v>4</v>
      </c>
      <c r="N381" s="23" t="s">
        <v>45</v>
      </c>
      <c r="O381" s="23" t="s">
        <v>23</v>
      </c>
      <c r="P381" s="23" t="s">
        <v>94</v>
      </c>
      <c r="Q381" s="23" t="s">
        <v>95</v>
      </c>
      <c r="R381" s="23" t="s">
        <v>165</v>
      </c>
      <c r="S381" s="33">
        <v>0.2</v>
      </c>
      <c r="T381" s="13">
        <v>10.272</v>
      </c>
      <c r="U381" s="13">
        <v>3.21</v>
      </c>
      <c r="V381" s="55">
        <f>Table3[[#This Row],[Profit]]/Table3[[#This Row],[Sales]]</f>
        <v>0.3125</v>
      </c>
    </row>
    <row r="382" spans="1:22" x14ac:dyDescent="0.2">
      <c r="A382">
        <v>381</v>
      </c>
      <c r="B382" t="s">
        <v>9454</v>
      </c>
      <c r="C382" s="1">
        <v>42811</v>
      </c>
      <c r="D382" s="22">
        <f>MONTH(Table3[[#This Row],[Order Date]])</f>
        <v>3</v>
      </c>
      <c r="E382" t="s">
        <v>4210</v>
      </c>
      <c r="F382" t="s">
        <v>4211</v>
      </c>
      <c r="G382" s="23" t="s">
        <v>41</v>
      </c>
      <c r="H382" s="23" t="s">
        <v>42</v>
      </c>
      <c r="I382" t="s">
        <v>2601</v>
      </c>
      <c r="J382" t="s">
        <v>92</v>
      </c>
      <c r="K382" s="22">
        <v>2</v>
      </c>
      <c r="L382" s="1">
        <v>42817</v>
      </c>
      <c r="M382" s="22">
        <f>Table3[[#This Row],[Ship Date]]-Table3[[#This Row],[Order Date]]</f>
        <v>6</v>
      </c>
      <c r="N382" s="23" t="s">
        <v>45</v>
      </c>
      <c r="O382" s="23" t="s">
        <v>23</v>
      </c>
      <c r="P382" s="23" t="s">
        <v>299</v>
      </c>
      <c r="Q382" s="23" t="s">
        <v>26</v>
      </c>
      <c r="R382" s="23" t="s">
        <v>4558</v>
      </c>
      <c r="S382" s="33">
        <v>0.2</v>
      </c>
      <c r="T382" s="13">
        <v>4.6079999999999997</v>
      </c>
      <c r="U382" s="13">
        <v>1.6704000000000001</v>
      </c>
      <c r="V382" s="55">
        <f>Table3[[#This Row],[Profit]]/Table3[[#This Row],[Sales]]</f>
        <v>0.36250000000000004</v>
      </c>
    </row>
    <row r="383" spans="1:22" x14ac:dyDescent="0.2">
      <c r="A383">
        <v>382</v>
      </c>
      <c r="B383" t="s">
        <v>1938</v>
      </c>
      <c r="C383" s="1">
        <v>42812</v>
      </c>
      <c r="D383" s="22">
        <f>MONTH(Table3[[#This Row],[Order Date]])</f>
        <v>3</v>
      </c>
      <c r="E383" t="s">
        <v>1941</v>
      </c>
      <c r="F383" t="s">
        <v>1942</v>
      </c>
      <c r="G383" s="23" t="s">
        <v>41</v>
      </c>
      <c r="H383" s="23" t="s">
        <v>71</v>
      </c>
      <c r="I383" t="s">
        <v>1939</v>
      </c>
      <c r="J383" t="s">
        <v>22</v>
      </c>
      <c r="K383" s="22">
        <v>3</v>
      </c>
      <c r="L383" s="1">
        <v>42817</v>
      </c>
      <c r="M383" s="22">
        <f>Table3[[#This Row],[Ship Date]]-Table3[[#This Row],[Order Date]]</f>
        <v>5</v>
      </c>
      <c r="N383" s="23" t="s">
        <v>45</v>
      </c>
      <c r="O383" s="23" t="s">
        <v>23</v>
      </c>
      <c r="P383" s="23" t="s">
        <v>94</v>
      </c>
      <c r="Q383" s="23" t="s">
        <v>95</v>
      </c>
      <c r="R383" s="23" t="s">
        <v>1940</v>
      </c>
      <c r="S383" s="33">
        <v>0.8</v>
      </c>
      <c r="T383" s="13">
        <v>2.6880000000000002</v>
      </c>
      <c r="U383" s="13">
        <v>-7.3920000000000003</v>
      </c>
      <c r="V383" s="55">
        <f>Table3[[#This Row],[Profit]]/Table3[[#This Row],[Sales]]</f>
        <v>-2.75</v>
      </c>
    </row>
    <row r="384" spans="1:22" x14ac:dyDescent="0.2">
      <c r="A384">
        <v>383</v>
      </c>
      <c r="B384" t="s">
        <v>1938</v>
      </c>
      <c r="C384" s="1">
        <v>42812</v>
      </c>
      <c r="D384" s="22">
        <f>MONTH(Table3[[#This Row],[Order Date]])</f>
        <v>3</v>
      </c>
      <c r="E384" t="s">
        <v>1943</v>
      </c>
      <c r="F384" t="s">
        <v>1944</v>
      </c>
      <c r="G384" s="23" t="s">
        <v>64</v>
      </c>
      <c r="H384" s="23" t="s">
        <v>144</v>
      </c>
      <c r="I384" t="s">
        <v>1939</v>
      </c>
      <c r="J384" t="s">
        <v>22</v>
      </c>
      <c r="K384" s="22">
        <v>3</v>
      </c>
      <c r="L384" s="1">
        <v>42817</v>
      </c>
      <c r="M384" s="22">
        <f>Table3[[#This Row],[Ship Date]]-Table3[[#This Row],[Order Date]]</f>
        <v>5</v>
      </c>
      <c r="N384" s="23" t="s">
        <v>45</v>
      </c>
      <c r="O384" s="23" t="s">
        <v>23</v>
      </c>
      <c r="P384" s="23" t="s">
        <v>94</v>
      </c>
      <c r="Q384" s="23" t="s">
        <v>95</v>
      </c>
      <c r="R384" s="23" t="s">
        <v>1940</v>
      </c>
      <c r="S384" s="33">
        <v>0.2</v>
      </c>
      <c r="T384" s="13">
        <v>27.815999999999999</v>
      </c>
      <c r="U384" s="13">
        <v>4.5201000000000002</v>
      </c>
      <c r="V384" s="55">
        <f>Table3[[#This Row],[Profit]]/Table3[[#This Row],[Sales]]</f>
        <v>0.16250000000000001</v>
      </c>
    </row>
    <row r="385" spans="1:22" x14ac:dyDescent="0.2">
      <c r="A385">
        <v>384</v>
      </c>
      <c r="B385" t="s">
        <v>1938</v>
      </c>
      <c r="C385" s="1">
        <v>42812</v>
      </c>
      <c r="D385" s="22">
        <f>MONTH(Table3[[#This Row],[Order Date]])</f>
        <v>3</v>
      </c>
      <c r="E385" t="s">
        <v>1945</v>
      </c>
      <c r="F385" t="s">
        <v>1946</v>
      </c>
      <c r="G385" s="23" t="s">
        <v>28</v>
      </c>
      <c r="H385" s="23" t="s">
        <v>58</v>
      </c>
      <c r="I385" t="s">
        <v>1939</v>
      </c>
      <c r="J385" t="s">
        <v>22</v>
      </c>
      <c r="K385" s="22">
        <v>3</v>
      </c>
      <c r="L385" s="1">
        <v>42817</v>
      </c>
      <c r="M385" s="22">
        <f>Table3[[#This Row],[Ship Date]]-Table3[[#This Row],[Order Date]]</f>
        <v>5</v>
      </c>
      <c r="N385" s="23" t="s">
        <v>45</v>
      </c>
      <c r="O385" s="23" t="s">
        <v>23</v>
      </c>
      <c r="P385" s="23" t="s">
        <v>94</v>
      </c>
      <c r="Q385" s="23" t="s">
        <v>95</v>
      </c>
      <c r="R385" s="23" t="s">
        <v>1940</v>
      </c>
      <c r="S385" s="33">
        <v>0.6</v>
      </c>
      <c r="T385" s="13">
        <v>82.524000000000001</v>
      </c>
      <c r="U385" s="13">
        <v>-41.262</v>
      </c>
      <c r="V385" s="55">
        <f>Table3[[#This Row],[Profit]]/Table3[[#This Row],[Sales]]</f>
        <v>-0.5</v>
      </c>
    </row>
    <row r="386" spans="1:22" x14ac:dyDescent="0.2">
      <c r="A386">
        <v>385</v>
      </c>
      <c r="B386" t="s">
        <v>1938</v>
      </c>
      <c r="C386" s="1">
        <v>42812</v>
      </c>
      <c r="D386" s="22">
        <f>MONTH(Table3[[#This Row],[Order Date]])</f>
        <v>3</v>
      </c>
      <c r="E386" t="s">
        <v>1947</v>
      </c>
      <c r="F386" t="s">
        <v>1948</v>
      </c>
      <c r="G386" s="23" t="s">
        <v>41</v>
      </c>
      <c r="H386" s="23" t="s">
        <v>68</v>
      </c>
      <c r="I386" t="s">
        <v>1939</v>
      </c>
      <c r="J386" t="s">
        <v>22</v>
      </c>
      <c r="K386" s="22">
        <v>3</v>
      </c>
      <c r="L386" s="1">
        <v>42817</v>
      </c>
      <c r="M386" s="22">
        <f>Table3[[#This Row],[Ship Date]]-Table3[[#This Row],[Order Date]]</f>
        <v>5</v>
      </c>
      <c r="N386" s="23" t="s">
        <v>45</v>
      </c>
      <c r="O386" s="23" t="s">
        <v>23</v>
      </c>
      <c r="P386" s="23" t="s">
        <v>94</v>
      </c>
      <c r="Q386" s="23" t="s">
        <v>95</v>
      </c>
      <c r="R386" s="23" t="s">
        <v>1940</v>
      </c>
      <c r="S386" s="33">
        <v>0.8</v>
      </c>
      <c r="T386" s="13">
        <v>182.994</v>
      </c>
      <c r="U386" s="13">
        <v>-320.23950000000002</v>
      </c>
      <c r="V386" s="55">
        <f>Table3[[#This Row],[Profit]]/Table3[[#This Row],[Sales]]</f>
        <v>-1.7500000000000002</v>
      </c>
    </row>
    <row r="387" spans="1:22" x14ac:dyDescent="0.2">
      <c r="A387">
        <v>386</v>
      </c>
      <c r="B387" t="s">
        <v>6156</v>
      </c>
      <c r="C387" s="1">
        <v>42812</v>
      </c>
      <c r="D387" s="22">
        <f>MONTH(Table3[[#This Row],[Order Date]])</f>
        <v>3</v>
      </c>
      <c r="E387" t="s">
        <v>3746</v>
      </c>
      <c r="F387" t="s">
        <v>3747</v>
      </c>
      <c r="G387" s="23" t="s">
        <v>41</v>
      </c>
      <c r="H387" s="23" t="s">
        <v>61</v>
      </c>
      <c r="I387" t="s">
        <v>5082</v>
      </c>
      <c r="J387" t="s">
        <v>22</v>
      </c>
      <c r="K387" s="22">
        <v>3</v>
      </c>
      <c r="L387" s="1">
        <v>42816</v>
      </c>
      <c r="M387" s="22">
        <f>Table3[[#This Row],[Ship Date]]-Table3[[#This Row],[Order Date]]</f>
        <v>4</v>
      </c>
      <c r="N387" s="23" t="s">
        <v>45</v>
      </c>
      <c r="O387" s="23" t="s">
        <v>23</v>
      </c>
      <c r="P387" s="23" t="s">
        <v>94</v>
      </c>
      <c r="Q387" s="23" t="s">
        <v>95</v>
      </c>
      <c r="R387" s="23" t="s">
        <v>718</v>
      </c>
      <c r="S387" s="33">
        <v>0.2</v>
      </c>
      <c r="T387" s="13">
        <v>23.832000000000001</v>
      </c>
      <c r="U387" s="13">
        <v>6.5537999999999998</v>
      </c>
      <c r="V387" s="55">
        <f>Table3[[#This Row],[Profit]]/Table3[[#This Row],[Sales]]</f>
        <v>0.27499999999999997</v>
      </c>
    </row>
    <row r="388" spans="1:22" x14ac:dyDescent="0.2">
      <c r="A388">
        <v>387</v>
      </c>
      <c r="B388" t="s">
        <v>9421</v>
      </c>
      <c r="C388" s="1">
        <v>42812</v>
      </c>
      <c r="D388" s="22">
        <f>MONTH(Table3[[#This Row],[Order Date]])</f>
        <v>3</v>
      </c>
      <c r="E388" t="s">
        <v>2345</v>
      </c>
      <c r="F388" t="s">
        <v>2346</v>
      </c>
      <c r="G388" s="23" t="s">
        <v>41</v>
      </c>
      <c r="H388" s="23" t="s">
        <v>61</v>
      </c>
      <c r="I388" t="s">
        <v>2548</v>
      </c>
      <c r="J388" t="s">
        <v>22</v>
      </c>
      <c r="K388" s="22">
        <v>4</v>
      </c>
      <c r="L388" s="1">
        <v>42817</v>
      </c>
      <c r="M388" s="22">
        <f>Table3[[#This Row],[Ship Date]]-Table3[[#This Row],[Order Date]]</f>
        <v>5</v>
      </c>
      <c r="N388" s="23" t="s">
        <v>45</v>
      </c>
      <c r="O388" s="23" t="s">
        <v>23</v>
      </c>
      <c r="P388" s="23" t="s">
        <v>87</v>
      </c>
      <c r="Q388" s="23" t="s">
        <v>39</v>
      </c>
      <c r="R388" s="23" t="s">
        <v>86</v>
      </c>
      <c r="S388" s="33">
        <v>0</v>
      </c>
      <c r="T388" s="13">
        <v>46.2</v>
      </c>
      <c r="U388" s="13">
        <v>21.251999999999999</v>
      </c>
      <c r="V388" s="55">
        <f>Table3[[#This Row],[Profit]]/Table3[[#This Row],[Sales]]</f>
        <v>0.45999999999999996</v>
      </c>
    </row>
    <row r="389" spans="1:22" x14ac:dyDescent="0.2">
      <c r="A389">
        <v>388</v>
      </c>
      <c r="B389" t="s">
        <v>9458</v>
      </c>
      <c r="C389" s="1">
        <v>42812</v>
      </c>
      <c r="D389" s="22">
        <f>MONTH(Table3[[#This Row],[Order Date]])</f>
        <v>3</v>
      </c>
      <c r="E389" t="s">
        <v>2276</v>
      </c>
      <c r="F389" t="s">
        <v>2277</v>
      </c>
      <c r="G389" s="23" t="s">
        <v>64</v>
      </c>
      <c r="H389" s="23" t="s">
        <v>65</v>
      </c>
      <c r="I389" t="s">
        <v>4993</v>
      </c>
      <c r="J389" t="s">
        <v>22</v>
      </c>
      <c r="K389" s="22">
        <v>7</v>
      </c>
      <c r="L389" s="1">
        <v>42818</v>
      </c>
      <c r="M389" s="22">
        <f>Table3[[#This Row],[Ship Date]]-Table3[[#This Row],[Order Date]]</f>
        <v>6</v>
      </c>
      <c r="N389" s="23" t="s">
        <v>45</v>
      </c>
      <c r="O389" s="23" t="s">
        <v>23</v>
      </c>
      <c r="P389" s="23" t="s">
        <v>94</v>
      </c>
      <c r="Q389" s="23" t="s">
        <v>95</v>
      </c>
      <c r="R389" s="23" t="s">
        <v>165</v>
      </c>
      <c r="S389" s="33">
        <v>0.2</v>
      </c>
      <c r="T389" s="13">
        <v>537.54399999999998</v>
      </c>
      <c r="U389" s="13">
        <v>47.0351</v>
      </c>
      <c r="V389" s="55">
        <f>Table3[[#This Row],[Profit]]/Table3[[#This Row],[Sales]]</f>
        <v>8.7500000000000008E-2</v>
      </c>
    </row>
    <row r="390" spans="1:22" x14ac:dyDescent="0.2">
      <c r="A390">
        <v>389</v>
      </c>
      <c r="B390" t="s">
        <v>9588</v>
      </c>
      <c r="C390" s="1">
        <v>42812</v>
      </c>
      <c r="D390" s="22">
        <f>MONTH(Table3[[#This Row],[Order Date]])</f>
        <v>3</v>
      </c>
      <c r="E390" t="s">
        <v>6458</v>
      </c>
      <c r="F390" t="s">
        <v>3726</v>
      </c>
      <c r="G390" s="23" t="s">
        <v>41</v>
      </c>
      <c r="H390" s="23" t="s">
        <v>61</v>
      </c>
      <c r="I390" t="s">
        <v>7788</v>
      </c>
      <c r="J390" t="s">
        <v>36</v>
      </c>
      <c r="K390" s="22">
        <v>5</v>
      </c>
      <c r="L390" s="1">
        <v>42816</v>
      </c>
      <c r="M390" s="22">
        <f>Table3[[#This Row],[Ship Date]]-Table3[[#This Row],[Order Date]]</f>
        <v>4</v>
      </c>
      <c r="N390" s="23" t="s">
        <v>45</v>
      </c>
      <c r="O390" s="23" t="s">
        <v>23</v>
      </c>
      <c r="P390" s="23" t="s">
        <v>38</v>
      </c>
      <c r="Q390" s="23" t="s">
        <v>39</v>
      </c>
      <c r="R390" s="23" t="s">
        <v>37</v>
      </c>
      <c r="S390" s="33">
        <v>0</v>
      </c>
      <c r="T390" s="13">
        <v>13.9</v>
      </c>
      <c r="U390" s="13">
        <v>3.7530000000000001</v>
      </c>
      <c r="V390" s="55">
        <f>Table3[[#This Row],[Profit]]/Table3[[#This Row],[Sales]]</f>
        <v>0.27</v>
      </c>
    </row>
    <row r="391" spans="1:22" x14ac:dyDescent="0.2">
      <c r="A391">
        <v>390</v>
      </c>
      <c r="B391" t="s">
        <v>9588</v>
      </c>
      <c r="C391" s="1">
        <v>42812</v>
      </c>
      <c r="D391" s="22">
        <f>MONTH(Table3[[#This Row],[Order Date]])</f>
        <v>3</v>
      </c>
      <c r="E391" t="s">
        <v>2679</v>
      </c>
      <c r="F391" t="s">
        <v>2680</v>
      </c>
      <c r="G391" s="23" t="s">
        <v>41</v>
      </c>
      <c r="H391" s="23" t="s">
        <v>155</v>
      </c>
      <c r="I391" t="s">
        <v>7788</v>
      </c>
      <c r="J391" t="s">
        <v>36</v>
      </c>
      <c r="K391" s="22">
        <v>5</v>
      </c>
      <c r="L391" s="1">
        <v>42816</v>
      </c>
      <c r="M391" s="22">
        <f>Table3[[#This Row],[Ship Date]]-Table3[[#This Row],[Order Date]]</f>
        <v>4</v>
      </c>
      <c r="N391" s="23" t="s">
        <v>45</v>
      </c>
      <c r="O391" s="23" t="s">
        <v>23</v>
      </c>
      <c r="P391" s="23" t="s">
        <v>38</v>
      </c>
      <c r="Q391" s="23" t="s">
        <v>39</v>
      </c>
      <c r="R391" s="23" t="s">
        <v>37</v>
      </c>
      <c r="S391" s="33">
        <v>0</v>
      </c>
      <c r="T391" s="13">
        <v>19.399999999999999</v>
      </c>
      <c r="U391" s="13">
        <v>9.3119999999999994</v>
      </c>
      <c r="V391" s="55">
        <f>Table3[[#This Row],[Profit]]/Table3[[#This Row],[Sales]]</f>
        <v>0.48</v>
      </c>
    </row>
    <row r="392" spans="1:22" x14ac:dyDescent="0.2">
      <c r="A392">
        <v>391</v>
      </c>
      <c r="B392" t="s">
        <v>9652</v>
      </c>
      <c r="C392" s="1">
        <v>42812</v>
      </c>
      <c r="D392" s="22">
        <f>MONTH(Table3[[#This Row],[Order Date]])</f>
        <v>3</v>
      </c>
      <c r="E392" t="s">
        <v>388</v>
      </c>
      <c r="F392" t="s">
        <v>389</v>
      </c>
      <c r="G392" s="23" t="s">
        <v>41</v>
      </c>
      <c r="H392" s="23" t="s">
        <v>71</v>
      </c>
      <c r="I392" t="s">
        <v>7403</v>
      </c>
      <c r="J392" t="s">
        <v>36</v>
      </c>
      <c r="K392" s="22">
        <v>7</v>
      </c>
      <c r="L392" s="1">
        <v>42814</v>
      </c>
      <c r="M392" s="22">
        <f>Table3[[#This Row],[Ship Date]]-Table3[[#This Row],[Order Date]]</f>
        <v>2</v>
      </c>
      <c r="N392" s="23" t="s">
        <v>20</v>
      </c>
      <c r="O392" s="23" t="s">
        <v>23</v>
      </c>
      <c r="P392" s="23" t="s">
        <v>38</v>
      </c>
      <c r="Q392" s="23" t="s">
        <v>39</v>
      </c>
      <c r="R392" s="23" t="s">
        <v>37</v>
      </c>
      <c r="S392" s="33">
        <v>0</v>
      </c>
      <c r="T392" s="13">
        <v>90.86</v>
      </c>
      <c r="U392" s="13">
        <v>26.349399999999999</v>
      </c>
      <c r="V392" s="55">
        <f>Table3[[#This Row],[Profit]]/Table3[[#This Row],[Sales]]</f>
        <v>0.28999999999999998</v>
      </c>
    </row>
    <row r="393" spans="1:22" x14ac:dyDescent="0.2">
      <c r="A393">
        <v>392</v>
      </c>
      <c r="B393" t="s">
        <v>3497</v>
      </c>
      <c r="C393" s="1">
        <v>42813</v>
      </c>
      <c r="D393" s="22">
        <f>MONTH(Table3[[#This Row],[Order Date]])</f>
        <v>3</v>
      </c>
      <c r="E393" t="s">
        <v>3498</v>
      </c>
      <c r="F393" t="s">
        <v>3499</v>
      </c>
      <c r="G393" s="23" t="s">
        <v>41</v>
      </c>
      <c r="H393" s="23" t="s">
        <v>42</v>
      </c>
      <c r="I393" t="s">
        <v>2504</v>
      </c>
      <c r="J393" t="s">
        <v>92</v>
      </c>
      <c r="K393" s="22">
        <v>7</v>
      </c>
      <c r="L393" s="1">
        <v>42818</v>
      </c>
      <c r="M393" s="22">
        <f>Table3[[#This Row],[Ship Date]]-Table3[[#This Row],[Order Date]]</f>
        <v>5</v>
      </c>
      <c r="N393" s="23" t="s">
        <v>45</v>
      </c>
      <c r="O393" s="23" t="s">
        <v>23</v>
      </c>
      <c r="P393" s="23" t="s">
        <v>238</v>
      </c>
      <c r="Q393" s="23" t="s">
        <v>133</v>
      </c>
      <c r="R393" s="23" t="s">
        <v>237</v>
      </c>
      <c r="S393" s="33">
        <v>0</v>
      </c>
      <c r="T393" s="13">
        <v>28.91</v>
      </c>
      <c r="U393" s="13">
        <v>13.2986</v>
      </c>
      <c r="V393" s="55">
        <f>Table3[[#This Row],[Profit]]/Table3[[#This Row],[Sales]]</f>
        <v>0.46</v>
      </c>
    </row>
    <row r="394" spans="1:22" x14ac:dyDescent="0.2">
      <c r="A394">
        <v>393</v>
      </c>
      <c r="B394" t="s">
        <v>6694</v>
      </c>
      <c r="C394" s="1">
        <v>42813</v>
      </c>
      <c r="D394" s="22">
        <f>MONTH(Table3[[#This Row],[Order Date]])</f>
        <v>3</v>
      </c>
      <c r="E394" t="s">
        <v>3170</v>
      </c>
      <c r="F394" t="s">
        <v>3171</v>
      </c>
      <c r="G394" s="23" t="s">
        <v>41</v>
      </c>
      <c r="H394" s="23" t="s">
        <v>68</v>
      </c>
      <c r="I394" t="s">
        <v>3293</v>
      </c>
      <c r="J394" t="s">
        <v>22</v>
      </c>
      <c r="K394" s="22">
        <v>6</v>
      </c>
      <c r="L394" s="1">
        <v>42816</v>
      </c>
      <c r="M394" s="22">
        <f>Table3[[#This Row],[Ship Date]]-Table3[[#This Row],[Order Date]]</f>
        <v>3</v>
      </c>
      <c r="N394" s="23" t="s">
        <v>169</v>
      </c>
      <c r="O394" s="23" t="s">
        <v>23</v>
      </c>
      <c r="P394" s="23" t="s">
        <v>38</v>
      </c>
      <c r="Q394" s="23" t="s">
        <v>39</v>
      </c>
      <c r="R394" s="23" t="s">
        <v>114</v>
      </c>
      <c r="S394" s="33">
        <v>0.2</v>
      </c>
      <c r="T394" s="13">
        <v>19.824000000000002</v>
      </c>
      <c r="U394" s="13">
        <v>6.6905999999999999</v>
      </c>
      <c r="V394" s="55">
        <f>Table3[[#This Row],[Profit]]/Table3[[#This Row],[Sales]]</f>
        <v>0.33749999999999997</v>
      </c>
    </row>
    <row r="395" spans="1:22" x14ac:dyDescent="0.2">
      <c r="A395">
        <v>394</v>
      </c>
      <c r="B395" t="s">
        <v>6694</v>
      </c>
      <c r="C395" s="1">
        <v>42813</v>
      </c>
      <c r="D395" s="22">
        <f>MONTH(Table3[[#This Row],[Order Date]])</f>
        <v>3</v>
      </c>
      <c r="E395" t="s">
        <v>3776</v>
      </c>
      <c r="F395" t="s">
        <v>3777</v>
      </c>
      <c r="G395" s="23" t="s">
        <v>64</v>
      </c>
      <c r="H395" s="23" t="s">
        <v>65</v>
      </c>
      <c r="I395" t="s">
        <v>3293</v>
      </c>
      <c r="J395" t="s">
        <v>22</v>
      </c>
      <c r="K395" s="22">
        <v>6</v>
      </c>
      <c r="L395" s="1">
        <v>42816</v>
      </c>
      <c r="M395" s="22">
        <f>Table3[[#This Row],[Ship Date]]-Table3[[#This Row],[Order Date]]</f>
        <v>3</v>
      </c>
      <c r="N395" s="23" t="s">
        <v>169</v>
      </c>
      <c r="O395" s="23" t="s">
        <v>23</v>
      </c>
      <c r="P395" s="23" t="s">
        <v>38</v>
      </c>
      <c r="Q395" s="23" t="s">
        <v>39</v>
      </c>
      <c r="R395" s="23" t="s">
        <v>114</v>
      </c>
      <c r="S395" s="33">
        <v>0.2</v>
      </c>
      <c r="T395" s="13">
        <v>657.50400000000002</v>
      </c>
      <c r="U395" s="13">
        <v>-131.5008</v>
      </c>
      <c r="V395" s="55">
        <f>Table3[[#This Row],[Profit]]/Table3[[#This Row],[Sales]]</f>
        <v>-0.19999999999999998</v>
      </c>
    </row>
    <row r="396" spans="1:22" x14ac:dyDescent="0.2">
      <c r="A396">
        <v>395</v>
      </c>
      <c r="B396" t="s">
        <v>6694</v>
      </c>
      <c r="C396" s="1">
        <v>42813</v>
      </c>
      <c r="D396" s="22">
        <f>MONTH(Table3[[#This Row],[Order Date]])</f>
        <v>3</v>
      </c>
      <c r="E396" t="s">
        <v>406</v>
      </c>
      <c r="F396" t="s">
        <v>407</v>
      </c>
      <c r="G396" s="23" t="s">
        <v>64</v>
      </c>
      <c r="H396" s="23" t="s">
        <v>144</v>
      </c>
      <c r="I396" t="s">
        <v>3293</v>
      </c>
      <c r="J396" t="s">
        <v>22</v>
      </c>
      <c r="K396" s="22">
        <v>2</v>
      </c>
      <c r="L396" s="1">
        <v>42816</v>
      </c>
      <c r="M396" s="22">
        <f>Table3[[#This Row],[Ship Date]]-Table3[[#This Row],[Order Date]]</f>
        <v>3</v>
      </c>
      <c r="N396" s="23" t="s">
        <v>169</v>
      </c>
      <c r="O396" s="23" t="s">
        <v>23</v>
      </c>
      <c r="P396" s="23" t="s">
        <v>38</v>
      </c>
      <c r="Q396" s="23" t="s">
        <v>39</v>
      </c>
      <c r="R396" s="23" t="s">
        <v>114</v>
      </c>
      <c r="S396" s="33">
        <v>0</v>
      </c>
      <c r="T396" s="13">
        <v>99.54</v>
      </c>
      <c r="U396" s="13">
        <v>10.949400000000001</v>
      </c>
      <c r="V396" s="55">
        <f>Table3[[#This Row],[Profit]]/Table3[[#This Row],[Sales]]</f>
        <v>0.11</v>
      </c>
    </row>
    <row r="397" spans="1:22" x14ac:dyDescent="0.2">
      <c r="A397">
        <v>396</v>
      </c>
      <c r="B397" t="s">
        <v>6694</v>
      </c>
      <c r="C397" s="1">
        <v>42813</v>
      </c>
      <c r="D397" s="22">
        <f>MONTH(Table3[[#This Row],[Order Date]])</f>
        <v>3</v>
      </c>
      <c r="E397" t="s">
        <v>4012</v>
      </c>
      <c r="F397" t="s">
        <v>4013</v>
      </c>
      <c r="G397" s="23" t="s">
        <v>64</v>
      </c>
      <c r="H397" s="23" t="s">
        <v>144</v>
      </c>
      <c r="I397" t="s">
        <v>3293</v>
      </c>
      <c r="J397" t="s">
        <v>22</v>
      </c>
      <c r="K397" s="22">
        <v>4</v>
      </c>
      <c r="L397" s="1">
        <v>42816</v>
      </c>
      <c r="M397" s="22">
        <f>Table3[[#This Row],[Ship Date]]-Table3[[#This Row],[Order Date]]</f>
        <v>3</v>
      </c>
      <c r="N397" s="23" t="s">
        <v>169</v>
      </c>
      <c r="O397" s="23" t="s">
        <v>23</v>
      </c>
      <c r="P397" s="23" t="s">
        <v>38</v>
      </c>
      <c r="Q397" s="23" t="s">
        <v>39</v>
      </c>
      <c r="R397" s="23" t="s">
        <v>114</v>
      </c>
      <c r="S397" s="33">
        <v>0</v>
      </c>
      <c r="T397" s="13">
        <v>199.96</v>
      </c>
      <c r="U397" s="13">
        <v>85.982799999999997</v>
      </c>
      <c r="V397" s="55">
        <f>Table3[[#This Row],[Profit]]/Table3[[#This Row],[Sales]]</f>
        <v>0.43</v>
      </c>
    </row>
    <row r="398" spans="1:22" x14ac:dyDescent="0.2">
      <c r="A398">
        <v>397</v>
      </c>
      <c r="B398" t="s">
        <v>7322</v>
      </c>
      <c r="C398" s="1">
        <v>42813</v>
      </c>
      <c r="D398" s="22">
        <f>MONTH(Table3[[#This Row],[Order Date]])</f>
        <v>3</v>
      </c>
      <c r="E398" t="s">
        <v>4784</v>
      </c>
      <c r="F398" t="s">
        <v>4785</v>
      </c>
      <c r="G398" s="23" t="s">
        <v>41</v>
      </c>
      <c r="H398" s="23" t="s">
        <v>68</v>
      </c>
      <c r="I398" t="s">
        <v>1483</v>
      </c>
      <c r="J398" t="s">
        <v>22</v>
      </c>
      <c r="K398" s="22">
        <v>2</v>
      </c>
      <c r="L398" s="1">
        <v>42816</v>
      </c>
      <c r="M398" s="22">
        <f>Table3[[#This Row],[Ship Date]]-Table3[[#This Row],[Order Date]]</f>
        <v>3</v>
      </c>
      <c r="N398" s="23" t="s">
        <v>20</v>
      </c>
      <c r="O398" s="23" t="s">
        <v>23</v>
      </c>
      <c r="P398" s="23" t="s">
        <v>38</v>
      </c>
      <c r="Q398" s="23" t="s">
        <v>39</v>
      </c>
      <c r="R398" s="23" t="s">
        <v>3080</v>
      </c>
      <c r="S398" s="33">
        <v>0.2</v>
      </c>
      <c r="T398" s="13">
        <v>14.624000000000001</v>
      </c>
      <c r="U398" s="13">
        <v>5.1184000000000003</v>
      </c>
      <c r="V398" s="55">
        <f>Table3[[#This Row],[Profit]]/Table3[[#This Row],[Sales]]</f>
        <v>0.35000000000000003</v>
      </c>
    </row>
    <row r="399" spans="1:22" x14ac:dyDescent="0.2">
      <c r="A399">
        <v>398</v>
      </c>
      <c r="B399" t="s">
        <v>7322</v>
      </c>
      <c r="C399" s="1">
        <v>42813</v>
      </c>
      <c r="D399" s="22">
        <f>MONTH(Table3[[#This Row],[Order Date]])</f>
        <v>3</v>
      </c>
      <c r="E399" t="s">
        <v>2112</v>
      </c>
      <c r="F399" t="s">
        <v>2113</v>
      </c>
      <c r="G399" s="23" t="s">
        <v>28</v>
      </c>
      <c r="H399" s="23" t="s">
        <v>50</v>
      </c>
      <c r="I399" t="s">
        <v>1483</v>
      </c>
      <c r="J399" t="s">
        <v>22</v>
      </c>
      <c r="K399" s="22">
        <v>5</v>
      </c>
      <c r="L399" s="1">
        <v>42816</v>
      </c>
      <c r="M399" s="22">
        <f>Table3[[#This Row],[Ship Date]]-Table3[[#This Row],[Order Date]]</f>
        <v>3</v>
      </c>
      <c r="N399" s="23" t="s">
        <v>20</v>
      </c>
      <c r="O399" s="23" t="s">
        <v>23</v>
      </c>
      <c r="P399" s="23" t="s">
        <v>38</v>
      </c>
      <c r="Q399" s="23" t="s">
        <v>39</v>
      </c>
      <c r="R399" s="23" t="s">
        <v>3080</v>
      </c>
      <c r="S399" s="33">
        <v>0.2</v>
      </c>
      <c r="T399" s="13">
        <v>697.16</v>
      </c>
      <c r="U399" s="13">
        <v>8.7144999999999992</v>
      </c>
      <c r="V399" s="55">
        <f>Table3[[#This Row],[Profit]]/Table3[[#This Row],[Sales]]</f>
        <v>1.2499999999999999E-2</v>
      </c>
    </row>
    <row r="400" spans="1:22" x14ac:dyDescent="0.2">
      <c r="A400">
        <v>399</v>
      </c>
      <c r="B400" t="s">
        <v>7322</v>
      </c>
      <c r="C400" s="1">
        <v>42813</v>
      </c>
      <c r="D400" s="22">
        <f>MONTH(Table3[[#This Row],[Order Date]])</f>
        <v>3</v>
      </c>
      <c r="E400" t="s">
        <v>5335</v>
      </c>
      <c r="F400" t="s">
        <v>5336</v>
      </c>
      <c r="G400" s="23" t="s">
        <v>28</v>
      </c>
      <c r="H400" s="23" t="s">
        <v>58</v>
      </c>
      <c r="I400" t="s">
        <v>1483</v>
      </c>
      <c r="J400" t="s">
        <v>22</v>
      </c>
      <c r="K400" s="22">
        <v>1</v>
      </c>
      <c r="L400" s="1">
        <v>42816</v>
      </c>
      <c r="M400" s="22">
        <f>Table3[[#This Row],[Ship Date]]-Table3[[#This Row],[Order Date]]</f>
        <v>3</v>
      </c>
      <c r="N400" s="23" t="s">
        <v>20</v>
      </c>
      <c r="O400" s="23" t="s">
        <v>23</v>
      </c>
      <c r="P400" s="23" t="s">
        <v>38</v>
      </c>
      <c r="Q400" s="23" t="s">
        <v>39</v>
      </c>
      <c r="R400" s="23" t="s">
        <v>3080</v>
      </c>
      <c r="S400" s="33">
        <v>0</v>
      </c>
      <c r="T400" s="13">
        <v>30.93</v>
      </c>
      <c r="U400" s="13">
        <v>12.6813</v>
      </c>
      <c r="V400" s="55">
        <f>Table3[[#This Row],[Profit]]/Table3[[#This Row],[Sales]]</f>
        <v>0.41000000000000003</v>
      </c>
    </row>
    <row r="401" spans="1:22" x14ac:dyDescent="0.2">
      <c r="A401">
        <v>400</v>
      </c>
      <c r="B401" t="s">
        <v>7322</v>
      </c>
      <c r="C401" s="1">
        <v>42813</v>
      </c>
      <c r="D401" s="22">
        <f>MONTH(Table3[[#This Row],[Order Date]])</f>
        <v>3</v>
      </c>
      <c r="E401" t="s">
        <v>700</v>
      </c>
      <c r="F401" t="s">
        <v>701</v>
      </c>
      <c r="G401" s="23" t="s">
        <v>41</v>
      </c>
      <c r="H401" s="23" t="s">
        <v>68</v>
      </c>
      <c r="I401" t="s">
        <v>1483</v>
      </c>
      <c r="J401" t="s">
        <v>22</v>
      </c>
      <c r="K401" s="22">
        <v>7</v>
      </c>
      <c r="L401" s="1">
        <v>42816</v>
      </c>
      <c r="M401" s="22">
        <f>Table3[[#This Row],[Ship Date]]-Table3[[#This Row],[Order Date]]</f>
        <v>3</v>
      </c>
      <c r="N401" s="23" t="s">
        <v>20</v>
      </c>
      <c r="O401" s="23" t="s">
        <v>23</v>
      </c>
      <c r="P401" s="23" t="s">
        <v>38</v>
      </c>
      <c r="Q401" s="23" t="s">
        <v>39</v>
      </c>
      <c r="R401" s="23" t="s">
        <v>3080</v>
      </c>
      <c r="S401" s="33">
        <v>0.2</v>
      </c>
      <c r="T401" s="13">
        <v>27.495999999999999</v>
      </c>
      <c r="U401" s="13">
        <v>9.2798999999999996</v>
      </c>
      <c r="V401" s="55">
        <f>Table3[[#This Row],[Profit]]/Table3[[#This Row],[Sales]]</f>
        <v>0.33750000000000002</v>
      </c>
    </row>
    <row r="402" spans="1:22" x14ac:dyDescent="0.2">
      <c r="A402">
        <v>401</v>
      </c>
      <c r="B402" t="s">
        <v>9714</v>
      </c>
      <c r="C402" s="1">
        <v>42813</v>
      </c>
      <c r="D402" s="22">
        <f>MONTH(Table3[[#This Row],[Order Date]])</f>
        <v>3</v>
      </c>
      <c r="E402" t="s">
        <v>4763</v>
      </c>
      <c r="F402" t="s">
        <v>4764</v>
      </c>
      <c r="G402" s="23" t="s">
        <v>41</v>
      </c>
      <c r="H402" s="23" t="s">
        <v>71</v>
      </c>
      <c r="I402" t="s">
        <v>3231</v>
      </c>
      <c r="J402" t="s">
        <v>36</v>
      </c>
      <c r="K402" s="22">
        <v>7</v>
      </c>
      <c r="L402" s="1">
        <v>42818</v>
      </c>
      <c r="M402" s="22">
        <f>Table3[[#This Row],[Ship Date]]-Table3[[#This Row],[Order Date]]</f>
        <v>5</v>
      </c>
      <c r="N402" s="23" t="s">
        <v>45</v>
      </c>
      <c r="O402" s="23" t="s">
        <v>23</v>
      </c>
      <c r="P402" s="23" t="s">
        <v>38</v>
      </c>
      <c r="Q402" s="23" t="s">
        <v>39</v>
      </c>
      <c r="R402" s="23" t="s">
        <v>37</v>
      </c>
      <c r="S402" s="33">
        <v>0</v>
      </c>
      <c r="T402" s="13">
        <v>381.36</v>
      </c>
      <c r="U402" s="13">
        <v>106.7808</v>
      </c>
      <c r="V402" s="55">
        <f>Table3[[#This Row],[Profit]]/Table3[[#This Row],[Sales]]</f>
        <v>0.27999999999999997</v>
      </c>
    </row>
    <row r="403" spans="1:22" x14ac:dyDescent="0.2">
      <c r="A403">
        <v>402</v>
      </c>
      <c r="B403" t="s">
        <v>10093</v>
      </c>
      <c r="C403" s="1">
        <v>42813</v>
      </c>
      <c r="D403" s="22">
        <f>MONTH(Table3[[#This Row],[Order Date]])</f>
        <v>3</v>
      </c>
      <c r="E403" t="s">
        <v>7038</v>
      </c>
      <c r="F403" t="s">
        <v>7039</v>
      </c>
      <c r="G403" s="23" t="s">
        <v>41</v>
      </c>
      <c r="H403" s="23" t="s">
        <v>61</v>
      </c>
      <c r="I403" t="s">
        <v>3696</v>
      </c>
      <c r="J403" t="s">
        <v>36</v>
      </c>
      <c r="K403" s="22">
        <v>3</v>
      </c>
      <c r="L403" s="1">
        <v>42814</v>
      </c>
      <c r="M403" s="22">
        <f>Table3[[#This Row],[Ship Date]]-Table3[[#This Row],[Order Date]]</f>
        <v>1</v>
      </c>
      <c r="N403" s="23" t="s">
        <v>169</v>
      </c>
      <c r="O403" s="23" t="s">
        <v>23</v>
      </c>
      <c r="P403" s="23" t="s">
        <v>695</v>
      </c>
      <c r="Q403" s="23" t="s">
        <v>133</v>
      </c>
      <c r="R403" s="23" t="s">
        <v>990</v>
      </c>
      <c r="S403" s="33">
        <v>0</v>
      </c>
      <c r="T403" s="13">
        <v>8.94</v>
      </c>
      <c r="U403" s="13">
        <v>2.4138000000000002</v>
      </c>
      <c r="V403" s="55">
        <f>Table3[[#This Row],[Profit]]/Table3[[#This Row],[Sales]]</f>
        <v>0.27</v>
      </c>
    </row>
    <row r="404" spans="1:22" x14ac:dyDescent="0.2">
      <c r="A404">
        <v>403</v>
      </c>
      <c r="B404" t="s">
        <v>1374</v>
      </c>
      <c r="C404" s="1">
        <v>42814</v>
      </c>
      <c r="D404" s="22">
        <f>MONTH(Table3[[#This Row],[Order Date]])</f>
        <v>3</v>
      </c>
      <c r="E404" t="s">
        <v>1376</v>
      </c>
      <c r="F404" t="s">
        <v>1377</v>
      </c>
      <c r="G404" s="23" t="s">
        <v>28</v>
      </c>
      <c r="H404" s="23" t="s">
        <v>58</v>
      </c>
      <c r="I404" t="s">
        <v>1375</v>
      </c>
      <c r="J404" t="s">
        <v>22</v>
      </c>
      <c r="K404" s="22">
        <v>1</v>
      </c>
      <c r="L404" s="1">
        <v>42819</v>
      </c>
      <c r="M404" s="22">
        <f>Table3[[#This Row],[Ship Date]]-Table3[[#This Row],[Order Date]]</f>
        <v>5</v>
      </c>
      <c r="N404" s="23" t="s">
        <v>20</v>
      </c>
      <c r="O404" s="23" t="s">
        <v>23</v>
      </c>
      <c r="P404" s="23" t="s">
        <v>226</v>
      </c>
      <c r="Q404" s="23" t="s">
        <v>95</v>
      </c>
      <c r="R404" s="23" t="s">
        <v>440</v>
      </c>
      <c r="S404" s="33">
        <v>0</v>
      </c>
      <c r="T404" s="13">
        <v>2.91</v>
      </c>
      <c r="U404" s="13">
        <v>1.3676999999999999</v>
      </c>
      <c r="V404" s="55">
        <f>Table3[[#This Row],[Profit]]/Table3[[#This Row],[Sales]]</f>
        <v>0.47</v>
      </c>
    </row>
    <row r="405" spans="1:22" x14ac:dyDescent="0.2">
      <c r="A405">
        <v>404</v>
      </c>
      <c r="B405" t="s">
        <v>4729</v>
      </c>
      <c r="C405" s="1">
        <v>42814</v>
      </c>
      <c r="D405" s="22">
        <f>MONTH(Table3[[#This Row],[Order Date]])</f>
        <v>3</v>
      </c>
      <c r="E405" t="s">
        <v>4730</v>
      </c>
      <c r="F405" t="s">
        <v>4731</v>
      </c>
      <c r="G405" s="23" t="s">
        <v>64</v>
      </c>
      <c r="H405" s="23" t="s">
        <v>144</v>
      </c>
      <c r="I405" t="s">
        <v>2206</v>
      </c>
      <c r="J405" t="s">
        <v>36</v>
      </c>
      <c r="K405" s="22">
        <v>7</v>
      </c>
      <c r="L405" s="1">
        <v>42818</v>
      </c>
      <c r="M405" s="22">
        <f>Table3[[#This Row],[Ship Date]]-Table3[[#This Row],[Order Date]]</f>
        <v>4</v>
      </c>
      <c r="N405" s="23" t="s">
        <v>45</v>
      </c>
      <c r="O405" s="23" t="s">
        <v>23</v>
      </c>
      <c r="P405" s="23" t="s">
        <v>87</v>
      </c>
      <c r="Q405" s="23" t="s">
        <v>39</v>
      </c>
      <c r="R405" s="23" t="s">
        <v>86</v>
      </c>
      <c r="S405" s="33">
        <v>0</v>
      </c>
      <c r="T405" s="13">
        <v>265.93</v>
      </c>
      <c r="U405" s="13">
        <v>63.8232</v>
      </c>
      <c r="V405" s="55">
        <f>Table3[[#This Row],[Profit]]/Table3[[#This Row],[Sales]]</f>
        <v>0.24</v>
      </c>
    </row>
    <row r="406" spans="1:22" x14ac:dyDescent="0.2">
      <c r="A406">
        <v>405</v>
      </c>
      <c r="B406" t="s">
        <v>9081</v>
      </c>
      <c r="C406" s="1">
        <v>42814</v>
      </c>
      <c r="D406" s="22">
        <f>MONTH(Table3[[#This Row],[Order Date]])</f>
        <v>3</v>
      </c>
      <c r="E406" t="s">
        <v>4261</v>
      </c>
      <c r="F406" t="s">
        <v>4262</v>
      </c>
      <c r="G406" s="23" t="s">
        <v>64</v>
      </c>
      <c r="H406" s="23" t="s">
        <v>144</v>
      </c>
      <c r="I406" t="s">
        <v>6681</v>
      </c>
      <c r="J406" t="s">
        <v>22</v>
      </c>
      <c r="K406" s="22">
        <v>2</v>
      </c>
      <c r="L406" s="1">
        <v>42818</v>
      </c>
      <c r="M406" s="22">
        <f>Table3[[#This Row],[Ship Date]]-Table3[[#This Row],[Order Date]]</f>
        <v>4</v>
      </c>
      <c r="N406" s="23" t="s">
        <v>45</v>
      </c>
      <c r="O406" s="23" t="s">
        <v>23</v>
      </c>
      <c r="P406" s="23" t="s">
        <v>660</v>
      </c>
      <c r="Q406" s="23" t="s">
        <v>133</v>
      </c>
      <c r="R406" s="23" t="s">
        <v>3253</v>
      </c>
      <c r="S406" s="33">
        <v>0</v>
      </c>
      <c r="T406" s="13">
        <v>238</v>
      </c>
      <c r="U406" s="13">
        <v>38.08</v>
      </c>
      <c r="V406" s="55">
        <f>Table3[[#This Row],[Profit]]/Table3[[#This Row],[Sales]]</f>
        <v>0.16</v>
      </c>
    </row>
    <row r="407" spans="1:22" x14ac:dyDescent="0.2">
      <c r="A407">
        <v>406</v>
      </c>
      <c r="B407" t="s">
        <v>9081</v>
      </c>
      <c r="C407" s="1">
        <v>42814</v>
      </c>
      <c r="D407" s="22">
        <f>MONTH(Table3[[#This Row],[Order Date]])</f>
        <v>3</v>
      </c>
      <c r="E407" t="s">
        <v>3592</v>
      </c>
      <c r="F407" t="s">
        <v>3593</v>
      </c>
      <c r="G407" s="23" t="s">
        <v>41</v>
      </c>
      <c r="H407" s="23" t="s">
        <v>82</v>
      </c>
      <c r="I407" t="s">
        <v>6681</v>
      </c>
      <c r="J407" t="s">
        <v>22</v>
      </c>
      <c r="K407" s="22">
        <v>2</v>
      </c>
      <c r="L407" s="1">
        <v>42818</v>
      </c>
      <c r="M407" s="22">
        <f>Table3[[#This Row],[Ship Date]]-Table3[[#This Row],[Order Date]]</f>
        <v>4</v>
      </c>
      <c r="N407" s="23" t="s">
        <v>45</v>
      </c>
      <c r="O407" s="23" t="s">
        <v>23</v>
      </c>
      <c r="P407" s="23" t="s">
        <v>660</v>
      </c>
      <c r="Q407" s="23" t="s">
        <v>133</v>
      </c>
      <c r="R407" s="23" t="s">
        <v>3253</v>
      </c>
      <c r="S407" s="33">
        <v>0</v>
      </c>
      <c r="T407" s="13">
        <v>61.96</v>
      </c>
      <c r="U407" s="13">
        <v>27.882000000000001</v>
      </c>
      <c r="V407" s="55">
        <f>Table3[[#This Row],[Profit]]/Table3[[#This Row],[Sales]]</f>
        <v>0.45</v>
      </c>
    </row>
    <row r="408" spans="1:22" x14ac:dyDescent="0.2">
      <c r="A408">
        <v>407</v>
      </c>
      <c r="B408" t="s">
        <v>9578</v>
      </c>
      <c r="C408" s="1">
        <v>42814</v>
      </c>
      <c r="D408" s="22">
        <f>MONTH(Table3[[#This Row],[Order Date]])</f>
        <v>3</v>
      </c>
      <c r="E408" t="s">
        <v>930</v>
      </c>
      <c r="F408" t="s">
        <v>167</v>
      </c>
      <c r="G408" s="23" t="s">
        <v>41</v>
      </c>
      <c r="H408" s="23" t="s">
        <v>82</v>
      </c>
      <c r="I408" t="s">
        <v>5414</v>
      </c>
      <c r="J408" t="s">
        <v>22</v>
      </c>
      <c r="K408" s="22">
        <v>2</v>
      </c>
      <c r="L408" s="1">
        <v>42814</v>
      </c>
      <c r="M408" s="22">
        <f>Table3[[#This Row],[Ship Date]]-Table3[[#This Row],[Order Date]]</f>
        <v>0</v>
      </c>
      <c r="N408" s="23" t="s">
        <v>1141</v>
      </c>
      <c r="O408" s="23" t="s">
        <v>23</v>
      </c>
      <c r="P408" s="23" t="s">
        <v>94</v>
      </c>
      <c r="Q408" s="23" t="s">
        <v>95</v>
      </c>
      <c r="R408" s="23" t="s">
        <v>165</v>
      </c>
      <c r="S408" s="33">
        <v>0.2</v>
      </c>
      <c r="T408" s="13">
        <v>56.704000000000001</v>
      </c>
      <c r="U408" s="13">
        <v>19.137599999999999</v>
      </c>
      <c r="V408" s="55">
        <f>Table3[[#This Row],[Profit]]/Table3[[#This Row],[Sales]]</f>
        <v>0.33749999999999997</v>
      </c>
    </row>
    <row r="409" spans="1:22" x14ac:dyDescent="0.2">
      <c r="A409">
        <v>408</v>
      </c>
      <c r="B409" t="s">
        <v>9578</v>
      </c>
      <c r="C409" s="1">
        <v>42814</v>
      </c>
      <c r="D409" s="22">
        <f>MONTH(Table3[[#This Row],[Order Date]])</f>
        <v>3</v>
      </c>
      <c r="E409" t="s">
        <v>495</v>
      </c>
      <c r="F409" t="s">
        <v>496</v>
      </c>
      <c r="G409" s="23" t="s">
        <v>41</v>
      </c>
      <c r="H409" s="23" t="s">
        <v>82</v>
      </c>
      <c r="I409" t="s">
        <v>5414</v>
      </c>
      <c r="J409" t="s">
        <v>22</v>
      </c>
      <c r="K409" s="22">
        <v>7</v>
      </c>
      <c r="L409" s="1">
        <v>42814</v>
      </c>
      <c r="M409" s="22">
        <f>Table3[[#This Row],[Ship Date]]-Table3[[#This Row],[Order Date]]</f>
        <v>0</v>
      </c>
      <c r="N409" s="23" t="s">
        <v>1141</v>
      </c>
      <c r="O409" s="23" t="s">
        <v>23</v>
      </c>
      <c r="P409" s="23" t="s">
        <v>94</v>
      </c>
      <c r="Q409" s="23" t="s">
        <v>95</v>
      </c>
      <c r="R409" s="23" t="s">
        <v>165</v>
      </c>
      <c r="S409" s="33">
        <v>0.2</v>
      </c>
      <c r="T409" s="13">
        <v>274.06400000000002</v>
      </c>
      <c r="U409" s="13">
        <v>102.774</v>
      </c>
      <c r="V409" s="55">
        <f>Table3[[#This Row],[Profit]]/Table3[[#This Row],[Sales]]</f>
        <v>0.375</v>
      </c>
    </row>
    <row r="410" spans="1:22" x14ac:dyDescent="0.2">
      <c r="A410">
        <v>409</v>
      </c>
      <c r="B410" t="s">
        <v>4746</v>
      </c>
      <c r="C410" s="1">
        <v>42815</v>
      </c>
      <c r="D410" s="22">
        <f>MONTH(Table3[[#This Row],[Order Date]])</f>
        <v>3</v>
      </c>
      <c r="E410" t="s">
        <v>1439</v>
      </c>
      <c r="F410" t="s">
        <v>1440</v>
      </c>
      <c r="G410" s="23" t="s">
        <v>41</v>
      </c>
      <c r="H410" s="23" t="s">
        <v>82</v>
      </c>
      <c r="I410" t="s">
        <v>2589</v>
      </c>
      <c r="J410" t="s">
        <v>22</v>
      </c>
      <c r="K410" s="22">
        <v>5</v>
      </c>
      <c r="L410" s="1">
        <v>42819</v>
      </c>
      <c r="M410" s="22">
        <f>Table3[[#This Row],[Ship Date]]-Table3[[#This Row],[Order Date]]</f>
        <v>4</v>
      </c>
      <c r="N410" s="23" t="s">
        <v>45</v>
      </c>
      <c r="O410" s="23" t="s">
        <v>23</v>
      </c>
      <c r="P410" s="23" t="s">
        <v>226</v>
      </c>
      <c r="Q410" s="23" t="s">
        <v>95</v>
      </c>
      <c r="R410" s="23" t="s">
        <v>3766</v>
      </c>
      <c r="S410" s="33">
        <v>0</v>
      </c>
      <c r="T410" s="13">
        <v>277.39999999999998</v>
      </c>
      <c r="U410" s="13">
        <v>133.15199999999999</v>
      </c>
      <c r="V410" s="55">
        <f>Table3[[#This Row],[Profit]]/Table3[[#This Row],[Sales]]</f>
        <v>0.48</v>
      </c>
    </row>
    <row r="411" spans="1:22" x14ac:dyDescent="0.2">
      <c r="A411">
        <v>410</v>
      </c>
      <c r="B411" t="s">
        <v>4746</v>
      </c>
      <c r="C411" s="1">
        <v>42815</v>
      </c>
      <c r="D411" s="22">
        <f>MONTH(Table3[[#This Row],[Order Date]])</f>
        <v>3</v>
      </c>
      <c r="E411" t="s">
        <v>2087</v>
      </c>
      <c r="F411" t="s">
        <v>2088</v>
      </c>
      <c r="G411" s="23" t="s">
        <v>41</v>
      </c>
      <c r="H411" s="23" t="s">
        <v>82</v>
      </c>
      <c r="I411" t="s">
        <v>2589</v>
      </c>
      <c r="J411" t="s">
        <v>22</v>
      </c>
      <c r="K411" s="22">
        <v>1</v>
      </c>
      <c r="L411" s="1">
        <v>42819</v>
      </c>
      <c r="M411" s="22">
        <f>Table3[[#This Row],[Ship Date]]-Table3[[#This Row],[Order Date]]</f>
        <v>4</v>
      </c>
      <c r="N411" s="23" t="s">
        <v>45</v>
      </c>
      <c r="O411" s="23" t="s">
        <v>23</v>
      </c>
      <c r="P411" s="23" t="s">
        <v>226</v>
      </c>
      <c r="Q411" s="23" t="s">
        <v>95</v>
      </c>
      <c r="R411" s="23" t="s">
        <v>3766</v>
      </c>
      <c r="S411" s="33">
        <v>0</v>
      </c>
      <c r="T411" s="13">
        <v>5.78</v>
      </c>
      <c r="U411" s="13">
        <v>2.8321999999999998</v>
      </c>
      <c r="V411" s="55">
        <f>Table3[[#This Row],[Profit]]/Table3[[#This Row],[Sales]]</f>
        <v>0.48999999999999994</v>
      </c>
    </row>
    <row r="412" spans="1:22" x14ac:dyDescent="0.2">
      <c r="A412">
        <v>411</v>
      </c>
      <c r="B412" t="s">
        <v>6755</v>
      </c>
      <c r="C412" s="1">
        <v>42815</v>
      </c>
      <c r="D412" s="22">
        <f>MONTH(Table3[[#This Row],[Order Date]])</f>
        <v>3</v>
      </c>
      <c r="E412" t="s">
        <v>5673</v>
      </c>
      <c r="F412" t="s">
        <v>5674</v>
      </c>
      <c r="G412" s="23" t="s">
        <v>28</v>
      </c>
      <c r="H412" s="23" t="s">
        <v>32</v>
      </c>
      <c r="I412" t="s">
        <v>431</v>
      </c>
      <c r="J412" t="s">
        <v>22</v>
      </c>
      <c r="K412" s="22">
        <v>6</v>
      </c>
      <c r="L412" s="1">
        <v>42821</v>
      </c>
      <c r="M412" s="22">
        <f>Table3[[#This Row],[Ship Date]]-Table3[[#This Row],[Order Date]]</f>
        <v>6</v>
      </c>
      <c r="N412" s="23" t="s">
        <v>45</v>
      </c>
      <c r="O412" s="23" t="s">
        <v>23</v>
      </c>
      <c r="P412" s="23" t="s">
        <v>573</v>
      </c>
      <c r="Q412" s="23" t="s">
        <v>95</v>
      </c>
      <c r="R412" s="23" t="s">
        <v>4017</v>
      </c>
      <c r="S412" s="33">
        <v>0</v>
      </c>
      <c r="T412" s="13">
        <v>1805.88</v>
      </c>
      <c r="U412" s="13">
        <v>523.70519999999999</v>
      </c>
      <c r="V412" s="55">
        <f>Table3[[#This Row],[Profit]]/Table3[[#This Row],[Sales]]</f>
        <v>0.28999999999999998</v>
      </c>
    </row>
    <row r="413" spans="1:22" x14ac:dyDescent="0.2">
      <c r="A413">
        <v>412</v>
      </c>
      <c r="B413" t="s">
        <v>7405</v>
      </c>
      <c r="C413" s="1">
        <v>42815</v>
      </c>
      <c r="D413" s="22">
        <f>MONTH(Table3[[#This Row],[Order Date]])</f>
        <v>3</v>
      </c>
      <c r="E413" t="s">
        <v>894</v>
      </c>
      <c r="F413" t="s">
        <v>895</v>
      </c>
      <c r="G413" s="23" t="s">
        <v>41</v>
      </c>
      <c r="H413" s="23" t="s">
        <v>53</v>
      </c>
      <c r="I413" t="s">
        <v>460</v>
      </c>
      <c r="J413" t="s">
        <v>22</v>
      </c>
      <c r="K413" s="22">
        <v>4</v>
      </c>
      <c r="L413" s="1">
        <v>42817</v>
      </c>
      <c r="M413" s="22">
        <f>Table3[[#This Row],[Ship Date]]-Table3[[#This Row],[Order Date]]</f>
        <v>2</v>
      </c>
      <c r="N413" s="23" t="s">
        <v>20</v>
      </c>
      <c r="O413" s="23" t="s">
        <v>23</v>
      </c>
      <c r="P413" s="23" t="s">
        <v>38</v>
      </c>
      <c r="Q413" s="23" t="s">
        <v>39</v>
      </c>
      <c r="R413" s="23" t="s">
        <v>37</v>
      </c>
      <c r="S413" s="33">
        <v>0</v>
      </c>
      <c r="T413" s="13">
        <v>725.84</v>
      </c>
      <c r="U413" s="13">
        <v>210.49359999999999</v>
      </c>
      <c r="V413" s="55">
        <f>Table3[[#This Row],[Profit]]/Table3[[#This Row],[Sales]]</f>
        <v>0.28999999999999998</v>
      </c>
    </row>
    <row r="414" spans="1:22" x14ac:dyDescent="0.2">
      <c r="A414">
        <v>413</v>
      </c>
      <c r="B414" t="s">
        <v>7405</v>
      </c>
      <c r="C414" s="1">
        <v>42815</v>
      </c>
      <c r="D414" s="22">
        <f>MONTH(Table3[[#This Row],[Order Date]])</f>
        <v>3</v>
      </c>
      <c r="E414" t="s">
        <v>436</v>
      </c>
      <c r="F414" t="s">
        <v>437</v>
      </c>
      <c r="G414" s="23" t="s">
        <v>41</v>
      </c>
      <c r="H414" s="23" t="s">
        <v>68</v>
      </c>
      <c r="I414" t="s">
        <v>460</v>
      </c>
      <c r="J414" t="s">
        <v>22</v>
      </c>
      <c r="K414" s="22">
        <v>3</v>
      </c>
      <c r="L414" s="1">
        <v>42817</v>
      </c>
      <c r="M414" s="22">
        <f>Table3[[#This Row],[Ship Date]]-Table3[[#This Row],[Order Date]]</f>
        <v>2</v>
      </c>
      <c r="N414" s="23" t="s">
        <v>20</v>
      </c>
      <c r="O414" s="23" t="s">
        <v>23</v>
      </c>
      <c r="P414" s="23" t="s">
        <v>38</v>
      </c>
      <c r="Q414" s="23" t="s">
        <v>39</v>
      </c>
      <c r="R414" s="23" t="s">
        <v>37</v>
      </c>
      <c r="S414" s="33">
        <v>0.2</v>
      </c>
      <c r="T414" s="13">
        <v>10.896000000000001</v>
      </c>
      <c r="U414" s="13">
        <v>3.9498000000000002</v>
      </c>
      <c r="V414" s="55">
        <f>Table3[[#This Row],[Profit]]/Table3[[#This Row],[Sales]]</f>
        <v>0.36249999999999999</v>
      </c>
    </row>
    <row r="415" spans="1:22" x14ac:dyDescent="0.2">
      <c r="A415">
        <v>414</v>
      </c>
      <c r="B415" t="s">
        <v>7405</v>
      </c>
      <c r="C415" s="1">
        <v>42815</v>
      </c>
      <c r="D415" s="22">
        <f>MONTH(Table3[[#This Row],[Order Date]])</f>
        <v>3</v>
      </c>
      <c r="E415" t="s">
        <v>3023</v>
      </c>
      <c r="F415" t="s">
        <v>3024</v>
      </c>
      <c r="G415" s="23" t="s">
        <v>41</v>
      </c>
      <c r="H415" s="23" t="s">
        <v>68</v>
      </c>
      <c r="I415" t="s">
        <v>460</v>
      </c>
      <c r="J415" t="s">
        <v>22</v>
      </c>
      <c r="K415" s="22">
        <v>2</v>
      </c>
      <c r="L415" s="1">
        <v>42817</v>
      </c>
      <c r="M415" s="22">
        <f>Table3[[#This Row],[Ship Date]]-Table3[[#This Row],[Order Date]]</f>
        <v>2</v>
      </c>
      <c r="N415" s="23" t="s">
        <v>20</v>
      </c>
      <c r="O415" s="23" t="s">
        <v>23</v>
      </c>
      <c r="P415" s="23" t="s">
        <v>38</v>
      </c>
      <c r="Q415" s="23" t="s">
        <v>39</v>
      </c>
      <c r="R415" s="23" t="s">
        <v>37</v>
      </c>
      <c r="S415" s="33">
        <v>0.2</v>
      </c>
      <c r="T415" s="13">
        <v>8.5440000000000005</v>
      </c>
      <c r="U415" s="13">
        <v>2.8835999999999999</v>
      </c>
      <c r="V415" s="55">
        <f>Table3[[#This Row],[Profit]]/Table3[[#This Row],[Sales]]</f>
        <v>0.33749999999999997</v>
      </c>
    </row>
    <row r="416" spans="1:22" x14ac:dyDescent="0.2">
      <c r="A416">
        <v>415</v>
      </c>
      <c r="B416" t="s">
        <v>9209</v>
      </c>
      <c r="C416" s="1">
        <v>42815</v>
      </c>
      <c r="D416" s="22">
        <f>MONTH(Table3[[#This Row],[Order Date]])</f>
        <v>3</v>
      </c>
      <c r="E416" t="s">
        <v>5291</v>
      </c>
      <c r="F416" t="s">
        <v>5292</v>
      </c>
      <c r="G416" s="23" t="s">
        <v>41</v>
      </c>
      <c r="H416" s="23" t="s">
        <v>71</v>
      </c>
      <c r="I416" t="s">
        <v>3427</v>
      </c>
      <c r="J416" t="s">
        <v>36</v>
      </c>
      <c r="K416" s="22">
        <v>1</v>
      </c>
      <c r="L416" s="1">
        <v>42821</v>
      </c>
      <c r="M416" s="22">
        <f>Table3[[#This Row],[Ship Date]]-Table3[[#This Row],[Order Date]]</f>
        <v>6</v>
      </c>
      <c r="N416" s="23" t="s">
        <v>45</v>
      </c>
      <c r="O416" s="23" t="s">
        <v>23</v>
      </c>
      <c r="P416" s="23" t="s">
        <v>48</v>
      </c>
      <c r="Q416" s="23" t="s">
        <v>26</v>
      </c>
      <c r="R416" s="23" t="s">
        <v>5303</v>
      </c>
      <c r="S416" s="33">
        <v>0.2</v>
      </c>
      <c r="T416" s="13">
        <v>64.384</v>
      </c>
      <c r="U416" s="13">
        <v>8.048</v>
      </c>
      <c r="V416" s="55">
        <f>Table3[[#This Row],[Profit]]/Table3[[#This Row],[Sales]]</f>
        <v>0.125</v>
      </c>
    </row>
    <row r="417" spans="1:22" x14ac:dyDescent="0.2">
      <c r="A417">
        <v>416</v>
      </c>
      <c r="B417" t="s">
        <v>9477</v>
      </c>
      <c r="C417" s="1">
        <v>42815</v>
      </c>
      <c r="D417" s="22">
        <f>MONTH(Table3[[#This Row],[Order Date]])</f>
        <v>3</v>
      </c>
      <c r="E417" t="s">
        <v>1497</v>
      </c>
      <c r="F417" t="s">
        <v>1498</v>
      </c>
      <c r="G417" s="23" t="s">
        <v>41</v>
      </c>
      <c r="H417" s="23" t="s">
        <v>155</v>
      </c>
      <c r="I417" t="s">
        <v>245</v>
      </c>
      <c r="J417" t="s">
        <v>22</v>
      </c>
      <c r="K417" s="22">
        <v>3</v>
      </c>
      <c r="L417" s="1">
        <v>42817</v>
      </c>
      <c r="M417" s="22">
        <f>Table3[[#This Row],[Ship Date]]-Table3[[#This Row],[Order Date]]</f>
        <v>2</v>
      </c>
      <c r="N417" s="23" t="s">
        <v>20</v>
      </c>
      <c r="O417" s="23" t="s">
        <v>23</v>
      </c>
      <c r="P417" s="23" t="s">
        <v>132</v>
      </c>
      <c r="Q417" s="23" t="s">
        <v>133</v>
      </c>
      <c r="R417" s="23" t="s">
        <v>4223</v>
      </c>
      <c r="S417" s="33">
        <v>0.2</v>
      </c>
      <c r="T417" s="13">
        <v>8.8559999999999999</v>
      </c>
      <c r="U417" s="13">
        <v>2.8782000000000001</v>
      </c>
      <c r="V417" s="55">
        <f>Table3[[#This Row],[Profit]]/Table3[[#This Row],[Sales]]</f>
        <v>0.32500000000000001</v>
      </c>
    </row>
    <row r="418" spans="1:22" x14ac:dyDescent="0.2">
      <c r="A418">
        <v>417</v>
      </c>
      <c r="B418" t="s">
        <v>9784</v>
      </c>
      <c r="C418" s="1">
        <v>42815</v>
      </c>
      <c r="D418" s="22">
        <f>MONTH(Table3[[#This Row],[Order Date]])</f>
        <v>3</v>
      </c>
      <c r="E418" t="s">
        <v>227</v>
      </c>
      <c r="F418" t="s">
        <v>228</v>
      </c>
      <c r="G418" s="23" t="s">
        <v>41</v>
      </c>
      <c r="H418" s="23" t="s">
        <v>68</v>
      </c>
      <c r="I418" t="s">
        <v>270</v>
      </c>
      <c r="J418" t="s">
        <v>92</v>
      </c>
      <c r="K418" s="22">
        <v>6</v>
      </c>
      <c r="L418" s="1">
        <v>42819</v>
      </c>
      <c r="M418" s="22">
        <f>Table3[[#This Row],[Ship Date]]-Table3[[#This Row],[Order Date]]</f>
        <v>4</v>
      </c>
      <c r="N418" s="23" t="s">
        <v>45</v>
      </c>
      <c r="O418" s="23" t="s">
        <v>23</v>
      </c>
      <c r="P418" s="23" t="s">
        <v>87</v>
      </c>
      <c r="Q418" s="23" t="s">
        <v>39</v>
      </c>
      <c r="R418" s="23" t="s">
        <v>86</v>
      </c>
      <c r="S418" s="33">
        <v>0.2</v>
      </c>
      <c r="T418" s="13">
        <v>30.576000000000001</v>
      </c>
      <c r="U418" s="13">
        <v>10.3194</v>
      </c>
      <c r="V418" s="55">
        <f>Table3[[#This Row],[Profit]]/Table3[[#This Row],[Sales]]</f>
        <v>0.33749999999999997</v>
      </c>
    </row>
    <row r="419" spans="1:22" x14ac:dyDescent="0.2">
      <c r="A419">
        <v>418</v>
      </c>
      <c r="B419" t="s">
        <v>9784</v>
      </c>
      <c r="C419" s="1">
        <v>42815</v>
      </c>
      <c r="D419" s="22">
        <f>MONTH(Table3[[#This Row],[Order Date]])</f>
        <v>3</v>
      </c>
      <c r="E419" t="s">
        <v>2764</v>
      </c>
      <c r="F419" t="s">
        <v>2765</v>
      </c>
      <c r="G419" s="23" t="s">
        <v>41</v>
      </c>
      <c r="H419" s="23" t="s">
        <v>240</v>
      </c>
      <c r="I419" t="s">
        <v>270</v>
      </c>
      <c r="J419" t="s">
        <v>92</v>
      </c>
      <c r="K419" s="22">
        <v>7</v>
      </c>
      <c r="L419" s="1">
        <v>42819</v>
      </c>
      <c r="M419" s="22">
        <f>Table3[[#This Row],[Ship Date]]-Table3[[#This Row],[Order Date]]</f>
        <v>4</v>
      </c>
      <c r="N419" s="23" t="s">
        <v>45</v>
      </c>
      <c r="O419" s="23" t="s">
        <v>23</v>
      </c>
      <c r="P419" s="23" t="s">
        <v>87</v>
      </c>
      <c r="Q419" s="23" t="s">
        <v>39</v>
      </c>
      <c r="R419" s="23" t="s">
        <v>86</v>
      </c>
      <c r="S419" s="33">
        <v>0</v>
      </c>
      <c r="T419" s="13">
        <v>13.02</v>
      </c>
      <c r="U419" s="13">
        <v>0.3906</v>
      </c>
      <c r="V419" s="55">
        <f>Table3[[#This Row],[Profit]]/Table3[[#This Row],[Sales]]</f>
        <v>3.0000000000000002E-2</v>
      </c>
    </row>
    <row r="420" spans="1:22" x14ac:dyDescent="0.2">
      <c r="A420">
        <v>419</v>
      </c>
      <c r="B420" t="s">
        <v>9784</v>
      </c>
      <c r="C420" s="1">
        <v>42815</v>
      </c>
      <c r="D420" s="22">
        <f>MONTH(Table3[[#This Row],[Order Date]])</f>
        <v>3</v>
      </c>
      <c r="E420" t="s">
        <v>4489</v>
      </c>
      <c r="F420" t="s">
        <v>4490</v>
      </c>
      <c r="G420" s="23" t="s">
        <v>28</v>
      </c>
      <c r="H420" s="23" t="s">
        <v>58</v>
      </c>
      <c r="I420" t="s">
        <v>270</v>
      </c>
      <c r="J420" t="s">
        <v>92</v>
      </c>
      <c r="K420" s="22">
        <v>3</v>
      </c>
      <c r="L420" s="1">
        <v>42819</v>
      </c>
      <c r="M420" s="22">
        <f>Table3[[#This Row],[Ship Date]]-Table3[[#This Row],[Order Date]]</f>
        <v>4</v>
      </c>
      <c r="N420" s="23" t="s">
        <v>45</v>
      </c>
      <c r="O420" s="23" t="s">
        <v>23</v>
      </c>
      <c r="P420" s="23" t="s">
        <v>87</v>
      </c>
      <c r="Q420" s="23" t="s">
        <v>39</v>
      </c>
      <c r="R420" s="23" t="s">
        <v>86</v>
      </c>
      <c r="S420" s="33">
        <v>0</v>
      </c>
      <c r="T420" s="13">
        <v>22.14</v>
      </c>
      <c r="U420" s="13">
        <v>6.4206000000000003</v>
      </c>
      <c r="V420" s="55">
        <f>Table3[[#This Row],[Profit]]/Table3[[#This Row],[Sales]]</f>
        <v>0.28999999999999998</v>
      </c>
    </row>
    <row r="421" spans="1:22" x14ac:dyDescent="0.2">
      <c r="A421">
        <v>420</v>
      </c>
      <c r="B421" t="s">
        <v>9784</v>
      </c>
      <c r="C421" s="1">
        <v>42815</v>
      </c>
      <c r="D421" s="22">
        <f>MONTH(Table3[[#This Row],[Order Date]])</f>
        <v>3</v>
      </c>
      <c r="E421" t="s">
        <v>1495</v>
      </c>
      <c r="F421" t="s">
        <v>1496</v>
      </c>
      <c r="G421" s="23" t="s">
        <v>41</v>
      </c>
      <c r="H421" s="23" t="s">
        <v>53</v>
      </c>
      <c r="I421" t="s">
        <v>270</v>
      </c>
      <c r="J421" t="s">
        <v>92</v>
      </c>
      <c r="K421" s="22">
        <v>4</v>
      </c>
      <c r="L421" s="1">
        <v>42819</v>
      </c>
      <c r="M421" s="22">
        <f>Table3[[#This Row],[Ship Date]]-Table3[[#This Row],[Order Date]]</f>
        <v>4</v>
      </c>
      <c r="N421" s="23" t="s">
        <v>45</v>
      </c>
      <c r="O421" s="23" t="s">
        <v>23</v>
      </c>
      <c r="P421" s="23" t="s">
        <v>87</v>
      </c>
      <c r="Q421" s="23" t="s">
        <v>39</v>
      </c>
      <c r="R421" s="23" t="s">
        <v>86</v>
      </c>
      <c r="S421" s="33">
        <v>0</v>
      </c>
      <c r="T421" s="13">
        <v>359.32</v>
      </c>
      <c r="U421" s="13">
        <v>7.1863999999999999</v>
      </c>
      <c r="V421" s="55">
        <f>Table3[[#This Row],[Profit]]/Table3[[#This Row],[Sales]]</f>
        <v>0.02</v>
      </c>
    </row>
    <row r="422" spans="1:22" x14ac:dyDescent="0.2">
      <c r="A422">
        <v>421</v>
      </c>
      <c r="B422" t="s">
        <v>4848</v>
      </c>
      <c r="C422" s="1">
        <v>42817</v>
      </c>
      <c r="D422" s="22">
        <f>MONTH(Table3[[#This Row],[Order Date]])</f>
        <v>3</v>
      </c>
      <c r="E422" t="s">
        <v>3843</v>
      </c>
      <c r="F422" t="s">
        <v>3844</v>
      </c>
      <c r="G422" s="23" t="s">
        <v>28</v>
      </c>
      <c r="H422" s="23" t="s">
        <v>58</v>
      </c>
      <c r="I422" t="s">
        <v>2457</v>
      </c>
      <c r="J422" t="s">
        <v>92</v>
      </c>
      <c r="K422" s="22">
        <v>8</v>
      </c>
      <c r="L422" s="1">
        <v>42819</v>
      </c>
      <c r="M422" s="22">
        <f>Table3[[#This Row],[Ship Date]]-Table3[[#This Row],[Order Date]]</f>
        <v>2</v>
      </c>
      <c r="N422" s="23" t="s">
        <v>169</v>
      </c>
      <c r="O422" s="23" t="s">
        <v>23</v>
      </c>
      <c r="P422" s="23" t="s">
        <v>38</v>
      </c>
      <c r="Q422" s="23" t="s">
        <v>39</v>
      </c>
      <c r="R422" s="23" t="s">
        <v>114</v>
      </c>
      <c r="S422" s="33">
        <v>0</v>
      </c>
      <c r="T422" s="13">
        <v>211.84</v>
      </c>
      <c r="U422" s="13">
        <v>76.2624</v>
      </c>
      <c r="V422" s="55">
        <f>Table3[[#This Row],[Profit]]/Table3[[#This Row],[Sales]]</f>
        <v>0.36</v>
      </c>
    </row>
    <row r="423" spans="1:22" x14ac:dyDescent="0.2">
      <c r="A423">
        <v>422</v>
      </c>
      <c r="B423" t="s">
        <v>5363</v>
      </c>
      <c r="C423" s="1">
        <v>42817</v>
      </c>
      <c r="D423" s="22">
        <f>MONTH(Table3[[#This Row],[Order Date]])</f>
        <v>3</v>
      </c>
      <c r="E423" t="s">
        <v>1495</v>
      </c>
      <c r="F423" t="s">
        <v>1496</v>
      </c>
      <c r="G423" s="23" t="s">
        <v>41</v>
      </c>
      <c r="H423" s="23" t="s">
        <v>53</v>
      </c>
      <c r="I423" t="s">
        <v>5364</v>
      </c>
      <c r="J423" t="s">
        <v>22</v>
      </c>
      <c r="K423" s="22">
        <v>2</v>
      </c>
      <c r="L423" s="1">
        <v>42821</v>
      </c>
      <c r="M423" s="22">
        <f>Table3[[#This Row],[Ship Date]]-Table3[[#This Row],[Order Date]]</f>
        <v>4</v>
      </c>
      <c r="N423" s="23" t="s">
        <v>45</v>
      </c>
      <c r="O423" s="23" t="s">
        <v>23</v>
      </c>
      <c r="P423" s="23" t="s">
        <v>94</v>
      </c>
      <c r="Q423" s="23" t="s">
        <v>95</v>
      </c>
      <c r="R423" s="23" t="s">
        <v>1488</v>
      </c>
      <c r="S423" s="33">
        <v>0.2</v>
      </c>
      <c r="T423" s="13">
        <v>143.72800000000001</v>
      </c>
      <c r="U423" s="13">
        <v>-32.338799999999999</v>
      </c>
      <c r="V423" s="55">
        <f>Table3[[#This Row],[Profit]]/Table3[[#This Row],[Sales]]</f>
        <v>-0.22499999999999998</v>
      </c>
    </row>
    <row r="424" spans="1:22" x14ac:dyDescent="0.2">
      <c r="A424">
        <v>423</v>
      </c>
      <c r="B424" t="s">
        <v>5638</v>
      </c>
      <c r="C424" s="1">
        <v>42817</v>
      </c>
      <c r="D424" s="22">
        <f>MONTH(Table3[[#This Row],[Order Date]])</f>
        <v>3</v>
      </c>
      <c r="E424" t="s">
        <v>5640</v>
      </c>
      <c r="F424" t="s">
        <v>5641</v>
      </c>
      <c r="G424" s="23" t="s">
        <v>41</v>
      </c>
      <c r="H424" s="23" t="s">
        <v>82</v>
      </c>
      <c r="I424" t="s">
        <v>5639</v>
      </c>
      <c r="J424" t="s">
        <v>22</v>
      </c>
      <c r="K424" s="22">
        <v>6</v>
      </c>
      <c r="L424" s="1">
        <v>42823</v>
      </c>
      <c r="M424" s="22">
        <f>Table3[[#This Row],[Ship Date]]-Table3[[#This Row],[Order Date]]</f>
        <v>6</v>
      </c>
      <c r="N424" s="23" t="s">
        <v>45</v>
      </c>
      <c r="O424" s="23" t="s">
        <v>23</v>
      </c>
      <c r="P424" s="23" t="s">
        <v>238</v>
      </c>
      <c r="Q424" s="23" t="s">
        <v>133</v>
      </c>
      <c r="R424" s="23" t="s">
        <v>237</v>
      </c>
      <c r="S424" s="33">
        <v>0</v>
      </c>
      <c r="T424" s="13">
        <v>25.68</v>
      </c>
      <c r="U424" s="13">
        <v>11.555999999999999</v>
      </c>
      <c r="V424" s="55">
        <f>Table3[[#This Row],[Profit]]/Table3[[#This Row],[Sales]]</f>
        <v>0.44999999999999996</v>
      </c>
    </row>
    <row r="425" spans="1:22" x14ac:dyDescent="0.2">
      <c r="A425">
        <v>424</v>
      </c>
      <c r="B425" t="s">
        <v>7195</v>
      </c>
      <c r="C425" s="1">
        <v>42817</v>
      </c>
      <c r="D425" s="22">
        <f>MONTH(Table3[[#This Row],[Order Date]])</f>
        <v>3</v>
      </c>
      <c r="E425" t="s">
        <v>1422</v>
      </c>
      <c r="F425" t="s">
        <v>1423</v>
      </c>
      <c r="G425" s="23" t="s">
        <v>41</v>
      </c>
      <c r="H425" s="23" t="s">
        <v>513</v>
      </c>
      <c r="I425" t="s">
        <v>683</v>
      </c>
      <c r="J425" t="s">
        <v>36</v>
      </c>
      <c r="K425" s="22">
        <v>3</v>
      </c>
      <c r="L425" s="1">
        <v>42819</v>
      </c>
      <c r="M425" s="22">
        <f>Table3[[#This Row],[Ship Date]]-Table3[[#This Row],[Order Date]]</f>
        <v>2</v>
      </c>
      <c r="N425" s="23" t="s">
        <v>20</v>
      </c>
      <c r="O425" s="23" t="s">
        <v>23</v>
      </c>
      <c r="P425" s="23" t="s">
        <v>238</v>
      </c>
      <c r="Q425" s="23" t="s">
        <v>133</v>
      </c>
      <c r="R425" s="23" t="s">
        <v>237</v>
      </c>
      <c r="S425" s="33">
        <v>0</v>
      </c>
      <c r="T425" s="13">
        <v>347.58</v>
      </c>
      <c r="U425" s="13">
        <v>17.379000000000001</v>
      </c>
      <c r="V425" s="55">
        <f>Table3[[#This Row],[Profit]]/Table3[[#This Row],[Sales]]</f>
        <v>0.05</v>
      </c>
    </row>
    <row r="426" spans="1:22" x14ac:dyDescent="0.2">
      <c r="A426">
        <v>425</v>
      </c>
      <c r="B426" t="s">
        <v>7636</v>
      </c>
      <c r="C426" s="1">
        <v>42817</v>
      </c>
      <c r="D426" s="22">
        <f>MONTH(Table3[[#This Row],[Order Date]])</f>
        <v>3</v>
      </c>
      <c r="E426" t="s">
        <v>1811</v>
      </c>
      <c r="F426" t="s">
        <v>1812</v>
      </c>
      <c r="G426" s="23" t="s">
        <v>41</v>
      </c>
      <c r="H426" s="23" t="s">
        <v>68</v>
      </c>
      <c r="I426" t="s">
        <v>2341</v>
      </c>
      <c r="J426" t="s">
        <v>92</v>
      </c>
      <c r="K426" s="22">
        <v>5</v>
      </c>
      <c r="L426" s="1">
        <v>42820</v>
      </c>
      <c r="M426" s="22">
        <f>Table3[[#This Row],[Ship Date]]-Table3[[#This Row],[Order Date]]</f>
        <v>3</v>
      </c>
      <c r="N426" s="23" t="s">
        <v>169</v>
      </c>
      <c r="O426" s="23" t="s">
        <v>23</v>
      </c>
      <c r="P426" s="23" t="s">
        <v>87</v>
      </c>
      <c r="Q426" s="23" t="s">
        <v>39</v>
      </c>
      <c r="R426" s="23" t="s">
        <v>86</v>
      </c>
      <c r="S426" s="33">
        <v>0.2</v>
      </c>
      <c r="T426" s="13">
        <v>34.76</v>
      </c>
      <c r="U426" s="13">
        <v>11.297000000000001</v>
      </c>
      <c r="V426" s="55">
        <f>Table3[[#This Row],[Profit]]/Table3[[#This Row],[Sales]]</f>
        <v>0.32500000000000001</v>
      </c>
    </row>
    <row r="427" spans="1:22" x14ac:dyDescent="0.2">
      <c r="A427">
        <v>426</v>
      </c>
      <c r="B427" t="s">
        <v>9080</v>
      </c>
      <c r="C427" s="1">
        <v>42817</v>
      </c>
      <c r="D427" s="22">
        <f>MONTH(Table3[[#This Row],[Order Date]])</f>
        <v>3</v>
      </c>
      <c r="E427" t="s">
        <v>2473</v>
      </c>
      <c r="F427" t="s">
        <v>2474</v>
      </c>
      <c r="G427" s="23" t="s">
        <v>41</v>
      </c>
      <c r="H427" s="23" t="s">
        <v>53</v>
      </c>
      <c r="I427" t="s">
        <v>1379</v>
      </c>
      <c r="J427" t="s">
        <v>22</v>
      </c>
      <c r="K427" s="22">
        <v>2</v>
      </c>
      <c r="L427" s="1">
        <v>42819</v>
      </c>
      <c r="M427" s="22">
        <f>Table3[[#This Row],[Ship Date]]-Table3[[#This Row],[Order Date]]</f>
        <v>2</v>
      </c>
      <c r="N427" s="23" t="s">
        <v>169</v>
      </c>
      <c r="O427" s="23" t="s">
        <v>23</v>
      </c>
      <c r="P427" s="23" t="s">
        <v>87</v>
      </c>
      <c r="Q427" s="23" t="s">
        <v>39</v>
      </c>
      <c r="R427" s="23" t="s">
        <v>86</v>
      </c>
      <c r="S427" s="33">
        <v>0</v>
      </c>
      <c r="T427" s="13">
        <v>32.479999999999997</v>
      </c>
      <c r="U427" s="13">
        <v>4.8719999999999999</v>
      </c>
      <c r="V427" s="55">
        <f>Table3[[#This Row],[Profit]]/Table3[[#This Row],[Sales]]</f>
        <v>0.15000000000000002</v>
      </c>
    </row>
    <row r="428" spans="1:22" x14ac:dyDescent="0.2">
      <c r="A428">
        <v>427</v>
      </c>
      <c r="B428" t="s">
        <v>9080</v>
      </c>
      <c r="C428" s="1">
        <v>42817</v>
      </c>
      <c r="D428" s="22">
        <f>MONTH(Table3[[#This Row],[Order Date]])</f>
        <v>3</v>
      </c>
      <c r="E428" t="s">
        <v>1650</v>
      </c>
      <c r="F428" t="s">
        <v>1651</v>
      </c>
      <c r="G428" s="23" t="s">
        <v>41</v>
      </c>
      <c r="H428" s="23" t="s">
        <v>82</v>
      </c>
      <c r="I428" t="s">
        <v>1379</v>
      </c>
      <c r="J428" t="s">
        <v>22</v>
      </c>
      <c r="K428" s="22">
        <v>3</v>
      </c>
      <c r="L428" s="1">
        <v>42819</v>
      </c>
      <c r="M428" s="22">
        <f>Table3[[#This Row],[Ship Date]]-Table3[[#This Row],[Order Date]]</f>
        <v>2</v>
      </c>
      <c r="N428" s="23" t="s">
        <v>169</v>
      </c>
      <c r="O428" s="23" t="s">
        <v>23</v>
      </c>
      <c r="P428" s="23" t="s">
        <v>87</v>
      </c>
      <c r="Q428" s="23" t="s">
        <v>39</v>
      </c>
      <c r="R428" s="23" t="s">
        <v>86</v>
      </c>
      <c r="S428" s="33">
        <v>0</v>
      </c>
      <c r="T428" s="13">
        <v>20.04</v>
      </c>
      <c r="U428" s="13">
        <v>9.6191999999999993</v>
      </c>
      <c r="V428" s="55">
        <f>Table3[[#This Row],[Profit]]/Table3[[#This Row],[Sales]]</f>
        <v>0.48</v>
      </c>
    </row>
    <row r="429" spans="1:22" x14ac:dyDescent="0.2">
      <c r="A429">
        <v>428</v>
      </c>
      <c r="B429" t="s">
        <v>9080</v>
      </c>
      <c r="C429" s="1">
        <v>42817</v>
      </c>
      <c r="D429" s="22">
        <f>MONTH(Table3[[#This Row],[Order Date]])</f>
        <v>3</v>
      </c>
      <c r="E429" t="s">
        <v>5105</v>
      </c>
      <c r="F429" t="s">
        <v>5106</v>
      </c>
      <c r="G429" s="23" t="s">
        <v>64</v>
      </c>
      <c r="H429" s="23" t="s">
        <v>1075</v>
      </c>
      <c r="I429" t="s">
        <v>1379</v>
      </c>
      <c r="J429" t="s">
        <v>22</v>
      </c>
      <c r="K429" s="22">
        <v>4</v>
      </c>
      <c r="L429" s="1">
        <v>42819</v>
      </c>
      <c r="M429" s="22">
        <f>Table3[[#This Row],[Ship Date]]-Table3[[#This Row],[Order Date]]</f>
        <v>2</v>
      </c>
      <c r="N429" s="23" t="s">
        <v>169</v>
      </c>
      <c r="O429" s="23" t="s">
        <v>23</v>
      </c>
      <c r="P429" s="23" t="s">
        <v>87</v>
      </c>
      <c r="Q429" s="23" t="s">
        <v>39</v>
      </c>
      <c r="R429" s="23" t="s">
        <v>86</v>
      </c>
      <c r="S429" s="33">
        <v>0</v>
      </c>
      <c r="T429" s="13">
        <v>13999.96</v>
      </c>
      <c r="U429" s="13">
        <v>6719.9808000000003</v>
      </c>
      <c r="V429" s="55">
        <f>Table3[[#This Row],[Profit]]/Table3[[#This Row],[Sales]]</f>
        <v>0.48000000000000004</v>
      </c>
    </row>
    <row r="430" spans="1:22" x14ac:dyDescent="0.2">
      <c r="A430">
        <v>429</v>
      </c>
      <c r="B430" t="s">
        <v>4439</v>
      </c>
      <c r="C430" s="1">
        <v>42818</v>
      </c>
      <c r="D430" s="22">
        <f>MONTH(Table3[[#This Row],[Order Date]])</f>
        <v>3</v>
      </c>
      <c r="E430" t="s">
        <v>1532</v>
      </c>
      <c r="F430" t="s">
        <v>4440</v>
      </c>
      <c r="G430" s="23" t="s">
        <v>41</v>
      </c>
      <c r="H430" s="23" t="s">
        <v>82</v>
      </c>
      <c r="I430" t="s">
        <v>2296</v>
      </c>
      <c r="J430" t="s">
        <v>36</v>
      </c>
      <c r="K430" s="22">
        <v>4</v>
      </c>
      <c r="L430" s="1">
        <v>42822</v>
      </c>
      <c r="M430" s="22">
        <f>Table3[[#This Row],[Ship Date]]-Table3[[#This Row],[Order Date]]</f>
        <v>4</v>
      </c>
      <c r="N430" s="23" t="s">
        <v>20</v>
      </c>
      <c r="O430" s="23" t="s">
        <v>23</v>
      </c>
      <c r="P430" s="23" t="s">
        <v>238</v>
      </c>
      <c r="Q430" s="23" t="s">
        <v>133</v>
      </c>
      <c r="R430" s="23" t="s">
        <v>237</v>
      </c>
      <c r="S430" s="33">
        <v>0</v>
      </c>
      <c r="T430" s="13">
        <v>221.92</v>
      </c>
      <c r="U430" s="13">
        <v>106.52160000000001</v>
      </c>
      <c r="V430" s="55">
        <f>Table3[[#This Row],[Profit]]/Table3[[#This Row],[Sales]]</f>
        <v>0.48000000000000004</v>
      </c>
    </row>
    <row r="431" spans="1:22" x14ac:dyDescent="0.2">
      <c r="A431">
        <v>430</v>
      </c>
      <c r="B431" t="s">
        <v>4439</v>
      </c>
      <c r="C431" s="1">
        <v>42818</v>
      </c>
      <c r="D431" s="22">
        <f>MONTH(Table3[[#This Row],[Order Date]])</f>
        <v>3</v>
      </c>
      <c r="E431" t="s">
        <v>743</v>
      </c>
      <c r="F431" t="s">
        <v>744</v>
      </c>
      <c r="G431" s="23" t="s">
        <v>64</v>
      </c>
      <c r="H431" s="23" t="s">
        <v>144</v>
      </c>
      <c r="I431" t="s">
        <v>2296</v>
      </c>
      <c r="J431" t="s">
        <v>36</v>
      </c>
      <c r="K431" s="22">
        <v>2</v>
      </c>
      <c r="L431" s="1">
        <v>42822</v>
      </c>
      <c r="M431" s="22">
        <f>Table3[[#This Row],[Ship Date]]-Table3[[#This Row],[Order Date]]</f>
        <v>4</v>
      </c>
      <c r="N431" s="23" t="s">
        <v>20</v>
      </c>
      <c r="O431" s="23" t="s">
        <v>23</v>
      </c>
      <c r="P431" s="23" t="s">
        <v>238</v>
      </c>
      <c r="Q431" s="23" t="s">
        <v>133</v>
      </c>
      <c r="R431" s="23" t="s">
        <v>237</v>
      </c>
      <c r="S431" s="33">
        <v>0</v>
      </c>
      <c r="T431" s="13">
        <v>26</v>
      </c>
      <c r="U431" s="13">
        <v>11.7</v>
      </c>
      <c r="V431" s="55">
        <f>Table3[[#This Row],[Profit]]/Table3[[#This Row],[Sales]]</f>
        <v>0.44999999999999996</v>
      </c>
    </row>
    <row r="432" spans="1:22" x14ac:dyDescent="0.2">
      <c r="A432">
        <v>431</v>
      </c>
      <c r="B432" t="s">
        <v>8896</v>
      </c>
      <c r="C432" s="1">
        <v>42818</v>
      </c>
      <c r="D432" s="22">
        <f>MONTH(Table3[[#This Row],[Order Date]])</f>
        <v>3</v>
      </c>
      <c r="E432" t="s">
        <v>4962</v>
      </c>
      <c r="F432" t="s">
        <v>4963</v>
      </c>
      <c r="G432" s="23" t="s">
        <v>41</v>
      </c>
      <c r="H432" s="23" t="s">
        <v>155</v>
      </c>
      <c r="I432" t="s">
        <v>2992</v>
      </c>
      <c r="J432" t="s">
        <v>36</v>
      </c>
      <c r="K432" s="22">
        <v>3</v>
      </c>
      <c r="L432" s="1">
        <v>42821</v>
      </c>
      <c r="M432" s="22">
        <f>Table3[[#This Row],[Ship Date]]-Table3[[#This Row],[Order Date]]</f>
        <v>3</v>
      </c>
      <c r="N432" s="23" t="s">
        <v>169</v>
      </c>
      <c r="O432" s="23" t="s">
        <v>23</v>
      </c>
      <c r="P432" s="23" t="s">
        <v>238</v>
      </c>
      <c r="Q432" s="23" t="s">
        <v>133</v>
      </c>
      <c r="R432" s="23" t="s">
        <v>237</v>
      </c>
      <c r="S432" s="33">
        <v>0</v>
      </c>
      <c r="T432" s="13">
        <v>47.01</v>
      </c>
      <c r="U432" s="13">
        <v>22.0947</v>
      </c>
      <c r="V432" s="55">
        <f>Table3[[#This Row],[Profit]]/Table3[[#This Row],[Sales]]</f>
        <v>0.47000000000000003</v>
      </c>
    </row>
    <row r="433" spans="1:22" x14ac:dyDescent="0.2">
      <c r="A433">
        <v>432</v>
      </c>
      <c r="B433" t="s">
        <v>8896</v>
      </c>
      <c r="C433" s="1">
        <v>42818</v>
      </c>
      <c r="D433" s="22">
        <f>MONTH(Table3[[#This Row],[Order Date]])</f>
        <v>3</v>
      </c>
      <c r="E433" t="s">
        <v>4055</v>
      </c>
      <c r="F433" t="s">
        <v>4056</v>
      </c>
      <c r="G433" s="23" t="s">
        <v>64</v>
      </c>
      <c r="H433" s="23" t="s">
        <v>65</v>
      </c>
      <c r="I433" t="s">
        <v>2992</v>
      </c>
      <c r="J433" t="s">
        <v>36</v>
      </c>
      <c r="K433" s="22">
        <v>1</v>
      </c>
      <c r="L433" s="1">
        <v>42821</v>
      </c>
      <c r="M433" s="22">
        <f>Table3[[#This Row],[Ship Date]]-Table3[[#This Row],[Order Date]]</f>
        <v>3</v>
      </c>
      <c r="N433" s="23" t="s">
        <v>169</v>
      </c>
      <c r="O433" s="23" t="s">
        <v>23</v>
      </c>
      <c r="P433" s="23" t="s">
        <v>238</v>
      </c>
      <c r="Q433" s="23" t="s">
        <v>133</v>
      </c>
      <c r="R433" s="23" t="s">
        <v>237</v>
      </c>
      <c r="S433" s="33">
        <v>0</v>
      </c>
      <c r="T433" s="13">
        <v>469.99</v>
      </c>
      <c r="U433" s="13">
        <v>136.2971</v>
      </c>
      <c r="V433" s="55">
        <f>Table3[[#This Row],[Profit]]/Table3[[#This Row],[Sales]]</f>
        <v>0.28999999999999998</v>
      </c>
    </row>
    <row r="434" spans="1:22" x14ac:dyDescent="0.2">
      <c r="A434">
        <v>433</v>
      </c>
      <c r="B434" t="s">
        <v>8896</v>
      </c>
      <c r="C434" s="1">
        <v>42818</v>
      </c>
      <c r="D434" s="22">
        <f>MONTH(Table3[[#This Row],[Order Date]])</f>
        <v>3</v>
      </c>
      <c r="E434" t="s">
        <v>1359</v>
      </c>
      <c r="F434" t="s">
        <v>1360</v>
      </c>
      <c r="G434" s="23" t="s">
        <v>28</v>
      </c>
      <c r="H434" s="23" t="s">
        <v>32</v>
      </c>
      <c r="I434" t="s">
        <v>2992</v>
      </c>
      <c r="J434" t="s">
        <v>36</v>
      </c>
      <c r="K434" s="22">
        <v>3</v>
      </c>
      <c r="L434" s="1">
        <v>42821</v>
      </c>
      <c r="M434" s="22">
        <f>Table3[[#This Row],[Ship Date]]-Table3[[#This Row],[Order Date]]</f>
        <v>3</v>
      </c>
      <c r="N434" s="23" t="s">
        <v>169</v>
      </c>
      <c r="O434" s="23" t="s">
        <v>23</v>
      </c>
      <c r="P434" s="23" t="s">
        <v>238</v>
      </c>
      <c r="Q434" s="23" t="s">
        <v>133</v>
      </c>
      <c r="R434" s="23" t="s">
        <v>237</v>
      </c>
      <c r="S434" s="33">
        <v>0.1</v>
      </c>
      <c r="T434" s="13">
        <v>207.846</v>
      </c>
      <c r="U434" s="13">
        <v>2.3094000000000001</v>
      </c>
      <c r="V434" s="55">
        <f>Table3[[#This Row],[Profit]]/Table3[[#This Row],[Sales]]</f>
        <v>1.1111111111111112E-2</v>
      </c>
    </row>
    <row r="435" spans="1:22" x14ac:dyDescent="0.2">
      <c r="A435">
        <v>434</v>
      </c>
      <c r="B435" t="s">
        <v>9563</v>
      </c>
      <c r="C435" s="1">
        <v>42818</v>
      </c>
      <c r="D435" s="22">
        <f>MONTH(Table3[[#This Row],[Order Date]])</f>
        <v>3</v>
      </c>
      <c r="E435" t="s">
        <v>2272</v>
      </c>
      <c r="F435" t="s">
        <v>2273</v>
      </c>
      <c r="G435" s="23" t="s">
        <v>28</v>
      </c>
      <c r="H435" s="23" t="s">
        <v>32</v>
      </c>
      <c r="I435" t="s">
        <v>4656</v>
      </c>
      <c r="J435" t="s">
        <v>22</v>
      </c>
      <c r="K435" s="22">
        <v>2</v>
      </c>
      <c r="L435" s="1">
        <v>42822</v>
      </c>
      <c r="M435" s="22">
        <f>Table3[[#This Row],[Ship Date]]-Table3[[#This Row],[Order Date]]</f>
        <v>4</v>
      </c>
      <c r="N435" s="23" t="s">
        <v>45</v>
      </c>
      <c r="O435" s="23" t="s">
        <v>23</v>
      </c>
      <c r="P435" s="23" t="s">
        <v>238</v>
      </c>
      <c r="Q435" s="23" t="s">
        <v>133</v>
      </c>
      <c r="R435" s="23" t="s">
        <v>237</v>
      </c>
      <c r="S435" s="33">
        <v>0.1</v>
      </c>
      <c r="T435" s="13">
        <v>271.76400000000001</v>
      </c>
      <c r="U435" s="13">
        <v>60.392000000000003</v>
      </c>
      <c r="V435" s="55">
        <f>Table3[[#This Row],[Profit]]/Table3[[#This Row],[Sales]]</f>
        <v>0.22222222222222224</v>
      </c>
    </row>
    <row r="436" spans="1:22" x14ac:dyDescent="0.2">
      <c r="A436">
        <v>435</v>
      </c>
      <c r="B436" t="s">
        <v>9895</v>
      </c>
      <c r="C436" s="1">
        <v>42818</v>
      </c>
      <c r="D436" s="22">
        <f>MONTH(Table3[[#This Row],[Order Date]])</f>
        <v>3</v>
      </c>
      <c r="E436" t="s">
        <v>2959</v>
      </c>
      <c r="F436" t="s">
        <v>2960</v>
      </c>
      <c r="G436" s="23" t="s">
        <v>41</v>
      </c>
      <c r="H436" s="23" t="s">
        <v>53</v>
      </c>
      <c r="I436" t="s">
        <v>4258</v>
      </c>
      <c r="J436" t="s">
        <v>36</v>
      </c>
      <c r="K436" s="22">
        <v>2</v>
      </c>
      <c r="L436" s="1">
        <v>42819</v>
      </c>
      <c r="M436" s="22">
        <f>Table3[[#This Row],[Ship Date]]-Table3[[#This Row],[Order Date]]</f>
        <v>1</v>
      </c>
      <c r="N436" s="23" t="s">
        <v>1141</v>
      </c>
      <c r="O436" s="23" t="s">
        <v>23</v>
      </c>
      <c r="P436" s="23" t="s">
        <v>94</v>
      </c>
      <c r="Q436" s="23" t="s">
        <v>95</v>
      </c>
      <c r="R436" s="23" t="s">
        <v>8371</v>
      </c>
      <c r="S436" s="33">
        <v>0.2</v>
      </c>
      <c r="T436" s="13">
        <v>12.768000000000001</v>
      </c>
      <c r="U436" s="13">
        <v>0.95760000000000001</v>
      </c>
      <c r="V436" s="55">
        <f>Table3[[#This Row],[Profit]]/Table3[[#This Row],[Sales]]</f>
        <v>7.4999999999999997E-2</v>
      </c>
    </row>
    <row r="437" spans="1:22" x14ac:dyDescent="0.2">
      <c r="A437">
        <v>436</v>
      </c>
      <c r="B437" t="s">
        <v>4140</v>
      </c>
      <c r="C437" s="1">
        <v>42819</v>
      </c>
      <c r="D437" s="22">
        <f>MONTH(Table3[[#This Row],[Order Date]])</f>
        <v>3</v>
      </c>
      <c r="E437" t="s">
        <v>1609</v>
      </c>
      <c r="F437" t="s">
        <v>1610</v>
      </c>
      <c r="G437" s="23" t="s">
        <v>64</v>
      </c>
      <c r="H437" s="23" t="s">
        <v>65</v>
      </c>
      <c r="I437" t="s">
        <v>4141</v>
      </c>
      <c r="J437" t="s">
        <v>22</v>
      </c>
      <c r="K437" s="22">
        <v>3</v>
      </c>
      <c r="L437" s="1">
        <v>42823</v>
      </c>
      <c r="M437" s="22">
        <f>Table3[[#This Row],[Ship Date]]-Table3[[#This Row],[Order Date]]</f>
        <v>4</v>
      </c>
      <c r="N437" s="23" t="s">
        <v>45</v>
      </c>
      <c r="O437" s="23" t="s">
        <v>23</v>
      </c>
      <c r="P437" s="23" t="s">
        <v>94</v>
      </c>
      <c r="Q437" s="23" t="s">
        <v>95</v>
      </c>
      <c r="R437" s="23" t="s">
        <v>598</v>
      </c>
      <c r="S437" s="33">
        <v>0.2</v>
      </c>
      <c r="T437" s="13">
        <v>470.37599999999998</v>
      </c>
      <c r="U437" s="13">
        <v>47.037599999999998</v>
      </c>
      <c r="V437" s="55">
        <f>Table3[[#This Row],[Profit]]/Table3[[#This Row],[Sales]]</f>
        <v>0.1</v>
      </c>
    </row>
    <row r="438" spans="1:22" x14ac:dyDescent="0.2">
      <c r="A438">
        <v>437</v>
      </c>
      <c r="B438" t="s">
        <v>4813</v>
      </c>
      <c r="C438" s="1">
        <v>42819</v>
      </c>
      <c r="D438" s="22">
        <f>MONTH(Table3[[#This Row],[Order Date]])</f>
        <v>3</v>
      </c>
      <c r="E438" t="s">
        <v>4815</v>
      </c>
      <c r="F438" t="s">
        <v>4816</v>
      </c>
      <c r="G438" s="23" t="s">
        <v>41</v>
      </c>
      <c r="H438" s="23" t="s">
        <v>71</v>
      </c>
      <c r="I438" t="s">
        <v>4814</v>
      </c>
      <c r="J438" t="s">
        <v>22</v>
      </c>
      <c r="K438" s="22">
        <v>4</v>
      </c>
      <c r="L438" s="1">
        <v>42820</v>
      </c>
      <c r="M438" s="22">
        <f>Table3[[#This Row],[Ship Date]]-Table3[[#This Row],[Order Date]]</f>
        <v>1</v>
      </c>
      <c r="N438" s="23" t="s">
        <v>169</v>
      </c>
      <c r="O438" s="23" t="s">
        <v>23</v>
      </c>
      <c r="P438" s="23" t="s">
        <v>38</v>
      </c>
      <c r="Q438" s="23" t="s">
        <v>39</v>
      </c>
      <c r="R438" s="23" t="s">
        <v>3080</v>
      </c>
      <c r="S438" s="33">
        <v>0</v>
      </c>
      <c r="T438" s="13">
        <v>176.04</v>
      </c>
      <c r="U438" s="13">
        <v>45.770400000000002</v>
      </c>
      <c r="V438" s="55">
        <f>Table3[[#This Row],[Profit]]/Table3[[#This Row],[Sales]]</f>
        <v>0.26</v>
      </c>
    </row>
    <row r="439" spans="1:22" x14ac:dyDescent="0.2">
      <c r="A439">
        <v>438</v>
      </c>
      <c r="B439" t="s">
        <v>4813</v>
      </c>
      <c r="C439" s="1">
        <v>42819</v>
      </c>
      <c r="D439" s="22">
        <f>MONTH(Table3[[#This Row],[Order Date]])</f>
        <v>3</v>
      </c>
      <c r="E439" t="s">
        <v>4817</v>
      </c>
      <c r="F439" t="s">
        <v>2673</v>
      </c>
      <c r="G439" s="23" t="s">
        <v>41</v>
      </c>
      <c r="H439" s="23" t="s">
        <v>61</v>
      </c>
      <c r="I439" t="s">
        <v>4814</v>
      </c>
      <c r="J439" t="s">
        <v>22</v>
      </c>
      <c r="K439" s="22">
        <v>9</v>
      </c>
      <c r="L439" s="1">
        <v>42820</v>
      </c>
      <c r="M439" s="22">
        <f>Table3[[#This Row],[Ship Date]]-Table3[[#This Row],[Order Date]]</f>
        <v>1</v>
      </c>
      <c r="N439" s="23" t="s">
        <v>169</v>
      </c>
      <c r="O439" s="23" t="s">
        <v>23</v>
      </c>
      <c r="P439" s="23" t="s">
        <v>38</v>
      </c>
      <c r="Q439" s="23" t="s">
        <v>39</v>
      </c>
      <c r="R439" s="23" t="s">
        <v>3080</v>
      </c>
      <c r="S439" s="33">
        <v>0</v>
      </c>
      <c r="T439" s="13">
        <v>16.02</v>
      </c>
      <c r="U439" s="13">
        <v>4.4855999999999998</v>
      </c>
      <c r="V439" s="55">
        <f>Table3[[#This Row],[Profit]]/Table3[[#This Row],[Sales]]</f>
        <v>0.27999999999999997</v>
      </c>
    </row>
    <row r="440" spans="1:22" x14ac:dyDescent="0.2">
      <c r="A440">
        <v>439</v>
      </c>
      <c r="B440" t="s">
        <v>4813</v>
      </c>
      <c r="C440" s="1">
        <v>42819</v>
      </c>
      <c r="D440" s="22">
        <f>MONTH(Table3[[#This Row],[Order Date]])</f>
        <v>3</v>
      </c>
      <c r="E440" t="s">
        <v>3152</v>
      </c>
      <c r="F440" t="s">
        <v>3153</v>
      </c>
      <c r="G440" s="23" t="s">
        <v>41</v>
      </c>
      <c r="H440" s="23" t="s">
        <v>68</v>
      </c>
      <c r="I440" t="s">
        <v>4814</v>
      </c>
      <c r="J440" t="s">
        <v>22</v>
      </c>
      <c r="K440" s="22">
        <v>4</v>
      </c>
      <c r="L440" s="1">
        <v>42820</v>
      </c>
      <c r="M440" s="22">
        <f>Table3[[#This Row],[Ship Date]]-Table3[[#This Row],[Order Date]]</f>
        <v>1</v>
      </c>
      <c r="N440" s="23" t="s">
        <v>169</v>
      </c>
      <c r="O440" s="23" t="s">
        <v>23</v>
      </c>
      <c r="P440" s="23" t="s">
        <v>38</v>
      </c>
      <c r="Q440" s="23" t="s">
        <v>39</v>
      </c>
      <c r="R440" s="23" t="s">
        <v>3080</v>
      </c>
      <c r="S440" s="33">
        <v>0.2</v>
      </c>
      <c r="T440" s="13">
        <v>185.92</v>
      </c>
      <c r="U440" s="13">
        <v>62.747999999999998</v>
      </c>
      <c r="V440" s="55">
        <f>Table3[[#This Row],[Profit]]/Table3[[#This Row],[Sales]]</f>
        <v>0.33750000000000002</v>
      </c>
    </row>
    <row r="441" spans="1:22" x14ac:dyDescent="0.2">
      <c r="A441">
        <v>440</v>
      </c>
      <c r="B441" t="s">
        <v>4813</v>
      </c>
      <c r="C441" s="1">
        <v>42819</v>
      </c>
      <c r="D441" s="22">
        <f>MONTH(Table3[[#This Row],[Order Date]])</f>
        <v>3</v>
      </c>
      <c r="E441" t="s">
        <v>4818</v>
      </c>
      <c r="F441" t="s">
        <v>4819</v>
      </c>
      <c r="G441" s="23" t="s">
        <v>64</v>
      </c>
      <c r="H441" s="23" t="s">
        <v>65</v>
      </c>
      <c r="I441" t="s">
        <v>4814</v>
      </c>
      <c r="J441" t="s">
        <v>22</v>
      </c>
      <c r="K441" s="22">
        <v>4</v>
      </c>
      <c r="L441" s="1">
        <v>42820</v>
      </c>
      <c r="M441" s="22">
        <f>Table3[[#This Row],[Ship Date]]-Table3[[#This Row],[Order Date]]</f>
        <v>1</v>
      </c>
      <c r="N441" s="23" t="s">
        <v>169</v>
      </c>
      <c r="O441" s="23" t="s">
        <v>23</v>
      </c>
      <c r="P441" s="23" t="s">
        <v>38</v>
      </c>
      <c r="Q441" s="23" t="s">
        <v>39</v>
      </c>
      <c r="R441" s="23" t="s">
        <v>3080</v>
      </c>
      <c r="S441" s="33">
        <v>0.2</v>
      </c>
      <c r="T441" s="13">
        <v>211.16800000000001</v>
      </c>
      <c r="U441" s="13">
        <v>15.8376</v>
      </c>
      <c r="V441" s="55">
        <f>Table3[[#This Row],[Profit]]/Table3[[#This Row],[Sales]]</f>
        <v>7.4999999999999997E-2</v>
      </c>
    </row>
    <row r="442" spans="1:22" x14ac:dyDescent="0.2">
      <c r="A442">
        <v>441</v>
      </c>
      <c r="B442" t="s">
        <v>4813</v>
      </c>
      <c r="C442" s="1">
        <v>42819</v>
      </c>
      <c r="D442" s="22">
        <f>MONTH(Table3[[#This Row],[Order Date]])</f>
        <v>3</v>
      </c>
      <c r="E442" t="s">
        <v>4820</v>
      </c>
      <c r="F442" t="s">
        <v>4821</v>
      </c>
      <c r="G442" s="23" t="s">
        <v>64</v>
      </c>
      <c r="H442" s="23" t="s">
        <v>1075</v>
      </c>
      <c r="I442" t="s">
        <v>4814</v>
      </c>
      <c r="J442" t="s">
        <v>22</v>
      </c>
      <c r="K442" s="22">
        <v>2</v>
      </c>
      <c r="L442" s="1">
        <v>42820</v>
      </c>
      <c r="M442" s="22">
        <f>Table3[[#This Row],[Ship Date]]-Table3[[#This Row],[Order Date]]</f>
        <v>1</v>
      </c>
      <c r="N442" s="23" t="s">
        <v>169</v>
      </c>
      <c r="O442" s="23" t="s">
        <v>23</v>
      </c>
      <c r="P442" s="23" t="s">
        <v>38</v>
      </c>
      <c r="Q442" s="23" t="s">
        <v>39</v>
      </c>
      <c r="R442" s="23" t="s">
        <v>3080</v>
      </c>
      <c r="S442" s="33">
        <v>0.2</v>
      </c>
      <c r="T442" s="13">
        <v>479.98399999999998</v>
      </c>
      <c r="U442" s="13">
        <v>59.997999999999998</v>
      </c>
      <c r="V442" s="55">
        <f>Table3[[#This Row],[Profit]]/Table3[[#This Row],[Sales]]</f>
        <v>0.125</v>
      </c>
    </row>
    <row r="443" spans="1:22" x14ac:dyDescent="0.2">
      <c r="A443">
        <v>442</v>
      </c>
      <c r="B443" t="s">
        <v>5462</v>
      </c>
      <c r="C443" s="1">
        <v>42819</v>
      </c>
      <c r="D443" s="22">
        <f>MONTH(Table3[[#This Row],[Order Date]])</f>
        <v>3</v>
      </c>
      <c r="E443" t="s">
        <v>5463</v>
      </c>
      <c r="F443" t="s">
        <v>5464</v>
      </c>
      <c r="G443" s="23" t="s">
        <v>28</v>
      </c>
      <c r="H443" s="23" t="s">
        <v>32</v>
      </c>
      <c r="I443" t="s">
        <v>1860</v>
      </c>
      <c r="J443" t="s">
        <v>36</v>
      </c>
      <c r="K443" s="22">
        <v>1</v>
      </c>
      <c r="L443" s="1">
        <v>42825</v>
      </c>
      <c r="M443" s="22">
        <f>Table3[[#This Row],[Ship Date]]-Table3[[#This Row],[Order Date]]</f>
        <v>6</v>
      </c>
      <c r="N443" s="23" t="s">
        <v>45</v>
      </c>
      <c r="O443" s="23" t="s">
        <v>23</v>
      </c>
      <c r="P443" s="23" t="s">
        <v>103</v>
      </c>
      <c r="Q443" s="23" t="s">
        <v>95</v>
      </c>
      <c r="R443" s="23" t="s">
        <v>2242</v>
      </c>
      <c r="S443" s="33">
        <v>0</v>
      </c>
      <c r="T443" s="13">
        <v>90.99</v>
      </c>
      <c r="U443" s="13">
        <v>14.558400000000001</v>
      </c>
      <c r="V443" s="55">
        <f>Table3[[#This Row],[Profit]]/Table3[[#This Row],[Sales]]</f>
        <v>0.16</v>
      </c>
    </row>
    <row r="444" spans="1:22" x14ac:dyDescent="0.2">
      <c r="A444">
        <v>443</v>
      </c>
      <c r="B444" t="s">
        <v>5462</v>
      </c>
      <c r="C444" s="1">
        <v>42819</v>
      </c>
      <c r="D444" s="22">
        <f>MONTH(Table3[[#This Row],[Order Date]])</f>
        <v>3</v>
      </c>
      <c r="E444" t="s">
        <v>2179</v>
      </c>
      <c r="F444" t="s">
        <v>2180</v>
      </c>
      <c r="G444" s="23" t="s">
        <v>28</v>
      </c>
      <c r="H444" s="23" t="s">
        <v>32</v>
      </c>
      <c r="I444" t="s">
        <v>1860</v>
      </c>
      <c r="J444" t="s">
        <v>36</v>
      </c>
      <c r="K444" s="22">
        <v>7</v>
      </c>
      <c r="L444" s="1">
        <v>42825</v>
      </c>
      <c r="M444" s="22">
        <f>Table3[[#This Row],[Ship Date]]-Table3[[#This Row],[Order Date]]</f>
        <v>6</v>
      </c>
      <c r="N444" s="23" t="s">
        <v>45</v>
      </c>
      <c r="O444" s="23" t="s">
        <v>23</v>
      </c>
      <c r="P444" s="23" t="s">
        <v>103</v>
      </c>
      <c r="Q444" s="23" t="s">
        <v>95</v>
      </c>
      <c r="R444" s="23" t="s">
        <v>2242</v>
      </c>
      <c r="S444" s="33">
        <v>0</v>
      </c>
      <c r="T444" s="13">
        <v>1526.56</v>
      </c>
      <c r="U444" s="13">
        <v>427.43680000000001</v>
      </c>
      <c r="V444" s="55">
        <f>Table3[[#This Row],[Profit]]/Table3[[#This Row],[Sales]]</f>
        <v>0.28000000000000003</v>
      </c>
    </row>
    <row r="445" spans="1:22" x14ac:dyDescent="0.2">
      <c r="A445">
        <v>444</v>
      </c>
      <c r="B445" t="s">
        <v>5462</v>
      </c>
      <c r="C445" s="1">
        <v>42819</v>
      </c>
      <c r="D445" s="22">
        <f>MONTH(Table3[[#This Row],[Order Date]])</f>
        <v>3</v>
      </c>
      <c r="E445" t="s">
        <v>2803</v>
      </c>
      <c r="F445" t="s">
        <v>2804</v>
      </c>
      <c r="G445" s="23" t="s">
        <v>28</v>
      </c>
      <c r="H445" s="23" t="s">
        <v>32</v>
      </c>
      <c r="I445" t="s">
        <v>1860</v>
      </c>
      <c r="J445" t="s">
        <v>36</v>
      </c>
      <c r="K445" s="22">
        <v>3</v>
      </c>
      <c r="L445" s="1">
        <v>42825</v>
      </c>
      <c r="M445" s="22">
        <f>Table3[[#This Row],[Ship Date]]-Table3[[#This Row],[Order Date]]</f>
        <v>6</v>
      </c>
      <c r="N445" s="23" t="s">
        <v>45</v>
      </c>
      <c r="O445" s="23" t="s">
        <v>23</v>
      </c>
      <c r="P445" s="23" t="s">
        <v>103</v>
      </c>
      <c r="Q445" s="23" t="s">
        <v>95</v>
      </c>
      <c r="R445" s="23" t="s">
        <v>2242</v>
      </c>
      <c r="S445" s="33">
        <v>0</v>
      </c>
      <c r="T445" s="13">
        <v>368.97</v>
      </c>
      <c r="U445" s="13">
        <v>40.5867</v>
      </c>
      <c r="V445" s="55">
        <f>Table3[[#This Row],[Profit]]/Table3[[#This Row],[Sales]]</f>
        <v>0.10999999999999999</v>
      </c>
    </row>
    <row r="446" spans="1:22" x14ac:dyDescent="0.2">
      <c r="A446">
        <v>445</v>
      </c>
      <c r="B446" t="s">
        <v>5899</v>
      </c>
      <c r="C446" s="1">
        <v>42819</v>
      </c>
      <c r="D446" s="22">
        <f>MONTH(Table3[[#This Row],[Order Date]])</f>
        <v>3</v>
      </c>
      <c r="E446" t="s">
        <v>5327</v>
      </c>
      <c r="F446" t="s">
        <v>5328</v>
      </c>
      <c r="G446" s="23" t="s">
        <v>41</v>
      </c>
      <c r="H446" s="23" t="s">
        <v>82</v>
      </c>
      <c r="I446" t="s">
        <v>4198</v>
      </c>
      <c r="J446" t="s">
        <v>22</v>
      </c>
      <c r="K446" s="22">
        <v>2</v>
      </c>
      <c r="L446" s="1">
        <v>42824</v>
      </c>
      <c r="M446" s="22">
        <f>Table3[[#This Row],[Ship Date]]-Table3[[#This Row],[Order Date]]</f>
        <v>5</v>
      </c>
      <c r="N446" s="23" t="s">
        <v>20</v>
      </c>
      <c r="O446" s="23" t="s">
        <v>23</v>
      </c>
      <c r="P446" s="23" t="s">
        <v>94</v>
      </c>
      <c r="Q446" s="23" t="s">
        <v>95</v>
      </c>
      <c r="R446" s="23" t="s">
        <v>718</v>
      </c>
      <c r="S446" s="33">
        <v>0.2</v>
      </c>
      <c r="T446" s="13">
        <v>6.8479999999999999</v>
      </c>
      <c r="U446" s="13">
        <v>2.14</v>
      </c>
      <c r="V446" s="55">
        <f>Table3[[#This Row],[Profit]]/Table3[[#This Row],[Sales]]</f>
        <v>0.3125</v>
      </c>
    </row>
    <row r="447" spans="1:22" x14ac:dyDescent="0.2">
      <c r="A447">
        <v>446</v>
      </c>
      <c r="B447" t="s">
        <v>7123</v>
      </c>
      <c r="C447" s="1">
        <v>42819</v>
      </c>
      <c r="D447" s="22">
        <f>MONTH(Table3[[#This Row],[Order Date]])</f>
        <v>3</v>
      </c>
      <c r="E447" t="s">
        <v>4168</v>
      </c>
      <c r="F447" t="s">
        <v>4169</v>
      </c>
      <c r="G447" s="23" t="s">
        <v>41</v>
      </c>
      <c r="H447" s="23" t="s">
        <v>61</v>
      </c>
      <c r="I447" t="s">
        <v>3909</v>
      </c>
      <c r="J447" t="s">
        <v>36</v>
      </c>
      <c r="K447" s="22">
        <v>2</v>
      </c>
      <c r="L447" s="1">
        <v>42824</v>
      </c>
      <c r="M447" s="22">
        <f>Table3[[#This Row],[Ship Date]]-Table3[[#This Row],[Order Date]]</f>
        <v>5</v>
      </c>
      <c r="N447" s="23" t="s">
        <v>45</v>
      </c>
      <c r="O447" s="23" t="s">
        <v>23</v>
      </c>
      <c r="P447" s="23" t="s">
        <v>87</v>
      </c>
      <c r="Q447" s="23" t="s">
        <v>39</v>
      </c>
      <c r="R447" s="23" t="s">
        <v>86</v>
      </c>
      <c r="S447" s="33">
        <v>0</v>
      </c>
      <c r="T447" s="13">
        <v>23.1</v>
      </c>
      <c r="U447" s="13">
        <v>6.93</v>
      </c>
      <c r="V447" s="55">
        <f>Table3[[#This Row],[Profit]]/Table3[[#This Row],[Sales]]</f>
        <v>0.3</v>
      </c>
    </row>
    <row r="448" spans="1:22" x14ac:dyDescent="0.2">
      <c r="A448">
        <v>447</v>
      </c>
      <c r="B448" t="s">
        <v>7603</v>
      </c>
      <c r="C448" s="1">
        <v>42819</v>
      </c>
      <c r="D448" s="22">
        <f>MONTH(Table3[[#This Row],[Order Date]])</f>
        <v>3</v>
      </c>
      <c r="E448" t="s">
        <v>566</v>
      </c>
      <c r="F448" t="s">
        <v>567</v>
      </c>
      <c r="G448" s="23" t="s">
        <v>41</v>
      </c>
      <c r="H448" s="23" t="s">
        <v>61</v>
      </c>
      <c r="I448" t="s">
        <v>1864</v>
      </c>
      <c r="J448" t="s">
        <v>22</v>
      </c>
      <c r="K448" s="22">
        <v>5</v>
      </c>
      <c r="L448" s="1">
        <v>42825</v>
      </c>
      <c r="M448" s="22">
        <f>Table3[[#This Row],[Ship Date]]-Table3[[#This Row],[Order Date]]</f>
        <v>6</v>
      </c>
      <c r="N448" s="23" t="s">
        <v>45</v>
      </c>
      <c r="O448" s="23" t="s">
        <v>23</v>
      </c>
      <c r="P448" s="23" t="s">
        <v>238</v>
      </c>
      <c r="Q448" s="23" t="s">
        <v>133</v>
      </c>
      <c r="R448" s="23" t="s">
        <v>237</v>
      </c>
      <c r="S448" s="33">
        <v>0</v>
      </c>
      <c r="T448" s="13">
        <v>11.05</v>
      </c>
      <c r="U448" s="13">
        <v>2.9834999999999998</v>
      </c>
      <c r="V448" s="55">
        <f>Table3[[#This Row],[Profit]]/Table3[[#This Row],[Sales]]</f>
        <v>0.26999999999999996</v>
      </c>
    </row>
    <row r="449" spans="1:22" x14ac:dyDescent="0.2">
      <c r="A449">
        <v>448</v>
      </c>
      <c r="B449" t="s">
        <v>4109</v>
      </c>
      <c r="C449" s="1">
        <v>42820</v>
      </c>
      <c r="D449" s="22">
        <f>MONTH(Table3[[#This Row],[Order Date]])</f>
        <v>3</v>
      </c>
      <c r="E449" t="s">
        <v>4110</v>
      </c>
      <c r="F449" t="s">
        <v>4111</v>
      </c>
      <c r="G449" s="23" t="s">
        <v>28</v>
      </c>
      <c r="H449" s="23" t="s">
        <v>29</v>
      </c>
      <c r="I449" t="s">
        <v>2217</v>
      </c>
      <c r="J449" t="s">
        <v>22</v>
      </c>
      <c r="K449" s="22">
        <v>2</v>
      </c>
      <c r="L449" s="1">
        <v>42821</v>
      </c>
      <c r="M449" s="22">
        <f>Table3[[#This Row],[Ship Date]]-Table3[[#This Row],[Order Date]]</f>
        <v>1</v>
      </c>
      <c r="N449" s="23" t="s">
        <v>169</v>
      </c>
      <c r="O449" s="23" t="s">
        <v>23</v>
      </c>
      <c r="P449" s="23" t="s">
        <v>238</v>
      </c>
      <c r="Q449" s="23" t="s">
        <v>133</v>
      </c>
      <c r="R449" s="23" t="s">
        <v>237</v>
      </c>
      <c r="S449" s="33">
        <v>0.2</v>
      </c>
      <c r="T449" s="13">
        <v>257.56799999999998</v>
      </c>
      <c r="U449" s="13">
        <v>-28.976400000000002</v>
      </c>
      <c r="V449" s="55">
        <f>Table3[[#This Row],[Profit]]/Table3[[#This Row],[Sales]]</f>
        <v>-0.11250000000000002</v>
      </c>
    </row>
    <row r="450" spans="1:22" x14ac:dyDescent="0.2">
      <c r="A450">
        <v>449</v>
      </c>
      <c r="B450" t="s">
        <v>4109</v>
      </c>
      <c r="C450" s="1">
        <v>42820</v>
      </c>
      <c r="D450" s="22">
        <f>MONTH(Table3[[#This Row],[Order Date]])</f>
        <v>3</v>
      </c>
      <c r="E450" t="s">
        <v>653</v>
      </c>
      <c r="F450" t="s">
        <v>654</v>
      </c>
      <c r="G450" s="23" t="s">
        <v>64</v>
      </c>
      <c r="H450" s="23" t="s">
        <v>65</v>
      </c>
      <c r="I450" t="s">
        <v>2217</v>
      </c>
      <c r="J450" t="s">
        <v>22</v>
      </c>
      <c r="K450" s="22">
        <v>4</v>
      </c>
      <c r="L450" s="1">
        <v>42821</v>
      </c>
      <c r="M450" s="22">
        <f>Table3[[#This Row],[Ship Date]]-Table3[[#This Row],[Order Date]]</f>
        <v>1</v>
      </c>
      <c r="N450" s="23" t="s">
        <v>169</v>
      </c>
      <c r="O450" s="23" t="s">
        <v>23</v>
      </c>
      <c r="P450" s="23" t="s">
        <v>238</v>
      </c>
      <c r="Q450" s="23" t="s">
        <v>133</v>
      </c>
      <c r="R450" s="23" t="s">
        <v>237</v>
      </c>
      <c r="S450" s="33">
        <v>0</v>
      </c>
      <c r="T450" s="13">
        <v>119.96</v>
      </c>
      <c r="U450" s="13">
        <v>33.588799999999999</v>
      </c>
      <c r="V450" s="55">
        <f>Table3[[#This Row],[Profit]]/Table3[[#This Row],[Sales]]</f>
        <v>0.28000000000000003</v>
      </c>
    </row>
    <row r="451" spans="1:22" x14ac:dyDescent="0.2">
      <c r="A451">
        <v>450</v>
      </c>
      <c r="B451" t="s">
        <v>6608</v>
      </c>
      <c r="C451" s="1">
        <v>42820</v>
      </c>
      <c r="D451" s="22">
        <f>MONTH(Table3[[#This Row],[Order Date]])</f>
        <v>3</v>
      </c>
      <c r="E451" t="s">
        <v>6609</v>
      </c>
      <c r="F451" t="s">
        <v>6610</v>
      </c>
      <c r="G451" s="23" t="s">
        <v>41</v>
      </c>
      <c r="H451" s="23" t="s">
        <v>61</v>
      </c>
      <c r="I451" t="s">
        <v>4652</v>
      </c>
      <c r="J451" t="s">
        <v>92</v>
      </c>
      <c r="K451" s="22">
        <v>1</v>
      </c>
      <c r="L451" s="1">
        <v>42822</v>
      </c>
      <c r="M451" s="22">
        <f>Table3[[#This Row],[Ship Date]]-Table3[[#This Row],[Order Date]]</f>
        <v>2</v>
      </c>
      <c r="N451" s="23" t="s">
        <v>169</v>
      </c>
      <c r="O451" s="23" t="s">
        <v>23</v>
      </c>
      <c r="P451" s="23" t="s">
        <v>87</v>
      </c>
      <c r="Q451" s="23" t="s">
        <v>39</v>
      </c>
      <c r="R451" s="23" t="s">
        <v>86</v>
      </c>
      <c r="S451" s="33">
        <v>0</v>
      </c>
      <c r="T451" s="13">
        <v>19.829999999999998</v>
      </c>
      <c r="U451" s="13">
        <v>5.9489999999999998</v>
      </c>
      <c r="V451" s="55">
        <f>Table3[[#This Row],[Profit]]/Table3[[#This Row],[Sales]]</f>
        <v>0.30000000000000004</v>
      </c>
    </row>
    <row r="452" spans="1:22" x14ac:dyDescent="0.2">
      <c r="A452">
        <v>451</v>
      </c>
      <c r="B452" t="s">
        <v>7628</v>
      </c>
      <c r="C452" s="1">
        <v>42820</v>
      </c>
      <c r="D452" s="22">
        <f>MONTH(Table3[[#This Row],[Order Date]])</f>
        <v>3</v>
      </c>
      <c r="E452" t="s">
        <v>7629</v>
      </c>
      <c r="F452" t="s">
        <v>7630</v>
      </c>
      <c r="G452" s="23" t="s">
        <v>28</v>
      </c>
      <c r="H452" s="23" t="s">
        <v>58</v>
      </c>
      <c r="I452" t="s">
        <v>4857</v>
      </c>
      <c r="J452" t="s">
        <v>36</v>
      </c>
      <c r="K452" s="22">
        <v>3</v>
      </c>
      <c r="L452" s="1">
        <v>42827</v>
      </c>
      <c r="M452" s="22">
        <f>Table3[[#This Row],[Ship Date]]-Table3[[#This Row],[Order Date]]</f>
        <v>7</v>
      </c>
      <c r="N452" s="23" t="s">
        <v>45</v>
      </c>
      <c r="O452" s="23" t="s">
        <v>23</v>
      </c>
      <c r="P452" s="23" t="s">
        <v>212</v>
      </c>
      <c r="Q452" s="23" t="s">
        <v>95</v>
      </c>
      <c r="R452" s="23" t="s">
        <v>1815</v>
      </c>
      <c r="S452" s="33">
        <v>0</v>
      </c>
      <c r="T452" s="13">
        <v>60.84</v>
      </c>
      <c r="U452" s="13">
        <v>23.119199999999999</v>
      </c>
      <c r="V452" s="55">
        <f>Table3[[#This Row],[Profit]]/Table3[[#This Row],[Sales]]</f>
        <v>0.37999999999999995</v>
      </c>
    </row>
    <row r="453" spans="1:22" x14ac:dyDescent="0.2">
      <c r="A453">
        <v>452</v>
      </c>
      <c r="B453" t="s">
        <v>7926</v>
      </c>
      <c r="C453" s="1">
        <v>42820</v>
      </c>
      <c r="D453" s="22">
        <f>MONTH(Table3[[#This Row],[Order Date]])</f>
        <v>3</v>
      </c>
      <c r="E453" t="s">
        <v>3214</v>
      </c>
      <c r="F453" t="s">
        <v>3215</v>
      </c>
      <c r="G453" s="23" t="s">
        <v>64</v>
      </c>
      <c r="H453" s="23" t="s">
        <v>144</v>
      </c>
      <c r="I453" t="s">
        <v>7927</v>
      </c>
      <c r="J453" t="s">
        <v>92</v>
      </c>
      <c r="K453" s="22">
        <v>3</v>
      </c>
      <c r="L453" s="1">
        <v>42827</v>
      </c>
      <c r="M453" s="22">
        <f>Table3[[#This Row],[Ship Date]]-Table3[[#This Row],[Order Date]]</f>
        <v>7</v>
      </c>
      <c r="N453" s="23" t="s">
        <v>45</v>
      </c>
      <c r="O453" s="23" t="s">
        <v>23</v>
      </c>
      <c r="P453" s="23" t="s">
        <v>285</v>
      </c>
      <c r="Q453" s="23" t="s">
        <v>26</v>
      </c>
      <c r="R453" s="23" t="s">
        <v>2621</v>
      </c>
      <c r="S453" s="33">
        <v>0</v>
      </c>
      <c r="T453" s="13">
        <v>53.25</v>
      </c>
      <c r="U453" s="13">
        <v>20.767499999999998</v>
      </c>
      <c r="V453" s="55">
        <f>Table3[[#This Row],[Profit]]/Table3[[#This Row],[Sales]]</f>
        <v>0.38999999999999996</v>
      </c>
    </row>
    <row r="454" spans="1:22" x14ac:dyDescent="0.2">
      <c r="A454">
        <v>453</v>
      </c>
      <c r="B454" t="s">
        <v>7926</v>
      </c>
      <c r="C454" s="1">
        <v>42820</v>
      </c>
      <c r="D454" s="22">
        <f>MONTH(Table3[[#This Row],[Order Date]])</f>
        <v>3</v>
      </c>
      <c r="E454" t="s">
        <v>3520</v>
      </c>
      <c r="F454" t="s">
        <v>498</v>
      </c>
      <c r="G454" s="23" t="s">
        <v>41</v>
      </c>
      <c r="H454" s="23" t="s">
        <v>240</v>
      </c>
      <c r="I454" t="s">
        <v>7927</v>
      </c>
      <c r="J454" t="s">
        <v>92</v>
      </c>
      <c r="K454" s="22">
        <v>2</v>
      </c>
      <c r="L454" s="1">
        <v>42827</v>
      </c>
      <c r="M454" s="22">
        <f>Table3[[#This Row],[Ship Date]]-Table3[[#This Row],[Order Date]]</f>
        <v>7</v>
      </c>
      <c r="N454" s="23" t="s">
        <v>45</v>
      </c>
      <c r="O454" s="23" t="s">
        <v>23</v>
      </c>
      <c r="P454" s="23" t="s">
        <v>285</v>
      </c>
      <c r="Q454" s="23" t="s">
        <v>26</v>
      </c>
      <c r="R454" s="23" t="s">
        <v>2621</v>
      </c>
      <c r="S454" s="33">
        <v>0</v>
      </c>
      <c r="T454" s="13">
        <v>3.76</v>
      </c>
      <c r="U454" s="13">
        <v>1.3160000000000001</v>
      </c>
      <c r="V454" s="55">
        <f>Table3[[#This Row],[Profit]]/Table3[[#This Row],[Sales]]</f>
        <v>0.35000000000000003</v>
      </c>
    </row>
    <row r="455" spans="1:22" x14ac:dyDescent="0.2">
      <c r="A455">
        <v>454</v>
      </c>
      <c r="B455" t="s">
        <v>8550</v>
      </c>
      <c r="C455" s="1">
        <v>42820</v>
      </c>
      <c r="D455" s="22">
        <f>MONTH(Table3[[#This Row],[Order Date]])</f>
        <v>3</v>
      </c>
      <c r="E455" t="s">
        <v>1249</v>
      </c>
      <c r="F455" t="s">
        <v>1250</v>
      </c>
      <c r="G455" s="23" t="s">
        <v>64</v>
      </c>
      <c r="H455" s="23" t="s">
        <v>144</v>
      </c>
      <c r="I455" t="s">
        <v>722</v>
      </c>
      <c r="J455" t="s">
        <v>36</v>
      </c>
      <c r="K455" s="22">
        <v>5</v>
      </c>
      <c r="L455" s="1">
        <v>42824</v>
      </c>
      <c r="M455" s="22">
        <f>Table3[[#This Row],[Ship Date]]-Table3[[#This Row],[Order Date]]</f>
        <v>4</v>
      </c>
      <c r="N455" s="23" t="s">
        <v>45</v>
      </c>
      <c r="O455" s="23" t="s">
        <v>23</v>
      </c>
      <c r="P455" s="23" t="s">
        <v>94</v>
      </c>
      <c r="Q455" s="23" t="s">
        <v>95</v>
      </c>
      <c r="R455" s="23" t="s">
        <v>165</v>
      </c>
      <c r="S455" s="33">
        <v>0.2</v>
      </c>
      <c r="T455" s="13">
        <v>143.96</v>
      </c>
      <c r="U455" s="13">
        <v>1.7995000000000001</v>
      </c>
      <c r="V455" s="55">
        <f>Table3[[#This Row],[Profit]]/Table3[[#This Row],[Sales]]</f>
        <v>1.2500000000000001E-2</v>
      </c>
    </row>
    <row r="456" spans="1:22" x14ac:dyDescent="0.2">
      <c r="A456">
        <v>455</v>
      </c>
      <c r="B456" t="s">
        <v>8550</v>
      </c>
      <c r="C456" s="1">
        <v>42820</v>
      </c>
      <c r="D456" s="22">
        <f>MONTH(Table3[[#This Row],[Order Date]])</f>
        <v>3</v>
      </c>
      <c r="E456" t="s">
        <v>1219</v>
      </c>
      <c r="F456" t="s">
        <v>1220</v>
      </c>
      <c r="G456" s="23" t="s">
        <v>64</v>
      </c>
      <c r="H456" s="23" t="s">
        <v>1075</v>
      </c>
      <c r="I456" t="s">
        <v>722</v>
      </c>
      <c r="J456" t="s">
        <v>36</v>
      </c>
      <c r="K456" s="22">
        <v>5</v>
      </c>
      <c r="L456" s="1">
        <v>42824</v>
      </c>
      <c r="M456" s="22">
        <f>Table3[[#This Row],[Ship Date]]-Table3[[#This Row],[Order Date]]</f>
        <v>4</v>
      </c>
      <c r="N456" s="23" t="s">
        <v>45</v>
      </c>
      <c r="O456" s="23" t="s">
        <v>23</v>
      </c>
      <c r="P456" s="23" t="s">
        <v>94</v>
      </c>
      <c r="Q456" s="23" t="s">
        <v>95</v>
      </c>
      <c r="R456" s="23" t="s">
        <v>165</v>
      </c>
      <c r="S456" s="33">
        <v>0.2</v>
      </c>
      <c r="T456" s="13">
        <v>2399.96</v>
      </c>
      <c r="U456" s="13">
        <v>569.9905</v>
      </c>
      <c r="V456" s="55">
        <f>Table3[[#This Row],[Profit]]/Table3[[#This Row],[Sales]]</f>
        <v>0.23749999999999999</v>
      </c>
    </row>
    <row r="457" spans="1:22" x14ac:dyDescent="0.2">
      <c r="A457">
        <v>456</v>
      </c>
      <c r="B457" t="s">
        <v>8550</v>
      </c>
      <c r="C457" s="1">
        <v>42820</v>
      </c>
      <c r="D457" s="22">
        <f>MONTH(Table3[[#This Row],[Order Date]])</f>
        <v>3</v>
      </c>
      <c r="E457" t="s">
        <v>4810</v>
      </c>
      <c r="F457" t="s">
        <v>4811</v>
      </c>
      <c r="G457" s="23" t="s">
        <v>41</v>
      </c>
      <c r="H457" s="23" t="s">
        <v>82</v>
      </c>
      <c r="I457" t="s">
        <v>722</v>
      </c>
      <c r="J457" t="s">
        <v>36</v>
      </c>
      <c r="K457" s="22">
        <v>3</v>
      </c>
      <c r="L457" s="1">
        <v>42824</v>
      </c>
      <c r="M457" s="22">
        <f>Table3[[#This Row],[Ship Date]]-Table3[[#This Row],[Order Date]]</f>
        <v>4</v>
      </c>
      <c r="N457" s="23" t="s">
        <v>45</v>
      </c>
      <c r="O457" s="23" t="s">
        <v>23</v>
      </c>
      <c r="P457" s="23" t="s">
        <v>94</v>
      </c>
      <c r="Q457" s="23" t="s">
        <v>95</v>
      </c>
      <c r="R457" s="23" t="s">
        <v>165</v>
      </c>
      <c r="S457" s="33">
        <v>0.2</v>
      </c>
      <c r="T457" s="13">
        <v>74.352000000000004</v>
      </c>
      <c r="U457" s="13">
        <v>23.234999999999999</v>
      </c>
      <c r="V457" s="55">
        <f>Table3[[#This Row],[Profit]]/Table3[[#This Row],[Sales]]</f>
        <v>0.3125</v>
      </c>
    </row>
    <row r="458" spans="1:22" x14ac:dyDescent="0.2">
      <c r="A458">
        <v>457</v>
      </c>
      <c r="B458" t="s">
        <v>8550</v>
      </c>
      <c r="C458" s="1">
        <v>42820</v>
      </c>
      <c r="D458" s="22">
        <f>MONTH(Table3[[#This Row],[Order Date]])</f>
        <v>3</v>
      </c>
      <c r="E458" t="s">
        <v>4763</v>
      </c>
      <c r="F458" t="s">
        <v>4764</v>
      </c>
      <c r="G458" s="23" t="s">
        <v>41</v>
      </c>
      <c r="H458" s="23" t="s">
        <v>71</v>
      </c>
      <c r="I458" t="s">
        <v>722</v>
      </c>
      <c r="J458" t="s">
        <v>36</v>
      </c>
      <c r="K458" s="22">
        <v>8</v>
      </c>
      <c r="L458" s="1">
        <v>42824</v>
      </c>
      <c r="M458" s="22">
        <f>Table3[[#This Row],[Ship Date]]-Table3[[#This Row],[Order Date]]</f>
        <v>4</v>
      </c>
      <c r="N458" s="23" t="s">
        <v>45</v>
      </c>
      <c r="O458" s="23" t="s">
        <v>23</v>
      </c>
      <c r="P458" s="23" t="s">
        <v>94</v>
      </c>
      <c r="Q458" s="23" t="s">
        <v>95</v>
      </c>
      <c r="R458" s="23" t="s">
        <v>165</v>
      </c>
      <c r="S458" s="33">
        <v>0.8</v>
      </c>
      <c r="T458" s="13">
        <v>87.168000000000006</v>
      </c>
      <c r="U458" s="13">
        <v>-226.63679999999999</v>
      </c>
      <c r="V458" s="55">
        <f>Table3[[#This Row],[Profit]]/Table3[[#This Row],[Sales]]</f>
        <v>-2.5999999999999996</v>
      </c>
    </row>
    <row r="459" spans="1:22" x14ac:dyDescent="0.2">
      <c r="A459">
        <v>458</v>
      </c>
      <c r="B459" t="s">
        <v>8550</v>
      </c>
      <c r="C459" s="1">
        <v>42820</v>
      </c>
      <c r="D459" s="22">
        <f>MONTH(Table3[[#This Row],[Order Date]])</f>
        <v>3</v>
      </c>
      <c r="E459" t="s">
        <v>3596</v>
      </c>
      <c r="F459" t="s">
        <v>3597</v>
      </c>
      <c r="G459" s="23" t="s">
        <v>41</v>
      </c>
      <c r="H459" s="23" t="s">
        <v>53</v>
      </c>
      <c r="I459" t="s">
        <v>722</v>
      </c>
      <c r="J459" t="s">
        <v>36</v>
      </c>
      <c r="K459" s="22">
        <v>3</v>
      </c>
      <c r="L459" s="1">
        <v>42824</v>
      </c>
      <c r="M459" s="22">
        <f>Table3[[#This Row],[Ship Date]]-Table3[[#This Row],[Order Date]]</f>
        <v>4</v>
      </c>
      <c r="N459" s="23" t="s">
        <v>45</v>
      </c>
      <c r="O459" s="23" t="s">
        <v>23</v>
      </c>
      <c r="P459" s="23" t="s">
        <v>94</v>
      </c>
      <c r="Q459" s="23" t="s">
        <v>95</v>
      </c>
      <c r="R459" s="23" t="s">
        <v>165</v>
      </c>
      <c r="S459" s="33">
        <v>0.2</v>
      </c>
      <c r="T459" s="13">
        <v>32.231999999999999</v>
      </c>
      <c r="U459" s="13">
        <v>2.4174000000000002</v>
      </c>
      <c r="V459" s="55">
        <f>Table3[[#This Row],[Profit]]/Table3[[#This Row],[Sales]]</f>
        <v>7.5000000000000011E-2</v>
      </c>
    </row>
    <row r="460" spans="1:22" x14ac:dyDescent="0.2">
      <c r="A460">
        <v>459</v>
      </c>
      <c r="B460" t="s">
        <v>6945</v>
      </c>
      <c r="C460" s="1">
        <v>42821</v>
      </c>
      <c r="D460" s="22">
        <f>MONTH(Table3[[#This Row],[Order Date]])</f>
        <v>3</v>
      </c>
      <c r="E460" t="s">
        <v>5371</v>
      </c>
      <c r="F460" t="s">
        <v>5372</v>
      </c>
      <c r="G460" s="23" t="s">
        <v>28</v>
      </c>
      <c r="H460" s="23" t="s">
        <v>58</v>
      </c>
      <c r="I460" t="s">
        <v>107</v>
      </c>
      <c r="J460" t="s">
        <v>22</v>
      </c>
      <c r="K460" s="22">
        <v>2</v>
      </c>
      <c r="L460" s="1">
        <v>42823</v>
      </c>
      <c r="M460" s="22">
        <f>Table3[[#This Row],[Ship Date]]-Table3[[#This Row],[Order Date]]</f>
        <v>2</v>
      </c>
      <c r="N460" s="23" t="s">
        <v>20</v>
      </c>
      <c r="O460" s="23" t="s">
        <v>23</v>
      </c>
      <c r="P460" s="23" t="s">
        <v>132</v>
      </c>
      <c r="Q460" s="23" t="s">
        <v>133</v>
      </c>
      <c r="R460" s="23" t="s">
        <v>131</v>
      </c>
      <c r="S460" s="33">
        <v>0.2</v>
      </c>
      <c r="T460" s="13">
        <v>15.007999999999999</v>
      </c>
      <c r="U460" s="13">
        <v>1.5007999999999999</v>
      </c>
      <c r="V460" s="55">
        <f>Table3[[#This Row],[Profit]]/Table3[[#This Row],[Sales]]</f>
        <v>0.1</v>
      </c>
    </row>
    <row r="461" spans="1:22" x14ac:dyDescent="0.2">
      <c r="A461">
        <v>460</v>
      </c>
      <c r="B461" t="s">
        <v>9282</v>
      </c>
      <c r="C461" s="1">
        <v>42821</v>
      </c>
      <c r="D461" s="22">
        <f>MONTH(Table3[[#This Row],[Order Date]])</f>
        <v>3</v>
      </c>
      <c r="E461" t="s">
        <v>4542</v>
      </c>
      <c r="F461" t="s">
        <v>4543</v>
      </c>
      <c r="G461" s="23" t="s">
        <v>41</v>
      </c>
      <c r="H461" s="23" t="s">
        <v>82</v>
      </c>
      <c r="I461" t="s">
        <v>9283</v>
      </c>
      <c r="J461" t="s">
        <v>92</v>
      </c>
      <c r="K461" s="22">
        <v>2</v>
      </c>
      <c r="L461" s="1">
        <v>42825</v>
      </c>
      <c r="M461" s="22">
        <f>Table3[[#This Row],[Ship Date]]-Table3[[#This Row],[Order Date]]</f>
        <v>4</v>
      </c>
      <c r="N461" s="23" t="s">
        <v>45</v>
      </c>
      <c r="O461" s="23" t="s">
        <v>23</v>
      </c>
      <c r="P461" s="23" t="s">
        <v>38</v>
      </c>
      <c r="Q461" s="23" t="s">
        <v>39</v>
      </c>
      <c r="R461" s="23" t="s">
        <v>3080</v>
      </c>
      <c r="S461" s="33">
        <v>0</v>
      </c>
      <c r="T461" s="13">
        <v>45.68</v>
      </c>
      <c r="U461" s="13">
        <v>21.012799999999999</v>
      </c>
      <c r="V461" s="55">
        <f>Table3[[#This Row],[Profit]]/Table3[[#This Row],[Sales]]</f>
        <v>0.45999999999999996</v>
      </c>
    </row>
    <row r="462" spans="1:22" x14ac:dyDescent="0.2">
      <c r="A462">
        <v>461</v>
      </c>
      <c r="B462" t="s">
        <v>9282</v>
      </c>
      <c r="C462" s="1">
        <v>42821</v>
      </c>
      <c r="D462" s="22">
        <f>MONTH(Table3[[#This Row],[Order Date]])</f>
        <v>3</v>
      </c>
      <c r="E462" t="s">
        <v>618</v>
      </c>
      <c r="F462" t="s">
        <v>619</v>
      </c>
      <c r="G462" s="23" t="s">
        <v>41</v>
      </c>
      <c r="H462" s="23" t="s">
        <v>82</v>
      </c>
      <c r="I462" t="s">
        <v>9283</v>
      </c>
      <c r="J462" t="s">
        <v>92</v>
      </c>
      <c r="K462" s="22">
        <v>2</v>
      </c>
      <c r="L462" s="1">
        <v>42825</v>
      </c>
      <c r="M462" s="22">
        <f>Table3[[#This Row],[Ship Date]]-Table3[[#This Row],[Order Date]]</f>
        <v>4</v>
      </c>
      <c r="N462" s="23" t="s">
        <v>45</v>
      </c>
      <c r="O462" s="23" t="s">
        <v>23</v>
      </c>
      <c r="P462" s="23" t="s">
        <v>38</v>
      </c>
      <c r="Q462" s="23" t="s">
        <v>39</v>
      </c>
      <c r="R462" s="23" t="s">
        <v>3080</v>
      </c>
      <c r="S462" s="33">
        <v>0</v>
      </c>
      <c r="T462" s="13">
        <v>110.96</v>
      </c>
      <c r="U462" s="13">
        <v>53.260800000000003</v>
      </c>
      <c r="V462" s="55">
        <f>Table3[[#This Row],[Profit]]/Table3[[#This Row],[Sales]]</f>
        <v>0.48000000000000004</v>
      </c>
    </row>
    <row r="463" spans="1:22" x14ac:dyDescent="0.2">
      <c r="A463">
        <v>462</v>
      </c>
      <c r="B463" t="s">
        <v>9282</v>
      </c>
      <c r="C463" s="1">
        <v>42821</v>
      </c>
      <c r="D463" s="22">
        <f>MONTH(Table3[[#This Row],[Order Date]])</f>
        <v>3</v>
      </c>
      <c r="E463" t="s">
        <v>7487</v>
      </c>
      <c r="F463" t="s">
        <v>7488</v>
      </c>
      <c r="G463" s="23" t="s">
        <v>41</v>
      </c>
      <c r="H463" s="23" t="s">
        <v>82</v>
      </c>
      <c r="I463" t="s">
        <v>9283</v>
      </c>
      <c r="J463" t="s">
        <v>92</v>
      </c>
      <c r="K463" s="22">
        <v>3</v>
      </c>
      <c r="L463" s="1">
        <v>42825</v>
      </c>
      <c r="M463" s="22">
        <f>Table3[[#This Row],[Ship Date]]-Table3[[#This Row],[Order Date]]</f>
        <v>4</v>
      </c>
      <c r="N463" s="23" t="s">
        <v>45</v>
      </c>
      <c r="O463" s="23" t="s">
        <v>23</v>
      </c>
      <c r="P463" s="23" t="s">
        <v>38</v>
      </c>
      <c r="Q463" s="23" t="s">
        <v>39</v>
      </c>
      <c r="R463" s="23" t="s">
        <v>3080</v>
      </c>
      <c r="S463" s="33">
        <v>0</v>
      </c>
      <c r="T463" s="13">
        <v>11.94</v>
      </c>
      <c r="U463" s="13">
        <v>5.97</v>
      </c>
      <c r="V463" s="55">
        <f>Table3[[#This Row],[Profit]]/Table3[[#This Row],[Sales]]</f>
        <v>0.5</v>
      </c>
    </row>
    <row r="464" spans="1:22" x14ac:dyDescent="0.2">
      <c r="A464">
        <v>463</v>
      </c>
      <c r="B464" t="s">
        <v>10032</v>
      </c>
      <c r="C464" s="1">
        <v>42821</v>
      </c>
      <c r="D464" s="22">
        <f>MONTH(Table3[[#This Row],[Order Date]])</f>
        <v>3</v>
      </c>
      <c r="E464" t="s">
        <v>6133</v>
      </c>
      <c r="F464" t="s">
        <v>6134</v>
      </c>
      <c r="G464" s="23" t="s">
        <v>41</v>
      </c>
      <c r="H464" s="23" t="s">
        <v>42</v>
      </c>
      <c r="I464" t="s">
        <v>403</v>
      </c>
      <c r="J464" t="s">
        <v>22</v>
      </c>
      <c r="K464" s="22">
        <v>2</v>
      </c>
      <c r="L464" s="1">
        <v>42823</v>
      </c>
      <c r="M464" s="22">
        <f>Table3[[#This Row],[Ship Date]]-Table3[[#This Row],[Order Date]]</f>
        <v>2</v>
      </c>
      <c r="N464" s="23" t="s">
        <v>20</v>
      </c>
      <c r="O464" s="23" t="s">
        <v>23</v>
      </c>
      <c r="P464" s="23" t="s">
        <v>285</v>
      </c>
      <c r="Q464" s="23" t="s">
        <v>26</v>
      </c>
      <c r="R464" s="23" t="s">
        <v>1294</v>
      </c>
      <c r="S464" s="33">
        <v>0</v>
      </c>
      <c r="T464" s="13">
        <v>8.26</v>
      </c>
      <c r="U464" s="13">
        <v>3.7995999999999999</v>
      </c>
      <c r="V464" s="55">
        <f>Table3[[#This Row],[Profit]]/Table3[[#This Row],[Sales]]</f>
        <v>0.46</v>
      </c>
    </row>
    <row r="465" spans="1:22" x14ac:dyDescent="0.2">
      <c r="A465">
        <v>464</v>
      </c>
      <c r="B465" t="s">
        <v>10032</v>
      </c>
      <c r="C465" s="1">
        <v>42821</v>
      </c>
      <c r="D465" s="22">
        <f>MONTH(Table3[[#This Row],[Order Date]])</f>
        <v>3</v>
      </c>
      <c r="E465" t="s">
        <v>790</v>
      </c>
      <c r="F465" t="s">
        <v>791</v>
      </c>
      <c r="G465" s="23" t="s">
        <v>41</v>
      </c>
      <c r="H465" s="23" t="s">
        <v>68</v>
      </c>
      <c r="I465" t="s">
        <v>403</v>
      </c>
      <c r="J465" t="s">
        <v>22</v>
      </c>
      <c r="K465" s="22">
        <v>2</v>
      </c>
      <c r="L465" s="1">
        <v>42823</v>
      </c>
      <c r="M465" s="22">
        <f>Table3[[#This Row],[Ship Date]]-Table3[[#This Row],[Order Date]]</f>
        <v>2</v>
      </c>
      <c r="N465" s="23" t="s">
        <v>20</v>
      </c>
      <c r="O465" s="23" t="s">
        <v>23</v>
      </c>
      <c r="P465" s="23" t="s">
        <v>285</v>
      </c>
      <c r="Q465" s="23" t="s">
        <v>26</v>
      </c>
      <c r="R465" s="23" t="s">
        <v>1294</v>
      </c>
      <c r="S465" s="33">
        <v>0</v>
      </c>
      <c r="T465" s="13">
        <v>17.760000000000002</v>
      </c>
      <c r="U465" s="13">
        <v>8.8800000000000008</v>
      </c>
      <c r="V465" s="55">
        <f>Table3[[#This Row],[Profit]]/Table3[[#This Row],[Sales]]</f>
        <v>0.5</v>
      </c>
    </row>
    <row r="466" spans="1:22" x14ac:dyDescent="0.2">
      <c r="A466">
        <v>465</v>
      </c>
      <c r="B466" t="s">
        <v>10032</v>
      </c>
      <c r="C466" s="1">
        <v>42821</v>
      </c>
      <c r="D466" s="22">
        <f>MONTH(Table3[[#This Row],[Order Date]])</f>
        <v>3</v>
      </c>
      <c r="E466" t="s">
        <v>5352</v>
      </c>
      <c r="F466" t="s">
        <v>5353</v>
      </c>
      <c r="G466" s="23" t="s">
        <v>41</v>
      </c>
      <c r="H466" s="23" t="s">
        <v>53</v>
      </c>
      <c r="I466" t="s">
        <v>403</v>
      </c>
      <c r="J466" t="s">
        <v>22</v>
      </c>
      <c r="K466" s="22">
        <v>3</v>
      </c>
      <c r="L466" s="1">
        <v>42823</v>
      </c>
      <c r="M466" s="22">
        <f>Table3[[#This Row],[Ship Date]]-Table3[[#This Row],[Order Date]]</f>
        <v>2</v>
      </c>
      <c r="N466" s="23" t="s">
        <v>20</v>
      </c>
      <c r="O466" s="23" t="s">
        <v>23</v>
      </c>
      <c r="P466" s="23" t="s">
        <v>285</v>
      </c>
      <c r="Q466" s="23" t="s">
        <v>26</v>
      </c>
      <c r="R466" s="23" t="s">
        <v>1294</v>
      </c>
      <c r="S466" s="33">
        <v>0</v>
      </c>
      <c r="T466" s="13">
        <v>332.94</v>
      </c>
      <c r="U466" s="13">
        <v>9.9882000000000009</v>
      </c>
      <c r="V466" s="55">
        <f>Table3[[#This Row],[Profit]]/Table3[[#This Row],[Sales]]</f>
        <v>3.0000000000000002E-2</v>
      </c>
    </row>
    <row r="467" spans="1:22" x14ac:dyDescent="0.2">
      <c r="A467">
        <v>466</v>
      </c>
      <c r="B467" t="s">
        <v>10032</v>
      </c>
      <c r="C467" s="1">
        <v>42821</v>
      </c>
      <c r="D467" s="22">
        <f>MONTH(Table3[[#This Row],[Order Date]])</f>
        <v>3</v>
      </c>
      <c r="E467" t="s">
        <v>978</v>
      </c>
      <c r="F467" t="s">
        <v>979</v>
      </c>
      <c r="G467" s="23" t="s">
        <v>28</v>
      </c>
      <c r="H467" s="23" t="s">
        <v>50</v>
      </c>
      <c r="I467" t="s">
        <v>403</v>
      </c>
      <c r="J467" t="s">
        <v>22</v>
      </c>
      <c r="K467" s="22">
        <v>2</v>
      </c>
      <c r="L467" s="1">
        <v>42823</v>
      </c>
      <c r="M467" s="22">
        <f>Table3[[#This Row],[Ship Date]]-Table3[[#This Row],[Order Date]]</f>
        <v>2</v>
      </c>
      <c r="N467" s="23" t="s">
        <v>20</v>
      </c>
      <c r="O467" s="23" t="s">
        <v>23</v>
      </c>
      <c r="P467" s="23" t="s">
        <v>285</v>
      </c>
      <c r="Q467" s="23" t="s">
        <v>26</v>
      </c>
      <c r="R467" s="23" t="s">
        <v>1294</v>
      </c>
      <c r="S467" s="33">
        <v>0</v>
      </c>
      <c r="T467" s="13">
        <v>292.10000000000002</v>
      </c>
      <c r="U467" s="13">
        <v>58.42</v>
      </c>
      <c r="V467" s="55">
        <f>Table3[[#This Row],[Profit]]/Table3[[#This Row],[Sales]]</f>
        <v>0.19999999999999998</v>
      </c>
    </row>
    <row r="468" spans="1:22" x14ac:dyDescent="0.2">
      <c r="A468">
        <v>467</v>
      </c>
      <c r="B468" t="s">
        <v>10032</v>
      </c>
      <c r="C468" s="1">
        <v>42821</v>
      </c>
      <c r="D468" s="22">
        <f>MONTH(Table3[[#This Row],[Order Date]])</f>
        <v>3</v>
      </c>
      <c r="E468" t="s">
        <v>8085</v>
      </c>
      <c r="F468" t="s">
        <v>8086</v>
      </c>
      <c r="G468" s="23" t="s">
        <v>64</v>
      </c>
      <c r="H468" s="23" t="s">
        <v>65</v>
      </c>
      <c r="I468" t="s">
        <v>403</v>
      </c>
      <c r="J468" t="s">
        <v>22</v>
      </c>
      <c r="K468" s="22">
        <v>5</v>
      </c>
      <c r="L468" s="1">
        <v>42823</v>
      </c>
      <c r="M468" s="22">
        <f>Table3[[#This Row],[Ship Date]]-Table3[[#This Row],[Order Date]]</f>
        <v>2</v>
      </c>
      <c r="N468" s="23" t="s">
        <v>20</v>
      </c>
      <c r="O468" s="23" t="s">
        <v>23</v>
      </c>
      <c r="P468" s="23" t="s">
        <v>285</v>
      </c>
      <c r="Q468" s="23" t="s">
        <v>26</v>
      </c>
      <c r="R468" s="23" t="s">
        <v>1294</v>
      </c>
      <c r="S468" s="33">
        <v>0</v>
      </c>
      <c r="T468" s="13">
        <v>206.1</v>
      </c>
      <c r="U468" s="13">
        <v>55.646999999999998</v>
      </c>
      <c r="V468" s="55">
        <f>Table3[[#This Row],[Profit]]/Table3[[#This Row],[Sales]]</f>
        <v>0.27</v>
      </c>
    </row>
    <row r="469" spans="1:22" x14ac:dyDescent="0.2">
      <c r="A469">
        <v>468</v>
      </c>
      <c r="B469" t="s">
        <v>10032</v>
      </c>
      <c r="C469" s="1">
        <v>42821</v>
      </c>
      <c r="D469" s="22">
        <f>MONTH(Table3[[#This Row],[Order Date]])</f>
        <v>3</v>
      </c>
      <c r="E469" t="s">
        <v>906</v>
      </c>
      <c r="F469" t="s">
        <v>907</v>
      </c>
      <c r="G469" s="23" t="s">
        <v>41</v>
      </c>
      <c r="H469" s="23" t="s">
        <v>82</v>
      </c>
      <c r="I469" t="s">
        <v>403</v>
      </c>
      <c r="J469" t="s">
        <v>22</v>
      </c>
      <c r="K469" s="22">
        <v>4</v>
      </c>
      <c r="L469" s="1">
        <v>42823</v>
      </c>
      <c r="M469" s="22">
        <f>Table3[[#This Row],[Ship Date]]-Table3[[#This Row],[Order Date]]</f>
        <v>2</v>
      </c>
      <c r="N469" s="23" t="s">
        <v>20</v>
      </c>
      <c r="O469" s="23" t="s">
        <v>23</v>
      </c>
      <c r="P469" s="23" t="s">
        <v>285</v>
      </c>
      <c r="Q469" s="23" t="s">
        <v>26</v>
      </c>
      <c r="R469" s="23" t="s">
        <v>1294</v>
      </c>
      <c r="S469" s="33">
        <v>0</v>
      </c>
      <c r="T469" s="13">
        <v>17.64</v>
      </c>
      <c r="U469" s="13">
        <v>8.1143999999999998</v>
      </c>
      <c r="V469" s="55">
        <f>Table3[[#This Row],[Profit]]/Table3[[#This Row],[Sales]]</f>
        <v>0.45999999999999996</v>
      </c>
    </row>
    <row r="470" spans="1:22" x14ac:dyDescent="0.2">
      <c r="A470">
        <v>469</v>
      </c>
      <c r="B470" t="s">
        <v>10049</v>
      </c>
      <c r="C470" s="1">
        <v>42821</v>
      </c>
      <c r="D470" s="22">
        <f>MONTH(Table3[[#This Row],[Order Date]])</f>
        <v>3</v>
      </c>
      <c r="E470" t="s">
        <v>2722</v>
      </c>
      <c r="F470" t="s">
        <v>2723</v>
      </c>
      <c r="G470" s="23" t="s">
        <v>28</v>
      </c>
      <c r="H470" s="23" t="s">
        <v>29</v>
      </c>
      <c r="I470" t="s">
        <v>1285</v>
      </c>
      <c r="J470" t="s">
        <v>22</v>
      </c>
      <c r="K470" s="22">
        <v>5</v>
      </c>
      <c r="L470" s="1">
        <v>42826</v>
      </c>
      <c r="M470" s="22">
        <f>Table3[[#This Row],[Ship Date]]-Table3[[#This Row],[Order Date]]</f>
        <v>5</v>
      </c>
      <c r="N470" s="23" t="s">
        <v>45</v>
      </c>
      <c r="O470" s="23" t="s">
        <v>23</v>
      </c>
      <c r="P470" s="23" t="s">
        <v>94</v>
      </c>
      <c r="Q470" s="23" t="s">
        <v>95</v>
      </c>
      <c r="R470" s="23" t="s">
        <v>165</v>
      </c>
      <c r="S470" s="33">
        <v>0.32</v>
      </c>
      <c r="T470" s="13">
        <v>1023.332</v>
      </c>
      <c r="U470" s="13">
        <v>-30.097999999999999</v>
      </c>
      <c r="V470" s="55">
        <f>Table3[[#This Row],[Profit]]/Table3[[#This Row],[Sales]]</f>
        <v>-2.9411764705882353E-2</v>
      </c>
    </row>
    <row r="471" spans="1:22" x14ac:dyDescent="0.2">
      <c r="A471">
        <v>470</v>
      </c>
      <c r="B471" t="s">
        <v>10049</v>
      </c>
      <c r="C471" s="1">
        <v>42821</v>
      </c>
      <c r="D471" s="22">
        <f>MONTH(Table3[[#This Row],[Order Date]])</f>
        <v>3</v>
      </c>
      <c r="E471" t="s">
        <v>472</v>
      </c>
      <c r="F471" t="s">
        <v>473</v>
      </c>
      <c r="G471" s="23" t="s">
        <v>28</v>
      </c>
      <c r="H471" s="23" t="s">
        <v>32</v>
      </c>
      <c r="I471" t="s">
        <v>1285</v>
      </c>
      <c r="J471" t="s">
        <v>22</v>
      </c>
      <c r="K471" s="22">
        <v>3</v>
      </c>
      <c r="L471" s="1">
        <v>42826</v>
      </c>
      <c r="M471" s="22">
        <f>Table3[[#This Row],[Ship Date]]-Table3[[#This Row],[Order Date]]</f>
        <v>5</v>
      </c>
      <c r="N471" s="23" t="s">
        <v>45</v>
      </c>
      <c r="O471" s="23" t="s">
        <v>23</v>
      </c>
      <c r="P471" s="23" t="s">
        <v>94</v>
      </c>
      <c r="Q471" s="23" t="s">
        <v>95</v>
      </c>
      <c r="R471" s="23" t="s">
        <v>165</v>
      </c>
      <c r="S471" s="33">
        <v>0.3</v>
      </c>
      <c r="T471" s="13">
        <v>600.55799999999999</v>
      </c>
      <c r="U471" s="13">
        <v>-8.5793999999999997</v>
      </c>
      <c r="V471" s="55">
        <f>Table3[[#This Row],[Profit]]/Table3[[#This Row],[Sales]]</f>
        <v>-1.4285714285714285E-2</v>
      </c>
    </row>
    <row r="472" spans="1:22" x14ac:dyDescent="0.2">
      <c r="A472">
        <v>471</v>
      </c>
      <c r="B472" t="s">
        <v>10049</v>
      </c>
      <c r="C472" s="1">
        <v>42821</v>
      </c>
      <c r="D472" s="22">
        <f>MONTH(Table3[[#This Row],[Order Date]])</f>
        <v>3</v>
      </c>
      <c r="E472" t="s">
        <v>2227</v>
      </c>
      <c r="F472" t="s">
        <v>2228</v>
      </c>
      <c r="G472" s="23" t="s">
        <v>64</v>
      </c>
      <c r="H472" s="23" t="s">
        <v>144</v>
      </c>
      <c r="I472" t="s">
        <v>1285</v>
      </c>
      <c r="J472" t="s">
        <v>22</v>
      </c>
      <c r="K472" s="22">
        <v>1</v>
      </c>
      <c r="L472" s="1">
        <v>42826</v>
      </c>
      <c r="M472" s="22">
        <f>Table3[[#This Row],[Ship Date]]-Table3[[#This Row],[Order Date]]</f>
        <v>5</v>
      </c>
      <c r="N472" s="23" t="s">
        <v>45</v>
      </c>
      <c r="O472" s="23" t="s">
        <v>23</v>
      </c>
      <c r="P472" s="23" t="s">
        <v>94</v>
      </c>
      <c r="Q472" s="23" t="s">
        <v>95</v>
      </c>
      <c r="R472" s="23" t="s">
        <v>165</v>
      </c>
      <c r="S472" s="33">
        <v>0.2</v>
      </c>
      <c r="T472" s="13">
        <v>39.991999999999997</v>
      </c>
      <c r="U472" s="13">
        <v>6.9985999999999997</v>
      </c>
      <c r="V472" s="55">
        <f>Table3[[#This Row],[Profit]]/Table3[[#This Row],[Sales]]</f>
        <v>0.17500000000000002</v>
      </c>
    </row>
    <row r="473" spans="1:22" x14ac:dyDescent="0.2">
      <c r="A473">
        <v>472</v>
      </c>
      <c r="B473" t="s">
        <v>10049</v>
      </c>
      <c r="C473" s="1">
        <v>42821</v>
      </c>
      <c r="D473" s="22">
        <f>MONTH(Table3[[#This Row],[Order Date]])</f>
        <v>3</v>
      </c>
      <c r="E473" t="s">
        <v>4791</v>
      </c>
      <c r="F473" t="s">
        <v>4792</v>
      </c>
      <c r="G473" s="23" t="s">
        <v>28</v>
      </c>
      <c r="H473" s="23" t="s">
        <v>32</v>
      </c>
      <c r="I473" t="s">
        <v>1285</v>
      </c>
      <c r="J473" t="s">
        <v>22</v>
      </c>
      <c r="K473" s="22">
        <v>2</v>
      </c>
      <c r="L473" s="1">
        <v>42826</v>
      </c>
      <c r="M473" s="22">
        <f>Table3[[#This Row],[Ship Date]]-Table3[[#This Row],[Order Date]]</f>
        <v>5</v>
      </c>
      <c r="N473" s="23" t="s">
        <v>45</v>
      </c>
      <c r="O473" s="23" t="s">
        <v>23</v>
      </c>
      <c r="P473" s="23" t="s">
        <v>94</v>
      </c>
      <c r="Q473" s="23" t="s">
        <v>95</v>
      </c>
      <c r="R473" s="23" t="s">
        <v>165</v>
      </c>
      <c r="S473" s="33">
        <v>0.3</v>
      </c>
      <c r="T473" s="13">
        <v>211.24600000000001</v>
      </c>
      <c r="U473" s="13">
        <v>-66.391599999999997</v>
      </c>
      <c r="V473" s="55">
        <f>Table3[[#This Row],[Profit]]/Table3[[#This Row],[Sales]]</f>
        <v>-0.31428571428571428</v>
      </c>
    </row>
    <row r="474" spans="1:22" x14ac:dyDescent="0.2">
      <c r="A474">
        <v>473</v>
      </c>
      <c r="B474" t="s">
        <v>4143</v>
      </c>
      <c r="C474" s="1">
        <v>42822</v>
      </c>
      <c r="D474" s="22">
        <f>MONTH(Table3[[#This Row],[Order Date]])</f>
        <v>3</v>
      </c>
      <c r="E474" t="s">
        <v>3407</v>
      </c>
      <c r="F474" t="s">
        <v>3408</v>
      </c>
      <c r="G474" s="23" t="s">
        <v>41</v>
      </c>
      <c r="H474" s="23" t="s">
        <v>68</v>
      </c>
      <c r="I474" t="s">
        <v>2319</v>
      </c>
      <c r="J474" t="s">
        <v>36</v>
      </c>
      <c r="K474" s="22">
        <v>9</v>
      </c>
      <c r="L474" s="1">
        <v>42827</v>
      </c>
      <c r="M474" s="22">
        <f>Table3[[#This Row],[Ship Date]]-Table3[[#This Row],[Order Date]]</f>
        <v>5</v>
      </c>
      <c r="N474" s="23" t="s">
        <v>45</v>
      </c>
      <c r="O474" s="23" t="s">
        <v>23</v>
      </c>
      <c r="P474" s="23" t="s">
        <v>48</v>
      </c>
      <c r="Q474" s="23" t="s">
        <v>26</v>
      </c>
      <c r="R474" s="23" t="s">
        <v>1345</v>
      </c>
      <c r="S474" s="33">
        <v>0.7</v>
      </c>
      <c r="T474" s="13">
        <v>68.742000000000004</v>
      </c>
      <c r="U474" s="13">
        <v>-48.119399999999999</v>
      </c>
      <c r="V474" s="55">
        <f>Table3[[#This Row],[Profit]]/Table3[[#This Row],[Sales]]</f>
        <v>-0.7</v>
      </c>
    </row>
    <row r="475" spans="1:22" x14ac:dyDescent="0.2">
      <c r="A475">
        <v>474</v>
      </c>
      <c r="B475" t="s">
        <v>7689</v>
      </c>
      <c r="C475" s="1">
        <v>42822</v>
      </c>
      <c r="D475" s="22">
        <f>MONTH(Table3[[#This Row],[Order Date]])</f>
        <v>3</v>
      </c>
      <c r="E475" t="s">
        <v>6600</v>
      </c>
      <c r="F475" t="s">
        <v>6601</v>
      </c>
      <c r="G475" s="23" t="s">
        <v>41</v>
      </c>
      <c r="H475" s="23" t="s">
        <v>82</v>
      </c>
      <c r="I475" t="s">
        <v>5905</v>
      </c>
      <c r="J475" t="s">
        <v>36</v>
      </c>
      <c r="K475" s="22">
        <v>2</v>
      </c>
      <c r="L475" s="1">
        <v>42825</v>
      </c>
      <c r="M475" s="22">
        <f>Table3[[#This Row],[Ship Date]]-Table3[[#This Row],[Order Date]]</f>
        <v>3</v>
      </c>
      <c r="N475" s="23" t="s">
        <v>169</v>
      </c>
      <c r="O475" s="23" t="s">
        <v>23</v>
      </c>
      <c r="P475" s="23" t="s">
        <v>38</v>
      </c>
      <c r="Q475" s="23" t="s">
        <v>39</v>
      </c>
      <c r="R475" s="23" t="s">
        <v>659</v>
      </c>
      <c r="S475" s="33">
        <v>0</v>
      </c>
      <c r="T475" s="13">
        <v>12.96</v>
      </c>
      <c r="U475" s="13">
        <v>6.3503999999999996</v>
      </c>
      <c r="V475" s="55">
        <f>Table3[[#This Row],[Profit]]/Table3[[#This Row],[Sales]]</f>
        <v>0.48999999999999994</v>
      </c>
    </row>
    <row r="476" spans="1:22" x14ac:dyDescent="0.2">
      <c r="A476">
        <v>475</v>
      </c>
      <c r="B476" t="s">
        <v>7689</v>
      </c>
      <c r="C476" s="1">
        <v>42822</v>
      </c>
      <c r="D476" s="22">
        <f>MONTH(Table3[[#This Row],[Order Date]])</f>
        <v>3</v>
      </c>
      <c r="E476" t="s">
        <v>2581</v>
      </c>
      <c r="F476" t="s">
        <v>2582</v>
      </c>
      <c r="G476" s="23" t="s">
        <v>28</v>
      </c>
      <c r="H476" s="23" t="s">
        <v>58</v>
      </c>
      <c r="I476" t="s">
        <v>5905</v>
      </c>
      <c r="J476" t="s">
        <v>36</v>
      </c>
      <c r="K476" s="22">
        <v>1</v>
      </c>
      <c r="L476" s="1">
        <v>42825</v>
      </c>
      <c r="M476" s="22">
        <f>Table3[[#This Row],[Ship Date]]-Table3[[#This Row],[Order Date]]</f>
        <v>3</v>
      </c>
      <c r="N476" s="23" t="s">
        <v>169</v>
      </c>
      <c r="O476" s="23" t="s">
        <v>23</v>
      </c>
      <c r="P476" s="23" t="s">
        <v>38</v>
      </c>
      <c r="Q476" s="23" t="s">
        <v>39</v>
      </c>
      <c r="R476" s="23" t="s">
        <v>659</v>
      </c>
      <c r="S476" s="33">
        <v>0</v>
      </c>
      <c r="T476" s="13">
        <v>26.48</v>
      </c>
      <c r="U476" s="13">
        <v>10.0624</v>
      </c>
      <c r="V476" s="55">
        <f>Table3[[#This Row],[Profit]]/Table3[[#This Row],[Sales]]</f>
        <v>0.38</v>
      </c>
    </row>
    <row r="477" spans="1:22" x14ac:dyDescent="0.2">
      <c r="A477">
        <v>476</v>
      </c>
      <c r="B477" t="s">
        <v>7689</v>
      </c>
      <c r="C477" s="1">
        <v>42822</v>
      </c>
      <c r="D477" s="22">
        <f>MONTH(Table3[[#This Row],[Order Date]])</f>
        <v>3</v>
      </c>
      <c r="E477" t="s">
        <v>3845</v>
      </c>
      <c r="F477" t="s">
        <v>3846</v>
      </c>
      <c r="G477" s="23" t="s">
        <v>64</v>
      </c>
      <c r="H477" s="23" t="s">
        <v>602</v>
      </c>
      <c r="I477" t="s">
        <v>5905</v>
      </c>
      <c r="J477" t="s">
        <v>36</v>
      </c>
      <c r="K477" s="22">
        <v>2</v>
      </c>
      <c r="L477" s="1">
        <v>42825</v>
      </c>
      <c r="M477" s="22">
        <f>Table3[[#This Row],[Ship Date]]-Table3[[#This Row],[Order Date]]</f>
        <v>3</v>
      </c>
      <c r="N477" s="23" t="s">
        <v>169</v>
      </c>
      <c r="O477" s="23" t="s">
        <v>23</v>
      </c>
      <c r="P477" s="23" t="s">
        <v>38</v>
      </c>
      <c r="Q477" s="23" t="s">
        <v>39</v>
      </c>
      <c r="R477" s="23" t="s">
        <v>659</v>
      </c>
      <c r="S477" s="33">
        <v>0.2</v>
      </c>
      <c r="T477" s="13">
        <v>532.72</v>
      </c>
      <c r="U477" s="13">
        <v>53.271999999999998</v>
      </c>
      <c r="V477" s="55">
        <f>Table3[[#This Row],[Profit]]/Table3[[#This Row],[Sales]]</f>
        <v>9.9999999999999992E-2</v>
      </c>
    </row>
    <row r="478" spans="1:22" x14ac:dyDescent="0.2">
      <c r="A478">
        <v>477</v>
      </c>
      <c r="B478" t="s">
        <v>7689</v>
      </c>
      <c r="C478" s="1">
        <v>42822</v>
      </c>
      <c r="D478" s="22">
        <f>MONTH(Table3[[#This Row],[Order Date]])</f>
        <v>3</v>
      </c>
      <c r="E478" t="s">
        <v>2244</v>
      </c>
      <c r="F478" t="s">
        <v>2245</v>
      </c>
      <c r="G478" s="23" t="s">
        <v>41</v>
      </c>
      <c r="H478" s="23" t="s">
        <v>82</v>
      </c>
      <c r="I478" t="s">
        <v>5905</v>
      </c>
      <c r="J478" t="s">
        <v>36</v>
      </c>
      <c r="K478" s="22">
        <v>4</v>
      </c>
      <c r="L478" s="1">
        <v>42825</v>
      </c>
      <c r="M478" s="22">
        <f>Table3[[#This Row],[Ship Date]]-Table3[[#This Row],[Order Date]]</f>
        <v>3</v>
      </c>
      <c r="N478" s="23" t="s">
        <v>169</v>
      </c>
      <c r="O478" s="23" t="s">
        <v>23</v>
      </c>
      <c r="P478" s="23" t="s">
        <v>38</v>
      </c>
      <c r="Q478" s="23" t="s">
        <v>39</v>
      </c>
      <c r="R478" s="23" t="s">
        <v>659</v>
      </c>
      <c r="S478" s="33">
        <v>0</v>
      </c>
      <c r="T478" s="13">
        <v>26.72</v>
      </c>
      <c r="U478" s="13">
        <v>12.8256</v>
      </c>
      <c r="V478" s="55">
        <f>Table3[[#This Row],[Profit]]/Table3[[#This Row],[Sales]]</f>
        <v>0.48</v>
      </c>
    </row>
    <row r="479" spans="1:22" x14ac:dyDescent="0.2">
      <c r="A479">
        <v>478</v>
      </c>
      <c r="B479" t="s">
        <v>7689</v>
      </c>
      <c r="C479" s="1">
        <v>42822</v>
      </c>
      <c r="D479" s="22">
        <f>MONTH(Table3[[#This Row],[Order Date]])</f>
        <v>3</v>
      </c>
      <c r="E479" t="s">
        <v>1979</v>
      </c>
      <c r="F479" t="s">
        <v>1980</v>
      </c>
      <c r="G479" s="23" t="s">
        <v>41</v>
      </c>
      <c r="H479" s="23" t="s">
        <v>82</v>
      </c>
      <c r="I479" t="s">
        <v>5905</v>
      </c>
      <c r="J479" t="s">
        <v>36</v>
      </c>
      <c r="K479" s="22">
        <v>3</v>
      </c>
      <c r="L479" s="1">
        <v>42825</v>
      </c>
      <c r="M479" s="22">
        <f>Table3[[#This Row],[Ship Date]]-Table3[[#This Row],[Order Date]]</f>
        <v>3</v>
      </c>
      <c r="N479" s="23" t="s">
        <v>169</v>
      </c>
      <c r="O479" s="23" t="s">
        <v>23</v>
      </c>
      <c r="P479" s="23" t="s">
        <v>38</v>
      </c>
      <c r="Q479" s="23" t="s">
        <v>39</v>
      </c>
      <c r="R479" s="23" t="s">
        <v>659</v>
      </c>
      <c r="S479" s="33">
        <v>0</v>
      </c>
      <c r="T479" s="13">
        <v>20.04</v>
      </c>
      <c r="U479" s="13">
        <v>9.6191999999999993</v>
      </c>
      <c r="V479" s="55">
        <f>Table3[[#This Row],[Profit]]/Table3[[#This Row],[Sales]]</f>
        <v>0.48</v>
      </c>
    </row>
    <row r="480" spans="1:22" x14ac:dyDescent="0.2">
      <c r="A480">
        <v>479</v>
      </c>
      <c r="B480" t="s">
        <v>7689</v>
      </c>
      <c r="C480" s="1">
        <v>42822</v>
      </c>
      <c r="D480" s="22">
        <f>MONTH(Table3[[#This Row],[Order Date]])</f>
        <v>3</v>
      </c>
      <c r="E480" t="s">
        <v>1443</v>
      </c>
      <c r="F480" t="s">
        <v>1444</v>
      </c>
      <c r="G480" s="23" t="s">
        <v>41</v>
      </c>
      <c r="H480" s="23" t="s">
        <v>53</v>
      </c>
      <c r="I480" t="s">
        <v>5905</v>
      </c>
      <c r="J480" t="s">
        <v>36</v>
      </c>
      <c r="K480" s="22">
        <v>7</v>
      </c>
      <c r="L480" s="1">
        <v>42825</v>
      </c>
      <c r="M480" s="22">
        <f>Table3[[#This Row],[Ship Date]]-Table3[[#This Row],[Order Date]]</f>
        <v>3</v>
      </c>
      <c r="N480" s="23" t="s">
        <v>169</v>
      </c>
      <c r="O480" s="23" t="s">
        <v>23</v>
      </c>
      <c r="P480" s="23" t="s">
        <v>38</v>
      </c>
      <c r="Q480" s="23" t="s">
        <v>39</v>
      </c>
      <c r="R480" s="23" t="s">
        <v>659</v>
      </c>
      <c r="S480" s="33">
        <v>0</v>
      </c>
      <c r="T480" s="13">
        <v>795.48</v>
      </c>
      <c r="U480" s="13">
        <v>7.9547999999999996</v>
      </c>
      <c r="V480" s="55">
        <f>Table3[[#This Row],[Profit]]/Table3[[#This Row],[Sales]]</f>
        <v>9.9999999999999985E-3</v>
      </c>
    </row>
    <row r="481" spans="1:22" x14ac:dyDescent="0.2">
      <c r="A481">
        <v>480</v>
      </c>
      <c r="B481" t="s">
        <v>7689</v>
      </c>
      <c r="C481" s="1">
        <v>42822</v>
      </c>
      <c r="D481" s="22">
        <f>MONTH(Table3[[#This Row],[Order Date]])</f>
        <v>3</v>
      </c>
      <c r="E481" t="s">
        <v>5118</v>
      </c>
      <c r="F481" t="s">
        <v>5119</v>
      </c>
      <c r="G481" s="23" t="s">
        <v>28</v>
      </c>
      <c r="H481" s="23" t="s">
        <v>58</v>
      </c>
      <c r="I481" t="s">
        <v>5905</v>
      </c>
      <c r="J481" t="s">
        <v>36</v>
      </c>
      <c r="K481" s="22">
        <v>7</v>
      </c>
      <c r="L481" s="1">
        <v>42825</v>
      </c>
      <c r="M481" s="22">
        <f>Table3[[#This Row],[Ship Date]]-Table3[[#This Row],[Order Date]]</f>
        <v>3</v>
      </c>
      <c r="N481" s="23" t="s">
        <v>169</v>
      </c>
      <c r="O481" s="23" t="s">
        <v>23</v>
      </c>
      <c r="P481" s="23" t="s">
        <v>38</v>
      </c>
      <c r="Q481" s="23" t="s">
        <v>39</v>
      </c>
      <c r="R481" s="23" t="s">
        <v>659</v>
      </c>
      <c r="S481" s="33">
        <v>0</v>
      </c>
      <c r="T481" s="13">
        <v>21.56</v>
      </c>
      <c r="U481" s="13">
        <v>6.8992000000000004</v>
      </c>
      <c r="V481" s="55">
        <f>Table3[[#This Row],[Profit]]/Table3[[#This Row],[Sales]]</f>
        <v>0.32000000000000006</v>
      </c>
    </row>
    <row r="482" spans="1:22" x14ac:dyDescent="0.2">
      <c r="A482">
        <v>481</v>
      </c>
      <c r="B482" t="s">
        <v>7677</v>
      </c>
      <c r="C482" s="1">
        <v>42823</v>
      </c>
      <c r="D482" s="22">
        <f>MONTH(Table3[[#This Row],[Order Date]])</f>
        <v>3</v>
      </c>
      <c r="E482" t="s">
        <v>6127</v>
      </c>
      <c r="F482" t="s">
        <v>6128</v>
      </c>
      <c r="G482" s="23" t="s">
        <v>41</v>
      </c>
      <c r="H482" s="23" t="s">
        <v>53</v>
      </c>
      <c r="I482" t="s">
        <v>6681</v>
      </c>
      <c r="J482" t="s">
        <v>22</v>
      </c>
      <c r="K482" s="22">
        <v>5</v>
      </c>
      <c r="L482" s="1">
        <v>42827</v>
      </c>
      <c r="M482" s="22">
        <f>Table3[[#This Row],[Ship Date]]-Table3[[#This Row],[Order Date]]</f>
        <v>4</v>
      </c>
      <c r="N482" s="23" t="s">
        <v>20</v>
      </c>
      <c r="O482" s="23" t="s">
        <v>23</v>
      </c>
      <c r="P482" s="23" t="s">
        <v>226</v>
      </c>
      <c r="Q482" s="23" t="s">
        <v>95</v>
      </c>
      <c r="R482" s="23" t="s">
        <v>3766</v>
      </c>
      <c r="S482" s="33">
        <v>0</v>
      </c>
      <c r="T482" s="13">
        <v>81.400000000000006</v>
      </c>
      <c r="U482" s="13">
        <v>21.164000000000001</v>
      </c>
      <c r="V482" s="55">
        <f>Table3[[#This Row],[Profit]]/Table3[[#This Row],[Sales]]</f>
        <v>0.26</v>
      </c>
    </row>
    <row r="483" spans="1:22" x14ac:dyDescent="0.2">
      <c r="A483">
        <v>482</v>
      </c>
      <c r="B483" t="s">
        <v>6839</v>
      </c>
      <c r="C483" s="1">
        <v>42824</v>
      </c>
      <c r="D483" s="22">
        <f>MONTH(Table3[[#This Row],[Order Date]])</f>
        <v>3</v>
      </c>
      <c r="E483" t="s">
        <v>6841</v>
      </c>
      <c r="F483" t="s">
        <v>6842</v>
      </c>
      <c r="G483" s="23" t="s">
        <v>41</v>
      </c>
      <c r="H483" s="23" t="s">
        <v>155</v>
      </c>
      <c r="I483" t="s">
        <v>6840</v>
      </c>
      <c r="J483" t="s">
        <v>22</v>
      </c>
      <c r="K483" s="22">
        <v>2</v>
      </c>
      <c r="L483" s="1">
        <v>42825</v>
      </c>
      <c r="M483" s="22">
        <f>Table3[[#This Row],[Ship Date]]-Table3[[#This Row],[Order Date]]</f>
        <v>1</v>
      </c>
      <c r="N483" s="23" t="s">
        <v>169</v>
      </c>
      <c r="O483" s="23" t="s">
        <v>23</v>
      </c>
      <c r="P483" s="23" t="s">
        <v>573</v>
      </c>
      <c r="Q483" s="23" t="s">
        <v>95</v>
      </c>
      <c r="R483" s="23" t="s">
        <v>4295</v>
      </c>
      <c r="S483" s="33">
        <v>0</v>
      </c>
      <c r="T483" s="13">
        <v>325.86</v>
      </c>
      <c r="U483" s="13">
        <v>149.8956</v>
      </c>
      <c r="V483" s="55">
        <f>Table3[[#This Row],[Profit]]/Table3[[#This Row],[Sales]]</f>
        <v>0.45999999999999996</v>
      </c>
    </row>
    <row r="484" spans="1:22" x14ac:dyDescent="0.2">
      <c r="A484">
        <v>483</v>
      </c>
      <c r="B484" t="s">
        <v>6956</v>
      </c>
      <c r="C484" s="1">
        <v>42824</v>
      </c>
      <c r="D484" s="22">
        <f>MONTH(Table3[[#This Row],[Order Date]])</f>
        <v>3</v>
      </c>
      <c r="E484" t="s">
        <v>159</v>
      </c>
      <c r="F484" t="s">
        <v>160</v>
      </c>
      <c r="G484" s="23" t="s">
        <v>41</v>
      </c>
      <c r="H484" s="23" t="s">
        <v>68</v>
      </c>
      <c r="I484" t="s">
        <v>5455</v>
      </c>
      <c r="J484" t="s">
        <v>22</v>
      </c>
      <c r="K484" s="22">
        <v>5</v>
      </c>
      <c r="L484" s="1">
        <v>42828</v>
      </c>
      <c r="M484" s="22">
        <f>Table3[[#This Row],[Ship Date]]-Table3[[#This Row],[Order Date]]</f>
        <v>4</v>
      </c>
      <c r="N484" s="23" t="s">
        <v>45</v>
      </c>
      <c r="O484" s="23" t="s">
        <v>23</v>
      </c>
      <c r="P484" s="23" t="s">
        <v>132</v>
      </c>
      <c r="Q484" s="23" t="s">
        <v>133</v>
      </c>
      <c r="R484" s="23" t="s">
        <v>2174</v>
      </c>
      <c r="S484" s="33">
        <v>0.7</v>
      </c>
      <c r="T484" s="13">
        <v>5.7149999999999999</v>
      </c>
      <c r="U484" s="13">
        <v>-4.7625000000000002</v>
      </c>
      <c r="V484" s="55">
        <f>Table3[[#This Row],[Profit]]/Table3[[#This Row],[Sales]]</f>
        <v>-0.83333333333333337</v>
      </c>
    </row>
    <row r="485" spans="1:22" x14ac:dyDescent="0.2">
      <c r="A485">
        <v>484</v>
      </c>
      <c r="B485" t="s">
        <v>7779</v>
      </c>
      <c r="C485" s="1">
        <v>42824</v>
      </c>
      <c r="D485" s="22">
        <f>MONTH(Table3[[#This Row],[Order Date]])</f>
        <v>3</v>
      </c>
      <c r="E485" t="s">
        <v>199</v>
      </c>
      <c r="F485" t="s">
        <v>200</v>
      </c>
      <c r="G485" s="23" t="s">
        <v>41</v>
      </c>
      <c r="H485" s="23" t="s">
        <v>53</v>
      </c>
      <c r="I485" t="s">
        <v>3454</v>
      </c>
      <c r="J485" t="s">
        <v>92</v>
      </c>
      <c r="K485" s="22">
        <v>1</v>
      </c>
      <c r="L485" s="1">
        <v>42828</v>
      </c>
      <c r="M485" s="22">
        <f>Table3[[#This Row],[Ship Date]]-Table3[[#This Row],[Order Date]]</f>
        <v>4</v>
      </c>
      <c r="N485" s="23" t="s">
        <v>45</v>
      </c>
      <c r="O485" s="23" t="s">
        <v>23</v>
      </c>
      <c r="P485" s="23" t="s">
        <v>1125</v>
      </c>
      <c r="Q485" s="23" t="s">
        <v>26</v>
      </c>
      <c r="R485" s="23" t="s">
        <v>440</v>
      </c>
      <c r="S485" s="33">
        <v>0</v>
      </c>
      <c r="T485" s="13">
        <v>59.76</v>
      </c>
      <c r="U485" s="13">
        <v>16.732800000000001</v>
      </c>
      <c r="V485" s="55">
        <f>Table3[[#This Row],[Profit]]/Table3[[#This Row],[Sales]]</f>
        <v>0.28000000000000003</v>
      </c>
    </row>
    <row r="486" spans="1:22" x14ac:dyDescent="0.2">
      <c r="A486">
        <v>485</v>
      </c>
      <c r="B486" t="s">
        <v>8733</v>
      </c>
      <c r="C486" s="1">
        <v>42824</v>
      </c>
      <c r="D486" s="22">
        <f>MONTH(Table3[[#This Row],[Order Date]])</f>
        <v>3</v>
      </c>
      <c r="E486" t="s">
        <v>4619</v>
      </c>
      <c r="F486" t="s">
        <v>4620</v>
      </c>
      <c r="G486" s="23" t="s">
        <v>41</v>
      </c>
      <c r="H486" s="23" t="s">
        <v>61</v>
      </c>
      <c r="I486" t="s">
        <v>3570</v>
      </c>
      <c r="J486" t="s">
        <v>22</v>
      </c>
      <c r="K486" s="22">
        <v>2</v>
      </c>
      <c r="L486" s="1">
        <v>42824</v>
      </c>
      <c r="M486" s="22">
        <f>Table3[[#This Row],[Ship Date]]-Table3[[#This Row],[Order Date]]</f>
        <v>0</v>
      </c>
      <c r="N486" s="23" t="s">
        <v>1141</v>
      </c>
      <c r="O486" s="23" t="s">
        <v>23</v>
      </c>
      <c r="P486" s="23" t="s">
        <v>38</v>
      </c>
      <c r="Q486" s="23" t="s">
        <v>39</v>
      </c>
      <c r="R486" s="23" t="s">
        <v>37</v>
      </c>
      <c r="S486" s="33">
        <v>0</v>
      </c>
      <c r="T486" s="13">
        <v>6.08</v>
      </c>
      <c r="U486" s="13">
        <v>2.0672000000000001</v>
      </c>
      <c r="V486" s="55">
        <f>Table3[[#This Row],[Profit]]/Table3[[#This Row],[Sales]]</f>
        <v>0.34</v>
      </c>
    </row>
    <row r="487" spans="1:22" x14ac:dyDescent="0.2">
      <c r="A487">
        <v>486</v>
      </c>
      <c r="B487" t="s">
        <v>8733</v>
      </c>
      <c r="C487" s="1">
        <v>42824</v>
      </c>
      <c r="D487" s="22">
        <f>MONTH(Table3[[#This Row],[Order Date]])</f>
        <v>3</v>
      </c>
      <c r="E487" t="s">
        <v>242</v>
      </c>
      <c r="F487" t="s">
        <v>243</v>
      </c>
      <c r="G487" s="23" t="s">
        <v>64</v>
      </c>
      <c r="H487" s="23" t="s">
        <v>65</v>
      </c>
      <c r="I487" t="s">
        <v>3570</v>
      </c>
      <c r="J487" t="s">
        <v>22</v>
      </c>
      <c r="K487" s="22">
        <v>1</v>
      </c>
      <c r="L487" s="1">
        <v>42824</v>
      </c>
      <c r="M487" s="22">
        <f>Table3[[#This Row],[Ship Date]]-Table3[[#This Row],[Order Date]]</f>
        <v>0</v>
      </c>
      <c r="N487" s="23" t="s">
        <v>1141</v>
      </c>
      <c r="O487" s="23" t="s">
        <v>23</v>
      </c>
      <c r="P487" s="23" t="s">
        <v>38</v>
      </c>
      <c r="Q487" s="23" t="s">
        <v>39</v>
      </c>
      <c r="R487" s="23" t="s">
        <v>37</v>
      </c>
      <c r="S487" s="33">
        <v>0.2</v>
      </c>
      <c r="T487" s="13">
        <v>164.792</v>
      </c>
      <c r="U487" s="13">
        <v>18.539100000000001</v>
      </c>
      <c r="V487" s="55">
        <f>Table3[[#This Row],[Profit]]/Table3[[#This Row],[Sales]]</f>
        <v>0.1125</v>
      </c>
    </row>
    <row r="488" spans="1:22" x14ac:dyDescent="0.2">
      <c r="A488">
        <v>487</v>
      </c>
      <c r="B488" t="s">
        <v>9384</v>
      </c>
      <c r="C488" s="1">
        <v>42824</v>
      </c>
      <c r="D488" s="22">
        <f>MONTH(Table3[[#This Row],[Order Date]])</f>
        <v>3</v>
      </c>
      <c r="E488" t="s">
        <v>4090</v>
      </c>
      <c r="F488" t="s">
        <v>4091</v>
      </c>
      <c r="G488" s="23" t="s">
        <v>28</v>
      </c>
      <c r="H488" s="23" t="s">
        <v>58</v>
      </c>
      <c r="I488" t="s">
        <v>1976</v>
      </c>
      <c r="J488" t="s">
        <v>22</v>
      </c>
      <c r="K488" s="22">
        <v>5</v>
      </c>
      <c r="L488" s="1">
        <v>42826</v>
      </c>
      <c r="M488" s="22">
        <f>Table3[[#This Row],[Ship Date]]-Table3[[#This Row],[Order Date]]</f>
        <v>2</v>
      </c>
      <c r="N488" s="23" t="s">
        <v>20</v>
      </c>
      <c r="O488" s="23" t="s">
        <v>23</v>
      </c>
      <c r="P488" s="23" t="s">
        <v>38</v>
      </c>
      <c r="Q488" s="23" t="s">
        <v>39</v>
      </c>
      <c r="R488" s="23" t="s">
        <v>990</v>
      </c>
      <c r="S488" s="33">
        <v>0</v>
      </c>
      <c r="T488" s="13">
        <v>94.2</v>
      </c>
      <c r="U488" s="13">
        <v>39.564</v>
      </c>
      <c r="V488" s="55">
        <f>Table3[[#This Row],[Profit]]/Table3[[#This Row],[Sales]]</f>
        <v>0.42</v>
      </c>
    </row>
    <row r="489" spans="1:22" x14ac:dyDescent="0.2">
      <c r="A489">
        <v>488</v>
      </c>
      <c r="B489" t="s">
        <v>1429</v>
      </c>
      <c r="C489" s="1">
        <v>42825</v>
      </c>
      <c r="D489" s="22">
        <f>MONTH(Table3[[#This Row],[Order Date]])</f>
        <v>3</v>
      </c>
      <c r="E489" t="s">
        <v>1431</v>
      </c>
      <c r="F489" t="s">
        <v>1432</v>
      </c>
      <c r="G489" s="23" t="s">
        <v>28</v>
      </c>
      <c r="H489" s="23" t="s">
        <v>29</v>
      </c>
      <c r="I489" t="s">
        <v>774</v>
      </c>
      <c r="J489" t="s">
        <v>36</v>
      </c>
      <c r="K489" s="22">
        <v>2</v>
      </c>
      <c r="L489" s="1">
        <v>42829</v>
      </c>
      <c r="M489" s="22">
        <f>Table3[[#This Row],[Ship Date]]-Table3[[#This Row],[Order Date]]</f>
        <v>4</v>
      </c>
      <c r="N489" s="23" t="s">
        <v>45</v>
      </c>
      <c r="O489" s="23" t="s">
        <v>23</v>
      </c>
      <c r="P489" s="23" t="s">
        <v>94</v>
      </c>
      <c r="Q489" s="23" t="s">
        <v>95</v>
      </c>
      <c r="R489" s="23" t="s">
        <v>1430</v>
      </c>
      <c r="S489" s="33">
        <v>0.32</v>
      </c>
      <c r="T489" s="13">
        <v>205.33279999999999</v>
      </c>
      <c r="U489" s="13">
        <v>-36.235199999999999</v>
      </c>
      <c r="V489" s="55">
        <f>Table3[[#This Row],[Profit]]/Table3[[#This Row],[Sales]]</f>
        <v>-0.17647058823529413</v>
      </c>
    </row>
    <row r="490" spans="1:22" x14ac:dyDescent="0.2">
      <c r="A490">
        <v>489</v>
      </c>
      <c r="B490" t="s">
        <v>3258</v>
      </c>
      <c r="C490" s="1">
        <v>42825</v>
      </c>
      <c r="D490" s="22">
        <f>MONTH(Table3[[#This Row],[Order Date]])</f>
        <v>3</v>
      </c>
      <c r="E490" t="s">
        <v>3260</v>
      </c>
      <c r="F490" t="s">
        <v>3261</v>
      </c>
      <c r="G490" s="23" t="s">
        <v>28</v>
      </c>
      <c r="H490" s="23" t="s">
        <v>58</v>
      </c>
      <c r="I490" t="s">
        <v>3259</v>
      </c>
      <c r="J490" t="s">
        <v>22</v>
      </c>
      <c r="K490" s="22">
        <v>2</v>
      </c>
      <c r="L490" s="1">
        <v>42827</v>
      </c>
      <c r="M490" s="22">
        <f>Table3[[#This Row],[Ship Date]]-Table3[[#This Row],[Order Date]]</f>
        <v>2</v>
      </c>
      <c r="N490" s="23" t="s">
        <v>20</v>
      </c>
      <c r="O490" s="23" t="s">
        <v>23</v>
      </c>
      <c r="P490" s="23" t="s">
        <v>238</v>
      </c>
      <c r="Q490" s="23" t="s">
        <v>133</v>
      </c>
      <c r="R490" s="23" t="s">
        <v>237</v>
      </c>
      <c r="S490" s="33">
        <v>0</v>
      </c>
      <c r="T490" s="13">
        <v>29.78</v>
      </c>
      <c r="U490" s="13">
        <v>8.0405999999999995</v>
      </c>
      <c r="V490" s="55">
        <f>Table3[[#This Row],[Profit]]/Table3[[#This Row],[Sales]]</f>
        <v>0.26999999999999996</v>
      </c>
    </row>
    <row r="491" spans="1:22" x14ac:dyDescent="0.2">
      <c r="A491">
        <v>490</v>
      </c>
      <c r="B491" t="s">
        <v>3258</v>
      </c>
      <c r="C491" s="1">
        <v>42825</v>
      </c>
      <c r="D491" s="22">
        <f>MONTH(Table3[[#This Row],[Order Date]])</f>
        <v>3</v>
      </c>
      <c r="E491" t="s">
        <v>3262</v>
      </c>
      <c r="F491" t="s">
        <v>3263</v>
      </c>
      <c r="G491" s="23" t="s">
        <v>64</v>
      </c>
      <c r="H491" s="23" t="s">
        <v>65</v>
      </c>
      <c r="I491" t="s">
        <v>3259</v>
      </c>
      <c r="J491" t="s">
        <v>22</v>
      </c>
      <c r="K491" s="22">
        <v>3</v>
      </c>
      <c r="L491" s="1">
        <v>42827</v>
      </c>
      <c r="M491" s="22">
        <f>Table3[[#This Row],[Ship Date]]-Table3[[#This Row],[Order Date]]</f>
        <v>2</v>
      </c>
      <c r="N491" s="23" t="s">
        <v>20</v>
      </c>
      <c r="O491" s="23" t="s">
        <v>23</v>
      </c>
      <c r="P491" s="23" t="s">
        <v>238</v>
      </c>
      <c r="Q491" s="23" t="s">
        <v>133</v>
      </c>
      <c r="R491" s="23" t="s">
        <v>237</v>
      </c>
      <c r="S491" s="33">
        <v>0</v>
      </c>
      <c r="T491" s="13">
        <v>677.58</v>
      </c>
      <c r="U491" s="13">
        <v>176.17080000000001</v>
      </c>
      <c r="V491" s="55">
        <f>Table3[[#This Row],[Profit]]/Table3[[#This Row],[Sales]]</f>
        <v>0.26</v>
      </c>
    </row>
    <row r="492" spans="1:22" x14ac:dyDescent="0.2">
      <c r="A492">
        <v>491</v>
      </c>
      <c r="B492" t="s">
        <v>3258</v>
      </c>
      <c r="C492" s="1">
        <v>42825</v>
      </c>
      <c r="D492" s="22">
        <f>MONTH(Table3[[#This Row],[Order Date]])</f>
        <v>3</v>
      </c>
      <c r="E492" t="s">
        <v>3264</v>
      </c>
      <c r="F492" t="s">
        <v>3265</v>
      </c>
      <c r="G492" s="23" t="s">
        <v>41</v>
      </c>
      <c r="H492" s="23" t="s">
        <v>82</v>
      </c>
      <c r="I492" t="s">
        <v>3259</v>
      </c>
      <c r="J492" t="s">
        <v>22</v>
      </c>
      <c r="K492" s="22">
        <v>8</v>
      </c>
      <c r="L492" s="1">
        <v>42827</v>
      </c>
      <c r="M492" s="22">
        <f>Table3[[#This Row],[Ship Date]]-Table3[[#This Row],[Order Date]]</f>
        <v>2</v>
      </c>
      <c r="N492" s="23" t="s">
        <v>20</v>
      </c>
      <c r="O492" s="23" t="s">
        <v>23</v>
      </c>
      <c r="P492" s="23" t="s">
        <v>238</v>
      </c>
      <c r="Q492" s="23" t="s">
        <v>133</v>
      </c>
      <c r="R492" s="23" t="s">
        <v>237</v>
      </c>
      <c r="S492" s="33">
        <v>0</v>
      </c>
      <c r="T492" s="13">
        <v>75.040000000000006</v>
      </c>
      <c r="U492" s="13">
        <v>36.019199999999998</v>
      </c>
      <c r="V492" s="55">
        <f>Table3[[#This Row],[Profit]]/Table3[[#This Row],[Sales]]</f>
        <v>0.47999999999999993</v>
      </c>
    </row>
    <row r="493" spans="1:22" x14ac:dyDescent="0.2">
      <c r="A493">
        <v>492</v>
      </c>
      <c r="B493" t="s">
        <v>4501</v>
      </c>
      <c r="C493" s="1">
        <v>42825</v>
      </c>
      <c r="D493" s="22">
        <f>MONTH(Table3[[#This Row],[Order Date]])</f>
        <v>3</v>
      </c>
      <c r="E493" t="s">
        <v>4502</v>
      </c>
      <c r="F493" t="s">
        <v>4503</v>
      </c>
      <c r="G493" s="23" t="s">
        <v>64</v>
      </c>
      <c r="H493" s="23" t="s">
        <v>65</v>
      </c>
      <c r="I493" t="s">
        <v>1194</v>
      </c>
      <c r="J493" t="s">
        <v>22</v>
      </c>
      <c r="K493" s="22">
        <v>5</v>
      </c>
      <c r="L493" s="1">
        <v>42830</v>
      </c>
      <c r="M493" s="22">
        <f>Table3[[#This Row],[Ship Date]]-Table3[[#This Row],[Order Date]]</f>
        <v>5</v>
      </c>
      <c r="N493" s="23" t="s">
        <v>45</v>
      </c>
      <c r="O493" s="23" t="s">
        <v>23</v>
      </c>
      <c r="P493" s="23" t="s">
        <v>238</v>
      </c>
      <c r="Q493" s="23" t="s">
        <v>133</v>
      </c>
      <c r="R493" s="23" t="s">
        <v>237</v>
      </c>
      <c r="S493" s="33">
        <v>0</v>
      </c>
      <c r="T493" s="13">
        <v>84.95</v>
      </c>
      <c r="U493" s="13">
        <v>22.087</v>
      </c>
      <c r="V493" s="55">
        <f>Table3[[#This Row],[Profit]]/Table3[[#This Row],[Sales]]</f>
        <v>0.26</v>
      </c>
    </row>
    <row r="494" spans="1:22" x14ac:dyDescent="0.2">
      <c r="A494">
        <v>493</v>
      </c>
      <c r="B494" t="s">
        <v>5621</v>
      </c>
      <c r="C494" s="1">
        <v>42825</v>
      </c>
      <c r="D494" s="22">
        <f>MONTH(Table3[[#This Row],[Order Date]])</f>
        <v>3</v>
      </c>
      <c r="E494" t="s">
        <v>3957</v>
      </c>
      <c r="F494" t="s">
        <v>3958</v>
      </c>
      <c r="G494" s="23" t="s">
        <v>28</v>
      </c>
      <c r="H494" s="23" t="s">
        <v>58</v>
      </c>
      <c r="I494" t="s">
        <v>4982</v>
      </c>
      <c r="J494" t="s">
        <v>92</v>
      </c>
      <c r="K494" s="22">
        <v>5</v>
      </c>
      <c r="L494" s="1">
        <v>42827</v>
      </c>
      <c r="M494" s="22">
        <f>Table3[[#This Row],[Ship Date]]-Table3[[#This Row],[Order Date]]</f>
        <v>2</v>
      </c>
      <c r="N494" s="23" t="s">
        <v>20</v>
      </c>
      <c r="O494" s="23" t="s">
        <v>23</v>
      </c>
      <c r="P494" s="23" t="s">
        <v>25</v>
      </c>
      <c r="Q494" s="23" t="s">
        <v>26</v>
      </c>
      <c r="R494" s="23" t="s">
        <v>24</v>
      </c>
      <c r="S494" s="33">
        <v>0</v>
      </c>
      <c r="T494" s="13">
        <v>61</v>
      </c>
      <c r="U494" s="13">
        <v>25.62</v>
      </c>
      <c r="V494" s="55">
        <f>Table3[[#This Row],[Profit]]/Table3[[#This Row],[Sales]]</f>
        <v>0.42000000000000004</v>
      </c>
    </row>
    <row r="495" spans="1:22" x14ac:dyDescent="0.2">
      <c r="A495">
        <v>494</v>
      </c>
      <c r="B495" t="s">
        <v>5621</v>
      </c>
      <c r="C495" s="1">
        <v>42825</v>
      </c>
      <c r="D495" s="22">
        <f>MONTH(Table3[[#This Row],[Order Date]])</f>
        <v>3</v>
      </c>
      <c r="E495" t="s">
        <v>5622</v>
      </c>
      <c r="F495" t="s">
        <v>5623</v>
      </c>
      <c r="G495" s="23" t="s">
        <v>64</v>
      </c>
      <c r="H495" s="23" t="s">
        <v>65</v>
      </c>
      <c r="I495" t="s">
        <v>4982</v>
      </c>
      <c r="J495" t="s">
        <v>92</v>
      </c>
      <c r="K495" s="22">
        <v>7</v>
      </c>
      <c r="L495" s="1">
        <v>42827</v>
      </c>
      <c r="M495" s="22">
        <f>Table3[[#This Row],[Ship Date]]-Table3[[#This Row],[Order Date]]</f>
        <v>2</v>
      </c>
      <c r="N495" s="23" t="s">
        <v>20</v>
      </c>
      <c r="O495" s="23" t="s">
        <v>23</v>
      </c>
      <c r="P495" s="23" t="s">
        <v>25</v>
      </c>
      <c r="Q495" s="23" t="s">
        <v>26</v>
      </c>
      <c r="R495" s="23" t="s">
        <v>24</v>
      </c>
      <c r="S495" s="33">
        <v>0</v>
      </c>
      <c r="T495" s="13">
        <v>671.93</v>
      </c>
      <c r="U495" s="13">
        <v>188.1404</v>
      </c>
      <c r="V495" s="55">
        <f>Table3[[#This Row],[Profit]]/Table3[[#This Row],[Sales]]</f>
        <v>0.28000000000000003</v>
      </c>
    </row>
    <row r="496" spans="1:22" x14ac:dyDescent="0.2">
      <c r="A496">
        <v>495</v>
      </c>
      <c r="B496" t="s">
        <v>5769</v>
      </c>
      <c r="C496" s="1">
        <v>42825</v>
      </c>
      <c r="D496" s="22">
        <f>MONTH(Table3[[#This Row],[Order Date]])</f>
        <v>3</v>
      </c>
      <c r="E496" t="s">
        <v>5554</v>
      </c>
      <c r="F496" t="s">
        <v>5555</v>
      </c>
      <c r="G496" s="23" t="s">
        <v>41</v>
      </c>
      <c r="H496" s="23" t="s">
        <v>68</v>
      </c>
      <c r="I496" t="s">
        <v>2060</v>
      </c>
      <c r="J496" t="s">
        <v>22</v>
      </c>
      <c r="K496" s="22">
        <v>13</v>
      </c>
      <c r="L496" s="1">
        <v>42830</v>
      </c>
      <c r="M496" s="22">
        <f>Table3[[#This Row],[Ship Date]]-Table3[[#This Row],[Order Date]]</f>
        <v>5</v>
      </c>
      <c r="N496" s="23" t="s">
        <v>20</v>
      </c>
      <c r="O496" s="23" t="s">
        <v>23</v>
      </c>
      <c r="P496" s="23" t="s">
        <v>189</v>
      </c>
      <c r="Q496" s="23" t="s">
        <v>95</v>
      </c>
      <c r="R496" s="23" t="s">
        <v>271</v>
      </c>
      <c r="S496" s="33">
        <v>0.8</v>
      </c>
      <c r="T496" s="13">
        <v>13.468</v>
      </c>
      <c r="U496" s="13">
        <v>-22.895600000000002</v>
      </c>
      <c r="V496" s="55">
        <f>Table3[[#This Row],[Profit]]/Table3[[#This Row],[Sales]]</f>
        <v>-1.7000000000000002</v>
      </c>
    </row>
    <row r="497" spans="1:22" x14ac:dyDescent="0.2">
      <c r="A497">
        <v>496</v>
      </c>
      <c r="B497" t="s">
        <v>7567</v>
      </c>
      <c r="C497" s="1">
        <v>42825</v>
      </c>
      <c r="D497" s="22">
        <f>MONTH(Table3[[#This Row],[Order Date]])</f>
        <v>3</v>
      </c>
      <c r="E497" t="s">
        <v>1066</v>
      </c>
      <c r="F497" t="s">
        <v>1067</v>
      </c>
      <c r="G497" s="23" t="s">
        <v>41</v>
      </c>
      <c r="H497" s="23" t="s">
        <v>68</v>
      </c>
      <c r="I497" t="s">
        <v>3982</v>
      </c>
      <c r="J497" t="s">
        <v>36</v>
      </c>
      <c r="K497" s="22">
        <v>1</v>
      </c>
      <c r="L497" s="1">
        <v>42827</v>
      </c>
      <c r="M497" s="22">
        <f>Table3[[#This Row],[Ship Date]]-Table3[[#This Row],[Order Date]]</f>
        <v>2</v>
      </c>
      <c r="N497" s="23" t="s">
        <v>20</v>
      </c>
      <c r="O497" s="23" t="s">
        <v>23</v>
      </c>
      <c r="P497" s="23" t="s">
        <v>1125</v>
      </c>
      <c r="Q497" s="23" t="s">
        <v>26</v>
      </c>
      <c r="R497" s="23" t="s">
        <v>1537</v>
      </c>
      <c r="S497" s="33">
        <v>0</v>
      </c>
      <c r="T497" s="13">
        <v>34.54</v>
      </c>
      <c r="U497" s="13">
        <v>17.27</v>
      </c>
      <c r="V497" s="55">
        <f>Table3[[#This Row],[Profit]]/Table3[[#This Row],[Sales]]</f>
        <v>0.5</v>
      </c>
    </row>
    <row r="498" spans="1:22" x14ac:dyDescent="0.2">
      <c r="A498">
        <v>497</v>
      </c>
      <c r="B498" t="s">
        <v>7567</v>
      </c>
      <c r="C498" s="1">
        <v>42825</v>
      </c>
      <c r="D498" s="22">
        <f>MONTH(Table3[[#This Row],[Order Date]])</f>
        <v>3</v>
      </c>
      <c r="E498" t="s">
        <v>1074</v>
      </c>
      <c r="F498" t="s">
        <v>1076</v>
      </c>
      <c r="G498" s="23" t="s">
        <v>64</v>
      </c>
      <c r="H498" s="23" t="s">
        <v>1075</v>
      </c>
      <c r="I498" t="s">
        <v>3982</v>
      </c>
      <c r="J498" t="s">
        <v>36</v>
      </c>
      <c r="K498" s="22">
        <v>5</v>
      </c>
      <c r="L498" s="1">
        <v>42827</v>
      </c>
      <c r="M498" s="22">
        <f>Table3[[#This Row],[Ship Date]]-Table3[[#This Row],[Order Date]]</f>
        <v>2</v>
      </c>
      <c r="N498" s="23" t="s">
        <v>20</v>
      </c>
      <c r="O498" s="23" t="s">
        <v>23</v>
      </c>
      <c r="P498" s="23" t="s">
        <v>1125</v>
      </c>
      <c r="Q498" s="23" t="s">
        <v>26</v>
      </c>
      <c r="R498" s="23" t="s">
        <v>1537</v>
      </c>
      <c r="S498" s="33">
        <v>0</v>
      </c>
      <c r="T498" s="13">
        <v>2999.95</v>
      </c>
      <c r="U498" s="13">
        <v>1439.9760000000001</v>
      </c>
      <c r="V498" s="55">
        <f>Table3[[#This Row],[Profit]]/Table3[[#This Row],[Sales]]</f>
        <v>0.48000000000000009</v>
      </c>
    </row>
    <row r="499" spans="1:22" x14ac:dyDescent="0.2">
      <c r="A499">
        <v>498</v>
      </c>
      <c r="B499" t="s">
        <v>7567</v>
      </c>
      <c r="C499" s="1">
        <v>42825</v>
      </c>
      <c r="D499" s="22">
        <f>MONTH(Table3[[#This Row],[Order Date]])</f>
        <v>3</v>
      </c>
      <c r="E499" t="s">
        <v>150</v>
      </c>
      <c r="F499" t="s">
        <v>151</v>
      </c>
      <c r="G499" s="23" t="s">
        <v>41</v>
      </c>
      <c r="H499" s="23" t="s">
        <v>68</v>
      </c>
      <c r="I499" t="s">
        <v>3982</v>
      </c>
      <c r="J499" t="s">
        <v>36</v>
      </c>
      <c r="K499" s="22">
        <v>4</v>
      </c>
      <c r="L499" s="1">
        <v>42827</v>
      </c>
      <c r="M499" s="22">
        <f>Table3[[#This Row],[Ship Date]]-Table3[[#This Row],[Order Date]]</f>
        <v>2</v>
      </c>
      <c r="N499" s="23" t="s">
        <v>20</v>
      </c>
      <c r="O499" s="23" t="s">
        <v>23</v>
      </c>
      <c r="P499" s="23" t="s">
        <v>1125</v>
      </c>
      <c r="Q499" s="23" t="s">
        <v>26</v>
      </c>
      <c r="R499" s="23" t="s">
        <v>1537</v>
      </c>
      <c r="S499" s="33">
        <v>0</v>
      </c>
      <c r="T499" s="13">
        <v>64.12</v>
      </c>
      <c r="U499" s="13">
        <v>30.7776</v>
      </c>
      <c r="V499" s="55">
        <f>Table3[[#This Row],[Profit]]/Table3[[#This Row],[Sales]]</f>
        <v>0.48</v>
      </c>
    </row>
    <row r="500" spans="1:22" x14ac:dyDescent="0.2">
      <c r="A500">
        <v>499</v>
      </c>
      <c r="B500" t="s">
        <v>8188</v>
      </c>
      <c r="C500" s="1">
        <v>42825</v>
      </c>
      <c r="D500" s="22">
        <f>MONTH(Table3[[#This Row],[Order Date]])</f>
        <v>3</v>
      </c>
      <c r="E500" t="s">
        <v>2516</v>
      </c>
      <c r="F500" t="s">
        <v>2517</v>
      </c>
      <c r="G500" s="23" t="s">
        <v>41</v>
      </c>
      <c r="H500" s="23" t="s">
        <v>71</v>
      </c>
      <c r="I500" t="s">
        <v>4773</v>
      </c>
      <c r="J500" t="s">
        <v>36</v>
      </c>
      <c r="K500" s="22">
        <v>5</v>
      </c>
      <c r="L500" s="1">
        <v>42827</v>
      </c>
      <c r="M500" s="22">
        <f>Table3[[#This Row],[Ship Date]]-Table3[[#This Row],[Order Date]]</f>
        <v>2</v>
      </c>
      <c r="N500" s="23" t="s">
        <v>169</v>
      </c>
      <c r="O500" s="23" t="s">
        <v>23</v>
      </c>
      <c r="P500" s="23" t="s">
        <v>94</v>
      </c>
      <c r="Q500" s="23" t="s">
        <v>95</v>
      </c>
      <c r="R500" s="23" t="s">
        <v>997</v>
      </c>
      <c r="S500" s="33">
        <v>0.8</v>
      </c>
      <c r="T500" s="13">
        <v>33.619999999999997</v>
      </c>
      <c r="U500" s="13">
        <v>-90.774000000000001</v>
      </c>
      <c r="V500" s="55">
        <f>Table3[[#This Row],[Profit]]/Table3[[#This Row],[Sales]]</f>
        <v>-2.7</v>
      </c>
    </row>
    <row r="501" spans="1:22" x14ac:dyDescent="0.2">
      <c r="A501">
        <v>500</v>
      </c>
      <c r="B501" t="s">
        <v>8746</v>
      </c>
      <c r="C501" s="1">
        <v>42825</v>
      </c>
      <c r="D501" s="22">
        <f>MONTH(Table3[[#This Row],[Order Date]])</f>
        <v>3</v>
      </c>
      <c r="E501" t="s">
        <v>1914</v>
      </c>
      <c r="F501" t="s">
        <v>1915</v>
      </c>
      <c r="G501" s="23" t="s">
        <v>41</v>
      </c>
      <c r="H501" s="23" t="s">
        <v>513</v>
      </c>
      <c r="I501" t="s">
        <v>3208</v>
      </c>
      <c r="J501" t="s">
        <v>36</v>
      </c>
      <c r="K501" s="22">
        <v>3</v>
      </c>
      <c r="L501" s="1">
        <v>42832</v>
      </c>
      <c r="M501" s="22">
        <f>Table3[[#This Row],[Ship Date]]-Table3[[#This Row],[Order Date]]</f>
        <v>7</v>
      </c>
      <c r="N501" s="23" t="s">
        <v>45</v>
      </c>
      <c r="O501" s="23" t="s">
        <v>23</v>
      </c>
      <c r="P501" s="23" t="s">
        <v>38</v>
      </c>
      <c r="Q501" s="23" t="s">
        <v>39</v>
      </c>
      <c r="R501" s="23" t="s">
        <v>37</v>
      </c>
      <c r="S501" s="33">
        <v>0</v>
      </c>
      <c r="T501" s="13">
        <v>29.7</v>
      </c>
      <c r="U501" s="13">
        <v>8.0190000000000001</v>
      </c>
      <c r="V501" s="55">
        <f>Table3[[#This Row],[Profit]]/Table3[[#This Row],[Sales]]</f>
        <v>0.27</v>
      </c>
    </row>
    <row r="502" spans="1:22" x14ac:dyDescent="0.2">
      <c r="A502">
        <v>501</v>
      </c>
      <c r="B502" t="s">
        <v>4839</v>
      </c>
      <c r="C502" s="1">
        <v>42826</v>
      </c>
      <c r="D502" s="22">
        <f>MONTH(Table3[[#This Row],[Order Date]])</f>
        <v>4</v>
      </c>
      <c r="E502" t="s">
        <v>3288</v>
      </c>
      <c r="F502" t="s">
        <v>3289</v>
      </c>
      <c r="G502" s="23" t="s">
        <v>41</v>
      </c>
      <c r="H502" s="23" t="s">
        <v>53</v>
      </c>
      <c r="I502" t="s">
        <v>4166</v>
      </c>
      <c r="J502" t="s">
        <v>22</v>
      </c>
      <c r="K502" s="22">
        <v>6</v>
      </c>
      <c r="L502" s="1">
        <v>42829</v>
      </c>
      <c r="M502" s="22">
        <f>Table3[[#This Row],[Ship Date]]-Table3[[#This Row],[Order Date]]</f>
        <v>3</v>
      </c>
      <c r="N502" s="23" t="s">
        <v>20</v>
      </c>
      <c r="O502" s="23" t="s">
        <v>23</v>
      </c>
      <c r="P502" s="23" t="s">
        <v>528</v>
      </c>
      <c r="Q502" s="23" t="s">
        <v>95</v>
      </c>
      <c r="R502" s="23" t="s">
        <v>284</v>
      </c>
      <c r="S502" s="33">
        <v>0</v>
      </c>
      <c r="T502" s="13">
        <v>94.2</v>
      </c>
      <c r="U502" s="13">
        <v>23.55</v>
      </c>
      <c r="V502" s="55">
        <f>Table3[[#This Row],[Profit]]/Table3[[#This Row],[Sales]]</f>
        <v>0.25</v>
      </c>
    </row>
    <row r="503" spans="1:22" x14ac:dyDescent="0.2">
      <c r="A503">
        <v>502</v>
      </c>
      <c r="B503" t="s">
        <v>4839</v>
      </c>
      <c r="C503" s="1">
        <v>42826</v>
      </c>
      <c r="D503" s="22">
        <f>MONTH(Table3[[#This Row],[Order Date]])</f>
        <v>4</v>
      </c>
      <c r="E503" t="s">
        <v>590</v>
      </c>
      <c r="F503" t="s">
        <v>591</v>
      </c>
      <c r="G503" s="23" t="s">
        <v>41</v>
      </c>
      <c r="H503" s="23" t="s">
        <v>155</v>
      </c>
      <c r="I503" t="s">
        <v>4166</v>
      </c>
      <c r="J503" t="s">
        <v>22</v>
      </c>
      <c r="K503" s="22">
        <v>5</v>
      </c>
      <c r="L503" s="1">
        <v>42829</v>
      </c>
      <c r="M503" s="22">
        <f>Table3[[#This Row],[Ship Date]]-Table3[[#This Row],[Order Date]]</f>
        <v>3</v>
      </c>
      <c r="N503" s="23" t="s">
        <v>20</v>
      </c>
      <c r="O503" s="23" t="s">
        <v>23</v>
      </c>
      <c r="P503" s="23" t="s">
        <v>528</v>
      </c>
      <c r="Q503" s="23" t="s">
        <v>95</v>
      </c>
      <c r="R503" s="23" t="s">
        <v>284</v>
      </c>
      <c r="S503" s="33">
        <v>0</v>
      </c>
      <c r="T503" s="13">
        <v>28.4</v>
      </c>
      <c r="U503" s="13">
        <v>13.348000000000001</v>
      </c>
      <c r="V503" s="55">
        <f>Table3[[#This Row],[Profit]]/Table3[[#This Row],[Sales]]</f>
        <v>0.47000000000000003</v>
      </c>
    </row>
    <row r="504" spans="1:22" x14ac:dyDescent="0.2">
      <c r="A504">
        <v>503</v>
      </c>
      <c r="B504" t="s">
        <v>5097</v>
      </c>
      <c r="C504" s="1">
        <v>42826</v>
      </c>
      <c r="D504" s="22">
        <f>MONTH(Table3[[#This Row],[Order Date]])</f>
        <v>4</v>
      </c>
      <c r="E504" t="s">
        <v>5098</v>
      </c>
      <c r="F504" t="s">
        <v>5099</v>
      </c>
      <c r="G504" s="23" t="s">
        <v>41</v>
      </c>
      <c r="H504" s="23" t="s">
        <v>42</v>
      </c>
      <c r="I504" t="s">
        <v>2428</v>
      </c>
      <c r="J504" t="s">
        <v>22</v>
      </c>
      <c r="K504" s="22">
        <v>2</v>
      </c>
      <c r="L504" s="1">
        <v>42830</v>
      </c>
      <c r="M504" s="22">
        <f>Table3[[#This Row],[Ship Date]]-Table3[[#This Row],[Order Date]]</f>
        <v>4</v>
      </c>
      <c r="N504" s="23" t="s">
        <v>45</v>
      </c>
      <c r="O504" s="23" t="s">
        <v>23</v>
      </c>
      <c r="P504" s="23" t="s">
        <v>38</v>
      </c>
      <c r="Q504" s="23" t="s">
        <v>39</v>
      </c>
      <c r="R504" s="23" t="s">
        <v>114</v>
      </c>
      <c r="S504" s="33">
        <v>0</v>
      </c>
      <c r="T504" s="13">
        <v>5.78</v>
      </c>
      <c r="U504" s="13">
        <v>2.7166000000000001</v>
      </c>
      <c r="V504" s="55">
        <f>Table3[[#This Row],[Profit]]/Table3[[#This Row],[Sales]]</f>
        <v>0.47000000000000003</v>
      </c>
    </row>
    <row r="505" spans="1:22" x14ac:dyDescent="0.2">
      <c r="A505">
        <v>504</v>
      </c>
      <c r="B505" t="s">
        <v>5097</v>
      </c>
      <c r="C505" s="1">
        <v>42826</v>
      </c>
      <c r="D505" s="22">
        <f>MONTH(Table3[[#This Row],[Order Date]])</f>
        <v>4</v>
      </c>
      <c r="E505" t="s">
        <v>2303</v>
      </c>
      <c r="F505" t="s">
        <v>2304</v>
      </c>
      <c r="G505" s="23" t="s">
        <v>41</v>
      </c>
      <c r="H505" s="23" t="s">
        <v>68</v>
      </c>
      <c r="I505" t="s">
        <v>2428</v>
      </c>
      <c r="J505" t="s">
        <v>22</v>
      </c>
      <c r="K505" s="22">
        <v>13</v>
      </c>
      <c r="L505" s="1">
        <v>42830</v>
      </c>
      <c r="M505" s="22">
        <f>Table3[[#This Row],[Ship Date]]-Table3[[#This Row],[Order Date]]</f>
        <v>4</v>
      </c>
      <c r="N505" s="23" t="s">
        <v>45</v>
      </c>
      <c r="O505" s="23" t="s">
        <v>23</v>
      </c>
      <c r="P505" s="23" t="s">
        <v>38</v>
      </c>
      <c r="Q505" s="23" t="s">
        <v>39</v>
      </c>
      <c r="R505" s="23" t="s">
        <v>114</v>
      </c>
      <c r="S505" s="33">
        <v>0.2</v>
      </c>
      <c r="T505" s="13">
        <v>121.68</v>
      </c>
      <c r="U505" s="13">
        <v>38.024999999999999</v>
      </c>
      <c r="V505" s="55">
        <f>Table3[[#This Row],[Profit]]/Table3[[#This Row],[Sales]]</f>
        <v>0.31249999999999994</v>
      </c>
    </row>
    <row r="506" spans="1:22" x14ac:dyDescent="0.2">
      <c r="A506">
        <v>505</v>
      </c>
      <c r="B506" t="s">
        <v>6586</v>
      </c>
      <c r="C506" s="1">
        <v>42826</v>
      </c>
      <c r="D506" s="22">
        <f>MONTH(Table3[[#This Row],[Order Date]])</f>
        <v>4</v>
      </c>
      <c r="E506" t="s">
        <v>6587</v>
      </c>
      <c r="F506" t="s">
        <v>6588</v>
      </c>
      <c r="G506" s="23" t="s">
        <v>28</v>
      </c>
      <c r="H506" s="23" t="s">
        <v>29</v>
      </c>
      <c r="I506" t="s">
        <v>6075</v>
      </c>
      <c r="J506" t="s">
        <v>36</v>
      </c>
      <c r="K506" s="22">
        <v>8</v>
      </c>
      <c r="L506" s="1">
        <v>42828</v>
      </c>
      <c r="M506" s="22">
        <f>Table3[[#This Row],[Ship Date]]-Table3[[#This Row],[Order Date]]</f>
        <v>2</v>
      </c>
      <c r="N506" s="23" t="s">
        <v>169</v>
      </c>
      <c r="O506" s="23" t="s">
        <v>23</v>
      </c>
      <c r="P506" s="23" t="s">
        <v>38</v>
      </c>
      <c r="Q506" s="23" t="s">
        <v>39</v>
      </c>
      <c r="R506" s="23" t="s">
        <v>114</v>
      </c>
      <c r="S506" s="33">
        <v>0.15</v>
      </c>
      <c r="T506" s="13">
        <v>482.66399999999999</v>
      </c>
      <c r="U506" s="13">
        <v>85.176000000000002</v>
      </c>
      <c r="V506" s="55">
        <f>Table3[[#This Row],[Profit]]/Table3[[#This Row],[Sales]]</f>
        <v>0.17647058823529413</v>
      </c>
    </row>
    <row r="507" spans="1:22" x14ac:dyDescent="0.2">
      <c r="A507">
        <v>506</v>
      </c>
      <c r="B507" t="s">
        <v>6586</v>
      </c>
      <c r="C507" s="1">
        <v>42826</v>
      </c>
      <c r="D507" s="22">
        <f>MONTH(Table3[[#This Row],[Order Date]])</f>
        <v>4</v>
      </c>
      <c r="E507" t="s">
        <v>5679</v>
      </c>
      <c r="F507" t="s">
        <v>5680</v>
      </c>
      <c r="G507" s="23" t="s">
        <v>64</v>
      </c>
      <c r="H507" s="23" t="s">
        <v>602</v>
      </c>
      <c r="I507" t="s">
        <v>6075</v>
      </c>
      <c r="J507" t="s">
        <v>36</v>
      </c>
      <c r="K507" s="22">
        <v>2</v>
      </c>
      <c r="L507" s="1">
        <v>42828</v>
      </c>
      <c r="M507" s="22">
        <f>Table3[[#This Row],[Ship Date]]-Table3[[#This Row],[Order Date]]</f>
        <v>2</v>
      </c>
      <c r="N507" s="23" t="s">
        <v>169</v>
      </c>
      <c r="O507" s="23" t="s">
        <v>23</v>
      </c>
      <c r="P507" s="23" t="s">
        <v>38</v>
      </c>
      <c r="Q507" s="23" t="s">
        <v>39</v>
      </c>
      <c r="R507" s="23" t="s">
        <v>114</v>
      </c>
      <c r="S507" s="33">
        <v>0.2</v>
      </c>
      <c r="T507" s="13">
        <v>4799.9840000000004</v>
      </c>
      <c r="U507" s="13">
        <v>359.99880000000002</v>
      </c>
      <c r="V507" s="55">
        <f>Table3[[#This Row],[Profit]]/Table3[[#This Row],[Sales]]</f>
        <v>7.4999999999999997E-2</v>
      </c>
    </row>
    <row r="508" spans="1:22" x14ac:dyDescent="0.2">
      <c r="A508">
        <v>507</v>
      </c>
      <c r="B508" t="s">
        <v>6675</v>
      </c>
      <c r="C508" s="1">
        <v>42826</v>
      </c>
      <c r="D508" s="22">
        <f>MONTH(Table3[[#This Row],[Order Date]])</f>
        <v>4</v>
      </c>
      <c r="E508" t="s">
        <v>5411</v>
      </c>
      <c r="F508" t="s">
        <v>5412</v>
      </c>
      <c r="G508" s="23" t="s">
        <v>41</v>
      </c>
      <c r="H508" s="23" t="s">
        <v>82</v>
      </c>
      <c r="I508" t="s">
        <v>4141</v>
      </c>
      <c r="J508" t="s">
        <v>22</v>
      </c>
      <c r="K508" s="22">
        <v>9</v>
      </c>
      <c r="L508" s="1">
        <v>42832</v>
      </c>
      <c r="M508" s="22">
        <f>Table3[[#This Row],[Ship Date]]-Table3[[#This Row],[Order Date]]</f>
        <v>6</v>
      </c>
      <c r="N508" s="23" t="s">
        <v>45</v>
      </c>
      <c r="O508" s="23" t="s">
        <v>23</v>
      </c>
      <c r="P508" s="23" t="s">
        <v>238</v>
      </c>
      <c r="Q508" s="23" t="s">
        <v>133</v>
      </c>
      <c r="R508" s="23" t="s">
        <v>237</v>
      </c>
      <c r="S508" s="33">
        <v>0</v>
      </c>
      <c r="T508" s="13">
        <v>42.93</v>
      </c>
      <c r="U508" s="13">
        <v>19.3185</v>
      </c>
      <c r="V508" s="55">
        <f>Table3[[#This Row],[Profit]]/Table3[[#This Row],[Sales]]</f>
        <v>0.45</v>
      </c>
    </row>
    <row r="509" spans="1:22" x14ac:dyDescent="0.2">
      <c r="A509">
        <v>508</v>
      </c>
      <c r="B509" t="s">
        <v>7522</v>
      </c>
      <c r="C509" s="1">
        <v>42826</v>
      </c>
      <c r="D509" s="22">
        <f>MONTH(Table3[[#This Row],[Order Date]])</f>
        <v>4</v>
      </c>
      <c r="E509" t="s">
        <v>4018</v>
      </c>
      <c r="F509" t="s">
        <v>4019</v>
      </c>
      <c r="G509" s="23" t="s">
        <v>64</v>
      </c>
      <c r="H509" s="23" t="s">
        <v>65</v>
      </c>
      <c r="I509" t="s">
        <v>2120</v>
      </c>
      <c r="J509" t="s">
        <v>36</v>
      </c>
      <c r="K509" s="22">
        <v>3</v>
      </c>
      <c r="L509" s="1">
        <v>42829</v>
      </c>
      <c r="M509" s="22">
        <f>Table3[[#This Row],[Ship Date]]-Table3[[#This Row],[Order Date]]</f>
        <v>3</v>
      </c>
      <c r="N509" s="23" t="s">
        <v>20</v>
      </c>
      <c r="O509" s="23" t="s">
        <v>23</v>
      </c>
      <c r="P509" s="23" t="s">
        <v>48</v>
      </c>
      <c r="Q509" s="23" t="s">
        <v>26</v>
      </c>
      <c r="R509" s="23" t="s">
        <v>1345</v>
      </c>
      <c r="S509" s="33">
        <v>0.2</v>
      </c>
      <c r="T509" s="13">
        <v>23.975999999999999</v>
      </c>
      <c r="U509" s="13">
        <v>-5.6943000000000001</v>
      </c>
      <c r="V509" s="55">
        <f>Table3[[#This Row],[Profit]]/Table3[[#This Row],[Sales]]</f>
        <v>-0.23750000000000002</v>
      </c>
    </row>
    <row r="510" spans="1:22" x14ac:dyDescent="0.2">
      <c r="A510">
        <v>509</v>
      </c>
      <c r="B510" t="s">
        <v>7522</v>
      </c>
      <c r="C510" s="1">
        <v>42826</v>
      </c>
      <c r="D510" s="22">
        <f>MONTH(Table3[[#This Row],[Order Date]])</f>
        <v>4</v>
      </c>
      <c r="E510" t="s">
        <v>3274</v>
      </c>
      <c r="F510" t="s">
        <v>3275</v>
      </c>
      <c r="G510" s="23" t="s">
        <v>41</v>
      </c>
      <c r="H510" s="23" t="s">
        <v>42</v>
      </c>
      <c r="I510" t="s">
        <v>2120</v>
      </c>
      <c r="J510" t="s">
        <v>36</v>
      </c>
      <c r="K510" s="22">
        <v>3</v>
      </c>
      <c r="L510" s="1">
        <v>42829</v>
      </c>
      <c r="M510" s="22">
        <f>Table3[[#This Row],[Ship Date]]-Table3[[#This Row],[Order Date]]</f>
        <v>3</v>
      </c>
      <c r="N510" s="23" t="s">
        <v>20</v>
      </c>
      <c r="O510" s="23" t="s">
        <v>23</v>
      </c>
      <c r="P510" s="23" t="s">
        <v>48</v>
      </c>
      <c r="Q510" s="23" t="s">
        <v>26</v>
      </c>
      <c r="R510" s="23" t="s">
        <v>1345</v>
      </c>
      <c r="S510" s="33">
        <v>0.2</v>
      </c>
      <c r="T510" s="13">
        <v>6.2640000000000002</v>
      </c>
      <c r="U510" s="13">
        <v>2.0358000000000001</v>
      </c>
      <c r="V510" s="55">
        <f>Table3[[#This Row],[Profit]]/Table3[[#This Row],[Sales]]</f>
        <v>0.32500000000000001</v>
      </c>
    </row>
    <row r="511" spans="1:22" x14ac:dyDescent="0.2">
      <c r="A511">
        <v>510</v>
      </c>
      <c r="B511" t="s">
        <v>7522</v>
      </c>
      <c r="C511" s="1">
        <v>42826</v>
      </c>
      <c r="D511" s="22">
        <f>MONTH(Table3[[#This Row],[Order Date]])</f>
        <v>4</v>
      </c>
      <c r="E511" t="s">
        <v>4690</v>
      </c>
      <c r="F511" t="s">
        <v>1262</v>
      </c>
      <c r="G511" s="23" t="s">
        <v>41</v>
      </c>
      <c r="H511" s="23" t="s">
        <v>71</v>
      </c>
      <c r="I511" t="s">
        <v>2120</v>
      </c>
      <c r="J511" t="s">
        <v>36</v>
      </c>
      <c r="K511" s="22">
        <v>3</v>
      </c>
      <c r="L511" s="1">
        <v>42829</v>
      </c>
      <c r="M511" s="22">
        <f>Table3[[#This Row],[Ship Date]]-Table3[[#This Row],[Order Date]]</f>
        <v>3</v>
      </c>
      <c r="N511" s="23" t="s">
        <v>20</v>
      </c>
      <c r="O511" s="23" t="s">
        <v>23</v>
      </c>
      <c r="P511" s="23" t="s">
        <v>48</v>
      </c>
      <c r="Q511" s="23" t="s">
        <v>26</v>
      </c>
      <c r="R511" s="23" t="s">
        <v>1345</v>
      </c>
      <c r="S511" s="33">
        <v>0.2</v>
      </c>
      <c r="T511" s="13">
        <v>20.808</v>
      </c>
      <c r="U511" s="13">
        <v>1.8207</v>
      </c>
      <c r="V511" s="55">
        <f>Table3[[#This Row],[Profit]]/Table3[[#This Row],[Sales]]</f>
        <v>8.7499999999999994E-2</v>
      </c>
    </row>
    <row r="512" spans="1:22" x14ac:dyDescent="0.2">
      <c r="A512">
        <v>511</v>
      </c>
      <c r="B512" t="s">
        <v>7522</v>
      </c>
      <c r="C512" s="1">
        <v>42826</v>
      </c>
      <c r="D512" s="22">
        <f>MONTH(Table3[[#This Row],[Order Date]])</f>
        <v>4</v>
      </c>
      <c r="E512" t="s">
        <v>4287</v>
      </c>
      <c r="F512" t="s">
        <v>4288</v>
      </c>
      <c r="G512" s="23" t="s">
        <v>28</v>
      </c>
      <c r="H512" s="23" t="s">
        <v>32</v>
      </c>
      <c r="I512" t="s">
        <v>2120</v>
      </c>
      <c r="J512" t="s">
        <v>36</v>
      </c>
      <c r="K512" s="22">
        <v>3</v>
      </c>
      <c r="L512" s="1">
        <v>42829</v>
      </c>
      <c r="M512" s="22">
        <f>Table3[[#This Row],[Ship Date]]-Table3[[#This Row],[Order Date]]</f>
        <v>3</v>
      </c>
      <c r="N512" s="23" t="s">
        <v>20</v>
      </c>
      <c r="O512" s="23" t="s">
        <v>23</v>
      </c>
      <c r="P512" s="23" t="s">
        <v>48</v>
      </c>
      <c r="Q512" s="23" t="s">
        <v>26</v>
      </c>
      <c r="R512" s="23" t="s">
        <v>1345</v>
      </c>
      <c r="S512" s="33">
        <v>0.2</v>
      </c>
      <c r="T512" s="13">
        <v>218.352</v>
      </c>
      <c r="U512" s="13">
        <v>-19.105799999999999</v>
      </c>
      <c r="V512" s="55">
        <f>Table3[[#This Row],[Profit]]/Table3[[#This Row],[Sales]]</f>
        <v>-8.7499999999999994E-2</v>
      </c>
    </row>
    <row r="513" spans="1:22" x14ac:dyDescent="0.2">
      <c r="A513">
        <v>512</v>
      </c>
      <c r="B513" t="s">
        <v>7852</v>
      </c>
      <c r="C513" s="1">
        <v>42826</v>
      </c>
      <c r="D513" s="22">
        <f>MONTH(Table3[[#This Row],[Order Date]])</f>
        <v>4</v>
      </c>
      <c r="E513" t="s">
        <v>408</v>
      </c>
      <c r="F513" t="s">
        <v>409</v>
      </c>
      <c r="G513" s="23" t="s">
        <v>28</v>
      </c>
      <c r="H513" s="23" t="s">
        <v>58</v>
      </c>
      <c r="I513" t="s">
        <v>2430</v>
      </c>
      <c r="J513" t="s">
        <v>36</v>
      </c>
      <c r="K513" s="22">
        <v>3</v>
      </c>
      <c r="L513" s="1">
        <v>42828</v>
      </c>
      <c r="M513" s="22">
        <f>Table3[[#This Row],[Ship Date]]-Table3[[#This Row],[Order Date]]</f>
        <v>2</v>
      </c>
      <c r="N513" s="23" t="s">
        <v>169</v>
      </c>
      <c r="O513" s="23" t="s">
        <v>23</v>
      </c>
      <c r="P513" s="23" t="s">
        <v>342</v>
      </c>
      <c r="Q513" s="23" t="s">
        <v>26</v>
      </c>
      <c r="R513" s="23" t="s">
        <v>2271</v>
      </c>
      <c r="S513" s="33">
        <v>0</v>
      </c>
      <c r="T513" s="13">
        <v>127.95</v>
      </c>
      <c r="U513" s="13">
        <v>21.7515</v>
      </c>
      <c r="V513" s="55">
        <f>Table3[[#This Row],[Profit]]/Table3[[#This Row],[Sales]]</f>
        <v>0.16999999999999998</v>
      </c>
    </row>
    <row r="514" spans="1:22" x14ac:dyDescent="0.2">
      <c r="A514">
        <v>513</v>
      </c>
      <c r="B514" t="s">
        <v>3256</v>
      </c>
      <c r="C514" s="1">
        <v>42827</v>
      </c>
      <c r="D514" s="22">
        <f>MONTH(Table3[[#This Row],[Order Date]])</f>
        <v>4</v>
      </c>
      <c r="E514" t="s">
        <v>3096</v>
      </c>
      <c r="F514" t="s">
        <v>3097</v>
      </c>
      <c r="G514" s="23" t="s">
        <v>28</v>
      </c>
      <c r="H514" s="23" t="s">
        <v>58</v>
      </c>
      <c r="I514" t="s">
        <v>3257</v>
      </c>
      <c r="J514" t="s">
        <v>22</v>
      </c>
      <c r="K514" s="22">
        <v>3</v>
      </c>
      <c r="L514" s="1">
        <v>42832</v>
      </c>
      <c r="M514" s="22">
        <f>Table3[[#This Row],[Ship Date]]-Table3[[#This Row],[Order Date]]</f>
        <v>5</v>
      </c>
      <c r="N514" s="23" t="s">
        <v>45</v>
      </c>
      <c r="O514" s="23" t="s">
        <v>23</v>
      </c>
      <c r="P514" s="23" t="s">
        <v>38</v>
      </c>
      <c r="Q514" s="23" t="s">
        <v>39</v>
      </c>
      <c r="R514" s="23" t="s">
        <v>37</v>
      </c>
      <c r="S514" s="33">
        <v>0</v>
      </c>
      <c r="T514" s="13">
        <v>25.11</v>
      </c>
      <c r="U514" s="13">
        <v>6.5286</v>
      </c>
      <c r="V514" s="55">
        <f>Table3[[#This Row],[Profit]]/Table3[[#This Row],[Sales]]</f>
        <v>0.26</v>
      </c>
    </row>
    <row r="515" spans="1:22" x14ac:dyDescent="0.2">
      <c r="A515">
        <v>514</v>
      </c>
      <c r="B515" t="s">
        <v>5581</v>
      </c>
      <c r="C515" s="1">
        <v>42827</v>
      </c>
      <c r="D515" s="22">
        <f>MONTH(Table3[[#This Row],[Order Date]])</f>
        <v>4</v>
      </c>
      <c r="E515" t="s">
        <v>477</v>
      </c>
      <c r="F515" t="s">
        <v>478</v>
      </c>
      <c r="G515" s="23" t="s">
        <v>28</v>
      </c>
      <c r="H515" s="23" t="s">
        <v>50</v>
      </c>
      <c r="I515" t="s">
        <v>5582</v>
      </c>
      <c r="J515" t="s">
        <v>92</v>
      </c>
      <c r="K515" s="22">
        <v>2</v>
      </c>
      <c r="L515" s="1">
        <v>42829</v>
      </c>
      <c r="M515" s="22">
        <f>Table3[[#This Row],[Ship Date]]-Table3[[#This Row],[Order Date]]</f>
        <v>2</v>
      </c>
      <c r="N515" s="23" t="s">
        <v>169</v>
      </c>
      <c r="O515" s="23" t="s">
        <v>23</v>
      </c>
      <c r="P515" s="23" t="s">
        <v>1125</v>
      </c>
      <c r="Q515" s="23" t="s">
        <v>26</v>
      </c>
      <c r="R515" s="23" t="s">
        <v>440</v>
      </c>
      <c r="S515" s="33">
        <v>0</v>
      </c>
      <c r="T515" s="13">
        <v>411.8</v>
      </c>
      <c r="U515" s="13">
        <v>70.006</v>
      </c>
      <c r="V515" s="55">
        <f>Table3[[#This Row],[Profit]]/Table3[[#This Row],[Sales]]</f>
        <v>0.16999999999999998</v>
      </c>
    </row>
    <row r="516" spans="1:22" x14ac:dyDescent="0.2">
      <c r="A516">
        <v>515</v>
      </c>
      <c r="B516" t="s">
        <v>5581</v>
      </c>
      <c r="C516" s="1">
        <v>42827</v>
      </c>
      <c r="D516" s="22">
        <f>MONTH(Table3[[#This Row],[Order Date]])</f>
        <v>4</v>
      </c>
      <c r="E516" t="s">
        <v>1033</v>
      </c>
      <c r="F516" t="s">
        <v>1034</v>
      </c>
      <c r="G516" s="23" t="s">
        <v>64</v>
      </c>
      <c r="H516" s="23" t="s">
        <v>144</v>
      </c>
      <c r="I516" t="s">
        <v>5582</v>
      </c>
      <c r="J516" t="s">
        <v>92</v>
      </c>
      <c r="K516" s="22">
        <v>4</v>
      </c>
      <c r="L516" s="1">
        <v>42829</v>
      </c>
      <c r="M516" s="22">
        <f>Table3[[#This Row],[Ship Date]]-Table3[[#This Row],[Order Date]]</f>
        <v>2</v>
      </c>
      <c r="N516" s="23" t="s">
        <v>169</v>
      </c>
      <c r="O516" s="23" t="s">
        <v>23</v>
      </c>
      <c r="P516" s="23" t="s">
        <v>1125</v>
      </c>
      <c r="Q516" s="23" t="s">
        <v>26</v>
      </c>
      <c r="R516" s="23" t="s">
        <v>440</v>
      </c>
      <c r="S516" s="33">
        <v>0</v>
      </c>
      <c r="T516" s="13">
        <v>360</v>
      </c>
      <c r="U516" s="13">
        <v>129.6</v>
      </c>
      <c r="V516" s="55">
        <f>Table3[[#This Row],[Profit]]/Table3[[#This Row],[Sales]]</f>
        <v>0.36</v>
      </c>
    </row>
    <row r="517" spans="1:22" x14ac:dyDescent="0.2">
      <c r="A517">
        <v>516</v>
      </c>
      <c r="B517" t="s">
        <v>7633</v>
      </c>
      <c r="C517" s="1">
        <v>42827</v>
      </c>
      <c r="D517" s="22">
        <f>MONTH(Table3[[#This Row],[Order Date]])</f>
        <v>4</v>
      </c>
      <c r="E517" t="s">
        <v>125</v>
      </c>
      <c r="F517" t="s">
        <v>126</v>
      </c>
      <c r="G517" s="23" t="s">
        <v>41</v>
      </c>
      <c r="H517" s="23" t="s">
        <v>61</v>
      </c>
      <c r="I517" t="s">
        <v>2974</v>
      </c>
      <c r="J517" t="s">
        <v>92</v>
      </c>
      <c r="K517" s="22">
        <v>4</v>
      </c>
      <c r="L517" s="1">
        <v>42830</v>
      </c>
      <c r="M517" s="22">
        <f>Table3[[#This Row],[Ship Date]]-Table3[[#This Row],[Order Date]]</f>
        <v>3</v>
      </c>
      <c r="N517" s="23" t="s">
        <v>169</v>
      </c>
      <c r="O517" s="23" t="s">
        <v>23</v>
      </c>
      <c r="P517" s="23" t="s">
        <v>660</v>
      </c>
      <c r="Q517" s="23" t="s">
        <v>133</v>
      </c>
      <c r="R517" s="23" t="s">
        <v>4073</v>
      </c>
      <c r="S517" s="33">
        <v>0</v>
      </c>
      <c r="T517" s="13">
        <v>11.12</v>
      </c>
      <c r="U517" s="13">
        <v>2.8912</v>
      </c>
      <c r="V517" s="55">
        <f>Table3[[#This Row],[Profit]]/Table3[[#This Row],[Sales]]</f>
        <v>0.26</v>
      </c>
    </row>
    <row r="518" spans="1:22" x14ac:dyDescent="0.2">
      <c r="A518">
        <v>517</v>
      </c>
      <c r="B518" t="s">
        <v>9977</v>
      </c>
      <c r="C518" s="1">
        <v>42827</v>
      </c>
      <c r="D518" s="22">
        <f>MONTH(Table3[[#This Row],[Order Date]])</f>
        <v>4</v>
      </c>
      <c r="E518" t="s">
        <v>2193</v>
      </c>
      <c r="F518" t="s">
        <v>2194</v>
      </c>
      <c r="G518" s="23" t="s">
        <v>41</v>
      </c>
      <c r="H518" s="23" t="s">
        <v>42</v>
      </c>
      <c r="I518" t="s">
        <v>6531</v>
      </c>
      <c r="J518" t="s">
        <v>22</v>
      </c>
      <c r="K518" s="22">
        <v>3</v>
      </c>
      <c r="L518" s="1">
        <v>42831</v>
      </c>
      <c r="M518" s="22">
        <f>Table3[[#This Row],[Ship Date]]-Table3[[#This Row],[Order Date]]</f>
        <v>4</v>
      </c>
      <c r="N518" s="23" t="s">
        <v>45</v>
      </c>
      <c r="O518" s="23" t="s">
        <v>23</v>
      </c>
      <c r="P518" s="23" t="s">
        <v>320</v>
      </c>
      <c r="Q518" s="23" t="s">
        <v>26</v>
      </c>
      <c r="R518" s="23" t="s">
        <v>319</v>
      </c>
      <c r="S518" s="33">
        <v>0</v>
      </c>
      <c r="T518" s="13">
        <v>14.94</v>
      </c>
      <c r="U518" s="13">
        <v>6.8723999999999998</v>
      </c>
      <c r="V518" s="55">
        <f>Table3[[#This Row],[Profit]]/Table3[[#This Row],[Sales]]</f>
        <v>0.46</v>
      </c>
    </row>
    <row r="519" spans="1:22" x14ac:dyDescent="0.2">
      <c r="A519">
        <v>518</v>
      </c>
      <c r="B519" t="s">
        <v>2541</v>
      </c>
      <c r="C519" s="1">
        <v>42828</v>
      </c>
      <c r="D519" s="22">
        <f>MONTH(Table3[[#This Row],[Order Date]])</f>
        <v>4</v>
      </c>
      <c r="E519" t="s">
        <v>2543</v>
      </c>
      <c r="F519" t="s">
        <v>814</v>
      </c>
      <c r="G519" s="23" t="s">
        <v>28</v>
      </c>
      <c r="H519" s="23" t="s">
        <v>58</v>
      </c>
      <c r="I519" t="s">
        <v>2542</v>
      </c>
      <c r="J519" t="s">
        <v>22</v>
      </c>
      <c r="K519" s="22">
        <v>4</v>
      </c>
      <c r="L519" s="1">
        <v>42832</v>
      </c>
      <c r="M519" s="22">
        <f>Table3[[#This Row],[Ship Date]]-Table3[[#This Row],[Order Date]]</f>
        <v>4</v>
      </c>
      <c r="N519" s="23" t="s">
        <v>45</v>
      </c>
      <c r="O519" s="23" t="s">
        <v>23</v>
      </c>
      <c r="P519" s="23" t="s">
        <v>132</v>
      </c>
      <c r="Q519" s="23" t="s">
        <v>133</v>
      </c>
      <c r="R519" s="23" t="s">
        <v>131</v>
      </c>
      <c r="S519" s="33">
        <v>0.2</v>
      </c>
      <c r="T519" s="13">
        <v>25.472000000000001</v>
      </c>
      <c r="U519" s="13">
        <v>7.6416000000000004</v>
      </c>
      <c r="V519" s="55">
        <f>Table3[[#This Row],[Profit]]/Table3[[#This Row],[Sales]]</f>
        <v>0.3</v>
      </c>
    </row>
    <row r="520" spans="1:22" x14ac:dyDescent="0.2">
      <c r="A520">
        <v>519</v>
      </c>
      <c r="B520" t="s">
        <v>6171</v>
      </c>
      <c r="C520" s="1">
        <v>42828</v>
      </c>
      <c r="D520" s="22">
        <f>MONTH(Table3[[#This Row],[Order Date]])</f>
        <v>4</v>
      </c>
      <c r="E520" t="s">
        <v>1462</v>
      </c>
      <c r="F520" t="s">
        <v>1463</v>
      </c>
      <c r="G520" s="23" t="s">
        <v>41</v>
      </c>
      <c r="H520" s="23" t="s">
        <v>61</v>
      </c>
      <c r="I520" t="s">
        <v>1483</v>
      </c>
      <c r="J520" t="s">
        <v>22</v>
      </c>
      <c r="K520" s="22">
        <v>3</v>
      </c>
      <c r="L520" s="1">
        <v>42830</v>
      </c>
      <c r="M520" s="22">
        <f>Table3[[#This Row],[Ship Date]]-Table3[[#This Row],[Order Date]]</f>
        <v>2</v>
      </c>
      <c r="N520" s="23" t="s">
        <v>169</v>
      </c>
      <c r="O520" s="23" t="s">
        <v>23</v>
      </c>
      <c r="P520" s="23" t="s">
        <v>189</v>
      </c>
      <c r="Q520" s="23" t="s">
        <v>95</v>
      </c>
      <c r="R520" s="23" t="s">
        <v>271</v>
      </c>
      <c r="S520" s="33">
        <v>0.2</v>
      </c>
      <c r="T520" s="13">
        <v>7.056</v>
      </c>
      <c r="U520" s="13">
        <v>2.2050000000000001</v>
      </c>
      <c r="V520" s="55">
        <f>Table3[[#This Row],[Profit]]/Table3[[#This Row],[Sales]]</f>
        <v>0.3125</v>
      </c>
    </row>
    <row r="521" spans="1:22" x14ac:dyDescent="0.2">
      <c r="A521">
        <v>520</v>
      </c>
      <c r="B521" t="s">
        <v>7966</v>
      </c>
      <c r="C521" s="1">
        <v>42829</v>
      </c>
      <c r="D521" s="22">
        <f>MONTH(Table3[[#This Row],[Order Date]])</f>
        <v>4</v>
      </c>
      <c r="E521" t="s">
        <v>4227</v>
      </c>
      <c r="F521" t="s">
        <v>4228</v>
      </c>
      <c r="G521" s="23" t="s">
        <v>64</v>
      </c>
      <c r="H521" s="23" t="s">
        <v>65</v>
      </c>
      <c r="I521" t="s">
        <v>4337</v>
      </c>
      <c r="J521" t="s">
        <v>22</v>
      </c>
      <c r="K521" s="22">
        <v>4</v>
      </c>
      <c r="L521" s="1">
        <v>42833</v>
      </c>
      <c r="M521" s="22">
        <f>Table3[[#This Row],[Ship Date]]-Table3[[#This Row],[Order Date]]</f>
        <v>4</v>
      </c>
      <c r="N521" s="23" t="s">
        <v>45</v>
      </c>
      <c r="O521" s="23" t="s">
        <v>23</v>
      </c>
      <c r="P521" s="23" t="s">
        <v>189</v>
      </c>
      <c r="Q521" s="23" t="s">
        <v>95</v>
      </c>
      <c r="R521" s="23" t="s">
        <v>7967</v>
      </c>
      <c r="S521" s="33">
        <v>0.2</v>
      </c>
      <c r="T521" s="13">
        <v>383.84</v>
      </c>
      <c r="U521" s="13">
        <v>47.98</v>
      </c>
      <c r="V521" s="55">
        <f>Table3[[#This Row],[Profit]]/Table3[[#This Row],[Sales]]</f>
        <v>0.125</v>
      </c>
    </row>
    <row r="522" spans="1:22" x14ac:dyDescent="0.2">
      <c r="A522">
        <v>521</v>
      </c>
      <c r="B522" t="s">
        <v>8084</v>
      </c>
      <c r="C522" s="1">
        <v>42829</v>
      </c>
      <c r="D522" s="22">
        <f>MONTH(Table3[[#This Row],[Order Date]])</f>
        <v>4</v>
      </c>
      <c r="E522" t="s">
        <v>8085</v>
      </c>
      <c r="F522" t="s">
        <v>8086</v>
      </c>
      <c r="G522" s="23" t="s">
        <v>64</v>
      </c>
      <c r="H522" s="23" t="s">
        <v>65</v>
      </c>
      <c r="I522" t="s">
        <v>2069</v>
      </c>
      <c r="J522" t="s">
        <v>92</v>
      </c>
      <c r="K522" s="22">
        <v>1</v>
      </c>
      <c r="L522" s="1">
        <v>42830</v>
      </c>
      <c r="M522" s="22">
        <f>Table3[[#This Row],[Ship Date]]-Table3[[#This Row],[Order Date]]</f>
        <v>1</v>
      </c>
      <c r="N522" s="23" t="s">
        <v>169</v>
      </c>
      <c r="O522" s="23" t="s">
        <v>23</v>
      </c>
      <c r="P522" s="23" t="s">
        <v>238</v>
      </c>
      <c r="Q522" s="23" t="s">
        <v>133</v>
      </c>
      <c r="R522" s="23" t="s">
        <v>237</v>
      </c>
      <c r="S522" s="33">
        <v>0</v>
      </c>
      <c r="T522" s="13">
        <v>41.22</v>
      </c>
      <c r="U522" s="13">
        <v>11.1294</v>
      </c>
      <c r="V522" s="55">
        <f>Table3[[#This Row],[Profit]]/Table3[[#This Row],[Sales]]</f>
        <v>0.27</v>
      </c>
    </row>
    <row r="523" spans="1:22" x14ac:dyDescent="0.2">
      <c r="A523">
        <v>522</v>
      </c>
      <c r="B523" t="s">
        <v>8084</v>
      </c>
      <c r="C523" s="1">
        <v>42829</v>
      </c>
      <c r="D523" s="22">
        <f>MONTH(Table3[[#This Row],[Order Date]])</f>
        <v>4</v>
      </c>
      <c r="E523" t="s">
        <v>940</v>
      </c>
      <c r="F523" t="s">
        <v>941</v>
      </c>
      <c r="G523" s="23" t="s">
        <v>41</v>
      </c>
      <c r="H523" s="23" t="s">
        <v>513</v>
      </c>
      <c r="I523" t="s">
        <v>2069</v>
      </c>
      <c r="J523" t="s">
        <v>92</v>
      </c>
      <c r="K523" s="22">
        <v>1</v>
      </c>
      <c r="L523" s="1">
        <v>42830</v>
      </c>
      <c r="M523" s="22">
        <f>Table3[[#This Row],[Ship Date]]-Table3[[#This Row],[Order Date]]</f>
        <v>1</v>
      </c>
      <c r="N523" s="23" t="s">
        <v>169</v>
      </c>
      <c r="O523" s="23" t="s">
        <v>23</v>
      </c>
      <c r="P523" s="23" t="s">
        <v>238</v>
      </c>
      <c r="Q523" s="23" t="s">
        <v>133</v>
      </c>
      <c r="R523" s="23" t="s">
        <v>237</v>
      </c>
      <c r="S523" s="33">
        <v>0</v>
      </c>
      <c r="T523" s="13">
        <v>240.37</v>
      </c>
      <c r="U523" s="13">
        <v>7.2111000000000001</v>
      </c>
      <c r="V523" s="55">
        <f>Table3[[#This Row],[Profit]]/Table3[[#This Row],[Sales]]</f>
        <v>0.03</v>
      </c>
    </row>
    <row r="524" spans="1:22" x14ac:dyDescent="0.2">
      <c r="A524">
        <v>523</v>
      </c>
      <c r="B524" t="s">
        <v>8084</v>
      </c>
      <c r="C524" s="1">
        <v>42829</v>
      </c>
      <c r="D524" s="22">
        <f>MONTH(Table3[[#This Row],[Order Date]])</f>
        <v>4</v>
      </c>
      <c r="E524" t="s">
        <v>1635</v>
      </c>
      <c r="F524" t="s">
        <v>1636</v>
      </c>
      <c r="G524" s="23" t="s">
        <v>64</v>
      </c>
      <c r="H524" s="23" t="s">
        <v>65</v>
      </c>
      <c r="I524" t="s">
        <v>2069</v>
      </c>
      <c r="J524" t="s">
        <v>92</v>
      </c>
      <c r="K524" s="22">
        <v>2</v>
      </c>
      <c r="L524" s="1">
        <v>42830</v>
      </c>
      <c r="M524" s="22">
        <f>Table3[[#This Row],[Ship Date]]-Table3[[#This Row],[Order Date]]</f>
        <v>1</v>
      </c>
      <c r="N524" s="23" t="s">
        <v>169</v>
      </c>
      <c r="O524" s="23" t="s">
        <v>23</v>
      </c>
      <c r="P524" s="23" t="s">
        <v>238</v>
      </c>
      <c r="Q524" s="23" t="s">
        <v>133</v>
      </c>
      <c r="R524" s="23" t="s">
        <v>237</v>
      </c>
      <c r="S524" s="33">
        <v>0</v>
      </c>
      <c r="T524" s="13">
        <v>119.02</v>
      </c>
      <c r="U524" s="13">
        <v>33.325600000000001</v>
      </c>
      <c r="V524" s="55">
        <f>Table3[[#This Row],[Profit]]/Table3[[#This Row],[Sales]]</f>
        <v>0.28000000000000003</v>
      </c>
    </row>
    <row r="525" spans="1:22" x14ac:dyDescent="0.2">
      <c r="A525">
        <v>524</v>
      </c>
      <c r="B525" t="s">
        <v>8401</v>
      </c>
      <c r="C525" s="1">
        <v>42829</v>
      </c>
      <c r="D525" s="22">
        <f>MONTH(Table3[[#This Row],[Order Date]])</f>
        <v>4</v>
      </c>
      <c r="E525" t="s">
        <v>2130</v>
      </c>
      <c r="F525" t="s">
        <v>2131</v>
      </c>
      <c r="G525" s="23" t="s">
        <v>41</v>
      </c>
      <c r="H525" s="23" t="s">
        <v>155</v>
      </c>
      <c r="I525" t="s">
        <v>2832</v>
      </c>
      <c r="J525" t="s">
        <v>92</v>
      </c>
      <c r="K525" s="22">
        <v>1</v>
      </c>
      <c r="L525" s="1">
        <v>42835</v>
      </c>
      <c r="M525" s="22">
        <f>Table3[[#This Row],[Ship Date]]-Table3[[#This Row],[Order Date]]</f>
        <v>6</v>
      </c>
      <c r="N525" s="23" t="s">
        <v>45</v>
      </c>
      <c r="O525" s="23" t="s">
        <v>23</v>
      </c>
      <c r="P525" s="23" t="s">
        <v>238</v>
      </c>
      <c r="Q525" s="23" t="s">
        <v>133</v>
      </c>
      <c r="R525" s="23" t="s">
        <v>237</v>
      </c>
      <c r="S525" s="33">
        <v>0</v>
      </c>
      <c r="T525" s="13">
        <v>16.98</v>
      </c>
      <c r="U525" s="13">
        <v>8.49</v>
      </c>
      <c r="V525" s="55">
        <f>Table3[[#This Row],[Profit]]/Table3[[#This Row],[Sales]]</f>
        <v>0.5</v>
      </c>
    </row>
    <row r="526" spans="1:22" x14ac:dyDescent="0.2">
      <c r="A526">
        <v>525</v>
      </c>
      <c r="B526" t="s">
        <v>9993</v>
      </c>
      <c r="C526" s="1">
        <v>42829</v>
      </c>
      <c r="D526" s="22">
        <f>MONTH(Table3[[#This Row],[Order Date]])</f>
        <v>4</v>
      </c>
      <c r="E526" t="s">
        <v>2842</v>
      </c>
      <c r="F526" t="s">
        <v>2843</v>
      </c>
      <c r="G526" s="23" t="s">
        <v>41</v>
      </c>
      <c r="H526" s="23" t="s">
        <v>61</v>
      </c>
      <c r="I526" t="s">
        <v>5104</v>
      </c>
      <c r="J526" t="s">
        <v>92</v>
      </c>
      <c r="K526" s="22">
        <v>4</v>
      </c>
      <c r="L526" s="1">
        <v>42830</v>
      </c>
      <c r="M526" s="22">
        <f>Table3[[#This Row],[Ship Date]]-Table3[[#This Row],[Order Date]]</f>
        <v>1</v>
      </c>
      <c r="N526" s="23" t="s">
        <v>169</v>
      </c>
      <c r="O526" s="23" t="s">
        <v>23</v>
      </c>
      <c r="P526" s="23" t="s">
        <v>238</v>
      </c>
      <c r="Q526" s="23" t="s">
        <v>133</v>
      </c>
      <c r="R526" s="23" t="s">
        <v>237</v>
      </c>
      <c r="S526" s="33">
        <v>0</v>
      </c>
      <c r="T526" s="13">
        <v>7.04</v>
      </c>
      <c r="U526" s="13">
        <v>2.0415999999999999</v>
      </c>
      <c r="V526" s="55">
        <f>Table3[[#This Row],[Profit]]/Table3[[#This Row],[Sales]]</f>
        <v>0.28999999999999998</v>
      </c>
    </row>
    <row r="527" spans="1:22" x14ac:dyDescent="0.2">
      <c r="A527">
        <v>526</v>
      </c>
      <c r="B527" t="s">
        <v>9236</v>
      </c>
      <c r="C527" s="1">
        <v>42831</v>
      </c>
      <c r="D527" s="22">
        <f>MONTH(Table3[[#This Row],[Order Date]])</f>
        <v>4</v>
      </c>
      <c r="E527" t="s">
        <v>930</v>
      </c>
      <c r="F527" t="s">
        <v>167</v>
      </c>
      <c r="G527" s="23" t="s">
        <v>41</v>
      </c>
      <c r="H527" s="23" t="s">
        <v>82</v>
      </c>
      <c r="I527" t="s">
        <v>3956</v>
      </c>
      <c r="J527" t="s">
        <v>92</v>
      </c>
      <c r="K527" s="22">
        <v>3</v>
      </c>
      <c r="L527" s="1">
        <v>42837</v>
      </c>
      <c r="M527" s="22">
        <f>Table3[[#This Row],[Ship Date]]-Table3[[#This Row],[Order Date]]</f>
        <v>6</v>
      </c>
      <c r="N527" s="23" t="s">
        <v>45</v>
      </c>
      <c r="O527" s="23" t="s">
        <v>23</v>
      </c>
      <c r="P527" s="23" t="s">
        <v>433</v>
      </c>
      <c r="Q527" s="23" t="s">
        <v>95</v>
      </c>
      <c r="R527" s="23" t="s">
        <v>4594</v>
      </c>
      <c r="S527" s="33">
        <v>0</v>
      </c>
      <c r="T527" s="13">
        <v>106.32</v>
      </c>
      <c r="U527" s="13">
        <v>49.970399999999998</v>
      </c>
      <c r="V527" s="55">
        <f>Table3[[#This Row],[Profit]]/Table3[[#This Row],[Sales]]</f>
        <v>0.47000000000000003</v>
      </c>
    </row>
    <row r="528" spans="1:22" x14ac:dyDescent="0.2">
      <c r="A528">
        <v>527</v>
      </c>
      <c r="B528" t="s">
        <v>9427</v>
      </c>
      <c r="C528" s="1">
        <v>42831</v>
      </c>
      <c r="D528" s="22">
        <f>MONTH(Table3[[#This Row],[Order Date]])</f>
        <v>4</v>
      </c>
      <c r="E528" t="s">
        <v>2784</v>
      </c>
      <c r="F528" t="s">
        <v>2785</v>
      </c>
      <c r="G528" s="23" t="s">
        <v>41</v>
      </c>
      <c r="H528" s="23" t="s">
        <v>68</v>
      </c>
      <c r="I528" t="s">
        <v>6399</v>
      </c>
      <c r="J528" t="s">
        <v>36</v>
      </c>
      <c r="K528" s="22">
        <v>5</v>
      </c>
      <c r="L528" s="1">
        <v>42835</v>
      </c>
      <c r="M528" s="22">
        <f>Table3[[#This Row],[Ship Date]]-Table3[[#This Row],[Order Date]]</f>
        <v>4</v>
      </c>
      <c r="N528" s="23" t="s">
        <v>45</v>
      </c>
      <c r="O528" s="23" t="s">
        <v>23</v>
      </c>
      <c r="P528" s="23" t="s">
        <v>299</v>
      </c>
      <c r="Q528" s="23" t="s">
        <v>26</v>
      </c>
      <c r="R528" s="23" t="s">
        <v>5570</v>
      </c>
      <c r="S528" s="33">
        <v>0.7</v>
      </c>
      <c r="T528" s="13">
        <v>8.1</v>
      </c>
      <c r="U528" s="13">
        <v>-5.94</v>
      </c>
      <c r="V528" s="55">
        <f>Table3[[#This Row],[Profit]]/Table3[[#This Row],[Sales]]</f>
        <v>-0.73333333333333339</v>
      </c>
    </row>
    <row r="529" spans="1:22" x14ac:dyDescent="0.2">
      <c r="A529">
        <v>528</v>
      </c>
      <c r="B529" t="s">
        <v>792</v>
      </c>
      <c r="C529" s="1">
        <v>42832</v>
      </c>
      <c r="D529" s="22">
        <f>MONTH(Table3[[#This Row],[Order Date]])</f>
        <v>4</v>
      </c>
      <c r="E529" t="s">
        <v>794</v>
      </c>
      <c r="F529" t="s">
        <v>795</v>
      </c>
      <c r="G529" s="23" t="s">
        <v>28</v>
      </c>
      <c r="H529" s="23" t="s">
        <v>50</v>
      </c>
      <c r="I529" t="s">
        <v>337</v>
      </c>
      <c r="J529" t="s">
        <v>92</v>
      </c>
      <c r="K529" s="22">
        <v>2</v>
      </c>
      <c r="L529" s="1">
        <v>42837</v>
      </c>
      <c r="M529" s="22">
        <f>Table3[[#This Row],[Ship Date]]-Table3[[#This Row],[Order Date]]</f>
        <v>5</v>
      </c>
      <c r="N529" s="23" t="s">
        <v>45</v>
      </c>
      <c r="O529" s="23" t="s">
        <v>23</v>
      </c>
      <c r="P529" s="23" t="s">
        <v>48</v>
      </c>
      <c r="Q529" s="23" t="s">
        <v>26</v>
      </c>
      <c r="R529" s="23" t="s">
        <v>793</v>
      </c>
      <c r="S529" s="33">
        <v>0.45</v>
      </c>
      <c r="T529" s="13">
        <v>233.86</v>
      </c>
      <c r="U529" s="13">
        <v>-102.048</v>
      </c>
      <c r="V529" s="55">
        <f>Table3[[#This Row],[Profit]]/Table3[[#This Row],[Sales]]</f>
        <v>-0.43636363636363634</v>
      </c>
    </row>
    <row r="530" spans="1:22" x14ac:dyDescent="0.2">
      <c r="A530">
        <v>529</v>
      </c>
      <c r="B530" t="s">
        <v>792</v>
      </c>
      <c r="C530" s="1">
        <v>42832</v>
      </c>
      <c r="D530" s="22">
        <f>MONTH(Table3[[#This Row],[Order Date]])</f>
        <v>4</v>
      </c>
      <c r="E530" t="s">
        <v>796</v>
      </c>
      <c r="F530" t="s">
        <v>797</v>
      </c>
      <c r="G530" s="23" t="s">
        <v>28</v>
      </c>
      <c r="H530" s="23" t="s">
        <v>50</v>
      </c>
      <c r="I530" t="s">
        <v>337</v>
      </c>
      <c r="J530" t="s">
        <v>92</v>
      </c>
      <c r="K530" s="22">
        <v>3</v>
      </c>
      <c r="L530" s="1">
        <v>42837</v>
      </c>
      <c r="M530" s="22">
        <f>Table3[[#This Row],[Ship Date]]-Table3[[#This Row],[Order Date]]</f>
        <v>5</v>
      </c>
      <c r="N530" s="23" t="s">
        <v>45</v>
      </c>
      <c r="O530" s="23" t="s">
        <v>23</v>
      </c>
      <c r="P530" s="23" t="s">
        <v>48</v>
      </c>
      <c r="Q530" s="23" t="s">
        <v>26</v>
      </c>
      <c r="R530" s="23" t="s">
        <v>793</v>
      </c>
      <c r="S530" s="33">
        <v>0.45</v>
      </c>
      <c r="T530" s="13">
        <v>620.61450000000002</v>
      </c>
      <c r="U530" s="13">
        <v>-248.2458</v>
      </c>
      <c r="V530" s="55">
        <f>Table3[[#This Row],[Profit]]/Table3[[#This Row],[Sales]]</f>
        <v>-0.39999999999999997</v>
      </c>
    </row>
    <row r="531" spans="1:22" x14ac:dyDescent="0.2">
      <c r="A531">
        <v>530</v>
      </c>
      <c r="B531" t="s">
        <v>792</v>
      </c>
      <c r="C531" s="1">
        <v>42832</v>
      </c>
      <c r="D531" s="22">
        <f>MONTH(Table3[[#This Row],[Order Date]])</f>
        <v>4</v>
      </c>
      <c r="E531" t="s">
        <v>790</v>
      </c>
      <c r="F531" t="s">
        <v>791</v>
      </c>
      <c r="G531" s="23" t="s">
        <v>41</v>
      </c>
      <c r="H531" s="23" t="s">
        <v>68</v>
      </c>
      <c r="I531" t="s">
        <v>337</v>
      </c>
      <c r="J531" t="s">
        <v>92</v>
      </c>
      <c r="K531" s="22">
        <v>2</v>
      </c>
      <c r="L531" s="1">
        <v>42837</v>
      </c>
      <c r="M531" s="22">
        <f>Table3[[#This Row],[Ship Date]]-Table3[[#This Row],[Order Date]]</f>
        <v>5</v>
      </c>
      <c r="N531" s="23" t="s">
        <v>45</v>
      </c>
      <c r="O531" s="23" t="s">
        <v>23</v>
      </c>
      <c r="P531" s="23" t="s">
        <v>48</v>
      </c>
      <c r="Q531" s="23" t="s">
        <v>26</v>
      </c>
      <c r="R531" s="23" t="s">
        <v>793</v>
      </c>
      <c r="S531" s="33">
        <v>0.7</v>
      </c>
      <c r="T531" s="13">
        <v>5.3280000000000003</v>
      </c>
      <c r="U531" s="13">
        <v>-3.552</v>
      </c>
      <c r="V531" s="55">
        <f>Table3[[#This Row],[Profit]]/Table3[[#This Row],[Sales]]</f>
        <v>-0.66666666666666663</v>
      </c>
    </row>
    <row r="532" spans="1:22" x14ac:dyDescent="0.2">
      <c r="A532">
        <v>531</v>
      </c>
      <c r="B532" t="s">
        <v>792</v>
      </c>
      <c r="C532" s="1">
        <v>42832</v>
      </c>
      <c r="D532" s="22">
        <f>MONTH(Table3[[#This Row],[Order Date]])</f>
        <v>4</v>
      </c>
      <c r="E532" t="s">
        <v>798</v>
      </c>
      <c r="F532" t="s">
        <v>799</v>
      </c>
      <c r="G532" s="23" t="s">
        <v>28</v>
      </c>
      <c r="H532" s="23" t="s">
        <v>58</v>
      </c>
      <c r="I532" t="s">
        <v>337</v>
      </c>
      <c r="J532" t="s">
        <v>92</v>
      </c>
      <c r="K532" s="22">
        <v>3</v>
      </c>
      <c r="L532" s="1">
        <v>42837</v>
      </c>
      <c r="M532" s="22">
        <f>Table3[[#This Row],[Ship Date]]-Table3[[#This Row],[Order Date]]</f>
        <v>5</v>
      </c>
      <c r="N532" s="23" t="s">
        <v>45</v>
      </c>
      <c r="O532" s="23" t="s">
        <v>23</v>
      </c>
      <c r="P532" s="23" t="s">
        <v>48</v>
      </c>
      <c r="Q532" s="23" t="s">
        <v>26</v>
      </c>
      <c r="R532" s="23" t="s">
        <v>793</v>
      </c>
      <c r="S532" s="33">
        <v>0.2</v>
      </c>
      <c r="T532" s="13">
        <v>258.072</v>
      </c>
      <c r="U532" s="13">
        <v>0</v>
      </c>
      <c r="V532" s="55">
        <f>Table3[[#This Row],[Profit]]/Table3[[#This Row],[Sales]]</f>
        <v>0</v>
      </c>
    </row>
    <row r="533" spans="1:22" x14ac:dyDescent="0.2">
      <c r="A533">
        <v>532</v>
      </c>
      <c r="B533" t="s">
        <v>792</v>
      </c>
      <c r="C533" s="1">
        <v>42832</v>
      </c>
      <c r="D533" s="22">
        <f>MONTH(Table3[[#This Row],[Order Date]])</f>
        <v>4</v>
      </c>
      <c r="E533" t="s">
        <v>800</v>
      </c>
      <c r="F533" t="s">
        <v>801</v>
      </c>
      <c r="G533" s="23" t="s">
        <v>64</v>
      </c>
      <c r="H533" s="23" t="s">
        <v>144</v>
      </c>
      <c r="I533" t="s">
        <v>337</v>
      </c>
      <c r="J533" t="s">
        <v>92</v>
      </c>
      <c r="K533" s="22">
        <v>3</v>
      </c>
      <c r="L533" s="1">
        <v>42837</v>
      </c>
      <c r="M533" s="22">
        <f>Table3[[#This Row],[Ship Date]]-Table3[[#This Row],[Order Date]]</f>
        <v>5</v>
      </c>
      <c r="N533" s="23" t="s">
        <v>45</v>
      </c>
      <c r="O533" s="23" t="s">
        <v>23</v>
      </c>
      <c r="P533" s="23" t="s">
        <v>48</v>
      </c>
      <c r="Q533" s="23" t="s">
        <v>26</v>
      </c>
      <c r="R533" s="23" t="s">
        <v>793</v>
      </c>
      <c r="S533" s="33">
        <v>0.2</v>
      </c>
      <c r="T533" s="13">
        <v>617.976</v>
      </c>
      <c r="U533" s="13">
        <v>-7.7247000000000003</v>
      </c>
      <c r="V533" s="55">
        <f>Table3[[#This Row],[Profit]]/Table3[[#This Row],[Sales]]</f>
        <v>-1.2500000000000001E-2</v>
      </c>
    </row>
    <row r="534" spans="1:22" x14ac:dyDescent="0.2">
      <c r="A534">
        <v>533</v>
      </c>
      <c r="B534" t="s">
        <v>9838</v>
      </c>
      <c r="C534" s="1">
        <v>42832</v>
      </c>
      <c r="D534" s="22">
        <f>MONTH(Table3[[#This Row],[Order Date]])</f>
        <v>4</v>
      </c>
      <c r="E534" t="s">
        <v>1387</v>
      </c>
      <c r="F534" t="s">
        <v>1388</v>
      </c>
      <c r="G534" s="23" t="s">
        <v>41</v>
      </c>
      <c r="H534" s="23" t="s">
        <v>61</v>
      </c>
      <c r="I534" t="s">
        <v>2682</v>
      </c>
      <c r="J534" t="s">
        <v>92</v>
      </c>
      <c r="K534" s="22">
        <v>2</v>
      </c>
      <c r="L534" s="1">
        <v>42836</v>
      </c>
      <c r="M534" s="22">
        <f>Table3[[#This Row],[Ship Date]]-Table3[[#This Row],[Order Date]]</f>
        <v>4</v>
      </c>
      <c r="N534" s="23" t="s">
        <v>45</v>
      </c>
      <c r="O534" s="23" t="s">
        <v>23</v>
      </c>
      <c r="P534" s="23" t="s">
        <v>48</v>
      </c>
      <c r="Q534" s="23" t="s">
        <v>26</v>
      </c>
      <c r="R534" s="23" t="s">
        <v>1345</v>
      </c>
      <c r="S534" s="33">
        <v>0.2</v>
      </c>
      <c r="T534" s="13">
        <v>16.256</v>
      </c>
      <c r="U534" s="13">
        <v>1.2192000000000001</v>
      </c>
      <c r="V534" s="55">
        <f>Table3[[#This Row],[Profit]]/Table3[[#This Row],[Sales]]</f>
        <v>7.4999999999999997E-2</v>
      </c>
    </row>
    <row r="535" spans="1:22" x14ac:dyDescent="0.2">
      <c r="A535">
        <v>534</v>
      </c>
      <c r="B535" t="s">
        <v>9838</v>
      </c>
      <c r="C535" s="1">
        <v>42832</v>
      </c>
      <c r="D535" s="22">
        <f>MONTH(Table3[[#This Row],[Order Date]])</f>
        <v>4</v>
      </c>
      <c r="E535" t="s">
        <v>2824</v>
      </c>
      <c r="F535" t="s">
        <v>2825</v>
      </c>
      <c r="G535" s="23" t="s">
        <v>64</v>
      </c>
      <c r="H535" s="23" t="s">
        <v>65</v>
      </c>
      <c r="I535" t="s">
        <v>2682</v>
      </c>
      <c r="J535" t="s">
        <v>92</v>
      </c>
      <c r="K535" s="22">
        <v>2</v>
      </c>
      <c r="L535" s="1">
        <v>42836</v>
      </c>
      <c r="M535" s="22">
        <f>Table3[[#This Row],[Ship Date]]-Table3[[#This Row],[Order Date]]</f>
        <v>4</v>
      </c>
      <c r="N535" s="23" t="s">
        <v>45</v>
      </c>
      <c r="O535" s="23" t="s">
        <v>23</v>
      </c>
      <c r="P535" s="23" t="s">
        <v>48</v>
      </c>
      <c r="Q535" s="23" t="s">
        <v>26</v>
      </c>
      <c r="R535" s="23" t="s">
        <v>1345</v>
      </c>
      <c r="S535" s="33">
        <v>0.2</v>
      </c>
      <c r="T535" s="13">
        <v>219.184</v>
      </c>
      <c r="U535" s="13">
        <v>19.178599999999999</v>
      </c>
      <c r="V535" s="55">
        <f>Table3[[#This Row],[Profit]]/Table3[[#This Row],[Sales]]</f>
        <v>8.7499999999999994E-2</v>
      </c>
    </row>
    <row r="536" spans="1:22" x14ac:dyDescent="0.2">
      <c r="A536">
        <v>535</v>
      </c>
      <c r="B536" t="s">
        <v>5369</v>
      </c>
      <c r="C536" s="1">
        <v>42833</v>
      </c>
      <c r="D536" s="22">
        <f>MONTH(Table3[[#This Row],[Order Date]])</f>
        <v>4</v>
      </c>
      <c r="E536" t="s">
        <v>5371</v>
      </c>
      <c r="F536" t="s">
        <v>5372</v>
      </c>
      <c r="G536" s="23" t="s">
        <v>28</v>
      </c>
      <c r="H536" s="23" t="s">
        <v>58</v>
      </c>
      <c r="I536" t="s">
        <v>5370</v>
      </c>
      <c r="J536" t="s">
        <v>36</v>
      </c>
      <c r="K536" s="22">
        <v>6</v>
      </c>
      <c r="L536" s="1">
        <v>42840</v>
      </c>
      <c r="M536" s="22">
        <f>Table3[[#This Row],[Ship Date]]-Table3[[#This Row],[Order Date]]</f>
        <v>7</v>
      </c>
      <c r="N536" s="23" t="s">
        <v>45</v>
      </c>
      <c r="O536" s="23" t="s">
        <v>23</v>
      </c>
      <c r="P536" s="23" t="s">
        <v>1125</v>
      </c>
      <c r="Q536" s="23" t="s">
        <v>26</v>
      </c>
      <c r="R536" s="23" t="s">
        <v>2871</v>
      </c>
      <c r="S536" s="33">
        <v>0</v>
      </c>
      <c r="T536" s="13">
        <v>56.28</v>
      </c>
      <c r="U536" s="13">
        <v>15.7584</v>
      </c>
      <c r="V536" s="55">
        <f>Table3[[#This Row],[Profit]]/Table3[[#This Row],[Sales]]</f>
        <v>0.27999999999999997</v>
      </c>
    </row>
    <row r="537" spans="1:22" x14ac:dyDescent="0.2">
      <c r="A537">
        <v>536</v>
      </c>
      <c r="B537" t="s">
        <v>5369</v>
      </c>
      <c r="C537" s="1">
        <v>42833</v>
      </c>
      <c r="D537" s="22">
        <f>MONTH(Table3[[#This Row],[Order Date]])</f>
        <v>4</v>
      </c>
      <c r="E537" t="s">
        <v>4174</v>
      </c>
      <c r="F537" t="s">
        <v>4175</v>
      </c>
      <c r="G537" s="23" t="s">
        <v>41</v>
      </c>
      <c r="H537" s="23" t="s">
        <v>68</v>
      </c>
      <c r="I537" t="s">
        <v>5370</v>
      </c>
      <c r="J537" t="s">
        <v>36</v>
      </c>
      <c r="K537" s="22">
        <v>3</v>
      </c>
      <c r="L537" s="1">
        <v>42840</v>
      </c>
      <c r="M537" s="22">
        <f>Table3[[#This Row],[Ship Date]]-Table3[[#This Row],[Order Date]]</f>
        <v>7</v>
      </c>
      <c r="N537" s="23" t="s">
        <v>45</v>
      </c>
      <c r="O537" s="23" t="s">
        <v>23</v>
      </c>
      <c r="P537" s="23" t="s">
        <v>1125</v>
      </c>
      <c r="Q537" s="23" t="s">
        <v>26</v>
      </c>
      <c r="R537" s="23" t="s">
        <v>2871</v>
      </c>
      <c r="S537" s="33">
        <v>0</v>
      </c>
      <c r="T537" s="13">
        <v>2690.97</v>
      </c>
      <c r="U537" s="13">
        <v>1264.7559000000001</v>
      </c>
      <c r="V537" s="55">
        <f>Table3[[#This Row],[Profit]]/Table3[[#This Row],[Sales]]</f>
        <v>0.47000000000000008</v>
      </c>
    </row>
    <row r="538" spans="1:22" x14ac:dyDescent="0.2">
      <c r="A538">
        <v>537</v>
      </c>
      <c r="B538" t="s">
        <v>6395</v>
      </c>
      <c r="C538" s="1">
        <v>42833</v>
      </c>
      <c r="D538" s="22">
        <f>MONTH(Table3[[#This Row],[Order Date]])</f>
        <v>4</v>
      </c>
      <c r="E538" t="s">
        <v>1667</v>
      </c>
      <c r="F538" t="s">
        <v>1668</v>
      </c>
      <c r="G538" s="23" t="s">
        <v>41</v>
      </c>
      <c r="H538" s="23" t="s">
        <v>53</v>
      </c>
      <c r="I538" t="s">
        <v>4524</v>
      </c>
      <c r="J538" t="s">
        <v>92</v>
      </c>
      <c r="K538" s="22">
        <v>4</v>
      </c>
      <c r="L538" s="1">
        <v>42839</v>
      </c>
      <c r="M538" s="22">
        <f>Table3[[#This Row],[Ship Date]]-Table3[[#This Row],[Order Date]]</f>
        <v>6</v>
      </c>
      <c r="N538" s="23" t="s">
        <v>45</v>
      </c>
      <c r="O538" s="23" t="s">
        <v>23</v>
      </c>
      <c r="P538" s="23" t="s">
        <v>695</v>
      </c>
      <c r="Q538" s="23" t="s">
        <v>133</v>
      </c>
      <c r="R538" s="23" t="s">
        <v>1874</v>
      </c>
      <c r="S538" s="33">
        <v>0</v>
      </c>
      <c r="T538" s="13">
        <v>2591.56</v>
      </c>
      <c r="U538" s="13">
        <v>621.97439999999995</v>
      </c>
      <c r="V538" s="55">
        <f>Table3[[#This Row],[Profit]]/Table3[[#This Row],[Sales]]</f>
        <v>0.24</v>
      </c>
    </row>
    <row r="539" spans="1:22" x14ac:dyDescent="0.2">
      <c r="A539">
        <v>538</v>
      </c>
      <c r="B539" t="s">
        <v>6395</v>
      </c>
      <c r="C539" s="1">
        <v>42833</v>
      </c>
      <c r="D539" s="22">
        <f>MONTH(Table3[[#This Row],[Order Date]])</f>
        <v>4</v>
      </c>
      <c r="E539" t="s">
        <v>6396</v>
      </c>
      <c r="F539" t="s">
        <v>6397</v>
      </c>
      <c r="G539" s="23" t="s">
        <v>41</v>
      </c>
      <c r="H539" s="23" t="s">
        <v>71</v>
      </c>
      <c r="I539" t="s">
        <v>4524</v>
      </c>
      <c r="J539" t="s">
        <v>92</v>
      </c>
      <c r="K539" s="22">
        <v>5</v>
      </c>
      <c r="L539" s="1">
        <v>42839</v>
      </c>
      <c r="M539" s="22">
        <f>Table3[[#This Row],[Ship Date]]-Table3[[#This Row],[Order Date]]</f>
        <v>6</v>
      </c>
      <c r="N539" s="23" t="s">
        <v>45</v>
      </c>
      <c r="O539" s="23" t="s">
        <v>23</v>
      </c>
      <c r="P539" s="23" t="s">
        <v>695</v>
      </c>
      <c r="Q539" s="23" t="s">
        <v>133</v>
      </c>
      <c r="R539" s="23" t="s">
        <v>1874</v>
      </c>
      <c r="S539" s="33">
        <v>0</v>
      </c>
      <c r="T539" s="13">
        <v>41.95</v>
      </c>
      <c r="U539" s="13">
        <v>10.487500000000001</v>
      </c>
      <c r="V539" s="55">
        <f>Table3[[#This Row],[Profit]]/Table3[[#This Row],[Sales]]</f>
        <v>0.25</v>
      </c>
    </row>
    <row r="540" spans="1:22" x14ac:dyDescent="0.2">
      <c r="A540">
        <v>539</v>
      </c>
      <c r="B540" t="s">
        <v>6933</v>
      </c>
      <c r="C540" s="1">
        <v>42833</v>
      </c>
      <c r="D540" s="22">
        <f>MONTH(Table3[[#This Row],[Order Date]])</f>
        <v>4</v>
      </c>
      <c r="E540" t="s">
        <v>4203</v>
      </c>
      <c r="F540" t="s">
        <v>4204</v>
      </c>
      <c r="G540" s="23" t="s">
        <v>41</v>
      </c>
      <c r="H540" s="23" t="s">
        <v>82</v>
      </c>
      <c r="I540" t="s">
        <v>4438</v>
      </c>
      <c r="J540" t="s">
        <v>92</v>
      </c>
      <c r="K540" s="22">
        <v>5</v>
      </c>
      <c r="L540" s="1">
        <v>42837</v>
      </c>
      <c r="M540" s="22">
        <f>Table3[[#This Row],[Ship Date]]-Table3[[#This Row],[Order Date]]</f>
        <v>4</v>
      </c>
      <c r="N540" s="23" t="s">
        <v>45</v>
      </c>
      <c r="O540" s="23" t="s">
        <v>23</v>
      </c>
      <c r="P540" s="23" t="s">
        <v>38</v>
      </c>
      <c r="Q540" s="23" t="s">
        <v>39</v>
      </c>
      <c r="R540" s="23" t="s">
        <v>114</v>
      </c>
      <c r="S540" s="33">
        <v>0</v>
      </c>
      <c r="T540" s="13">
        <v>244.55</v>
      </c>
      <c r="U540" s="13">
        <v>114.9385</v>
      </c>
      <c r="V540" s="55">
        <f>Table3[[#This Row],[Profit]]/Table3[[#This Row],[Sales]]</f>
        <v>0.47</v>
      </c>
    </row>
    <row r="541" spans="1:22" x14ac:dyDescent="0.2">
      <c r="A541">
        <v>540</v>
      </c>
      <c r="B541" t="s">
        <v>6933</v>
      </c>
      <c r="C541" s="1">
        <v>42833</v>
      </c>
      <c r="D541" s="22">
        <f>MONTH(Table3[[#This Row],[Order Date]])</f>
        <v>4</v>
      </c>
      <c r="E541" t="s">
        <v>5349</v>
      </c>
      <c r="F541" t="s">
        <v>5350</v>
      </c>
      <c r="G541" s="23" t="s">
        <v>41</v>
      </c>
      <c r="H541" s="23" t="s">
        <v>82</v>
      </c>
      <c r="I541" t="s">
        <v>4438</v>
      </c>
      <c r="J541" t="s">
        <v>92</v>
      </c>
      <c r="K541" s="22">
        <v>4</v>
      </c>
      <c r="L541" s="1">
        <v>42837</v>
      </c>
      <c r="M541" s="22">
        <f>Table3[[#This Row],[Ship Date]]-Table3[[#This Row],[Order Date]]</f>
        <v>4</v>
      </c>
      <c r="N541" s="23" t="s">
        <v>45</v>
      </c>
      <c r="O541" s="23" t="s">
        <v>23</v>
      </c>
      <c r="P541" s="23" t="s">
        <v>38</v>
      </c>
      <c r="Q541" s="23" t="s">
        <v>39</v>
      </c>
      <c r="R541" s="23" t="s">
        <v>114</v>
      </c>
      <c r="S541" s="33">
        <v>0</v>
      </c>
      <c r="T541" s="13">
        <v>195.76</v>
      </c>
      <c r="U541" s="13">
        <v>97.88</v>
      </c>
      <c r="V541" s="55">
        <f>Table3[[#This Row],[Profit]]/Table3[[#This Row],[Sales]]</f>
        <v>0.5</v>
      </c>
    </row>
    <row r="542" spans="1:22" x14ac:dyDescent="0.2">
      <c r="A542">
        <v>541</v>
      </c>
      <c r="B542" t="s">
        <v>7425</v>
      </c>
      <c r="C542" s="1">
        <v>42833</v>
      </c>
      <c r="D542" s="22">
        <f>MONTH(Table3[[#This Row],[Order Date]])</f>
        <v>4</v>
      </c>
      <c r="E542" t="s">
        <v>5017</v>
      </c>
      <c r="F542" t="s">
        <v>5018</v>
      </c>
      <c r="G542" s="23" t="s">
        <v>28</v>
      </c>
      <c r="H542" s="23" t="s">
        <v>58</v>
      </c>
      <c r="I542" t="s">
        <v>3462</v>
      </c>
      <c r="J542" t="s">
        <v>36</v>
      </c>
      <c r="K542" s="22">
        <v>2</v>
      </c>
      <c r="L542" s="1">
        <v>42837</v>
      </c>
      <c r="M542" s="22">
        <f>Table3[[#This Row],[Ship Date]]-Table3[[#This Row],[Order Date]]</f>
        <v>4</v>
      </c>
      <c r="N542" s="23" t="s">
        <v>45</v>
      </c>
      <c r="O542" s="23" t="s">
        <v>23</v>
      </c>
      <c r="P542" s="23" t="s">
        <v>212</v>
      </c>
      <c r="Q542" s="23" t="s">
        <v>95</v>
      </c>
      <c r="R542" s="23" t="s">
        <v>7078</v>
      </c>
      <c r="S542" s="33">
        <v>0</v>
      </c>
      <c r="T542" s="13">
        <v>273.95999999999998</v>
      </c>
      <c r="U542" s="13">
        <v>71.229600000000005</v>
      </c>
      <c r="V542" s="55">
        <f>Table3[[#This Row],[Profit]]/Table3[[#This Row],[Sales]]</f>
        <v>0.26000000000000006</v>
      </c>
    </row>
    <row r="543" spans="1:22" x14ac:dyDescent="0.2">
      <c r="A543">
        <v>542</v>
      </c>
      <c r="B543" t="s">
        <v>7425</v>
      </c>
      <c r="C543" s="1">
        <v>42833</v>
      </c>
      <c r="D543" s="22">
        <f>MONTH(Table3[[#This Row],[Order Date]])</f>
        <v>4</v>
      </c>
      <c r="E543" t="s">
        <v>2557</v>
      </c>
      <c r="F543" t="s">
        <v>2558</v>
      </c>
      <c r="G543" s="23" t="s">
        <v>28</v>
      </c>
      <c r="H543" s="23" t="s">
        <v>58</v>
      </c>
      <c r="I543" t="s">
        <v>3462</v>
      </c>
      <c r="J543" t="s">
        <v>36</v>
      </c>
      <c r="K543" s="22">
        <v>3</v>
      </c>
      <c r="L543" s="1">
        <v>42837</v>
      </c>
      <c r="M543" s="22">
        <f>Table3[[#This Row],[Ship Date]]-Table3[[#This Row],[Order Date]]</f>
        <v>4</v>
      </c>
      <c r="N543" s="23" t="s">
        <v>45</v>
      </c>
      <c r="O543" s="23" t="s">
        <v>23</v>
      </c>
      <c r="P543" s="23" t="s">
        <v>212</v>
      </c>
      <c r="Q543" s="23" t="s">
        <v>95</v>
      </c>
      <c r="R543" s="23" t="s">
        <v>7078</v>
      </c>
      <c r="S543" s="33">
        <v>0</v>
      </c>
      <c r="T543" s="13">
        <v>306.89999999999998</v>
      </c>
      <c r="U543" s="13">
        <v>79.793999999999997</v>
      </c>
      <c r="V543" s="55">
        <f>Table3[[#This Row],[Profit]]/Table3[[#This Row],[Sales]]</f>
        <v>0.26</v>
      </c>
    </row>
    <row r="544" spans="1:22" x14ac:dyDescent="0.2">
      <c r="A544">
        <v>543</v>
      </c>
      <c r="B544" t="s">
        <v>2570</v>
      </c>
      <c r="C544" s="1">
        <v>42834</v>
      </c>
      <c r="D544" s="22">
        <f>MONTH(Table3[[#This Row],[Order Date]])</f>
        <v>4</v>
      </c>
      <c r="E544" t="s">
        <v>2572</v>
      </c>
      <c r="F544" t="s">
        <v>2573</v>
      </c>
      <c r="G544" s="23" t="s">
        <v>41</v>
      </c>
      <c r="H544" s="23" t="s">
        <v>42</v>
      </c>
      <c r="I544" t="s">
        <v>2571</v>
      </c>
      <c r="J544" t="s">
        <v>92</v>
      </c>
      <c r="K544" s="22">
        <v>2</v>
      </c>
      <c r="L544" s="1">
        <v>42836</v>
      </c>
      <c r="M544" s="22">
        <f>Table3[[#This Row],[Ship Date]]-Table3[[#This Row],[Order Date]]</f>
        <v>2</v>
      </c>
      <c r="N544" s="23" t="s">
        <v>169</v>
      </c>
      <c r="O544" s="23" t="s">
        <v>23</v>
      </c>
      <c r="P544" s="23" t="s">
        <v>238</v>
      </c>
      <c r="Q544" s="23" t="s">
        <v>133</v>
      </c>
      <c r="R544" s="23" t="s">
        <v>237</v>
      </c>
      <c r="S544" s="33">
        <v>0</v>
      </c>
      <c r="T544" s="13">
        <v>9.82</v>
      </c>
      <c r="U544" s="13">
        <v>4.8117999999999999</v>
      </c>
      <c r="V544" s="55">
        <f>Table3[[#This Row],[Profit]]/Table3[[#This Row],[Sales]]</f>
        <v>0.49</v>
      </c>
    </row>
    <row r="545" spans="1:22" x14ac:dyDescent="0.2">
      <c r="A545">
        <v>544</v>
      </c>
      <c r="B545" t="s">
        <v>2570</v>
      </c>
      <c r="C545" s="1">
        <v>42834</v>
      </c>
      <c r="D545" s="22">
        <f>MONTH(Table3[[#This Row],[Order Date]])</f>
        <v>4</v>
      </c>
      <c r="E545" t="s">
        <v>1287</v>
      </c>
      <c r="F545" t="s">
        <v>1288</v>
      </c>
      <c r="G545" s="23" t="s">
        <v>41</v>
      </c>
      <c r="H545" s="23" t="s">
        <v>61</v>
      </c>
      <c r="I545" t="s">
        <v>2571</v>
      </c>
      <c r="J545" t="s">
        <v>92</v>
      </c>
      <c r="K545" s="22">
        <v>3</v>
      </c>
      <c r="L545" s="1">
        <v>42836</v>
      </c>
      <c r="M545" s="22">
        <f>Table3[[#This Row],[Ship Date]]-Table3[[#This Row],[Order Date]]</f>
        <v>2</v>
      </c>
      <c r="N545" s="23" t="s">
        <v>169</v>
      </c>
      <c r="O545" s="23" t="s">
        <v>23</v>
      </c>
      <c r="P545" s="23" t="s">
        <v>238</v>
      </c>
      <c r="Q545" s="23" t="s">
        <v>133</v>
      </c>
      <c r="R545" s="23" t="s">
        <v>237</v>
      </c>
      <c r="S545" s="33">
        <v>0</v>
      </c>
      <c r="T545" s="13">
        <v>35.97</v>
      </c>
      <c r="U545" s="13">
        <v>9.7119</v>
      </c>
      <c r="V545" s="55">
        <f>Table3[[#This Row],[Profit]]/Table3[[#This Row],[Sales]]</f>
        <v>0.27</v>
      </c>
    </row>
    <row r="546" spans="1:22" x14ac:dyDescent="0.2">
      <c r="A546">
        <v>545</v>
      </c>
      <c r="B546" t="s">
        <v>2570</v>
      </c>
      <c r="C546" s="1">
        <v>42834</v>
      </c>
      <c r="D546" s="22">
        <f>MONTH(Table3[[#This Row],[Order Date]])</f>
        <v>4</v>
      </c>
      <c r="E546" t="s">
        <v>2574</v>
      </c>
      <c r="F546" t="s">
        <v>2575</v>
      </c>
      <c r="G546" s="23" t="s">
        <v>41</v>
      </c>
      <c r="H546" s="23" t="s">
        <v>82</v>
      </c>
      <c r="I546" t="s">
        <v>2571</v>
      </c>
      <c r="J546" t="s">
        <v>92</v>
      </c>
      <c r="K546" s="22">
        <v>2</v>
      </c>
      <c r="L546" s="1">
        <v>42836</v>
      </c>
      <c r="M546" s="22">
        <f>Table3[[#This Row],[Ship Date]]-Table3[[#This Row],[Order Date]]</f>
        <v>2</v>
      </c>
      <c r="N546" s="23" t="s">
        <v>169</v>
      </c>
      <c r="O546" s="23" t="s">
        <v>23</v>
      </c>
      <c r="P546" s="23" t="s">
        <v>238</v>
      </c>
      <c r="Q546" s="23" t="s">
        <v>133</v>
      </c>
      <c r="R546" s="23" t="s">
        <v>237</v>
      </c>
      <c r="S546" s="33">
        <v>0</v>
      </c>
      <c r="T546" s="13">
        <v>12.96</v>
      </c>
      <c r="U546" s="13">
        <v>6.2207999999999997</v>
      </c>
      <c r="V546" s="55">
        <f>Table3[[#This Row],[Profit]]/Table3[[#This Row],[Sales]]</f>
        <v>0.47999999999999993</v>
      </c>
    </row>
    <row r="547" spans="1:22" x14ac:dyDescent="0.2">
      <c r="A547">
        <v>546</v>
      </c>
      <c r="B547" t="s">
        <v>2570</v>
      </c>
      <c r="C547" s="1">
        <v>42834</v>
      </c>
      <c r="D547" s="22">
        <f>MONTH(Table3[[#This Row],[Order Date]])</f>
        <v>4</v>
      </c>
      <c r="E547" t="s">
        <v>2576</v>
      </c>
      <c r="F547" t="s">
        <v>2577</v>
      </c>
      <c r="G547" s="23" t="s">
        <v>41</v>
      </c>
      <c r="H547" s="23" t="s">
        <v>82</v>
      </c>
      <c r="I547" t="s">
        <v>2571</v>
      </c>
      <c r="J547" t="s">
        <v>92</v>
      </c>
      <c r="K547" s="22">
        <v>4</v>
      </c>
      <c r="L547" s="1">
        <v>42836</v>
      </c>
      <c r="M547" s="22">
        <f>Table3[[#This Row],[Ship Date]]-Table3[[#This Row],[Order Date]]</f>
        <v>2</v>
      </c>
      <c r="N547" s="23" t="s">
        <v>169</v>
      </c>
      <c r="O547" s="23" t="s">
        <v>23</v>
      </c>
      <c r="P547" s="23" t="s">
        <v>238</v>
      </c>
      <c r="Q547" s="23" t="s">
        <v>133</v>
      </c>
      <c r="R547" s="23" t="s">
        <v>237</v>
      </c>
      <c r="S547" s="33">
        <v>0</v>
      </c>
      <c r="T547" s="13">
        <v>191.6</v>
      </c>
      <c r="U547" s="13">
        <v>91.968000000000004</v>
      </c>
      <c r="V547" s="55">
        <f>Table3[[#This Row],[Profit]]/Table3[[#This Row],[Sales]]</f>
        <v>0.48000000000000004</v>
      </c>
    </row>
    <row r="548" spans="1:22" x14ac:dyDescent="0.2">
      <c r="A548">
        <v>547</v>
      </c>
      <c r="B548" t="s">
        <v>2570</v>
      </c>
      <c r="C548" s="1">
        <v>42834</v>
      </c>
      <c r="D548" s="22">
        <f>MONTH(Table3[[#This Row],[Order Date]])</f>
        <v>4</v>
      </c>
      <c r="E548" t="s">
        <v>2568</v>
      </c>
      <c r="F548" t="s">
        <v>2569</v>
      </c>
      <c r="G548" s="23" t="s">
        <v>41</v>
      </c>
      <c r="H548" s="23" t="s">
        <v>42</v>
      </c>
      <c r="I548" t="s">
        <v>2571</v>
      </c>
      <c r="J548" t="s">
        <v>92</v>
      </c>
      <c r="K548" s="22">
        <v>3</v>
      </c>
      <c r="L548" s="1">
        <v>42836</v>
      </c>
      <c r="M548" s="22">
        <f>Table3[[#This Row],[Ship Date]]-Table3[[#This Row],[Order Date]]</f>
        <v>2</v>
      </c>
      <c r="N548" s="23" t="s">
        <v>169</v>
      </c>
      <c r="O548" s="23" t="s">
        <v>23</v>
      </c>
      <c r="P548" s="23" t="s">
        <v>238</v>
      </c>
      <c r="Q548" s="23" t="s">
        <v>133</v>
      </c>
      <c r="R548" s="23" t="s">
        <v>237</v>
      </c>
      <c r="S548" s="33">
        <v>0</v>
      </c>
      <c r="T548" s="13">
        <v>8.64</v>
      </c>
      <c r="U548" s="13">
        <v>4.2336</v>
      </c>
      <c r="V548" s="55">
        <f>Table3[[#This Row],[Profit]]/Table3[[#This Row],[Sales]]</f>
        <v>0.49</v>
      </c>
    </row>
    <row r="549" spans="1:22" x14ac:dyDescent="0.2">
      <c r="A549">
        <v>548</v>
      </c>
      <c r="B549" t="s">
        <v>2570</v>
      </c>
      <c r="C549" s="1">
        <v>42834</v>
      </c>
      <c r="D549" s="22">
        <f>MONTH(Table3[[#This Row],[Order Date]])</f>
        <v>4</v>
      </c>
      <c r="E549" t="s">
        <v>2578</v>
      </c>
      <c r="F549" t="s">
        <v>2579</v>
      </c>
      <c r="G549" s="23" t="s">
        <v>41</v>
      </c>
      <c r="H549" s="23" t="s">
        <v>53</v>
      </c>
      <c r="I549" t="s">
        <v>2571</v>
      </c>
      <c r="J549" t="s">
        <v>92</v>
      </c>
      <c r="K549" s="22">
        <v>3</v>
      </c>
      <c r="L549" s="1">
        <v>42836</v>
      </c>
      <c r="M549" s="22">
        <f>Table3[[#This Row],[Ship Date]]-Table3[[#This Row],[Order Date]]</f>
        <v>2</v>
      </c>
      <c r="N549" s="23" t="s">
        <v>169</v>
      </c>
      <c r="O549" s="23" t="s">
        <v>23</v>
      </c>
      <c r="P549" s="23" t="s">
        <v>238</v>
      </c>
      <c r="Q549" s="23" t="s">
        <v>133</v>
      </c>
      <c r="R549" s="23" t="s">
        <v>237</v>
      </c>
      <c r="S549" s="33">
        <v>0</v>
      </c>
      <c r="T549" s="13">
        <v>501.81</v>
      </c>
      <c r="U549" s="13">
        <v>0</v>
      </c>
      <c r="V549" s="55">
        <f>Table3[[#This Row],[Profit]]/Table3[[#This Row],[Sales]]</f>
        <v>0</v>
      </c>
    </row>
    <row r="550" spans="1:22" x14ac:dyDescent="0.2">
      <c r="A550">
        <v>549</v>
      </c>
      <c r="B550" t="s">
        <v>3149</v>
      </c>
      <c r="C550" s="1">
        <v>42834</v>
      </c>
      <c r="D550" s="22">
        <f>MONTH(Table3[[#This Row],[Order Date]])</f>
        <v>4</v>
      </c>
      <c r="E550" t="s">
        <v>3150</v>
      </c>
      <c r="F550" t="s">
        <v>3151</v>
      </c>
      <c r="G550" s="23" t="s">
        <v>41</v>
      </c>
      <c r="H550" s="23" t="s">
        <v>42</v>
      </c>
      <c r="I550" t="s">
        <v>1483</v>
      </c>
      <c r="J550" t="s">
        <v>22</v>
      </c>
      <c r="K550" s="22">
        <v>3</v>
      </c>
      <c r="L550" s="1">
        <v>42836</v>
      </c>
      <c r="M550" s="22">
        <f>Table3[[#This Row],[Ship Date]]-Table3[[#This Row],[Order Date]]</f>
        <v>2</v>
      </c>
      <c r="N550" s="23" t="s">
        <v>169</v>
      </c>
      <c r="O550" s="23" t="s">
        <v>23</v>
      </c>
      <c r="P550" s="23" t="s">
        <v>48</v>
      </c>
      <c r="Q550" s="23" t="s">
        <v>26</v>
      </c>
      <c r="R550" s="23" t="s">
        <v>1345</v>
      </c>
      <c r="S550" s="33">
        <v>0.2</v>
      </c>
      <c r="T550" s="13">
        <v>15.12</v>
      </c>
      <c r="U550" s="13">
        <v>4.9139999999999997</v>
      </c>
      <c r="V550" s="55">
        <f>Table3[[#This Row],[Profit]]/Table3[[#This Row],[Sales]]</f>
        <v>0.32500000000000001</v>
      </c>
    </row>
    <row r="551" spans="1:22" x14ac:dyDescent="0.2">
      <c r="A551">
        <v>550</v>
      </c>
      <c r="B551" t="s">
        <v>3149</v>
      </c>
      <c r="C551" s="1">
        <v>42834</v>
      </c>
      <c r="D551" s="22">
        <f>MONTH(Table3[[#This Row],[Order Date]])</f>
        <v>4</v>
      </c>
      <c r="E551" t="s">
        <v>3152</v>
      </c>
      <c r="F551" t="s">
        <v>3153</v>
      </c>
      <c r="G551" s="23" t="s">
        <v>41</v>
      </c>
      <c r="H551" s="23" t="s">
        <v>68</v>
      </c>
      <c r="I551" t="s">
        <v>1483</v>
      </c>
      <c r="J551" t="s">
        <v>22</v>
      </c>
      <c r="K551" s="22">
        <v>1</v>
      </c>
      <c r="L551" s="1">
        <v>42836</v>
      </c>
      <c r="M551" s="22">
        <f>Table3[[#This Row],[Ship Date]]-Table3[[#This Row],[Order Date]]</f>
        <v>2</v>
      </c>
      <c r="N551" s="23" t="s">
        <v>169</v>
      </c>
      <c r="O551" s="23" t="s">
        <v>23</v>
      </c>
      <c r="P551" s="23" t="s">
        <v>48</v>
      </c>
      <c r="Q551" s="23" t="s">
        <v>26</v>
      </c>
      <c r="R551" s="23" t="s">
        <v>1345</v>
      </c>
      <c r="S551" s="33">
        <v>0.7</v>
      </c>
      <c r="T551" s="13">
        <v>17.43</v>
      </c>
      <c r="U551" s="13">
        <v>-13.363</v>
      </c>
      <c r="V551" s="55">
        <f>Table3[[#This Row],[Profit]]/Table3[[#This Row],[Sales]]</f>
        <v>-0.76666666666666661</v>
      </c>
    </row>
    <row r="552" spans="1:22" x14ac:dyDescent="0.2">
      <c r="A552">
        <v>551</v>
      </c>
      <c r="B552" t="s">
        <v>3149</v>
      </c>
      <c r="C552" s="1">
        <v>42834</v>
      </c>
      <c r="D552" s="22">
        <f>MONTH(Table3[[#This Row],[Order Date]])</f>
        <v>4</v>
      </c>
      <c r="E552" t="s">
        <v>3154</v>
      </c>
      <c r="F552" t="s">
        <v>3155</v>
      </c>
      <c r="G552" s="23" t="s">
        <v>41</v>
      </c>
      <c r="H552" s="23" t="s">
        <v>82</v>
      </c>
      <c r="I552" t="s">
        <v>1483</v>
      </c>
      <c r="J552" t="s">
        <v>22</v>
      </c>
      <c r="K552" s="22">
        <v>3</v>
      </c>
      <c r="L552" s="1">
        <v>42836</v>
      </c>
      <c r="M552" s="22">
        <f>Table3[[#This Row],[Ship Date]]-Table3[[#This Row],[Order Date]]</f>
        <v>2</v>
      </c>
      <c r="N552" s="23" t="s">
        <v>169</v>
      </c>
      <c r="O552" s="23" t="s">
        <v>23</v>
      </c>
      <c r="P552" s="23" t="s">
        <v>48</v>
      </c>
      <c r="Q552" s="23" t="s">
        <v>26</v>
      </c>
      <c r="R552" s="23" t="s">
        <v>1345</v>
      </c>
      <c r="S552" s="33">
        <v>0.2</v>
      </c>
      <c r="T552" s="13">
        <v>251.64</v>
      </c>
      <c r="U552" s="13">
        <v>88.073999999999998</v>
      </c>
      <c r="V552" s="55">
        <f>Table3[[#This Row],[Profit]]/Table3[[#This Row],[Sales]]</f>
        <v>0.35000000000000003</v>
      </c>
    </row>
    <row r="553" spans="1:22" x14ac:dyDescent="0.2">
      <c r="A553">
        <v>552</v>
      </c>
      <c r="B553" t="s">
        <v>6744</v>
      </c>
      <c r="C553" s="1">
        <v>42834</v>
      </c>
      <c r="D553" s="22">
        <f>MONTH(Table3[[#This Row],[Order Date]])</f>
        <v>4</v>
      </c>
      <c r="E553" t="s">
        <v>3383</v>
      </c>
      <c r="F553" t="s">
        <v>3384</v>
      </c>
      <c r="G553" s="23" t="s">
        <v>41</v>
      </c>
      <c r="H553" s="23" t="s">
        <v>68</v>
      </c>
      <c r="I553" t="s">
        <v>808</v>
      </c>
      <c r="J553" t="s">
        <v>22</v>
      </c>
      <c r="K553" s="22">
        <v>8</v>
      </c>
      <c r="L553" s="1">
        <v>42837</v>
      </c>
      <c r="M553" s="22">
        <f>Table3[[#This Row],[Ship Date]]-Table3[[#This Row],[Order Date]]</f>
        <v>3</v>
      </c>
      <c r="N553" s="23" t="s">
        <v>20</v>
      </c>
      <c r="O553" s="23" t="s">
        <v>23</v>
      </c>
      <c r="P553" s="23" t="s">
        <v>212</v>
      </c>
      <c r="Q553" s="23" t="s">
        <v>95</v>
      </c>
      <c r="R553" s="23" t="s">
        <v>775</v>
      </c>
      <c r="S553" s="33">
        <v>0</v>
      </c>
      <c r="T553" s="13">
        <v>478.24</v>
      </c>
      <c r="U553" s="13">
        <v>219.99039999999999</v>
      </c>
      <c r="V553" s="55">
        <f>Table3[[#This Row],[Profit]]/Table3[[#This Row],[Sales]]</f>
        <v>0.45999999999999996</v>
      </c>
    </row>
    <row r="554" spans="1:22" x14ac:dyDescent="0.2">
      <c r="A554">
        <v>553</v>
      </c>
      <c r="B554" t="s">
        <v>9270</v>
      </c>
      <c r="C554" s="1">
        <v>42834</v>
      </c>
      <c r="D554" s="22">
        <f>MONTH(Table3[[#This Row],[Order Date]])</f>
        <v>4</v>
      </c>
      <c r="E554" t="s">
        <v>1230</v>
      </c>
      <c r="F554" t="s">
        <v>1231</v>
      </c>
      <c r="G554" s="23" t="s">
        <v>41</v>
      </c>
      <c r="H554" s="23" t="s">
        <v>68</v>
      </c>
      <c r="I554" t="s">
        <v>4114</v>
      </c>
      <c r="J554" t="s">
        <v>36</v>
      </c>
      <c r="K554" s="22">
        <v>4</v>
      </c>
      <c r="L554" s="1">
        <v>42839</v>
      </c>
      <c r="M554" s="22">
        <f>Table3[[#This Row],[Ship Date]]-Table3[[#This Row],[Order Date]]</f>
        <v>5</v>
      </c>
      <c r="N554" s="23" t="s">
        <v>45</v>
      </c>
      <c r="O554" s="23" t="s">
        <v>23</v>
      </c>
      <c r="P554" s="23" t="s">
        <v>132</v>
      </c>
      <c r="Q554" s="23" t="s">
        <v>133</v>
      </c>
      <c r="R554" s="23" t="s">
        <v>4499</v>
      </c>
      <c r="S554" s="33">
        <v>0.7</v>
      </c>
      <c r="T554" s="13">
        <v>37.896000000000001</v>
      </c>
      <c r="U554" s="13">
        <v>-29.053599999999999</v>
      </c>
      <c r="V554" s="55">
        <f>Table3[[#This Row],[Profit]]/Table3[[#This Row],[Sales]]</f>
        <v>-0.76666666666666661</v>
      </c>
    </row>
    <row r="555" spans="1:22" x14ac:dyDescent="0.2">
      <c r="A555">
        <v>554</v>
      </c>
      <c r="B555" t="s">
        <v>9270</v>
      </c>
      <c r="C555" s="1">
        <v>42834</v>
      </c>
      <c r="D555" s="22">
        <f>MONTH(Table3[[#This Row],[Order Date]])</f>
        <v>4</v>
      </c>
      <c r="E555" t="s">
        <v>5840</v>
      </c>
      <c r="F555" t="s">
        <v>5841</v>
      </c>
      <c r="G555" s="23" t="s">
        <v>41</v>
      </c>
      <c r="H555" s="23" t="s">
        <v>82</v>
      </c>
      <c r="I555" t="s">
        <v>4114</v>
      </c>
      <c r="J555" t="s">
        <v>36</v>
      </c>
      <c r="K555" s="22">
        <v>2</v>
      </c>
      <c r="L555" s="1">
        <v>42839</v>
      </c>
      <c r="M555" s="22">
        <f>Table3[[#This Row],[Ship Date]]-Table3[[#This Row],[Order Date]]</f>
        <v>5</v>
      </c>
      <c r="N555" s="23" t="s">
        <v>45</v>
      </c>
      <c r="O555" s="23" t="s">
        <v>23</v>
      </c>
      <c r="P555" s="23" t="s">
        <v>132</v>
      </c>
      <c r="Q555" s="23" t="s">
        <v>133</v>
      </c>
      <c r="R555" s="23" t="s">
        <v>4499</v>
      </c>
      <c r="S555" s="33">
        <v>0.2</v>
      </c>
      <c r="T555" s="13">
        <v>65.584000000000003</v>
      </c>
      <c r="U555" s="13">
        <v>23.7742</v>
      </c>
      <c r="V555" s="55">
        <f>Table3[[#This Row],[Profit]]/Table3[[#This Row],[Sales]]</f>
        <v>0.36249999999999999</v>
      </c>
    </row>
    <row r="556" spans="1:22" x14ac:dyDescent="0.2">
      <c r="A556">
        <v>555</v>
      </c>
      <c r="B556" t="s">
        <v>2340</v>
      </c>
      <c r="C556" s="1">
        <v>42835</v>
      </c>
      <c r="D556" s="22">
        <f>MONTH(Table3[[#This Row],[Order Date]])</f>
        <v>4</v>
      </c>
      <c r="E556" t="s">
        <v>837</v>
      </c>
      <c r="F556" t="s">
        <v>838</v>
      </c>
      <c r="G556" s="23" t="s">
        <v>41</v>
      </c>
      <c r="H556" s="23" t="s">
        <v>82</v>
      </c>
      <c r="I556" t="s">
        <v>2341</v>
      </c>
      <c r="J556" t="s">
        <v>92</v>
      </c>
      <c r="K556" s="22">
        <v>1</v>
      </c>
      <c r="L556" s="1">
        <v>42840</v>
      </c>
      <c r="M556" s="22">
        <f>Table3[[#This Row],[Ship Date]]-Table3[[#This Row],[Order Date]]</f>
        <v>5</v>
      </c>
      <c r="N556" s="23" t="s">
        <v>45</v>
      </c>
      <c r="O556" s="23" t="s">
        <v>23</v>
      </c>
      <c r="P556" s="23" t="s">
        <v>695</v>
      </c>
      <c r="Q556" s="23" t="s">
        <v>133</v>
      </c>
      <c r="R556" s="23" t="s">
        <v>2342</v>
      </c>
      <c r="S556" s="33">
        <v>0</v>
      </c>
      <c r="T556" s="13">
        <v>7.61</v>
      </c>
      <c r="U556" s="13">
        <v>3.5767000000000002</v>
      </c>
      <c r="V556" s="55">
        <f>Table3[[#This Row],[Profit]]/Table3[[#This Row],[Sales]]</f>
        <v>0.47000000000000003</v>
      </c>
    </row>
    <row r="557" spans="1:22" x14ac:dyDescent="0.2">
      <c r="A557">
        <v>556</v>
      </c>
      <c r="B557" t="s">
        <v>2340</v>
      </c>
      <c r="C557" s="1">
        <v>42835</v>
      </c>
      <c r="D557" s="22">
        <f>MONTH(Table3[[#This Row],[Order Date]])</f>
        <v>4</v>
      </c>
      <c r="E557" t="s">
        <v>1038</v>
      </c>
      <c r="F557" t="s">
        <v>1039</v>
      </c>
      <c r="G557" s="23" t="s">
        <v>41</v>
      </c>
      <c r="H557" s="23" t="s">
        <v>240</v>
      </c>
      <c r="I557" t="s">
        <v>2341</v>
      </c>
      <c r="J557" t="s">
        <v>92</v>
      </c>
      <c r="K557" s="22">
        <v>2</v>
      </c>
      <c r="L557" s="1">
        <v>42840</v>
      </c>
      <c r="M557" s="22">
        <f>Table3[[#This Row],[Ship Date]]-Table3[[#This Row],[Order Date]]</f>
        <v>5</v>
      </c>
      <c r="N557" s="23" t="s">
        <v>45</v>
      </c>
      <c r="O557" s="23" t="s">
        <v>23</v>
      </c>
      <c r="P557" s="23" t="s">
        <v>695</v>
      </c>
      <c r="Q557" s="23" t="s">
        <v>133</v>
      </c>
      <c r="R557" s="23" t="s">
        <v>2342</v>
      </c>
      <c r="S557" s="33">
        <v>0</v>
      </c>
      <c r="T557" s="13">
        <v>7.16</v>
      </c>
      <c r="U557" s="13">
        <v>3.58</v>
      </c>
      <c r="V557" s="55">
        <f>Table3[[#This Row],[Profit]]/Table3[[#This Row],[Sales]]</f>
        <v>0.5</v>
      </c>
    </row>
    <row r="558" spans="1:22" x14ac:dyDescent="0.2">
      <c r="A558">
        <v>557</v>
      </c>
      <c r="B558" t="s">
        <v>5987</v>
      </c>
      <c r="C558" s="1">
        <v>42835</v>
      </c>
      <c r="D558" s="22">
        <f>MONTH(Table3[[#This Row],[Order Date]])</f>
        <v>4</v>
      </c>
      <c r="E558" t="s">
        <v>1749</v>
      </c>
      <c r="F558" t="s">
        <v>1750</v>
      </c>
      <c r="G558" s="23" t="s">
        <v>41</v>
      </c>
      <c r="H558" s="23" t="s">
        <v>82</v>
      </c>
      <c r="I558" t="s">
        <v>5988</v>
      </c>
      <c r="J558" t="s">
        <v>22</v>
      </c>
      <c r="K558" s="22">
        <v>2</v>
      </c>
      <c r="L558" s="1">
        <v>42835</v>
      </c>
      <c r="M558" s="22">
        <f>Table3[[#This Row],[Ship Date]]-Table3[[#This Row],[Order Date]]</f>
        <v>0</v>
      </c>
      <c r="N558" s="23" t="s">
        <v>1141</v>
      </c>
      <c r="O558" s="23" t="s">
        <v>23</v>
      </c>
      <c r="P558" s="23" t="s">
        <v>94</v>
      </c>
      <c r="Q558" s="23" t="s">
        <v>95</v>
      </c>
      <c r="R558" s="23" t="s">
        <v>1095</v>
      </c>
      <c r="S558" s="33">
        <v>0.2</v>
      </c>
      <c r="T558" s="13">
        <v>10.368</v>
      </c>
      <c r="U558" s="13">
        <v>3.6288</v>
      </c>
      <c r="V558" s="55">
        <f>Table3[[#This Row],[Profit]]/Table3[[#This Row],[Sales]]</f>
        <v>0.35</v>
      </c>
    </row>
    <row r="559" spans="1:22" x14ac:dyDescent="0.2">
      <c r="A559">
        <v>558</v>
      </c>
      <c r="B559" t="s">
        <v>5987</v>
      </c>
      <c r="C559" s="1">
        <v>42835</v>
      </c>
      <c r="D559" s="22">
        <f>MONTH(Table3[[#This Row],[Order Date]])</f>
        <v>4</v>
      </c>
      <c r="E559" t="s">
        <v>2348</v>
      </c>
      <c r="F559" t="s">
        <v>2349</v>
      </c>
      <c r="G559" s="23" t="s">
        <v>64</v>
      </c>
      <c r="H559" s="23" t="s">
        <v>144</v>
      </c>
      <c r="I559" t="s">
        <v>5988</v>
      </c>
      <c r="J559" t="s">
        <v>22</v>
      </c>
      <c r="K559" s="22">
        <v>3</v>
      </c>
      <c r="L559" s="1">
        <v>42835</v>
      </c>
      <c r="M559" s="22">
        <f>Table3[[#This Row],[Ship Date]]-Table3[[#This Row],[Order Date]]</f>
        <v>0</v>
      </c>
      <c r="N559" s="23" t="s">
        <v>1141</v>
      </c>
      <c r="O559" s="23" t="s">
        <v>23</v>
      </c>
      <c r="P559" s="23" t="s">
        <v>94</v>
      </c>
      <c r="Q559" s="23" t="s">
        <v>95</v>
      </c>
      <c r="R559" s="23" t="s">
        <v>1095</v>
      </c>
      <c r="S559" s="33">
        <v>0.2</v>
      </c>
      <c r="T559" s="13">
        <v>95.736000000000004</v>
      </c>
      <c r="U559" s="13">
        <v>20.343900000000001</v>
      </c>
      <c r="V559" s="55">
        <f>Table3[[#This Row],[Profit]]/Table3[[#This Row],[Sales]]</f>
        <v>0.21249999999999999</v>
      </c>
    </row>
    <row r="560" spans="1:22" x14ac:dyDescent="0.2">
      <c r="A560">
        <v>559</v>
      </c>
      <c r="B560" t="s">
        <v>7726</v>
      </c>
      <c r="C560" s="1">
        <v>42835</v>
      </c>
      <c r="D560" s="22">
        <f>MONTH(Table3[[#This Row],[Order Date]])</f>
        <v>4</v>
      </c>
      <c r="E560" t="s">
        <v>5118</v>
      </c>
      <c r="F560" t="s">
        <v>5119</v>
      </c>
      <c r="G560" s="23" t="s">
        <v>28</v>
      </c>
      <c r="H560" s="23" t="s">
        <v>58</v>
      </c>
      <c r="I560" t="s">
        <v>7727</v>
      </c>
      <c r="J560" t="s">
        <v>36</v>
      </c>
      <c r="K560" s="22">
        <v>5</v>
      </c>
      <c r="L560" s="1">
        <v>42839</v>
      </c>
      <c r="M560" s="22">
        <f>Table3[[#This Row],[Ship Date]]-Table3[[#This Row],[Order Date]]</f>
        <v>4</v>
      </c>
      <c r="N560" s="23" t="s">
        <v>20</v>
      </c>
      <c r="O560" s="23" t="s">
        <v>23</v>
      </c>
      <c r="P560" s="23" t="s">
        <v>48</v>
      </c>
      <c r="Q560" s="23" t="s">
        <v>26</v>
      </c>
      <c r="R560" s="23" t="s">
        <v>1345</v>
      </c>
      <c r="S560" s="33">
        <v>0.2</v>
      </c>
      <c r="T560" s="13">
        <v>12.32</v>
      </c>
      <c r="U560" s="13">
        <v>1.8480000000000001</v>
      </c>
      <c r="V560" s="55">
        <f>Table3[[#This Row],[Profit]]/Table3[[#This Row],[Sales]]</f>
        <v>0.15</v>
      </c>
    </row>
    <row r="561" spans="1:22" x14ac:dyDescent="0.2">
      <c r="A561">
        <v>560</v>
      </c>
      <c r="B561" t="s">
        <v>7726</v>
      </c>
      <c r="C561" s="1">
        <v>42835</v>
      </c>
      <c r="D561" s="22">
        <f>MONTH(Table3[[#This Row],[Order Date]])</f>
        <v>4</v>
      </c>
      <c r="E561" t="s">
        <v>2386</v>
      </c>
      <c r="F561" t="s">
        <v>2387</v>
      </c>
      <c r="G561" s="23" t="s">
        <v>41</v>
      </c>
      <c r="H561" s="23" t="s">
        <v>68</v>
      </c>
      <c r="I561" t="s">
        <v>7727</v>
      </c>
      <c r="J561" t="s">
        <v>36</v>
      </c>
      <c r="K561" s="22">
        <v>3</v>
      </c>
      <c r="L561" s="1">
        <v>42839</v>
      </c>
      <c r="M561" s="22">
        <f>Table3[[#This Row],[Ship Date]]-Table3[[#This Row],[Order Date]]</f>
        <v>4</v>
      </c>
      <c r="N561" s="23" t="s">
        <v>20</v>
      </c>
      <c r="O561" s="23" t="s">
        <v>23</v>
      </c>
      <c r="P561" s="23" t="s">
        <v>48</v>
      </c>
      <c r="Q561" s="23" t="s">
        <v>26</v>
      </c>
      <c r="R561" s="23" t="s">
        <v>1345</v>
      </c>
      <c r="S561" s="33">
        <v>0.7</v>
      </c>
      <c r="T561" s="13">
        <v>4.4189999999999996</v>
      </c>
      <c r="U561" s="13">
        <v>-3.0933000000000002</v>
      </c>
      <c r="V561" s="55">
        <f>Table3[[#This Row],[Profit]]/Table3[[#This Row],[Sales]]</f>
        <v>-0.70000000000000007</v>
      </c>
    </row>
    <row r="562" spans="1:22" x14ac:dyDescent="0.2">
      <c r="A562">
        <v>561</v>
      </c>
      <c r="B562" t="s">
        <v>8094</v>
      </c>
      <c r="C562" s="1">
        <v>42835</v>
      </c>
      <c r="D562" s="22">
        <f>MONTH(Table3[[#This Row],[Order Date]])</f>
        <v>4</v>
      </c>
      <c r="E562" t="s">
        <v>1412</v>
      </c>
      <c r="F562" t="s">
        <v>1413</v>
      </c>
      <c r="G562" s="23" t="s">
        <v>64</v>
      </c>
      <c r="H562" s="23" t="s">
        <v>144</v>
      </c>
      <c r="I562" t="s">
        <v>6929</v>
      </c>
      <c r="J562" t="s">
        <v>92</v>
      </c>
      <c r="K562" s="22">
        <v>1</v>
      </c>
      <c r="L562" s="1">
        <v>42839</v>
      </c>
      <c r="M562" s="22">
        <f>Table3[[#This Row],[Ship Date]]-Table3[[#This Row],[Order Date]]</f>
        <v>4</v>
      </c>
      <c r="N562" s="23" t="s">
        <v>45</v>
      </c>
      <c r="O562" s="23" t="s">
        <v>23</v>
      </c>
      <c r="P562" s="23" t="s">
        <v>660</v>
      </c>
      <c r="Q562" s="23" t="s">
        <v>133</v>
      </c>
      <c r="R562" s="23" t="s">
        <v>6962</v>
      </c>
      <c r="S562" s="33">
        <v>0</v>
      </c>
      <c r="T562" s="13">
        <v>99.99</v>
      </c>
      <c r="U562" s="13">
        <v>41.995800000000003</v>
      </c>
      <c r="V562" s="55">
        <f>Table3[[#This Row],[Profit]]/Table3[[#This Row],[Sales]]</f>
        <v>0.42000000000000004</v>
      </c>
    </row>
    <row r="563" spans="1:22" x14ac:dyDescent="0.2">
      <c r="A563">
        <v>562</v>
      </c>
      <c r="B563" t="s">
        <v>8094</v>
      </c>
      <c r="C563" s="1">
        <v>42835</v>
      </c>
      <c r="D563" s="22">
        <f>MONTH(Table3[[#This Row],[Order Date]])</f>
        <v>4</v>
      </c>
      <c r="E563" t="s">
        <v>4611</v>
      </c>
      <c r="F563" t="s">
        <v>4612</v>
      </c>
      <c r="G563" s="23" t="s">
        <v>41</v>
      </c>
      <c r="H563" s="23" t="s">
        <v>53</v>
      </c>
      <c r="I563" t="s">
        <v>6929</v>
      </c>
      <c r="J563" t="s">
        <v>92</v>
      </c>
      <c r="K563" s="22">
        <v>5</v>
      </c>
      <c r="L563" s="1">
        <v>42839</v>
      </c>
      <c r="M563" s="22">
        <f>Table3[[#This Row],[Ship Date]]-Table3[[#This Row],[Order Date]]</f>
        <v>4</v>
      </c>
      <c r="N563" s="23" t="s">
        <v>45</v>
      </c>
      <c r="O563" s="23" t="s">
        <v>23</v>
      </c>
      <c r="P563" s="23" t="s">
        <v>660</v>
      </c>
      <c r="Q563" s="23" t="s">
        <v>133</v>
      </c>
      <c r="R563" s="23" t="s">
        <v>6962</v>
      </c>
      <c r="S563" s="33">
        <v>0</v>
      </c>
      <c r="T563" s="13">
        <v>286.14999999999998</v>
      </c>
      <c r="U563" s="13">
        <v>71.537499999999994</v>
      </c>
      <c r="V563" s="55">
        <f>Table3[[#This Row],[Profit]]/Table3[[#This Row],[Sales]]</f>
        <v>0.25</v>
      </c>
    </row>
    <row r="564" spans="1:22" x14ac:dyDescent="0.2">
      <c r="A564">
        <v>563</v>
      </c>
      <c r="B564" t="s">
        <v>8696</v>
      </c>
      <c r="C564" s="1">
        <v>42835</v>
      </c>
      <c r="D564" s="22">
        <f>MONTH(Table3[[#This Row],[Order Date]])</f>
        <v>4</v>
      </c>
      <c r="E564" t="s">
        <v>4751</v>
      </c>
      <c r="F564" t="s">
        <v>4752</v>
      </c>
      <c r="G564" s="23" t="s">
        <v>41</v>
      </c>
      <c r="H564" s="23" t="s">
        <v>71</v>
      </c>
      <c r="I564" t="s">
        <v>710</v>
      </c>
      <c r="J564" t="s">
        <v>22</v>
      </c>
      <c r="K564" s="22">
        <v>4</v>
      </c>
      <c r="L564" s="1">
        <v>42839</v>
      </c>
      <c r="M564" s="22">
        <f>Table3[[#This Row],[Ship Date]]-Table3[[#This Row],[Order Date]]</f>
        <v>4</v>
      </c>
      <c r="N564" s="23" t="s">
        <v>45</v>
      </c>
      <c r="O564" s="23" t="s">
        <v>23</v>
      </c>
      <c r="P564" s="23" t="s">
        <v>132</v>
      </c>
      <c r="Q564" s="23" t="s">
        <v>133</v>
      </c>
      <c r="R564" s="23" t="s">
        <v>131</v>
      </c>
      <c r="S564" s="33">
        <v>0.2</v>
      </c>
      <c r="T564" s="13">
        <v>195.10400000000001</v>
      </c>
      <c r="U564" s="13">
        <v>21.949200000000001</v>
      </c>
      <c r="V564" s="55">
        <f>Table3[[#This Row],[Profit]]/Table3[[#This Row],[Sales]]</f>
        <v>0.1125</v>
      </c>
    </row>
    <row r="565" spans="1:22" x14ac:dyDescent="0.2">
      <c r="A565">
        <v>564</v>
      </c>
      <c r="B565" t="s">
        <v>8696</v>
      </c>
      <c r="C565" s="1">
        <v>42835</v>
      </c>
      <c r="D565" s="22">
        <f>MONTH(Table3[[#This Row],[Order Date]])</f>
        <v>4</v>
      </c>
      <c r="E565" t="s">
        <v>2316</v>
      </c>
      <c r="F565" t="s">
        <v>2317</v>
      </c>
      <c r="G565" s="23" t="s">
        <v>28</v>
      </c>
      <c r="H565" s="23" t="s">
        <v>58</v>
      </c>
      <c r="I565" t="s">
        <v>710</v>
      </c>
      <c r="J565" t="s">
        <v>22</v>
      </c>
      <c r="K565" s="22">
        <v>3</v>
      </c>
      <c r="L565" s="1">
        <v>42839</v>
      </c>
      <c r="M565" s="22">
        <f>Table3[[#This Row],[Ship Date]]-Table3[[#This Row],[Order Date]]</f>
        <v>4</v>
      </c>
      <c r="N565" s="23" t="s">
        <v>45</v>
      </c>
      <c r="O565" s="23" t="s">
        <v>23</v>
      </c>
      <c r="P565" s="23" t="s">
        <v>132</v>
      </c>
      <c r="Q565" s="23" t="s">
        <v>133</v>
      </c>
      <c r="R565" s="23" t="s">
        <v>131</v>
      </c>
      <c r="S565" s="33">
        <v>0.2</v>
      </c>
      <c r="T565" s="13">
        <v>36.671999999999997</v>
      </c>
      <c r="U565" s="13">
        <v>6.4176000000000002</v>
      </c>
      <c r="V565" s="55">
        <f>Table3[[#This Row],[Profit]]/Table3[[#This Row],[Sales]]</f>
        <v>0.17500000000000002</v>
      </c>
    </row>
    <row r="566" spans="1:22" x14ac:dyDescent="0.2">
      <c r="A566">
        <v>565</v>
      </c>
      <c r="B566" t="s">
        <v>4321</v>
      </c>
      <c r="C566" s="1">
        <v>42836</v>
      </c>
      <c r="D566" s="22">
        <f>MONTH(Table3[[#This Row],[Order Date]])</f>
        <v>4</v>
      </c>
      <c r="E566" t="s">
        <v>394</v>
      </c>
      <c r="F566" t="s">
        <v>395</v>
      </c>
      <c r="G566" s="23" t="s">
        <v>64</v>
      </c>
      <c r="H566" s="23" t="s">
        <v>144</v>
      </c>
      <c r="I566" t="s">
        <v>4322</v>
      </c>
      <c r="J566" t="s">
        <v>22</v>
      </c>
      <c r="K566" s="22">
        <v>5</v>
      </c>
      <c r="L566" s="1">
        <v>42843</v>
      </c>
      <c r="M566" s="22">
        <f>Table3[[#This Row],[Ship Date]]-Table3[[#This Row],[Order Date]]</f>
        <v>7</v>
      </c>
      <c r="N566" s="23" t="s">
        <v>45</v>
      </c>
      <c r="O566" s="23" t="s">
        <v>23</v>
      </c>
      <c r="P566" s="23" t="s">
        <v>38</v>
      </c>
      <c r="Q566" s="23" t="s">
        <v>39</v>
      </c>
      <c r="R566" s="23" t="s">
        <v>533</v>
      </c>
      <c r="S566" s="33">
        <v>0</v>
      </c>
      <c r="T566" s="13">
        <v>199.95</v>
      </c>
      <c r="U566" s="13">
        <v>21.994499999999999</v>
      </c>
      <c r="V566" s="55">
        <f>Table3[[#This Row],[Profit]]/Table3[[#This Row],[Sales]]</f>
        <v>0.11</v>
      </c>
    </row>
    <row r="567" spans="1:22" x14ac:dyDescent="0.2">
      <c r="A567">
        <v>566</v>
      </c>
      <c r="B567" t="s">
        <v>4321</v>
      </c>
      <c r="C567" s="1">
        <v>42836</v>
      </c>
      <c r="D567" s="22">
        <f>MONTH(Table3[[#This Row],[Order Date]])</f>
        <v>4</v>
      </c>
      <c r="E567" t="s">
        <v>3700</v>
      </c>
      <c r="F567" t="s">
        <v>3701</v>
      </c>
      <c r="G567" s="23" t="s">
        <v>41</v>
      </c>
      <c r="H567" s="23" t="s">
        <v>61</v>
      </c>
      <c r="I567" t="s">
        <v>4322</v>
      </c>
      <c r="J567" t="s">
        <v>22</v>
      </c>
      <c r="K567" s="22">
        <v>7</v>
      </c>
      <c r="L567" s="1">
        <v>42843</v>
      </c>
      <c r="M567" s="22">
        <f>Table3[[#This Row],[Ship Date]]-Table3[[#This Row],[Order Date]]</f>
        <v>7</v>
      </c>
      <c r="N567" s="23" t="s">
        <v>45</v>
      </c>
      <c r="O567" s="23" t="s">
        <v>23</v>
      </c>
      <c r="P567" s="23" t="s">
        <v>38</v>
      </c>
      <c r="Q567" s="23" t="s">
        <v>39</v>
      </c>
      <c r="R567" s="23" t="s">
        <v>533</v>
      </c>
      <c r="S567" s="33">
        <v>0</v>
      </c>
      <c r="T567" s="13">
        <v>41.86</v>
      </c>
      <c r="U567" s="13">
        <v>14.2324</v>
      </c>
      <c r="V567" s="55">
        <f>Table3[[#This Row],[Profit]]/Table3[[#This Row],[Sales]]</f>
        <v>0.34</v>
      </c>
    </row>
    <row r="568" spans="1:22" x14ac:dyDescent="0.2">
      <c r="A568">
        <v>567</v>
      </c>
      <c r="B568" t="s">
        <v>4324</v>
      </c>
      <c r="C568" s="1">
        <v>42836</v>
      </c>
      <c r="D568" s="22">
        <f>MONTH(Table3[[#This Row],[Order Date]])</f>
        <v>4</v>
      </c>
      <c r="E568" t="s">
        <v>375</v>
      </c>
      <c r="F568" t="s">
        <v>376</v>
      </c>
      <c r="G568" s="23" t="s">
        <v>41</v>
      </c>
      <c r="H568" s="23" t="s">
        <v>68</v>
      </c>
      <c r="I568" t="s">
        <v>2465</v>
      </c>
      <c r="J568" t="s">
        <v>92</v>
      </c>
      <c r="K568" s="22">
        <v>3</v>
      </c>
      <c r="L568" s="1">
        <v>42843</v>
      </c>
      <c r="M568" s="22">
        <f>Table3[[#This Row],[Ship Date]]-Table3[[#This Row],[Order Date]]</f>
        <v>7</v>
      </c>
      <c r="N568" s="23" t="s">
        <v>45</v>
      </c>
      <c r="O568" s="23" t="s">
        <v>23</v>
      </c>
      <c r="P568" s="23" t="s">
        <v>94</v>
      </c>
      <c r="Q568" s="23" t="s">
        <v>95</v>
      </c>
      <c r="R568" s="23" t="s">
        <v>4325</v>
      </c>
      <c r="S568" s="33">
        <v>0.8</v>
      </c>
      <c r="T568" s="13">
        <v>11.364000000000001</v>
      </c>
      <c r="U568" s="13">
        <v>-17.045999999999999</v>
      </c>
      <c r="V568" s="55">
        <f>Table3[[#This Row],[Profit]]/Table3[[#This Row],[Sales]]</f>
        <v>-1.4999999999999998</v>
      </c>
    </row>
    <row r="569" spans="1:22" x14ac:dyDescent="0.2">
      <c r="A569">
        <v>568</v>
      </c>
      <c r="B569" t="s">
        <v>6699</v>
      </c>
      <c r="C569" s="1">
        <v>42836</v>
      </c>
      <c r="D569" s="22">
        <f>MONTH(Table3[[#This Row],[Order Date]])</f>
        <v>4</v>
      </c>
      <c r="E569" t="s">
        <v>1614</v>
      </c>
      <c r="F569" t="s">
        <v>1615</v>
      </c>
      <c r="G569" s="23" t="s">
        <v>41</v>
      </c>
      <c r="H569" s="23" t="s">
        <v>53</v>
      </c>
      <c r="I569" t="s">
        <v>5723</v>
      </c>
      <c r="J569" t="s">
        <v>22</v>
      </c>
      <c r="K569" s="22">
        <v>2</v>
      </c>
      <c r="L569" s="1">
        <v>42840</v>
      </c>
      <c r="M569" s="22">
        <f>Table3[[#This Row],[Ship Date]]-Table3[[#This Row],[Order Date]]</f>
        <v>4</v>
      </c>
      <c r="N569" s="23" t="s">
        <v>45</v>
      </c>
      <c r="O569" s="23" t="s">
        <v>23</v>
      </c>
      <c r="P569" s="23" t="s">
        <v>441</v>
      </c>
      <c r="Q569" s="23" t="s">
        <v>133</v>
      </c>
      <c r="R569" s="23" t="s">
        <v>2174</v>
      </c>
      <c r="S569" s="33">
        <v>0.2</v>
      </c>
      <c r="T569" s="13">
        <v>16.768000000000001</v>
      </c>
      <c r="U569" s="13">
        <v>1.4672000000000001</v>
      </c>
      <c r="V569" s="55">
        <f>Table3[[#This Row],[Profit]]/Table3[[#This Row],[Sales]]</f>
        <v>8.7499999999999994E-2</v>
      </c>
    </row>
    <row r="570" spans="1:22" x14ac:dyDescent="0.2">
      <c r="A570">
        <v>569</v>
      </c>
      <c r="B570" t="s">
        <v>6699</v>
      </c>
      <c r="C570" s="1">
        <v>42836</v>
      </c>
      <c r="D570" s="22">
        <f>MONTH(Table3[[#This Row],[Order Date]])</f>
        <v>4</v>
      </c>
      <c r="E570" t="s">
        <v>2261</v>
      </c>
      <c r="F570" t="s">
        <v>2262</v>
      </c>
      <c r="G570" s="23" t="s">
        <v>64</v>
      </c>
      <c r="H570" s="23" t="s">
        <v>144</v>
      </c>
      <c r="I570" t="s">
        <v>5723</v>
      </c>
      <c r="J570" t="s">
        <v>22</v>
      </c>
      <c r="K570" s="22">
        <v>2</v>
      </c>
      <c r="L570" s="1">
        <v>42840</v>
      </c>
      <c r="M570" s="22">
        <f>Table3[[#This Row],[Ship Date]]-Table3[[#This Row],[Order Date]]</f>
        <v>4</v>
      </c>
      <c r="N570" s="23" t="s">
        <v>45</v>
      </c>
      <c r="O570" s="23" t="s">
        <v>23</v>
      </c>
      <c r="P570" s="23" t="s">
        <v>441</v>
      </c>
      <c r="Q570" s="23" t="s">
        <v>133</v>
      </c>
      <c r="R570" s="23" t="s">
        <v>2174</v>
      </c>
      <c r="S570" s="33">
        <v>0.2</v>
      </c>
      <c r="T570" s="13">
        <v>27.12</v>
      </c>
      <c r="U570" s="13">
        <v>-4.7460000000000004</v>
      </c>
      <c r="V570" s="55">
        <f>Table3[[#This Row],[Profit]]/Table3[[#This Row],[Sales]]</f>
        <v>-0.17500000000000002</v>
      </c>
    </row>
    <row r="571" spans="1:22" x14ac:dyDescent="0.2">
      <c r="A571">
        <v>570</v>
      </c>
      <c r="B571" t="s">
        <v>9169</v>
      </c>
      <c r="C571" s="1">
        <v>42836</v>
      </c>
      <c r="D571" s="22">
        <f>MONTH(Table3[[#This Row],[Order Date]])</f>
        <v>4</v>
      </c>
      <c r="E571" t="s">
        <v>3117</v>
      </c>
      <c r="F571" t="s">
        <v>3118</v>
      </c>
      <c r="G571" s="23" t="s">
        <v>41</v>
      </c>
      <c r="H571" s="23" t="s">
        <v>61</v>
      </c>
      <c r="I571" t="s">
        <v>289</v>
      </c>
      <c r="J571" t="s">
        <v>22</v>
      </c>
      <c r="K571" s="22">
        <v>1</v>
      </c>
      <c r="L571" s="1">
        <v>42841</v>
      </c>
      <c r="M571" s="22">
        <f>Table3[[#This Row],[Ship Date]]-Table3[[#This Row],[Order Date]]</f>
        <v>5</v>
      </c>
      <c r="N571" s="23" t="s">
        <v>45</v>
      </c>
      <c r="O571" s="23" t="s">
        <v>23</v>
      </c>
      <c r="P571" s="23" t="s">
        <v>80</v>
      </c>
      <c r="Q571" s="23" t="s">
        <v>26</v>
      </c>
      <c r="R571" s="23" t="s">
        <v>1957</v>
      </c>
      <c r="S571" s="33">
        <v>0.2</v>
      </c>
      <c r="T571" s="13">
        <v>1.752</v>
      </c>
      <c r="U571" s="13">
        <v>0.15329999999999999</v>
      </c>
      <c r="V571" s="55">
        <f>Table3[[#This Row],[Profit]]/Table3[[#This Row],[Sales]]</f>
        <v>8.7499999999999994E-2</v>
      </c>
    </row>
    <row r="572" spans="1:22" x14ac:dyDescent="0.2">
      <c r="A572">
        <v>571</v>
      </c>
      <c r="B572" t="s">
        <v>9169</v>
      </c>
      <c r="C572" s="1">
        <v>42836</v>
      </c>
      <c r="D572" s="22">
        <f>MONTH(Table3[[#This Row],[Order Date]])</f>
        <v>4</v>
      </c>
      <c r="E572" t="s">
        <v>4290</v>
      </c>
      <c r="F572" t="s">
        <v>4291</v>
      </c>
      <c r="G572" s="23" t="s">
        <v>41</v>
      </c>
      <c r="H572" s="23" t="s">
        <v>61</v>
      </c>
      <c r="I572" t="s">
        <v>289</v>
      </c>
      <c r="J572" t="s">
        <v>22</v>
      </c>
      <c r="K572" s="22">
        <v>8</v>
      </c>
      <c r="L572" s="1">
        <v>42841</v>
      </c>
      <c r="M572" s="22">
        <f>Table3[[#This Row],[Ship Date]]-Table3[[#This Row],[Order Date]]</f>
        <v>5</v>
      </c>
      <c r="N572" s="23" t="s">
        <v>45</v>
      </c>
      <c r="O572" s="23" t="s">
        <v>23</v>
      </c>
      <c r="P572" s="23" t="s">
        <v>80</v>
      </c>
      <c r="Q572" s="23" t="s">
        <v>26</v>
      </c>
      <c r="R572" s="23" t="s">
        <v>1957</v>
      </c>
      <c r="S572" s="33">
        <v>0.2</v>
      </c>
      <c r="T572" s="13">
        <v>20.992000000000001</v>
      </c>
      <c r="U572" s="13">
        <v>2.3616000000000001</v>
      </c>
      <c r="V572" s="55">
        <f>Table3[[#This Row],[Profit]]/Table3[[#This Row],[Sales]]</f>
        <v>0.1125</v>
      </c>
    </row>
    <row r="573" spans="1:22" x14ac:dyDescent="0.2">
      <c r="A573">
        <v>572</v>
      </c>
      <c r="B573" t="s">
        <v>3420</v>
      </c>
      <c r="C573" s="1">
        <v>42837</v>
      </c>
      <c r="D573" s="22">
        <f>MONTH(Table3[[#This Row],[Order Date]])</f>
        <v>4</v>
      </c>
      <c r="E573" t="s">
        <v>3421</v>
      </c>
      <c r="F573" t="s">
        <v>1073</v>
      </c>
      <c r="G573" s="23" t="s">
        <v>41</v>
      </c>
      <c r="H573" s="23" t="s">
        <v>68</v>
      </c>
      <c r="I573" t="s">
        <v>1655</v>
      </c>
      <c r="J573" t="s">
        <v>22</v>
      </c>
      <c r="K573" s="22">
        <v>5</v>
      </c>
      <c r="L573" s="1">
        <v>42840</v>
      </c>
      <c r="M573" s="22">
        <f>Table3[[#This Row],[Ship Date]]-Table3[[#This Row],[Order Date]]</f>
        <v>3</v>
      </c>
      <c r="N573" s="23" t="s">
        <v>20</v>
      </c>
      <c r="O573" s="23" t="s">
        <v>23</v>
      </c>
      <c r="P573" s="23" t="s">
        <v>1235</v>
      </c>
      <c r="Q573" s="23" t="s">
        <v>133</v>
      </c>
      <c r="R573" s="23" t="s">
        <v>3161</v>
      </c>
      <c r="S573" s="33">
        <v>0</v>
      </c>
      <c r="T573" s="13">
        <v>29.7</v>
      </c>
      <c r="U573" s="13">
        <v>13.365</v>
      </c>
      <c r="V573" s="55">
        <f>Table3[[#This Row],[Profit]]/Table3[[#This Row],[Sales]]</f>
        <v>0.45</v>
      </c>
    </row>
    <row r="574" spans="1:22" x14ac:dyDescent="0.2">
      <c r="A574">
        <v>573</v>
      </c>
      <c r="B574" t="s">
        <v>3420</v>
      </c>
      <c r="C574" s="1">
        <v>42837</v>
      </c>
      <c r="D574" s="22">
        <f>MONTH(Table3[[#This Row],[Order Date]])</f>
        <v>4</v>
      </c>
      <c r="E574" t="s">
        <v>3422</v>
      </c>
      <c r="F574" t="s">
        <v>3423</v>
      </c>
      <c r="G574" s="23" t="s">
        <v>41</v>
      </c>
      <c r="H574" s="23" t="s">
        <v>82</v>
      </c>
      <c r="I574" t="s">
        <v>1655</v>
      </c>
      <c r="J574" t="s">
        <v>22</v>
      </c>
      <c r="K574" s="22">
        <v>4</v>
      </c>
      <c r="L574" s="1">
        <v>42840</v>
      </c>
      <c r="M574" s="22">
        <f>Table3[[#This Row],[Ship Date]]-Table3[[#This Row],[Order Date]]</f>
        <v>3</v>
      </c>
      <c r="N574" s="23" t="s">
        <v>20</v>
      </c>
      <c r="O574" s="23" t="s">
        <v>23</v>
      </c>
      <c r="P574" s="23" t="s">
        <v>1235</v>
      </c>
      <c r="Q574" s="23" t="s">
        <v>133</v>
      </c>
      <c r="R574" s="23" t="s">
        <v>3161</v>
      </c>
      <c r="S574" s="33">
        <v>0</v>
      </c>
      <c r="T574" s="13">
        <v>39.96</v>
      </c>
      <c r="U574" s="13">
        <v>17.981999999999999</v>
      </c>
      <c r="V574" s="55">
        <f>Table3[[#This Row],[Profit]]/Table3[[#This Row],[Sales]]</f>
        <v>0.44999999999999996</v>
      </c>
    </row>
    <row r="575" spans="1:22" x14ac:dyDescent="0.2">
      <c r="A575">
        <v>574</v>
      </c>
      <c r="B575" t="s">
        <v>4458</v>
      </c>
      <c r="C575" s="1">
        <v>42838</v>
      </c>
      <c r="D575" s="22">
        <f>MONTH(Table3[[#This Row],[Order Date]])</f>
        <v>4</v>
      </c>
      <c r="E575" t="s">
        <v>805</v>
      </c>
      <c r="F575" t="s">
        <v>806</v>
      </c>
      <c r="G575" s="23" t="s">
        <v>41</v>
      </c>
      <c r="H575" s="23" t="s">
        <v>82</v>
      </c>
      <c r="I575" t="s">
        <v>2472</v>
      </c>
      <c r="J575" t="s">
        <v>36</v>
      </c>
      <c r="K575" s="22">
        <v>1</v>
      </c>
      <c r="L575" s="1">
        <v>42840</v>
      </c>
      <c r="M575" s="22">
        <f>Table3[[#This Row],[Ship Date]]-Table3[[#This Row],[Order Date]]</f>
        <v>2</v>
      </c>
      <c r="N575" s="23" t="s">
        <v>169</v>
      </c>
      <c r="O575" s="23" t="s">
        <v>23</v>
      </c>
      <c r="P575" s="23" t="s">
        <v>87</v>
      </c>
      <c r="Q575" s="23" t="s">
        <v>39</v>
      </c>
      <c r="R575" s="23" t="s">
        <v>86</v>
      </c>
      <c r="S575" s="33">
        <v>0</v>
      </c>
      <c r="T575" s="13">
        <v>5.28</v>
      </c>
      <c r="U575" s="13">
        <v>2.3759999999999999</v>
      </c>
      <c r="V575" s="55">
        <f>Table3[[#This Row],[Profit]]/Table3[[#This Row],[Sales]]</f>
        <v>0.44999999999999996</v>
      </c>
    </row>
    <row r="576" spans="1:22" x14ac:dyDescent="0.2">
      <c r="A576">
        <v>575</v>
      </c>
      <c r="B576" t="s">
        <v>4458</v>
      </c>
      <c r="C576" s="1">
        <v>42838</v>
      </c>
      <c r="D576" s="22">
        <f>MONTH(Table3[[#This Row],[Order Date]])</f>
        <v>4</v>
      </c>
      <c r="E576" t="s">
        <v>4218</v>
      </c>
      <c r="F576" t="s">
        <v>4219</v>
      </c>
      <c r="G576" s="23" t="s">
        <v>41</v>
      </c>
      <c r="H576" s="23" t="s">
        <v>68</v>
      </c>
      <c r="I576" t="s">
        <v>2472</v>
      </c>
      <c r="J576" t="s">
        <v>36</v>
      </c>
      <c r="K576" s="22">
        <v>5</v>
      </c>
      <c r="L576" s="1">
        <v>42840</v>
      </c>
      <c r="M576" s="22">
        <f>Table3[[#This Row],[Ship Date]]-Table3[[#This Row],[Order Date]]</f>
        <v>2</v>
      </c>
      <c r="N576" s="23" t="s">
        <v>169</v>
      </c>
      <c r="O576" s="23" t="s">
        <v>23</v>
      </c>
      <c r="P576" s="23" t="s">
        <v>87</v>
      </c>
      <c r="Q576" s="23" t="s">
        <v>39</v>
      </c>
      <c r="R576" s="23" t="s">
        <v>86</v>
      </c>
      <c r="S576" s="33">
        <v>0.2</v>
      </c>
      <c r="T576" s="13">
        <v>895.92</v>
      </c>
      <c r="U576" s="13">
        <v>302.37299999999999</v>
      </c>
      <c r="V576" s="55">
        <f>Table3[[#This Row],[Profit]]/Table3[[#This Row],[Sales]]</f>
        <v>0.33750000000000002</v>
      </c>
    </row>
    <row r="577" spans="1:22" x14ac:dyDescent="0.2">
      <c r="A577">
        <v>576</v>
      </c>
      <c r="B577" t="s">
        <v>9187</v>
      </c>
      <c r="C577" s="1">
        <v>42838</v>
      </c>
      <c r="D577" s="22">
        <f>MONTH(Table3[[#This Row],[Order Date]])</f>
        <v>4</v>
      </c>
      <c r="E577" t="s">
        <v>4287</v>
      </c>
      <c r="F577" t="s">
        <v>4288</v>
      </c>
      <c r="G577" s="23" t="s">
        <v>28</v>
      </c>
      <c r="H577" s="23" t="s">
        <v>32</v>
      </c>
      <c r="I577" t="s">
        <v>3354</v>
      </c>
      <c r="J577" t="s">
        <v>36</v>
      </c>
      <c r="K577" s="22">
        <v>6</v>
      </c>
      <c r="L577" s="1">
        <v>42842</v>
      </c>
      <c r="M577" s="22">
        <f>Table3[[#This Row],[Ship Date]]-Table3[[#This Row],[Order Date]]</f>
        <v>4</v>
      </c>
      <c r="N577" s="23" t="s">
        <v>45</v>
      </c>
      <c r="O577" s="23" t="s">
        <v>23</v>
      </c>
      <c r="P577" s="23" t="s">
        <v>38</v>
      </c>
      <c r="Q577" s="23" t="s">
        <v>39</v>
      </c>
      <c r="R577" s="23" t="s">
        <v>1042</v>
      </c>
      <c r="S577" s="33">
        <v>0.2</v>
      </c>
      <c r="T577" s="13">
        <v>436.70400000000001</v>
      </c>
      <c r="U577" s="13">
        <v>-38.211599999999997</v>
      </c>
      <c r="V577" s="55">
        <f>Table3[[#This Row],[Profit]]/Table3[[#This Row],[Sales]]</f>
        <v>-8.7499999999999994E-2</v>
      </c>
    </row>
    <row r="578" spans="1:22" x14ac:dyDescent="0.2">
      <c r="A578">
        <v>577</v>
      </c>
      <c r="B578" t="s">
        <v>9813</v>
      </c>
      <c r="C578" s="1">
        <v>42838</v>
      </c>
      <c r="D578" s="22">
        <f>MONTH(Table3[[#This Row],[Order Date]])</f>
        <v>4</v>
      </c>
      <c r="E578" t="s">
        <v>4414</v>
      </c>
      <c r="F578" t="s">
        <v>4415</v>
      </c>
      <c r="G578" s="23" t="s">
        <v>41</v>
      </c>
      <c r="H578" s="23" t="s">
        <v>240</v>
      </c>
      <c r="I578" t="s">
        <v>2324</v>
      </c>
      <c r="J578" t="s">
        <v>36</v>
      </c>
      <c r="K578" s="22">
        <v>5</v>
      </c>
      <c r="L578" s="1">
        <v>42842</v>
      </c>
      <c r="M578" s="22">
        <f>Table3[[#This Row],[Ship Date]]-Table3[[#This Row],[Order Date]]</f>
        <v>4</v>
      </c>
      <c r="N578" s="23" t="s">
        <v>45</v>
      </c>
      <c r="O578" s="23" t="s">
        <v>23</v>
      </c>
      <c r="P578" s="23" t="s">
        <v>132</v>
      </c>
      <c r="Q578" s="23" t="s">
        <v>133</v>
      </c>
      <c r="R578" s="23" t="s">
        <v>131</v>
      </c>
      <c r="S578" s="33">
        <v>0.2</v>
      </c>
      <c r="T578" s="13">
        <v>7.92</v>
      </c>
      <c r="U578" s="13">
        <v>1.6830000000000001</v>
      </c>
      <c r="V578" s="55">
        <f>Table3[[#This Row],[Profit]]/Table3[[#This Row],[Sales]]</f>
        <v>0.21250000000000002</v>
      </c>
    </row>
    <row r="579" spans="1:22" x14ac:dyDescent="0.2">
      <c r="A579">
        <v>578</v>
      </c>
      <c r="B579" t="s">
        <v>2495</v>
      </c>
      <c r="C579" s="1">
        <v>42839</v>
      </c>
      <c r="D579" s="22">
        <f>MONTH(Table3[[#This Row],[Order Date]])</f>
        <v>4</v>
      </c>
      <c r="E579" t="s">
        <v>1671</v>
      </c>
      <c r="F579" t="s">
        <v>1672</v>
      </c>
      <c r="G579" s="23" t="s">
        <v>41</v>
      </c>
      <c r="H579" s="23" t="s">
        <v>61</v>
      </c>
      <c r="I579" t="s">
        <v>1976</v>
      </c>
      <c r="J579" t="s">
        <v>22</v>
      </c>
      <c r="K579" s="22">
        <v>3</v>
      </c>
      <c r="L579" s="1">
        <v>42842</v>
      </c>
      <c r="M579" s="22">
        <f>Table3[[#This Row],[Ship Date]]-Table3[[#This Row],[Order Date]]</f>
        <v>3</v>
      </c>
      <c r="N579" s="23" t="s">
        <v>169</v>
      </c>
      <c r="O579" s="23" t="s">
        <v>23</v>
      </c>
      <c r="P579" s="23" t="s">
        <v>441</v>
      </c>
      <c r="Q579" s="23" t="s">
        <v>133</v>
      </c>
      <c r="R579" s="23" t="s">
        <v>2496</v>
      </c>
      <c r="S579" s="33">
        <v>0.2</v>
      </c>
      <c r="T579" s="13">
        <v>14.592000000000001</v>
      </c>
      <c r="U579" s="13">
        <v>2.5535999999999999</v>
      </c>
      <c r="V579" s="55">
        <f>Table3[[#This Row],[Profit]]/Table3[[#This Row],[Sales]]</f>
        <v>0.17499999999999999</v>
      </c>
    </row>
    <row r="580" spans="1:22" x14ac:dyDescent="0.2">
      <c r="A580">
        <v>579</v>
      </c>
      <c r="B580" t="s">
        <v>2495</v>
      </c>
      <c r="C580" s="1">
        <v>42839</v>
      </c>
      <c r="D580" s="22">
        <f>MONTH(Table3[[#This Row],[Order Date]])</f>
        <v>4</v>
      </c>
      <c r="E580" t="s">
        <v>2497</v>
      </c>
      <c r="F580" t="s">
        <v>2498</v>
      </c>
      <c r="G580" s="23" t="s">
        <v>41</v>
      </c>
      <c r="H580" s="23" t="s">
        <v>61</v>
      </c>
      <c r="I580" t="s">
        <v>1976</v>
      </c>
      <c r="J580" t="s">
        <v>22</v>
      </c>
      <c r="K580" s="22">
        <v>3</v>
      </c>
      <c r="L580" s="1">
        <v>42842</v>
      </c>
      <c r="M580" s="22">
        <f>Table3[[#This Row],[Ship Date]]-Table3[[#This Row],[Order Date]]</f>
        <v>3</v>
      </c>
      <c r="N580" s="23" t="s">
        <v>169</v>
      </c>
      <c r="O580" s="23" t="s">
        <v>23</v>
      </c>
      <c r="P580" s="23" t="s">
        <v>441</v>
      </c>
      <c r="Q580" s="23" t="s">
        <v>133</v>
      </c>
      <c r="R580" s="23" t="s">
        <v>2496</v>
      </c>
      <c r="S580" s="33">
        <v>0.2</v>
      </c>
      <c r="T580" s="13">
        <v>89.855999999999995</v>
      </c>
      <c r="U580" s="13">
        <v>21.340800000000002</v>
      </c>
      <c r="V580" s="55">
        <f>Table3[[#This Row],[Profit]]/Table3[[#This Row],[Sales]]</f>
        <v>0.23750000000000004</v>
      </c>
    </row>
    <row r="581" spans="1:22" x14ac:dyDescent="0.2">
      <c r="A581">
        <v>580</v>
      </c>
      <c r="B581" t="s">
        <v>2495</v>
      </c>
      <c r="C581" s="1">
        <v>42839</v>
      </c>
      <c r="D581" s="22">
        <f>MONTH(Table3[[#This Row],[Order Date]])</f>
        <v>4</v>
      </c>
      <c r="E581" t="s">
        <v>2087</v>
      </c>
      <c r="F581" t="s">
        <v>2088</v>
      </c>
      <c r="G581" s="23" t="s">
        <v>41</v>
      </c>
      <c r="H581" s="23" t="s">
        <v>82</v>
      </c>
      <c r="I581" t="s">
        <v>1976</v>
      </c>
      <c r="J581" t="s">
        <v>22</v>
      </c>
      <c r="K581" s="22">
        <v>3</v>
      </c>
      <c r="L581" s="1">
        <v>42842</v>
      </c>
      <c r="M581" s="22">
        <f>Table3[[#This Row],[Ship Date]]-Table3[[#This Row],[Order Date]]</f>
        <v>3</v>
      </c>
      <c r="N581" s="23" t="s">
        <v>169</v>
      </c>
      <c r="O581" s="23" t="s">
        <v>23</v>
      </c>
      <c r="P581" s="23" t="s">
        <v>441</v>
      </c>
      <c r="Q581" s="23" t="s">
        <v>133</v>
      </c>
      <c r="R581" s="23" t="s">
        <v>2496</v>
      </c>
      <c r="S581" s="33">
        <v>0.2</v>
      </c>
      <c r="T581" s="13">
        <v>13.872</v>
      </c>
      <c r="U581" s="13">
        <v>5.0286</v>
      </c>
      <c r="V581" s="55">
        <f>Table3[[#This Row],[Profit]]/Table3[[#This Row],[Sales]]</f>
        <v>0.36249999999999999</v>
      </c>
    </row>
    <row r="582" spans="1:22" x14ac:dyDescent="0.2">
      <c r="A582">
        <v>581</v>
      </c>
      <c r="B582" t="s">
        <v>5151</v>
      </c>
      <c r="C582" s="1">
        <v>42839</v>
      </c>
      <c r="D582" s="22">
        <f>MONTH(Table3[[#This Row],[Order Date]])</f>
        <v>4</v>
      </c>
      <c r="E582" t="s">
        <v>857</v>
      </c>
      <c r="F582" t="s">
        <v>858</v>
      </c>
      <c r="G582" s="23" t="s">
        <v>41</v>
      </c>
      <c r="H582" s="23" t="s">
        <v>68</v>
      </c>
      <c r="I582" t="s">
        <v>5152</v>
      </c>
      <c r="J582" t="s">
        <v>92</v>
      </c>
      <c r="K582" s="22">
        <v>2</v>
      </c>
      <c r="L582" s="1">
        <v>42840</v>
      </c>
      <c r="M582" s="22">
        <f>Table3[[#This Row],[Ship Date]]-Table3[[#This Row],[Order Date]]</f>
        <v>1</v>
      </c>
      <c r="N582" s="23" t="s">
        <v>169</v>
      </c>
      <c r="O582" s="23" t="s">
        <v>23</v>
      </c>
      <c r="P582" s="23" t="s">
        <v>528</v>
      </c>
      <c r="Q582" s="23" t="s">
        <v>95</v>
      </c>
      <c r="R582" s="23" t="s">
        <v>284</v>
      </c>
      <c r="S582" s="33">
        <v>0</v>
      </c>
      <c r="T582" s="13">
        <v>8.76</v>
      </c>
      <c r="U582" s="13">
        <v>4.2047999999999996</v>
      </c>
      <c r="V582" s="55">
        <f>Table3[[#This Row],[Profit]]/Table3[[#This Row],[Sales]]</f>
        <v>0.48</v>
      </c>
    </row>
    <row r="583" spans="1:22" x14ac:dyDescent="0.2">
      <c r="A583">
        <v>582</v>
      </c>
      <c r="B583" t="s">
        <v>5630</v>
      </c>
      <c r="C583" s="1">
        <v>42839</v>
      </c>
      <c r="D583" s="22">
        <f>MONTH(Table3[[#This Row],[Order Date]])</f>
        <v>4</v>
      </c>
      <c r="E583" t="s">
        <v>4998</v>
      </c>
      <c r="F583" t="s">
        <v>1078</v>
      </c>
      <c r="G583" s="23" t="s">
        <v>41</v>
      </c>
      <c r="H583" s="23" t="s">
        <v>68</v>
      </c>
      <c r="I583" t="s">
        <v>2870</v>
      </c>
      <c r="J583" t="s">
        <v>22</v>
      </c>
      <c r="K583" s="22">
        <v>3</v>
      </c>
      <c r="L583" s="1">
        <v>42844</v>
      </c>
      <c r="M583" s="22">
        <f>Table3[[#This Row],[Ship Date]]-Table3[[#This Row],[Order Date]]</f>
        <v>5</v>
      </c>
      <c r="N583" s="23" t="s">
        <v>45</v>
      </c>
      <c r="O583" s="23" t="s">
        <v>23</v>
      </c>
      <c r="P583" s="23" t="s">
        <v>238</v>
      </c>
      <c r="Q583" s="23" t="s">
        <v>133</v>
      </c>
      <c r="R583" s="23" t="s">
        <v>237</v>
      </c>
      <c r="S583" s="33">
        <v>0.2</v>
      </c>
      <c r="T583" s="13">
        <v>10.776</v>
      </c>
      <c r="U583" s="13">
        <v>3.5022000000000002</v>
      </c>
      <c r="V583" s="55">
        <f>Table3[[#This Row],[Profit]]/Table3[[#This Row],[Sales]]</f>
        <v>0.32500000000000001</v>
      </c>
    </row>
    <row r="584" spans="1:22" x14ac:dyDescent="0.2">
      <c r="A584">
        <v>583</v>
      </c>
      <c r="B584" t="s">
        <v>5630</v>
      </c>
      <c r="C584" s="1">
        <v>42839</v>
      </c>
      <c r="D584" s="22">
        <f>MONTH(Table3[[#This Row],[Order Date]])</f>
        <v>4</v>
      </c>
      <c r="E584" t="s">
        <v>2450</v>
      </c>
      <c r="F584" t="s">
        <v>2451</v>
      </c>
      <c r="G584" s="23" t="s">
        <v>28</v>
      </c>
      <c r="H584" s="23" t="s">
        <v>29</v>
      </c>
      <c r="I584" t="s">
        <v>2870</v>
      </c>
      <c r="J584" t="s">
        <v>22</v>
      </c>
      <c r="K584" s="22">
        <v>3</v>
      </c>
      <c r="L584" s="1">
        <v>42844</v>
      </c>
      <c r="M584" s="22">
        <f>Table3[[#This Row],[Ship Date]]-Table3[[#This Row],[Order Date]]</f>
        <v>5</v>
      </c>
      <c r="N584" s="23" t="s">
        <v>45</v>
      </c>
      <c r="O584" s="23" t="s">
        <v>23</v>
      </c>
      <c r="P584" s="23" t="s">
        <v>238</v>
      </c>
      <c r="Q584" s="23" t="s">
        <v>133</v>
      </c>
      <c r="R584" s="23" t="s">
        <v>237</v>
      </c>
      <c r="S584" s="33">
        <v>0.2</v>
      </c>
      <c r="T584" s="13">
        <v>242.352</v>
      </c>
      <c r="U584" s="13">
        <v>9.0882000000000005</v>
      </c>
      <c r="V584" s="55">
        <f>Table3[[#This Row],[Profit]]/Table3[[#This Row],[Sales]]</f>
        <v>3.7499999999999999E-2</v>
      </c>
    </row>
    <row r="585" spans="1:22" x14ac:dyDescent="0.2">
      <c r="A585">
        <v>584</v>
      </c>
      <c r="B585" t="s">
        <v>7416</v>
      </c>
      <c r="C585" s="1">
        <v>42839</v>
      </c>
      <c r="D585" s="22">
        <f>MONTH(Table3[[#This Row],[Order Date]])</f>
        <v>4</v>
      </c>
      <c r="E585" t="s">
        <v>3187</v>
      </c>
      <c r="F585" t="s">
        <v>3188</v>
      </c>
      <c r="G585" s="23" t="s">
        <v>28</v>
      </c>
      <c r="H585" s="23" t="s">
        <v>29</v>
      </c>
      <c r="I585" t="s">
        <v>492</v>
      </c>
      <c r="J585" t="s">
        <v>36</v>
      </c>
      <c r="K585" s="22">
        <v>8</v>
      </c>
      <c r="L585" s="1">
        <v>42843</v>
      </c>
      <c r="M585" s="22">
        <f>Table3[[#This Row],[Ship Date]]-Table3[[#This Row],[Order Date]]</f>
        <v>4</v>
      </c>
      <c r="N585" s="23" t="s">
        <v>45</v>
      </c>
      <c r="O585" s="23" t="s">
        <v>23</v>
      </c>
      <c r="P585" s="23" t="s">
        <v>80</v>
      </c>
      <c r="Q585" s="23" t="s">
        <v>26</v>
      </c>
      <c r="R585" s="23" t="s">
        <v>1509</v>
      </c>
      <c r="S585" s="33">
        <v>0.2</v>
      </c>
      <c r="T585" s="13">
        <v>198.27199999999999</v>
      </c>
      <c r="U585" s="13">
        <v>-32.219200000000001</v>
      </c>
      <c r="V585" s="55">
        <f>Table3[[#This Row],[Profit]]/Table3[[#This Row],[Sales]]</f>
        <v>-0.16250000000000001</v>
      </c>
    </row>
    <row r="586" spans="1:22" x14ac:dyDescent="0.2">
      <c r="A586">
        <v>585</v>
      </c>
      <c r="B586" t="s">
        <v>7637</v>
      </c>
      <c r="C586" s="1">
        <v>42839</v>
      </c>
      <c r="D586" s="22">
        <f>MONTH(Table3[[#This Row],[Order Date]])</f>
        <v>4</v>
      </c>
      <c r="E586" t="s">
        <v>3260</v>
      </c>
      <c r="F586" t="s">
        <v>3261</v>
      </c>
      <c r="G586" s="23" t="s">
        <v>28</v>
      </c>
      <c r="H586" s="23" t="s">
        <v>58</v>
      </c>
      <c r="I586" t="s">
        <v>3303</v>
      </c>
      <c r="J586" t="s">
        <v>36</v>
      </c>
      <c r="K586" s="22">
        <v>5</v>
      </c>
      <c r="L586" s="1">
        <v>42844</v>
      </c>
      <c r="M586" s="22">
        <f>Table3[[#This Row],[Ship Date]]-Table3[[#This Row],[Order Date]]</f>
        <v>5</v>
      </c>
      <c r="N586" s="23" t="s">
        <v>45</v>
      </c>
      <c r="O586" s="23" t="s">
        <v>23</v>
      </c>
      <c r="P586" s="23" t="s">
        <v>695</v>
      </c>
      <c r="Q586" s="23" t="s">
        <v>133</v>
      </c>
      <c r="R586" s="23" t="s">
        <v>882</v>
      </c>
      <c r="S586" s="33">
        <v>0</v>
      </c>
      <c r="T586" s="13">
        <v>74.45</v>
      </c>
      <c r="U586" s="13">
        <v>20.101500000000001</v>
      </c>
      <c r="V586" s="55">
        <f>Table3[[#This Row],[Profit]]/Table3[[#This Row],[Sales]]</f>
        <v>0.27</v>
      </c>
    </row>
    <row r="587" spans="1:22" x14ac:dyDescent="0.2">
      <c r="A587">
        <v>586</v>
      </c>
      <c r="B587" t="s">
        <v>77</v>
      </c>
      <c r="C587" s="1">
        <v>42840</v>
      </c>
      <c r="D587" s="22">
        <f>MONTH(Table3[[#This Row],[Order Date]])</f>
        <v>4</v>
      </c>
      <c r="E587" t="s">
        <v>81</v>
      </c>
      <c r="F587" t="s">
        <v>83</v>
      </c>
      <c r="G587" s="23" t="s">
        <v>41</v>
      </c>
      <c r="H587" s="23" t="s">
        <v>82</v>
      </c>
      <c r="I587" t="s">
        <v>78</v>
      </c>
      <c r="J587" t="s">
        <v>22</v>
      </c>
      <c r="K587" s="22">
        <v>3</v>
      </c>
      <c r="L587" s="1">
        <v>42845</v>
      </c>
      <c r="M587" s="22">
        <f>Table3[[#This Row],[Ship Date]]-Table3[[#This Row],[Order Date]]</f>
        <v>5</v>
      </c>
      <c r="N587" s="23" t="s">
        <v>45</v>
      </c>
      <c r="O587" s="23" t="s">
        <v>23</v>
      </c>
      <c r="P587" s="23" t="s">
        <v>80</v>
      </c>
      <c r="Q587" s="23" t="s">
        <v>26</v>
      </c>
      <c r="R587" s="23" t="s">
        <v>79</v>
      </c>
      <c r="S587" s="33">
        <v>0.2</v>
      </c>
      <c r="T587" s="13">
        <v>15.552</v>
      </c>
      <c r="U587" s="13">
        <v>5.4432</v>
      </c>
      <c r="V587" s="55">
        <f>Table3[[#This Row],[Profit]]/Table3[[#This Row],[Sales]]</f>
        <v>0.35000000000000003</v>
      </c>
    </row>
    <row r="588" spans="1:22" x14ac:dyDescent="0.2">
      <c r="A588">
        <v>587</v>
      </c>
      <c r="B588" t="s">
        <v>995</v>
      </c>
      <c r="C588" s="1">
        <v>42840</v>
      </c>
      <c r="D588" s="22">
        <f>MONTH(Table3[[#This Row],[Order Date]])</f>
        <v>4</v>
      </c>
      <c r="E588" t="s">
        <v>998</v>
      </c>
      <c r="F588" t="s">
        <v>999</v>
      </c>
      <c r="G588" s="23" t="s">
        <v>41</v>
      </c>
      <c r="H588" s="23" t="s">
        <v>61</v>
      </c>
      <c r="I588" t="s">
        <v>996</v>
      </c>
      <c r="J588" t="s">
        <v>22</v>
      </c>
      <c r="K588" s="22">
        <v>1</v>
      </c>
      <c r="L588" s="1">
        <v>42842</v>
      </c>
      <c r="M588" s="22">
        <f>Table3[[#This Row],[Ship Date]]-Table3[[#This Row],[Order Date]]</f>
        <v>2</v>
      </c>
      <c r="N588" s="23" t="s">
        <v>169</v>
      </c>
      <c r="O588" s="23" t="s">
        <v>23</v>
      </c>
      <c r="P588" s="23" t="s">
        <v>285</v>
      </c>
      <c r="Q588" s="23" t="s">
        <v>26</v>
      </c>
      <c r="R588" s="23" t="s">
        <v>997</v>
      </c>
      <c r="S588" s="33">
        <v>0</v>
      </c>
      <c r="T588" s="13">
        <v>4.8899999999999997</v>
      </c>
      <c r="U588" s="13">
        <v>2.0049000000000001</v>
      </c>
      <c r="V588" s="55">
        <f>Table3[[#This Row],[Profit]]/Table3[[#This Row],[Sales]]</f>
        <v>0.41000000000000003</v>
      </c>
    </row>
    <row r="589" spans="1:22" x14ac:dyDescent="0.2">
      <c r="A589">
        <v>588</v>
      </c>
      <c r="B589" t="s">
        <v>4120</v>
      </c>
      <c r="C589" s="1">
        <v>42840</v>
      </c>
      <c r="D589" s="22">
        <f>MONTH(Table3[[#This Row],[Order Date]])</f>
        <v>4</v>
      </c>
      <c r="E589" t="s">
        <v>2742</v>
      </c>
      <c r="F589" t="s">
        <v>2743</v>
      </c>
      <c r="G589" s="23" t="s">
        <v>28</v>
      </c>
      <c r="H589" s="23" t="s">
        <v>58</v>
      </c>
      <c r="I589" t="s">
        <v>2486</v>
      </c>
      <c r="J589" t="s">
        <v>36</v>
      </c>
      <c r="K589" s="22">
        <v>5</v>
      </c>
      <c r="L589" s="1">
        <v>42843</v>
      </c>
      <c r="M589" s="22">
        <f>Table3[[#This Row],[Ship Date]]-Table3[[#This Row],[Order Date]]</f>
        <v>3</v>
      </c>
      <c r="N589" s="23" t="s">
        <v>169</v>
      </c>
      <c r="O589" s="23" t="s">
        <v>23</v>
      </c>
      <c r="P589" s="23" t="s">
        <v>1229</v>
      </c>
      <c r="Q589" s="23" t="s">
        <v>39</v>
      </c>
      <c r="R589" s="23" t="s">
        <v>24</v>
      </c>
      <c r="S589" s="33">
        <v>0</v>
      </c>
      <c r="T589" s="13">
        <v>196.45</v>
      </c>
      <c r="U589" s="13">
        <v>70.721999999999994</v>
      </c>
      <c r="V589" s="55">
        <f>Table3[[#This Row],[Profit]]/Table3[[#This Row],[Sales]]</f>
        <v>0.36</v>
      </c>
    </row>
    <row r="590" spans="1:22" x14ac:dyDescent="0.2">
      <c r="A590">
        <v>589</v>
      </c>
      <c r="B590" t="s">
        <v>7312</v>
      </c>
      <c r="C590" s="1">
        <v>42840</v>
      </c>
      <c r="D590" s="22">
        <f>MONTH(Table3[[#This Row],[Order Date]])</f>
        <v>4</v>
      </c>
      <c r="E590" t="s">
        <v>560</v>
      </c>
      <c r="F590" t="s">
        <v>561</v>
      </c>
      <c r="G590" s="23" t="s">
        <v>41</v>
      </c>
      <c r="H590" s="23" t="s">
        <v>82</v>
      </c>
      <c r="I590" t="s">
        <v>2725</v>
      </c>
      <c r="J590" t="s">
        <v>36</v>
      </c>
      <c r="K590" s="22">
        <v>3</v>
      </c>
      <c r="L590" s="1">
        <v>42842</v>
      </c>
      <c r="M590" s="22">
        <f>Table3[[#This Row],[Ship Date]]-Table3[[#This Row],[Order Date]]</f>
        <v>2</v>
      </c>
      <c r="N590" s="23" t="s">
        <v>20</v>
      </c>
      <c r="O590" s="23" t="s">
        <v>23</v>
      </c>
      <c r="P590" s="23" t="s">
        <v>38</v>
      </c>
      <c r="Q590" s="23" t="s">
        <v>39</v>
      </c>
      <c r="R590" s="23" t="s">
        <v>37</v>
      </c>
      <c r="S590" s="33">
        <v>0</v>
      </c>
      <c r="T590" s="13">
        <v>79.14</v>
      </c>
      <c r="U590" s="13">
        <v>36.404400000000003</v>
      </c>
      <c r="V590" s="55">
        <f>Table3[[#This Row],[Profit]]/Table3[[#This Row],[Sales]]</f>
        <v>0.46</v>
      </c>
    </row>
    <row r="591" spans="1:22" x14ac:dyDescent="0.2">
      <c r="A591">
        <v>590</v>
      </c>
      <c r="B591" t="s">
        <v>7823</v>
      </c>
      <c r="C591" s="1">
        <v>42840</v>
      </c>
      <c r="D591" s="22">
        <f>MONTH(Table3[[#This Row],[Order Date]])</f>
        <v>4</v>
      </c>
      <c r="E591" t="s">
        <v>7824</v>
      </c>
      <c r="F591" t="s">
        <v>7825</v>
      </c>
      <c r="G591" s="23" t="s">
        <v>41</v>
      </c>
      <c r="H591" s="23" t="s">
        <v>82</v>
      </c>
      <c r="I591" t="s">
        <v>1325</v>
      </c>
      <c r="J591" t="s">
        <v>92</v>
      </c>
      <c r="K591" s="22">
        <v>4</v>
      </c>
      <c r="L591" s="1">
        <v>42846</v>
      </c>
      <c r="M591" s="22">
        <f>Table3[[#This Row],[Ship Date]]-Table3[[#This Row],[Order Date]]</f>
        <v>6</v>
      </c>
      <c r="N591" s="23" t="s">
        <v>45</v>
      </c>
      <c r="O591" s="23" t="s">
        <v>23</v>
      </c>
      <c r="P591" s="23" t="s">
        <v>94</v>
      </c>
      <c r="Q591" s="23" t="s">
        <v>95</v>
      </c>
      <c r="R591" s="23" t="s">
        <v>165</v>
      </c>
      <c r="S591" s="33">
        <v>0.2</v>
      </c>
      <c r="T591" s="13">
        <v>20.736000000000001</v>
      </c>
      <c r="U591" s="13">
        <v>7.2576000000000001</v>
      </c>
      <c r="V591" s="55">
        <f>Table3[[#This Row],[Profit]]/Table3[[#This Row],[Sales]]</f>
        <v>0.35</v>
      </c>
    </row>
    <row r="592" spans="1:22" x14ac:dyDescent="0.2">
      <c r="A592">
        <v>591</v>
      </c>
      <c r="B592" t="s">
        <v>8669</v>
      </c>
      <c r="C592" s="1">
        <v>42840</v>
      </c>
      <c r="D592" s="22">
        <f>MONTH(Table3[[#This Row],[Order Date]])</f>
        <v>4</v>
      </c>
      <c r="E592" t="s">
        <v>290</v>
      </c>
      <c r="F592" t="s">
        <v>5518</v>
      </c>
      <c r="G592" s="23" t="s">
        <v>41</v>
      </c>
      <c r="H592" s="23" t="s">
        <v>68</v>
      </c>
      <c r="I592" t="s">
        <v>1222</v>
      </c>
      <c r="J592" t="s">
        <v>36</v>
      </c>
      <c r="K592" s="22">
        <v>3</v>
      </c>
      <c r="L592" s="1">
        <v>42842</v>
      </c>
      <c r="M592" s="22">
        <f>Table3[[#This Row],[Ship Date]]-Table3[[#This Row],[Order Date]]</f>
        <v>2</v>
      </c>
      <c r="N592" s="23" t="s">
        <v>169</v>
      </c>
      <c r="O592" s="23" t="s">
        <v>23</v>
      </c>
      <c r="P592" s="23" t="s">
        <v>48</v>
      </c>
      <c r="Q592" s="23" t="s">
        <v>26</v>
      </c>
      <c r="R592" s="23" t="s">
        <v>1253</v>
      </c>
      <c r="S592" s="33">
        <v>0.7</v>
      </c>
      <c r="T592" s="13">
        <v>15.57</v>
      </c>
      <c r="U592" s="13">
        <v>-11.936999999999999</v>
      </c>
      <c r="V592" s="55">
        <f>Table3[[#This Row],[Profit]]/Table3[[#This Row],[Sales]]</f>
        <v>-0.76666666666666661</v>
      </c>
    </row>
    <row r="593" spans="1:22" x14ac:dyDescent="0.2">
      <c r="A593">
        <v>592</v>
      </c>
      <c r="B593" t="s">
        <v>3572</v>
      </c>
      <c r="C593" s="1">
        <v>42841</v>
      </c>
      <c r="D593" s="22">
        <f>MONTH(Table3[[#This Row],[Order Date]])</f>
        <v>4</v>
      </c>
      <c r="E593" t="s">
        <v>3574</v>
      </c>
      <c r="F593" t="s">
        <v>3575</v>
      </c>
      <c r="G593" s="23" t="s">
        <v>41</v>
      </c>
      <c r="H593" s="23" t="s">
        <v>61</v>
      </c>
      <c r="I593" t="s">
        <v>3573</v>
      </c>
      <c r="J593" t="s">
        <v>92</v>
      </c>
      <c r="K593" s="22">
        <v>5</v>
      </c>
      <c r="L593" s="1">
        <v>42846</v>
      </c>
      <c r="M593" s="22">
        <f>Table3[[#This Row],[Ship Date]]-Table3[[#This Row],[Order Date]]</f>
        <v>5</v>
      </c>
      <c r="N593" s="23" t="s">
        <v>45</v>
      </c>
      <c r="O593" s="23" t="s">
        <v>23</v>
      </c>
      <c r="P593" s="23" t="s">
        <v>189</v>
      </c>
      <c r="Q593" s="23" t="s">
        <v>95</v>
      </c>
      <c r="R593" s="23" t="s">
        <v>271</v>
      </c>
      <c r="S593" s="33">
        <v>0.2</v>
      </c>
      <c r="T593" s="13">
        <v>16.52</v>
      </c>
      <c r="U593" s="13">
        <v>2.0649999999999999</v>
      </c>
      <c r="V593" s="55">
        <f>Table3[[#This Row],[Profit]]/Table3[[#This Row],[Sales]]</f>
        <v>0.125</v>
      </c>
    </row>
    <row r="594" spans="1:22" x14ac:dyDescent="0.2">
      <c r="A594">
        <v>593</v>
      </c>
      <c r="B594" t="s">
        <v>4783</v>
      </c>
      <c r="C594" s="1">
        <v>42841</v>
      </c>
      <c r="D594" s="22">
        <f>MONTH(Table3[[#This Row],[Order Date]])</f>
        <v>4</v>
      </c>
      <c r="E594" t="s">
        <v>4784</v>
      </c>
      <c r="F594" t="s">
        <v>4785</v>
      </c>
      <c r="G594" s="23" t="s">
        <v>41</v>
      </c>
      <c r="H594" s="23" t="s">
        <v>68</v>
      </c>
      <c r="I594" t="s">
        <v>1260</v>
      </c>
      <c r="J594" t="s">
        <v>22</v>
      </c>
      <c r="K594" s="22">
        <v>5</v>
      </c>
      <c r="L594" s="1">
        <v>42845</v>
      </c>
      <c r="M594" s="22">
        <f>Table3[[#This Row],[Ship Date]]-Table3[[#This Row],[Order Date]]</f>
        <v>4</v>
      </c>
      <c r="N594" s="23" t="s">
        <v>45</v>
      </c>
      <c r="O594" s="23" t="s">
        <v>23</v>
      </c>
      <c r="P594" s="23" t="s">
        <v>441</v>
      </c>
      <c r="Q594" s="23" t="s">
        <v>133</v>
      </c>
      <c r="R594" s="23" t="s">
        <v>440</v>
      </c>
      <c r="S594" s="33">
        <v>0.7</v>
      </c>
      <c r="T594" s="13">
        <v>13.71</v>
      </c>
      <c r="U594" s="13">
        <v>-10.054</v>
      </c>
      <c r="V594" s="55">
        <f>Table3[[#This Row],[Profit]]/Table3[[#This Row],[Sales]]</f>
        <v>-0.73333333333333328</v>
      </c>
    </row>
    <row r="595" spans="1:22" x14ac:dyDescent="0.2">
      <c r="A595">
        <v>594</v>
      </c>
      <c r="B595" t="s">
        <v>5014</v>
      </c>
      <c r="C595" s="1">
        <v>42841</v>
      </c>
      <c r="D595" s="22">
        <f>MONTH(Table3[[#This Row],[Order Date]])</f>
        <v>4</v>
      </c>
      <c r="E595" t="s">
        <v>847</v>
      </c>
      <c r="F595" t="s">
        <v>848</v>
      </c>
      <c r="G595" s="23" t="s">
        <v>41</v>
      </c>
      <c r="H595" s="23" t="s">
        <v>53</v>
      </c>
      <c r="I595" t="s">
        <v>297</v>
      </c>
      <c r="J595" t="s">
        <v>22</v>
      </c>
      <c r="K595" s="22">
        <v>4</v>
      </c>
      <c r="L595" s="1">
        <v>42845</v>
      </c>
      <c r="M595" s="22">
        <f>Table3[[#This Row],[Ship Date]]-Table3[[#This Row],[Order Date]]</f>
        <v>4</v>
      </c>
      <c r="N595" s="23" t="s">
        <v>45</v>
      </c>
      <c r="O595" s="23" t="s">
        <v>23</v>
      </c>
      <c r="P595" s="23" t="s">
        <v>38</v>
      </c>
      <c r="Q595" s="23" t="s">
        <v>39</v>
      </c>
      <c r="R595" s="23" t="s">
        <v>557</v>
      </c>
      <c r="S595" s="33">
        <v>0</v>
      </c>
      <c r="T595" s="13">
        <v>205.92</v>
      </c>
      <c r="U595" s="13">
        <v>2.0592000000000001</v>
      </c>
      <c r="V595" s="55">
        <f>Table3[[#This Row],[Profit]]/Table3[[#This Row],[Sales]]</f>
        <v>1.0000000000000002E-2</v>
      </c>
    </row>
    <row r="596" spans="1:22" x14ac:dyDescent="0.2">
      <c r="A596">
        <v>595</v>
      </c>
      <c r="B596" t="s">
        <v>5014</v>
      </c>
      <c r="C596" s="1">
        <v>42841</v>
      </c>
      <c r="D596" s="22">
        <f>MONTH(Table3[[#This Row],[Order Date]])</f>
        <v>4</v>
      </c>
      <c r="E596" t="s">
        <v>1478</v>
      </c>
      <c r="F596" t="s">
        <v>1479</v>
      </c>
      <c r="G596" s="23" t="s">
        <v>28</v>
      </c>
      <c r="H596" s="23" t="s">
        <v>29</v>
      </c>
      <c r="I596" t="s">
        <v>297</v>
      </c>
      <c r="J596" t="s">
        <v>22</v>
      </c>
      <c r="K596" s="22">
        <v>1</v>
      </c>
      <c r="L596" s="1">
        <v>42845</v>
      </c>
      <c r="M596" s="22">
        <f>Table3[[#This Row],[Ship Date]]-Table3[[#This Row],[Order Date]]</f>
        <v>4</v>
      </c>
      <c r="N596" s="23" t="s">
        <v>45</v>
      </c>
      <c r="O596" s="23" t="s">
        <v>23</v>
      </c>
      <c r="P596" s="23" t="s">
        <v>38</v>
      </c>
      <c r="Q596" s="23" t="s">
        <v>39</v>
      </c>
      <c r="R596" s="23" t="s">
        <v>557</v>
      </c>
      <c r="S596" s="33">
        <v>0.15</v>
      </c>
      <c r="T596" s="13">
        <v>102.833</v>
      </c>
      <c r="U596" s="13">
        <v>-6.0490000000000004</v>
      </c>
      <c r="V596" s="55">
        <f>Table3[[#This Row],[Profit]]/Table3[[#This Row],[Sales]]</f>
        <v>-5.8823529411764712E-2</v>
      </c>
    </row>
    <row r="597" spans="1:22" x14ac:dyDescent="0.2">
      <c r="A597">
        <v>596</v>
      </c>
      <c r="B597" t="s">
        <v>5245</v>
      </c>
      <c r="C597" s="1">
        <v>42841</v>
      </c>
      <c r="D597" s="22">
        <f>MONTH(Table3[[#This Row],[Order Date]])</f>
        <v>4</v>
      </c>
      <c r="E597" t="s">
        <v>5247</v>
      </c>
      <c r="F597" t="s">
        <v>5248</v>
      </c>
      <c r="G597" s="23" t="s">
        <v>41</v>
      </c>
      <c r="H597" s="23" t="s">
        <v>513</v>
      </c>
      <c r="I597" t="s">
        <v>3648</v>
      </c>
      <c r="J597" t="s">
        <v>36</v>
      </c>
      <c r="K597" s="22">
        <v>4</v>
      </c>
      <c r="L597" s="1">
        <v>42843</v>
      </c>
      <c r="M597" s="22">
        <f>Table3[[#This Row],[Ship Date]]-Table3[[#This Row],[Order Date]]</f>
        <v>2</v>
      </c>
      <c r="N597" s="23" t="s">
        <v>169</v>
      </c>
      <c r="O597" s="23" t="s">
        <v>23</v>
      </c>
      <c r="P597" s="23" t="s">
        <v>320</v>
      </c>
      <c r="Q597" s="23" t="s">
        <v>26</v>
      </c>
      <c r="R597" s="23" t="s">
        <v>5246</v>
      </c>
      <c r="S597" s="33">
        <v>0</v>
      </c>
      <c r="T597" s="13">
        <v>477.24</v>
      </c>
      <c r="U597" s="13">
        <v>9.5448000000000004</v>
      </c>
      <c r="V597" s="55">
        <f>Table3[[#This Row],[Profit]]/Table3[[#This Row],[Sales]]</f>
        <v>0.02</v>
      </c>
    </row>
    <row r="598" spans="1:22" x14ac:dyDescent="0.2">
      <c r="A598">
        <v>597</v>
      </c>
      <c r="B598" t="s">
        <v>5245</v>
      </c>
      <c r="C598" s="1">
        <v>42841</v>
      </c>
      <c r="D598" s="22">
        <f>MONTH(Table3[[#This Row],[Order Date]])</f>
        <v>4</v>
      </c>
      <c r="E598" t="s">
        <v>5249</v>
      </c>
      <c r="F598" t="s">
        <v>5250</v>
      </c>
      <c r="G598" s="23" t="s">
        <v>64</v>
      </c>
      <c r="H598" s="23" t="s">
        <v>144</v>
      </c>
      <c r="I598" t="s">
        <v>3648</v>
      </c>
      <c r="J598" t="s">
        <v>36</v>
      </c>
      <c r="K598" s="22">
        <v>2</v>
      </c>
      <c r="L598" s="1">
        <v>42843</v>
      </c>
      <c r="M598" s="22">
        <f>Table3[[#This Row],[Ship Date]]-Table3[[#This Row],[Order Date]]</f>
        <v>2</v>
      </c>
      <c r="N598" s="23" t="s">
        <v>169</v>
      </c>
      <c r="O598" s="23" t="s">
        <v>23</v>
      </c>
      <c r="P598" s="23" t="s">
        <v>320</v>
      </c>
      <c r="Q598" s="23" t="s">
        <v>26</v>
      </c>
      <c r="R598" s="23" t="s">
        <v>5246</v>
      </c>
      <c r="S598" s="33">
        <v>0</v>
      </c>
      <c r="T598" s="13">
        <v>25.98</v>
      </c>
      <c r="U598" s="13">
        <v>1.5588</v>
      </c>
      <c r="V598" s="55">
        <f>Table3[[#This Row],[Profit]]/Table3[[#This Row],[Sales]]</f>
        <v>0.06</v>
      </c>
    </row>
    <row r="599" spans="1:22" x14ac:dyDescent="0.2">
      <c r="A599">
        <v>598</v>
      </c>
      <c r="B599" t="s">
        <v>5757</v>
      </c>
      <c r="C599" s="1">
        <v>42841</v>
      </c>
      <c r="D599" s="22">
        <f>MONTH(Table3[[#This Row],[Order Date]])</f>
        <v>4</v>
      </c>
      <c r="E599" t="s">
        <v>4770</v>
      </c>
      <c r="F599" t="s">
        <v>4771</v>
      </c>
      <c r="G599" s="23" t="s">
        <v>41</v>
      </c>
      <c r="H599" s="23" t="s">
        <v>68</v>
      </c>
      <c r="I599" t="s">
        <v>3293</v>
      </c>
      <c r="J599" t="s">
        <v>22</v>
      </c>
      <c r="K599" s="22">
        <v>3</v>
      </c>
      <c r="L599" s="1">
        <v>42847</v>
      </c>
      <c r="M599" s="22">
        <f>Table3[[#This Row],[Ship Date]]-Table3[[#This Row],[Order Date]]</f>
        <v>6</v>
      </c>
      <c r="N599" s="23" t="s">
        <v>45</v>
      </c>
      <c r="O599" s="23" t="s">
        <v>23</v>
      </c>
      <c r="P599" s="23" t="s">
        <v>94</v>
      </c>
      <c r="Q599" s="23" t="s">
        <v>95</v>
      </c>
      <c r="R599" s="23" t="s">
        <v>165</v>
      </c>
      <c r="S599" s="33">
        <v>0.8</v>
      </c>
      <c r="T599" s="13">
        <v>26.045999999999999</v>
      </c>
      <c r="U599" s="13">
        <v>-44.278199999999998</v>
      </c>
      <c r="V599" s="55">
        <f>Table3[[#This Row],[Profit]]/Table3[[#This Row],[Sales]]</f>
        <v>-1.7</v>
      </c>
    </row>
    <row r="600" spans="1:22" x14ac:dyDescent="0.2">
      <c r="A600">
        <v>599</v>
      </c>
      <c r="B600" t="s">
        <v>5757</v>
      </c>
      <c r="C600" s="1">
        <v>42841</v>
      </c>
      <c r="D600" s="22">
        <f>MONTH(Table3[[#This Row],[Order Date]])</f>
        <v>4</v>
      </c>
      <c r="E600" t="s">
        <v>1703</v>
      </c>
      <c r="F600" t="s">
        <v>1704</v>
      </c>
      <c r="G600" s="23" t="s">
        <v>41</v>
      </c>
      <c r="H600" s="23" t="s">
        <v>68</v>
      </c>
      <c r="I600" t="s">
        <v>3293</v>
      </c>
      <c r="J600" t="s">
        <v>22</v>
      </c>
      <c r="K600" s="22">
        <v>1</v>
      </c>
      <c r="L600" s="1">
        <v>42847</v>
      </c>
      <c r="M600" s="22">
        <f>Table3[[#This Row],[Ship Date]]-Table3[[#This Row],[Order Date]]</f>
        <v>6</v>
      </c>
      <c r="N600" s="23" t="s">
        <v>45</v>
      </c>
      <c r="O600" s="23" t="s">
        <v>23</v>
      </c>
      <c r="P600" s="23" t="s">
        <v>94</v>
      </c>
      <c r="Q600" s="23" t="s">
        <v>95</v>
      </c>
      <c r="R600" s="23" t="s">
        <v>165</v>
      </c>
      <c r="S600" s="33">
        <v>0.8</v>
      </c>
      <c r="T600" s="13">
        <v>2.8959999999999999</v>
      </c>
      <c r="U600" s="13">
        <v>-4.7784000000000004</v>
      </c>
      <c r="V600" s="55">
        <f>Table3[[#This Row],[Profit]]/Table3[[#This Row],[Sales]]</f>
        <v>-1.6500000000000001</v>
      </c>
    </row>
    <row r="601" spans="1:22" x14ac:dyDescent="0.2">
      <c r="A601">
        <v>600</v>
      </c>
      <c r="B601" t="s">
        <v>5757</v>
      </c>
      <c r="C601" s="1">
        <v>42841</v>
      </c>
      <c r="D601" s="22">
        <f>MONTH(Table3[[#This Row],[Order Date]])</f>
        <v>4</v>
      </c>
      <c r="E601" t="s">
        <v>5758</v>
      </c>
      <c r="F601" t="s">
        <v>5759</v>
      </c>
      <c r="G601" s="23" t="s">
        <v>41</v>
      </c>
      <c r="H601" s="23" t="s">
        <v>53</v>
      </c>
      <c r="I601" t="s">
        <v>3293</v>
      </c>
      <c r="J601" t="s">
        <v>22</v>
      </c>
      <c r="K601" s="22">
        <v>2</v>
      </c>
      <c r="L601" s="1">
        <v>42847</v>
      </c>
      <c r="M601" s="22">
        <f>Table3[[#This Row],[Ship Date]]-Table3[[#This Row],[Order Date]]</f>
        <v>6</v>
      </c>
      <c r="N601" s="23" t="s">
        <v>45</v>
      </c>
      <c r="O601" s="23" t="s">
        <v>23</v>
      </c>
      <c r="P601" s="23" t="s">
        <v>94</v>
      </c>
      <c r="Q601" s="23" t="s">
        <v>95</v>
      </c>
      <c r="R601" s="23" t="s">
        <v>165</v>
      </c>
      <c r="S601" s="33">
        <v>0.2</v>
      </c>
      <c r="T601" s="13">
        <v>32.543999999999997</v>
      </c>
      <c r="U601" s="13">
        <v>-7.7291999999999996</v>
      </c>
      <c r="V601" s="55">
        <f>Table3[[#This Row],[Profit]]/Table3[[#This Row],[Sales]]</f>
        <v>-0.23750000000000002</v>
      </c>
    </row>
    <row r="602" spans="1:22" x14ac:dyDescent="0.2">
      <c r="A602">
        <v>601</v>
      </c>
      <c r="B602" t="s">
        <v>8841</v>
      </c>
      <c r="C602" s="1">
        <v>42841</v>
      </c>
      <c r="D602" s="22">
        <f>MONTH(Table3[[#This Row],[Order Date]])</f>
        <v>4</v>
      </c>
      <c r="E602" t="s">
        <v>8842</v>
      </c>
      <c r="F602" t="s">
        <v>8843</v>
      </c>
      <c r="G602" s="23" t="s">
        <v>41</v>
      </c>
      <c r="H602" s="23" t="s">
        <v>71</v>
      </c>
      <c r="I602" t="s">
        <v>1982</v>
      </c>
      <c r="J602" t="s">
        <v>92</v>
      </c>
      <c r="K602" s="22">
        <v>3</v>
      </c>
      <c r="L602" s="1">
        <v>42845</v>
      </c>
      <c r="M602" s="22">
        <f>Table3[[#This Row],[Ship Date]]-Table3[[#This Row],[Order Date]]</f>
        <v>4</v>
      </c>
      <c r="N602" s="23" t="s">
        <v>45</v>
      </c>
      <c r="O602" s="23" t="s">
        <v>23</v>
      </c>
      <c r="P602" s="23" t="s">
        <v>38</v>
      </c>
      <c r="Q602" s="23" t="s">
        <v>39</v>
      </c>
      <c r="R602" s="23" t="s">
        <v>114</v>
      </c>
      <c r="S602" s="33">
        <v>0</v>
      </c>
      <c r="T602" s="13">
        <v>40.74</v>
      </c>
      <c r="U602" s="13">
        <v>12.222</v>
      </c>
      <c r="V602" s="55">
        <f>Table3[[#This Row],[Profit]]/Table3[[#This Row],[Sales]]</f>
        <v>0.3</v>
      </c>
    </row>
    <row r="603" spans="1:22" x14ac:dyDescent="0.2">
      <c r="A603">
        <v>602</v>
      </c>
      <c r="B603" t="s">
        <v>5540</v>
      </c>
      <c r="C603" s="1">
        <v>42842</v>
      </c>
      <c r="D603" s="22">
        <f>MONTH(Table3[[#This Row],[Order Date]])</f>
        <v>4</v>
      </c>
      <c r="E603" t="s">
        <v>1346</v>
      </c>
      <c r="F603" t="s">
        <v>1347</v>
      </c>
      <c r="G603" s="23" t="s">
        <v>41</v>
      </c>
      <c r="H603" s="23" t="s">
        <v>68</v>
      </c>
      <c r="I603" t="s">
        <v>5541</v>
      </c>
      <c r="J603" t="s">
        <v>92</v>
      </c>
      <c r="K603" s="22">
        <v>5</v>
      </c>
      <c r="L603" s="1">
        <v>42848</v>
      </c>
      <c r="M603" s="22">
        <f>Table3[[#This Row],[Ship Date]]-Table3[[#This Row],[Order Date]]</f>
        <v>6</v>
      </c>
      <c r="N603" s="23" t="s">
        <v>45</v>
      </c>
      <c r="O603" s="23" t="s">
        <v>23</v>
      </c>
      <c r="P603" s="23" t="s">
        <v>405</v>
      </c>
      <c r="Q603" s="23" t="s">
        <v>39</v>
      </c>
      <c r="R603" s="23" t="s">
        <v>1303</v>
      </c>
      <c r="S603" s="33">
        <v>0.7</v>
      </c>
      <c r="T603" s="13">
        <v>12.03</v>
      </c>
      <c r="U603" s="13">
        <v>-9.2230000000000008</v>
      </c>
      <c r="V603" s="55">
        <f>Table3[[#This Row],[Profit]]/Table3[[#This Row],[Sales]]</f>
        <v>-0.76666666666666672</v>
      </c>
    </row>
    <row r="604" spans="1:22" x14ac:dyDescent="0.2">
      <c r="A604">
        <v>603</v>
      </c>
      <c r="B604" t="s">
        <v>5540</v>
      </c>
      <c r="C604" s="1">
        <v>42842</v>
      </c>
      <c r="D604" s="22">
        <f>MONTH(Table3[[#This Row],[Order Date]])</f>
        <v>4</v>
      </c>
      <c r="E604" t="s">
        <v>601</v>
      </c>
      <c r="F604" t="s">
        <v>603</v>
      </c>
      <c r="G604" s="23" t="s">
        <v>64</v>
      </c>
      <c r="H604" s="23" t="s">
        <v>602</v>
      </c>
      <c r="I604" t="s">
        <v>5541</v>
      </c>
      <c r="J604" t="s">
        <v>92</v>
      </c>
      <c r="K604" s="22">
        <v>5</v>
      </c>
      <c r="L604" s="1">
        <v>42848</v>
      </c>
      <c r="M604" s="22">
        <f>Table3[[#This Row],[Ship Date]]-Table3[[#This Row],[Order Date]]</f>
        <v>6</v>
      </c>
      <c r="N604" s="23" t="s">
        <v>45</v>
      </c>
      <c r="O604" s="23" t="s">
        <v>23</v>
      </c>
      <c r="P604" s="23" t="s">
        <v>405</v>
      </c>
      <c r="Q604" s="23" t="s">
        <v>39</v>
      </c>
      <c r="R604" s="23" t="s">
        <v>1303</v>
      </c>
      <c r="S604" s="33">
        <v>0.7</v>
      </c>
      <c r="T604" s="13">
        <v>2549.9850000000001</v>
      </c>
      <c r="U604" s="13">
        <v>-3399.98</v>
      </c>
      <c r="V604" s="55">
        <f>Table3[[#This Row],[Profit]]/Table3[[#This Row],[Sales]]</f>
        <v>-1.3333333333333333</v>
      </c>
    </row>
    <row r="605" spans="1:22" x14ac:dyDescent="0.2">
      <c r="A605">
        <v>604</v>
      </c>
      <c r="B605" t="s">
        <v>5540</v>
      </c>
      <c r="C605" s="1">
        <v>42842</v>
      </c>
      <c r="D605" s="22">
        <f>MONTH(Table3[[#This Row],[Order Date]])</f>
        <v>4</v>
      </c>
      <c r="E605" t="s">
        <v>1322</v>
      </c>
      <c r="F605" t="s">
        <v>1323</v>
      </c>
      <c r="G605" s="23" t="s">
        <v>41</v>
      </c>
      <c r="H605" s="23" t="s">
        <v>68</v>
      </c>
      <c r="I605" t="s">
        <v>5541</v>
      </c>
      <c r="J605" t="s">
        <v>92</v>
      </c>
      <c r="K605" s="22">
        <v>2</v>
      </c>
      <c r="L605" s="1">
        <v>42848</v>
      </c>
      <c r="M605" s="22">
        <f>Table3[[#This Row],[Ship Date]]-Table3[[#This Row],[Order Date]]</f>
        <v>6</v>
      </c>
      <c r="N605" s="23" t="s">
        <v>45</v>
      </c>
      <c r="O605" s="23" t="s">
        <v>23</v>
      </c>
      <c r="P605" s="23" t="s">
        <v>405</v>
      </c>
      <c r="Q605" s="23" t="s">
        <v>39</v>
      </c>
      <c r="R605" s="23" t="s">
        <v>1303</v>
      </c>
      <c r="S605" s="33">
        <v>0.7</v>
      </c>
      <c r="T605" s="13">
        <v>21.594000000000001</v>
      </c>
      <c r="U605" s="13">
        <v>-15.835599999999999</v>
      </c>
      <c r="V605" s="55">
        <f>Table3[[#This Row],[Profit]]/Table3[[#This Row],[Sales]]</f>
        <v>-0.73333333333333328</v>
      </c>
    </row>
    <row r="606" spans="1:22" x14ac:dyDescent="0.2">
      <c r="A606">
        <v>605</v>
      </c>
      <c r="B606" t="s">
        <v>5540</v>
      </c>
      <c r="C606" s="1">
        <v>42842</v>
      </c>
      <c r="D606" s="22">
        <f>MONTH(Table3[[#This Row],[Order Date]])</f>
        <v>4</v>
      </c>
      <c r="E606" t="s">
        <v>2026</v>
      </c>
      <c r="F606" t="s">
        <v>2027</v>
      </c>
      <c r="G606" s="23" t="s">
        <v>41</v>
      </c>
      <c r="H606" s="23" t="s">
        <v>68</v>
      </c>
      <c r="I606" t="s">
        <v>5541</v>
      </c>
      <c r="J606" t="s">
        <v>92</v>
      </c>
      <c r="K606" s="22">
        <v>6</v>
      </c>
      <c r="L606" s="1">
        <v>42848</v>
      </c>
      <c r="M606" s="22">
        <f>Table3[[#This Row],[Ship Date]]-Table3[[#This Row],[Order Date]]</f>
        <v>6</v>
      </c>
      <c r="N606" s="23" t="s">
        <v>45</v>
      </c>
      <c r="O606" s="23" t="s">
        <v>23</v>
      </c>
      <c r="P606" s="23" t="s">
        <v>405</v>
      </c>
      <c r="Q606" s="23" t="s">
        <v>39</v>
      </c>
      <c r="R606" s="23" t="s">
        <v>1303</v>
      </c>
      <c r="S606" s="33">
        <v>0.7</v>
      </c>
      <c r="T606" s="13">
        <v>8.9640000000000004</v>
      </c>
      <c r="U606" s="13">
        <v>-6.5735999999999999</v>
      </c>
      <c r="V606" s="55">
        <f>Table3[[#This Row],[Profit]]/Table3[[#This Row],[Sales]]</f>
        <v>-0.73333333333333328</v>
      </c>
    </row>
    <row r="607" spans="1:22" x14ac:dyDescent="0.2">
      <c r="A607">
        <v>606</v>
      </c>
      <c r="B607" t="s">
        <v>5540</v>
      </c>
      <c r="C607" s="1">
        <v>42842</v>
      </c>
      <c r="D607" s="22">
        <f>MONTH(Table3[[#This Row],[Order Date]])</f>
        <v>4</v>
      </c>
      <c r="E607" t="s">
        <v>1747</v>
      </c>
      <c r="F607" t="s">
        <v>1748</v>
      </c>
      <c r="G607" s="23" t="s">
        <v>41</v>
      </c>
      <c r="H607" s="23" t="s">
        <v>82</v>
      </c>
      <c r="I607" t="s">
        <v>5541</v>
      </c>
      <c r="J607" t="s">
        <v>92</v>
      </c>
      <c r="K607" s="22">
        <v>4</v>
      </c>
      <c r="L607" s="1">
        <v>42848</v>
      </c>
      <c r="M607" s="22">
        <f>Table3[[#This Row],[Ship Date]]-Table3[[#This Row],[Order Date]]</f>
        <v>6</v>
      </c>
      <c r="N607" s="23" t="s">
        <v>45</v>
      </c>
      <c r="O607" s="23" t="s">
        <v>23</v>
      </c>
      <c r="P607" s="23" t="s">
        <v>405</v>
      </c>
      <c r="Q607" s="23" t="s">
        <v>39</v>
      </c>
      <c r="R607" s="23" t="s">
        <v>1303</v>
      </c>
      <c r="S607" s="33">
        <v>0.2</v>
      </c>
      <c r="T607" s="13">
        <v>20.736000000000001</v>
      </c>
      <c r="U607" s="13">
        <v>7.2576000000000001</v>
      </c>
      <c r="V607" s="55">
        <f>Table3[[#This Row],[Profit]]/Table3[[#This Row],[Sales]]</f>
        <v>0.35</v>
      </c>
    </row>
    <row r="608" spans="1:22" x14ac:dyDescent="0.2">
      <c r="A608">
        <v>607</v>
      </c>
      <c r="B608" t="s">
        <v>5780</v>
      </c>
      <c r="C608" s="1">
        <v>42842</v>
      </c>
      <c r="D608" s="22">
        <f>MONTH(Table3[[#This Row],[Order Date]])</f>
        <v>4</v>
      </c>
      <c r="E608" t="s">
        <v>3465</v>
      </c>
      <c r="F608" t="s">
        <v>4567</v>
      </c>
      <c r="G608" s="23" t="s">
        <v>28</v>
      </c>
      <c r="H608" s="23" t="s">
        <v>58</v>
      </c>
      <c r="I608" t="s">
        <v>5781</v>
      </c>
      <c r="J608" t="s">
        <v>22</v>
      </c>
      <c r="K608" s="22">
        <v>3</v>
      </c>
      <c r="L608" s="1">
        <v>42844</v>
      </c>
      <c r="M608" s="22">
        <f>Table3[[#This Row],[Ship Date]]-Table3[[#This Row],[Order Date]]</f>
        <v>2</v>
      </c>
      <c r="N608" s="23" t="s">
        <v>169</v>
      </c>
      <c r="O608" s="23" t="s">
        <v>23</v>
      </c>
      <c r="P608" s="23" t="s">
        <v>132</v>
      </c>
      <c r="Q608" s="23" t="s">
        <v>133</v>
      </c>
      <c r="R608" s="23" t="s">
        <v>131</v>
      </c>
      <c r="S608" s="33">
        <v>0.2</v>
      </c>
      <c r="T608" s="13">
        <v>60.311999999999998</v>
      </c>
      <c r="U608" s="13">
        <v>5.2773000000000003</v>
      </c>
      <c r="V608" s="55">
        <f>Table3[[#This Row],[Profit]]/Table3[[#This Row],[Sales]]</f>
        <v>8.7500000000000008E-2</v>
      </c>
    </row>
    <row r="609" spans="1:22" x14ac:dyDescent="0.2">
      <c r="A609">
        <v>608</v>
      </c>
      <c r="B609" t="s">
        <v>8365</v>
      </c>
      <c r="C609" s="1">
        <v>42842</v>
      </c>
      <c r="D609" s="22">
        <f>MONTH(Table3[[#This Row],[Order Date]])</f>
        <v>4</v>
      </c>
      <c r="E609" t="s">
        <v>3264</v>
      </c>
      <c r="F609" t="s">
        <v>3265</v>
      </c>
      <c r="G609" s="23" t="s">
        <v>41</v>
      </c>
      <c r="H609" s="23" t="s">
        <v>82</v>
      </c>
      <c r="I609" t="s">
        <v>3848</v>
      </c>
      <c r="J609" t="s">
        <v>22</v>
      </c>
      <c r="K609" s="22">
        <v>3</v>
      </c>
      <c r="L609" s="1">
        <v>42847</v>
      </c>
      <c r="M609" s="22">
        <f>Table3[[#This Row],[Ship Date]]-Table3[[#This Row],[Order Date]]</f>
        <v>5</v>
      </c>
      <c r="N609" s="23" t="s">
        <v>45</v>
      </c>
      <c r="O609" s="23" t="s">
        <v>23</v>
      </c>
      <c r="P609" s="23" t="s">
        <v>38</v>
      </c>
      <c r="Q609" s="23" t="s">
        <v>39</v>
      </c>
      <c r="R609" s="23" t="s">
        <v>37</v>
      </c>
      <c r="S609" s="33">
        <v>0</v>
      </c>
      <c r="T609" s="13">
        <v>28.14</v>
      </c>
      <c r="U609" s="13">
        <v>13.507199999999999</v>
      </c>
      <c r="V609" s="55">
        <f>Table3[[#This Row],[Profit]]/Table3[[#This Row],[Sales]]</f>
        <v>0.48</v>
      </c>
    </row>
    <row r="610" spans="1:22" x14ac:dyDescent="0.2">
      <c r="A610">
        <v>609</v>
      </c>
      <c r="B610" t="s">
        <v>8365</v>
      </c>
      <c r="C610" s="1">
        <v>42842</v>
      </c>
      <c r="D610" s="22">
        <f>MONTH(Table3[[#This Row],[Order Date]])</f>
        <v>4</v>
      </c>
      <c r="E610" t="s">
        <v>3202</v>
      </c>
      <c r="F610" t="s">
        <v>3203</v>
      </c>
      <c r="G610" s="23" t="s">
        <v>41</v>
      </c>
      <c r="H610" s="23" t="s">
        <v>42</v>
      </c>
      <c r="I610" t="s">
        <v>3848</v>
      </c>
      <c r="J610" t="s">
        <v>22</v>
      </c>
      <c r="K610" s="22">
        <v>2</v>
      </c>
      <c r="L610" s="1">
        <v>42847</v>
      </c>
      <c r="M610" s="22">
        <f>Table3[[#This Row],[Ship Date]]-Table3[[#This Row],[Order Date]]</f>
        <v>5</v>
      </c>
      <c r="N610" s="23" t="s">
        <v>45</v>
      </c>
      <c r="O610" s="23" t="s">
        <v>23</v>
      </c>
      <c r="P610" s="23" t="s">
        <v>38</v>
      </c>
      <c r="Q610" s="23" t="s">
        <v>39</v>
      </c>
      <c r="R610" s="23" t="s">
        <v>37</v>
      </c>
      <c r="S610" s="33">
        <v>0</v>
      </c>
      <c r="T610" s="13">
        <v>7.38</v>
      </c>
      <c r="U610" s="13">
        <v>3.4685999999999999</v>
      </c>
      <c r="V610" s="55">
        <f>Table3[[#This Row],[Profit]]/Table3[[#This Row],[Sales]]</f>
        <v>0.47</v>
      </c>
    </row>
    <row r="611" spans="1:22" x14ac:dyDescent="0.2">
      <c r="A611">
        <v>610</v>
      </c>
      <c r="B611" t="s">
        <v>8365</v>
      </c>
      <c r="C611" s="1">
        <v>42842</v>
      </c>
      <c r="D611" s="22">
        <f>MONTH(Table3[[#This Row],[Order Date]])</f>
        <v>4</v>
      </c>
      <c r="E611" t="s">
        <v>2906</v>
      </c>
      <c r="F611" t="s">
        <v>2907</v>
      </c>
      <c r="G611" s="23" t="s">
        <v>41</v>
      </c>
      <c r="H611" s="23" t="s">
        <v>240</v>
      </c>
      <c r="I611" t="s">
        <v>3848</v>
      </c>
      <c r="J611" t="s">
        <v>22</v>
      </c>
      <c r="K611" s="22">
        <v>5</v>
      </c>
      <c r="L611" s="1">
        <v>42847</v>
      </c>
      <c r="M611" s="22">
        <f>Table3[[#This Row],[Ship Date]]-Table3[[#This Row],[Order Date]]</f>
        <v>5</v>
      </c>
      <c r="N611" s="23" t="s">
        <v>45</v>
      </c>
      <c r="O611" s="23" t="s">
        <v>23</v>
      </c>
      <c r="P611" s="23" t="s">
        <v>38</v>
      </c>
      <c r="Q611" s="23" t="s">
        <v>39</v>
      </c>
      <c r="R611" s="23" t="s">
        <v>37</v>
      </c>
      <c r="S611" s="33">
        <v>0</v>
      </c>
      <c r="T611" s="13">
        <v>10.9</v>
      </c>
      <c r="U611" s="13">
        <v>3.597</v>
      </c>
      <c r="V611" s="55">
        <f>Table3[[#This Row],[Profit]]/Table3[[#This Row],[Sales]]</f>
        <v>0.32999999999999996</v>
      </c>
    </row>
    <row r="612" spans="1:22" x14ac:dyDescent="0.2">
      <c r="A612">
        <v>611</v>
      </c>
      <c r="B612" t="s">
        <v>8365</v>
      </c>
      <c r="C612" s="1">
        <v>42842</v>
      </c>
      <c r="D612" s="22">
        <f>MONTH(Table3[[#This Row],[Order Date]])</f>
        <v>4</v>
      </c>
      <c r="E612" t="s">
        <v>2077</v>
      </c>
      <c r="F612" t="s">
        <v>2078</v>
      </c>
      <c r="G612" s="23" t="s">
        <v>64</v>
      </c>
      <c r="H612" s="23" t="s">
        <v>144</v>
      </c>
      <c r="I612" t="s">
        <v>3848</v>
      </c>
      <c r="J612" t="s">
        <v>22</v>
      </c>
      <c r="K612" s="22">
        <v>11</v>
      </c>
      <c r="L612" s="1">
        <v>42847</v>
      </c>
      <c r="M612" s="22">
        <f>Table3[[#This Row],[Ship Date]]-Table3[[#This Row],[Order Date]]</f>
        <v>5</v>
      </c>
      <c r="N612" s="23" t="s">
        <v>45</v>
      </c>
      <c r="O612" s="23" t="s">
        <v>23</v>
      </c>
      <c r="P612" s="23" t="s">
        <v>38</v>
      </c>
      <c r="Q612" s="23" t="s">
        <v>39</v>
      </c>
      <c r="R612" s="23" t="s">
        <v>37</v>
      </c>
      <c r="S612" s="33">
        <v>0</v>
      </c>
      <c r="T612" s="13">
        <v>274.89</v>
      </c>
      <c r="U612" s="13">
        <v>46.731299999999997</v>
      </c>
      <c r="V612" s="55">
        <f>Table3[[#This Row],[Profit]]/Table3[[#This Row],[Sales]]</f>
        <v>0.17</v>
      </c>
    </row>
    <row r="613" spans="1:22" x14ac:dyDescent="0.2">
      <c r="A613">
        <v>612</v>
      </c>
      <c r="B613" t="s">
        <v>8365</v>
      </c>
      <c r="C613" s="1">
        <v>42842</v>
      </c>
      <c r="D613" s="22">
        <f>MONTH(Table3[[#This Row],[Order Date]])</f>
        <v>4</v>
      </c>
      <c r="E613" t="s">
        <v>4210</v>
      </c>
      <c r="F613" t="s">
        <v>4211</v>
      </c>
      <c r="G613" s="23" t="s">
        <v>41</v>
      </c>
      <c r="H613" s="23" t="s">
        <v>42</v>
      </c>
      <c r="I613" t="s">
        <v>3848</v>
      </c>
      <c r="J613" t="s">
        <v>22</v>
      </c>
      <c r="K613" s="22">
        <v>8</v>
      </c>
      <c r="L613" s="1">
        <v>42847</v>
      </c>
      <c r="M613" s="22">
        <f>Table3[[#This Row],[Ship Date]]-Table3[[#This Row],[Order Date]]</f>
        <v>5</v>
      </c>
      <c r="N613" s="23" t="s">
        <v>45</v>
      </c>
      <c r="O613" s="23" t="s">
        <v>23</v>
      </c>
      <c r="P613" s="23" t="s">
        <v>38</v>
      </c>
      <c r="Q613" s="23" t="s">
        <v>39</v>
      </c>
      <c r="R613" s="23" t="s">
        <v>37</v>
      </c>
      <c r="S613" s="33">
        <v>0</v>
      </c>
      <c r="T613" s="13">
        <v>23.04</v>
      </c>
      <c r="U613" s="13">
        <v>11.2896</v>
      </c>
      <c r="V613" s="55">
        <f>Table3[[#This Row],[Profit]]/Table3[[#This Row],[Sales]]</f>
        <v>0.49000000000000005</v>
      </c>
    </row>
    <row r="614" spans="1:22" x14ac:dyDescent="0.2">
      <c r="A614">
        <v>613</v>
      </c>
      <c r="B614" t="s">
        <v>8365</v>
      </c>
      <c r="C614" s="1">
        <v>42842</v>
      </c>
      <c r="D614" s="22">
        <f>MONTH(Table3[[#This Row],[Order Date]])</f>
        <v>4</v>
      </c>
      <c r="E614" t="s">
        <v>4287</v>
      </c>
      <c r="F614" t="s">
        <v>4288</v>
      </c>
      <c r="G614" s="23" t="s">
        <v>28</v>
      </c>
      <c r="H614" s="23" t="s">
        <v>32</v>
      </c>
      <c r="I614" t="s">
        <v>3848</v>
      </c>
      <c r="J614" t="s">
        <v>22</v>
      </c>
      <c r="K614" s="22">
        <v>3</v>
      </c>
      <c r="L614" s="1">
        <v>42847</v>
      </c>
      <c r="M614" s="22">
        <f>Table3[[#This Row],[Ship Date]]-Table3[[#This Row],[Order Date]]</f>
        <v>5</v>
      </c>
      <c r="N614" s="23" t="s">
        <v>45</v>
      </c>
      <c r="O614" s="23" t="s">
        <v>23</v>
      </c>
      <c r="P614" s="23" t="s">
        <v>38</v>
      </c>
      <c r="Q614" s="23" t="s">
        <v>39</v>
      </c>
      <c r="R614" s="23" t="s">
        <v>37</v>
      </c>
      <c r="S614" s="33">
        <v>0.2</v>
      </c>
      <c r="T614" s="13">
        <v>218.352</v>
      </c>
      <c r="U614" s="13">
        <v>-19.105799999999999</v>
      </c>
      <c r="V614" s="55">
        <f>Table3[[#This Row],[Profit]]/Table3[[#This Row],[Sales]]</f>
        <v>-8.7499999999999994E-2</v>
      </c>
    </row>
    <row r="615" spans="1:22" x14ac:dyDescent="0.2">
      <c r="A615">
        <v>614</v>
      </c>
      <c r="B615" t="s">
        <v>9929</v>
      </c>
      <c r="C615" s="1">
        <v>42842</v>
      </c>
      <c r="D615" s="22">
        <f>MONTH(Table3[[#This Row],[Order Date]])</f>
        <v>4</v>
      </c>
      <c r="E615" t="s">
        <v>3039</v>
      </c>
      <c r="F615" t="s">
        <v>3040</v>
      </c>
      <c r="G615" s="23" t="s">
        <v>41</v>
      </c>
      <c r="H615" s="23" t="s">
        <v>53</v>
      </c>
      <c r="I615" t="s">
        <v>4734</v>
      </c>
      <c r="J615" t="s">
        <v>36</v>
      </c>
      <c r="K615" s="22">
        <v>4</v>
      </c>
      <c r="L615" s="1">
        <v>42847</v>
      </c>
      <c r="M615" s="22">
        <f>Table3[[#This Row],[Ship Date]]-Table3[[#This Row],[Order Date]]</f>
        <v>5</v>
      </c>
      <c r="N615" s="23" t="s">
        <v>45</v>
      </c>
      <c r="O615" s="23" t="s">
        <v>23</v>
      </c>
      <c r="P615" s="23" t="s">
        <v>189</v>
      </c>
      <c r="Q615" s="23" t="s">
        <v>95</v>
      </c>
      <c r="R615" s="23" t="s">
        <v>271</v>
      </c>
      <c r="S615" s="33">
        <v>0.2</v>
      </c>
      <c r="T615" s="13">
        <v>195.136</v>
      </c>
      <c r="U615" s="13">
        <v>-43.9056</v>
      </c>
      <c r="V615" s="55">
        <f>Table3[[#This Row],[Profit]]/Table3[[#This Row],[Sales]]</f>
        <v>-0.22500000000000001</v>
      </c>
    </row>
    <row r="616" spans="1:22" x14ac:dyDescent="0.2">
      <c r="A616">
        <v>615</v>
      </c>
      <c r="B616" t="s">
        <v>4624</v>
      </c>
      <c r="C616" s="1">
        <v>42845</v>
      </c>
      <c r="D616" s="22">
        <f>MONTH(Table3[[#This Row],[Order Date]])</f>
        <v>4</v>
      </c>
      <c r="E616" t="s">
        <v>4625</v>
      </c>
      <c r="F616" t="s">
        <v>4626</v>
      </c>
      <c r="G616" s="23" t="s">
        <v>28</v>
      </c>
      <c r="H616" s="23" t="s">
        <v>58</v>
      </c>
      <c r="I616" t="s">
        <v>2341</v>
      </c>
      <c r="J616" t="s">
        <v>92</v>
      </c>
      <c r="K616" s="22">
        <v>2</v>
      </c>
      <c r="L616" s="1">
        <v>42851</v>
      </c>
      <c r="M616" s="22">
        <f>Table3[[#This Row],[Ship Date]]-Table3[[#This Row],[Order Date]]</f>
        <v>6</v>
      </c>
      <c r="N616" s="23" t="s">
        <v>45</v>
      </c>
      <c r="O616" s="23" t="s">
        <v>23</v>
      </c>
      <c r="P616" s="23" t="s">
        <v>189</v>
      </c>
      <c r="Q616" s="23" t="s">
        <v>95</v>
      </c>
      <c r="R616" s="23" t="s">
        <v>271</v>
      </c>
      <c r="S616" s="33">
        <v>0.6</v>
      </c>
      <c r="T616" s="13">
        <v>44.4</v>
      </c>
      <c r="U616" s="13">
        <v>-52.17</v>
      </c>
      <c r="V616" s="55">
        <f>Table3[[#This Row],[Profit]]/Table3[[#This Row],[Sales]]</f>
        <v>-1.175</v>
      </c>
    </row>
    <row r="617" spans="1:22" x14ac:dyDescent="0.2">
      <c r="A617">
        <v>616</v>
      </c>
      <c r="B617" t="s">
        <v>7948</v>
      </c>
      <c r="C617" s="1">
        <v>42845</v>
      </c>
      <c r="D617" s="22">
        <f>MONTH(Table3[[#This Row],[Order Date]])</f>
        <v>4</v>
      </c>
      <c r="E617" t="s">
        <v>5213</v>
      </c>
      <c r="F617" t="s">
        <v>5214</v>
      </c>
      <c r="G617" s="23" t="s">
        <v>28</v>
      </c>
      <c r="H617" s="23" t="s">
        <v>58</v>
      </c>
      <c r="I617" t="s">
        <v>427</v>
      </c>
      <c r="J617" t="s">
        <v>36</v>
      </c>
      <c r="K617" s="22">
        <v>2</v>
      </c>
      <c r="L617" s="1">
        <v>42848</v>
      </c>
      <c r="M617" s="22">
        <f>Table3[[#This Row],[Ship Date]]-Table3[[#This Row],[Order Date]]</f>
        <v>3</v>
      </c>
      <c r="N617" s="23" t="s">
        <v>169</v>
      </c>
      <c r="O617" s="23" t="s">
        <v>23</v>
      </c>
      <c r="P617" s="23" t="s">
        <v>132</v>
      </c>
      <c r="Q617" s="23" t="s">
        <v>133</v>
      </c>
      <c r="R617" s="23" t="s">
        <v>131</v>
      </c>
      <c r="S617" s="33">
        <v>0.2</v>
      </c>
      <c r="T617" s="13">
        <v>51.968000000000004</v>
      </c>
      <c r="U617" s="13">
        <v>10.393599999999999</v>
      </c>
      <c r="V617" s="55">
        <f>Table3[[#This Row],[Profit]]/Table3[[#This Row],[Sales]]</f>
        <v>0.19999999999999998</v>
      </c>
    </row>
    <row r="618" spans="1:22" x14ac:dyDescent="0.2">
      <c r="A618">
        <v>617</v>
      </c>
      <c r="B618" t="s">
        <v>7948</v>
      </c>
      <c r="C618" s="1">
        <v>42845</v>
      </c>
      <c r="D618" s="22">
        <f>MONTH(Table3[[#This Row],[Order Date]])</f>
        <v>4</v>
      </c>
      <c r="E618" t="s">
        <v>329</v>
      </c>
      <c r="F618" t="s">
        <v>330</v>
      </c>
      <c r="G618" s="23" t="s">
        <v>41</v>
      </c>
      <c r="H618" s="23" t="s">
        <v>53</v>
      </c>
      <c r="I618" t="s">
        <v>427</v>
      </c>
      <c r="J618" t="s">
        <v>36</v>
      </c>
      <c r="K618" s="22">
        <v>3</v>
      </c>
      <c r="L618" s="1">
        <v>42848</v>
      </c>
      <c r="M618" s="22">
        <f>Table3[[#This Row],[Ship Date]]-Table3[[#This Row],[Order Date]]</f>
        <v>3</v>
      </c>
      <c r="N618" s="23" t="s">
        <v>169</v>
      </c>
      <c r="O618" s="23" t="s">
        <v>23</v>
      </c>
      <c r="P618" s="23" t="s">
        <v>132</v>
      </c>
      <c r="Q618" s="23" t="s">
        <v>133</v>
      </c>
      <c r="R618" s="23" t="s">
        <v>131</v>
      </c>
      <c r="S618" s="33">
        <v>0.2</v>
      </c>
      <c r="T618" s="13">
        <v>51.335999999999999</v>
      </c>
      <c r="U618" s="13">
        <v>5.7752999999999997</v>
      </c>
      <c r="V618" s="55">
        <f>Table3[[#This Row],[Profit]]/Table3[[#This Row],[Sales]]</f>
        <v>0.1125</v>
      </c>
    </row>
    <row r="619" spans="1:22" x14ac:dyDescent="0.2">
      <c r="A619">
        <v>618</v>
      </c>
      <c r="B619" t="s">
        <v>7948</v>
      </c>
      <c r="C619" s="1">
        <v>42845</v>
      </c>
      <c r="D619" s="22">
        <f>MONTH(Table3[[#This Row],[Order Date]])</f>
        <v>4</v>
      </c>
      <c r="E619" t="s">
        <v>1395</v>
      </c>
      <c r="F619" t="s">
        <v>1396</v>
      </c>
      <c r="G619" s="23" t="s">
        <v>41</v>
      </c>
      <c r="H619" s="23" t="s">
        <v>53</v>
      </c>
      <c r="I619" t="s">
        <v>427</v>
      </c>
      <c r="J619" t="s">
        <v>36</v>
      </c>
      <c r="K619" s="22">
        <v>1</v>
      </c>
      <c r="L619" s="1">
        <v>42848</v>
      </c>
      <c r="M619" s="22">
        <f>Table3[[#This Row],[Ship Date]]-Table3[[#This Row],[Order Date]]</f>
        <v>3</v>
      </c>
      <c r="N619" s="23" t="s">
        <v>169</v>
      </c>
      <c r="O619" s="23" t="s">
        <v>23</v>
      </c>
      <c r="P619" s="23" t="s">
        <v>132</v>
      </c>
      <c r="Q619" s="23" t="s">
        <v>133</v>
      </c>
      <c r="R619" s="23" t="s">
        <v>131</v>
      </c>
      <c r="S619" s="33">
        <v>0.2</v>
      </c>
      <c r="T619" s="13">
        <v>332.70400000000001</v>
      </c>
      <c r="U619" s="13">
        <v>33.270400000000002</v>
      </c>
      <c r="V619" s="55">
        <f>Table3[[#This Row],[Profit]]/Table3[[#This Row],[Sales]]</f>
        <v>0.1</v>
      </c>
    </row>
    <row r="620" spans="1:22" x14ac:dyDescent="0.2">
      <c r="A620">
        <v>619</v>
      </c>
      <c r="B620" t="s">
        <v>7948</v>
      </c>
      <c r="C620" s="1">
        <v>42845</v>
      </c>
      <c r="D620" s="22">
        <f>MONTH(Table3[[#This Row],[Order Date]])</f>
        <v>4</v>
      </c>
      <c r="E620" t="s">
        <v>5070</v>
      </c>
      <c r="F620" t="s">
        <v>5071</v>
      </c>
      <c r="G620" s="23" t="s">
        <v>28</v>
      </c>
      <c r="H620" s="23" t="s">
        <v>58</v>
      </c>
      <c r="I620" t="s">
        <v>427</v>
      </c>
      <c r="J620" t="s">
        <v>36</v>
      </c>
      <c r="K620" s="22">
        <v>3</v>
      </c>
      <c r="L620" s="1">
        <v>42848</v>
      </c>
      <c r="M620" s="22">
        <f>Table3[[#This Row],[Ship Date]]-Table3[[#This Row],[Order Date]]</f>
        <v>3</v>
      </c>
      <c r="N620" s="23" t="s">
        <v>169</v>
      </c>
      <c r="O620" s="23" t="s">
        <v>23</v>
      </c>
      <c r="P620" s="23" t="s">
        <v>132</v>
      </c>
      <c r="Q620" s="23" t="s">
        <v>133</v>
      </c>
      <c r="R620" s="23" t="s">
        <v>131</v>
      </c>
      <c r="S620" s="33">
        <v>0.2</v>
      </c>
      <c r="T620" s="13">
        <v>42.408000000000001</v>
      </c>
      <c r="U620" s="13">
        <v>9.5418000000000003</v>
      </c>
      <c r="V620" s="55">
        <f>Table3[[#This Row],[Profit]]/Table3[[#This Row],[Sales]]</f>
        <v>0.22500000000000001</v>
      </c>
    </row>
    <row r="621" spans="1:22" x14ac:dyDescent="0.2">
      <c r="A621">
        <v>620</v>
      </c>
      <c r="B621" t="s">
        <v>8307</v>
      </c>
      <c r="C621" s="1">
        <v>42845</v>
      </c>
      <c r="D621" s="22">
        <f>MONTH(Table3[[#This Row],[Order Date]])</f>
        <v>4</v>
      </c>
      <c r="E621" t="s">
        <v>1029</v>
      </c>
      <c r="F621" t="s">
        <v>1030</v>
      </c>
      <c r="G621" s="23" t="s">
        <v>28</v>
      </c>
      <c r="H621" s="23" t="s">
        <v>32</v>
      </c>
      <c r="I621" t="s">
        <v>5771</v>
      </c>
      <c r="J621" t="s">
        <v>22</v>
      </c>
      <c r="K621" s="22">
        <v>3</v>
      </c>
      <c r="L621" s="1">
        <v>42849</v>
      </c>
      <c r="M621" s="22">
        <f>Table3[[#This Row],[Ship Date]]-Table3[[#This Row],[Order Date]]</f>
        <v>4</v>
      </c>
      <c r="N621" s="23" t="s">
        <v>45</v>
      </c>
      <c r="O621" s="23" t="s">
        <v>23</v>
      </c>
      <c r="P621" s="23" t="s">
        <v>189</v>
      </c>
      <c r="Q621" s="23" t="s">
        <v>95</v>
      </c>
      <c r="R621" s="23" t="s">
        <v>271</v>
      </c>
      <c r="S621" s="33">
        <v>0.3</v>
      </c>
      <c r="T621" s="13">
        <v>317.05799999999999</v>
      </c>
      <c r="U621" s="13">
        <v>-18.117599999999999</v>
      </c>
      <c r="V621" s="55">
        <f>Table3[[#This Row],[Profit]]/Table3[[#This Row],[Sales]]</f>
        <v>-5.7142857142857141E-2</v>
      </c>
    </row>
    <row r="622" spans="1:22" x14ac:dyDescent="0.2">
      <c r="A622">
        <v>621</v>
      </c>
      <c r="B622" t="s">
        <v>8307</v>
      </c>
      <c r="C622" s="1">
        <v>42845</v>
      </c>
      <c r="D622" s="22">
        <f>MONTH(Table3[[#This Row],[Order Date]])</f>
        <v>4</v>
      </c>
      <c r="E622" t="s">
        <v>161</v>
      </c>
      <c r="F622" t="s">
        <v>162</v>
      </c>
      <c r="G622" s="23" t="s">
        <v>41</v>
      </c>
      <c r="H622" s="23" t="s">
        <v>61</v>
      </c>
      <c r="I622" t="s">
        <v>5771</v>
      </c>
      <c r="J622" t="s">
        <v>22</v>
      </c>
      <c r="K622" s="22">
        <v>2</v>
      </c>
      <c r="L622" s="1">
        <v>42849</v>
      </c>
      <c r="M622" s="22">
        <f>Table3[[#This Row],[Ship Date]]-Table3[[#This Row],[Order Date]]</f>
        <v>4</v>
      </c>
      <c r="N622" s="23" t="s">
        <v>45</v>
      </c>
      <c r="O622" s="23" t="s">
        <v>23</v>
      </c>
      <c r="P622" s="23" t="s">
        <v>189</v>
      </c>
      <c r="Q622" s="23" t="s">
        <v>95</v>
      </c>
      <c r="R622" s="23" t="s">
        <v>271</v>
      </c>
      <c r="S622" s="33">
        <v>0.2</v>
      </c>
      <c r="T622" s="13">
        <v>15.76</v>
      </c>
      <c r="U622" s="13">
        <v>3.5459999999999998</v>
      </c>
      <c r="V622" s="55">
        <f>Table3[[#This Row],[Profit]]/Table3[[#This Row],[Sales]]</f>
        <v>0.22499999999999998</v>
      </c>
    </row>
    <row r="623" spans="1:22" x14ac:dyDescent="0.2">
      <c r="A623">
        <v>622</v>
      </c>
      <c r="B623" t="s">
        <v>8307</v>
      </c>
      <c r="C623" s="1">
        <v>42845</v>
      </c>
      <c r="D623" s="22">
        <f>MONTH(Table3[[#This Row],[Order Date]])</f>
        <v>4</v>
      </c>
      <c r="E623" t="s">
        <v>3584</v>
      </c>
      <c r="F623" t="s">
        <v>3585</v>
      </c>
      <c r="G623" s="23" t="s">
        <v>28</v>
      </c>
      <c r="H623" s="23" t="s">
        <v>58</v>
      </c>
      <c r="I623" t="s">
        <v>5771</v>
      </c>
      <c r="J623" t="s">
        <v>22</v>
      </c>
      <c r="K623" s="22">
        <v>5</v>
      </c>
      <c r="L623" s="1">
        <v>42849</v>
      </c>
      <c r="M623" s="22">
        <f>Table3[[#This Row],[Ship Date]]-Table3[[#This Row],[Order Date]]</f>
        <v>4</v>
      </c>
      <c r="N623" s="23" t="s">
        <v>45</v>
      </c>
      <c r="O623" s="23" t="s">
        <v>23</v>
      </c>
      <c r="P623" s="23" t="s">
        <v>189</v>
      </c>
      <c r="Q623" s="23" t="s">
        <v>95</v>
      </c>
      <c r="R623" s="23" t="s">
        <v>271</v>
      </c>
      <c r="S623" s="33">
        <v>0.6</v>
      </c>
      <c r="T623" s="13">
        <v>14.56</v>
      </c>
      <c r="U623" s="13">
        <v>-6.1879999999999997</v>
      </c>
      <c r="V623" s="55">
        <f>Table3[[#This Row],[Profit]]/Table3[[#This Row],[Sales]]</f>
        <v>-0.42499999999999999</v>
      </c>
    </row>
    <row r="624" spans="1:22" x14ac:dyDescent="0.2">
      <c r="A624">
        <v>623</v>
      </c>
      <c r="B624" t="s">
        <v>8774</v>
      </c>
      <c r="C624" s="1">
        <v>42845</v>
      </c>
      <c r="D624" s="22">
        <f>MONTH(Table3[[#This Row],[Order Date]])</f>
        <v>4</v>
      </c>
      <c r="E624" t="s">
        <v>1851</v>
      </c>
      <c r="F624" t="s">
        <v>1852</v>
      </c>
      <c r="G624" s="23" t="s">
        <v>41</v>
      </c>
      <c r="H624" s="23" t="s">
        <v>68</v>
      </c>
      <c r="I624" t="s">
        <v>4814</v>
      </c>
      <c r="J624" t="s">
        <v>22</v>
      </c>
      <c r="K624" s="22">
        <v>7</v>
      </c>
      <c r="L624" s="1">
        <v>42849</v>
      </c>
      <c r="M624" s="22">
        <f>Table3[[#This Row],[Ship Date]]-Table3[[#This Row],[Order Date]]</f>
        <v>4</v>
      </c>
      <c r="N624" s="23" t="s">
        <v>45</v>
      </c>
      <c r="O624" s="23" t="s">
        <v>23</v>
      </c>
      <c r="P624" s="23" t="s">
        <v>212</v>
      </c>
      <c r="Q624" s="23" t="s">
        <v>95</v>
      </c>
      <c r="R624" s="23" t="s">
        <v>775</v>
      </c>
      <c r="S624" s="33">
        <v>0</v>
      </c>
      <c r="T624" s="13">
        <v>146.86000000000001</v>
      </c>
      <c r="U624" s="13">
        <v>70.492800000000003</v>
      </c>
      <c r="V624" s="55">
        <f>Table3[[#This Row],[Profit]]/Table3[[#This Row],[Sales]]</f>
        <v>0.48</v>
      </c>
    </row>
    <row r="625" spans="1:22" x14ac:dyDescent="0.2">
      <c r="A625">
        <v>624</v>
      </c>
      <c r="B625" t="s">
        <v>8774</v>
      </c>
      <c r="C625" s="1">
        <v>42845</v>
      </c>
      <c r="D625" s="22">
        <f>MONTH(Table3[[#This Row],[Order Date]])</f>
        <v>4</v>
      </c>
      <c r="E625" t="s">
        <v>2147</v>
      </c>
      <c r="F625" t="s">
        <v>2148</v>
      </c>
      <c r="G625" s="23" t="s">
        <v>41</v>
      </c>
      <c r="H625" s="23" t="s">
        <v>68</v>
      </c>
      <c r="I625" t="s">
        <v>4814</v>
      </c>
      <c r="J625" t="s">
        <v>22</v>
      </c>
      <c r="K625" s="22">
        <v>4</v>
      </c>
      <c r="L625" s="1">
        <v>42849</v>
      </c>
      <c r="M625" s="22">
        <f>Table3[[#This Row],[Ship Date]]-Table3[[#This Row],[Order Date]]</f>
        <v>4</v>
      </c>
      <c r="N625" s="23" t="s">
        <v>45</v>
      </c>
      <c r="O625" s="23" t="s">
        <v>23</v>
      </c>
      <c r="P625" s="23" t="s">
        <v>212</v>
      </c>
      <c r="Q625" s="23" t="s">
        <v>95</v>
      </c>
      <c r="R625" s="23" t="s">
        <v>775</v>
      </c>
      <c r="S625" s="33">
        <v>0</v>
      </c>
      <c r="T625" s="13">
        <v>36.56</v>
      </c>
      <c r="U625" s="13">
        <v>18.28</v>
      </c>
      <c r="V625" s="55">
        <f>Table3[[#This Row],[Profit]]/Table3[[#This Row],[Sales]]</f>
        <v>0.5</v>
      </c>
    </row>
    <row r="626" spans="1:22" x14ac:dyDescent="0.2">
      <c r="A626">
        <v>625</v>
      </c>
      <c r="B626" t="s">
        <v>10085</v>
      </c>
      <c r="C626" s="1">
        <v>42845</v>
      </c>
      <c r="D626" s="22">
        <f>MONTH(Table3[[#This Row],[Order Date]])</f>
        <v>4</v>
      </c>
      <c r="E626" t="s">
        <v>4435</v>
      </c>
      <c r="F626" t="s">
        <v>4436</v>
      </c>
      <c r="G626" s="23" t="s">
        <v>41</v>
      </c>
      <c r="H626" s="23" t="s">
        <v>53</v>
      </c>
      <c r="I626" t="s">
        <v>3999</v>
      </c>
      <c r="J626" t="s">
        <v>92</v>
      </c>
      <c r="K626" s="22">
        <v>4</v>
      </c>
      <c r="L626" s="1">
        <v>42846</v>
      </c>
      <c r="M626" s="22">
        <f>Table3[[#This Row],[Ship Date]]-Table3[[#This Row],[Order Date]]</f>
        <v>1</v>
      </c>
      <c r="N626" s="23" t="s">
        <v>169</v>
      </c>
      <c r="O626" s="23" t="s">
        <v>23</v>
      </c>
      <c r="P626" s="23" t="s">
        <v>441</v>
      </c>
      <c r="Q626" s="23" t="s">
        <v>133</v>
      </c>
      <c r="R626" s="23" t="s">
        <v>1920</v>
      </c>
      <c r="S626" s="33">
        <v>0.2</v>
      </c>
      <c r="T626" s="13">
        <v>848.54399999999998</v>
      </c>
      <c r="U626" s="13">
        <v>-21.2136</v>
      </c>
      <c r="V626" s="55">
        <f>Table3[[#This Row],[Profit]]/Table3[[#This Row],[Sales]]</f>
        <v>-2.5000000000000001E-2</v>
      </c>
    </row>
    <row r="627" spans="1:22" x14ac:dyDescent="0.2">
      <c r="A627">
        <v>626</v>
      </c>
      <c r="B627" t="s">
        <v>10085</v>
      </c>
      <c r="C627" s="1">
        <v>42845</v>
      </c>
      <c r="D627" s="22">
        <f>MONTH(Table3[[#This Row],[Order Date]])</f>
        <v>4</v>
      </c>
      <c r="E627" t="s">
        <v>5472</v>
      </c>
      <c r="F627" t="s">
        <v>5473</v>
      </c>
      <c r="G627" s="23" t="s">
        <v>41</v>
      </c>
      <c r="H627" s="23" t="s">
        <v>68</v>
      </c>
      <c r="I627" t="s">
        <v>3999</v>
      </c>
      <c r="J627" t="s">
        <v>92</v>
      </c>
      <c r="K627" s="22">
        <v>5</v>
      </c>
      <c r="L627" s="1">
        <v>42846</v>
      </c>
      <c r="M627" s="22">
        <f>Table3[[#This Row],[Ship Date]]-Table3[[#This Row],[Order Date]]</f>
        <v>1</v>
      </c>
      <c r="N627" s="23" t="s">
        <v>169</v>
      </c>
      <c r="O627" s="23" t="s">
        <v>23</v>
      </c>
      <c r="P627" s="23" t="s">
        <v>441</v>
      </c>
      <c r="Q627" s="23" t="s">
        <v>133</v>
      </c>
      <c r="R627" s="23" t="s">
        <v>1920</v>
      </c>
      <c r="S627" s="33">
        <v>0.7</v>
      </c>
      <c r="T627" s="13">
        <v>8.6999999999999993</v>
      </c>
      <c r="U627" s="13">
        <v>-6.38</v>
      </c>
      <c r="V627" s="55">
        <f>Table3[[#This Row],[Profit]]/Table3[[#This Row],[Sales]]</f>
        <v>-0.73333333333333339</v>
      </c>
    </row>
    <row r="628" spans="1:22" x14ac:dyDescent="0.2">
      <c r="A628">
        <v>627</v>
      </c>
      <c r="B628" t="s">
        <v>10085</v>
      </c>
      <c r="C628" s="1">
        <v>42845</v>
      </c>
      <c r="D628" s="22">
        <f>MONTH(Table3[[#This Row],[Order Date]])</f>
        <v>4</v>
      </c>
      <c r="E628" t="s">
        <v>8122</v>
      </c>
      <c r="F628" t="s">
        <v>8123</v>
      </c>
      <c r="G628" s="23" t="s">
        <v>64</v>
      </c>
      <c r="H628" s="23" t="s">
        <v>65</v>
      </c>
      <c r="I628" t="s">
        <v>3999</v>
      </c>
      <c r="J628" t="s">
        <v>92</v>
      </c>
      <c r="K628" s="22">
        <v>3</v>
      </c>
      <c r="L628" s="1">
        <v>42846</v>
      </c>
      <c r="M628" s="22">
        <f>Table3[[#This Row],[Ship Date]]-Table3[[#This Row],[Order Date]]</f>
        <v>1</v>
      </c>
      <c r="N628" s="23" t="s">
        <v>169</v>
      </c>
      <c r="O628" s="23" t="s">
        <v>23</v>
      </c>
      <c r="P628" s="23" t="s">
        <v>441</v>
      </c>
      <c r="Q628" s="23" t="s">
        <v>133</v>
      </c>
      <c r="R628" s="23" t="s">
        <v>1920</v>
      </c>
      <c r="S628" s="33">
        <v>0.4</v>
      </c>
      <c r="T628" s="13">
        <v>122.38200000000001</v>
      </c>
      <c r="U628" s="13">
        <v>-24.476400000000002</v>
      </c>
      <c r="V628" s="55">
        <f>Table3[[#This Row],[Profit]]/Table3[[#This Row],[Sales]]</f>
        <v>-0.2</v>
      </c>
    </row>
    <row r="629" spans="1:22" x14ac:dyDescent="0.2">
      <c r="A629">
        <v>628</v>
      </c>
      <c r="B629" t="s">
        <v>628</v>
      </c>
      <c r="C629" s="1">
        <v>42846</v>
      </c>
      <c r="D629" s="22">
        <f>MONTH(Table3[[#This Row],[Order Date]])</f>
        <v>4</v>
      </c>
      <c r="E629" t="s">
        <v>630</v>
      </c>
      <c r="F629" t="s">
        <v>631</v>
      </c>
      <c r="G629" s="23" t="s">
        <v>41</v>
      </c>
      <c r="H629" s="23" t="s">
        <v>71</v>
      </c>
      <c r="I629" t="s">
        <v>629</v>
      </c>
      <c r="J629" t="s">
        <v>22</v>
      </c>
      <c r="K629" s="22">
        <v>4</v>
      </c>
      <c r="L629" s="1">
        <v>42850</v>
      </c>
      <c r="M629" s="22">
        <f>Table3[[#This Row],[Ship Date]]-Table3[[#This Row],[Order Date]]</f>
        <v>4</v>
      </c>
      <c r="N629" s="23" t="s">
        <v>20</v>
      </c>
      <c r="O629" s="23" t="s">
        <v>23</v>
      </c>
      <c r="P629" s="23" t="s">
        <v>94</v>
      </c>
      <c r="Q629" s="23" t="s">
        <v>95</v>
      </c>
      <c r="R629" s="23" t="s">
        <v>165</v>
      </c>
      <c r="S629" s="33">
        <v>0.8</v>
      </c>
      <c r="T629" s="13">
        <v>97.263999999999996</v>
      </c>
      <c r="U629" s="13">
        <v>-243.16</v>
      </c>
      <c r="V629" s="55">
        <f>Table3[[#This Row],[Profit]]/Table3[[#This Row],[Sales]]</f>
        <v>-2.5</v>
      </c>
    </row>
    <row r="630" spans="1:22" x14ac:dyDescent="0.2">
      <c r="A630">
        <v>629</v>
      </c>
      <c r="B630" t="s">
        <v>2848</v>
      </c>
      <c r="C630" s="1">
        <v>42846</v>
      </c>
      <c r="D630" s="22">
        <f>MONTH(Table3[[#This Row],[Order Date]])</f>
        <v>4</v>
      </c>
      <c r="E630" t="s">
        <v>1077</v>
      </c>
      <c r="F630" t="s">
        <v>1078</v>
      </c>
      <c r="G630" s="23" t="s">
        <v>41</v>
      </c>
      <c r="H630" s="23" t="s">
        <v>68</v>
      </c>
      <c r="I630" t="s">
        <v>1919</v>
      </c>
      <c r="J630" t="s">
        <v>22</v>
      </c>
      <c r="K630" s="22">
        <v>3</v>
      </c>
      <c r="L630" s="1">
        <v>42852</v>
      </c>
      <c r="M630" s="22">
        <f>Table3[[#This Row],[Ship Date]]-Table3[[#This Row],[Order Date]]</f>
        <v>6</v>
      </c>
      <c r="N630" s="23" t="s">
        <v>45</v>
      </c>
      <c r="O630" s="23" t="s">
        <v>23</v>
      </c>
      <c r="P630" s="23" t="s">
        <v>94</v>
      </c>
      <c r="Q630" s="23" t="s">
        <v>95</v>
      </c>
      <c r="R630" s="23" t="s">
        <v>165</v>
      </c>
      <c r="S630" s="33">
        <v>0.8</v>
      </c>
      <c r="T630" s="13">
        <v>2.694</v>
      </c>
      <c r="U630" s="13">
        <v>-4.7145000000000001</v>
      </c>
      <c r="V630" s="55">
        <f>Table3[[#This Row],[Profit]]/Table3[[#This Row],[Sales]]</f>
        <v>-1.75</v>
      </c>
    </row>
    <row r="631" spans="1:22" x14ac:dyDescent="0.2">
      <c r="A631">
        <v>630</v>
      </c>
      <c r="B631" t="s">
        <v>2848</v>
      </c>
      <c r="C631" s="1">
        <v>42846</v>
      </c>
      <c r="D631" s="22">
        <f>MONTH(Table3[[#This Row],[Order Date]])</f>
        <v>4</v>
      </c>
      <c r="E631" t="s">
        <v>2645</v>
      </c>
      <c r="F631" t="s">
        <v>2646</v>
      </c>
      <c r="G631" s="23" t="s">
        <v>41</v>
      </c>
      <c r="H631" s="23" t="s">
        <v>68</v>
      </c>
      <c r="I631" t="s">
        <v>1919</v>
      </c>
      <c r="J631" t="s">
        <v>22</v>
      </c>
      <c r="K631" s="22">
        <v>3</v>
      </c>
      <c r="L631" s="1">
        <v>42852</v>
      </c>
      <c r="M631" s="22">
        <f>Table3[[#This Row],[Ship Date]]-Table3[[#This Row],[Order Date]]</f>
        <v>6</v>
      </c>
      <c r="N631" s="23" t="s">
        <v>45</v>
      </c>
      <c r="O631" s="23" t="s">
        <v>23</v>
      </c>
      <c r="P631" s="23" t="s">
        <v>94</v>
      </c>
      <c r="Q631" s="23" t="s">
        <v>95</v>
      </c>
      <c r="R631" s="23" t="s">
        <v>165</v>
      </c>
      <c r="S631" s="33">
        <v>0.8</v>
      </c>
      <c r="T631" s="13">
        <v>2.9340000000000002</v>
      </c>
      <c r="U631" s="13">
        <v>-4.9878</v>
      </c>
      <c r="V631" s="55">
        <f>Table3[[#This Row],[Profit]]/Table3[[#This Row],[Sales]]</f>
        <v>-1.7</v>
      </c>
    </row>
    <row r="632" spans="1:22" x14ac:dyDescent="0.2">
      <c r="A632">
        <v>631</v>
      </c>
      <c r="B632" t="s">
        <v>6159</v>
      </c>
      <c r="C632" s="1">
        <v>42846</v>
      </c>
      <c r="D632" s="22">
        <f>MONTH(Table3[[#This Row],[Order Date]])</f>
        <v>4</v>
      </c>
      <c r="E632" t="s">
        <v>6160</v>
      </c>
      <c r="F632" t="s">
        <v>6161</v>
      </c>
      <c r="G632" s="23" t="s">
        <v>64</v>
      </c>
      <c r="H632" s="23" t="s">
        <v>144</v>
      </c>
      <c r="I632" t="s">
        <v>3937</v>
      </c>
      <c r="J632" t="s">
        <v>22</v>
      </c>
      <c r="K632" s="22">
        <v>1</v>
      </c>
      <c r="L632" s="1">
        <v>42849</v>
      </c>
      <c r="M632" s="22">
        <f>Table3[[#This Row],[Ship Date]]-Table3[[#This Row],[Order Date]]</f>
        <v>3</v>
      </c>
      <c r="N632" s="23" t="s">
        <v>169</v>
      </c>
      <c r="O632" s="23" t="s">
        <v>23</v>
      </c>
      <c r="P632" s="23" t="s">
        <v>87</v>
      </c>
      <c r="Q632" s="23" t="s">
        <v>39</v>
      </c>
      <c r="R632" s="23" t="s">
        <v>86</v>
      </c>
      <c r="S632" s="33">
        <v>0</v>
      </c>
      <c r="T632" s="13">
        <v>11.54</v>
      </c>
      <c r="U632" s="13">
        <v>3.4620000000000002</v>
      </c>
      <c r="V632" s="55">
        <f>Table3[[#This Row],[Profit]]/Table3[[#This Row],[Sales]]</f>
        <v>0.30000000000000004</v>
      </c>
    </row>
    <row r="633" spans="1:22" x14ac:dyDescent="0.2">
      <c r="A633">
        <v>632</v>
      </c>
      <c r="B633" t="s">
        <v>6159</v>
      </c>
      <c r="C633" s="1">
        <v>42846</v>
      </c>
      <c r="D633" s="22">
        <f>MONTH(Table3[[#This Row],[Order Date]])</f>
        <v>4</v>
      </c>
      <c r="E633" t="s">
        <v>2748</v>
      </c>
      <c r="F633" t="s">
        <v>2749</v>
      </c>
      <c r="G633" s="23" t="s">
        <v>28</v>
      </c>
      <c r="H633" s="23" t="s">
        <v>58</v>
      </c>
      <c r="I633" t="s">
        <v>3937</v>
      </c>
      <c r="J633" t="s">
        <v>22</v>
      </c>
      <c r="K633" s="22">
        <v>3</v>
      </c>
      <c r="L633" s="1">
        <v>42849</v>
      </c>
      <c r="M633" s="22">
        <f>Table3[[#This Row],[Ship Date]]-Table3[[#This Row],[Order Date]]</f>
        <v>3</v>
      </c>
      <c r="N633" s="23" t="s">
        <v>169</v>
      </c>
      <c r="O633" s="23" t="s">
        <v>23</v>
      </c>
      <c r="P633" s="23" t="s">
        <v>87</v>
      </c>
      <c r="Q633" s="23" t="s">
        <v>39</v>
      </c>
      <c r="R633" s="23" t="s">
        <v>86</v>
      </c>
      <c r="S633" s="33">
        <v>0</v>
      </c>
      <c r="T633" s="13">
        <v>162.6</v>
      </c>
      <c r="U633" s="13">
        <v>34.146000000000001</v>
      </c>
      <c r="V633" s="55">
        <f>Table3[[#This Row],[Profit]]/Table3[[#This Row],[Sales]]</f>
        <v>0.21000000000000002</v>
      </c>
    </row>
    <row r="634" spans="1:22" x14ac:dyDescent="0.2">
      <c r="A634">
        <v>633</v>
      </c>
      <c r="B634" t="s">
        <v>8556</v>
      </c>
      <c r="C634" s="1">
        <v>42846</v>
      </c>
      <c r="D634" s="22">
        <f>MONTH(Table3[[#This Row],[Order Date]])</f>
        <v>4</v>
      </c>
      <c r="E634" t="s">
        <v>182</v>
      </c>
      <c r="F634" t="s">
        <v>183</v>
      </c>
      <c r="G634" s="23" t="s">
        <v>28</v>
      </c>
      <c r="H634" s="23" t="s">
        <v>32</v>
      </c>
      <c r="I634" t="s">
        <v>413</v>
      </c>
      <c r="J634" t="s">
        <v>22</v>
      </c>
      <c r="K634" s="22">
        <v>9</v>
      </c>
      <c r="L634" s="1">
        <v>42848</v>
      </c>
      <c r="M634" s="22">
        <f>Table3[[#This Row],[Ship Date]]-Table3[[#This Row],[Order Date]]</f>
        <v>2</v>
      </c>
      <c r="N634" s="23" t="s">
        <v>169</v>
      </c>
      <c r="O634" s="23" t="s">
        <v>23</v>
      </c>
      <c r="P634" s="23" t="s">
        <v>2408</v>
      </c>
      <c r="Q634" s="23" t="s">
        <v>133</v>
      </c>
      <c r="R634" s="23" t="s">
        <v>3967</v>
      </c>
      <c r="S634" s="33">
        <v>0</v>
      </c>
      <c r="T634" s="13">
        <v>908.82</v>
      </c>
      <c r="U634" s="13">
        <v>227.20500000000001</v>
      </c>
      <c r="V634" s="55">
        <f>Table3[[#This Row],[Profit]]/Table3[[#This Row],[Sales]]</f>
        <v>0.25</v>
      </c>
    </row>
    <row r="635" spans="1:22" x14ac:dyDescent="0.2">
      <c r="A635">
        <v>634</v>
      </c>
      <c r="B635" t="s">
        <v>8761</v>
      </c>
      <c r="C635" s="1">
        <v>42846</v>
      </c>
      <c r="D635" s="22">
        <f>MONTH(Table3[[#This Row],[Order Date]])</f>
        <v>4</v>
      </c>
      <c r="E635" t="s">
        <v>348</v>
      </c>
      <c r="F635" t="s">
        <v>349</v>
      </c>
      <c r="G635" s="23" t="s">
        <v>64</v>
      </c>
      <c r="H635" s="23" t="s">
        <v>144</v>
      </c>
      <c r="I635" t="s">
        <v>3488</v>
      </c>
      <c r="J635" t="s">
        <v>36</v>
      </c>
      <c r="K635" s="22">
        <v>3</v>
      </c>
      <c r="L635" s="1">
        <v>42848</v>
      </c>
      <c r="M635" s="22">
        <f>Table3[[#This Row],[Ship Date]]-Table3[[#This Row],[Order Date]]</f>
        <v>2</v>
      </c>
      <c r="N635" s="23" t="s">
        <v>169</v>
      </c>
      <c r="O635" s="23" t="s">
        <v>23</v>
      </c>
      <c r="P635" s="23" t="s">
        <v>94</v>
      </c>
      <c r="Q635" s="23" t="s">
        <v>95</v>
      </c>
      <c r="R635" s="23" t="s">
        <v>165</v>
      </c>
      <c r="S635" s="33">
        <v>0.2</v>
      </c>
      <c r="T635" s="13">
        <v>47.975999999999999</v>
      </c>
      <c r="U635" s="13">
        <v>8.3957999999999995</v>
      </c>
      <c r="V635" s="55">
        <f>Table3[[#This Row],[Profit]]/Table3[[#This Row],[Sales]]</f>
        <v>0.17499999999999999</v>
      </c>
    </row>
    <row r="636" spans="1:22" x14ac:dyDescent="0.2">
      <c r="A636">
        <v>635</v>
      </c>
      <c r="B636" t="s">
        <v>8761</v>
      </c>
      <c r="C636" s="1">
        <v>42846</v>
      </c>
      <c r="D636" s="22">
        <f>MONTH(Table3[[#This Row],[Order Date]])</f>
        <v>4</v>
      </c>
      <c r="E636" t="s">
        <v>5606</v>
      </c>
      <c r="F636" t="s">
        <v>5607</v>
      </c>
      <c r="G636" s="23" t="s">
        <v>41</v>
      </c>
      <c r="H636" s="23" t="s">
        <v>82</v>
      </c>
      <c r="I636" t="s">
        <v>3488</v>
      </c>
      <c r="J636" t="s">
        <v>36</v>
      </c>
      <c r="K636" s="22">
        <v>4</v>
      </c>
      <c r="L636" s="1">
        <v>42848</v>
      </c>
      <c r="M636" s="22">
        <f>Table3[[#This Row],[Ship Date]]-Table3[[#This Row],[Order Date]]</f>
        <v>2</v>
      </c>
      <c r="N636" s="23" t="s">
        <v>169</v>
      </c>
      <c r="O636" s="23" t="s">
        <v>23</v>
      </c>
      <c r="P636" s="23" t="s">
        <v>94</v>
      </c>
      <c r="Q636" s="23" t="s">
        <v>95</v>
      </c>
      <c r="R636" s="23" t="s">
        <v>165</v>
      </c>
      <c r="S636" s="33">
        <v>0.2</v>
      </c>
      <c r="T636" s="13">
        <v>20.736000000000001</v>
      </c>
      <c r="U636" s="13">
        <v>7.2576000000000001</v>
      </c>
      <c r="V636" s="55">
        <f>Table3[[#This Row],[Profit]]/Table3[[#This Row],[Sales]]</f>
        <v>0.35</v>
      </c>
    </row>
    <row r="637" spans="1:22" x14ac:dyDescent="0.2">
      <c r="A637">
        <v>636</v>
      </c>
      <c r="B637" t="s">
        <v>2216</v>
      </c>
      <c r="C637" s="1">
        <v>42847</v>
      </c>
      <c r="D637" s="22">
        <f>MONTH(Table3[[#This Row],[Order Date]])</f>
        <v>4</v>
      </c>
      <c r="E637" t="s">
        <v>2218</v>
      </c>
      <c r="F637" t="s">
        <v>2219</v>
      </c>
      <c r="G637" s="23" t="s">
        <v>28</v>
      </c>
      <c r="H637" s="23" t="s">
        <v>58</v>
      </c>
      <c r="I637" t="s">
        <v>2217</v>
      </c>
      <c r="J637" t="s">
        <v>22</v>
      </c>
      <c r="K637" s="22">
        <v>2</v>
      </c>
      <c r="L637" s="1">
        <v>42849</v>
      </c>
      <c r="M637" s="22">
        <f>Table3[[#This Row],[Ship Date]]-Table3[[#This Row],[Order Date]]</f>
        <v>2</v>
      </c>
      <c r="N637" s="23" t="s">
        <v>169</v>
      </c>
      <c r="O637" s="23" t="s">
        <v>23</v>
      </c>
      <c r="P637" s="23" t="s">
        <v>38</v>
      </c>
      <c r="Q637" s="23" t="s">
        <v>39</v>
      </c>
      <c r="R637" s="23" t="s">
        <v>114</v>
      </c>
      <c r="S637" s="33">
        <v>0</v>
      </c>
      <c r="T637" s="13">
        <v>18.28</v>
      </c>
      <c r="U637" s="13">
        <v>6.2152000000000003</v>
      </c>
      <c r="V637" s="55">
        <f>Table3[[#This Row],[Profit]]/Table3[[#This Row],[Sales]]</f>
        <v>0.33999999999999997</v>
      </c>
    </row>
    <row r="638" spans="1:22" x14ac:dyDescent="0.2">
      <c r="A638">
        <v>637</v>
      </c>
      <c r="B638" t="s">
        <v>5551</v>
      </c>
      <c r="C638" s="1">
        <v>42847</v>
      </c>
      <c r="D638" s="22">
        <f>MONTH(Table3[[#This Row],[Order Date]])</f>
        <v>4</v>
      </c>
      <c r="E638" t="s">
        <v>3722</v>
      </c>
      <c r="F638" t="s">
        <v>3723</v>
      </c>
      <c r="G638" s="23" t="s">
        <v>28</v>
      </c>
      <c r="H638" s="23" t="s">
        <v>58</v>
      </c>
      <c r="I638" t="s">
        <v>1823</v>
      </c>
      <c r="J638" t="s">
        <v>92</v>
      </c>
      <c r="K638" s="22">
        <v>3</v>
      </c>
      <c r="L638" s="1">
        <v>42851</v>
      </c>
      <c r="M638" s="22">
        <f>Table3[[#This Row],[Ship Date]]-Table3[[#This Row],[Order Date]]</f>
        <v>4</v>
      </c>
      <c r="N638" s="23" t="s">
        <v>45</v>
      </c>
      <c r="O638" s="23" t="s">
        <v>23</v>
      </c>
      <c r="P638" s="23" t="s">
        <v>132</v>
      </c>
      <c r="Q638" s="23" t="s">
        <v>133</v>
      </c>
      <c r="R638" s="23" t="s">
        <v>131</v>
      </c>
      <c r="S638" s="33">
        <v>0.2</v>
      </c>
      <c r="T638" s="13">
        <v>254.352</v>
      </c>
      <c r="U638" s="13">
        <v>0</v>
      </c>
      <c r="V638" s="55">
        <f>Table3[[#This Row],[Profit]]/Table3[[#This Row],[Sales]]</f>
        <v>0</v>
      </c>
    </row>
    <row r="639" spans="1:22" x14ac:dyDescent="0.2">
      <c r="A639">
        <v>638</v>
      </c>
      <c r="B639" t="s">
        <v>9150</v>
      </c>
      <c r="C639" s="1">
        <v>42847</v>
      </c>
      <c r="D639" s="22">
        <f>MONTH(Table3[[#This Row],[Order Date]])</f>
        <v>4</v>
      </c>
      <c r="E639" t="s">
        <v>3101</v>
      </c>
      <c r="F639" t="s">
        <v>3102</v>
      </c>
      <c r="G639" s="23" t="s">
        <v>41</v>
      </c>
      <c r="H639" s="23" t="s">
        <v>53</v>
      </c>
      <c r="I639" t="s">
        <v>1739</v>
      </c>
      <c r="J639" t="s">
        <v>22</v>
      </c>
      <c r="K639" s="22">
        <v>3</v>
      </c>
      <c r="L639" s="1">
        <v>42851</v>
      </c>
      <c r="M639" s="22">
        <f>Table3[[#This Row],[Ship Date]]-Table3[[#This Row],[Order Date]]</f>
        <v>4</v>
      </c>
      <c r="N639" s="23" t="s">
        <v>45</v>
      </c>
      <c r="O639" s="23" t="s">
        <v>23</v>
      </c>
      <c r="P639" s="23" t="s">
        <v>1125</v>
      </c>
      <c r="Q639" s="23" t="s">
        <v>26</v>
      </c>
      <c r="R639" s="23" t="s">
        <v>440</v>
      </c>
      <c r="S639" s="33">
        <v>0</v>
      </c>
      <c r="T639" s="13">
        <v>675.06</v>
      </c>
      <c r="U639" s="13">
        <v>87.757800000000003</v>
      </c>
      <c r="V639" s="55">
        <f>Table3[[#This Row],[Profit]]/Table3[[#This Row],[Sales]]</f>
        <v>0.13</v>
      </c>
    </row>
    <row r="640" spans="1:22" x14ac:dyDescent="0.2">
      <c r="A640">
        <v>639</v>
      </c>
      <c r="B640" t="s">
        <v>5080</v>
      </c>
      <c r="C640" s="1">
        <v>42848</v>
      </c>
      <c r="D640" s="22">
        <f>MONTH(Table3[[#This Row],[Order Date]])</f>
        <v>4</v>
      </c>
      <c r="E640" t="s">
        <v>4751</v>
      </c>
      <c r="F640" t="s">
        <v>4752</v>
      </c>
      <c r="G640" s="23" t="s">
        <v>41</v>
      </c>
      <c r="H640" s="23" t="s">
        <v>71</v>
      </c>
      <c r="I640" t="s">
        <v>658</v>
      </c>
      <c r="J640" t="s">
        <v>22</v>
      </c>
      <c r="K640" s="22">
        <v>2</v>
      </c>
      <c r="L640" s="1">
        <v>42854</v>
      </c>
      <c r="M640" s="22">
        <f>Table3[[#This Row],[Ship Date]]-Table3[[#This Row],[Order Date]]</f>
        <v>6</v>
      </c>
      <c r="N640" s="23" t="s">
        <v>45</v>
      </c>
      <c r="O640" s="23" t="s">
        <v>23</v>
      </c>
      <c r="P640" s="23" t="s">
        <v>238</v>
      </c>
      <c r="Q640" s="23" t="s">
        <v>133</v>
      </c>
      <c r="R640" s="23" t="s">
        <v>237</v>
      </c>
      <c r="S640" s="33">
        <v>0</v>
      </c>
      <c r="T640" s="13">
        <v>121.94</v>
      </c>
      <c r="U640" s="13">
        <v>35.3626</v>
      </c>
      <c r="V640" s="55">
        <f>Table3[[#This Row],[Profit]]/Table3[[#This Row],[Sales]]</f>
        <v>0.29000000000000004</v>
      </c>
    </row>
    <row r="641" spans="1:22" x14ac:dyDescent="0.2">
      <c r="A641">
        <v>640</v>
      </c>
      <c r="B641" t="s">
        <v>5080</v>
      </c>
      <c r="C641" s="1">
        <v>42848</v>
      </c>
      <c r="D641" s="22">
        <f>MONTH(Table3[[#This Row],[Order Date]])</f>
        <v>4</v>
      </c>
      <c r="E641" t="s">
        <v>1241</v>
      </c>
      <c r="F641" t="s">
        <v>1242</v>
      </c>
      <c r="G641" s="23" t="s">
        <v>41</v>
      </c>
      <c r="H641" s="23" t="s">
        <v>513</v>
      </c>
      <c r="I641" t="s">
        <v>658</v>
      </c>
      <c r="J641" t="s">
        <v>22</v>
      </c>
      <c r="K641" s="22">
        <v>7</v>
      </c>
      <c r="L641" s="1">
        <v>42854</v>
      </c>
      <c r="M641" s="22">
        <f>Table3[[#This Row],[Ship Date]]-Table3[[#This Row],[Order Date]]</f>
        <v>6</v>
      </c>
      <c r="N641" s="23" t="s">
        <v>45</v>
      </c>
      <c r="O641" s="23" t="s">
        <v>23</v>
      </c>
      <c r="P641" s="23" t="s">
        <v>238</v>
      </c>
      <c r="Q641" s="23" t="s">
        <v>133</v>
      </c>
      <c r="R641" s="23" t="s">
        <v>237</v>
      </c>
      <c r="S641" s="33">
        <v>0</v>
      </c>
      <c r="T641" s="13">
        <v>122.71</v>
      </c>
      <c r="U641" s="13">
        <v>36.813000000000002</v>
      </c>
      <c r="V641" s="55">
        <f>Table3[[#This Row],[Profit]]/Table3[[#This Row],[Sales]]</f>
        <v>0.30000000000000004</v>
      </c>
    </row>
    <row r="642" spans="1:22" x14ac:dyDescent="0.2">
      <c r="A642">
        <v>641</v>
      </c>
      <c r="B642" t="s">
        <v>6299</v>
      </c>
      <c r="C642" s="1">
        <v>42848</v>
      </c>
      <c r="D642" s="22">
        <f>MONTH(Table3[[#This Row],[Order Date]])</f>
        <v>4</v>
      </c>
      <c r="E642" t="s">
        <v>3921</v>
      </c>
      <c r="F642" t="s">
        <v>3922</v>
      </c>
      <c r="G642" s="23" t="s">
        <v>64</v>
      </c>
      <c r="H642" s="23" t="s">
        <v>144</v>
      </c>
      <c r="I642" t="s">
        <v>1871</v>
      </c>
      <c r="J642" t="s">
        <v>22</v>
      </c>
      <c r="K642" s="22">
        <v>6</v>
      </c>
      <c r="L642" s="1">
        <v>42850</v>
      </c>
      <c r="M642" s="22">
        <f>Table3[[#This Row],[Ship Date]]-Table3[[#This Row],[Order Date]]</f>
        <v>2</v>
      </c>
      <c r="N642" s="23" t="s">
        <v>20</v>
      </c>
      <c r="O642" s="23" t="s">
        <v>23</v>
      </c>
      <c r="P642" s="23" t="s">
        <v>226</v>
      </c>
      <c r="Q642" s="23" t="s">
        <v>95</v>
      </c>
      <c r="R642" s="23" t="s">
        <v>1308</v>
      </c>
      <c r="S642" s="33">
        <v>0</v>
      </c>
      <c r="T642" s="13">
        <v>155.34</v>
      </c>
      <c r="U642" s="13">
        <v>55.922400000000003</v>
      </c>
      <c r="V642" s="55">
        <f>Table3[[#This Row],[Profit]]/Table3[[#This Row],[Sales]]</f>
        <v>0.36</v>
      </c>
    </row>
    <row r="643" spans="1:22" x14ac:dyDescent="0.2">
      <c r="A643">
        <v>642</v>
      </c>
      <c r="B643" t="s">
        <v>7868</v>
      </c>
      <c r="C643" s="1">
        <v>42848</v>
      </c>
      <c r="D643" s="22">
        <f>MONTH(Table3[[#This Row],[Order Date]])</f>
        <v>4</v>
      </c>
      <c r="E643" t="s">
        <v>512</v>
      </c>
      <c r="F643" t="s">
        <v>514</v>
      </c>
      <c r="G643" s="23" t="s">
        <v>41</v>
      </c>
      <c r="H643" s="23" t="s">
        <v>513</v>
      </c>
      <c r="I643" t="s">
        <v>1099</v>
      </c>
      <c r="J643" t="s">
        <v>22</v>
      </c>
      <c r="K643" s="22">
        <v>5</v>
      </c>
      <c r="L643" s="1">
        <v>42850</v>
      </c>
      <c r="M643" s="22">
        <f>Table3[[#This Row],[Ship Date]]-Table3[[#This Row],[Order Date]]</f>
        <v>2</v>
      </c>
      <c r="N643" s="23" t="s">
        <v>169</v>
      </c>
      <c r="O643" s="23" t="s">
        <v>23</v>
      </c>
      <c r="P643" s="23" t="s">
        <v>238</v>
      </c>
      <c r="Q643" s="23" t="s">
        <v>133</v>
      </c>
      <c r="R643" s="23" t="s">
        <v>237</v>
      </c>
      <c r="S643" s="33">
        <v>0</v>
      </c>
      <c r="T643" s="13">
        <v>54.9</v>
      </c>
      <c r="U643" s="13">
        <v>15.372</v>
      </c>
      <c r="V643" s="55">
        <f>Table3[[#This Row],[Profit]]/Table3[[#This Row],[Sales]]</f>
        <v>0.28000000000000003</v>
      </c>
    </row>
    <row r="644" spans="1:22" x14ac:dyDescent="0.2">
      <c r="A644">
        <v>643</v>
      </c>
      <c r="B644" t="s">
        <v>8209</v>
      </c>
      <c r="C644" s="1">
        <v>42848</v>
      </c>
      <c r="D644" s="22">
        <f>MONTH(Table3[[#This Row],[Order Date]])</f>
        <v>4</v>
      </c>
      <c r="E644" t="s">
        <v>1574</v>
      </c>
      <c r="F644" t="s">
        <v>1575</v>
      </c>
      <c r="G644" s="23" t="s">
        <v>41</v>
      </c>
      <c r="H644" s="23" t="s">
        <v>68</v>
      </c>
      <c r="I644" t="s">
        <v>455</v>
      </c>
      <c r="J644" t="s">
        <v>36</v>
      </c>
      <c r="K644" s="22">
        <v>5</v>
      </c>
      <c r="L644" s="1">
        <v>42851</v>
      </c>
      <c r="M644" s="22">
        <f>Table3[[#This Row],[Ship Date]]-Table3[[#This Row],[Order Date]]</f>
        <v>3</v>
      </c>
      <c r="N644" s="23" t="s">
        <v>169</v>
      </c>
      <c r="O644" s="23" t="s">
        <v>23</v>
      </c>
      <c r="P644" s="23" t="s">
        <v>441</v>
      </c>
      <c r="Q644" s="23" t="s">
        <v>133</v>
      </c>
      <c r="R644" s="23" t="s">
        <v>440</v>
      </c>
      <c r="S644" s="33">
        <v>0.7</v>
      </c>
      <c r="T644" s="13">
        <v>11.76</v>
      </c>
      <c r="U644" s="13">
        <v>-7.84</v>
      </c>
      <c r="V644" s="55">
        <f>Table3[[#This Row],[Profit]]/Table3[[#This Row],[Sales]]</f>
        <v>-0.66666666666666663</v>
      </c>
    </row>
    <row r="645" spans="1:22" x14ac:dyDescent="0.2">
      <c r="A645">
        <v>644</v>
      </c>
      <c r="B645" t="s">
        <v>8209</v>
      </c>
      <c r="C645" s="1">
        <v>42848</v>
      </c>
      <c r="D645" s="22">
        <f>MONTH(Table3[[#This Row],[Order Date]])</f>
        <v>4</v>
      </c>
      <c r="E645" t="s">
        <v>502</v>
      </c>
      <c r="F645" t="s">
        <v>503</v>
      </c>
      <c r="G645" s="23" t="s">
        <v>41</v>
      </c>
      <c r="H645" s="23" t="s">
        <v>82</v>
      </c>
      <c r="I645" t="s">
        <v>455</v>
      </c>
      <c r="J645" t="s">
        <v>36</v>
      </c>
      <c r="K645" s="22">
        <v>1</v>
      </c>
      <c r="L645" s="1">
        <v>42851</v>
      </c>
      <c r="M645" s="22">
        <f>Table3[[#This Row],[Ship Date]]-Table3[[#This Row],[Order Date]]</f>
        <v>3</v>
      </c>
      <c r="N645" s="23" t="s">
        <v>169</v>
      </c>
      <c r="O645" s="23" t="s">
        <v>23</v>
      </c>
      <c r="P645" s="23" t="s">
        <v>441</v>
      </c>
      <c r="Q645" s="23" t="s">
        <v>133</v>
      </c>
      <c r="R645" s="23" t="s">
        <v>440</v>
      </c>
      <c r="S645" s="33">
        <v>0.2</v>
      </c>
      <c r="T645" s="13">
        <v>5.3440000000000003</v>
      </c>
      <c r="U645" s="13">
        <v>1.8704000000000001</v>
      </c>
      <c r="V645" s="55">
        <f>Table3[[#This Row],[Profit]]/Table3[[#This Row],[Sales]]</f>
        <v>0.35</v>
      </c>
    </row>
    <row r="646" spans="1:22" x14ac:dyDescent="0.2">
      <c r="A646">
        <v>645</v>
      </c>
      <c r="B646" t="s">
        <v>8590</v>
      </c>
      <c r="C646" s="1">
        <v>42848</v>
      </c>
      <c r="D646" s="22">
        <f>MONTH(Table3[[#This Row],[Order Date]])</f>
        <v>4</v>
      </c>
      <c r="E646" t="s">
        <v>5490</v>
      </c>
      <c r="F646" t="s">
        <v>5491</v>
      </c>
      <c r="G646" s="23" t="s">
        <v>28</v>
      </c>
      <c r="H646" s="23" t="s">
        <v>58</v>
      </c>
      <c r="I646" t="s">
        <v>2054</v>
      </c>
      <c r="J646" t="s">
        <v>22</v>
      </c>
      <c r="K646" s="22">
        <v>7</v>
      </c>
      <c r="L646" s="1">
        <v>42850</v>
      </c>
      <c r="M646" s="22">
        <f>Table3[[#This Row],[Ship Date]]-Table3[[#This Row],[Order Date]]</f>
        <v>2</v>
      </c>
      <c r="N646" s="23" t="s">
        <v>20</v>
      </c>
      <c r="O646" s="23" t="s">
        <v>23</v>
      </c>
      <c r="P646" s="23" t="s">
        <v>38</v>
      </c>
      <c r="Q646" s="23" t="s">
        <v>39</v>
      </c>
      <c r="R646" s="23" t="s">
        <v>533</v>
      </c>
      <c r="S646" s="33">
        <v>0</v>
      </c>
      <c r="T646" s="13">
        <v>66.36</v>
      </c>
      <c r="U646" s="13">
        <v>26.544</v>
      </c>
      <c r="V646" s="55">
        <f>Table3[[#This Row],[Profit]]/Table3[[#This Row],[Sales]]</f>
        <v>0.4</v>
      </c>
    </row>
    <row r="647" spans="1:22" x14ac:dyDescent="0.2">
      <c r="A647">
        <v>646</v>
      </c>
      <c r="B647" t="s">
        <v>8590</v>
      </c>
      <c r="C647" s="1">
        <v>42848</v>
      </c>
      <c r="D647" s="22">
        <f>MONTH(Table3[[#This Row],[Order Date]])</f>
        <v>4</v>
      </c>
      <c r="E647" t="s">
        <v>2100</v>
      </c>
      <c r="F647" t="s">
        <v>2101</v>
      </c>
      <c r="G647" s="23" t="s">
        <v>41</v>
      </c>
      <c r="H647" s="23" t="s">
        <v>68</v>
      </c>
      <c r="I647" t="s">
        <v>2054</v>
      </c>
      <c r="J647" t="s">
        <v>22</v>
      </c>
      <c r="K647" s="22">
        <v>6</v>
      </c>
      <c r="L647" s="1">
        <v>42850</v>
      </c>
      <c r="M647" s="22">
        <f>Table3[[#This Row],[Ship Date]]-Table3[[#This Row],[Order Date]]</f>
        <v>2</v>
      </c>
      <c r="N647" s="23" t="s">
        <v>20</v>
      </c>
      <c r="O647" s="23" t="s">
        <v>23</v>
      </c>
      <c r="P647" s="23" t="s">
        <v>38</v>
      </c>
      <c r="Q647" s="23" t="s">
        <v>39</v>
      </c>
      <c r="R647" s="23" t="s">
        <v>533</v>
      </c>
      <c r="S647" s="33">
        <v>0.2</v>
      </c>
      <c r="T647" s="13">
        <v>92.88</v>
      </c>
      <c r="U647" s="13">
        <v>30.186</v>
      </c>
      <c r="V647" s="55">
        <f>Table3[[#This Row],[Profit]]/Table3[[#This Row],[Sales]]</f>
        <v>0.32500000000000001</v>
      </c>
    </row>
    <row r="648" spans="1:22" x14ac:dyDescent="0.2">
      <c r="A648">
        <v>647</v>
      </c>
      <c r="B648" t="s">
        <v>8590</v>
      </c>
      <c r="C648" s="1">
        <v>42848</v>
      </c>
      <c r="D648" s="22">
        <f>MONTH(Table3[[#This Row],[Order Date]])</f>
        <v>4</v>
      </c>
      <c r="E648" t="s">
        <v>1517</v>
      </c>
      <c r="F648" t="s">
        <v>7389</v>
      </c>
      <c r="G648" s="23" t="s">
        <v>28</v>
      </c>
      <c r="H648" s="23" t="s">
        <v>58</v>
      </c>
      <c r="I648" t="s">
        <v>2054</v>
      </c>
      <c r="J648" t="s">
        <v>22</v>
      </c>
      <c r="K648" s="22">
        <v>2</v>
      </c>
      <c r="L648" s="1">
        <v>42850</v>
      </c>
      <c r="M648" s="22">
        <f>Table3[[#This Row],[Ship Date]]-Table3[[#This Row],[Order Date]]</f>
        <v>2</v>
      </c>
      <c r="N648" s="23" t="s">
        <v>20</v>
      </c>
      <c r="O648" s="23" t="s">
        <v>23</v>
      </c>
      <c r="P648" s="23" t="s">
        <v>38</v>
      </c>
      <c r="Q648" s="23" t="s">
        <v>39</v>
      </c>
      <c r="R648" s="23" t="s">
        <v>533</v>
      </c>
      <c r="S648" s="33">
        <v>0</v>
      </c>
      <c r="T648" s="13">
        <v>24.14</v>
      </c>
      <c r="U648" s="13">
        <v>7.9661999999999997</v>
      </c>
      <c r="V648" s="55">
        <f>Table3[[#This Row],[Profit]]/Table3[[#This Row],[Sales]]</f>
        <v>0.32999999999999996</v>
      </c>
    </row>
    <row r="649" spans="1:22" x14ac:dyDescent="0.2">
      <c r="A649">
        <v>648</v>
      </c>
      <c r="B649" t="s">
        <v>9268</v>
      </c>
      <c r="C649" s="1">
        <v>42848</v>
      </c>
      <c r="D649" s="22">
        <f>MONTH(Table3[[#This Row],[Order Date]])</f>
        <v>4</v>
      </c>
      <c r="E649" t="s">
        <v>1276</v>
      </c>
      <c r="F649" t="s">
        <v>1277</v>
      </c>
      <c r="G649" s="23" t="s">
        <v>28</v>
      </c>
      <c r="H649" s="23" t="s">
        <v>29</v>
      </c>
      <c r="I649" t="s">
        <v>378</v>
      </c>
      <c r="J649" t="s">
        <v>92</v>
      </c>
      <c r="K649" s="22">
        <v>4</v>
      </c>
      <c r="L649" s="1">
        <v>42852</v>
      </c>
      <c r="M649" s="22">
        <f>Table3[[#This Row],[Ship Date]]-Table3[[#This Row],[Order Date]]</f>
        <v>4</v>
      </c>
      <c r="N649" s="23" t="s">
        <v>45</v>
      </c>
      <c r="O649" s="23" t="s">
        <v>23</v>
      </c>
      <c r="P649" s="23" t="s">
        <v>299</v>
      </c>
      <c r="Q649" s="23" t="s">
        <v>26</v>
      </c>
      <c r="R649" s="23" t="s">
        <v>4749</v>
      </c>
      <c r="S649" s="33">
        <v>0.2</v>
      </c>
      <c r="T649" s="13">
        <v>387.13600000000002</v>
      </c>
      <c r="U649" s="13">
        <v>-14.5176</v>
      </c>
      <c r="V649" s="55">
        <f>Table3[[#This Row],[Profit]]/Table3[[#This Row],[Sales]]</f>
        <v>-3.7499999999999999E-2</v>
      </c>
    </row>
    <row r="650" spans="1:22" x14ac:dyDescent="0.2">
      <c r="A650">
        <v>649</v>
      </c>
      <c r="B650" t="s">
        <v>9268</v>
      </c>
      <c r="C650" s="1">
        <v>42848</v>
      </c>
      <c r="D650" s="22">
        <f>MONTH(Table3[[#This Row],[Order Date]])</f>
        <v>4</v>
      </c>
      <c r="E650" t="s">
        <v>2479</v>
      </c>
      <c r="F650" t="s">
        <v>2480</v>
      </c>
      <c r="G650" s="23" t="s">
        <v>64</v>
      </c>
      <c r="H650" s="23" t="s">
        <v>144</v>
      </c>
      <c r="I650" t="s">
        <v>378</v>
      </c>
      <c r="J650" t="s">
        <v>92</v>
      </c>
      <c r="K650" s="22">
        <v>2</v>
      </c>
      <c r="L650" s="1">
        <v>42852</v>
      </c>
      <c r="M650" s="22">
        <f>Table3[[#This Row],[Ship Date]]-Table3[[#This Row],[Order Date]]</f>
        <v>4</v>
      </c>
      <c r="N650" s="23" t="s">
        <v>45</v>
      </c>
      <c r="O650" s="23" t="s">
        <v>23</v>
      </c>
      <c r="P650" s="23" t="s">
        <v>299</v>
      </c>
      <c r="Q650" s="23" t="s">
        <v>26</v>
      </c>
      <c r="R650" s="23" t="s">
        <v>4749</v>
      </c>
      <c r="S650" s="33">
        <v>0.2</v>
      </c>
      <c r="T650" s="13">
        <v>45.408000000000001</v>
      </c>
      <c r="U650" s="13">
        <v>11.919600000000001</v>
      </c>
      <c r="V650" s="55">
        <f>Table3[[#This Row],[Profit]]/Table3[[#This Row],[Sales]]</f>
        <v>0.26250000000000001</v>
      </c>
    </row>
    <row r="651" spans="1:22" x14ac:dyDescent="0.2">
      <c r="A651">
        <v>650</v>
      </c>
      <c r="B651" t="s">
        <v>9268</v>
      </c>
      <c r="C651" s="1">
        <v>42848</v>
      </c>
      <c r="D651" s="22">
        <f>MONTH(Table3[[#This Row],[Order Date]])</f>
        <v>4</v>
      </c>
      <c r="E651" t="s">
        <v>5849</v>
      </c>
      <c r="F651" t="s">
        <v>5850</v>
      </c>
      <c r="G651" s="23" t="s">
        <v>28</v>
      </c>
      <c r="H651" s="23" t="s">
        <v>58</v>
      </c>
      <c r="I651" t="s">
        <v>378</v>
      </c>
      <c r="J651" t="s">
        <v>92</v>
      </c>
      <c r="K651" s="22">
        <v>3</v>
      </c>
      <c r="L651" s="1">
        <v>42852</v>
      </c>
      <c r="M651" s="22">
        <f>Table3[[#This Row],[Ship Date]]-Table3[[#This Row],[Order Date]]</f>
        <v>4</v>
      </c>
      <c r="N651" s="23" t="s">
        <v>45</v>
      </c>
      <c r="O651" s="23" t="s">
        <v>23</v>
      </c>
      <c r="P651" s="23" t="s">
        <v>299</v>
      </c>
      <c r="Q651" s="23" t="s">
        <v>26</v>
      </c>
      <c r="R651" s="23" t="s">
        <v>4749</v>
      </c>
      <c r="S651" s="33">
        <v>0.2</v>
      </c>
      <c r="T651" s="13">
        <v>77.951999999999998</v>
      </c>
      <c r="U651" s="13">
        <v>-11.6928</v>
      </c>
      <c r="V651" s="55">
        <f>Table3[[#This Row],[Profit]]/Table3[[#This Row],[Sales]]</f>
        <v>-0.15</v>
      </c>
    </row>
    <row r="652" spans="1:22" x14ac:dyDescent="0.2">
      <c r="A652">
        <v>651</v>
      </c>
      <c r="B652" t="s">
        <v>9268</v>
      </c>
      <c r="C652" s="1">
        <v>42848</v>
      </c>
      <c r="D652" s="22">
        <f>MONTH(Table3[[#This Row],[Order Date]])</f>
        <v>4</v>
      </c>
      <c r="E652" t="s">
        <v>4906</v>
      </c>
      <c r="F652" t="s">
        <v>4907</v>
      </c>
      <c r="G652" s="23" t="s">
        <v>41</v>
      </c>
      <c r="H652" s="23" t="s">
        <v>42</v>
      </c>
      <c r="I652" t="s">
        <v>378</v>
      </c>
      <c r="J652" t="s">
        <v>92</v>
      </c>
      <c r="K652" s="22">
        <v>1</v>
      </c>
      <c r="L652" s="1">
        <v>42852</v>
      </c>
      <c r="M652" s="22">
        <f>Table3[[#This Row],[Ship Date]]-Table3[[#This Row],[Order Date]]</f>
        <v>4</v>
      </c>
      <c r="N652" s="23" t="s">
        <v>45</v>
      </c>
      <c r="O652" s="23" t="s">
        <v>23</v>
      </c>
      <c r="P652" s="23" t="s">
        <v>299</v>
      </c>
      <c r="Q652" s="23" t="s">
        <v>26</v>
      </c>
      <c r="R652" s="23" t="s">
        <v>4749</v>
      </c>
      <c r="S652" s="33">
        <v>0.2</v>
      </c>
      <c r="T652" s="13">
        <v>3</v>
      </c>
      <c r="U652" s="13">
        <v>1.05</v>
      </c>
      <c r="V652" s="55">
        <f>Table3[[#This Row],[Profit]]/Table3[[#This Row],[Sales]]</f>
        <v>0.35000000000000003</v>
      </c>
    </row>
    <row r="653" spans="1:22" x14ac:dyDescent="0.2">
      <c r="A653">
        <v>652</v>
      </c>
      <c r="B653" t="s">
        <v>9345</v>
      </c>
      <c r="C653" s="1">
        <v>42848</v>
      </c>
      <c r="D653" s="22">
        <f>MONTH(Table3[[#This Row],[Order Date]])</f>
        <v>4</v>
      </c>
      <c r="E653" t="s">
        <v>3643</v>
      </c>
      <c r="F653" t="s">
        <v>591</v>
      </c>
      <c r="G653" s="23" t="s">
        <v>41</v>
      </c>
      <c r="H653" s="23" t="s">
        <v>155</v>
      </c>
      <c r="I653" t="s">
        <v>46</v>
      </c>
      <c r="J653" t="s">
        <v>22</v>
      </c>
      <c r="K653" s="22">
        <v>2</v>
      </c>
      <c r="L653" s="1">
        <v>42851</v>
      </c>
      <c r="M653" s="22">
        <f>Table3[[#This Row],[Ship Date]]-Table3[[#This Row],[Order Date]]</f>
        <v>3</v>
      </c>
      <c r="N653" s="23" t="s">
        <v>169</v>
      </c>
      <c r="O653" s="23" t="s">
        <v>23</v>
      </c>
      <c r="P653" s="23" t="s">
        <v>405</v>
      </c>
      <c r="Q653" s="23" t="s">
        <v>39</v>
      </c>
      <c r="R653" s="23" t="s">
        <v>9346</v>
      </c>
      <c r="S653" s="33">
        <v>0.2</v>
      </c>
      <c r="T653" s="13">
        <v>18.687999999999999</v>
      </c>
      <c r="U653" s="13">
        <v>7.008</v>
      </c>
      <c r="V653" s="55">
        <f>Table3[[#This Row],[Profit]]/Table3[[#This Row],[Sales]]</f>
        <v>0.375</v>
      </c>
    </row>
    <row r="654" spans="1:22" x14ac:dyDescent="0.2">
      <c r="A654">
        <v>653</v>
      </c>
      <c r="B654" t="s">
        <v>9345</v>
      </c>
      <c r="C654" s="1">
        <v>42848</v>
      </c>
      <c r="D654" s="22">
        <f>MONTH(Table3[[#This Row],[Order Date]])</f>
        <v>4</v>
      </c>
      <c r="E654" t="s">
        <v>7249</v>
      </c>
      <c r="F654" t="s">
        <v>7250</v>
      </c>
      <c r="G654" s="23" t="s">
        <v>28</v>
      </c>
      <c r="H654" s="23" t="s">
        <v>58</v>
      </c>
      <c r="I654" t="s">
        <v>46</v>
      </c>
      <c r="J654" t="s">
        <v>22</v>
      </c>
      <c r="K654" s="22">
        <v>3</v>
      </c>
      <c r="L654" s="1">
        <v>42851</v>
      </c>
      <c r="M654" s="22">
        <f>Table3[[#This Row],[Ship Date]]-Table3[[#This Row],[Order Date]]</f>
        <v>3</v>
      </c>
      <c r="N654" s="23" t="s">
        <v>169</v>
      </c>
      <c r="O654" s="23" t="s">
        <v>23</v>
      </c>
      <c r="P654" s="23" t="s">
        <v>405</v>
      </c>
      <c r="Q654" s="23" t="s">
        <v>39</v>
      </c>
      <c r="R654" s="23" t="s">
        <v>9346</v>
      </c>
      <c r="S654" s="33">
        <v>0.2</v>
      </c>
      <c r="T654" s="13">
        <v>11.664</v>
      </c>
      <c r="U654" s="13">
        <v>3.3534000000000002</v>
      </c>
      <c r="V654" s="55">
        <f>Table3[[#This Row],[Profit]]/Table3[[#This Row],[Sales]]</f>
        <v>0.28750000000000003</v>
      </c>
    </row>
    <row r="655" spans="1:22" x14ac:dyDescent="0.2">
      <c r="A655">
        <v>654</v>
      </c>
      <c r="B655" t="s">
        <v>3850</v>
      </c>
      <c r="C655" s="1">
        <v>42849</v>
      </c>
      <c r="D655" s="22">
        <f>MONTH(Table3[[#This Row],[Order Date]])</f>
        <v>4</v>
      </c>
      <c r="E655" t="s">
        <v>3851</v>
      </c>
      <c r="F655" t="s">
        <v>3852</v>
      </c>
      <c r="G655" s="23" t="s">
        <v>41</v>
      </c>
      <c r="H655" s="23" t="s">
        <v>71</v>
      </c>
      <c r="I655" t="s">
        <v>3402</v>
      </c>
      <c r="J655" t="s">
        <v>36</v>
      </c>
      <c r="K655" s="22">
        <v>2</v>
      </c>
      <c r="L655" s="1">
        <v>42852</v>
      </c>
      <c r="M655" s="22">
        <f>Table3[[#This Row],[Ship Date]]-Table3[[#This Row],[Order Date]]</f>
        <v>3</v>
      </c>
      <c r="N655" s="23" t="s">
        <v>169</v>
      </c>
      <c r="O655" s="23" t="s">
        <v>23</v>
      </c>
      <c r="P655" s="23" t="s">
        <v>132</v>
      </c>
      <c r="Q655" s="23" t="s">
        <v>133</v>
      </c>
      <c r="R655" s="23" t="s">
        <v>131</v>
      </c>
      <c r="S655" s="33">
        <v>0.2</v>
      </c>
      <c r="T655" s="13">
        <v>99.28</v>
      </c>
      <c r="U655" s="13">
        <v>12.41</v>
      </c>
      <c r="V655" s="55">
        <f>Table3[[#This Row],[Profit]]/Table3[[#This Row],[Sales]]</f>
        <v>0.125</v>
      </c>
    </row>
    <row r="656" spans="1:22" x14ac:dyDescent="0.2">
      <c r="A656">
        <v>655</v>
      </c>
      <c r="B656" t="s">
        <v>3850</v>
      </c>
      <c r="C656" s="1">
        <v>42849</v>
      </c>
      <c r="D656" s="22">
        <f>MONTH(Table3[[#This Row],[Order Date]])</f>
        <v>4</v>
      </c>
      <c r="E656" t="s">
        <v>3157</v>
      </c>
      <c r="F656" t="s">
        <v>3158</v>
      </c>
      <c r="G656" s="23" t="s">
        <v>41</v>
      </c>
      <c r="H656" s="23" t="s">
        <v>68</v>
      </c>
      <c r="I656" t="s">
        <v>3402</v>
      </c>
      <c r="J656" t="s">
        <v>36</v>
      </c>
      <c r="K656" s="22">
        <v>2</v>
      </c>
      <c r="L656" s="1">
        <v>42852</v>
      </c>
      <c r="M656" s="22">
        <f>Table3[[#This Row],[Ship Date]]-Table3[[#This Row],[Order Date]]</f>
        <v>3</v>
      </c>
      <c r="N656" s="23" t="s">
        <v>169</v>
      </c>
      <c r="O656" s="23" t="s">
        <v>23</v>
      </c>
      <c r="P656" s="23" t="s">
        <v>132</v>
      </c>
      <c r="Q656" s="23" t="s">
        <v>133</v>
      </c>
      <c r="R656" s="23" t="s">
        <v>131</v>
      </c>
      <c r="S656" s="33">
        <v>0.7</v>
      </c>
      <c r="T656" s="13">
        <v>1.1879999999999999</v>
      </c>
      <c r="U656" s="13">
        <v>-0.99</v>
      </c>
      <c r="V656" s="55">
        <f>Table3[[#This Row],[Profit]]/Table3[[#This Row],[Sales]]</f>
        <v>-0.83333333333333337</v>
      </c>
    </row>
    <row r="657" spans="1:22" x14ac:dyDescent="0.2">
      <c r="A657">
        <v>656</v>
      </c>
      <c r="B657" t="s">
        <v>3850</v>
      </c>
      <c r="C657" s="1">
        <v>42849</v>
      </c>
      <c r="D657" s="22">
        <f>MONTH(Table3[[#This Row],[Order Date]])</f>
        <v>4</v>
      </c>
      <c r="E657" t="s">
        <v>3853</v>
      </c>
      <c r="F657" t="s">
        <v>3854</v>
      </c>
      <c r="G657" s="23" t="s">
        <v>41</v>
      </c>
      <c r="H657" s="23" t="s">
        <v>68</v>
      </c>
      <c r="I657" t="s">
        <v>3402</v>
      </c>
      <c r="J657" t="s">
        <v>36</v>
      </c>
      <c r="K657" s="22">
        <v>2</v>
      </c>
      <c r="L657" s="1">
        <v>42852</v>
      </c>
      <c r="M657" s="22">
        <f>Table3[[#This Row],[Ship Date]]-Table3[[#This Row],[Order Date]]</f>
        <v>3</v>
      </c>
      <c r="N657" s="23" t="s">
        <v>169</v>
      </c>
      <c r="O657" s="23" t="s">
        <v>23</v>
      </c>
      <c r="P657" s="23" t="s">
        <v>132</v>
      </c>
      <c r="Q657" s="23" t="s">
        <v>133</v>
      </c>
      <c r="R657" s="23" t="s">
        <v>131</v>
      </c>
      <c r="S657" s="33">
        <v>0.7</v>
      </c>
      <c r="T657" s="13">
        <v>7.5179999999999998</v>
      </c>
      <c r="U657" s="13">
        <v>-5.7637999999999998</v>
      </c>
      <c r="V657" s="55">
        <f>Table3[[#This Row],[Profit]]/Table3[[#This Row],[Sales]]</f>
        <v>-0.76666666666666661</v>
      </c>
    </row>
    <row r="658" spans="1:22" x14ac:dyDescent="0.2">
      <c r="A658">
        <v>657</v>
      </c>
      <c r="B658" t="s">
        <v>6109</v>
      </c>
      <c r="C658" s="1">
        <v>42849</v>
      </c>
      <c r="D658" s="22">
        <f>MONTH(Table3[[#This Row],[Order Date]])</f>
        <v>4</v>
      </c>
      <c r="E658" t="s">
        <v>3658</v>
      </c>
      <c r="F658" t="s">
        <v>3659</v>
      </c>
      <c r="G658" s="23" t="s">
        <v>41</v>
      </c>
      <c r="H658" s="23" t="s">
        <v>53</v>
      </c>
      <c r="I658" t="s">
        <v>2118</v>
      </c>
      <c r="J658" t="s">
        <v>36</v>
      </c>
      <c r="K658" s="22">
        <v>2</v>
      </c>
      <c r="L658" s="1">
        <v>42855</v>
      </c>
      <c r="M658" s="22">
        <f>Table3[[#This Row],[Ship Date]]-Table3[[#This Row],[Order Date]]</f>
        <v>6</v>
      </c>
      <c r="N658" s="23" t="s">
        <v>45</v>
      </c>
      <c r="O658" s="23" t="s">
        <v>23</v>
      </c>
      <c r="P658" s="23" t="s">
        <v>48</v>
      </c>
      <c r="Q658" s="23" t="s">
        <v>26</v>
      </c>
      <c r="R658" s="23" t="s">
        <v>1345</v>
      </c>
      <c r="S658" s="33">
        <v>0.2</v>
      </c>
      <c r="T658" s="13">
        <v>113.568</v>
      </c>
      <c r="U658" s="13">
        <v>-21.294</v>
      </c>
      <c r="V658" s="55">
        <f>Table3[[#This Row],[Profit]]/Table3[[#This Row],[Sales]]</f>
        <v>-0.1875</v>
      </c>
    </row>
    <row r="659" spans="1:22" x14ac:dyDescent="0.2">
      <c r="A659">
        <v>658</v>
      </c>
      <c r="B659" t="s">
        <v>7542</v>
      </c>
      <c r="C659" s="1">
        <v>42849</v>
      </c>
      <c r="D659" s="22">
        <f>MONTH(Table3[[#This Row],[Order Date]])</f>
        <v>4</v>
      </c>
      <c r="E659" t="s">
        <v>3822</v>
      </c>
      <c r="F659" t="s">
        <v>3823</v>
      </c>
      <c r="G659" s="23" t="s">
        <v>41</v>
      </c>
      <c r="H659" s="23" t="s">
        <v>240</v>
      </c>
      <c r="I659" t="s">
        <v>3319</v>
      </c>
      <c r="J659" t="s">
        <v>92</v>
      </c>
      <c r="K659" s="22">
        <v>1</v>
      </c>
      <c r="L659" s="1">
        <v>42853</v>
      </c>
      <c r="M659" s="22">
        <f>Table3[[#This Row],[Ship Date]]-Table3[[#This Row],[Order Date]]</f>
        <v>4</v>
      </c>
      <c r="N659" s="23" t="s">
        <v>45</v>
      </c>
      <c r="O659" s="23" t="s">
        <v>23</v>
      </c>
      <c r="P659" s="23" t="s">
        <v>38</v>
      </c>
      <c r="Q659" s="23" t="s">
        <v>39</v>
      </c>
      <c r="R659" s="23" t="s">
        <v>7543</v>
      </c>
      <c r="S659" s="33">
        <v>0</v>
      </c>
      <c r="T659" s="13">
        <v>1.81</v>
      </c>
      <c r="U659" s="13">
        <v>0.65159999999999996</v>
      </c>
      <c r="V659" s="55">
        <f>Table3[[#This Row],[Profit]]/Table3[[#This Row],[Sales]]</f>
        <v>0.36</v>
      </c>
    </row>
    <row r="660" spans="1:22" x14ac:dyDescent="0.2">
      <c r="A660">
        <v>659</v>
      </c>
      <c r="B660" t="s">
        <v>7838</v>
      </c>
      <c r="C660" s="1">
        <v>42849</v>
      </c>
      <c r="D660" s="22">
        <f>MONTH(Table3[[#This Row],[Order Date]])</f>
        <v>4</v>
      </c>
      <c r="E660" t="s">
        <v>1064</v>
      </c>
      <c r="F660" t="s">
        <v>1065</v>
      </c>
      <c r="G660" s="23" t="s">
        <v>64</v>
      </c>
      <c r="H660" s="23" t="s">
        <v>65</v>
      </c>
      <c r="I660" t="s">
        <v>4719</v>
      </c>
      <c r="J660" t="s">
        <v>22</v>
      </c>
      <c r="K660" s="22">
        <v>10</v>
      </c>
      <c r="L660" s="1">
        <v>42850</v>
      </c>
      <c r="M660" s="22">
        <f>Table3[[#This Row],[Ship Date]]-Table3[[#This Row],[Order Date]]</f>
        <v>1</v>
      </c>
      <c r="N660" s="23" t="s">
        <v>169</v>
      </c>
      <c r="O660" s="23" t="s">
        <v>23</v>
      </c>
      <c r="P660" s="23" t="s">
        <v>277</v>
      </c>
      <c r="Q660" s="23" t="s">
        <v>39</v>
      </c>
      <c r="R660" s="23" t="s">
        <v>1613</v>
      </c>
      <c r="S660" s="33">
        <v>0.2</v>
      </c>
      <c r="T660" s="13">
        <v>552</v>
      </c>
      <c r="U660" s="13">
        <v>34.5</v>
      </c>
      <c r="V660" s="55">
        <f>Table3[[#This Row],[Profit]]/Table3[[#This Row],[Sales]]</f>
        <v>6.25E-2</v>
      </c>
    </row>
    <row r="661" spans="1:22" x14ac:dyDescent="0.2">
      <c r="A661">
        <v>660</v>
      </c>
      <c r="B661" t="s">
        <v>7860</v>
      </c>
      <c r="C661" s="1">
        <v>42849</v>
      </c>
      <c r="D661" s="22">
        <f>MONTH(Table3[[#This Row],[Order Date]])</f>
        <v>4</v>
      </c>
      <c r="E661" t="s">
        <v>3743</v>
      </c>
      <c r="F661" t="s">
        <v>3744</v>
      </c>
      <c r="G661" s="23" t="s">
        <v>64</v>
      </c>
      <c r="H661" s="23" t="s">
        <v>144</v>
      </c>
      <c r="I661" t="s">
        <v>2361</v>
      </c>
      <c r="J661" t="s">
        <v>36</v>
      </c>
      <c r="K661" s="22">
        <v>2</v>
      </c>
      <c r="L661" s="1">
        <v>42852</v>
      </c>
      <c r="M661" s="22">
        <f>Table3[[#This Row],[Ship Date]]-Table3[[#This Row],[Order Date]]</f>
        <v>3</v>
      </c>
      <c r="N661" s="23" t="s">
        <v>169</v>
      </c>
      <c r="O661" s="23" t="s">
        <v>23</v>
      </c>
      <c r="P661" s="23" t="s">
        <v>1235</v>
      </c>
      <c r="Q661" s="23" t="s">
        <v>133</v>
      </c>
      <c r="R661" s="23" t="s">
        <v>3161</v>
      </c>
      <c r="S661" s="33">
        <v>0</v>
      </c>
      <c r="T661" s="13">
        <v>69.98</v>
      </c>
      <c r="U661" s="13">
        <v>4.8986000000000001</v>
      </c>
      <c r="V661" s="55">
        <f>Table3[[#This Row],[Profit]]/Table3[[#This Row],[Sales]]</f>
        <v>6.9999999999999993E-2</v>
      </c>
    </row>
    <row r="662" spans="1:22" x14ac:dyDescent="0.2">
      <c r="A662">
        <v>661</v>
      </c>
      <c r="B662" t="s">
        <v>9109</v>
      </c>
      <c r="C662" s="1">
        <v>42849</v>
      </c>
      <c r="D662" s="22">
        <f>MONTH(Table3[[#This Row],[Order Date]])</f>
        <v>4</v>
      </c>
      <c r="E662" t="s">
        <v>3968</v>
      </c>
      <c r="F662" t="s">
        <v>3969</v>
      </c>
      <c r="G662" s="23" t="s">
        <v>41</v>
      </c>
      <c r="H662" s="23" t="s">
        <v>68</v>
      </c>
      <c r="I662" t="s">
        <v>4505</v>
      </c>
      <c r="J662" t="s">
        <v>22</v>
      </c>
      <c r="K662" s="22">
        <v>5</v>
      </c>
      <c r="L662" s="1">
        <v>42855</v>
      </c>
      <c r="M662" s="22">
        <f>Table3[[#This Row],[Ship Date]]-Table3[[#This Row],[Order Date]]</f>
        <v>6</v>
      </c>
      <c r="N662" s="23" t="s">
        <v>45</v>
      </c>
      <c r="O662" s="23" t="s">
        <v>23</v>
      </c>
      <c r="P662" s="23" t="s">
        <v>189</v>
      </c>
      <c r="Q662" s="23" t="s">
        <v>95</v>
      </c>
      <c r="R662" s="23" t="s">
        <v>271</v>
      </c>
      <c r="S662" s="33">
        <v>0.8</v>
      </c>
      <c r="T662" s="13">
        <v>10.43</v>
      </c>
      <c r="U662" s="13">
        <v>-18.252500000000001</v>
      </c>
      <c r="V662" s="55">
        <f>Table3[[#This Row],[Profit]]/Table3[[#This Row],[Sales]]</f>
        <v>-1.7500000000000002</v>
      </c>
    </row>
    <row r="663" spans="1:22" x14ac:dyDescent="0.2">
      <c r="A663">
        <v>662</v>
      </c>
      <c r="B663" t="s">
        <v>9109</v>
      </c>
      <c r="C663" s="1">
        <v>42849</v>
      </c>
      <c r="D663" s="22">
        <f>MONTH(Table3[[#This Row],[Order Date]])</f>
        <v>4</v>
      </c>
      <c r="E663" t="s">
        <v>304</v>
      </c>
      <c r="F663" t="s">
        <v>305</v>
      </c>
      <c r="G663" s="23" t="s">
        <v>41</v>
      </c>
      <c r="H663" s="23" t="s">
        <v>53</v>
      </c>
      <c r="I663" t="s">
        <v>4505</v>
      </c>
      <c r="J663" t="s">
        <v>22</v>
      </c>
      <c r="K663" s="22">
        <v>1</v>
      </c>
      <c r="L663" s="1">
        <v>42855</v>
      </c>
      <c r="M663" s="22">
        <f>Table3[[#This Row],[Ship Date]]-Table3[[#This Row],[Order Date]]</f>
        <v>6</v>
      </c>
      <c r="N663" s="23" t="s">
        <v>45</v>
      </c>
      <c r="O663" s="23" t="s">
        <v>23</v>
      </c>
      <c r="P663" s="23" t="s">
        <v>189</v>
      </c>
      <c r="Q663" s="23" t="s">
        <v>95</v>
      </c>
      <c r="R663" s="23" t="s">
        <v>271</v>
      </c>
      <c r="S663" s="33">
        <v>0.2</v>
      </c>
      <c r="T663" s="13">
        <v>72.784000000000006</v>
      </c>
      <c r="U663" s="13">
        <v>-18.196000000000002</v>
      </c>
      <c r="V663" s="55">
        <f>Table3[[#This Row],[Profit]]/Table3[[#This Row],[Sales]]</f>
        <v>-0.25</v>
      </c>
    </row>
    <row r="664" spans="1:22" x14ac:dyDescent="0.2">
      <c r="A664">
        <v>663</v>
      </c>
      <c r="B664" t="s">
        <v>7224</v>
      </c>
      <c r="C664" s="1">
        <v>42850</v>
      </c>
      <c r="D664" s="22">
        <f>MONTH(Table3[[#This Row],[Order Date]])</f>
        <v>4</v>
      </c>
      <c r="E664" t="s">
        <v>1811</v>
      </c>
      <c r="F664" t="s">
        <v>1812</v>
      </c>
      <c r="G664" s="23" t="s">
        <v>41</v>
      </c>
      <c r="H664" s="23" t="s">
        <v>68</v>
      </c>
      <c r="I664" t="s">
        <v>3471</v>
      </c>
      <c r="J664" t="s">
        <v>22</v>
      </c>
      <c r="K664" s="22">
        <v>2</v>
      </c>
      <c r="L664" s="1">
        <v>42854</v>
      </c>
      <c r="M664" s="22">
        <f>Table3[[#This Row],[Ship Date]]-Table3[[#This Row],[Order Date]]</f>
        <v>4</v>
      </c>
      <c r="N664" s="23" t="s">
        <v>20</v>
      </c>
      <c r="O664" s="23" t="s">
        <v>23</v>
      </c>
      <c r="P664" s="23" t="s">
        <v>38</v>
      </c>
      <c r="Q664" s="23" t="s">
        <v>39</v>
      </c>
      <c r="R664" s="23" t="s">
        <v>37</v>
      </c>
      <c r="S664" s="33">
        <v>0.2</v>
      </c>
      <c r="T664" s="13">
        <v>13.904</v>
      </c>
      <c r="U664" s="13">
        <v>4.5187999999999997</v>
      </c>
      <c r="V664" s="55">
        <f>Table3[[#This Row],[Profit]]/Table3[[#This Row],[Sales]]</f>
        <v>0.32499999999999996</v>
      </c>
    </row>
    <row r="665" spans="1:22" x14ac:dyDescent="0.2">
      <c r="A665">
        <v>664</v>
      </c>
      <c r="B665" t="s">
        <v>7246</v>
      </c>
      <c r="C665" s="1">
        <v>42850</v>
      </c>
      <c r="D665" s="22">
        <f>MONTH(Table3[[#This Row],[Order Date]])</f>
        <v>4</v>
      </c>
      <c r="E665" t="s">
        <v>1754</v>
      </c>
      <c r="F665" t="s">
        <v>1755</v>
      </c>
      <c r="G665" s="23" t="s">
        <v>41</v>
      </c>
      <c r="H665" s="23" t="s">
        <v>61</v>
      </c>
      <c r="I665" t="s">
        <v>378</v>
      </c>
      <c r="J665" t="s">
        <v>92</v>
      </c>
      <c r="K665" s="22">
        <v>9</v>
      </c>
      <c r="L665" s="1">
        <v>42851</v>
      </c>
      <c r="M665" s="22">
        <f>Table3[[#This Row],[Ship Date]]-Table3[[#This Row],[Order Date]]</f>
        <v>1</v>
      </c>
      <c r="N665" s="23" t="s">
        <v>169</v>
      </c>
      <c r="O665" s="23" t="s">
        <v>23</v>
      </c>
      <c r="P665" s="23" t="s">
        <v>299</v>
      </c>
      <c r="Q665" s="23" t="s">
        <v>26</v>
      </c>
      <c r="R665" s="23" t="s">
        <v>5035</v>
      </c>
      <c r="S665" s="33">
        <v>0.2</v>
      </c>
      <c r="T665" s="13">
        <v>42.048000000000002</v>
      </c>
      <c r="U665" s="13">
        <v>5.2560000000000002</v>
      </c>
      <c r="V665" s="55">
        <f>Table3[[#This Row],[Profit]]/Table3[[#This Row],[Sales]]</f>
        <v>0.125</v>
      </c>
    </row>
    <row r="666" spans="1:22" x14ac:dyDescent="0.2">
      <c r="A666">
        <v>665</v>
      </c>
      <c r="B666" t="s">
        <v>7246</v>
      </c>
      <c r="C666" s="1">
        <v>42850</v>
      </c>
      <c r="D666" s="22">
        <f>MONTH(Table3[[#This Row],[Order Date]])</f>
        <v>4</v>
      </c>
      <c r="E666" t="s">
        <v>771</v>
      </c>
      <c r="F666" t="s">
        <v>772</v>
      </c>
      <c r="G666" s="23" t="s">
        <v>41</v>
      </c>
      <c r="H666" s="23" t="s">
        <v>61</v>
      </c>
      <c r="I666" t="s">
        <v>378</v>
      </c>
      <c r="J666" t="s">
        <v>92</v>
      </c>
      <c r="K666" s="22">
        <v>5</v>
      </c>
      <c r="L666" s="1">
        <v>42851</v>
      </c>
      <c r="M666" s="22">
        <f>Table3[[#This Row],[Ship Date]]-Table3[[#This Row],[Order Date]]</f>
        <v>1</v>
      </c>
      <c r="N666" s="23" t="s">
        <v>169</v>
      </c>
      <c r="O666" s="23" t="s">
        <v>23</v>
      </c>
      <c r="P666" s="23" t="s">
        <v>299</v>
      </c>
      <c r="Q666" s="23" t="s">
        <v>26</v>
      </c>
      <c r="R666" s="23" t="s">
        <v>5035</v>
      </c>
      <c r="S666" s="33">
        <v>0.2</v>
      </c>
      <c r="T666" s="13">
        <v>67.92</v>
      </c>
      <c r="U666" s="13">
        <v>6.7919999999999998</v>
      </c>
      <c r="V666" s="55">
        <f>Table3[[#This Row],[Profit]]/Table3[[#This Row],[Sales]]</f>
        <v>9.9999999999999992E-2</v>
      </c>
    </row>
    <row r="667" spans="1:22" x14ac:dyDescent="0.2">
      <c r="A667">
        <v>666</v>
      </c>
      <c r="B667" t="s">
        <v>7476</v>
      </c>
      <c r="C667" s="1">
        <v>42850</v>
      </c>
      <c r="D667" s="22">
        <f>MONTH(Table3[[#This Row],[Order Date]])</f>
        <v>4</v>
      </c>
      <c r="E667" t="s">
        <v>125</v>
      </c>
      <c r="F667" t="s">
        <v>126</v>
      </c>
      <c r="G667" s="23" t="s">
        <v>41</v>
      </c>
      <c r="H667" s="23" t="s">
        <v>61</v>
      </c>
      <c r="I667" t="s">
        <v>3018</v>
      </c>
      <c r="J667" t="s">
        <v>22</v>
      </c>
      <c r="K667" s="22">
        <v>4</v>
      </c>
      <c r="L667" s="1">
        <v>42854</v>
      </c>
      <c r="M667" s="22">
        <f>Table3[[#This Row],[Ship Date]]-Table3[[#This Row],[Order Date]]</f>
        <v>4</v>
      </c>
      <c r="N667" s="23" t="s">
        <v>45</v>
      </c>
      <c r="O667" s="23" t="s">
        <v>23</v>
      </c>
      <c r="P667" s="23" t="s">
        <v>277</v>
      </c>
      <c r="Q667" s="23" t="s">
        <v>39</v>
      </c>
      <c r="R667" s="23" t="s">
        <v>7273</v>
      </c>
      <c r="S667" s="33">
        <v>0.2</v>
      </c>
      <c r="T667" s="13">
        <v>8.8960000000000008</v>
      </c>
      <c r="U667" s="13">
        <v>0.66720000000000002</v>
      </c>
      <c r="V667" s="55">
        <f>Table3[[#This Row],[Profit]]/Table3[[#This Row],[Sales]]</f>
        <v>7.4999999999999997E-2</v>
      </c>
    </row>
    <row r="668" spans="1:22" x14ac:dyDescent="0.2">
      <c r="A668">
        <v>667</v>
      </c>
      <c r="B668" t="s">
        <v>8377</v>
      </c>
      <c r="C668" s="1">
        <v>42850</v>
      </c>
      <c r="D668" s="22">
        <f>MONTH(Table3[[#This Row],[Order Date]])</f>
        <v>4</v>
      </c>
      <c r="E668" t="s">
        <v>294</v>
      </c>
      <c r="F668" t="s">
        <v>295</v>
      </c>
      <c r="G668" s="23" t="s">
        <v>41</v>
      </c>
      <c r="H668" s="23" t="s">
        <v>82</v>
      </c>
      <c r="I668" t="s">
        <v>2396</v>
      </c>
      <c r="J668" t="s">
        <v>22</v>
      </c>
      <c r="K668" s="22">
        <v>3</v>
      </c>
      <c r="L668" s="1">
        <v>42857</v>
      </c>
      <c r="M668" s="22">
        <f>Table3[[#This Row],[Ship Date]]-Table3[[#This Row],[Order Date]]</f>
        <v>7</v>
      </c>
      <c r="N668" s="23" t="s">
        <v>45</v>
      </c>
      <c r="O668" s="23" t="s">
        <v>23</v>
      </c>
      <c r="P668" s="23" t="s">
        <v>38</v>
      </c>
      <c r="Q668" s="23" t="s">
        <v>39</v>
      </c>
      <c r="R668" s="23" t="s">
        <v>37</v>
      </c>
      <c r="S668" s="33">
        <v>0</v>
      </c>
      <c r="T668" s="13">
        <v>19.05</v>
      </c>
      <c r="U668" s="13">
        <v>8.7629999999999999</v>
      </c>
      <c r="V668" s="55">
        <f>Table3[[#This Row],[Profit]]/Table3[[#This Row],[Sales]]</f>
        <v>0.45999999999999996</v>
      </c>
    </row>
    <row r="669" spans="1:22" x14ac:dyDescent="0.2">
      <c r="A669">
        <v>668</v>
      </c>
      <c r="B669" t="s">
        <v>8377</v>
      </c>
      <c r="C669" s="1">
        <v>42850</v>
      </c>
      <c r="D669" s="22">
        <f>MONTH(Table3[[#This Row],[Order Date]])</f>
        <v>4</v>
      </c>
      <c r="E669" t="s">
        <v>3449</v>
      </c>
      <c r="F669" t="s">
        <v>3450</v>
      </c>
      <c r="G669" s="23" t="s">
        <v>41</v>
      </c>
      <c r="H669" s="23" t="s">
        <v>68</v>
      </c>
      <c r="I669" t="s">
        <v>2396</v>
      </c>
      <c r="J669" t="s">
        <v>22</v>
      </c>
      <c r="K669" s="22">
        <v>3</v>
      </c>
      <c r="L669" s="1">
        <v>42857</v>
      </c>
      <c r="M669" s="22">
        <f>Table3[[#This Row],[Ship Date]]-Table3[[#This Row],[Order Date]]</f>
        <v>7</v>
      </c>
      <c r="N669" s="23" t="s">
        <v>45</v>
      </c>
      <c r="O669" s="23" t="s">
        <v>23</v>
      </c>
      <c r="P669" s="23" t="s">
        <v>38</v>
      </c>
      <c r="Q669" s="23" t="s">
        <v>39</v>
      </c>
      <c r="R669" s="23" t="s">
        <v>37</v>
      </c>
      <c r="S669" s="33">
        <v>0.2</v>
      </c>
      <c r="T669" s="13">
        <v>73.343999999999994</v>
      </c>
      <c r="U669" s="13">
        <v>27.504000000000001</v>
      </c>
      <c r="V669" s="55">
        <f>Table3[[#This Row],[Profit]]/Table3[[#This Row],[Sales]]</f>
        <v>0.37500000000000006</v>
      </c>
    </row>
    <row r="670" spans="1:22" x14ac:dyDescent="0.2">
      <c r="A670">
        <v>669</v>
      </c>
      <c r="B670" t="s">
        <v>8549</v>
      </c>
      <c r="C670" s="1">
        <v>42850</v>
      </c>
      <c r="D670" s="22">
        <f>MONTH(Table3[[#This Row],[Order Date]])</f>
        <v>4</v>
      </c>
      <c r="E670" t="s">
        <v>1249</v>
      </c>
      <c r="F670" t="s">
        <v>1250</v>
      </c>
      <c r="G670" s="23" t="s">
        <v>64</v>
      </c>
      <c r="H670" s="23" t="s">
        <v>144</v>
      </c>
      <c r="I670" t="s">
        <v>4827</v>
      </c>
      <c r="J670" t="s">
        <v>22</v>
      </c>
      <c r="K670" s="22">
        <v>3</v>
      </c>
      <c r="L670" s="1">
        <v>42852</v>
      </c>
      <c r="M670" s="22">
        <f>Table3[[#This Row],[Ship Date]]-Table3[[#This Row],[Order Date]]</f>
        <v>2</v>
      </c>
      <c r="N670" s="23" t="s">
        <v>20</v>
      </c>
      <c r="O670" s="23" t="s">
        <v>23</v>
      </c>
      <c r="P670" s="23" t="s">
        <v>38</v>
      </c>
      <c r="Q670" s="23" t="s">
        <v>39</v>
      </c>
      <c r="R670" s="23" t="s">
        <v>114</v>
      </c>
      <c r="S670" s="33">
        <v>0</v>
      </c>
      <c r="T670" s="13">
        <v>107.97</v>
      </c>
      <c r="U670" s="13">
        <v>22.6737</v>
      </c>
      <c r="V670" s="55">
        <f>Table3[[#This Row],[Profit]]/Table3[[#This Row],[Sales]]</f>
        <v>0.21</v>
      </c>
    </row>
    <row r="671" spans="1:22" x14ac:dyDescent="0.2">
      <c r="A671">
        <v>670</v>
      </c>
      <c r="B671" t="s">
        <v>9565</v>
      </c>
      <c r="C671" s="1">
        <v>42850</v>
      </c>
      <c r="D671" s="22">
        <f>MONTH(Table3[[#This Row],[Order Date]])</f>
        <v>4</v>
      </c>
      <c r="E671" t="s">
        <v>950</v>
      </c>
      <c r="F671" t="s">
        <v>951</v>
      </c>
      <c r="G671" s="23" t="s">
        <v>28</v>
      </c>
      <c r="H671" s="23" t="s">
        <v>29</v>
      </c>
      <c r="I671" t="s">
        <v>1607</v>
      </c>
      <c r="J671" t="s">
        <v>22</v>
      </c>
      <c r="K671" s="22">
        <v>7</v>
      </c>
      <c r="L671" s="1">
        <v>42852</v>
      </c>
      <c r="M671" s="22">
        <f>Table3[[#This Row],[Ship Date]]-Table3[[#This Row],[Order Date]]</f>
        <v>2</v>
      </c>
      <c r="N671" s="23" t="s">
        <v>20</v>
      </c>
      <c r="O671" s="23" t="s">
        <v>23</v>
      </c>
      <c r="P671" s="23" t="s">
        <v>38</v>
      </c>
      <c r="Q671" s="23" t="s">
        <v>39</v>
      </c>
      <c r="R671" s="23" t="s">
        <v>37</v>
      </c>
      <c r="S671" s="33">
        <v>0.15</v>
      </c>
      <c r="T671" s="13">
        <v>344.98099999999999</v>
      </c>
      <c r="U671" s="13">
        <v>28.4102</v>
      </c>
      <c r="V671" s="55">
        <f>Table3[[#This Row],[Profit]]/Table3[[#This Row],[Sales]]</f>
        <v>8.2352941176470587E-2</v>
      </c>
    </row>
    <row r="672" spans="1:22" x14ac:dyDescent="0.2">
      <c r="A672">
        <v>671</v>
      </c>
      <c r="B672" t="s">
        <v>3296</v>
      </c>
      <c r="C672" s="1">
        <v>42851</v>
      </c>
      <c r="D672" s="22">
        <f>MONTH(Table3[[#This Row],[Order Date]])</f>
        <v>4</v>
      </c>
      <c r="E672" t="s">
        <v>1803</v>
      </c>
      <c r="F672" t="s">
        <v>1804</v>
      </c>
      <c r="G672" s="23" t="s">
        <v>28</v>
      </c>
      <c r="H672" s="23" t="s">
        <v>58</v>
      </c>
      <c r="I672" t="s">
        <v>3297</v>
      </c>
      <c r="J672" t="s">
        <v>22</v>
      </c>
      <c r="K672" s="22">
        <v>1</v>
      </c>
      <c r="L672" s="1">
        <v>42852</v>
      </c>
      <c r="M672" s="22">
        <f>Table3[[#This Row],[Ship Date]]-Table3[[#This Row],[Order Date]]</f>
        <v>1</v>
      </c>
      <c r="N672" s="23" t="s">
        <v>169</v>
      </c>
      <c r="O672" s="23" t="s">
        <v>23</v>
      </c>
      <c r="P672" s="23" t="s">
        <v>94</v>
      </c>
      <c r="Q672" s="23" t="s">
        <v>95</v>
      </c>
      <c r="R672" s="23" t="s">
        <v>93</v>
      </c>
      <c r="S672" s="33">
        <v>0.6</v>
      </c>
      <c r="T672" s="13">
        <v>1.988</v>
      </c>
      <c r="U672" s="13">
        <v>-1.4413</v>
      </c>
      <c r="V672" s="55">
        <f>Table3[[#This Row],[Profit]]/Table3[[#This Row],[Sales]]</f>
        <v>-0.72499999999999998</v>
      </c>
    </row>
    <row r="673" spans="1:22" x14ac:dyDescent="0.2">
      <c r="A673">
        <v>672</v>
      </c>
      <c r="B673" t="s">
        <v>5487</v>
      </c>
      <c r="C673" s="1">
        <v>42851</v>
      </c>
      <c r="D673" s="22">
        <f>MONTH(Table3[[#This Row],[Order Date]])</f>
        <v>4</v>
      </c>
      <c r="E673" t="s">
        <v>3410</v>
      </c>
      <c r="F673" t="s">
        <v>3411</v>
      </c>
      <c r="G673" s="23" t="s">
        <v>41</v>
      </c>
      <c r="H673" s="23" t="s">
        <v>82</v>
      </c>
      <c r="I673" t="s">
        <v>1351</v>
      </c>
      <c r="J673" t="s">
        <v>92</v>
      </c>
      <c r="K673" s="22">
        <v>3</v>
      </c>
      <c r="L673" s="1">
        <v>42856</v>
      </c>
      <c r="M673" s="22">
        <f>Table3[[#This Row],[Ship Date]]-Table3[[#This Row],[Order Date]]</f>
        <v>5</v>
      </c>
      <c r="N673" s="23" t="s">
        <v>45</v>
      </c>
      <c r="O673" s="23" t="s">
        <v>23</v>
      </c>
      <c r="P673" s="23" t="s">
        <v>87</v>
      </c>
      <c r="Q673" s="23" t="s">
        <v>39</v>
      </c>
      <c r="R673" s="23" t="s">
        <v>86</v>
      </c>
      <c r="S673" s="33">
        <v>0</v>
      </c>
      <c r="T673" s="13">
        <v>20.34</v>
      </c>
      <c r="U673" s="13">
        <v>9.3564000000000007</v>
      </c>
      <c r="V673" s="55">
        <f>Table3[[#This Row],[Profit]]/Table3[[#This Row],[Sales]]</f>
        <v>0.46</v>
      </c>
    </row>
    <row r="674" spans="1:22" x14ac:dyDescent="0.2">
      <c r="A674">
        <v>673</v>
      </c>
      <c r="B674" t="s">
        <v>5487</v>
      </c>
      <c r="C674" s="1">
        <v>42851</v>
      </c>
      <c r="D674" s="22">
        <f>MONTH(Table3[[#This Row],[Order Date]])</f>
        <v>4</v>
      </c>
      <c r="E674" t="s">
        <v>3959</v>
      </c>
      <c r="F674" t="s">
        <v>3960</v>
      </c>
      <c r="G674" s="23" t="s">
        <v>41</v>
      </c>
      <c r="H674" s="23" t="s">
        <v>42</v>
      </c>
      <c r="I674" t="s">
        <v>1351</v>
      </c>
      <c r="J674" t="s">
        <v>92</v>
      </c>
      <c r="K674" s="22">
        <v>8</v>
      </c>
      <c r="L674" s="1">
        <v>42856</v>
      </c>
      <c r="M674" s="22">
        <f>Table3[[#This Row],[Ship Date]]-Table3[[#This Row],[Order Date]]</f>
        <v>5</v>
      </c>
      <c r="N674" s="23" t="s">
        <v>45</v>
      </c>
      <c r="O674" s="23" t="s">
        <v>23</v>
      </c>
      <c r="P674" s="23" t="s">
        <v>87</v>
      </c>
      <c r="Q674" s="23" t="s">
        <v>39</v>
      </c>
      <c r="R674" s="23" t="s">
        <v>86</v>
      </c>
      <c r="S674" s="33">
        <v>0</v>
      </c>
      <c r="T674" s="13">
        <v>39.28</v>
      </c>
      <c r="U674" s="13">
        <v>19.247199999999999</v>
      </c>
      <c r="V674" s="55">
        <f>Table3[[#This Row],[Profit]]/Table3[[#This Row],[Sales]]</f>
        <v>0.49</v>
      </c>
    </row>
    <row r="675" spans="1:22" x14ac:dyDescent="0.2">
      <c r="A675">
        <v>674</v>
      </c>
      <c r="B675" t="s">
        <v>5629</v>
      </c>
      <c r="C675" s="1">
        <v>42852</v>
      </c>
      <c r="D675" s="22">
        <f>MONTH(Table3[[#This Row],[Order Date]])</f>
        <v>4</v>
      </c>
      <c r="E675" t="s">
        <v>1128</v>
      </c>
      <c r="F675" t="s">
        <v>1129</v>
      </c>
      <c r="G675" s="23" t="s">
        <v>41</v>
      </c>
      <c r="H675" s="23" t="s">
        <v>42</v>
      </c>
      <c r="I675" t="s">
        <v>427</v>
      </c>
      <c r="J675" t="s">
        <v>36</v>
      </c>
      <c r="K675" s="22">
        <v>4</v>
      </c>
      <c r="L675" s="1">
        <v>42856</v>
      </c>
      <c r="M675" s="22">
        <f>Table3[[#This Row],[Ship Date]]-Table3[[#This Row],[Order Date]]</f>
        <v>4</v>
      </c>
      <c r="N675" s="23" t="s">
        <v>45</v>
      </c>
      <c r="O675" s="23" t="s">
        <v>23</v>
      </c>
      <c r="P675" s="23" t="s">
        <v>94</v>
      </c>
      <c r="Q675" s="23" t="s">
        <v>95</v>
      </c>
      <c r="R675" s="23" t="s">
        <v>93</v>
      </c>
      <c r="S675" s="33">
        <v>0.2</v>
      </c>
      <c r="T675" s="13">
        <v>33.119999999999997</v>
      </c>
      <c r="U675" s="13">
        <v>11.592000000000001</v>
      </c>
      <c r="V675" s="55">
        <f>Table3[[#This Row],[Profit]]/Table3[[#This Row],[Sales]]</f>
        <v>0.35000000000000003</v>
      </c>
    </row>
    <row r="676" spans="1:22" x14ac:dyDescent="0.2">
      <c r="A676">
        <v>675</v>
      </c>
      <c r="B676" t="s">
        <v>5629</v>
      </c>
      <c r="C676" s="1">
        <v>42852</v>
      </c>
      <c r="D676" s="22">
        <f>MONTH(Table3[[#This Row],[Order Date]])</f>
        <v>4</v>
      </c>
      <c r="E676" t="s">
        <v>1114</v>
      </c>
      <c r="F676" t="s">
        <v>1115</v>
      </c>
      <c r="G676" s="23" t="s">
        <v>28</v>
      </c>
      <c r="H676" s="23" t="s">
        <v>29</v>
      </c>
      <c r="I676" t="s">
        <v>427</v>
      </c>
      <c r="J676" t="s">
        <v>36</v>
      </c>
      <c r="K676" s="22">
        <v>4</v>
      </c>
      <c r="L676" s="1">
        <v>42856</v>
      </c>
      <c r="M676" s="22">
        <f>Table3[[#This Row],[Ship Date]]-Table3[[#This Row],[Order Date]]</f>
        <v>4</v>
      </c>
      <c r="N676" s="23" t="s">
        <v>45</v>
      </c>
      <c r="O676" s="23" t="s">
        <v>23</v>
      </c>
      <c r="P676" s="23" t="s">
        <v>94</v>
      </c>
      <c r="Q676" s="23" t="s">
        <v>95</v>
      </c>
      <c r="R676" s="23" t="s">
        <v>93</v>
      </c>
      <c r="S676" s="33">
        <v>0.32</v>
      </c>
      <c r="T676" s="13">
        <v>220.26560000000001</v>
      </c>
      <c r="U676" s="13">
        <v>-42.1096</v>
      </c>
      <c r="V676" s="55">
        <f>Table3[[#This Row],[Profit]]/Table3[[#This Row],[Sales]]</f>
        <v>-0.19117647058823528</v>
      </c>
    </row>
    <row r="677" spans="1:22" x14ac:dyDescent="0.2">
      <c r="A677">
        <v>676</v>
      </c>
      <c r="B677" t="s">
        <v>6918</v>
      </c>
      <c r="C677" s="1">
        <v>42852</v>
      </c>
      <c r="D677" s="22">
        <f>MONTH(Table3[[#This Row],[Order Date]])</f>
        <v>4</v>
      </c>
      <c r="E677" t="s">
        <v>1025</v>
      </c>
      <c r="F677" t="s">
        <v>1026</v>
      </c>
      <c r="G677" s="23" t="s">
        <v>41</v>
      </c>
      <c r="H677" s="23" t="s">
        <v>61</v>
      </c>
      <c r="I677" t="s">
        <v>2014</v>
      </c>
      <c r="J677" t="s">
        <v>22</v>
      </c>
      <c r="K677" s="22">
        <v>4</v>
      </c>
      <c r="L677" s="1">
        <v>42854</v>
      </c>
      <c r="M677" s="22">
        <f>Table3[[#This Row],[Ship Date]]-Table3[[#This Row],[Order Date]]</f>
        <v>2</v>
      </c>
      <c r="N677" s="23" t="s">
        <v>169</v>
      </c>
      <c r="O677" s="23" t="s">
        <v>23</v>
      </c>
      <c r="P677" s="23" t="s">
        <v>38</v>
      </c>
      <c r="Q677" s="23" t="s">
        <v>39</v>
      </c>
      <c r="R677" s="23" t="s">
        <v>37</v>
      </c>
      <c r="S677" s="33">
        <v>0</v>
      </c>
      <c r="T677" s="13">
        <v>123.92</v>
      </c>
      <c r="U677" s="13">
        <v>33.458399999999997</v>
      </c>
      <c r="V677" s="55">
        <f>Table3[[#This Row],[Profit]]/Table3[[#This Row],[Sales]]</f>
        <v>0.26999999999999996</v>
      </c>
    </row>
    <row r="678" spans="1:22" x14ac:dyDescent="0.2">
      <c r="A678">
        <v>677</v>
      </c>
      <c r="B678" t="s">
        <v>6918</v>
      </c>
      <c r="C678" s="1">
        <v>42852</v>
      </c>
      <c r="D678" s="22">
        <f>MONTH(Table3[[#This Row],[Order Date]])</f>
        <v>4</v>
      </c>
      <c r="E678" t="s">
        <v>419</v>
      </c>
      <c r="F678" t="s">
        <v>420</v>
      </c>
      <c r="G678" s="23" t="s">
        <v>41</v>
      </c>
      <c r="H678" s="23" t="s">
        <v>61</v>
      </c>
      <c r="I678" t="s">
        <v>2014</v>
      </c>
      <c r="J678" t="s">
        <v>22</v>
      </c>
      <c r="K678" s="22">
        <v>3</v>
      </c>
      <c r="L678" s="1">
        <v>42854</v>
      </c>
      <c r="M678" s="22">
        <f>Table3[[#This Row],[Ship Date]]-Table3[[#This Row],[Order Date]]</f>
        <v>2</v>
      </c>
      <c r="N678" s="23" t="s">
        <v>169</v>
      </c>
      <c r="O678" s="23" t="s">
        <v>23</v>
      </c>
      <c r="P678" s="23" t="s">
        <v>38</v>
      </c>
      <c r="Q678" s="23" t="s">
        <v>39</v>
      </c>
      <c r="R678" s="23" t="s">
        <v>37</v>
      </c>
      <c r="S678" s="33">
        <v>0</v>
      </c>
      <c r="T678" s="13">
        <v>12.39</v>
      </c>
      <c r="U678" s="13">
        <v>5.6993999999999998</v>
      </c>
      <c r="V678" s="55">
        <f>Table3[[#This Row],[Profit]]/Table3[[#This Row],[Sales]]</f>
        <v>0.45999999999999996</v>
      </c>
    </row>
    <row r="679" spans="1:22" x14ac:dyDescent="0.2">
      <c r="A679">
        <v>678</v>
      </c>
      <c r="B679" t="s">
        <v>6918</v>
      </c>
      <c r="C679" s="1">
        <v>42852</v>
      </c>
      <c r="D679" s="22">
        <f>MONTH(Table3[[#This Row],[Order Date]])</f>
        <v>4</v>
      </c>
      <c r="E679" t="s">
        <v>6094</v>
      </c>
      <c r="F679" t="s">
        <v>6095</v>
      </c>
      <c r="G679" s="23" t="s">
        <v>41</v>
      </c>
      <c r="H679" s="23" t="s">
        <v>61</v>
      </c>
      <c r="I679" t="s">
        <v>2014</v>
      </c>
      <c r="J679" t="s">
        <v>22</v>
      </c>
      <c r="K679" s="22">
        <v>2</v>
      </c>
      <c r="L679" s="1">
        <v>42854</v>
      </c>
      <c r="M679" s="22">
        <f>Table3[[#This Row],[Ship Date]]-Table3[[#This Row],[Order Date]]</f>
        <v>2</v>
      </c>
      <c r="N679" s="23" t="s">
        <v>169</v>
      </c>
      <c r="O679" s="23" t="s">
        <v>23</v>
      </c>
      <c r="P679" s="23" t="s">
        <v>38</v>
      </c>
      <c r="Q679" s="23" t="s">
        <v>39</v>
      </c>
      <c r="R679" s="23" t="s">
        <v>37</v>
      </c>
      <c r="S679" s="33">
        <v>0</v>
      </c>
      <c r="T679" s="13">
        <v>47.3</v>
      </c>
      <c r="U679" s="13">
        <v>12.298</v>
      </c>
      <c r="V679" s="55">
        <f>Table3[[#This Row],[Profit]]/Table3[[#This Row],[Sales]]</f>
        <v>0.26</v>
      </c>
    </row>
    <row r="680" spans="1:22" x14ac:dyDescent="0.2">
      <c r="A680">
        <v>679</v>
      </c>
      <c r="B680" t="s">
        <v>9370</v>
      </c>
      <c r="C680" s="1">
        <v>42852</v>
      </c>
      <c r="D680" s="22">
        <f>MONTH(Table3[[#This Row],[Order Date]])</f>
        <v>4</v>
      </c>
      <c r="E680" t="s">
        <v>267</v>
      </c>
      <c r="F680" t="s">
        <v>268</v>
      </c>
      <c r="G680" s="23" t="s">
        <v>28</v>
      </c>
      <c r="H680" s="23" t="s">
        <v>58</v>
      </c>
      <c r="I680" t="s">
        <v>289</v>
      </c>
      <c r="J680" t="s">
        <v>22</v>
      </c>
      <c r="K680" s="22">
        <v>7</v>
      </c>
      <c r="L680" s="1">
        <v>42857</v>
      </c>
      <c r="M680" s="22">
        <f>Table3[[#This Row],[Ship Date]]-Table3[[#This Row],[Order Date]]</f>
        <v>5</v>
      </c>
      <c r="N680" s="23" t="s">
        <v>45</v>
      </c>
      <c r="O680" s="23" t="s">
        <v>23</v>
      </c>
      <c r="P680" s="23" t="s">
        <v>87</v>
      </c>
      <c r="Q680" s="23" t="s">
        <v>39</v>
      </c>
      <c r="R680" s="23" t="s">
        <v>86</v>
      </c>
      <c r="S680" s="33">
        <v>0</v>
      </c>
      <c r="T680" s="13">
        <v>139.58000000000001</v>
      </c>
      <c r="U680" s="13">
        <v>39.0824</v>
      </c>
      <c r="V680" s="55">
        <f>Table3[[#This Row],[Profit]]/Table3[[#This Row],[Sales]]</f>
        <v>0.27999999999999997</v>
      </c>
    </row>
    <row r="681" spans="1:22" x14ac:dyDescent="0.2">
      <c r="A681">
        <v>680</v>
      </c>
      <c r="B681" t="s">
        <v>7497</v>
      </c>
      <c r="C681" s="1">
        <v>42853</v>
      </c>
      <c r="D681" s="22">
        <f>MONTH(Table3[[#This Row],[Order Date]])</f>
        <v>4</v>
      </c>
      <c r="E681" t="s">
        <v>1614</v>
      </c>
      <c r="F681" t="s">
        <v>1615</v>
      </c>
      <c r="G681" s="23" t="s">
        <v>41</v>
      </c>
      <c r="H681" s="23" t="s">
        <v>53</v>
      </c>
      <c r="I681" t="s">
        <v>1577</v>
      </c>
      <c r="J681" t="s">
        <v>36</v>
      </c>
      <c r="K681" s="22">
        <v>1</v>
      </c>
      <c r="L681" s="1">
        <v>42857</v>
      </c>
      <c r="M681" s="22">
        <f>Table3[[#This Row],[Ship Date]]-Table3[[#This Row],[Order Date]]</f>
        <v>4</v>
      </c>
      <c r="N681" s="23" t="s">
        <v>45</v>
      </c>
      <c r="O681" s="23" t="s">
        <v>23</v>
      </c>
      <c r="P681" s="23" t="s">
        <v>132</v>
      </c>
      <c r="Q681" s="23" t="s">
        <v>133</v>
      </c>
      <c r="R681" s="23" t="s">
        <v>131</v>
      </c>
      <c r="S681" s="33">
        <v>0.2</v>
      </c>
      <c r="T681" s="13">
        <v>8.3840000000000003</v>
      </c>
      <c r="U681" s="13">
        <v>0.73360000000000003</v>
      </c>
      <c r="V681" s="55">
        <f>Table3[[#This Row],[Profit]]/Table3[[#This Row],[Sales]]</f>
        <v>8.7499999999999994E-2</v>
      </c>
    </row>
    <row r="682" spans="1:22" x14ac:dyDescent="0.2">
      <c r="A682">
        <v>681</v>
      </c>
      <c r="B682" t="s">
        <v>7497</v>
      </c>
      <c r="C682" s="1">
        <v>42853</v>
      </c>
      <c r="D682" s="22">
        <f>MONTH(Table3[[#This Row],[Order Date]])</f>
        <v>4</v>
      </c>
      <c r="E682" t="s">
        <v>115</v>
      </c>
      <c r="F682" t="s">
        <v>116</v>
      </c>
      <c r="G682" s="23" t="s">
        <v>41</v>
      </c>
      <c r="H682" s="23" t="s">
        <v>61</v>
      </c>
      <c r="I682" t="s">
        <v>1577</v>
      </c>
      <c r="J682" t="s">
        <v>36</v>
      </c>
      <c r="K682" s="22">
        <v>2</v>
      </c>
      <c r="L682" s="1">
        <v>42857</v>
      </c>
      <c r="M682" s="22">
        <f>Table3[[#This Row],[Ship Date]]-Table3[[#This Row],[Order Date]]</f>
        <v>4</v>
      </c>
      <c r="N682" s="23" t="s">
        <v>45</v>
      </c>
      <c r="O682" s="23" t="s">
        <v>23</v>
      </c>
      <c r="P682" s="23" t="s">
        <v>132</v>
      </c>
      <c r="Q682" s="23" t="s">
        <v>133</v>
      </c>
      <c r="R682" s="23" t="s">
        <v>131</v>
      </c>
      <c r="S682" s="33">
        <v>0.2</v>
      </c>
      <c r="T682" s="13">
        <v>6.8479999999999999</v>
      </c>
      <c r="U682" s="13">
        <v>0.77039999999999997</v>
      </c>
      <c r="V682" s="55">
        <f>Table3[[#This Row],[Profit]]/Table3[[#This Row],[Sales]]</f>
        <v>0.1125</v>
      </c>
    </row>
    <row r="683" spans="1:22" x14ac:dyDescent="0.2">
      <c r="A683">
        <v>682</v>
      </c>
      <c r="B683" t="s">
        <v>9039</v>
      </c>
      <c r="C683" s="1">
        <v>42853</v>
      </c>
      <c r="D683" s="22">
        <f>MONTH(Table3[[#This Row],[Order Date]])</f>
        <v>4</v>
      </c>
      <c r="E683" t="s">
        <v>4555</v>
      </c>
      <c r="F683" t="s">
        <v>4556</v>
      </c>
      <c r="G683" s="23" t="s">
        <v>41</v>
      </c>
      <c r="H683" s="23" t="s">
        <v>71</v>
      </c>
      <c r="I683" t="s">
        <v>5723</v>
      </c>
      <c r="J683" t="s">
        <v>22</v>
      </c>
      <c r="K683" s="22">
        <v>3</v>
      </c>
      <c r="L683" s="1">
        <v>42857</v>
      </c>
      <c r="M683" s="22">
        <f>Table3[[#This Row],[Ship Date]]-Table3[[#This Row],[Order Date]]</f>
        <v>4</v>
      </c>
      <c r="N683" s="23" t="s">
        <v>45</v>
      </c>
      <c r="O683" s="23" t="s">
        <v>23</v>
      </c>
      <c r="P683" s="23" t="s">
        <v>80</v>
      </c>
      <c r="Q683" s="23" t="s">
        <v>26</v>
      </c>
      <c r="R683" s="23" t="s">
        <v>461</v>
      </c>
      <c r="S683" s="33">
        <v>0.2</v>
      </c>
      <c r="T683" s="13">
        <v>28.08</v>
      </c>
      <c r="U683" s="13">
        <v>5.2649999999999997</v>
      </c>
      <c r="V683" s="55">
        <f>Table3[[#This Row],[Profit]]/Table3[[#This Row],[Sales]]</f>
        <v>0.1875</v>
      </c>
    </row>
    <row r="684" spans="1:22" x14ac:dyDescent="0.2">
      <c r="A684">
        <v>683</v>
      </c>
      <c r="B684" t="s">
        <v>9197</v>
      </c>
      <c r="C684" s="1">
        <v>42853</v>
      </c>
      <c r="D684" s="22">
        <f>MONTH(Table3[[#This Row],[Order Date]])</f>
        <v>4</v>
      </c>
      <c r="E684" t="s">
        <v>4055</v>
      </c>
      <c r="F684" t="s">
        <v>4056</v>
      </c>
      <c r="G684" s="23" t="s">
        <v>64</v>
      </c>
      <c r="H684" s="23" t="s">
        <v>65</v>
      </c>
      <c r="I684" t="s">
        <v>4036</v>
      </c>
      <c r="J684" t="s">
        <v>22</v>
      </c>
      <c r="K684" s="22">
        <v>2</v>
      </c>
      <c r="L684" s="1">
        <v>42857</v>
      </c>
      <c r="M684" s="22">
        <f>Table3[[#This Row],[Ship Date]]-Table3[[#This Row],[Order Date]]</f>
        <v>4</v>
      </c>
      <c r="N684" s="23" t="s">
        <v>45</v>
      </c>
      <c r="O684" s="23" t="s">
        <v>23</v>
      </c>
      <c r="P684" s="23" t="s">
        <v>48</v>
      </c>
      <c r="Q684" s="23" t="s">
        <v>26</v>
      </c>
      <c r="R684" s="23" t="s">
        <v>9198</v>
      </c>
      <c r="S684" s="33">
        <v>0.2</v>
      </c>
      <c r="T684" s="13">
        <v>751.98400000000004</v>
      </c>
      <c r="U684" s="13">
        <v>84.598200000000006</v>
      </c>
      <c r="V684" s="55">
        <f>Table3[[#This Row],[Profit]]/Table3[[#This Row],[Sales]]</f>
        <v>0.1125</v>
      </c>
    </row>
    <row r="685" spans="1:22" x14ac:dyDescent="0.2">
      <c r="A685">
        <v>684</v>
      </c>
      <c r="B685" t="s">
        <v>3908</v>
      </c>
      <c r="C685" s="1">
        <v>42854</v>
      </c>
      <c r="D685" s="22">
        <f>MONTH(Table3[[#This Row],[Order Date]])</f>
        <v>4</v>
      </c>
      <c r="E685" t="s">
        <v>3910</v>
      </c>
      <c r="F685" t="s">
        <v>3911</v>
      </c>
      <c r="G685" s="23" t="s">
        <v>28</v>
      </c>
      <c r="H685" s="23" t="s">
        <v>50</v>
      </c>
      <c r="I685" t="s">
        <v>3909</v>
      </c>
      <c r="J685" t="s">
        <v>36</v>
      </c>
      <c r="K685" s="22">
        <v>5</v>
      </c>
      <c r="L685" s="1">
        <v>42859</v>
      </c>
      <c r="M685" s="22">
        <f>Table3[[#This Row],[Ship Date]]-Table3[[#This Row],[Order Date]]</f>
        <v>5</v>
      </c>
      <c r="N685" s="23" t="s">
        <v>20</v>
      </c>
      <c r="O685" s="23" t="s">
        <v>23</v>
      </c>
      <c r="P685" s="23" t="s">
        <v>441</v>
      </c>
      <c r="Q685" s="23" t="s">
        <v>133</v>
      </c>
      <c r="R685" s="23" t="s">
        <v>762</v>
      </c>
      <c r="S685" s="33">
        <v>0.4</v>
      </c>
      <c r="T685" s="13">
        <v>1048.3499999999999</v>
      </c>
      <c r="U685" s="13">
        <v>-69.89</v>
      </c>
      <c r="V685" s="55">
        <f>Table3[[#This Row],[Profit]]/Table3[[#This Row],[Sales]]</f>
        <v>-6.666666666666668E-2</v>
      </c>
    </row>
    <row r="686" spans="1:22" x14ac:dyDescent="0.2">
      <c r="A686">
        <v>685</v>
      </c>
      <c r="B686" t="s">
        <v>8539</v>
      </c>
      <c r="C686" s="1">
        <v>42854</v>
      </c>
      <c r="D686" s="22">
        <f>MONTH(Table3[[#This Row],[Order Date]])</f>
        <v>4</v>
      </c>
      <c r="E686" t="s">
        <v>2572</v>
      </c>
      <c r="F686" t="s">
        <v>2573</v>
      </c>
      <c r="G686" s="23" t="s">
        <v>41</v>
      </c>
      <c r="H686" s="23" t="s">
        <v>42</v>
      </c>
      <c r="I686" t="s">
        <v>3047</v>
      </c>
      <c r="J686" t="s">
        <v>22</v>
      </c>
      <c r="K686" s="22">
        <v>1</v>
      </c>
      <c r="L686" s="1">
        <v>42859</v>
      </c>
      <c r="M686" s="22">
        <f>Table3[[#This Row],[Ship Date]]-Table3[[#This Row],[Order Date]]</f>
        <v>5</v>
      </c>
      <c r="N686" s="23" t="s">
        <v>45</v>
      </c>
      <c r="O686" s="23" t="s">
        <v>23</v>
      </c>
      <c r="P686" s="23" t="s">
        <v>695</v>
      </c>
      <c r="Q686" s="23" t="s">
        <v>133</v>
      </c>
      <c r="R686" s="23" t="s">
        <v>5404</v>
      </c>
      <c r="S686" s="33">
        <v>0</v>
      </c>
      <c r="T686" s="13">
        <v>4.91</v>
      </c>
      <c r="U686" s="13">
        <v>2.4058999999999999</v>
      </c>
      <c r="V686" s="55">
        <f>Table3[[#This Row],[Profit]]/Table3[[#This Row],[Sales]]</f>
        <v>0.49</v>
      </c>
    </row>
    <row r="687" spans="1:22" x14ac:dyDescent="0.2">
      <c r="A687">
        <v>686</v>
      </c>
      <c r="B687" t="s">
        <v>3529</v>
      </c>
      <c r="C687" s="1">
        <v>42855</v>
      </c>
      <c r="D687" s="22">
        <f>MONTH(Table3[[#This Row],[Order Date]])</f>
        <v>4</v>
      </c>
      <c r="E687" t="s">
        <v>178</v>
      </c>
      <c r="F687" t="s">
        <v>179</v>
      </c>
      <c r="G687" s="23" t="s">
        <v>41</v>
      </c>
      <c r="H687" s="23" t="s">
        <v>155</v>
      </c>
      <c r="I687" t="s">
        <v>2868</v>
      </c>
      <c r="J687" t="s">
        <v>36</v>
      </c>
      <c r="K687" s="22">
        <v>4</v>
      </c>
      <c r="L687" s="1">
        <v>42860</v>
      </c>
      <c r="M687" s="22">
        <f>Table3[[#This Row],[Ship Date]]-Table3[[#This Row],[Order Date]]</f>
        <v>5</v>
      </c>
      <c r="N687" s="23" t="s">
        <v>20</v>
      </c>
      <c r="O687" s="23" t="s">
        <v>23</v>
      </c>
      <c r="P687" s="23" t="s">
        <v>238</v>
      </c>
      <c r="Q687" s="23" t="s">
        <v>133</v>
      </c>
      <c r="R687" s="23" t="s">
        <v>237</v>
      </c>
      <c r="S687" s="33">
        <v>0</v>
      </c>
      <c r="T687" s="13">
        <v>62.96</v>
      </c>
      <c r="U687" s="13">
        <v>28.332000000000001</v>
      </c>
      <c r="V687" s="55">
        <f>Table3[[#This Row],[Profit]]/Table3[[#This Row],[Sales]]</f>
        <v>0.45</v>
      </c>
    </row>
    <row r="688" spans="1:22" x14ac:dyDescent="0.2">
      <c r="A688">
        <v>687</v>
      </c>
      <c r="B688" t="s">
        <v>3817</v>
      </c>
      <c r="C688" s="1">
        <v>42855</v>
      </c>
      <c r="D688" s="22">
        <f>MONTH(Table3[[#This Row],[Order Date]])</f>
        <v>4</v>
      </c>
      <c r="E688" t="s">
        <v>3262</v>
      </c>
      <c r="F688" t="s">
        <v>3263</v>
      </c>
      <c r="G688" s="23" t="s">
        <v>64</v>
      </c>
      <c r="H688" s="23" t="s">
        <v>65</v>
      </c>
      <c r="I688" t="s">
        <v>3182</v>
      </c>
      <c r="J688" t="s">
        <v>36</v>
      </c>
      <c r="K688" s="22">
        <v>5</v>
      </c>
      <c r="L688" s="1">
        <v>42861</v>
      </c>
      <c r="M688" s="22">
        <f>Table3[[#This Row],[Ship Date]]-Table3[[#This Row],[Order Date]]</f>
        <v>6</v>
      </c>
      <c r="N688" s="23" t="s">
        <v>45</v>
      </c>
      <c r="O688" s="23" t="s">
        <v>23</v>
      </c>
      <c r="P688" s="23" t="s">
        <v>132</v>
      </c>
      <c r="Q688" s="23" t="s">
        <v>133</v>
      </c>
      <c r="R688" s="23" t="s">
        <v>131</v>
      </c>
      <c r="S688" s="33">
        <v>0.4</v>
      </c>
      <c r="T688" s="13">
        <v>677.58</v>
      </c>
      <c r="U688" s="13">
        <v>-158.102</v>
      </c>
      <c r="V688" s="55">
        <f>Table3[[#This Row],[Profit]]/Table3[[#This Row],[Sales]]</f>
        <v>-0.23333333333333334</v>
      </c>
    </row>
    <row r="689" spans="1:22" x14ac:dyDescent="0.2">
      <c r="A689">
        <v>688</v>
      </c>
      <c r="B689" t="s">
        <v>3817</v>
      </c>
      <c r="C689" s="1">
        <v>42855</v>
      </c>
      <c r="D689" s="22">
        <f>MONTH(Table3[[#This Row],[Order Date]])</f>
        <v>4</v>
      </c>
      <c r="E689" t="s">
        <v>3818</v>
      </c>
      <c r="F689" t="s">
        <v>3819</v>
      </c>
      <c r="G689" s="23" t="s">
        <v>41</v>
      </c>
      <c r="H689" s="23" t="s">
        <v>68</v>
      </c>
      <c r="I689" t="s">
        <v>3182</v>
      </c>
      <c r="J689" t="s">
        <v>36</v>
      </c>
      <c r="K689" s="22">
        <v>3</v>
      </c>
      <c r="L689" s="1">
        <v>42861</v>
      </c>
      <c r="M689" s="22">
        <f>Table3[[#This Row],[Ship Date]]-Table3[[#This Row],[Order Date]]</f>
        <v>6</v>
      </c>
      <c r="N689" s="23" t="s">
        <v>45</v>
      </c>
      <c r="O689" s="23" t="s">
        <v>23</v>
      </c>
      <c r="P689" s="23" t="s">
        <v>132</v>
      </c>
      <c r="Q689" s="23" t="s">
        <v>133</v>
      </c>
      <c r="R689" s="23" t="s">
        <v>131</v>
      </c>
      <c r="S689" s="33">
        <v>0.7</v>
      </c>
      <c r="T689" s="13">
        <v>13.896000000000001</v>
      </c>
      <c r="U689" s="13">
        <v>-9.2639999999999993</v>
      </c>
      <c r="V689" s="55">
        <f>Table3[[#This Row],[Profit]]/Table3[[#This Row],[Sales]]</f>
        <v>-0.66666666666666663</v>
      </c>
    </row>
    <row r="690" spans="1:22" x14ac:dyDescent="0.2">
      <c r="A690">
        <v>689</v>
      </c>
      <c r="B690" t="s">
        <v>4209</v>
      </c>
      <c r="C690" s="1">
        <v>42855</v>
      </c>
      <c r="D690" s="22">
        <f>MONTH(Table3[[#This Row],[Order Date]])</f>
        <v>4</v>
      </c>
      <c r="E690" t="s">
        <v>4210</v>
      </c>
      <c r="F690" t="s">
        <v>4211</v>
      </c>
      <c r="G690" s="23" t="s">
        <v>41</v>
      </c>
      <c r="H690" s="23" t="s">
        <v>42</v>
      </c>
      <c r="I690" t="s">
        <v>2601</v>
      </c>
      <c r="J690" t="s">
        <v>92</v>
      </c>
      <c r="K690" s="22">
        <v>2</v>
      </c>
      <c r="L690" s="1">
        <v>42860</v>
      </c>
      <c r="M690" s="22">
        <f>Table3[[#This Row],[Ship Date]]-Table3[[#This Row],[Order Date]]</f>
        <v>5</v>
      </c>
      <c r="N690" s="23" t="s">
        <v>45</v>
      </c>
      <c r="O690" s="23" t="s">
        <v>23</v>
      </c>
      <c r="P690" s="23" t="s">
        <v>48</v>
      </c>
      <c r="Q690" s="23" t="s">
        <v>26</v>
      </c>
      <c r="R690" s="23" t="s">
        <v>3056</v>
      </c>
      <c r="S690" s="33">
        <v>0.2</v>
      </c>
      <c r="T690" s="13">
        <v>4.6079999999999997</v>
      </c>
      <c r="U690" s="13">
        <v>1.6704000000000001</v>
      </c>
      <c r="V690" s="55">
        <f>Table3[[#This Row],[Profit]]/Table3[[#This Row],[Sales]]</f>
        <v>0.36250000000000004</v>
      </c>
    </row>
    <row r="691" spans="1:22" x14ac:dyDescent="0.2">
      <c r="A691">
        <v>690</v>
      </c>
      <c r="B691" t="s">
        <v>4209</v>
      </c>
      <c r="C691" s="1">
        <v>42855</v>
      </c>
      <c r="D691" s="22">
        <f>MONTH(Table3[[#This Row],[Order Date]])</f>
        <v>4</v>
      </c>
      <c r="E691" t="s">
        <v>3086</v>
      </c>
      <c r="F691" t="s">
        <v>2673</v>
      </c>
      <c r="G691" s="23" t="s">
        <v>41</v>
      </c>
      <c r="H691" s="23" t="s">
        <v>61</v>
      </c>
      <c r="I691" t="s">
        <v>2601</v>
      </c>
      <c r="J691" t="s">
        <v>92</v>
      </c>
      <c r="K691" s="22">
        <v>3</v>
      </c>
      <c r="L691" s="1">
        <v>42860</v>
      </c>
      <c r="M691" s="22">
        <f>Table3[[#This Row],[Ship Date]]-Table3[[#This Row],[Order Date]]</f>
        <v>5</v>
      </c>
      <c r="N691" s="23" t="s">
        <v>45</v>
      </c>
      <c r="O691" s="23" t="s">
        <v>23</v>
      </c>
      <c r="P691" s="23" t="s">
        <v>48</v>
      </c>
      <c r="Q691" s="23" t="s">
        <v>26</v>
      </c>
      <c r="R691" s="23" t="s">
        <v>3056</v>
      </c>
      <c r="S691" s="33">
        <v>0.2</v>
      </c>
      <c r="T691" s="13">
        <v>15.528</v>
      </c>
      <c r="U691" s="13">
        <v>4.8525</v>
      </c>
      <c r="V691" s="55">
        <f>Table3[[#This Row],[Profit]]/Table3[[#This Row],[Sales]]</f>
        <v>0.3125</v>
      </c>
    </row>
    <row r="692" spans="1:22" x14ac:dyDescent="0.2">
      <c r="A692">
        <v>691</v>
      </c>
      <c r="B692" t="s">
        <v>4209</v>
      </c>
      <c r="C692" s="1">
        <v>42855</v>
      </c>
      <c r="D692" s="22">
        <f>MONTH(Table3[[#This Row],[Order Date]])</f>
        <v>4</v>
      </c>
      <c r="E692" t="s">
        <v>2193</v>
      </c>
      <c r="F692" t="s">
        <v>2194</v>
      </c>
      <c r="G692" s="23" t="s">
        <v>41</v>
      </c>
      <c r="H692" s="23" t="s">
        <v>42</v>
      </c>
      <c r="I692" t="s">
        <v>2601</v>
      </c>
      <c r="J692" t="s">
        <v>92</v>
      </c>
      <c r="K692" s="22">
        <v>3</v>
      </c>
      <c r="L692" s="1">
        <v>42860</v>
      </c>
      <c r="M692" s="22">
        <f>Table3[[#This Row],[Ship Date]]-Table3[[#This Row],[Order Date]]</f>
        <v>5</v>
      </c>
      <c r="N692" s="23" t="s">
        <v>45</v>
      </c>
      <c r="O692" s="23" t="s">
        <v>23</v>
      </c>
      <c r="P692" s="23" t="s">
        <v>48</v>
      </c>
      <c r="Q692" s="23" t="s">
        <v>26</v>
      </c>
      <c r="R692" s="23" t="s">
        <v>3056</v>
      </c>
      <c r="S692" s="33">
        <v>0.2</v>
      </c>
      <c r="T692" s="13">
        <v>11.952</v>
      </c>
      <c r="U692" s="13">
        <v>3.8843999999999999</v>
      </c>
      <c r="V692" s="55">
        <f>Table3[[#This Row],[Profit]]/Table3[[#This Row],[Sales]]</f>
        <v>0.32500000000000001</v>
      </c>
    </row>
    <row r="693" spans="1:22" x14ac:dyDescent="0.2">
      <c r="A693">
        <v>692</v>
      </c>
      <c r="B693" t="s">
        <v>5302</v>
      </c>
      <c r="C693" s="1">
        <v>42855</v>
      </c>
      <c r="D693" s="22">
        <f>MONTH(Table3[[#This Row],[Order Date]])</f>
        <v>4</v>
      </c>
      <c r="E693" t="s">
        <v>1204</v>
      </c>
      <c r="F693" t="s">
        <v>1205</v>
      </c>
      <c r="G693" s="23" t="s">
        <v>28</v>
      </c>
      <c r="H693" s="23" t="s">
        <v>58</v>
      </c>
      <c r="I693" t="s">
        <v>1233</v>
      </c>
      <c r="J693" t="s">
        <v>36</v>
      </c>
      <c r="K693" s="22">
        <v>8</v>
      </c>
      <c r="L693" s="1">
        <v>42860</v>
      </c>
      <c r="M693" s="22">
        <f>Table3[[#This Row],[Ship Date]]-Table3[[#This Row],[Order Date]]</f>
        <v>5</v>
      </c>
      <c r="N693" s="23" t="s">
        <v>45</v>
      </c>
      <c r="O693" s="23" t="s">
        <v>23</v>
      </c>
      <c r="P693" s="23" t="s">
        <v>48</v>
      </c>
      <c r="Q693" s="23" t="s">
        <v>26</v>
      </c>
      <c r="R693" s="23" t="s">
        <v>5303</v>
      </c>
      <c r="S693" s="33">
        <v>0.2</v>
      </c>
      <c r="T693" s="13">
        <v>23.68</v>
      </c>
      <c r="U693" s="13">
        <v>6.2160000000000002</v>
      </c>
      <c r="V693" s="55">
        <f>Table3[[#This Row],[Profit]]/Table3[[#This Row],[Sales]]</f>
        <v>0.26250000000000001</v>
      </c>
    </row>
    <row r="694" spans="1:22" x14ac:dyDescent="0.2">
      <c r="A694">
        <v>693</v>
      </c>
      <c r="B694" t="s">
        <v>5302</v>
      </c>
      <c r="C694" s="1">
        <v>42855</v>
      </c>
      <c r="D694" s="22">
        <f>MONTH(Table3[[#This Row],[Order Date]])</f>
        <v>4</v>
      </c>
      <c r="E694" t="s">
        <v>5304</v>
      </c>
      <c r="F694" t="s">
        <v>5305</v>
      </c>
      <c r="G694" s="23" t="s">
        <v>64</v>
      </c>
      <c r="H694" s="23" t="s">
        <v>144</v>
      </c>
      <c r="I694" t="s">
        <v>1233</v>
      </c>
      <c r="J694" t="s">
        <v>36</v>
      </c>
      <c r="K694" s="22">
        <v>3</v>
      </c>
      <c r="L694" s="1">
        <v>42860</v>
      </c>
      <c r="M694" s="22">
        <f>Table3[[#This Row],[Ship Date]]-Table3[[#This Row],[Order Date]]</f>
        <v>5</v>
      </c>
      <c r="N694" s="23" t="s">
        <v>45</v>
      </c>
      <c r="O694" s="23" t="s">
        <v>23</v>
      </c>
      <c r="P694" s="23" t="s">
        <v>48</v>
      </c>
      <c r="Q694" s="23" t="s">
        <v>26</v>
      </c>
      <c r="R694" s="23" t="s">
        <v>5303</v>
      </c>
      <c r="S694" s="33">
        <v>0.2</v>
      </c>
      <c r="T694" s="13">
        <v>2.3759999999999999</v>
      </c>
      <c r="U694" s="13">
        <v>0.74250000000000005</v>
      </c>
      <c r="V694" s="55">
        <f>Table3[[#This Row],[Profit]]/Table3[[#This Row],[Sales]]</f>
        <v>0.31250000000000006</v>
      </c>
    </row>
    <row r="695" spans="1:22" x14ac:dyDescent="0.2">
      <c r="A695">
        <v>694</v>
      </c>
      <c r="B695" t="s">
        <v>5913</v>
      </c>
      <c r="C695" s="1">
        <v>42855</v>
      </c>
      <c r="D695" s="22">
        <f>MONTH(Table3[[#This Row],[Order Date]])</f>
        <v>4</v>
      </c>
      <c r="E695" t="s">
        <v>1705</v>
      </c>
      <c r="F695" t="s">
        <v>1706</v>
      </c>
      <c r="G695" s="23" t="s">
        <v>41</v>
      </c>
      <c r="H695" s="23" t="s">
        <v>82</v>
      </c>
      <c r="I695" t="s">
        <v>1692</v>
      </c>
      <c r="J695" t="s">
        <v>22</v>
      </c>
      <c r="K695" s="22">
        <v>2</v>
      </c>
      <c r="L695" s="1">
        <v>42861</v>
      </c>
      <c r="M695" s="22">
        <f>Table3[[#This Row],[Ship Date]]-Table3[[#This Row],[Order Date]]</f>
        <v>6</v>
      </c>
      <c r="N695" s="23" t="s">
        <v>45</v>
      </c>
      <c r="O695" s="23" t="s">
        <v>23</v>
      </c>
      <c r="P695" s="23" t="s">
        <v>441</v>
      </c>
      <c r="Q695" s="23" t="s">
        <v>133</v>
      </c>
      <c r="R695" s="23" t="s">
        <v>440</v>
      </c>
      <c r="S695" s="33">
        <v>0.2</v>
      </c>
      <c r="T695" s="13">
        <v>10.368</v>
      </c>
      <c r="U695" s="13">
        <v>3.6288</v>
      </c>
      <c r="V695" s="55">
        <f>Table3[[#This Row],[Profit]]/Table3[[#This Row],[Sales]]</f>
        <v>0.35</v>
      </c>
    </row>
    <row r="696" spans="1:22" x14ac:dyDescent="0.2">
      <c r="A696">
        <v>695</v>
      </c>
      <c r="B696" t="s">
        <v>6844</v>
      </c>
      <c r="C696" s="1">
        <v>42855</v>
      </c>
      <c r="D696" s="22">
        <f>MONTH(Table3[[#This Row],[Order Date]])</f>
        <v>4</v>
      </c>
      <c r="E696" t="s">
        <v>6845</v>
      </c>
      <c r="F696" t="s">
        <v>6846</v>
      </c>
      <c r="G696" s="23" t="s">
        <v>41</v>
      </c>
      <c r="H696" s="23" t="s">
        <v>42</v>
      </c>
      <c r="I696" t="s">
        <v>2850</v>
      </c>
      <c r="J696" t="s">
        <v>22</v>
      </c>
      <c r="K696" s="22">
        <v>2</v>
      </c>
      <c r="L696" s="1">
        <v>42857</v>
      </c>
      <c r="M696" s="22">
        <f>Table3[[#This Row],[Ship Date]]-Table3[[#This Row],[Order Date]]</f>
        <v>2</v>
      </c>
      <c r="N696" s="23" t="s">
        <v>169</v>
      </c>
      <c r="O696" s="23" t="s">
        <v>23</v>
      </c>
      <c r="P696" s="23" t="s">
        <v>660</v>
      </c>
      <c r="Q696" s="23" t="s">
        <v>133</v>
      </c>
      <c r="R696" s="23" t="s">
        <v>1143</v>
      </c>
      <c r="S696" s="33">
        <v>0</v>
      </c>
      <c r="T696" s="13">
        <v>5.76</v>
      </c>
      <c r="U696" s="13">
        <v>2.8224</v>
      </c>
      <c r="V696" s="55">
        <f>Table3[[#This Row],[Profit]]/Table3[[#This Row],[Sales]]</f>
        <v>0.49000000000000005</v>
      </c>
    </row>
    <row r="697" spans="1:22" x14ac:dyDescent="0.2">
      <c r="A697">
        <v>696</v>
      </c>
      <c r="B697" t="s">
        <v>7003</v>
      </c>
      <c r="C697" s="1">
        <v>42855</v>
      </c>
      <c r="D697" s="22">
        <f>MONTH(Table3[[#This Row],[Order Date]])</f>
        <v>4</v>
      </c>
      <c r="E697" t="s">
        <v>1990</v>
      </c>
      <c r="F697" t="s">
        <v>1991</v>
      </c>
      <c r="G697" s="23" t="s">
        <v>41</v>
      </c>
      <c r="H697" s="23" t="s">
        <v>68</v>
      </c>
      <c r="I697" t="s">
        <v>5582</v>
      </c>
      <c r="J697" t="s">
        <v>92</v>
      </c>
      <c r="K697" s="22">
        <v>7</v>
      </c>
      <c r="L697" s="1">
        <v>42860</v>
      </c>
      <c r="M697" s="22">
        <f>Table3[[#This Row],[Ship Date]]-Table3[[#This Row],[Order Date]]</f>
        <v>5</v>
      </c>
      <c r="N697" s="23" t="s">
        <v>45</v>
      </c>
      <c r="O697" s="23" t="s">
        <v>23</v>
      </c>
      <c r="P697" s="23" t="s">
        <v>189</v>
      </c>
      <c r="Q697" s="23" t="s">
        <v>95</v>
      </c>
      <c r="R697" s="23" t="s">
        <v>6885</v>
      </c>
      <c r="S697" s="33">
        <v>0.8</v>
      </c>
      <c r="T697" s="13">
        <v>43.372</v>
      </c>
      <c r="U697" s="13">
        <v>-69.395200000000003</v>
      </c>
      <c r="V697" s="55">
        <f>Table3[[#This Row],[Profit]]/Table3[[#This Row],[Sales]]</f>
        <v>-1.6</v>
      </c>
    </row>
    <row r="698" spans="1:22" x14ac:dyDescent="0.2">
      <c r="A698">
        <v>697</v>
      </c>
      <c r="B698" t="s">
        <v>7366</v>
      </c>
      <c r="C698" s="1">
        <v>42855</v>
      </c>
      <c r="D698" s="22">
        <f>MONTH(Table3[[#This Row],[Order Date]])</f>
        <v>4</v>
      </c>
      <c r="E698" t="s">
        <v>3975</v>
      </c>
      <c r="F698" t="s">
        <v>3976</v>
      </c>
      <c r="G698" s="23" t="s">
        <v>41</v>
      </c>
      <c r="H698" s="23" t="s">
        <v>82</v>
      </c>
      <c r="I698" t="s">
        <v>471</v>
      </c>
      <c r="J698" t="s">
        <v>92</v>
      </c>
      <c r="K698" s="22">
        <v>4</v>
      </c>
      <c r="L698" s="1">
        <v>42860</v>
      </c>
      <c r="M698" s="22">
        <f>Table3[[#This Row],[Ship Date]]-Table3[[#This Row],[Order Date]]</f>
        <v>5</v>
      </c>
      <c r="N698" s="23" t="s">
        <v>45</v>
      </c>
      <c r="O698" s="23" t="s">
        <v>23</v>
      </c>
      <c r="P698" s="23" t="s">
        <v>38</v>
      </c>
      <c r="Q698" s="23" t="s">
        <v>39</v>
      </c>
      <c r="R698" s="23" t="s">
        <v>114</v>
      </c>
      <c r="S698" s="33">
        <v>0</v>
      </c>
      <c r="T698" s="13">
        <v>163.96</v>
      </c>
      <c r="U698" s="13">
        <v>80.340400000000002</v>
      </c>
      <c r="V698" s="55">
        <f>Table3[[#This Row],[Profit]]/Table3[[#This Row],[Sales]]</f>
        <v>0.49</v>
      </c>
    </row>
    <row r="699" spans="1:22" x14ac:dyDescent="0.2">
      <c r="A699">
        <v>698</v>
      </c>
      <c r="B699" t="s">
        <v>7386</v>
      </c>
      <c r="C699" s="1">
        <v>42855</v>
      </c>
      <c r="D699" s="22">
        <f>MONTH(Table3[[#This Row],[Order Date]])</f>
        <v>4</v>
      </c>
      <c r="E699" t="s">
        <v>2046</v>
      </c>
      <c r="F699" t="s">
        <v>2047</v>
      </c>
      <c r="G699" s="23" t="s">
        <v>28</v>
      </c>
      <c r="H699" s="23" t="s">
        <v>58</v>
      </c>
      <c r="I699" t="s">
        <v>1046</v>
      </c>
      <c r="J699" t="s">
        <v>36</v>
      </c>
      <c r="K699" s="22">
        <v>2</v>
      </c>
      <c r="L699" s="1">
        <v>42860</v>
      </c>
      <c r="M699" s="22">
        <f>Table3[[#This Row],[Ship Date]]-Table3[[#This Row],[Order Date]]</f>
        <v>5</v>
      </c>
      <c r="N699" s="23" t="s">
        <v>45</v>
      </c>
      <c r="O699" s="23" t="s">
        <v>23</v>
      </c>
      <c r="P699" s="23" t="s">
        <v>38</v>
      </c>
      <c r="Q699" s="23" t="s">
        <v>39</v>
      </c>
      <c r="R699" s="23" t="s">
        <v>114</v>
      </c>
      <c r="S699" s="33">
        <v>0</v>
      </c>
      <c r="T699" s="13">
        <v>64.959999999999994</v>
      </c>
      <c r="U699" s="13">
        <v>21.436800000000002</v>
      </c>
      <c r="V699" s="55">
        <f>Table3[[#This Row],[Profit]]/Table3[[#This Row],[Sales]]</f>
        <v>0.33000000000000007</v>
      </c>
    </row>
    <row r="700" spans="1:22" x14ac:dyDescent="0.2">
      <c r="A700">
        <v>699</v>
      </c>
      <c r="B700" t="s">
        <v>7386</v>
      </c>
      <c r="C700" s="1">
        <v>42855</v>
      </c>
      <c r="D700" s="22">
        <f>MONTH(Table3[[#This Row],[Order Date]])</f>
        <v>4</v>
      </c>
      <c r="E700" t="s">
        <v>2016</v>
      </c>
      <c r="F700" t="s">
        <v>2017</v>
      </c>
      <c r="G700" s="23" t="s">
        <v>41</v>
      </c>
      <c r="H700" s="23" t="s">
        <v>155</v>
      </c>
      <c r="I700" t="s">
        <v>1046</v>
      </c>
      <c r="J700" t="s">
        <v>36</v>
      </c>
      <c r="K700" s="22">
        <v>4</v>
      </c>
      <c r="L700" s="1">
        <v>42860</v>
      </c>
      <c r="M700" s="22">
        <f>Table3[[#This Row],[Ship Date]]-Table3[[#This Row],[Order Date]]</f>
        <v>5</v>
      </c>
      <c r="N700" s="23" t="s">
        <v>45</v>
      </c>
      <c r="O700" s="23" t="s">
        <v>23</v>
      </c>
      <c r="P700" s="23" t="s">
        <v>38</v>
      </c>
      <c r="Q700" s="23" t="s">
        <v>39</v>
      </c>
      <c r="R700" s="23" t="s">
        <v>114</v>
      </c>
      <c r="S700" s="33">
        <v>0</v>
      </c>
      <c r="T700" s="13">
        <v>30.56</v>
      </c>
      <c r="U700" s="13">
        <v>14.974399999999999</v>
      </c>
      <c r="V700" s="55">
        <f>Table3[[#This Row],[Profit]]/Table3[[#This Row],[Sales]]</f>
        <v>0.49</v>
      </c>
    </row>
    <row r="701" spans="1:22" x14ac:dyDescent="0.2">
      <c r="A701">
        <v>700</v>
      </c>
      <c r="B701" t="s">
        <v>7541</v>
      </c>
      <c r="C701" s="1">
        <v>42855</v>
      </c>
      <c r="D701" s="22">
        <f>MONTH(Table3[[#This Row],[Order Date]])</f>
        <v>4</v>
      </c>
      <c r="E701" t="s">
        <v>998</v>
      </c>
      <c r="F701" t="s">
        <v>999</v>
      </c>
      <c r="G701" s="23" t="s">
        <v>41</v>
      </c>
      <c r="H701" s="23" t="s">
        <v>61</v>
      </c>
      <c r="I701" t="s">
        <v>789</v>
      </c>
      <c r="J701" t="s">
        <v>36</v>
      </c>
      <c r="K701" s="22">
        <v>2</v>
      </c>
      <c r="L701" s="1">
        <v>42860</v>
      </c>
      <c r="M701" s="22">
        <f>Table3[[#This Row],[Ship Date]]-Table3[[#This Row],[Order Date]]</f>
        <v>5</v>
      </c>
      <c r="N701" s="23" t="s">
        <v>45</v>
      </c>
      <c r="O701" s="23" t="s">
        <v>23</v>
      </c>
      <c r="P701" s="23" t="s">
        <v>38</v>
      </c>
      <c r="Q701" s="23" t="s">
        <v>39</v>
      </c>
      <c r="R701" s="23" t="s">
        <v>37</v>
      </c>
      <c r="S701" s="33">
        <v>0</v>
      </c>
      <c r="T701" s="13">
        <v>9.7799999999999994</v>
      </c>
      <c r="U701" s="13">
        <v>4.0098000000000003</v>
      </c>
      <c r="V701" s="55">
        <f>Table3[[#This Row],[Profit]]/Table3[[#This Row],[Sales]]</f>
        <v>0.41000000000000003</v>
      </c>
    </row>
    <row r="702" spans="1:22" x14ac:dyDescent="0.2">
      <c r="A702">
        <v>701</v>
      </c>
      <c r="B702" t="s">
        <v>8555</v>
      </c>
      <c r="C702" s="1">
        <v>42855</v>
      </c>
      <c r="D702" s="22">
        <f>MONTH(Table3[[#This Row],[Order Date]])</f>
        <v>4</v>
      </c>
      <c r="E702" t="s">
        <v>2401</v>
      </c>
      <c r="F702" t="s">
        <v>2402</v>
      </c>
      <c r="G702" s="23" t="s">
        <v>41</v>
      </c>
      <c r="H702" s="23" t="s">
        <v>68</v>
      </c>
      <c r="I702" t="s">
        <v>943</v>
      </c>
      <c r="J702" t="s">
        <v>92</v>
      </c>
      <c r="K702" s="22">
        <v>5</v>
      </c>
      <c r="L702" s="1">
        <v>42859</v>
      </c>
      <c r="M702" s="22">
        <f>Table3[[#This Row],[Ship Date]]-Table3[[#This Row],[Order Date]]</f>
        <v>4</v>
      </c>
      <c r="N702" s="23" t="s">
        <v>45</v>
      </c>
      <c r="O702" s="23" t="s">
        <v>23</v>
      </c>
      <c r="P702" s="23" t="s">
        <v>38</v>
      </c>
      <c r="Q702" s="23" t="s">
        <v>39</v>
      </c>
      <c r="R702" s="23" t="s">
        <v>37</v>
      </c>
      <c r="S702" s="33">
        <v>0.2</v>
      </c>
      <c r="T702" s="13">
        <v>23.24</v>
      </c>
      <c r="U702" s="13">
        <v>7.5529999999999999</v>
      </c>
      <c r="V702" s="55">
        <f>Table3[[#This Row],[Profit]]/Table3[[#This Row],[Sales]]</f>
        <v>0.32500000000000001</v>
      </c>
    </row>
    <row r="703" spans="1:22" x14ac:dyDescent="0.2">
      <c r="A703">
        <v>702</v>
      </c>
      <c r="B703" t="s">
        <v>9324</v>
      </c>
      <c r="C703" s="1">
        <v>42855</v>
      </c>
      <c r="D703" s="22">
        <f>MONTH(Table3[[#This Row],[Order Date]])</f>
        <v>4</v>
      </c>
      <c r="E703" t="s">
        <v>3361</v>
      </c>
      <c r="F703" t="s">
        <v>3362</v>
      </c>
      <c r="G703" s="23" t="s">
        <v>41</v>
      </c>
      <c r="H703" s="23" t="s">
        <v>68</v>
      </c>
      <c r="I703" t="s">
        <v>3095</v>
      </c>
      <c r="J703" t="s">
        <v>92</v>
      </c>
      <c r="K703" s="22">
        <v>3</v>
      </c>
      <c r="L703" s="1">
        <v>42859</v>
      </c>
      <c r="M703" s="22">
        <f>Table3[[#This Row],[Ship Date]]-Table3[[#This Row],[Order Date]]</f>
        <v>4</v>
      </c>
      <c r="N703" s="23" t="s">
        <v>45</v>
      </c>
      <c r="O703" s="23" t="s">
        <v>23</v>
      </c>
      <c r="P703" s="23" t="s">
        <v>48</v>
      </c>
      <c r="Q703" s="23" t="s">
        <v>26</v>
      </c>
      <c r="R703" s="23" t="s">
        <v>9325</v>
      </c>
      <c r="S703" s="33">
        <v>0.7</v>
      </c>
      <c r="T703" s="13">
        <v>4.8419999999999996</v>
      </c>
      <c r="U703" s="13">
        <v>-3.5508000000000002</v>
      </c>
      <c r="V703" s="55">
        <f>Table3[[#This Row],[Profit]]/Table3[[#This Row],[Sales]]</f>
        <v>-0.73333333333333339</v>
      </c>
    </row>
    <row r="704" spans="1:22" x14ac:dyDescent="0.2">
      <c r="A704">
        <v>703</v>
      </c>
      <c r="B704" t="s">
        <v>9324</v>
      </c>
      <c r="C704" s="1">
        <v>42855</v>
      </c>
      <c r="D704" s="22">
        <f>MONTH(Table3[[#This Row],[Order Date]])</f>
        <v>4</v>
      </c>
      <c r="E704" t="s">
        <v>7738</v>
      </c>
      <c r="F704" t="s">
        <v>7739</v>
      </c>
      <c r="G704" s="23" t="s">
        <v>28</v>
      </c>
      <c r="H704" s="23" t="s">
        <v>58</v>
      </c>
      <c r="I704" t="s">
        <v>3095</v>
      </c>
      <c r="J704" t="s">
        <v>92</v>
      </c>
      <c r="K704" s="22">
        <v>6</v>
      </c>
      <c r="L704" s="1">
        <v>42859</v>
      </c>
      <c r="M704" s="22">
        <f>Table3[[#This Row],[Ship Date]]-Table3[[#This Row],[Order Date]]</f>
        <v>4</v>
      </c>
      <c r="N704" s="23" t="s">
        <v>45</v>
      </c>
      <c r="O704" s="23" t="s">
        <v>23</v>
      </c>
      <c r="P704" s="23" t="s">
        <v>48</v>
      </c>
      <c r="Q704" s="23" t="s">
        <v>26</v>
      </c>
      <c r="R704" s="23" t="s">
        <v>9325</v>
      </c>
      <c r="S704" s="33">
        <v>0.2</v>
      </c>
      <c r="T704" s="13">
        <v>220.70400000000001</v>
      </c>
      <c r="U704" s="13">
        <v>-8.2764000000000006</v>
      </c>
      <c r="V704" s="55">
        <f>Table3[[#This Row],[Profit]]/Table3[[#This Row],[Sales]]</f>
        <v>-3.7499999999999999E-2</v>
      </c>
    </row>
    <row r="705" spans="1:22" x14ac:dyDescent="0.2">
      <c r="A705">
        <v>704</v>
      </c>
      <c r="B705" t="s">
        <v>6315</v>
      </c>
      <c r="C705" s="1">
        <v>42856</v>
      </c>
      <c r="D705" s="22">
        <f>MONTH(Table3[[#This Row],[Order Date]])</f>
        <v>5</v>
      </c>
      <c r="E705" t="s">
        <v>6317</v>
      </c>
      <c r="F705" t="s">
        <v>6318</v>
      </c>
      <c r="G705" s="23" t="s">
        <v>64</v>
      </c>
      <c r="H705" s="23" t="s">
        <v>144</v>
      </c>
      <c r="I705" t="s">
        <v>2341</v>
      </c>
      <c r="J705" t="s">
        <v>92</v>
      </c>
      <c r="K705" s="22">
        <v>5</v>
      </c>
      <c r="L705" s="1">
        <v>42860</v>
      </c>
      <c r="M705" s="22">
        <f>Table3[[#This Row],[Ship Date]]-Table3[[#This Row],[Order Date]]</f>
        <v>4</v>
      </c>
      <c r="N705" s="23" t="s">
        <v>45</v>
      </c>
      <c r="O705" s="23" t="s">
        <v>23</v>
      </c>
      <c r="P705" s="23" t="s">
        <v>1510</v>
      </c>
      <c r="Q705" s="23" t="s">
        <v>26</v>
      </c>
      <c r="R705" s="23" t="s">
        <v>6316</v>
      </c>
      <c r="S705" s="33">
        <v>0</v>
      </c>
      <c r="T705" s="13">
        <v>48.9</v>
      </c>
      <c r="U705" s="13">
        <v>18.093</v>
      </c>
      <c r="V705" s="55">
        <f>Table3[[#This Row],[Profit]]/Table3[[#This Row],[Sales]]</f>
        <v>0.37</v>
      </c>
    </row>
    <row r="706" spans="1:22" x14ac:dyDescent="0.2">
      <c r="A706">
        <v>705</v>
      </c>
      <c r="B706" t="s">
        <v>9127</v>
      </c>
      <c r="C706" s="1">
        <v>42856</v>
      </c>
      <c r="D706" s="22">
        <f>MONTH(Table3[[#This Row],[Order Date]])</f>
        <v>5</v>
      </c>
      <c r="E706" t="s">
        <v>7015</v>
      </c>
      <c r="F706" t="s">
        <v>7016</v>
      </c>
      <c r="G706" s="23" t="s">
        <v>41</v>
      </c>
      <c r="H706" s="23" t="s">
        <v>513</v>
      </c>
      <c r="I706" t="s">
        <v>1285</v>
      </c>
      <c r="J706" t="s">
        <v>22</v>
      </c>
      <c r="K706" s="22">
        <v>2</v>
      </c>
      <c r="L706" s="1">
        <v>42861</v>
      </c>
      <c r="M706" s="22">
        <f>Table3[[#This Row],[Ship Date]]-Table3[[#This Row],[Order Date]]</f>
        <v>5</v>
      </c>
      <c r="N706" s="23" t="s">
        <v>45</v>
      </c>
      <c r="O706" s="23" t="s">
        <v>23</v>
      </c>
      <c r="P706" s="23" t="s">
        <v>48</v>
      </c>
      <c r="Q706" s="23" t="s">
        <v>26</v>
      </c>
      <c r="R706" s="23" t="s">
        <v>1345</v>
      </c>
      <c r="S706" s="33">
        <v>0.2</v>
      </c>
      <c r="T706" s="13">
        <v>3.3279999999999998</v>
      </c>
      <c r="U706" s="13">
        <v>0.41599999999999998</v>
      </c>
      <c r="V706" s="55">
        <f>Table3[[#This Row],[Profit]]/Table3[[#This Row],[Sales]]</f>
        <v>0.125</v>
      </c>
    </row>
    <row r="707" spans="1:22" x14ac:dyDescent="0.2">
      <c r="A707">
        <v>706</v>
      </c>
      <c r="B707" t="s">
        <v>9127</v>
      </c>
      <c r="C707" s="1">
        <v>42856</v>
      </c>
      <c r="D707" s="22">
        <f>MONTH(Table3[[#This Row],[Order Date]])</f>
        <v>5</v>
      </c>
      <c r="E707" t="s">
        <v>1418</v>
      </c>
      <c r="F707" t="s">
        <v>1419</v>
      </c>
      <c r="G707" s="23" t="s">
        <v>28</v>
      </c>
      <c r="H707" s="23" t="s">
        <v>50</v>
      </c>
      <c r="I707" t="s">
        <v>1285</v>
      </c>
      <c r="J707" t="s">
        <v>22</v>
      </c>
      <c r="K707" s="22">
        <v>4</v>
      </c>
      <c r="L707" s="1">
        <v>42861</v>
      </c>
      <c r="M707" s="22">
        <f>Table3[[#This Row],[Ship Date]]-Table3[[#This Row],[Order Date]]</f>
        <v>5</v>
      </c>
      <c r="N707" s="23" t="s">
        <v>45</v>
      </c>
      <c r="O707" s="23" t="s">
        <v>23</v>
      </c>
      <c r="P707" s="23" t="s">
        <v>48</v>
      </c>
      <c r="Q707" s="23" t="s">
        <v>26</v>
      </c>
      <c r="R707" s="23" t="s">
        <v>1345</v>
      </c>
      <c r="S707" s="33">
        <v>0.45</v>
      </c>
      <c r="T707" s="13">
        <v>933.26199999999994</v>
      </c>
      <c r="U707" s="13">
        <v>-458.14679999999998</v>
      </c>
      <c r="V707" s="55">
        <f>Table3[[#This Row],[Profit]]/Table3[[#This Row],[Sales]]</f>
        <v>-0.49090909090909091</v>
      </c>
    </row>
    <row r="708" spans="1:22" x14ac:dyDescent="0.2">
      <c r="A708">
        <v>707</v>
      </c>
      <c r="B708" t="s">
        <v>9127</v>
      </c>
      <c r="C708" s="1">
        <v>42856</v>
      </c>
      <c r="D708" s="22">
        <f>MONTH(Table3[[#This Row],[Order Date]])</f>
        <v>5</v>
      </c>
      <c r="E708" t="s">
        <v>1656</v>
      </c>
      <c r="F708" t="s">
        <v>1657</v>
      </c>
      <c r="G708" s="23" t="s">
        <v>28</v>
      </c>
      <c r="H708" s="23" t="s">
        <v>32</v>
      </c>
      <c r="I708" t="s">
        <v>1285</v>
      </c>
      <c r="J708" t="s">
        <v>22</v>
      </c>
      <c r="K708" s="22">
        <v>5</v>
      </c>
      <c r="L708" s="1">
        <v>42861</v>
      </c>
      <c r="M708" s="22">
        <f>Table3[[#This Row],[Ship Date]]-Table3[[#This Row],[Order Date]]</f>
        <v>5</v>
      </c>
      <c r="N708" s="23" t="s">
        <v>45</v>
      </c>
      <c r="O708" s="23" t="s">
        <v>23</v>
      </c>
      <c r="P708" s="23" t="s">
        <v>48</v>
      </c>
      <c r="Q708" s="23" t="s">
        <v>26</v>
      </c>
      <c r="R708" s="23" t="s">
        <v>1345</v>
      </c>
      <c r="S708" s="33">
        <v>0.2</v>
      </c>
      <c r="T708" s="13">
        <v>2803.92</v>
      </c>
      <c r="U708" s="13">
        <v>0</v>
      </c>
      <c r="V708" s="55">
        <f>Table3[[#This Row],[Profit]]/Table3[[#This Row],[Sales]]</f>
        <v>0</v>
      </c>
    </row>
    <row r="709" spans="1:22" x14ac:dyDescent="0.2">
      <c r="A709">
        <v>708</v>
      </c>
      <c r="B709" t="s">
        <v>9774</v>
      </c>
      <c r="C709" s="1">
        <v>42856</v>
      </c>
      <c r="D709" s="22">
        <f>MONTH(Table3[[#This Row],[Order Date]])</f>
        <v>5</v>
      </c>
      <c r="E709" t="s">
        <v>27</v>
      </c>
      <c r="F709" t="s">
        <v>30</v>
      </c>
      <c r="G709" s="23" t="s">
        <v>28</v>
      </c>
      <c r="H709" s="23" t="s">
        <v>29</v>
      </c>
      <c r="I709" t="s">
        <v>1158</v>
      </c>
      <c r="J709" t="s">
        <v>22</v>
      </c>
      <c r="K709" s="22">
        <v>3</v>
      </c>
      <c r="L709" s="1">
        <v>42857</v>
      </c>
      <c r="M709" s="22">
        <f>Table3[[#This Row],[Ship Date]]-Table3[[#This Row],[Order Date]]</f>
        <v>1</v>
      </c>
      <c r="N709" s="23" t="s">
        <v>169</v>
      </c>
      <c r="O709" s="23" t="s">
        <v>23</v>
      </c>
      <c r="P709" s="23" t="s">
        <v>48</v>
      </c>
      <c r="Q709" s="23" t="s">
        <v>26</v>
      </c>
      <c r="R709" s="23" t="s">
        <v>3006</v>
      </c>
      <c r="S709" s="33">
        <v>0.2</v>
      </c>
      <c r="T709" s="13">
        <v>314.35199999999998</v>
      </c>
      <c r="U709" s="13">
        <v>-15.717599999999999</v>
      </c>
      <c r="V709" s="55">
        <f>Table3[[#This Row],[Profit]]/Table3[[#This Row],[Sales]]</f>
        <v>-0.05</v>
      </c>
    </row>
    <row r="710" spans="1:22" x14ac:dyDescent="0.2">
      <c r="A710">
        <v>709</v>
      </c>
      <c r="B710" t="s">
        <v>9774</v>
      </c>
      <c r="C710" s="1">
        <v>42856</v>
      </c>
      <c r="D710" s="22">
        <f>MONTH(Table3[[#This Row],[Order Date]])</f>
        <v>5</v>
      </c>
      <c r="E710" t="s">
        <v>6125</v>
      </c>
      <c r="F710" t="s">
        <v>6126</v>
      </c>
      <c r="G710" s="23" t="s">
        <v>41</v>
      </c>
      <c r="H710" s="23" t="s">
        <v>42</v>
      </c>
      <c r="I710" t="s">
        <v>1158</v>
      </c>
      <c r="J710" t="s">
        <v>22</v>
      </c>
      <c r="K710" s="22">
        <v>2</v>
      </c>
      <c r="L710" s="1">
        <v>42857</v>
      </c>
      <c r="M710" s="22">
        <f>Table3[[#This Row],[Ship Date]]-Table3[[#This Row],[Order Date]]</f>
        <v>1</v>
      </c>
      <c r="N710" s="23" t="s">
        <v>169</v>
      </c>
      <c r="O710" s="23" t="s">
        <v>23</v>
      </c>
      <c r="P710" s="23" t="s">
        <v>48</v>
      </c>
      <c r="Q710" s="23" t="s">
        <v>26</v>
      </c>
      <c r="R710" s="23" t="s">
        <v>3006</v>
      </c>
      <c r="S710" s="33">
        <v>0.2</v>
      </c>
      <c r="T710" s="13">
        <v>4.6079999999999997</v>
      </c>
      <c r="U710" s="13">
        <v>1.4976</v>
      </c>
      <c r="V710" s="55">
        <f>Table3[[#This Row],[Profit]]/Table3[[#This Row],[Sales]]</f>
        <v>0.32500000000000001</v>
      </c>
    </row>
    <row r="711" spans="1:22" x14ac:dyDescent="0.2">
      <c r="A711">
        <v>710</v>
      </c>
      <c r="B711" t="s">
        <v>4986</v>
      </c>
      <c r="C711" s="1">
        <v>42857</v>
      </c>
      <c r="D711" s="22">
        <f>MONTH(Table3[[#This Row],[Order Date]])</f>
        <v>5</v>
      </c>
      <c r="E711" t="s">
        <v>2704</v>
      </c>
      <c r="F711" t="s">
        <v>2705</v>
      </c>
      <c r="G711" s="23" t="s">
        <v>28</v>
      </c>
      <c r="H711" s="23" t="s">
        <v>58</v>
      </c>
      <c r="I711" t="s">
        <v>492</v>
      </c>
      <c r="J711" t="s">
        <v>36</v>
      </c>
      <c r="K711" s="22">
        <v>3</v>
      </c>
      <c r="L711" s="1">
        <v>42862</v>
      </c>
      <c r="M711" s="22">
        <f>Table3[[#This Row],[Ship Date]]-Table3[[#This Row],[Order Date]]</f>
        <v>5</v>
      </c>
      <c r="N711" s="23" t="s">
        <v>45</v>
      </c>
      <c r="O711" s="23" t="s">
        <v>23</v>
      </c>
      <c r="P711" s="23" t="s">
        <v>695</v>
      </c>
      <c r="Q711" s="23" t="s">
        <v>133</v>
      </c>
      <c r="R711" s="23" t="s">
        <v>694</v>
      </c>
      <c r="S711" s="33">
        <v>0</v>
      </c>
      <c r="T711" s="13">
        <v>129.93</v>
      </c>
      <c r="U711" s="13">
        <v>12.993</v>
      </c>
      <c r="V711" s="55">
        <f>Table3[[#This Row],[Profit]]/Table3[[#This Row],[Sales]]</f>
        <v>9.9999999999999992E-2</v>
      </c>
    </row>
    <row r="712" spans="1:22" x14ac:dyDescent="0.2">
      <c r="A712">
        <v>711</v>
      </c>
      <c r="B712" t="s">
        <v>8393</v>
      </c>
      <c r="C712" s="1">
        <v>42857</v>
      </c>
      <c r="D712" s="22">
        <f>MONTH(Table3[[#This Row],[Order Date]])</f>
        <v>5</v>
      </c>
      <c r="E712" t="s">
        <v>2348</v>
      </c>
      <c r="F712" t="s">
        <v>2349</v>
      </c>
      <c r="G712" s="23" t="s">
        <v>64</v>
      </c>
      <c r="H712" s="23" t="s">
        <v>144</v>
      </c>
      <c r="I712" t="s">
        <v>4723</v>
      </c>
      <c r="J712" t="s">
        <v>36</v>
      </c>
      <c r="K712" s="22">
        <v>4</v>
      </c>
      <c r="L712" s="1">
        <v>42860</v>
      </c>
      <c r="M712" s="22">
        <f>Table3[[#This Row],[Ship Date]]-Table3[[#This Row],[Order Date]]</f>
        <v>3</v>
      </c>
      <c r="N712" s="23" t="s">
        <v>20</v>
      </c>
      <c r="O712" s="23" t="s">
        <v>23</v>
      </c>
      <c r="P712" s="23" t="s">
        <v>38</v>
      </c>
      <c r="Q712" s="23" t="s">
        <v>39</v>
      </c>
      <c r="R712" s="23" t="s">
        <v>37</v>
      </c>
      <c r="S712" s="33">
        <v>0</v>
      </c>
      <c r="T712" s="13">
        <v>159.56</v>
      </c>
      <c r="U712" s="13">
        <v>59.037199999999999</v>
      </c>
      <c r="V712" s="55">
        <f>Table3[[#This Row],[Profit]]/Table3[[#This Row],[Sales]]</f>
        <v>0.37</v>
      </c>
    </row>
    <row r="713" spans="1:22" x14ac:dyDescent="0.2">
      <c r="A713">
        <v>712</v>
      </c>
      <c r="B713" t="s">
        <v>8681</v>
      </c>
      <c r="C713" s="1">
        <v>42857</v>
      </c>
      <c r="D713" s="22">
        <f>MONTH(Table3[[#This Row],[Order Date]])</f>
        <v>5</v>
      </c>
      <c r="E713" t="s">
        <v>5182</v>
      </c>
      <c r="F713" t="s">
        <v>5183</v>
      </c>
      <c r="G713" s="23" t="s">
        <v>41</v>
      </c>
      <c r="H713" s="23" t="s">
        <v>82</v>
      </c>
      <c r="I713" t="s">
        <v>6489</v>
      </c>
      <c r="J713" t="s">
        <v>22</v>
      </c>
      <c r="K713" s="22">
        <v>5</v>
      </c>
      <c r="L713" s="1">
        <v>42861</v>
      </c>
      <c r="M713" s="22">
        <f>Table3[[#This Row],[Ship Date]]-Table3[[#This Row],[Order Date]]</f>
        <v>4</v>
      </c>
      <c r="N713" s="23" t="s">
        <v>45</v>
      </c>
      <c r="O713" s="23" t="s">
        <v>23</v>
      </c>
      <c r="P713" s="23" t="s">
        <v>38</v>
      </c>
      <c r="Q713" s="23" t="s">
        <v>39</v>
      </c>
      <c r="R713" s="23" t="s">
        <v>37</v>
      </c>
      <c r="S713" s="33">
        <v>0</v>
      </c>
      <c r="T713" s="13">
        <v>15.7</v>
      </c>
      <c r="U713" s="13">
        <v>7.0650000000000004</v>
      </c>
      <c r="V713" s="55">
        <f>Table3[[#This Row],[Profit]]/Table3[[#This Row],[Sales]]</f>
        <v>0.45000000000000007</v>
      </c>
    </row>
    <row r="714" spans="1:22" x14ac:dyDescent="0.2">
      <c r="A714">
        <v>713</v>
      </c>
      <c r="B714" t="s">
        <v>8681</v>
      </c>
      <c r="C714" s="1">
        <v>42857</v>
      </c>
      <c r="D714" s="22">
        <f>MONTH(Table3[[#This Row],[Order Date]])</f>
        <v>5</v>
      </c>
      <c r="E714" t="s">
        <v>5694</v>
      </c>
      <c r="F714" t="s">
        <v>5695</v>
      </c>
      <c r="G714" s="23" t="s">
        <v>41</v>
      </c>
      <c r="H714" s="23" t="s">
        <v>61</v>
      </c>
      <c r="I714" t="s">
        <v>6489</v>
      </c>
      <c r="J714" t="s">
        <v>22</v>
      </c>
      <c r="K714" s="22">
        <v>3</v>
      </c>
      <c r="L714" s="1">
        <v>42861</v>
      </c>
      <c r="M714" s="22">
        <f>Table3[[#This Row],[Ship Date]]-Table3[[#This Row],[Order Date]]</f>
        <v>4</v>
      </c>
      <c r="N714" s="23" t="s">
        <v>45</v>
      </c>
      <c r="O714" s="23" t="s">
        <v>23</v>
      </c>
      <c r="P714" s="23" t="s">
        <v>38</v>
      </c>
      <c r="Q714" s="23" t="s">
        <v>39</v>
      </c>
      <c r="R714" s="23" t="s">
        <v>37</v>
      </c>
      <c r="S714" s="33">
        <v>0</v>
      </c>
      <c r="T714" s="13">
        <v>59.52</v>
      </c>
      <c r="U714" s="13">
        <v>15.475199999999999</v>
      </c>
      <c r="V714" s="55">
        <f>Table3[[#This Row],[Profit]]/Table3[[#This Row],[Sales]]</f>
        <v>0.25999999999999995</v>
      </c>
    </row>
    <row r="715" spans="1:22" x14ac:dyDescent="0.2">
      <c r="A715">
        <v>714</v>
      </c>
      <c r="B715" t="s">
        <v>8681</v>
      </c>
      <c r="C715" s="1">
        <v>42857</v>
      </c>
      <c r="D715" s="22">
        <f>MONTH(Table3[[#This Row],[Order Date]])</f>
        <v>5</v>
      </c>
      <c r="E715" t="s">
        <v>1120</v>
      </c>
      <c r="F715" t="s">
        <v>1121</v>
      </c>
      <c r="G715" s="23" t="s">
        <v>41</v>
      </c>
      <c r="H715" s="23" t="s">
        <v>82</v>
      </c>
      <c r="I715" t="s">
        <v>6489</v>
      </c>
      <c r="J715" t="s">
        <v>22</v>
      </c>
      <c r="K715" s="22">
        <v>5</v>
      </c>
      <c r="L715" s="1">
        <v>42861</v>
      </c>
      <c r="M715" s="22">
        <f>Table3[[#This Row],[Ship Date]]-Table3[[#This Row],[Order Date]]</f>
        <v>4</v>
      </c>
      <c r="N715" s="23" t="s">
        <v>45</v>
      </c>
      <c r="O715" s="23" t="s">
        <v>23</v>
      </c>
      <c r="P715" s="23" t="s">
        <v>38</v>
      </c>
      <c r="Q715" s="23" t="s">
        <v>39</v>
      </c>
      <c r="R715" s="23" t="s">
        <v>37</v>
      </c>
      <c r="S715" s="33">
        <v>0</v>
      </c>
      <c r="T715" s="13">
        <v>34.4</v>
      </c>
      <c r="U715" s="13">
        <v>15.824</v>
      </c>
      <c r="V715" s="55">
        <f>Table3[[#This Row],[Profit]]/Table3[[#This Row],[Sales]]</f>
        <v>0.46</v>
      </c>
    </row>
    <row r="716" spans="1:22" x14ac:dyDescent="0.2">
      <c r="A716">
        <v>715</v>
      </c>
      <c r="B716" t="s">
        <v>6087</v>
      </c>
      <c r="C716" s="1">
        <v>42858</v>
      </c>
      <c r="D716" s="22">
        <f>MONTH(Table3[[#This Row],[Order Date]])</f>
        <v>5</v>
      </c>
      <c r="E716" t="s">
        <v>4095</v>
      </c>
      <c r="F716" t="s">
        <v>4096</v>
      </c>
      <c r="G716" s="23" t="s">
        <v>41</v>
      </c>
      <c r="H716" s="23" t="s">
        <v>53</v>
      </c>
      <c r="I716" t="s">
        <v>6088</v>
      </c>
      <c r="J716" t="s">
        <v>36</v>
      </c>
      <c r="K716" s="22">
        <v>2</v>
      </c>
      <c r="L716" s="1">
        <v>42863</v>
      </c>
      <c r="M716" s="22">
        <f>Table3[[#This Row],[Ship Date]]-Table3[[#This Row],[Order Date]]</f>
        <v>5</v>
      </c>
      <c r="N716" s="23" t="s">
        <v>20</v>
      </c>
      <c r="O716" s="23" t="s">
        <v>23</v>
      </c>
      <c r="P716" s="23" t="s">
        <v>38</v>
      </c>
      <c r="Q716" s="23" t="s">
        <v>39</v>
      </c>
      <c r="R716" s="23" t="s">
        <v>37</v>
      </c>
      <c r="S716" s="33">
        <v>0</v>
      </c>
      <c r="T716" s="13">
        <v>69.52</v>
      </c>
      <c r="U716" s="13">
        <v>19.465599999999998</v>
      </c>
      <c r="V716" s="55">
        <f>Table3[[#This Row],[Profit]]/Table3[[#This Row],[Sales]]</f>
        <v>0.27999999999999997</v>
      </c>
    </row>
    <row r="717" spans="1:22" x14ac:dyDescent="0.2">
      <c r="A717">
        <v>716</v>
      </c>
      <c r="B717" t="s">
        <v>6087</v>
      </c>
      <c r="C717" s="1">
        <v>42858</v>
      </c>
      <c r="D717" s="22">
        <f>MONTH(Table3[[#This Row],[Order Date]])</f>
        <v>5</v>
      </c>
      <c r="E717" t="s">
        <v>2136</v>
      </c>
      <c r="F717" t="s">
        <v>2137</v>
      </c>
      <c r="G717" s="23" t="s">
        <v>41</v>
      </c>
      <c r="H717" s="23" t="s">
        <v>53</v>
      </c>
      <c r="I717" t="s">
        <v>6088</v>
      </c>
      <c r="J717" t="s">
        <v>36</v>
      </c>
      <c r="K717" s="22">
        <v>8</v>
      </c>
      <c r="L717" s="1">
        <v>42863</v>
      </c>
      <c r="M717" s="22">
        <f>Table3[[#This Row],[Ship Date]]-Table3[[#This Row],[Order Date]]</f>
        <v>5</v>
      </c>
      <c r="N717" s="23" t="s">
        <v>20</v>
      </c>
      <c r="O717" s="23" t="s">
        <v>23</v>
      </c>
      <c r="P717" s="23" t="s">
        <v>38</v>
      </c>
      <c r="Q717" s="23" t="s">
        <v>39</v>
      </c>
      <c r="R717" s="23" t="s">
        <v>37</v>
      </c>
      <c r="S717" s="33">
        <v>0</v>
      </c>
      <c r="T717" s="13">
        <v>763.44</v>
      </c>
      <c r="U717" s="13">
        <v>45.806399999999996</v>
      </c>
      <c r="V717" s="55">
        <f>Table3[[#This Row],[Profit]]/Table3[[#This Row],[Sales]]</f>
        <v>5.9999999999999991E-2</v>
      </c>
    </row>
    <row r="718" spans="1:22" x14ac:dyDescent="0.2">
      <c r="A718">
        <v>717</v>
      </c>
      <c r="B718" t="s">
        <v>8782</v>
      </c>
      <c r="C718" s="1">
        <v>42858</v>
      </c>
      <c r="D718" s="22">
        <f>MONTH(Table3[[#This Row],[Order Date]])</f>
        <v>5</v>
      </c>
      <c r="E718" t="s">
        <v>2687</v>
      </c>
      <c r="F718" t="s">
        <v>2688</v>
      </c>
      <c r="G718" s="23" t="s">
        <v>41</v>
      </c>
      <c r="H718" s="23" t="s">
        <v>82</v>
      </c>
      <c r="I718" t="s">
        <v>1344</v>
      </c>
      <c r="J718" t="s">
        <v>22</v>
      </c>
      <c r="K718" s="22">
        <v>4</v>
      </c>
      <c r="L718" s="1">
        <v>42862</v>
      </c>
      <c r="M718" s="22">
        <f>Table3[[#This Row],[Ship Date]]-Table3[[#This Row],[Order Date]]</f>
        <v>4</v>
      </c>
      <c r="N718" s="23" t="s">
        <v>45</v>
      </c>
      <c r="O718" s="23" t="s">
        <v>23</v>
      </c>
      <c r="P718" s="23" t="s">
        <v>38</v>
      </c>
      <c r="Q718" s="23" t="s">
        <v>39</v>
      </c>
      <c r="R718" s="23" t="s">
        <v>114</v>
      </c>
      <c r="S718" s="33">
        <v>0</v>
      </c>
      <c r="T718" s="13">
        <v>25.92</v>
      </c>
      <c r="U718" s="13">
        <v>12.441599999999999</v>
      </c>
      <c r="V718" s="55">
        <f>Table3[[#This Row],[Profit]]/Table3[[#This Row],[Sales]]</f>
        <v>0.47999999999999993</v>
      </c>
    </row>
    <row r="719" spans="1:22" x14ac:dyDescent="0.2">
      <c r="A719">
        <v>718</v>
      </c>
      <c r="B719" t="s">
        <v>8782</v>
      </c>
      <c r="C719" s="1">
        <v>42858</v>
      </c>
      <c r="D719" s="22">
        <f>MONTH(Table3[[#This Row],[Order Date]])</f>
        <v>5</v>
      </c>
      <c r="E719" t="s">
        <v>986</v>
      </c>
      <c r="F719" t="s">
        <v>987</v>
      </c>
      <c r="G719" s="23" t="s">
        <v>41</v>
      </c>
      <c r="H719" s="23" t="s">
        <v>61</v>
      </c>
      <c r="I719" t="s">
        <v>1344</v>
      </c>
      <c r="J719" t="s">
        <v>22</v>
      </c>
      <c r="K719" s="22">
        <v>7</v>
      </c>
      <c r="L719" s="1">
        <v>42862</v>
      </c>
      <c r="M719" s="22">
        <f>Table3[[#This Row],[Ship Date]]-Table3[[#This Row],[Order Date]]</f>
        <v>4</v>
      </c>
      <c r="N719" s="23" t="s">
        <v>45</v>
      </c>
      <c r="O719" s="23" t="s">
        <v>23</v>
      </c>
      <c r="P719" s="23" t="s">
        <v>38</v>
      </c>
      <c r="Q719" s="23" t="s">
        <v>39</v>
      </c>
      <c r="R719" s="23" t="s">
        <v>114</v>
      </c>
      <c r="S719" s="33">
        <v>0</v>
      </c>
      <c r="T719" s="13">
        <v>22.96</v>
      </c>
      <c r="U719" s="13">
        <v>6.6584000000000003</v>
      </c>
      <c r="V719" s="55">
        <f>Table3[[#This Row],[Profit]]/Table3[[#This Row],[Sales]]</f>
        <v>0.28999999999999998</v>
      </c>
    </row>
    <row r="720" spans="1:22" x14ac:dyDescent="0.2">
      <c r="A720">
        <v>719</v>
      </c>
      <c r="B720" t="s">
        <v>9193</v>
      </c>
      <c r="C720" s="1">
        <v>42858</v>
      </c>
      <c r="D720" s="22">
        <f>MONTH(Table3[[#This Row],[Order Date]])</f>
        <v>5</v>
      </c>
      <c r="E720" t="s">
        <v>7629</v>
      </c>
      <c r="F720" t="s">
        <v>7630</v>
      </c>
      <c r="G720" s="23" t="s">
        <v>28</v>
      </c>
      <c r="H720" s="23" t="s">
        <v>58</v>
      </c>
      <c r="I720" t="s">
        <v>5094</v>
      </c>
      <c r="J720" t="s">
        <v>36</v>
      </c>
      <c r="K720" s="22">
        <v>2</v>
      </c>
      <c r="L720" s="1">
        <v>42863</v>
      </c>
      <c r="M720" s="22">
        <f>Table3[[#This Row],[Ship Date]]-Table3[[#This Row],[Order Date]]</f>
        <v>5</v>
      </c>
      <c r="N720" s="23" t="s">
        <v>45</v>
      </c>
      <c r="O720" s="23" t="s">
        <v>23</v>
      </c>
      <c r="P720" s="23" t="s">
        <v>132</v>
      </c>
      <c r="Q720" s="23" t="s">
        <v>133</v>
      </c>
      <c r="R720" s="23" t="s">
        <v>131</v>
      </c>
      <c r="S720" s="33">
        <v>0.2</v>
      </c>
      <c r="T720" s="13">
        <v>32.448</v>
      </c>
      <c r="U720" s="13">
        <v>7.3007999999999997</v>
      </c>
      <c r="V720" s="55">
        <f>Table3[[#This Row],[Profit]]/Table3[[#This Row],[Sales]]</f>
        <v>0.22499999999999998</v>
      </c>
    </row>
    <row r="721" spans="1:22" x14ac:dyDescent="0.2">
      <c r="A721">
        <v>720</v>
      </c>
      <c r="B721" t="s">
        <v>9193</v>
      </c>
      <c r="C721" s="1">
        <v>42858</v>
      </c>
      <c r="D721" s="22">
        <f>MONTH(Table3[[#This Row],[Order Date]])</f>
        <v>5</v>
      </c>
      <c r="E721" t="s">
        <v>2454</v>
      </c>
      <c r="F721" t="s">
        <v>2455</v>
      </c>
      <c r="G721" s="23" t="s">
        <v>41</v>
      </c>
      <c r="H721" s="23" t="s">
        <v>68</v>
      </c>
      <c r="I721" t="s">
        <v>5094</v>
      </c>
      <c r="J721" t="s">
        <v>36</v>
      </c>
      <c r="K721" s="22">
        <v>4</v>
      </c>
      <c r="L721" s="1">
        <v>42863</v>
      </c>
      <c r="M721" s="22">
        <f>Table3[[#This Row],[Ship Date]]-Table3[[#This Row],[Order Date]]</f>
        <v>5</v>
      </c>
      <c r="N721" s="23" t="s">
        <v>45</v>
      </c>
      <c r="O721" s="23" t="s">
        <v>23</v>
      </c>
      <c r="P721" s="23" t="s">
        <v>132</v>
      </c>
      <c r="Q721" s="23" t="s">
        <v>133</v>
      </c>
      <c r="R721" s="23" t="s">
        <v>131</v>
      </c>
      <c r="S721" s="33">
        <v>0.7</v>
      </c>
      <c r="T721" s="13">
        <v>26.388000000000002</v>
      </c>
      <c r="U721" s="13">
        <v>-17.591999999999999</v>
      </c>
      <c r="V721" s="55">
        <f>Table3[[#This Row],[Profit]]/Table3[[#This Row],[Sales]]</f>
        <v>-0.66666666666666663</v>
      </c>
    </row>
    <row r="722" spans="1:22" x14ac:dyDescent="0.2">
      <c r="A722">
        <v>721</v>
      </c>
      <c r="B722" t="s">
        <v>9193</v>
      </c>
      <c r="C722" s="1">
        <v>42858</v>
      </c>
      <c r="D722" s="22">
        <f>MONTH(Table3[[#This Row],[Order Date]])</f>
        <v>5</v>
      </c>
      <c r="E722" t="s">
        <v>778</v>
      </c>
      <c r="F722" t="s">
        <v>779</v>
      </c>
      <c r="G722" s="23" t="s">
        <v>28</v>
      </c>
      <c r="H722" s="23" t="s">
        <v>50</v>
      </c>
      <c r="I722" t="s">
        <v>5094</v>
      </c>
      <c r="J722" t="s">
        <v>36</v>
      </c>
      <c r="K722" s="22">
        <v>5</v>
      </c>
      <c r="L722" s="1">
        <v>42863</v>
      </c>
      <c r="M722" s="22">
        <f>Table3[[#This Row],[Ship Date]]-Table3[[#This Row],[Order Date]]</f>
        <v>5</v>
      </c>
      <c r="N722" s="23" t="s">
        <v>45</v>
      </c>
      <c r="O722" s="23" t="s">
        <v>23</v>
      </c>
      <c r="P722" s="23" t="s">
        <v>132</v>
      </c>
      <c r="Q722" s="23" t="s">
        <v>133</v>
      </c>
      <c r="R722" s="23" t="s">
        <v>131</v>
      </c>
      <c r="S722" s="33">
        <v>0.4</v>
      </c>
      <c r="T722" s="13">
        <v>373.47</v>
      </c>
      <c r="U722" s="13">
        <v>-112.041</v>
      </c>
      <c r="V722" s="55">
        <f>Table3[[#This Row],[Profit]]/Table3[[#This Row],[Sales]]</f>
        <v>-0.3</v>
      </c>
    </row>
    <row r="723" spans="1:22" x14ac:dyDescent="0.2">
      <c r="A723">
        <v>722</v>
      </c>
      <c r="B723" t="s">
        <v>9193</v>
      </c>
      <c r="C723" s="1">
        <v>42858</v>
      </c>
      <c r="D723" s="22">
        <f>MONTH(Table3[[#This Row],[Order Date]])</f>
        <v>5</v>
      </c>
      <c r="E723" t="s">
        <v>4104</v>
      </c>
      <c r="F723" t="s">
        <v>4105</v>
      </c>
      <c r="G723" s="23" t="s">
        <v>41</v>
      </c>
      <c r="H723" s="23" t="s">
        <v>68</v>
      </c>
      <c r="I723" t="s">
        <v>5094</v>
      </c>
      <c r="J723" t="s">
        <v>36</v>
      </c>
      <c r="K723" s="22">
        <v>5</v>
      </c>
      <c r="L723" s="1">
        <v>42863</v>
      </c>
      <c r="M723" s="22">
        <f>Table3[[#This Row],[Ship Date]]-Table3[[#This Row],[Order Date]]</f>
        <v>5</v>
      </c>
      <c r="N723" s="23" t="s">
        <v>45</v>
      </c>
      <c r="O723" s="23" t="s">
        <v>23</v>
      </c>
      <c r="P723" s="23" t="s">
        <v>132</v>
      </c>
      <c r="Q723" s="23" t="s">
        <v>133</v>
      </c>
      <c r="R723" s="23" t="s">
        <v>131</v>
      </c>
      <c r="S723" s="33">
        <v>0.7</v>
      </c>
      <c r="T723" s="13">
        <v>64.2</v>
      </c>
      <c r="U723" s="13">
        <v>-44.94</v>
      </c>
      <c r="V723" s="55">
        <f>Table3[[#This Row],[Profit]]/Table3[[#This Row],[Sales]]</f>
        <v>-0.7</v>
      </c>
    </row>
    <row r="724" spans="1:22" x14ac:dyDescent="0.2">
      <c r="A724">
        <v>723</v>
      </c>
      <c r="B724" t="s">
        <v>9193</v>
      </c>
      <c r="C724" s="1">
        <v>42858</v>
      </c>
      <c r="D724" s="22">
        <f>MONTH(Table3[[#This Row],[Order Date]])</f>
        <v>5</v>
      </c>
      <c r="E724" t="s">
        <v>2264</v>
      </c>
      <c r="F724" t="s">
        <v>2265</v>
      </c>
      <c r="G724" s="23" t="s">
        <v>41</v>
      </c>
      <c r="H724" s="23" t="s">
        <v>240</v>
      </c>
      <c r="I724" t="s">
        <v>5094</v>
      </c>
      <c r="J724" t="s">
        <v>36</v>
      </c>
      <c r="K724" s="22">
        <v>2</v>
      </c>
      <c r="L724" s="1">
        <v>42863</v>
      </c>
      <c r="M724" s="22">
        <f>Table3[[#This Row],[Ship Date]]-Table3[[#This Row],[Order Date]]</f>
        <v>5</v>
      </c>
      <c r="N724" s="23" t="s">
        <v>45</v>
      </c>
      <c r="O724" s="23" t="s">
        <v>23</v>
      </c>
      <c r="P724" s="23" t="s">
        <v>132</v>
      </c>
      <c r="Q724" s="23" t="s">
        <v>133</v>
      </c>
      <c r="R724" s="23" t="s">
        <v>131</v>
      </c>
      <c r="S724" s="33">
        <v>0.2</v>
      </c>
      <c r="T724" s="13">
        <v>8</v>
      </c>
      <c r="U724" s="13">
        <v>2.8</v>
      </c>
      <c r="V724" s="55">
        <f>Table3[[#This Row],[Profit]]/Table3[[#This Row],[Sales]]</f>
        <v>0.35</v>
      </c>
    </row>
    <row r="725" spans="1:22" x14ac:dyDescent="0.2">
      <c r="A725">
        <v>724</v>
      </c>
      <c r="B725" t="s">
        <v>3290</v>
      </c>
      <c r="C725" s="1">
        <v>42859</v>
      </c>
      <c r="D725" s="22">
        <f>MONTH(Table3[[#This Row],[Order Date]])</f>
        <v>5</v>
      </c>
      <c r="E725" t="s">
        <v>1782</v>
      </c>
      <c r="F725" t="s">
        <v>1783</v>
      </c>
      <c r="G725" s="23" t="s">
        <v>64</v>
      </c>
      <c r="H725" s="23" t="s">
        <v>65</v>
      </c>
      <c r="I725" t="s">
        <v>2560</v>
      </c>
      <c r="J725" t="s">
        <v>36</v>
      </c>
      <c r="K725" s="22">
        <v>5</v>
      </c>
      <c r="L725" s="1">
        <v>42864</v>
      </c>
      <c r="M725" s="22">
        <f>Table3[[#This Row],[Ship Date]]-Table3[[#This Row],[Order Date]]</f>
        <v>5</v>
      </c>
      <c r="N725" s="23" t="s">
        <v>45</v>
      </c>
      <c r="O725" s="23" t="s">
        <v>23</v>
      </c>
      <c r="P725" s="23" t="s">
        <v>38</v>
      </c>
      <c r="Q725" s="23" t="s">
        <v>39</v>
      </c>
      <c r="R725" s="23" t="s">
        <v>114</v>
      </c>
      <c r="S725" s="33">
        <v>0.2</v>
      </c>
      <c r="T725" s="13">
        <v>183.96</v>
      </c>
      <c r="U725" s="13">
        <v>20.695499999999999</v>
      </c>
      <c r="V725" s="55">
        <f>Table3[[#This Row],[Profit]]/Table3[[#This Row],[Sales]]</f>
        <v>0.11249999999999999</v>
      </c>
    </row>
    <row r="726" spans="1:22" x14ac:dyDescent="0.2">
      <c r="A726">
        <v>725</v>
      </c>
      <c r="B726" t="s">
        <v>3290</v>
      </c>
      <c r="C726" s="1">
        <v>42859</v>
      </c>
      <c r="D726" s="22">
        <f>MONTH(Table3[[#This Row],[Order Date]])</f>
        <v>5</v>
      </c>
      <c r="E726" t="s">
        <v>2431</v>
      </c>
      <c r="F726" t="s">
        <v>2432</v>
      </c>
      <c r="G726" s="23" t="s">
        <v>41</v>
      </c>
      <c r="H726" s="23" t="s">
        <v>82</v>
      </c>
      <c r="I726" t="s">
        <v>2560</v>
      </c>
      <c r="J726" t="s">
        <v>36</v>
      </c>
      <c r="K726" s="22">
        <v>3</v>
      </c>
      <c r="L726" s="1">
        <v>42864</v>
      </c>
      <c r="M726" s="22">
        <f>Table3[[#This Row],[Ship Date]]-Table3[[#This Row],[Order Date]]</f>
        <v>5</v>
      </c>
      <c r="N726" s="23" t="s">
        <v>45</v>
      </c>
      <c r="O726" s="23" t="s">
        <v>23</v>
      </c>
      <c r="P726" s="23" t="s">
        <v>38</v>
      </c>
      <c r="Q726" s="23" t="s">
        <v>39</v>
      </c>
      <c r="R726" s="23" t="s">
        <v>114</v>
      </c>
      <c r="S726" s="33">
        <v>0</v>
      </c>
      <c r="T726" s="13">
        <v>17.61</v>
      </c>
      <c r="U726" s="13">
        <v>8.4527999999999999</v>
      </c>
      <c r="V726" s="55">
        <f>Table3[[#This Row],[Profit]]/Table3[[#This Row],[Sales]]</f>
        <v>0.48</v>
      </c>
    </row>
    <row r="727" spans="1:22" x14ac:dyDescent="0.2">
      <c r="A727">
        <v>726</v>
      </c>
      <c r="B727" t="s">
        <v>3290</v>
      </c>
      <c r="C727" s="1">
        <v>42859</v>
      </c>
      <c r="D727" s="22">
        <f>MONTH(Table3[[#This Row],[Order Date]])</f>
        <v>5</v>
      </c>
      <c r="E727" t="s">
        <v>796</v>
      </c>
      <c r="F727" t="s">
        <v>797</v>
      </c>
      <c r="G727" s="23" t="s">
        <v>28</v>
      </c>
      <c r="H727" s="23" t="s">
        <v>50</v>
      </c>
      <c r="I727" t="s">
        <v>2560</v>
      </c>
      <c r="J727" t="s">
        <v>36</v>
      </c>
      <c r="K727" s="22">
        <v>1</v>
      </c>
      <c r="L727" s="1">
        <v>42864</v>
      </c>
      <c r="M727" s="22">
        <f>Table3[[#This Row],[Ship Date]]-Table3[[#This Row],[Order Date]]</f>
        <v>5</v>
      </c>
      <c r="N727" s="23" t="s">
        <v>45</v>
      </c>
      <c r="O727" s="23" t="s">
        <v>23</v>
      </c>
      <c r="P727" s="23" t="s">
        <v>38</v>
      </c>
      <c r="Q727" s="23" t="s">
        <v>39</v>
      </c>
      <c r="R727" s="23" t="s">
        <v>114</v>
      </c>
      <c r="S727" s="33">
        <v>0.2</v>
      </c>
      <c r="T727" s="13">
        <v>300.904</v>
      </c>
      <c r="U727" s="13">
        <v>11.283899999999999</v>
      </c>
      <c r="V727" s="55">
        <f>Table3[[#This Row],[Profit]]/Table3[[#This Row],[Sales]]</f>
        <v>3.7499999999999999E-2</v>
      </c>
    </row>
    <row r="728" spans="1:22" x14ac:dyDescent="0.2">
      <c r="A728">
        <v>727</v>
      </c>
      <c r="B728" t="s">
        <v>4912</v>
      </c>
      <c r="C728" s="1">
        <v>42859</v>
      </c>
      <c r="D728" s="22">
        <f>MONTH(Table3[[#This Row],[Order Date]])</f>
        <v>5</v>
      </c>
      <c r="E728" t="s">
        <v>4914</v>
      </c>
      <c r="F728" t="s">
        <v>4915</v>
      </c>
      <c r="G728" s="23" t="s">
        <v>41</v>
      </c>
      <c r="H728" s="23" t="s">
        <v>82</v>
      </c>
      <c r="I728" t="s">
        <v>1344</v>
      </c>
      <c r="J728" t="s">
        <v>22</v>
      </c>
      <c r="K728" s="22">
        <v>1</v>
      </c>
      <c r="L728" s="1">
        <v>42863</v>
      </c>
      <c r="M728" s="22">
        <f>Table3[[#This Row],[Ship Date]]-Table3[[#This Row],[Order Date]]</f>
        <v>4</v>
      </c>
      <c r="N728" s="23" t="s">
        <v>45</v>
      </c>
      <c r="O728" s="23" t="s">
        <v>23</v>
      </c>
      <c r="P728" s="23" t="s">
        <v>285</v>
      </c>
      <c r="Q728" s="23" t="s">
        <v>26</v>
      </c>
      <c r="R728" s="23" t="s">
        <v>4913</v>
      </c>
      <c r="S728" s="33">
        <v>0</v>
      </c>
      <c r="T728" s="13">
        <v>9.11</v>
      </c>
      <c r="U728" s="13">
        <v>4.0994999999999999</v>
      </c>
      <c r="V728" s="55">
        <f>Table3[[#This Row],[Profit]]/Table3[[#This Row],[Sales]]</f>
        <v>0.45</v>
      </c>
    </row>
    <row r="729" spans="1:22" x14ac:dyDescent="0.2">
      <c r="A729">
        <v>728</v>
      </c>
      <c r="B729" t="s">
        <v>4912</v>
      </c>
      <c r="C729" s="1">
        <v>42859</v>
      </c>
      <c r="D729" s="22">
        <f>MONTH(Table3[[#This Row],[Order Date]])</f>
        <v>5</v>
      </c>
      <c r="E729" t="s">
        <v>1341</v>
      </c>
      <c r="F729" t="s">
        <v>1342</v>
      </c>
      <c r="G729" s="23" t="s">
        <v>41</v>
      </c>
      <c r="H729" s="23" t="s">
        <v>53</v>
      </c>
      <c r="I729" t="s">
        <v>1344</v>
      </c>
      <c r="J729" t="s">
        <v>22</v>
      </c>
      <c r="K729" s="22">
        <v>4</v>
      </c>
      <c r="L729" s="1">
        <v>42863</v>
      </c>
      <c r="M729" s="22">
        <f>Table3[[#This Row],[Ship Date]]-Table3[[#This Row],[Order Date]]</f>
        <v>4</v>
      </c>
      <c r="N729" s="23" t="s">
        <v>45</v>
      </c>
      <c r="O729" s="23" t="s">
        <v>23</v>
      </c>
      <c r="P729" s="23" t="s">
        <v>285</v>
      </c>
      <c r="Q729" s="23" t="s">
        <v>26</v>
      </c>
      <c r="R729" s="23" t="s">
        <v>4913</v>
      </c>
      <c r="S729" s="33">
        <v>0</v>
      </c>
      <c r="T729" s="13">
        <v>571.44000000000005</v>
      </c>
      <c r="U729" s="13">
        <v>165.7176</v>
      </c>
      <c r="V729" s="55">
        <f>Table3[[#This Row],[Profit]]/Table3[[#This Row],[Sales]]</f>
        <v>0.28999999999999998</v>
      </c>
    </row>
    <row r="730" spans="1:22" x14ac:dyDescent="0.2">
      <c r="A730">
        <v>729</v>
      </c>
      <c r="B730" t="s">
        <v>4912</v>
      </c>
      <c r="C730" s="1">
        <v>42859</v>
      </c>
      <c r="D730" s="22">
        <f>MONTH(Table3[[#This Row],[Order Date]])</f>
        <v>5</v>
      </c>
      <c r="E730" t="s">
        <v>4916</v>
      </c>
      <c r="F730" t="s">
        <v>4917</v>
      </c>
      <c r="G730" s="23" t="s">
        <v>41</v>
      </c>
      <c r="H730" s="23" t="s">
        <v>82</v>
      </c>
      <c r="I730" t="s">
        <v>1344</v>
      </c>
      <c r="J730" t="s">
        <v>22</v>
      </c>
      <c r="K730" s="22">
        <v>5</v>
      </c>
      <c r="L730" s="1">
        <v>42863</v>
      </c>
      <c r="M730" s="22">
        <f>Table3[[#This Row],[Ship Date]]-Table3[[#This Row],[Order Date]]</f>
        <v>4</v>
      </c>
      <c r="N730" s="23" t="s">
        <v>45</v>
      </c>
      <c r="O730" s="23" t="s">
        <v>23</v>
      </c>
      <c r="P730" s="23" t="s">
        <v>285</v>
      </c>
      <c r="Q730" s="23" t="s">
        <v>26</v>
      </c>
      <c r="R730" s="23" t="s">
        <v>4913</v>
      </c>
      <c r="S730" s="33">
        <v>0</v>
      </c>
      <c r="T730" s="13">
        <v>32.4</v>
      </c>
      <c r="U730" s="13">
        <v>15.552</v>
      </c>
      <c r="V730" s="55">
        <f>Table3[[#This Row],[Profit]]/Table3[[#This Row],[Sales]]</f>
        <v>0.48</v>
      </c>
    </row>
    <row r="731" spans="1:22" x14ac:dyDescent="0.2">
      <c r="A731">
        <v>730</v>
      </c>
      <c r="B731" t="s">
        <v>4912</v>
      </c>
      <c r="C731" s="1">
        <v>42859</v>
      </c>
      <c r="D731" s="22">
        <f>MONTH(Table3[[#This Row],[Order Date]])</f>
        <v>5</v>
      </c>
      <c r="E731" t="s">
        <v>3621</v>
      </c>
      <c r="F731" t="s">
        <v>3622</v>
      </c>
      <c r="G731" s="23" t="s">
        <v>41</v>
      </c>
      <c r="H731" s="23" t="s">
        <v>53</v>
      </c>
      <c r="I731" t="s">
        <v>1344</v>
      </c>
      <c r="J731" t="s">
        <v>22</v>
      </c>
      <c r="K731" s="22">
        <v>1</v>
      </c>
      <c r="L731" s="1">
        <v>42863</v>
      </c>
      <c r="M731" s="22">
        <f>Table3[[#This Row],[Ship Date]]-Table3[[#This Row],[Order Date]]</f>
        <v>4</v>
      </c>
      <c r="N731" s="23" t="s">
        <v>45</v>
      </c>
      <c r="O731" s="23" t="s">
        <v>23</v>
      </c>
      <c r="P731" s="23" t="s">
        <v>285</v>
      </c>
      <c r="Q731" s="23" t="s">
        <v>26</v>
      </c>
      <c r="R731" s="23" t="s">
        <v>4913</v>
      </c>
      <c r="S731" s="33">
        <v>0</v>
      </c>
      <c r="T731" s="13">
        <v>16.91</v>
      </c>
      <c r="U731" s="13">
        <v>4.5656999999999996</v>
      </c>
      <c r="V731" s="55">
        <f>Table3[[#This Row],[Profit]]/Table3[[#This Row],[Sales]]</f>
        <v>0.26999999999999996</v>
      </c>
    </row>
    <row r="732" spans="1:22" x14ac:dyDescent="0.2">
      <c r="A732">
        <v>731</v>
      </c>
      <c r="B732" t="s">
        <v>5485</v>
      </c>
      <c r="C732" s="1">
        <v>42859</v>
      </c>
      <c r="D732" s="22">
        <f>MONTH(Table3[[#This Row],[Order Date]])</f>
        <v>5</v>
      </c>
      <c r="E732" t="s">
        <v>67</v>
      </c>
      <c r="F732" t="s">
        <v>69</v>
      </c>
      <c r="G732" s="23" t="s">
        <v>41</v>
      </c>
      <c r="H732" s="23" t="s">
        <v>68</v>
      </c>
      <c r="I732" t="s">
        <v>996</v>
      </c>
      <c r="J732" t="s">
        <v>22</v>
      </c>
      <c r="K732" s="22">
        <v>1</v>
      </c>
      <c r="L732" s="1">
        <v>42864</v>
      </c>
      <c r="M732" s="22">
        <f>Table3[[#This Row],[Ship Date]]-Table3[[#This Row],[Order Date]]</f>
        <v>5</v>
      </c>
      <c r="N732" s="23" t="s">
        <v>45</v>
      </c>
      <c r="O732" s="23" t="s">
        <v>23</v>
      </c>
      <c r="P732" s="23" t="s">
        <v>441</v>
      </c>
      <c r="Q732" s="23" t="s">
        <v>133</v>
      </c>
      <c r="R732" s="23" t="s">
        <v>284</v>
      </c>
      <c r="S732" s="33">
        <v>0.7</v>
      </c>
      <c r="T732" s="13">
        <v>2.3130000000000002</v>
      </c>
      <c r="U732" s="13">
        <v>-1.9275</v>
      </c>
      <c r="V732" s="55">
        <f>Table3[[#This Row],[Profit]]/Table3[[#This Row],[Sales]]</f>
        <v>-0.83333333333333326</v>
      </c>
    </row>
    <row r="733" spans="1:22" x14ac:dyDescent="0.2">
      <c r="A733">
        <v>732</v>
      </c>
      <c r="B733" t="s">
        <v>8551</v>
      </c>
      <c r="C733" s="1">
        <v>42859</v>
      </c>
      <c r="D733" s="22">
        <f>MONTH(Table3[[#This Row],[Order Date]])</f>
        <v>5</v>
      </c>
      <c r="E733" t="s">
        <v>8486</v>
      </c>
      <c r="F733" t="s">
        <v>8487</v>
      </c>
      <c r="G733" s="23" t="s">
        <v>41</v>
      </c>
      <c r="H733" s="23" t="s">
        <v>68</v>
      </c>
      <c r="I733" t="s">
        <v>3698</v>
      </c>
      <c r="J733" t="s">
        <v>36</v>
      </c>
      <c r="K733" s="22">
        <v>2</v>
      </c>
      <c r="L733" s="1">
        <v>42865</v>
      </c>
      <c r="M733" s="22">
        <f>Table3[[#This Row],[Ship Date]]-Table3[[#This Row],[Order Date]]</f>
        <v>6</v>
      </c>
      <c r="N733" s="23" t="s">
        <v>45</v>
      </c>
      <c r="O733" s="23" t="s">
        <v>23</v>
      </c>
      <c r="P733" s="23" t="s">
        <v>132</v>
      </c>
      <c r="Q733" s="23" t="s">
        <v>133</v>
      </c>
      <c r="R733" s="23" t="s">
        <v>131</v>
      </c>
      <c r="S733" s="33">
        <v>0.7</v>
      </c>
      <c r="T733" s="13">
        <v>2.202</v>
      </c>
      <c r="U733" s="13">
        <v>-1.5414000000000001</v>
      </c>
      <c r="V733" s="55">
        <f>Table3[[#This Row],[Profit]]/Table3[[#This Row],[Sales]]</f>
        <v>-0.70000000000000007</v>
      </c>
    </row>
    <row r="734" spans="1:22" x14ac:dyDescent="0.2">
      <c r="A734">
        <v>733</v>
      </c>
      <c r="B734" t="s">
        <v>8551</v>
      </c>
      <c r="C734" s="1">
        <v>42859</v>
      </c>
      <c r="D734" s="22">
        <f>MONTH(Table3[[#This Row],[Order Date]])</f>
        <v>5</v>
      </c>
      <c r="E734" t="s">
        <v>2970</v>
      </c>
      <c r="F734" t="s">
        <v>2971</v>
      </c>
      <c r="G734" s="23" t="s">
        <v>41</v>
      </c>
      <c r="H734" s="23" t="s">
        <v>68</v>
      </c>
      <c r="I734" t="s">
        <v>3698</v>
      </c>
      <c r="J734" t="s">
        <v>36</v>
      </c>
      <c r="K734" s="22">
        <v>3</v>
      </c>
      <c r="L734" s="1">
        <v>42865</v>
      </c>
      <c r="M734" s="22">
        <f>Table3[[#This Row],[Ship Date]]-Table3[[#This Row],[Order Date]]</f>
        <v>6</v>
      </c>
      <c r="N734" s="23" t="s">
        <v>45</v>
      </c>
      <c r="O734" s="23" t="s">
        <v>23</v>
      </c>
      <c r="P734" s="23" t="s">
        <v>132</v>
      </c>
      <c r="Q734" s="23" t="s">
        <v>133</v>
      </c>
      <c r="R734" s="23" t="s">
        <v>131</v>
      </c>
      <c r="S734" s="33">
        <v>0.7</v>
      </c>
      <c r="T734" s="13">
        <v>9.3960000000000008</v>
      </c>
      <c r="U734" s="13">
        <v>-7.5167999999999999</v>
      </c>
      <c r="V734" s="55">
        <f>Table3[[#This Row],[Profit]]/Table3[[#This Row],[Sales]]</f>
        <v>-0.79999999999999993</v>
      </c>
    </row>
    <row r="735" spans="1:22" x14ac:dyDescent="0.2">
      <c r="A735">
        <v>734</v>
      </c>
      <c r="B735" t="s">
        <v>10143</v>
      </c>
      <c r="C735" s="1">
        <v>42859</v>
      </c>
      <c r="D735" s="22">
        <f>MONTH(Table3[[#This Row],[Order Date]])</f>
        <v>5</v>
      </c>
      <c r="E735" t="s">
        <v>630</v>
      </c>
      <c r="F735" t="s">
        <v>631</v>
      </c>
      <c r="G735" s="23" t="s">
        <v>41</v>
      </c>
      <c r="H735" s="23" t="s">
        <v>71</v>
      </c>
      <c r="I735" t="s">
        <v>3114</v>
      </c>
      <c r="J735" t="s">
        <v>22</v>
      </c>
      <c r="K735" s="22">
        <v>2</v>
      </c>
      <c r="L735" s="1">
        <v>42864</v>
      </c>
      <c r="M735" s="22">
        <f>Table3[[#This Row],[Ship Date]]-Table3[[#This Row],[Order Date]]</f>
        <v>5</v>
      </c>
      <c r="N735" s="23" t="s">
        <v>20</v>
      </c>
      <c r="O735" s="23" t="s">
        <v>23</v>
      </c>
      <c r="P735" s="23" t="s">
        <v>38</v>
      </c>
      <c r="Q735" s="23" t="s">
        <v>39</v>
      </c>
      <c r="R735" s="23" t="s">
        <v>3504</v>
      </c>
      <c r="S735" s="33">
        <v>0</v>
      </c>
      <c r="T735" s="13">
        <v>243.16</v>
      </c>
      <c r="U735" s="13">
        <v>72.947999999999993</v>
      </c>
      <c r="V735" s="55">
        <f>Table3[[#This Row],[Profit]]/Table3[[#This Row],[Sales]]</f>
        <v>0.3</v>
      </c>
    </row>
    <row r="736" spans="1:22" x14ac:dyDescent="0.2">
      <c r="A736">
        <v>735</v>
      </c>
      <c r="B736" t="s">
        <v>7300</v>
      </c>
      <c r="C736" s="1">
        <v>42860</v>
      </c>
      <c r="D736" s="22">
        <f>MONTH(Table3[[#This Row],[Order Date]])</f>
        <v>5</v>
      </c>
      <c r="E736" t="s">
        <v>7301</v>
      </c>
      <c r="F736" t="s">
        <v>7302</v>
      </c>
      <c r="G736" s="23" t="s">
        <v>41</v>
      </c>
      <c r="H736" s="23" t="s">
        <v>155</v>
      </c>
      <c r="I736" t="s">
        <v>1624</v>
      </c>
      <c r="J736" t="s">
        <v>22</v>
      </c>
      <c r="K736" s="22">
        <v>2</v>
      </c>
      <c r="L736" s="1">
        <v>42864</v>
      </c>
      <c r="M736" s="22">
        <f>Table3[[#This Row],[Ship Date]]-Table3[[#This Row],[Order Date]]</f>
        <v>4</v>
      </c>
      <c r="N736" s="23" t="s">
        <v>45</v>
      </c>
      <c r="O736" s="23" t="s">
        <v>23</v>
      </c>
      <c r="P736" s="23" t="s">
        <v>38</v>
      </c>
      <c r="Q736" s="23" t="s">
        <v>39</v>
      </c>
      <c r="R736" s="23" t="s">
        <v>114</v>
      </c>
      <c r="S736" s="33">
        <v>0</v>
      </c>
      <c r="T736" s="13">
        <v>23.16</v>
      </c>
      <c r="U736" s="13">
        <v>11.58</v>
      </c>
      <c r="V736" s="55">
        <f>Table3[[#This Row],[Profit]]/Table3[[#This Row],[Sales]]</f>
        <v>0.5</v>
      </c>
    </row>
    <row r="737" spans="1:22" x14ac:dyDescent="0.2">
      <c r="A737">
        <v>736</v>
      </c>
      <c r="B737" t="s">
        <v>7365</v>
      </c>
      <c r="C737" s="1">
        <v>42860</v>
      </c>
      <c r="D737" s="22">
        <f>MONTH(Table3[[#This Row],[Order Date]])</f>
        <v>5</v>
      </c>
      <c r="E737" t="s">
        <v>444</v>
      </c>
      <c r="F737" t="s">
        <v>445</v>
      </c>
      <c r="G737" s="23" t="s">
        <v>41</v>
      </c>
      <c r="H737" s="23" t="s">
        <v>155</v>
      </c>
      <c r="I737" t="s">
        <v>2126</v>
      </c>
      <c r="J737" t="s">
        <v>22</v>
      </c>
      <c r="K737" s="22">
        <v>9</v>
      </c>
      <c r="L737" s="1">
        <v>42861</v>
      </c>
      <c r="M737" s="22">
        <f>Table3[[#This Row],[Ship Date]]-Table3[[#This Row],[Order Date]]</f>
        <v>1</v>
      </c>
      <c r="N737" s="23" t="s">
        <v>169</v>
      </c>
      <c r="O737" s="23" t="s">
        <v>23</v>
      </c>
      <c r="P737" s="23" t="s">
        <v>405</v>
      </c>
      <c r="Q737" s="23" t="s">
        <v>39</v>
      </c>
      <c r="R737" s="23" t="s">
        <v>1303</v>
      </c>
      <c r="S737" s="33">
        <v>0.2</v>
      </c>
      <c r="T737" s="13">
        <v>21.24</v>
      </c>
      <c r="U737" s="13">
        <v>7.4340000000000002</v>
      </c>
      <c r="V737" s="55">
        <f>Table3[[#This Row],[Profit]]/Table3[[#This Row],[Sales]]</f>
        <v>0.35000000000000003</v>
      </c>
    </row>
    <row r="738" spans="1:22" x14ac:dyDescent="0.2">
      <c r="A738">
        <v>737</v>
      </c>
      <c r="B738" t="s">
        <v>7365</v>
      </c>
      <c r="C738" s="1">
        <v>42860</v>
      </c>
      <c r="D738" s="22">
        <f>MONTH(Table3[[#This Row],[Order Date]])</f>
        <v>5</v>
      </c>
      <c r="E738" t="s">
        <v>482</v>
      </c>
      <c r="F738" t="s">
        <v>483</v>
      </c>
      <c r="G738" s="23" t="s">
        <v>41</v>
      </c>
      <c r="H738" s="23" t="s">
        <v>68</v>
      </c>
      <c r="I738" t="s">
        <v>2126</v>
      </c>
      <c r="J738" t="s">
        <v>22</v>
      </c>
      <c r="K738" s="22">
        <v>8</v>
      </c>
      <c r="L738" s="1">
        <v>42861</v>
      </c>
      <c r="M738" s="22">
        <f>Table3[[#This Row],[Ship Date]]-Table3[[#This Row],[Order Date]]</f>
        <v>1</v>
      </c>
      <c r="N738" s="23" t="s">
        <v>169</v>
      </c>
      <c r="O738" s="23" t="s">
        <v>23</v>
      </c>
      <c r="P738" s="23" t="s">
        <v>405</v>
      </c>
      <c r="Q738" s="23" t="s">
        <v>39</v>
      </c>
      <c r="R738" s="23" t="s">
        <v>1303</v>
      </c>
      <c r="S738" s="33">
        <v>0.7</v>
      </c>
      <c r="T738" s="13">
        <v>9.5519999999999996</v>
      </c>
      <c r="U738" s="13">
        <v>-7.3231999999999999</v>
      </c>
      <c r="V738" s="55">
        <f>Table3[[#This Row],[Profit]]/Table3[[#This Row],[Sales]]</f>
        <v>-0.76666666666666672</v>
      </c>
    </row>
    <row r="739" spans="1:22" x14ac:dyDescent="0.2">
      <c r="A739">
        <v>738</v>
      </c>
      <c r="B739" t="s">
        <v>7365</v>
      </c>
      <c r="C739" s="1">
        <v>42860</v>
      </c>
      <c r="D739" s="22">
        <f>MONTH(Table3[[#This Row],[Order Date]])</f>
        <v>5</v>
      </c>
      <c r="E739" t="s">
        <v>3083</v>
      </c>
      <c r="F739" t="s">
        <v>3084</v>
      </c>
      <c r="G739" s="23" t="s">
        <v>28</v>
      </c>
      <c r="H739" s="23" t="s">
        <v>29</v>
      </c>
      <c r="I739" t="s">
        <v>2126</v>
      </c>
      <c r="J739" t="s">
        <v>22</v>
      </c>
      <c r="K739" s="22">
        <v>3</v>
      </c>
      <c r="L739" s="1">
        <v>42861</v>
      </c>
      <c r="M739" s="22">
        <f>Table3[[#This Row],[Ship Date]]-Table3[[#This Row],[Order Date]]</f>
        <v>1</v>
      </c>
      <c r="N739" s="23" t="s">
        <v>169</v>
      </c>
      <c r="O739" s="23" t="s">
        <v>23</v>
      </c>
      <c r="P739" s="23" t="s">
        <v>405</v>
      </c>
      <c r="Q739" s="23" t="s">
        <v>39</v>
      </c>
      <c r="R739" s="23" t="s">
        <v>1303</v>
      </c>
      <c r="S739" s="33">
        <v>0.7</v>
      </c>
      <c r="T739" s="13">
        <v>89.991</v>
      </c>
      <c r="U739" s="13">
        <v>-152.9847</v>
      </c>
      <c r="V739" s="55">
        <f>Table3[[#This Row],[Profit]]/Table3[[#This Row],[Sales]]</f>
        <v>-1.7</v>
      </c>
    </row>
    <row r="740" spans="1:22" x14ac:dyDescent="0.2">
      <c r="A740">
        <v>739</v>
      </c>
      <c r="B740" t="s">
        <v>8019</v>
      </c>
      <c r="C740" s="1">
        <v>42860</v>
      </c>
      <c r="D740" s="22">
        <f>MONTH(Table3[[#This Row],[Order Date]])</f>
        <v>5</v>
      </c>
      <c r="E740" t="s">
        <v>3559</v>
      </c>
      <c r="F740" t="s">
        <v>3560</v>
      </c>
      <c r="G740" s="23" t="s">
        <v>41</v>
      </c>
      <c r="H740" s="23" t="s">
        <v>68</v>
      </c>
      <c r="I740" t="s">
        <v>3354</v>
      </c>
      <c r="J740" t="s">
        <v>36</v>
      </c>
      <c r="K740" s="22">
        <v>3</v>
      </c>
      <c r="L740" s="1">
        <v>42865</v>
      </c>
      <c r="M740" s="22">
        <f>Table3[[#This Row],[Ship Date]]-Table3[[#This Row],[Order Date]]</f>
        <v>5</v>
      </c>
      <c r="N740" s="23" t="s">
        <v>45</v>
      </c>
      <c r="O740" s="23" t="s">
        <v>23</v>
      </c>
      <c r="P740" s="23" t="s">
        <v>1125</v>
      </c>
      <c r="Q740" s="23" t="s">
        <v>26</v>
      </c>
      <c r="R740" s="23" t="s">
        <v>440</v>
      </c>
      <c r="S740" s="33">
        <v>0</v>
      </c>
      <c r="T740" s="13">
        <v>34.5</v>
      </c>
      <c r="U740" s="13">
        <v>15.525</v>
      </c>
      <c r="V740" s="55">
        <f>Table3[[#This Row],[Profit]]/Table3[[#This Row],[Sales]]</f>
        <v>0.45</v>
      </c>
    </row>
    <row r="741" spans="1:22" x14ac:dyDescent="0.2">
      <c r="A741">
        <v>740</v>
      </c>
      <c r="B741" t="s">
        <v>8051</v>
      </c>
      <c r="C741" s="1">
        <v>42860</v>
      </c>
      <c r="D741" s="22">
        <f>MONTH(Table3[[#This Row],[Order Date]])</f>
        <v>5</v>
      </c>
      <c r="E741" t="s">
        <v>2445</v>
      </c>
      <c r="F741" t="s">
        <v>2446</v>
      </c>
      <c r="G741" s="23" t="s">
        <v>41</v>
      </c>
      <c r="H741" s="23" t="s">
        <v>82</v>
      </c>
      <c r="I741" t="s">
        <v>3566</v>
      </c>
      <c r="J741" t="s">
        <v>22</v>
      </c>
      <c r="K741" s="22">
        <v>1</v>
      </c>
      <c r="L741" s="1">
        <v>42860</v>
      </c>
      <c r="M741" s="22">
        <f>Table3[[#This Row],[Ship Date]]-Table3[[#This Row],[Order Date]]</f>
        <v>0</v>
      </c>
      <c r="N741" s="23" t="s">
        <v>1141</v>
      </c>
      <c r="O741" s="23" t="s">
        <v>23</v>
      </c>
      <c r="P741" s="23" t="s">
        <v>238</v>
      </c>
      <c r="Q741" s="23" t="s">
        <v>133</v>
      </c>
      <c r="R741" s="23" t="s">
        <v>237</v>
      </c>
      <c r="S741" s="33">
        <v>0</v>
      </c>
      <c r="T741" s="13">
        <v>6.68</v>
      </c>
      <c r="U741" s="13">
        <v>3.2063999999999999</v>
      </c>
      <c r="V741" s="55">
        <f>Table3[[#This Row],[Profit]]/Table3[[#This Row],[Sales]]</f>
        <v>0.48</v>
      </c>
    </row>
    <row r="742" spans="1:22" x14ac:dyDescent="0.2">
      <c r="A742">
        <v>741</v>
      </c>
      <c r="B742" t="s">
        <v>4277</v>
      </c>
      <c r="C742" s="1">
        <v>42861</v>
      </c>
      <c r="D742" s="22">
        <f>MONTH(Table3[[#This Row],[Order Date]])</f>
        <v>5</v>
      </c>
      <c r="E742" t="s">
        <v>3972</v>
      </c>
      <c r="F742" t="s">
        <v>3973</v>
      </c>
      <c r="G742" s="23" t="s">
        <v>41</v>
      </c>
      <c r="H742" s="23" t="s">
        <v>61</v>
      </c>
      <c r="I742" t="s">
        <v>3956</v>
      </c>
      <c r="J742" t="s">
        <v>92</v>
      </c>
      <c r="K742" s="22">
        <v>3</v>
      </c>
      <c r="L742" s="1">
        <v>42866</v>
      </c>
      <c r="M742" s="22">
        <f>Table3[[#This Row],[Ship Date]]-Table3[[#This Row],[Order Date]]</f>
        <v>5</v>
      </c>
      <c r="N742" s="23" t="s">
        <v>45</v>
      </c>
      <c r="O742" s="23" t="s">
        <v>23</v>
      </c>
      <c r="P742" s="23" t="s">
        <v>189</v>
      </c>
      <c r="Q742" s="23" t="s">
        <v>95</v>
      </c>
      <c r="R742" s="23" t="s">
        <v>271</v>
      </c>
      <c r="S742" s="33">
        <v>0.2</v>
      </c>
      <c r="T742" s="13">
        <v>6.4080000000000004</v>
      </c>
      <c r="U742" s="13">
        <v>0.64080000000000004</v>
      </c>
      <c r="V742" s="55">
        <f>Table3[[#This Row],[Profit]]/Table3[[#This Row],[Sales]]</f>
        <v>0.1</v>
      </c>
    </row>
    <row r="743" spans="1:22" x14ac:dyDescent="0.2">
      <c r="A743">
        <v>742</v>
      </c>
      <c r="B743" t="s">
        <v>4277</v>
      </c>
      <c r="C743" s="1">
        <v>42861</v>
      </c>
      <c r="D743" s="22">
        <f>MONTH(Table3[[#This Row],[Order Date]])</f>
        <v>5</v>
      </c>
      <c r="E743" t="s">
        <v>645</v>
      </c>
      <c r="F743" t="s">
        <v>646</v>
      </c>
      <c r="G743" s="23" t="s">
        <v>64</v>
      </c>
      <c r="H743" s="23" t="s">
        <v>144</v>
      </c>
      <c r="I743" t="s">
        <v>3956</v>
      </c>
      <c r="J743" t="s">
        <v>92</v>
      </c>
      <c r="K743" s="22">
        <v>7</v>
      </c>
      <c r="L743" s="1">
        <v>42866</v>
      </c>
      <c r="M743" s="22">
        <f>Table3[[#This Row],[Ship Date]]-Table3[[#This Row],[Order Date]]</f>
        <v>5</v>
      </c>
      <c r="N743" s="23" t="s">
        <v>45</v>
      </c>
      <c r="O743" s="23" t="s">
        <v>23</v>
      </c>
      <c r="P743" s="23" t="s">
        <v>189</v>
      </c>
      <c r="Q743" s="23" t="s">
        <v>95</v>
      </c>
      <c r="R743" s="23" t="s">
        <v>271</v>
      </c>
      <c r="S743" s="33">
        <v>0.2</v>
      </c>
      <c r="T743" s="13">
        <v>408.74400000000003</v>
      </c>
      <c r="U743" s="13">
        <v>76.639499999999998</v>
      </c>
      <c r="V743" s="55">
        <f>Table3[[#This Row],[Profit]]/Table3[[#This Row],[Sales]]</f>
        <v>0.18749999999999997</v>
      </c>
    </row>
    <row r="744" spans="1:22" x14ac:dyDescent="0.2">
      <c r="A744">
        <v>743</v>
      </c>
      <c r="B744" t="s">
        <v>5306</v>
      </c>
      <c r="C744" s="1">
        <v>42861</v>
      </c>
      <c r="D744" s="22">
        <f>MONTH(Table3[[#This Row],[Order Date]])</f>
        <v>5</v>
      </c>
      <c r="E744" t="s">
        <v>748</v>
      </c>
      <c r="F744" t="s">
        <v>749</v>
      </c>
      <c r="G744" s="23" t="s">
        <v>41</v>
      </c>
      <c r="H744" s="23" t="s">
        <v>42</v>
      </c>
      <c r="I744" t="s">
        <v>5165</v>
      </c>
      <c r="J744" t="s">
        <v>22</v>
      </c>
      <c r="K744" s="22">
        <v>4</v>
      </c>
      <c r="L744" s="1">
        <v>42863</v>
      </c>
      <c r="M744" s="22">
        <f>Table3[[#This Row],[Ship Date]]-Table3[[#This Row],[Order Date]]</f>
        <v>2</v>
      </c>
      <c r="N744" s="23" t="s">
        <v>169</v>
      </c>
      <c r="O744" s="23" t="s">
        <v>23</v>
      </c>
      <c r="P744" s="23" t="s">
        <v>238</v>
      </c>
      <c r="Q744" s="23" t="s">
        <v>133</v>
      </c>
      <c r="R744" s="23" t="s">
        <v>237</v>
      </c>
      <c r="S744" s="33">
        <v>0</v>
      </c>
      <c r="T744" s="13">
        <v>59.2</v>
      </c>
      <c r="U744" s="13">
        <v>29.6</v>
      </c>
      <c r="V744" s="55">
        <f>Table3[[#This Row],[Profit]]/Table3[[#This Row],[Sales]]</f>
        <v>0.5</v>
      </c>
    </row>
    <row r="745" spans="1:22" x14ac:dyDescent="0.2">
      <c r="A745">
        <v>744</v>
      </c>
      <c r="B745" t="s">
        <v>6503</v>
      </c>
      <c r="C745" s="1">
        <v>42861</v>
      </c>
      <c r="D745" s="22">
        <f>MONTH(Table3[[#This Row],[Order Date]])</f>
        <v>5</v>
      </c>
      <c r="E745" t="s">
        <v>6231</v>
      </c>
      <c r="F745" t="s">
        <v>6232</v>
      </c>
      <c r="G745" s="23" t="s">
        <v>41</v>
      </c>
      <c r="H745" s="23" t="s">
        <v>61</v>
      </c>
      <c r="I745" t="s">
        <v>399</v>
      </c>
      <c r="J745" t="s">
        <v>22</v>
      </c>
      <c r="K745" s="22">
        <v>6</v>
      </c>
      <c r="L745" s="1">
        <v>42864</v>
      </c>
      <c r="M745" s="22">
        <f>Table3[[#This Row],[Ship Date]]-Table3[[#This Row],[Order Date]]</f>
        <v>3</v>
      </c>
      <c r="N745" s="23" t="s">
        <v>169</v>
      </c>
      <c r="O745" s="23" t="s">
        <v>23</v>
      </c>
      <c r="P745" s="23" t="s">
        <v>285</v>
      </c>
      <c r="Q745" s="23" t="s">
        <v>26</v>
      </c>
      <c r="R745" s="23" t="s">
        <v>997</v>
      </c>
      <c r="S745" s="33">
        <v>0</v>
      </c>
      <c r="T745" s="13">
        <v>54.66</v>
      </c>
      <c r="U745" s="13">
        <v>18.037800000000001</v>
      </c>
      <c r="V745" s="55">
        <f>Table3[[#This Row],[Profit]]/Table3[[#This Row],[Sales]]</f>
        <v>0.33</v>
      </c>
    </row>
    <row r="746" spans="1:22" x14ac:dyDescent="0.2">
      <c r="A746">
        <v>745</v>
      </c>
      <c r="B746" t="s">
        <v>6943</v>
      </c>
      <c r="C746" s="1">
        <v>42861</v>
      </c>
      <c r="D746" s="22">
        <f>MONTH(Table3[[#This Row],[Order Date]])</f>
        <v>5</v>
      </c>
      <c r="E746" t="s">
        <v>1900</v>
      </c>
      <c r="F746" t="s">
        <v>1901</v>
      </c>
      <c r="G746" s="23" t="s">
        <v>41</v>
      </c>
      <c r="H746" s="23" t="s">
        <v>68</v>
      </c>
      <c r="I746" t="s">
        <v>4587</v>
      </c>
      <c r="J746" t="s">
        <v>36</v>
      </c>
      <c r="K746" s="22">
        <v>10</v>
      </c>
      <c r="L746" s="1">
        <v>42866</v>
      </c>
      <c r="M746" s="22">
        <f>Table3[[#This Row],[Ship Date]]-Table3[[#This Row],[Order Date]]</f>
        <v>5</v>
      </c>
      <c r="N746" s="23" t="s">
        <v>45</v>
      </c>
      <c r="O746" s="23" t="s">
        <v>23</v>
      </c>
      <c r="P746" s="23" t="s">
        <v>94</v>
      </c>
      <c r="Q746" s="23" t="s">
        <v>95</v>
      </c>
      <c r="R746" s="23" t="s">
        <v>93</v>
      </c>
      <c r="S746" s="33">
        <v>0.8</v>
      </c>
      <c r="T746" s="13">
        <v>11.06</v>
      </c>
      <c r="U746" s="13">
        <v>-18.802</v>
      </c>
      <c r="V746" s="55">
        <f>Table3[[#This Row],[Profit]]/Table3[[#This Row],[Sales]]</f>
        <v>-1.7</v>
      </c>
    </row>
    <row r="747" spans="1:22" x14ac:dyDescent="0.2">
      <c r="A747">
        <v>746</v>
      </c>
      <c r="B747" t="s">
        <v>6943</v>
      </c>
      <c r="C747" s="1">
        <v>42861</v>
      </c>
      <c r="D747" s="22">
        <f>MONTH(Table3[[#This Row],[Order Date]])</f>
        <v>5</v>
      </c>
      <c r="E747" t="s">
        <v>1445</v>
      </c>
      <c r="F747" t="s">
        <v>1446</v>
      </c>
      <c r="G747" s="23" t="s">
        <v>28</v>
      </c>
      <c r="H747" s="23" t="s">
        <v>29</v>
      </c>
      <c r="I747" t="s">
        <v>4587</v>
      </c>
      <c r="J747" t="s">
        <v>36</v>
      </c>
      <c r="K747" s="22">
        <v>7</v>
      </c>
      <c r="L747" s="1">
        <v>42866</v>
      </c>
      <c r="M747" s="22">
        <f>Table3[[#This Row],[Ship Date]]-Table3[[#This Row],[Order Date]]</f>
        <v>5</v>
      </c>
      <c r="N747" s="23" t="s">
        <v>45</v>
      </c>
      <c r="O747" s="23" t="s">
        <v>23</v>
      </c>
      <c r="P747" s="23" t="s">
        <v>94</v>
      </c>
      <c r="Q747" s="23" t="s">
        <v>95</v>
      </c>
      <c r="R747" s="23" t="s">
        <v>93</v>
      </c>
      <c r="S747" s="33">
        <v>0.32</v>
      </c>
      <c r="T747" s="13">
        <v>623.46479999999997</v>
      </c>
      <c r="U747" s="13">
        <v>-119.1918</v>
      </c>
      <c r="V747" s="55">
        <f>Table3[[#This Row],[Profit]]/Table3[[#This Row],[Sales]]</f>
        <v>-0.19117647058823531</v>
      </c>
    </row>
    <row r="748" spans="1:22" x14ac:dyDescent="0.2">
      <c r="A748">
        <v>747</v>
      </c>
      <c r="B748" t="s">
        <v>6943</v>
      </c>
      <c r="C748" s="1">
        <v>42861</v>
      </c>
      <c r="D748" s="22">
        <f>MONTH(Table3[[#This Row],[Order Date]])</f>
        <v>5</v>
      </c>
      <c r="E748" t="s">
        <v>6765</v>
      </c>
      <c r="F748" t="s">
        <v>6766</v>
      </c>
      <c r="G748" s="23" t="s">
        <v>41</v>
      </c>
      <c r="H748" s="23" t="s">
        <v>53</v>
      </c>
      <c r="I748" t="s">
        <v>4587</v>
      </c>
      <c r="J748" t="s">
        <v>36</v>
      </c>
      <c r="K748" s="22">
        <v>5</v>
      </c>
      <c r="L748" s="1">
        <v>42866</v>
      </c>
      <c r="M748" s="22">
        <f>Table3[[#This Row],[Ship Date]]-Table3[[#This Row],[Order Date]]</f>
        <v>5</v>
      </c>
      <c r="N748" s="23" t="s">
        <v>45</v>
      </c>
      <c r="O748" s="23" t="s">
        <v>23</v>
      </c>
      <c r="P748" s="23" t="s">
        <v>94</v>
      </c>
      <c r="Q748" s="23" t="s">
        <v>95</v>
      </c>
      <c r="R748" s="23" t="s">
        <v>93</v>
      </c>
      <c r="S748" s="33">
        <v>0.2</v>
      </c>
      <c r="T748" s="13">
        <v>772.68</v>
      </c>
      <c r="U748" s="13">
        <v>-57.951000000000001</v>
      </c>
      <c r="V748" s="55">
        <f>Table3[[#This Row],[Profit]]/Table3[[#This Row],[Sales]]</f>
        <v>-7.5000000000000011E-2</v>
      </c>
    </row>
    <row r="749" spans="1:22" x14ac:dyDescent="0.2">
      <c r="A749">
        <v>748</v>
      </c>
      <c r="B749" t="s">
        <v>8232</v>
      </c>
      <c r="C749" s="1">
        <v>42861</v>
      </c>
      <c r="D749" s="22">
        <f>MONTH(Table3[[#This Row],[Order Date]])</f>
        <v>5</v>
      </c>
      <c r="E749" t="s">
        <v>1224</v>
      </c>
      <c r="F749" t="s">
        <v>1225</v>
      </c>
      <c r="G749" s="23" t="s">
        <v>41</v>
      </c>
      <c r="H749" s="23" t="s">
        <v>68</v>
      </c>
      <c r="I749" t="s">
        <v>3471</v>
      </c>
      <c r="J749" t="s">
        <v>22</v>
      </c>
      <c r="K749" s="22">
        <v>11</v>
      </c>
      <c r="L749" s="1">
        <v>42861</v>
      </c>
      <c r="M749" s="22">
        <f>Table3[[#This Row],[Ship Date]]-Table3[[#This Row],[Order Date]]</f>
        <v>0</v>
      </c>
      <c r="N749" s="23" t="s">
        <v>1141</v>
      </c>
      <c r="O749" s="23" t="s">
        <v>23</v>
      </c>
      <c r="P749" s="23" t="s">
        <v>80</v>
      </c>
      <c r="Q749" s="23" t="s">
        <v>26</v>
      </c>
      <c r="R749" s="23" t="s">
        <v>414</v>
      </c>
      <c r="S749" s="33">
        <v>0.7</v>
      </c>
      <c r="T749" s="13">
        <v>68.540999999999997</v>
      </c>
      <c r="U749" s="13">
        <v>-52.548099999999998</v>
      </c>
      <c r="V749" s="55">
        <f>Table3[[#This Row],[Profit]]/Table3[[#This Row],[Sales]]</f>
        <v>-0.76666666666666672</v>
      </c>
    </row>
    <row r="750" spans="1:22" x14ac:dyDescent="0.2">
      <c r="A750">
        <v>749</v>
      </c>
      <c r="B750" t="s">
        <v>8232</v>
      </c>
      <c r="C750" s="1">
        <v>42861</v>
      </c>
      <c r="D750" s="22">
        <f>MONTH(Table3[[#This Row],[Order Date]])</f>
        <v>5</v>
      </c>
      <c r="E750" t="s">
        <v>172</v>
      </c>
      <c r="F750" t="s">
        <v>173</v>
      </c>
      <c r="G750" s="23" t="s">
        <v>64</v>
      </c>
      <c r="H750" s="23" t="s">
        <v>65</v>
      </c>
      <c r="I750" t="s">
        <v>3471</v>
      </c>
      <c r="J750" t="s">
        <v>22</v>
      </c>
      <c r="K750" s="22">
        <v>4</v>
      </c>
      <c r="L750" s="1">
        <v>42861</v>
      </c>
      <c r="M750" s="22">
        <f>Table3[[#This Row],[Ship Date]]-Table3[[#This Row],[Order Date]]</f>
        <v>0</v>
      </c>
      <c r="N750" s="23" t="s">
        <v>1141</v>
      </c>
      <c r="O750" s="23" t="s">
        <v>23</v>
      </c>
      <c r="P750" s="23" t="s">
        <v>80</v>
      </c>
      <c r="Q750" s="23" t="s">
        <v>26</v>
      </c>
      <c r="R750" s="23" t="s">
        <v>414</v>
      </c>
      <c r="S750" s="33">
        <v>0.2</v>
      </c>
      <c r="T750" s="13">
        <v>627.16800000000001</v>
      </c>
      <c r="U750" s="13">
        <v>70.556399999999996</v>
      </c>
      <c r="V750" s="55">
        <f>Table3[[#This Row],[Profit]]/Table3[[#This Row],[Sales]]</f>
        <v>0.11249999999999999</v>
      </c>
    </row>
    <row r="751" spans="1:22" x14ac:dyDescent="0.2">
      <c r="A751">
        <v>750</v>
      </c>
      <c r="B751" t="s">
        <v>8232</v>
      </c>
      <c r="C751" s="1">
        <v>42861</v>
      </c>
      <c r="D751" s="22">
        <f>MONTH(Table3[[#This Row],[Order Date]])</f>
        <v>5</v>
      </c>
      <c r="E751" t="s">
        <v>1986</v>
      </c>
      <c r="F751" t="s">
        <v>1987</v>
      </c>
      <c r="G751" s="23" t="s">
        <v>41</v>
      </c>
      <c r="H751" s="23" t="s">
        <v>42</v>
      </c>
      <c r="I751" t="s">
        <v>3471</v>
      </c>
      <c r="J751" t="s">
        <v>22</v>
      </c>
      <c r="K751" s="22">
        <v>5</v>
      </c>
      <c r="L751" s="1">
        <v>42861</v>
      </c>
      <c r="M751" s="22">
        <f>Table3[[#This Row],[Ship Date]]-Table3[[#This Row],[Order Date]]</f>
        <v>0</v>
      </c>
      <c r="N751" s="23" t="s">
        <v>1141</v>
      </c>
      <c r="O751" s="23" t="s">
        <v>23</v>
      </c>
      <c r="P751" s="23" t="s">
        <v>80</v>
      </c>
      <c r="Q751" s="23" t="s">
        <v>26</v>
      </c>
      <c r="R751" s="23" t="s">
        <v>414</v>
      </c>
      <c r="S751" s="33">
        <v>0.2</v>
      </c>
      <c r="T751" s="13">
        <v>122.12</v>
      </c>
      <c r="U751" s="13">
        <v>39.689</v>
      </c>
      <c r="V751" s="55">
        <f>Table3[[#This Row],[Profit]]/Table3[[#This Row],[Sales]]</f>
        <v>0.32500000000000001</v>
      </c>
    </row>
    <row r="752" spans="1:22" x14ac:dyDescent="0.2">
      <c r="A752">
        <v>751</v>
      </c>
      <c r="B752" t="s">
        <v>8818</v>
      </c>
      <c r="C752" s="1">
        <v>42861</v>
      </c>
      <c r="D752" s="22">
        <f>MONTH(Table3[[#This Row],[Order Date]])</f>
        <v>5</v>
      </c>
      <c r="E752" t="s">
        <v>1625</v>
      </c>
      <c r="F752" t="s">
        <v>1626</v>
      </c>
      <c r="G752" s="23" t="s">
        <v>41</v>
      </c>
      <c r="H752" s="23" t="s">
        <v>71</v>
      </c>
      <c r="I752" t="s">
        <v>7882</v>
      </c>
      <c r="J752" t="s">
        <v>22</v>
      </c>
      <c r="K752" s="22">
        <v>3</v>
      </c>
      <c r="L752" s="1">
        <v>42864</v>
      </c>
      <c r="M752" s="22">
        <f>Table3[[#This Row],[Ship Date]]-Table3[[#This Row],[Order Date]]</f>
        <v>3</v>
      </c>
      <c r="N752" s="23" t="s">
        <v>20</v>
      </c>
      <c r="O752" s="23" t="s">
        <v>23</v>
      </c>
      <c r="P752" s="23" t="s">
        <v>38</v>
      </c>
      <c r="Q752" s="23" t="s">
        <v>39</v>
      </c>
      <c r="R752" s="23" t="s">
        <v>4417</v>
      </c>
      <c r="S752" s="33">
        <v>0</v>
      </c>
      <c r="T752" s="13">
        <v>152.94</v>
      </c>
      <c r="U752" s="13">
        <v>41.293799999999997</v>
      </c>
      <c r="V752" s="55">
        <f>Table3[[#This Row],[Profit]]/Table3[[#This Row],[Sales]]</f>
        <v>0.26999999999999996</v>
      </c>
    </row>
    <row r="753" spans="1:22" x14ac:dyDescent="0.2">
      <c r="A753">
        <v>752</v>
      </c>
      <c r="B753" t="s">
        <v>9252</v>
      </c>
      <c r="C753" s="1">
        <v>42861</v>
      </c>
      <c r="D753" s="22">
        <f>MONTH(Table3[[#This Row],[Order Date]])</f>
        <v>5</v>
      </c>
      <c r="E753" t="s">
        <v>560</v>
      </c>
      <c r="F753" t="s">
        <v>561</v>
      </c>
      <c r="G753" s="23" t="s">
        <v>41</v>
      </c>
      <c r="H753" s="23" t="s">
        <v>82</v>
      </c>
      <c r="I753" t="s">
        <v>1071</v>
      </c>
      <c r="J753" t="s">
        <v>22</v>
      </c>
      <c r="K753" s="22">
        <v>4</v>
      </c>
      <c r="L753" s="1">
        <v>42865</v>
      </c>
      <c r="M753" s="22">
        <f>Table3[[#This Row],[Ship Date]]-Table3[[#This Row],[Order Date]]</f>
        <v>4</v>
      </c>
      <c r="N753" s="23" t="s">
        <v>45</v>
      </c>
      <c r="O753" s="23" t="s">
        <v>23</v>
      </c>
      <c r="P753" s="23" t="s">
        <v>277</v>
      </c>
      <c r="Q753" s="23" t="s">
        <v>39</v>
      </c>
      <c r="R753" s="23" t="s">
        <v>1159</v>
      </c>
      <c r="S753" s="33">
        <v>0.2</v>
      </c>
      <c r="T753" s="13">
        <v>84.415999999999997</v>
      </c>
      <c r="U753" s="13">
        <v>27.435199999999998</v>
      </c>
      <c r="V753" s="55">
        <f>Table3[[#This Row],[Profit]]/Table3[[#This Row],[Sales]]</f>
        <v>0.32500000000000001</v>
      </c>
    </row>
    <row r="754" spans="1:22" x14ac:dyDescent="0.2">
      <c r="A754">
        <v>753</v>
      </c>
      <c r="B754" t="s">
        <v>10108</v>
      </c>
      <c r="C754" s="1">
        <v>42861</v>
      </c>
      <c r="D754" s="22">
        <f>MONTH(Table3[[#This Row],[Order Date]])</f>
        <v>5</v>
      </c>
      <c r="E754" t="s">
        <v>3010</v>
      </c>
      <c r="F754" t="s">
        <v>3011</v>
      </c>
      <c r="G754" s="23" t="s">
        <v>64</v>
      </c>
      <c r="H754" s="23" t="s">
        <v>144</v>
      </c>
      <c r="I754" t="s">
        <v>1692</v>
      </c>
      <c r="J754" t="s">
        <v>22</v>
      </c>
      <c r="K754" s="22">
        <v>4</v>
      </c>
      <c r="L754" s="1">
        <v>42865</v>
      </c>
      <c r="M754" s="22">
        <f>Table3[[#This Row],[Ship Date]]-Table3[[#This Row],[Order Date]]</f>
        <v>4</v>
      </c>
      <c r="N754" s="23" t="s">
        <v>45</v>
      </c>
      <c r="O754" s="23" t="s">
        <v>23</v>
      </c>
      <c r="P754" s="23" t="s">
        <v>189</v>
      </c>
      <c r="Q754" s="23" t="s">
        <v>95</v>
      </c>
      <c r="R754" s="23" t="s">
        <v>271</v>
      </c>
      <c r="S754" s="33">
        <v>0.2</v>
      </c>
      <c r="T754" s="13">
        <v>191.96799999999999</v>
      </c>
      <c r="U754" s="13">
        <v>28.795200000000001</v>
      </c>
      <c r="V754" s="55">
        <f>Table3[[#This Row],[Profit]]/Table3[[#This Row],[Sales]]</f>
        <v>0.15000000000000002</v>
      </c>
    </row>
    <row r="755" spans="1:22" x14ac:dyDescent="0.2">
      <c r="A755">
        <v>754</v>
      </c>
      <c r="B755" t="s">
        <v>6253</v>
      </c>
      <c r="C755" s="1">
        <v>42862</v>
      </c>
      <c r="D755" s="22">
        <f>MONTH(Table3[[#This Row],[Order Date]])</f>
        <v>5</v>
      </c>
      <c r="E755" t="s">
        <v>1005</v>
      </c>
      <c r="F755" t="s">
        <v>1006</v>
      </c>
      <c r="G755" s="23" t="s">
        <v>28</v>
      </c>
      <c r="H755" s="23" t="s">
        <v>32</v>
      </c>
      <c r="I755" t="s">
        <v>3394</v>
      </c>
      <c r="J755" t="s">
        <v>36</v>
      </c>
      <c r="K755" s="22">
        <v>5</v>
      </c>
      <c r="L755" s="1">
        <v>42866</v>
      </c>
      <c r="M755" s="22">
        <f>Table3[[#This Row],[Ship Date]]-Table3[[#This Row],[Order Date]]</f>
        <v>4</v>
      </c>
      <c r="N755" s="23" t="s">
        <v>45</v>
      </c>
      <c r="O755" s="23" t="s">
        <v>23</v>
      </c>
      <c r="P755" s="23" t="s">
        <v>212</v>
      </c>
      <c r="Q755" s="23" t="s">
        <v>95</v>
      </c>
      <c r="R755" s="23" t="s">
        <v>775</v>
      </c>
      <c r="S755" s="33">
        <v>0</v>
      </c>
      <c r="T755" s="13">
        <v>1458.65</v>
      </c>
      <c r="U755" s="13">
        <v>423.00850000000003</v>
      </c>
      <c r="V755" s="55">
        <f>Table3[[#This Row],[Profit]]/Table3[[#This Row],[Sales]]</f>
        <v>0.28999999999999998</v>
      </c>
    </row>
    <row r="756" spans="1:22" x14ac:dyDescent="0.2">
      <c r="A756">
        <v>755</v>
      </c>
      <c r="B756" t="s">
        <v>6253</v>
      </c>
      <c r="C756" s="1">
        <v>42862</v>
      </c>
      <c r="D756" s="22">
        <f>MONTH(Table3[[#This Row],[Order Date]])</f>
        <v>5</v>
      </c>
      <c r="E756" t="s">
        <v>5115</v>
      </c>
      <c r="F756" t="s">
        <v>5116</v>
      </c>
      <c r="G756" s="23" t="s">
        <v>28</v>
      </c>
      <c r="H756" s="23" t="s">
        <v>32</v>
      </c>
      <c r="I756" t="s">
        <v>3394</v>
      </c>
      <c r="J756" t="s">
        <v>36</v>
      </c>
      <c r="K756" s="22">
        <v>1</v>
      </c>
      <c r="L756" s="1">
        <v>42866</v>
      </c>
      <c r="M756" s="22">
        <f>Table3[[#This Row],[Ship Date]]-Table3[[#This Row],[Order Date]]</f>
        <v>4</v>
      </c>
      <c r="N756" s="23" t="s">
        <v>45</v>
      </c>
      <c r="O756" s="23" t="s">
        <v>23</v>
      </c>
      <c r="P756" s="23" t="s">
        <v>212</v>
      </c>
      <c r="Q756" s="23" t="s">
        <v>95</v>
      </c>
      <c r="R756" s="23" t="s">
        <v>775</v>
      </c>
      <c r="S756" s="33">
        <v>0</v>
      </c>
      <c r="T756" s="13">
        <v>26.64</v>
      </c>
      <c r="U756" s="13">
        <v>7.4592000000000001</v>
      </c>
      <c r="V756" s="55">
        <f>Table3[[#This Row],[Profit]]/Table3[[#This Row],[Sales]]</f>
        <v>0.27999999999999997</v>
      </c>
    </row>
    <row r="757" spans="1:22" x14ac:dyDescent="0.2">
      <c r="A757">
        <v>756</v>
      </c>
      <c r="B757" t="s">
        <v>6253</v>
      </c>
      <c r="C757" s="1">
        <v>42862</v>
      </c>
      <c r="D757" s="22">
        <f>MONTH(Table3[[#This Row],[Order Date]])</f>
        <v>5</v>
      </c>
      <c r="E757" t="s">
        <v>1600</v>
      </c>
      <c r="F757" t="s">
        <v>1601</v>
      </c>
      <c r="G757" s="23" t="s">
        <v>28</v>
      </c>
      <c r="H757" s="23" t="s">
        <v>32</v>
      </c>
      <c r="I757" t="s">
        <v>3394</v>
      </c>
      <c r="J757" t="s">
        <v>36</v>
      </c>
      <c r="K757" s="22">
        <v>2</v>
      </c>
      <c r="L757" s="1">
        <v>42866</v>
      </c>
      <c r="M757" s="22">
        <f>Table3[[#This Row],[Ship Date]]-Table3[[#This Row],[Order Date]]</f>
        <v>4</v>
      </c>
      <c r="N757" s="23" t="s">
        <v>45</v>
      </c>
      <c r="O757" s="23" t="s">
        <v>23</v>
      </c>
      <c r="P757" s="23" t="s">
        <v>212</v>
      </c>
      <c r="Q757" s="23" t="s">
        <v>95</v>
      </c>
      <c r="R757" s="23" t="s">
        <v>775</v>
      </c>
      <c r="S757" s="33">
        <v>0</v>
      </c>
      <c r="T757" s="13">
        <v>476.8</v>
      </c>
      <c r="U757" s="13">
        <v>119.2</v>
      </c>
      <c r="V757" s="55">
        <f>Table3[[#This Row],[Profit]]/Table3[[#This Row],[Sales]]</f>
        <v>0.25</v>
      </c>
    </row>
    <row r="758" spans="1:22" x14ac:dyDescent="0.2">
      <c r="A758">
        <v>757</v>
      </c>
      <c r="B758" t="s">
        <v>6253</v>
      </c>
      <c r="C758" s="1">
        <v>42862</v>
      </c>
      <c r="D758" s="22">
        <f>MONTH(Table3[[#This Row],[Order Date]])</f>
        <v>5</v>
      </c>
      <c r="E758" t="s">
        <v>1828</v>
      </c>
      <c r="F758" t="s">
        <v>1829</v>
      </c>
      <c r="G758" s="23" t="s">
        <v>41</v>
      </c>
      <c r="H758" s="23" t="s">
        <v>71</v>
      </c>
      <c r="I758" t="s">
        <v>3394</v>
      </c>
      <c r="J758" t="s">
        <v>36</v>
      </c>
      <c r="K758" s="22">
        <v>2</v>
      </c>
      <c r="L758" s="1">
        <v>42866</v>
      </c>
      <c r="M758" s="22">
        <f>Table3[[#This Row],[Ship Date]]-Table3[[#This Row],[Order Date]]</f>
        <v>4</v>
      </c>
      <c r="N758" s="23" t="s">
        <v>45</v>
      </c>
      <c r="O758" s="23" t="s">
        <v>23</v>
      </c>
      <c r="P758" s="23" t="s">
        <v>212</v>
      </c>
      <c r="Q758" s="23" t="s">
        <v>95</v>
      </c>
      <c r="R758" s="23" t="s">
        <v>775</v>
      </c>
      <c r="S758" s="33">
        <v>0.1</v>
      </c>
      <c r="T758" s="13">
        <v>87.444000000000003</v>
      </c>
      <c r="U758" s="13">
        <v>18.4604</v>
      </c>
      <c r="V758" s="55">
        <f>Table3[[#This Row],[Profit]]/Table3[[#This Row],[Sales]]</f>
        <v>0.21111111111111111</v>
      </c>
    </row>
    <row r="759" spans="1:22" x14ac:dyDescent="0.2">
      <c r="A759">
        <v>758</v>
      </c>
      <c r="B759" t="s">
        <v>7172</v>
      </c>
      <c r="C759" s="1">
        <v>42862</v>
      </c>
      <c r="D759" s="22">
        <f>MONTH(Table3[[#This Row],[Order Date]])</f>
        <v>5</v>
      </c>
      <c r="E759" t="s">
        <v>3897</v>
      </c>
      <c r="F759" t="s">
        <v>3898</v>
      </c>
      <c r="G759" s="23" t="s">
        <v>64</v>
      </c>
      <c r="H759" s="23" t="s">
        <v>144</v>
      </c>
      <c r="I759" t="s">
        <v>1105</v>
      </c>
      <c r="J759" t="s">
        <v>92</v>
      </c>
      <c r="K759" s="22">
        <v>1</v>
      </c>
      <c r="L759" s="1">
        <v>42867</v>
      </c>
      <c r="M759" s="22">
        <f>Table3[[#This Row],[Ship Date]]-Table3[[#This Row],[Order Date]]</f>
        <v>5</v>
      </c>
      <c r="N759" s="23" t="s">
        <v>45</v>
      </c>
      <c r="O759" s="23" t="s">
        <v>23</v>
      </c>
      <c r="P759" s="23" t="s">
        <v>38</v>
      </c>
      <c r="Q759" s="23" t="s">
        <v>39</v>
      </c>
      <c r="R759" s="23" t="s">
        <v>37</v>
      </c>
      <c r="S759" s="33">
        <v>0</v>
      </c>
      <c r="T759" s="13">
        <v>79.989999999999995</v>
      </c>
      <c r="U759" s="13">
        <v>28.796399999999998</v>
      </c>
      <c r="V759" s="55">
        <f>Table3[[#This Row],[Profit]]/Table3[[#This Row],[Sales]]</f>
        <v>0.36</v>
      </c>
    </row>
    <row r="760" spans="1:22" x14ac:dyDescent="0.2">
      <c r="A760">
        <v>759</v>
      </c>
      <c r="B760" t="s">
        <v>9790</v>
      </c>
      <c r="C760" s="1">
        <v>42862</v>
      </c>
      <c r="D760" s="22">
        <f>MONTH(Table3[[#This Row],[Order Date]])</f>
        <v>5</v>
      </c>
      <c r="E760" t="s">
        <v>3194</v>
      </c>
      <c r="F760" t="s">
        <v>3195</v>
      </c>
      <c r="G760" s="23" t="s">
        <v>64</v>
      </c>
      <c r="H760" s="23" t="s">
        <v>65</v>
      </c>
      <c r="I760" t="s">
        <v>1725</v>
      </c>
      <c r="J760" t="s">
        <v>22</v>
      </c>
      <c r="K760" s="22">
        <v>7</v>
      </c>
      <c r="L760" s="1">
        <v>42866</v>
      </c>
      <c r="M760" s="22">
        <f>Table3[[#This Row],[Ship Date]]-Table3[[#This Row],[Order Date]]</f>
        <v>4</v>
      </c>
      <c r="N760" s="23" t="s">
        <v>45</v>
      </c>
      <c r="O760" s="23" t="s">
        <v>23</v>
      </c>
      <c r="P760" s="23" t="s">
        <v>38</v>
      </c>
      <c r="Q760" s="23" t="s">
        <v>39</v>
      </c>
      <c r="R760" s="23" t="s">
        <v>533</v>
      </c>
      <c r="S760" s="33">
        <v>0.2</v>
      </c>
      <c r="T760" s="13">
        <v>419.94400000000002</v>
      </c>
      <c r="U760" s="13">
        <v>52.493000000000002</v>
      </c>
      <c r="V760" s="55">
        <f>Table3[[#This Row],[Profit]]/Table3[[#This Row],[Sales]]</f>
        <v>0.125</v>
      </c>
    </row>
    <row r="761" spans="1:22" x14ac:dyDescent="0.2">
      <c r="A761">
        <v>760</v>
      </c>
      <c r="B761" t="s">
        <v>3713</v>
      </c>
      <c r="C761" s="1">
        <v>42863</v>
      </c>
      <c r="D761" s="22">
        <f>MONTH(Table3[[#This Row],[Order Date]])</f>
        <v>5</v>
      </c>
      <c r="E761" t="s">
        <v>3012</v>
      </c>
      <c r="F761" t="s">
        <v>3013</v>
      </c>
      <c r="G761" s="23" t="s">
        <v>28</v>
      </c>
      <c r="H761" s="23" t="s">
        <v>32</v>
      </c>
      <c r="I761" t="s">
        <v>1508</v>
      </c>
      <c r="J761" t="s">
        <v>22</v>
      </c>
      <c r="K761" s="22">
        <v>2</v>
      </c>
      <c r="L761" s="1">
        <v>42867</v>
      </c>
      <c r="M761" s="22">
        <f>Table3[[#This Row],[Ship Date]]-Table3[[#This Row],[Order Date]]</f>
        <v>4</v>
      </c>
      <c r="N761" s="23" t="s">
        <v>45</v>
      </c>
      <c r="O761" s="23" t="s">
        <v>23</v>
      </c>
      <c r="P761" s="23" t="s">
        <v>441</v>
      </c>
      <c r="Q761" s="23" t="s">
        <v>133</v>
      </c>
      <c r="R761" s="23" t="s">
        <v>440</v>
      </c>
      <c r="S761" s="33">
        <v>0.3</v>
      </c>
      <c r="T761" s="13">
        <v>47.991999999999997</v>
      </c>
      <c r="U761" s="13">
        <v>-2.0568</v>
      </c>
      <c r="V761" s="55">
        <f>Table3[[#This Row],[Profit]]/Table3[[#This Row],[Sales]]</f>
        <v>-4.2857142857142858E-2</v>
      </c>
    </row>
    <row r="762" spans="1:22" x14ac:dyDescent="0.2">
      <c r="A762">
        <v>761</v>
      </c>
      <c r="B762" t="s">
        <v>5803</v>
      </c>
      <c r="C762" s="1">
        <v>42863</v>
      </c>
      <c r="D762" s="22">
        <f>MONTH(Table3[[#This Row],[Order Date]])</f>
        <v>5</v>
      </c>
      <c r="E762" t="s">
        <v>3053</v>
      </c>
      <c r="F762" t="s">
        <v>3054</v>
      </c>
      <c r="G762" s="23" t="s">
        <v>64</v>
      </c>
      <c r="H762" s="23" t="s">
        <v>1075</v>
      </c>
      <c r="I762" t="s">
        <v>2832</v>
      </c>
      <c r="J762" t="s">
        <v>92</v>
      </c>
      <c r="K762" s="22">
        <v>6</v>
      </c>
      <c r="L762" s="1">
        <v>42867</v>
      </c>
      <c r="M762" s="22">
        <f>Table3[[#This Row],[Ship Date]]-Table3[[#This Row],[Order Date]]</f>
        <v>4</v>
      </c>
      <c r="N762" s="23" t="s">
        <v>45</v>
      </c>
      <c r="O762" s="23" t="s">
        <v>23</v>
      </c>
      <c r="P762" s="23" t="s">
        <v>38</v>
      </c>
      <c r="Q762" s="23" t="s">
        <v>39</v>
      </c>
      <c r="R762" s="23" t="s">
        <v>37</v>
      </c>
      <c r="S762" s="33">
        <v>0.2</v>
      </c>
      <c r="T762" s="13">
        <v>3359.9520000000002</v>
      </c>
      <c r="U762" s="13">
        <v>1049.9849999999999</v>
      </c>
      <c r="V762" s="55">
        <f>Table3[[#This Row],[Profit]]/Table3[[#This Row],[Sales]]</f>
        <v>0.31249999999999994</v>
      </c>
    </row>
    <row r="763" spans="1:22" x14ac:dyDescent="0.2">
      <c r="A763">
        <v>762</v>
      </c>
      <c r="B763" t="s">
        <v>6782</v>
      </c>
      <c r="C763" s="1">
        <v>42863</v>
      </c>
      <c r="D763" s="22">
        <f>MONTH(Table3[[#This Row],[Order Date]])</f>
        <v>5</v>
      </c>
      <c r="E763" t="s">
        <v>5896</v>
      </c>
      <c r="F763" t="s">
        <v>5897</v>
      </c>
      <c r="G763" s="23" t="s">
        <v>28</v>
      </c>
      <c r="H763" s="23" t="s">
        <v>32</v>
      </c>
      <c r="I763" t="s">
        <v>1046</v>
      </c>
      <c r="J763" t="s">
        <v>36</v>
      </c>
      <c r="K763" s="22">
        <v>3</v>
      </c>
      <c r="L763" s="1">
        <v>42867</v>
      </c>
      <c r="M763" s="22">
        <f>Table3[[#This Row],[Ship Date]]-Table3[[#This Row],[Order Date]]</f>
        <v>4</v>
      </c>
      <c r="N763" s="23" t="s">
        <v>45</v>
      </c>
      <c r="O763" s="23" t="s">
        <v>23</v>
      </c>
      <c r="P763" s="23" t="s">
        <v>132</v>
      </c>
      <c r="Q763" s="23" t="s">
        <v>133</v>
      </c>
      <c r="R763" s="23" t="s">
        <v>131</v>
      </c>
      <c r="S763" s="33">
        <v>0.3</v>
      </c>
      <c r="T763" s="13">
        <v>128.05799999999999</v>
      </c>
      <c r="U763" s="13">
        <v>-23.7822</v>
      </c>
      <c r="V763" s="55">
        <f>Table3[[#This Row],[Profit]]/Table3[[#This Row],[Sales]]</f>
        <v>-0.18571428571428572</v>
      </c>
    </row>
    <row r="764" spans="1:22" x14ac:dyDescent="0.2">
      <c r="A764">
        <v>763</v>
      </c>
      <c r="B764" t="s">
        <v>9889</v>
      </c>
      <c r="C764" s="1">
        <v>42863</v>
      </c>
      <c r="D764" s="22">
        <f>MONTH(Table3[[#This Row],[Order Date]])</f>
        <v>5</v>
      </c>
      <c r="E764" t="s">
        <v>4552</v>
      </c>
      <c r="F764" t="s">
        <v>4553</v>
      </c>
      <c r="G764" s="23" t="s">
        <v>41</v>
      </c>
      <c r="H764" s="23" t="s">
        <v>71</v>
      </c>
      <c r="I764" t="s">
        <v>3816</v>
      </c>
      <c r="J764" t="s">
        <v>22</v>
      </c>
      <c r="K764" s="22">
        <v>4</v>
      </c>
      <c r="L764" s="1">
        <v>42867</v>
      </c>
      <c r="M764" s="22">
        <f>Table3[[#This Row],[Ship Date]]-Table3[[#This Row],[Order Date]]</f>
        <v>4</v>
      </c>
      <c r="N764" s="23" t="s">
        <v>20</v>
      </c>
      <c r="O764" s="23" t="s">
        <v>23</v>
      </c>
      <c r="P764" s="23" t="s">
        <v>38</v>
      </c>
      <c r="Q764" s="23" t="s">
        <v>39</v>
      </c>
      <c r="R764" s="23" t="s">
        <v>114</v>
      </c>
      <c r="S764" s="33">
        <v>0</v>
      </c>
      <c r="T764" s="13">
        <v>81.08</v>
      </c>
      <c r="U764" s="13">
        <v>22.702400000000001</v>
      </c>
      <c r="V764" s="55">
        <f>Table3[[#This Row],[Profit]]/Table3[[#This Row],[Sales]]</f>
        <v>0.28000000000000003</v>
      </c>
    </row>
    <row r="765" spans="1:22" x14ac:dyDescent="0.2">
      <c r="A765">
        <v>764</v>
      </c>
      <c r="B765" t="s">
        <v>9937</v>
      </c>
      <c r="C765" s="1">
        <v>42863</v>
      </c>
      <c r="D765" s="22">
        <f>MONTH(Table3[[#This Row],[Order Date]])</f>
        <v>5</v>
      </c>
      <c r="E765" t="s">
        <v>5506</v>
      </c>
      <c r="F765" t="s">
        <v>5507</v>
      </c>
      <c r="G765" s="23" t="s">
        <v>41</v>
      </c>
      <c r="H765" s="23" t="s">
        <v>82</v>
      </c>
      <c r="I765" t="s">
        <v>1394</v>
      </c>
      <c r="J765" t="s">
        <v>36</v>
      </c>
      <c r="K765" s="22">
        <v>8</v>
      </c>
      <c r="L765" s="1">
        <v>42866</v>
      </c>
      <c r="M765" s="22">
        <f>Table3[[#This Row],[Ship Date]]-Table3[[#This Row],[Order Date]]</f>
        <v>3</v>
      </c>
      <c r="N765" s="23" t="s">
        <v>20</v>
      </c>
      <c r="O765" s="23" t="s">
        <v>23</v>
      </c>
      <c r="P765" s="23" t="s">
        <v>94</v>
      </c>
      <c r="Q765" s="23" t="s">
        <v>95</v>
      </c>
      <c r="R765" s="23" t="s">
        <v>9393</v>
      </c>
      <c r="S765" s="33">
        <v>0.2</v>
      </c>
      <c r="T765" s="13">
        <v>41.472000000000001</v>
      </c>
      <c r="U765" s="13">
        <v>14.5152</v>
      </c>
      <c r="V765" s="55">
        <f>Table3[[#This Row],[Profit]]/Table3[[#This Row],[Sales]]</f>
        <v>0.35</v>
      </c>
    </row>
    <row r="766" spans="1:22" x14ac:dyDescent="0.2">
      <c r="A766">
        <v>765</v>
      </c>
      <c r="B766" t="s">
        <v>9151</v>
      </c>
      <c r="C766" s="1">
        <v>42864</v>
      </c>
      <c r="D766" s="22">
        <f>MONTH(Table3[[#This Row],[Order Date]])</f>
        <v>5</v>
      </c>
      <c r="E766" t="s">
        <v>448</v>
      </c>
      <c r="F766" t="s">
        <v>449</v>
      </c>
      <c r="G766" s="23" t="s">
        <v>41</v>
      </c>
      <c r="H766" s="23" t="s">
        <v>155</v>
      </c>
      <c r="I766" t="s">
        <v>1577</v>
      </c>
      <c r="J766" t="s">
        <v>36</v>
      </c>
      <c r="K766" s="22">
        <v>3</v>
      </c>
      <c r="L766" s="1">
        <v>42865</v>
      </c>
      <c r="M766" s="22">
        <f>Table3[[#This Row],[Ship Date]]-Table3[[#This Row],[Order Date]]</f>
        <v>1</v>
      </c>
      <c r="N766" s="23" t="s">
        <v>169</v>
      </c>
      <c r="O766" s="23" t="s">
        <v>23</v>
      </c>
      <c r="P766" s="23" t="s">
        <v>80</v>
      </c>
      <c r="Q766" s="23" t="s">
        <v>26</v>
      </c>
      <c r="R766" s="23" t="s">
        <v>1345</v>
      </c>
      <c r="S766" s="33">
        <v>0.2</v>
      </c>
      <c r="T766" s="13">
        <v>65.231999999999999</v>
      </c>
      <c r="U766" s="13">
        <v>22.015799999999999</v>
      </c>
      <c r="V766" s="55">
        <f>Table3[[#This Row],[Profit]]/Table3[[#This Row],[Sales]]</f>
        <v>0.33749999999999997</v>
      </c>
    </row>
    <row r="767" spans="1:22" x14ac:dyDescent="0.2">
      <c r="A767">
        <v>766</v>
      </c>
      <c r="B767" t="s">
        <v>9151</v>
      </c>
      <c r="C767" s="1">
        <v>42864</v>
      </c>
      <c r="D767" s="22">
        <f>MONTH(Table3[[#This Row],[Order Date]])</f>
        <v>5</v>
      </c>
      <c r="E767" t="s">
        <v>2979</v>
      </c>
      <c r="F767" t="s">
        <v>2980</v>
      </c>
      <c r="G767" s="23" t="s">
        <v>28</v>
      </c>
      <c r="H767" s="23" t="s">
        <v>32</v>
      </c>
      <c r="I767" t="s">
        <v>1577</v>
      </c>
      <c r="J767" t="s">
        <v>36</v>
      </c>
      <c r="K767" s="22">
        <v>3</v>
      </c>
      <c r="L767" s="1">
        <v>42865</v>
      </c>
      <c r="M767" s="22">
        <f>Table3[[#This Row],[Ship Date]]-Table3[[#This Row],[Order Date]]</f>
        <v>1</v>
      </c>
      <c r="N767" s="23" t="s">
        <v>169</v>
      </c>
      <c r="O767" s="23" t="s">
        <v>23</v>
      </c>
      <c r="P767" s="23" t="s">
        <v>80</v>
      </c>
      <c r="Q767" s="23" t="s">
        <v>26</v>
      </c>
      <c r="R767" s="23" t="s">
        <v>1345</v>
      </c>
      <c r="S767" s="33">
        <v>0.2</v>
      </c>
      <c r="T767" s="13">
        <v>207</v>
      </c>
      <c r="U767" s="13">
        <v>25.875</v>
      </c>
      <c r="V767" s="55">
        <f>Table3[[#This Row],[Profit]]/Table3[[#This Row],[Sales]]</f>
        <v>0.125</v>
      </c>
    </row>
    <row r="768" spans="1:22" x14ac:dyDescent="0.2">
      <c r="A768">
        <v>767</v>
      </c>
      <c r="B768" t="s">
        <v>9237</v>
      </c>
      <c r="C768" s="1">
        <v>42864</v>
      </c>
      <c r="D768" s="22">
        <f>MONTH(Table3[[#This Row],[Order Date]])</f>
        <v>5</v>
      </c>
      <c r="E768" t="s">
        <v>2770</v>
      </c>
      <c r="F768" t="s">
        <v>2771</v>
      </c>
      <c r="G768" s="23" t="s">
        <v>41</v>
      </c>
      <c r="H768" s="23" t="s">
        <v>68</v>
      </c>
      <c r="I768" t="s">
        <v>5787</v>
      </c>
      <c r="J768" t="s">
        <v>92</v>
      </c>
      <c r="K768" s="22">
        <v>5</v>
      </c>
      <c r="L768" s="1">
        <v>42866</v>
      </c>
      <c r="M768" s="22">
        <f>Table3[[#This Row],[Ship Date]]-Table3[[#This Row],[Order Date]]</f>
        <v>2</v>
      </c>
      <c r="N768" s="23" t="s">
        <v>169</v>
      </c>
      <c r="O768" s="23" t="s">
        <v>23</v>
      </c>
      <c r="P768" s="23" t="s">
        <v>87</v>
      </c>
      <c r="Q768" s="23" t="s">
        <v>39</v>
      </c>
      <c r="R768" s="23" t="s">
        <v>86</v>
      </c>
      <c r="S768" s="33">
        <v>0.2</v>
      </c>
      <c r="T768" s="13">
        <v>147.91999999999999</v>
      </c>
      <c r="U768" s="13">
        <v>46.225000000000001</v>
      </c>
      <c r="V768" s="55">
        <f>Table3[[#This Row],[Profit]]/Table3[[#This Row],[Sales]]</f>
        <v>0.31250000000000006</v>
      </c>
    </row>
    <row r="769" spans="1:22" x14ac:dyDescent="0.2">
      <c r="A769">
        <v>768</v>
      </c>
      <c r="B769" t="s">
        <v>9237</v>
      </c>
      <c r="C769" s="1">
        <v>42864</v>
      </c>
      <c r="D769" s="22">
        <f>MONTH(Table3[[#This Row],[Order Date]])</f>
        <v>5</v>
      </c>
      <c r="E769" t="s">
        <v>247</v>
      </c>
      <c r="F769" t="s">
        <v>248</v>
      </c>
      <c r="G769" s="23" t="s">
        <v>41</v>
      </c>
      <c r="H769" s="23" t="s">
        <v>53</v>
      </c>
      <c r="I769" t="s">
        <v>5787</v>
      </c>
      <c r="J769" t="s">
        <v>92</v>
      </c>
      <c r="K769" s="22">
        <v>3</v>
      </c>
      <c r="L769" s="1">
        <v>42866</v>
      </c>
      <c r="M769" s="22">
        <f>Table3[[#This Row],[Ship Date]]-Table3[[#This Row],[Order Date]]</f>
        <v>2</v>
      </c>
      <c r="N769" s="23" t="s">
        <v>169</v>
      </c>
      <c r="O769" s="23" t="s">
        <v>23</v>
      </c>
      <c r="P769" s="23" t="s">
        <v>87</v>
      </c>
      <c r="Q769" s="23" t="s">
        <v>39</v>
      </c>
      <c r="R769" s="23" t="s">
        <v>86</v>
      </c>
      <c r="S769" s="33">
        <v>0</v>
      </c>
      <c r="T769" s="13">
        <v>104.28</v>
      </c>
      <c r="U769" s="13">
        <v>26.07</v>
      </c>
      <c r="V769" s="55">
        <f>Table3[[#This Row],[Profit]]/Table3[[#This Row],[Sales]]</f>
        <v>0.25</v>
      </c>
    </row>
    <row r="770" spans="1:22" x14ac:dyDescent="0.2">
      <c r="A770">
        <v>769</v>
      </c>
      <c r="B770" t="s">
        <v>9237</v>
      </c>
      <c r="C770" s="1">
        <v>42864</v>
      </c>
      <c r="D770" s="22">
        <f>MONTH(Table3[[#This Row],[Order Date]])</f>
        <v>5</v>
      </c>
      <c r="E770" t="s">
        <v>2537</v>
      </c>
      <c r="F770" t="s">
        <v>2538</v>
      </c>
      <c r="G770" s="23" t="s">
        <v>28</v>
      </c>
      <c r="H770" s="23" t="s">
        <v>50</v>
      </c>
      <c r="I770" t="s">
        <v>5787</v>
      </c>
      <c r="J770" t="s">
        <v>92</v>
      </c>
      <c r="K770" s="22">
        <v>1</v>
      </c>
      <c r="L770" s="1">
        <v>42866</v>
      </c>
      <c r="M770" s="22">
        <f>Table3[[#This Row],[Ship Date]]-Table3[[#This Row],[Order Date]]</f>
        <v>2</v>
      </c>
      <c r="N770" s="23" t="s">
        <v>169</v>
      </c>
      <c r="O770" s="23" t="s">
        <v>23</v>
      </c>
      <c r="P770" s="23" t="s">
        <v>87</v>
      </c>
      <c r="Q770" s="23" t="s">
        <v>39</v>
      </c>
      <c r="R770" s="23" t="s">
        <v>86</v>
      </c>
      <c r="S770" s="33">
        <v>0</v>
      </c>
      <c r="T770" s="13">
        <v>286.85000000000002</v>
      </c>
      <c r="U770" s="13">
        <v>63.106999999999999</v>
      </c>
      <c r="V770" s="55">
        <f>Table3[[#This Row],[Profit]]/Table3[[#This Row],[Sales]]</f>
        <v>0.21999999999999997</v>
      </c>
    </row>
    <row r="771" spans="1:22" x14ac:dyDescent="0.2">
      <c r="A771">
        <v>770</v>
      </c>
      <c r="B771" t="s">
        <v>9237</v>
      </c>
      <c r="C771" s="1">
        <v>42864</v>
      </c>
      <c r="D771" s="22">
        <f>MONTH(Table3[[#This Row],[Order Date]])</f>
        <v>5</v>
      </c>
      <c r="E771" t="s">
        <v>7756</v>
      </c>
      <c r="F771" t="s">
        <v>7757</v>
      </c>
      <c r="G771" s="23" t="s">
        <v>41</v>
      </c>
      <c r="H771" s="23" t="s">
        <v>53</v>
      </c>
      <c r="I771" t="s">
        <v>5787</v>
      </c>
      <c r="J771" t="s">
        <v>92</v>
      </c>
      <c r="K771" s="22">
        <v>4</v>
      </c>
      <c r="L771" s="1">
        <v>42866</v>
      </c>
      <c r="M771" s="22">
        <f>Table3[[#This Row],[Ship Date]]-Table3[[#This Row],[Order Date]]</f>
        <v>2</v>
      </c>
      <c r="N771" s="23" t="s">
        <v>169</v>
      </c>
      <c r="O771" s="23" t="s">
        <v>23</v>
      </c>
      <c r="P771" s="23" t="s">
        <v>87</v>
      </c>
      <c r="Q771" s="23" t="s">
        <v>39</v>
      </c>
      <c r="R771" s="23" t="s">
        <v>86</v>
      </c>
      <c r="S771" s="33">
        <v>0</v>
      </c>
      <c r="T771" s="13">
        <v>66.959999999999994</v>
      </c>
      <c r="U771" s="13">
        <v>2.6783999999999999</v>
      </c>
      <c r="V771" s="55">
        <f>Table3[[#This Row],[Profit]]/Table3[[#This Row],[Sales]]</f>
        <v>0.04</v>
      </c>
    </row>
    <row r="772" spans="1:22" x14ac:dyDescent="0.2">
      <c r="A772">
        <v>771</v>
      </c>
      <c r="B772" t="s">
        <v>9237</v>
      </c>
      <c r="C772" s="1">
        <v>42864</v>
      </c>
      <c r="D772" s="22">
        <f>MONTH(Table3[[#This Row],[Order Date]])</f>
        <v>5</v>
      </c>
      <c r="E772" t="s">
        <v>4865</v>
      </c>
      <c r="F772" t="s">
        <v>4866</v>
      </c>
      <c r="G772" s="23" t="s">
        <v>64</v>
      </c>
      <c r="H772" s="23" t="s">
        <v>144</v>
      </c>
      <c r="I772" t="s">
        <v>5787</v>
      </c>
      <c r="J772" t="s">
        <v>92</v>
      </c>
      <c r="K772" s="22">
        <v>2</v>
      </c>
      <c r="L772" s="1">
        <v>42866</v>
      </c>
      <c r="M772" s="22">
        <f>Table3[[#This Row],[Ship Date]]-Table3[[#This Row],[Order Date]]</f>
        <v>2</v>
      </c>
      <c r="N772" s="23" t="s">
        <v>169</v>
      </c>
      <c r="O772" s="23" t="s">
        <v>23</v>
      </c>
      <c r="P772" s="23" t="s">
        <v>87</v>
      </c>
      <c r="Q772" s="23" t="s">
        <v>39</v>
      </c>
      <c r="R772" s="23" t="s">
        <v>86</v>
      </c>
      <c r="S772" s="33">
        <v>0</v>
      </c>
      <c r="T772" s="13">
        <v>199.98</v>
      </c>
      <c r="U772" s="13">
        <v>87.991200000000006</v>
      </c>
      <c r="V772" s="55">
        <f>Table3[[#This Row],[Profit]]/Table3[[#This Row],[Sales]]</f>
        <v>0.44000000000000006</v>
      </c>
    </row>
    <row r="773" spans="1:22" x14ac:dyDescent="0.2">
      <c r="A773">
        <v>772</v>
      </c>
      <c r="B773" t="s">
        <v>6500</v>
      </c>
      <c r="C773" s="1">
        <v>42866</v>
      </c>
      <c r="D773" s="22">
        <f>MONTH(Table3[[#This Row],[Order Date]])</f>
        <v>5</v>
      </c>
      <c r="E773" t="s">
        <v>3123</v>
      </c>
      <c r="F773" t="s">
        <v>3124</v>
      </c>
      <c r="G773" s="23" t="s">
        <v>41</v>
      </c>
      <c r="H773" s="23" t="s">
        <v>82</v>
      </c>
      <c r="I773" t="s">
        <v>1682</v>
      </c>
      <c r="J773" t="s">
        <v>22</v>
      </c>
      <c r="K773" s="22">
        <v>6</v>
      </c>
      <c r="L773" s="1">
        <v>42867</v>
      </c>
      <c r="M773" s="22">
        <f>Table3[[#This Row],[Ship Date]]-Table3[[#This Row],[Order Date]]</f>
        <v>1</v>
      </c>
      <c r="N773" s="23" t="s">
        <v>1141</v>
      </c>
      <c r="O773" s="23" t="s">
        <v>23</v>
      </c>
      <c r="P773" s="23" t="s">
        <v>87</v>
      </c>
      <c r="Q773" s="23" t="s">
        <v>39</v>
      </c>
      <c r="R773" s="23" t="s">
        <v>86</v>
      </c>
      <c r="S773" s="33">
        <v>0</v>
      </c>
      <c r="T773" s="13">
        <v>37.44</v>
      </c>
      <c r="U773" s="13">
        <v>16.847999999999999</v>
      </c>
      <c r="V773" s="55">
        <f>Table3[[#This Row],[Profit]]/Table3[[#This Row],[Sales]]</f>
        <v>0.45</v>
      </c>
    </row>
    <row r="774" spans="1:22" x14ac:dyDescent="0.2">
      <c r="A774">
        <v>773</v>
      </c>
      <c r="B774" t="s">
        <v>6500</v>
      </c>
      <c r="C774" s="1">
        <v>42866</v>
      </c>
      <c r="D774" s="22">
        <f>MONTH(Table3[[#This Row],[Order Date]])</f>
        <v>5</v>
      </c>
      <c r="E774" t="s">
        <v>4928</v>
      </c>
      <c r="F774" t="s">
        <v>4929</v>
      </c>
      <c r="G774" s="23" t="s">
        <v>41</v>
      </c>
      <c r="H774" s="23" t="s">
        <v>42</v>
      </c>
      <c r="I774" t="s">
        <v>1682</v>
      </c>
      <c r="J774" t="s">
        <v>22</v>
      </c>
      <c r="K774" s="22">
        <v>3</v>
      </c>
      <c r="L774" s="1">
        <v>42867</v>
      </c>
      <c r="M774" s="22">
        <f>Table3[[#This Row],[Ship Date]]-Table3[[#This Row],[Order Date]]</f>
        <v>1</v>
      </c>
      <c r="N774" s="23" t="s">
        <v>1141</v>
      </c>
      <c r="O774" s="23" t="s">
        <v>23</v>
      </c>
      <c r="P774" s="23" t="s">
        <v>87</v>
      </c>
      <c r="Q774" s="23" t="s">
        <v>39</v>
      </c>
      <c r="R774" s="23" t="s">
        <v>86</v>
      </c>
      <c r="S774" s="33">
        <v>0</v>
      </c>
      <c r="T774" s="13">
        <v>37.590000000000003</v>
      </c>
      <c r="U774" s="13">
        <v>17.667300000000001</v>
      </c>
      <c r="V774" s="55">
        <f>Table3[[#This Row],[Profit]]/Table3[[#This Row],[Sales]]</f>
        <v>0.47</v>
      </c>
    </row>
    <row r="775" spans="1:22" x14ac:dyDescent="0.2">
      <c r="A775">
        <v>774</v>
      </c>
      <c r="B775" t="s">
        <v>6500</v>
      </c>
      <c r="C775" s="1">
        <v>42866</v>
      </c>
      <c r="D775" s="22">
        <f>MONTH(Table3[[#This Row],[Order Date]])</f>
        <v>5</v>
      </c>
      <c r="E775" t="s">
        <v>5851</v>
      </c>
      <c r="F775" t="s">
        <v>5852</v>
      </c>
      <c r="G775" s="23" t="s">
        <v>41</v>
      </c>
      <c r="H775" s="23" t="s">
        <v>68</v>
      </c>
      <c r="I775" t="s">
        <v>1682</v>
      </c>
      <c r="J775" t="s">
        <v>22</v>
      </c>
      <c r="K775" s="22">
        <v>2</v>
      </c>
      <c r="L775" s="1">
        <v>42867</v>
      </c>
      <c r="M775" s="22">
        <f>Table3[[#This Row],[Ship Date]]-Table3[[#This Row],[Order Date]]</f>
        <v>1</v>
      </c>
      <c r="N775" s="23" t="s">
        <v>1141</v>
      </c>
      <c r="O775" s="23" t="s">
        <v>23</v>
      </c>
      <c r="P775" s="23" t="s">
        <v>87</v>
      </c>
      <c r="Q775" s="23" t="s">
        <v>39</v>
      </c>
      <c r="R775" s="23" t="s">
        <v>86</v>
      </c>
      <c r="S775" s="33">
        <v>0.2</v>
      </c>
      <c r="T775" s="13">
        <v>26.032</v>
      </c>
      <c r="U775" s="13">
        <v>9.4366000000000003</v>
      </c>
      <c r="V775" s="55">
        <f>Table3[[#This Row],[Profit]]/Table3[[#This Row],[Sales]]</f>
        <v>0.36249999999999999</v>
      </c>
    </row>
    <row r="776" spans="1:22" x14ac:dyDescent="0.2">
      <c r="A776">
        <v>775</v>
      </c>
      <c r="B776" t="s">
        <v>6959</v>
      </c>
      <c r="C776" s="1">
        <v>42866</v>
      </c>
      <c r="D776" s="22">
        <f>MONTH(Table3[[#This Row],[Order Date]])</f>
        <v>5</v>
      </c>
      <c r="E776" t="s">
        <v>6375</v>
      </c>
      <c r="F776" t="s">
        <v>6376</v>
      </c>
      <c r="G776" s="23" t="s">
        <v>41</v>
      </c>
      <c r="H776" s="23" t="s">
        <v>61</v>
      </c>
      <c r="I776" t="s">
        <v>3342</v>
      </c>
      <c r="J776" t="s">
        <v>92</v>
      </c>
      <c r="K776" s="22">
        <v>2</v>
      </c>
      <c r="L776" s="1">
        <v>42872</v>
      </c>
      <c r="M776" s="22">
        <f>Table3[[#This Row],[Ship Date]]-Table3[[#This Row],[Order Date]]</f>
        <v>6</v>
      </c>
      <c r="N776" s="23" t="s">
        <v>45</v>
      </c>
      <c r="O776" s="23" t="s">
        <v>23</v>
      </c>
      <c r="P776" s="23" t="s">
        <v>94</v>
      </c>
      <c r="Q776" s="23" t="s">
        <v>95</v>
      </c>
      <c r="R776" s="23" t="s">
        <v>1095</v>
      </c>
      <c r="S776" s="33">
        <v>0.2</v>
      </c>
      <c r="T776" s="13">
        <v>5.2480000000000002</v>
      </c>
      <c r="U776" s="13">
        <v>0.59040000000000004</v>
      </c>
      <c r="V776" s="55">
        <f>Table3[[#This Row],[Profit]]/Table3[[#This Row],[Sales]]</f>
        <v>0.1125</v>
      </c>
    </row>
    <row r="777" spans="1:22" x14ac:dyDescent="0.2">
      <c r="A777">
        <v>776</v>
      </c>
      <c r="B777" t="s">
        <v>6959</v>
      </c>
      <c r="C777" s="1">
        <v>42866</v>
      </c>
      <c r="D777" s="22">
        <f>MONTH(Table3[[#This Row],[Order Date]])</f>
        <v>5</v>
      </c>
      <c r="E777" t="s">
        <v>888</v>
      </c>
      <c r="F777" t="s">
        <v>889</v>
      </c>
      <c r="G777" s="23" t="s">
        <v>41</v>
      </c>
      <c r="H777" s="23" t="s">
        <v>53</v>
      </c>
      <c r="I777" t="s">
        <v>3342</v>
      </c>
      <c r="J777" t="s">
        <v>92</v>
      </c>
      <c r="K777" s="22">
        <v>2</v>
      </c>
      <c r="L777" s="1">
        <v>42872</v>
      </c>
      <c r="M777" s="22">
        <f>Table3[[#This Row],[Ship Date]]-Table3[[#This Row],[Order Date]]</f>
        <v>6</v>
      </c>
      <c r="N777" s="23" t="s">
        <v>45</v>
      </c>
      <c r="O777" s="23" t="s">
        <v>23</v>
      </c>
      <c r="P777" s="23" t="s">
        <v>94</v>
      </c>
      <c r="Q777" s="23" t="s">
        <v>95</v>
      </c>
      <c r="R777" s="23" t="s">
        <v>1095</v>
      </c>
      <c r="S777" s="33">
        <v>0.2</v>
      </c>
      <c r="T777" s="13">
        <v>74.415999999999997</v>
      </c>
      <c r="U777" s="13">
        <v>-14.8832</v>
      </c>
      <c r="V777" s="55">
        <f>Table3[[#This Row],[Profit]]/Table3[[#This Row],[Sales]]</f>
        <v>-0.2</v>
      </c>
    </row>
    <row r="778" spans="1:22" x14ac:dyDescent="0.2">
      <c r="A778">
        <v>777</v>
      </c>
      <c r="B778" t="s">
        <v>6959</v>
      </c>
      <c r="C778" s="1">
        <v>42866</v>
      </c>
      <c r="D778" s="22">
        <f>MONTH(Table3[[#This Row],[Order Date]])</f>
        <v>5</v>
      </c>
      <c r="E778" t="s">
        <v>2162</v>
      </c>
      <c r="F778" t="s">
        <v>2163</v>
      </c>
      <c r="G778" s="23" t="s">
        <v>41</v>
      </c>
      <c r="H778" s="23" t="s">
        <v>82</v>
      </c>
      <c r="I778" t="s">
        <v>3342</v>
      </c>
      <c r="J778" t="s">
        <v>92</v>
      </c>
      <c r="K778" s="22">
        <v>2</v>
      </c>
      <c r="L778" s="1">
        <v>42872</v>
      </c>
      <c r="M778" s="22">
        <f>Table3[[#This Row],[Ship Date]]-Table3[[#This Row],[Order Date]]</f>
        <v>6</v>
      </c>
      <c r="N778" s="23" t="s">
        <v>45</v>
      </c>
      <c r="O778" s="23" t="s">
        <v>23</v>
      </c>
      <c r="P778" s="23" t="s">
        <v>94</v>
      </c>
      <c r="Q778" s="23" t="s">
        <v>95</v>
      </c>
      <c r="R778" s="23" t="s">
        <v>1095</v>
      </c>
      <c r="S778" s="33">
        <v>0.2</v>
      </c>
      <c r="T778" s="13">
        <v>6.8479999999999999</v>
      </c>
      <c r="U778" s="13">
        <v>2.14</v>
      </c>
      <c r="V778" s="55">
        <f>Table3[[#This Row],[Profit]]/Table3[[#This Row],[Sales]]</f>
        <v>0.3125</v>
      </c>
    </row>
    <row r="779" spans="1:22" x14ac:dyDescent="0.2">
      <c r="A779">
        <v>778</v>
      </c>
      <c r="B779" t="s">
        <v>6959</v>
      </c>
      <c r="C779" s="1">
        <v>42866</v>
      </c>
      <c r="D779" s="22">
        <f>MONTH(Table3[[#This Row],[Order Date]])</f>
        <v>5</v>
      </c>
      <c r="E779" t="s">
        <v>1048</v>
      </c>
      <c r="F779" t="s">
        <v>1049</v>
      </c>
      <c r="G779" s="23" t="s">
        <v>28</v>
      </c>
      <c r="H779" s="23" t="s">
        <v>58</v>
      </c>
      <c r="I779" t="s">
        <v>3342</v>
      </c>
      <c r="J779" t="s">
        <v>92</v>
      </c>
      <c r="K779" s="22">
        <v>1</v>
      </c>
      <c r="L779" s="1">
        <v>42872</v>
      </c>
      <c r="M779" s="22">
        <f>Table3[[#This Row],[Ship Date]]-Table3[[#This Row],[Order Date]]</f>
        <v>6</v>
      </c>
      <c r="N779" s="23" t="s">
        <v>45</v>
      </c>
      <c r="O779" s="23" t="s">
        <v>23</v>
      </c>
      <c r="P779" s="23" t="s">
        <v>94</v>
      </c>
      <c r="Q779" s="23" t="s">
        <v>95</v>
      </c>
      <c r="R779" s="23" t="s">
        <v>1095</v>
      </c>
      <c r="S779" s="33">
        <v>0.6</v>
      </c>
      <c r="T779" s="13">
        <v>7.9960000000000004</v>
      </c>
      <c r="U779" s="13">
        <v>-6.9965000000000002</v>
      </c>
      <c r="V779" s="55">
        <f>Table3[[#This Row],[Profit]]/Table3[[#This Row],[Sales]]</f>
        <v>-0.875</v>
      </c>
    </row>
    <row r="780" spans="1:22" x14ac:dyDescent="0.2">
      <c r="A780">
        <v>779</v>
      </c>
      <c r="B780" t="s">
        <v>7184</v>
      </c>
      <c r="C780" s="1">
        <v>42866</v>
      </c>
      <c r="D780" s="22">
        <f>MONTH(Table3[[#This Row],[Order Date]])</f>
        <v>5</v>
      </c>
      <c r="E780" t="s">
        <v>3083</v>
      </c>
      <c r="F780" t="s">
        <v>3084</v>
      </c>
      <c r="G780" s="23" t="s">
        <v>28</v>
      </c>
      <c r="H780" s="23" t="s">
        <v>29</v>
      </c>
      <c r="I780" t="s">
        <v>3531</v>
      </c>
      <c r="J780" t="s">
        <v>36</v>
      </c>
      <c r="K780" s="22">
        <v>7</v>
      </c>
      <c r="L780" s="1">
        <v>42868</v>
      </c>
      <c r="M780" s="22">
        <f>Table3[[#This Row],[Ship Date]]-Table3[[#This Row],[Order Date]]</f>
        <v>2</v>
      </c>
      <c r="N780" s="23" t="s">
        <v>169</v>
      </c>
      <c r="O780" s="23" t="s">
        <v>23</v>
      </c>
      <c r="P780" s="23" t="s">
        <v>277</v>
      </c>
      <c r="Q780" s="23" t="s">
        <v>39</v>
      </c>
      <c r="R780" s="23" t="s">
        <v>481</v>
      </c>
      <c r="S780" s="33">
        <v>0.7</v>
      </c>
      <c r="T780" s="13">
        <v>209.97900000000001</v>
      </c>
      <c r="U780" s="13">
        <v>-356.96429999999998</v>
      </c>
      <c r="V780" s="55">
        <f>Table3[[#This Row],[Profit]]/Table3[[#This Row],[Sales]]</f>
        <v>-1.6999999999999997</v>
      </c>
    </row>
    <row r="781" spans="1:22" x14ac:dyDescent="0.2">
      <c r="A781">
        <v>780</v>
      </c>
      <c r="B781" t="s">
        <v>8637</v>
      </c>
      <c r="C781" s="1">
        <v>42866</v>
      </c>
      <c r="D781" s="22">
        <f>MONTH(Table3[[#This Row],[Order Date]])</f>
        <v>5</v>
      </c>
      <c r="E781" t="s">
        <v>3733</v>
      </c>
      <c r="F781" t="s">
        <v>3734</v>
      </c>
      <c r="G781" s="23" t="s">
        <v>41</v>
      </c>
      <c r="H781" s="23" t="s">
        <v>61</v>
      </c>
      <c r="I781" t="s">
        <v>1743</v>
      </c>
      <c r="J781" t="s">
        <v>22</v>
      </c>
      <c r="K781" s="22">
        <v>3</v>
      </c>
      <c r="L781" s="1">
        <v>42871</v>
      </c>
      <c r="M781" s="22">
        <f>Table3[[#This Row],[Ship Date]]-Table3[[#This Row],[Order Date]]</f>
        <v>5</v>
      </c>
      <c r="N781" s="23" t="s">
        <v>20</v>
      </c>
      <c r="O781" s="23" t="s">
        <v>23</v>
      </c>
      <c r="P781" s="23" t="s">
        <v>238</v>
      </c>
      <c r="Q781" s="23" t="s">
        <v>133</v>
      </c>
      <c r="R781" s="23" t="s">
        <v>237</v>
      </c>
      <c r="S781" s="33">
        <v>0</v>
      </c>
      <c r="T781" s="13">
        <v>43.92</v>
      </c>
      <c r="U781" s="13">
        <v>12.736800000000001</v>
      </c>
      <c r="V781" s="55">
        <f>Table3[[#This Row],[Profit]]/Table3[[#This Row],[Sales]]</f>
        <v>0.28999999999999998</v>
      </c>
    </row>
    <row r="782" spans="1:22" x14ac:dyDescent="0.2">
      <c r="A782">
        <v>781</v>
      </c>
      <c r="B782" t="s">
        <v>4103</v>
      </c>
      <c r="C782" s="1">
        <v>42867</v>
      </c>
      <c r="D782" s="22">
        <f>MONTH(Table3[[#This Row],[Order Date]])</f>
        <v>5</v>
      </c>
      <c r="E782" t="s">
        <v>3126</v>
      </c>
      <c r="F782" t="s">
        <v>3127</v>
      </c>
      <c r="G782" s="23" t="s">
        <v>41</v>
      </c>
      <c r="H782" s="23" t="s">
        <v>53</v>
      </c>
      <c r="I782" t="s">
        <v>1080</v>
      </c>
      <c r="J782" t="s">
        <v>36</v>
      </c>
      <c r="K782" s="22">
        <v>5</v>
      </c>
      <c r="L782" s="1">
        <v>42870</v>
      </c>
      <c r="M782" s="22">
        <f>Table3[[#This Row],[Ship Date]]-Table3[[#This Row],[Order Date]]</f>
        <v>3</v>
      </c>
      <c r="N782" s="23" t="s">
        <v>20</v>
      </c>
      <c r="O782" s="23" t="s">
        <v>23</v>
      </c>
      <c r="P782" s="23" t="s">
        <v>94</v>
      </c>
      <c r="Q782" s="23" t="s">
        <v>95</v>
      </c>
      <c r="R782" s="23" t="s">
        <v>165</v>
      </c>
      <c r="S782" s="33">
        <v>0.2</v>
      </c>
      <c r="T782" s="13">
        <v>127.92</v>
      </c>
      <c r="U782" s="13">
        <v>-15.99</v>
      </c>
      <c r="V782" s="55">
        <f>Table3[[#This Row],[Profit]]/Table3[[#This Row],[Sales]]</f>
        <v>-0.125</v>
      </c>
    </row>
    <row r="783" spans="1:22" x14ac:dyDescent="0.2">
      <c r="A783">
        <v>782</v>
      </c>
      <c r="B783" t="s">
        <v>4103</v>
      </c>
      <c r="C783" s="1">
        <v>42867</v>
      </c>
      <c r="D783" s="22">
        <f>MONTH(Table3[[#This Row],[Order Date]])</f>
        <v>5</v>
      </c>
      <c r="E783" t="s">
        <v>4104</v>
      </c>
      <c r="F783" t="s">
        <v>4105</v>
      </c>
      <c r="G783" s="23" t="s">
        <v>41</v>
      </c>
      <c r="H783" s="23" t="s">
        <v>68</v>
      </c>
      <c r="I783" t="s">
        <v>1080</v>
      </c>
      <c r="J783" t="s">
        <v>36</v>
      </c>
      <c r="K783" s="22">
        <v>4</v>
      </c>
      <c r="L783" s="1">
        <v>42870</v>
      </c>
      <c r="M783" s="22">
        <f>Table3[[#This Row],[Ship Date]]-Table3[[#This Row],[Order Date]]</f>
        <v>3</v>
      </c>
      <c r="N783" s="23" t="s">
        <v>20</v>
      </c>
      <c r="O783" s="23" t="s">
        <v>23</v>
      </c>
      <c r="P783" s="23" t="s">
        <v>94</v>
      </c>
      <c r="Q783" s="23" t="s">
        <v>95</v>
      </c>
      <c r="R783" s="23" t="s">
        <v>165</v>
      </c>
      <c r="S783" s="33">
        <v>0.8</v>
      </c>
      <c r="T783" s="13">
        <v>34.24</v>
      </c>
      <c r="U783" s="13">
        <v>-53.072000000000003</v>
      </c>
      <c r="V783" s="55">
        <f>Table3[[#This Row],[Profit]]/Table3[[#This Row],[Sales]]</f>
        <v>-1.55</v>
      </c>
    </row>
    <row r="784" spans="1:22" x14ac:dyDescent="0.2">
      <c r="A784">
        <v>783</v>
      </c>
      <c r="B784" t="s">
        <v>6193</v>
      </c>
      <c r="C784" s="1">
        <v>42867</v>
      </c>
      <c r="D784" s="22">
        <f>MONTH(Table3[[#This Row],[Order Date]])</f>
        <v>5</v>
      </c>
      <c r="E784" t="s">
        <v>616</v>
      </c>
      <c r="F784" t="s">
        <v>4766</v>
      </c>
      <c r="G784" s="23" t="s">
        <v>41</v>
      </c>
      <c r="H784" s="23" t="s">
        <v>82</v>
      </c>
      <c r="I784" t="s">
        <v>1767</v>
      </c>
      <c r="J784" t="s">
        <v>22</v>
      </c>
      <c r="K784" s="22">
        <v>5</v>
      </c>
      <c r="L784" s="1">
        <v>42872</v>
      </c>
      <c r="M784" s="22">
        <f>Table3[[#This Row],[Ship Date]]-Table3[[#This Row],[Order Date]]</f>
        <v>5</v>
      </c>
      <c r="N784" s="23" t="s">
        <v>45</v>
      </c>
      <c r="O784" s="23" t="s">
        <v>23</v>
      </c>
      <c r="P784" s="23" t="s">
        <v>1101</v>
      </c>
      <c r="Q784" s="23" t="s">
        <v>133</v>
      </c>
      <c r="R784" s="23" t="s">
        <v>3613</v>
      </c>
      <c r="S784" s="33">
        <v>0</v>
      </c>
      <c r="T784" s="13">
        <v>87.6</v>
      </c>
      <c r="U784" s="13">
        <v>42.048000000000002</v>
      </c>
      <c r="V784" s="55">
        <f>Table3[[#This Row],[Profit]]/Table3[[#This Row],[Sales]]</f>
        <v>0.48000000000000004</v>
      </c>
    </row>
    <row r="785" spans="1:22" x14ac:dyDescent="0.2">
      <c r="A785">
        <v>784</v>
      </c>
      <c r="B785" t="s">
        <v>7733</v>
      </c>
      <c r="C785" s="1">
        <v>42867</v>
      </c>
      <c r="D785" s="22">
        <f>MONTH(Table3[[#This Row],[Order Date]])</f>
        <v>5</v>
      </c>
      <c r="E785" t="s">
        <v>3670</v>
      </c>
      <c r="F785" t="s">
        <v>3671</v>
      </c>
      <c r="G785" s="23" t="s">
        <v>41</v>
      </c>
      <c r="H785" s="23" t="s">
        <v>61</v>
      </c>
      <c r="I785" t="s">
        <v>5275</v>
      </c>
      <c r="J785" t="s">
        <v>92</v>
      </c>
      <c r="K785" s="22">
        <v>3</v>
      </c>
      <c r="L785" s="1">
        <v>42874</v>
      </c>
      <c r="M785" s="22">
        <f>Table3[[#This Row],[Ship Date]]-Table3[[#This Row],[Order Date]]</f>
        <v>7</v>
      </c>
      <c r="N785" s="23" t="s">
        <v>45</v>
      </c>
      <c r="O785" s="23" t="s">
        <v>23</v>
      </c>
      <c r="P785" s="23" t="s">
        <v>441</v>
      </c>
      <c r="Q785" s="23" t="s">
        <v>133</v>
      </c>
      <c r="R785" s="23" t="s">
        <v>284</v>
      </c>
      <c r="S785" s="33">
        <v>0.2</v>
      </c>
      <c r="T785" s="13">
        <v>10.272</v>
      </c>
      <c r="U785" s="13">
        <v>1.1556</v>
      </c>
      <c r="V785" s="55">
        <f>Table3[[#This Row],[Profit]]/Table3[[#This Row],[Sales]]</f>
        <v>0.11249999999999999</v>
      </c>
    </row>
    <row r="786" spans="1:22" x14ac:dyDescent="0.2">
      <c r="A786">
        <v>785</v>
      </c>
      <c r="B786" t="s">
        <v>7744</v>
      </c>
      <c r="C786" s="1">
        <v>42867</v>
      </c>
      <c r="D786" s="22">
        <f>MONTH(Table3[[#This Row],[Order Date]])</f>
        <v>5</v>
      </c>
      <c r="E786" t="s">
        <v>5247</v>
      </c>
      <c r="F786" t="s">
        <v>5248</v>
      </c>
      <c r="G786" s="23" t="s">
        <v>41</v>
      </c>
      <c r="H786" s="23" t="s">
        <v>513</v>
      </c>
      <c r="I786" t="s">
        <v>6399</v>
      </c>
      <c r="J786" t="s">
        <v>36</v>
      </c>
      <c r="K786" s="22">
        <v>2</v>
      </c>
      <c r="L786" s="1">
        <v>42873</v>
      </c>
      <c r="M786" s="22">
        <f>Table3[[#This Row],[Ship Date]]-Table3[[#This Row],[Order Date]]</f>
        <v>6</v>
      </c>
      <c r="N786" s="23" t="s">
        <v>45</v>
      </c>
      <c r="O786" s="23" t="s">
        <v>23</v>
      </c>
      <c r="P786" s="23" t="s">
        <v>38</v>
      </c>
      <c r="Q786" s="23" t="s">
        <v>39</v>
      </c>
      <c r="R786" s="23" t="s">
        <v>114</v>
      </c>
      <c r="S786" s="33">
        <v>0</v>
      </c>
      <c r="T786" s="13">
        <v>238.62</v>
      </c>
      <c r="U786" s="13">
        <v>4.7724000000000002</v>
      </c>
      <c r="V786" s="55">
        <f>Table3[[#This Row],[Profit]]/Table3[[#This Row],[Sales]]</f>
        <v>0.02</v>
      </c>
    </row>
    <row r="787" spans="1:22" x14ac:dyDescent="0.2">
      <c r="A787">
        <v>786</v>
      </c>
      <c r="B787" t="s">
        <v>7744</v>
      </c>
      <c r="C787" s="1">
        <v>42867</v>
      </c>
      <c r="D787" s="22">
        <f>MONTH(Table3[[#This Row],[Order Date]])</f>
        <v>5</v>
      </c>
      <c r="E787" t="s">
        <v>3625</v>
      </c>
      <c r="F787" t="s">
        <v>3626</v>
      </c>
      <c r="G787" s="23" t="s">
        <v>41</v>
      </c>
      <c r="H787" s="23" t="s">
        <v>71</v>
      </c>
      <c r="I787" t="s">
        <v>6399</v>
      </c>
      <c r="J787" t="s">
        <v>36</v>
      </c>
      <c r="K787" s="22">
        <v>1</v>
      </c>
      <c r="L787" s="1">
        <v>42873</v>
      </c>
      <c r="M787" s="22">
        <f>Table3[[#This Row],[Ship Date]]-Table3[[#This Row],[Order Date]]</f>
        <v>6</v>
      </c>
      <c r="N787" s="23" t="s">
        <v>45</v>
      </c>
      <c r="O787" s="23" t="s">
        <v>23</v>
      </c>
      <c r="P787" s="23" t="s">
        <v>38</v>
      </c>
      <c r="Q787" s="23" t="s">
        <v>39</v>
      </c>
      <c r="R787" s="23" t="s">
        <v>114</v>
      </c>
      <c r="S787" s="33">
        <v>0</v>
      </c>
      <c r="T787" s="13">
        <v>7.77</v>
      </c>
      <c r="U787" s="13">
        <v>2.0979000000000001</v>
      </c>
      <c r="V787" s="55">
        <f>Table3[[#This Row],[Profit]]/Table3[[#This Row],[Sales]]</f>
        <v>0.27</v>
      </c>
    </row>
    <row r="788" spans="1:22" x14ac:dyDescent="0.2">
      <c r="A788">
        <v>787</v>
      </c>
      <c r="B788" t="s">
        <v>7744</v>
      </c>
      <c r="C788" s="1">
        <v>42867</v>
      </c>
      <c r="D788" s="22">
        <f>MONTH(Table3[[#This Row],[Order Date]])</f>
        <v>5</v>
      </c>
      <c r="E788" t="s">
        <v>2469</v>
      </c>
      <c r="F788" t="s">
        <v>2470</v>
      </c>
      <c r="G788" s="23" t="s">
        <v>28</v>
      </c>
      <c r="H788" s="23" t="s">
        <v>50</v>
      </c>
      <c r="I788" t="s">
        <v>6399</v>
      </c>
      <c r="J788" t="s">
        <v>36</v>
      </c>
      <c r="K788" s="22">
        <v>5</v>
      </c>
      <c r="L788" s="1">
        <v>42873</v>
      </c>
      <c r="M788" s="22">
        <f>Table3[[#This Row],[Ship Date]]-Table3[[#This Row],[Order Date]]</f>
        <v>6</v>
      </c>
      <c r="N788" s="23" t="s">
        <v>45</v>
      </c>
      <c r="O788" s="23" t="s">
        <v>23</v>
      </c>
      <c r="P788" s="23" t="s">
        <v>38</v>
      </c>
      <c r="Q788" s="23" t="s">
        <v>39</v>
      </c>
      <c r="R788" s="23" t="s">
        <v>114</v>
      </c>
      <c r="S788" s="33">
        <v>0.2</v>
      </c>
      <c r="T788" s="13">
        <v>285.48</v>
      </c>
      <c r="U788" s="13">
        <v>-10.705500000000001</v>
      </c>
      <c r="V788" s="55">
        <f>Table3[[#This Row],[Profit]]/Table3[[#This Row],[Sales]]</f>
        <v>-3.7499999999999999E-2</v>
      </c>
    </row>
    <row r="789" spans="1:22" x14ac:dyDescent="0.2">
      <c r="A789">
        <v>788</v>
      </c>
      <c r="B789" t="s">
        <v>7744</v>
      </c>
      <c r="C789" s="1">
        <v>42867</v>
      </c>
      <c r="D789" s="22">
        <f>MONTH(Table3[[#This Row],[Order Date]])</f>
        <v>5</v>
      </c>
      <c r="E789" t="s">
        <v>3951</v>
      </c>
      <c r="F789" t="s">
        <v>3952</v>
      </c>
      <c r="G789" s="23" t="s">
        <v>41</v>
      </c>
      <c r="H789" s="23" t="s">
        <v>68</v>
      </c>
      <c r="I789" t="s">
        <v>6399</v>
      </c>
      <c r="J789" t="s">
        <v>36</v>
      </c>
      <c r="K789" s="22">
        <v>4</v>
      </c>
      <c r="L789" s="1">
        <v>42873</v>
      </c>
      <c r="M789" s="22">
        <f>Table3[[#This Row],[Ship Date]]-Table3[[#This Row],[Order Date]]</f>
        <v>6</v>
      </c>
      <c r="N789" s="23" t="s">
        <v>45</v>
      </c>
      <c r="O789" s="23" t="s">
        <v>23</v>
      </c>
      <c r="P789" s="23" t="s">
        <v>38</v>
      </c>
      <c r="Q789" s="23" t="s">
        <v>39</v>
      </c>
      <c r="R789" s="23" t="s">
        <v>114</v>
      </c>
      <c r="S789" s="33">
        <v>0.2</v>
      </c>
      <c r="T789" s="13">
        <v>19.167999999999999</v>
      </c>
      <c r="U789" s="13">
        <v>6.4691999999999998</v>
      </c>
      <c r="V789" s="55">
        <f>Table3[[#This Row],[Profit]]/Table3[[#This Row],[Sales]]</f>
        <v>0.33750000000000002</v>
      </c>
    </row>
    <row r="790" spans="1:22" x14ac:dyDescent="0.2">
      <c r="A790">
        <v>789</v>
      </c>
      <c r="B790" t="s">
        <v>8030</v>
      </c>
      <c r="C790" s="1">
        <v>42867</v>
      </c>
      <c r="D790" s="22">
        <f>MONTH(Table3[[#This Row],[Order Date]])</f>
        <v>5</v>
      </c>
      <c r="E790" t="s">
        <v>4030</v>
      </c>
      <c r="F790" t="s">
        <v>4031</v>
      </c>
      <c r="G790" s="23" t="s">
        <v>41</v>
      </c>
      <c r="H790" s="23" t="s">
        <v>42</v>
      </c>
      <c r="I790" t="s">
        <v>757</v>
      </c>
      <c r="J790" t="s">
        <v>22</v>
      </c>
      <c r="K790" s="22">
        <v>2</v>
      </c>
      <c r="L790" s="1">
        <v>42871</v>
      </c>
      <c r="M790" s="22">
        <f>Table3[[#This Row],[Ship Date]]-Table3[[#This Row],[Order Date]]</f>
        <v>4</v>
      </c>
      <c r="N790" s="23" t="s">
        <v>45</v>
      </c>
      <c r="O790" s="23" t="s">
        <v>23</v>
      </c>
      <c r="P790" s="23" t="s">
        <v>441</v>
      </c>
      <c r="Q790" s="23" t="s">
        <v>133</v>
      </c>
      <c r="R790" s="23" t="s">
        <v>887</v>
      </c>
      <c r="S790" s="33">
        <v>0.2</v>
      </c>
      <c r="T790" s="13">
        <v>5.9039999999999999</v>
      </c>
      <c r="U790" s="13">
        <v>1.9925999999999999</v>
      </c>
      <c r="V790" s="55">
        <f>Table3[[#This Row],[Profit]]/Table3[[#This Row],[Sales]]</f>
        <v>0.33749999999999997</v>
      </c>
    </row>
    <row r="791" spans="1:22" x14ac:dyDescent="0.2">
      <c r="A791">
        <v>790</v>
      </c>
      <c r="B791" t="s">
        <v>8243</v>
      </c>
      <c r="C791" s="1">
        <v>42867</v>
      </c>
      <c r="D791" s="22">
        <f>MONTH(Table3[[#This Row],[Order Date]])</f>
        <v>5</v>
      </c>
      <c r="E791" t="s">
        <v>6911</v>
      </c>
      <c r="F791" t="s">
        <v>6912</v>
      </c>
      <c r="G791" s="23" t="s">
        <v>28</v>
      </c>
      <c r="H791" s="23" t="s">
        <v>58</v>
      </c>
      <c r="I791" t="s">
        <v>1686</v>
      </c>
      <c r="J791" t="s">
        <v>22</v>
      </c>
      <c r="K791" s="22">
        <v>5</v>
      </c>
      <c r="L791" s="1">
        <v>42869</v>
      </c>
      <c r="M791" s="22">
        <f>Table3[[#This Row],[Ship Date]]-Table3[[#This Row],[Order Date]]</f>
        <v>2</v>
      </c>
      <c r="N791" s="23" t="s">
        <v>20</v>
      </c>
      <c r="O791" s="23" t="s">
        <v>23</v>
      </c>
      <c r="P791" s="23" t="s">
        <v>695</v>
      </c>
      <c r="Q791" s="23" t="s">
        <v>133</v>
      </c>
      <c r="R791" s="23" t="s">
        <v>3472</v>
      </c>
      <c r="S791" s="33">
        <v>0</v>
      </c>
      <c r="T791" s="13">
        <v>42.85</v>
      </c>
      <c r="U791" s="13">
        <v>15.426</v>
      </c>
      <c r="V791" s="55">
        <f>Table3[[#This Row],[Profit]]/Table3[[#This Row],[Sales]]</f>
        <v>0.36</v>
      </c>
    </row>
    <row r="792" spans="1:22" x14ac:dyDescent="0.2">
      <c r="A792">
        <v>791</v>
      </c>
      <c r="B792" t="s">
        <v>8243</v>
      </c>
      <c r="C792" s="1">
        <v>42867</v>
      </c>
      <c r="D792" s="22">
        <f>MONTH(Table3[[#This Row],[Order Date]])</f>
        <v>5</v>
      </c>
      <c r="E792" t="s">
        <v>2200</v>
      </c>
      <c r="F792" t="s">
        <v>2201</v>
      </c>
      <c r="G792" s="23" t="s">
        <v>41</v>
      </c>
      <c r="H792" s="23" t="s">
        <v>42</v>
      </c>
      <c r="I792" t="s">
        <v>1686</v>
      </c>
      <c r="J792" t="s">
        <v>22</v>
      </c>
      <c r="K792" s="22">
        <v>2</v>
      </c>
      <c r="L792" s="1">
        <v>42869</v>
      </c>
      <c r="M792" s="22">
        <f>Table3[[#This Row],[Ship Date]]-Table3[[#This Row],[Order Date]]</f>
        <v>2</v>
      </c>
      <c r="N792" s="23" t="s">
        <v>20</v>
      </c>
      <c r="O792" s="23" t="s">
        <v>23</v>
      </c>
      <c r="P792" s="23" t="s">
        <v>695</v>
      </c>
      <c r="Q792" s="23" t="s">
        <v>133</v>
      </c>
      <c r="R792" s="23" t="s">
        <v>3472</v>
      </c>
      <c r="S792" s="33">
        <v>0</v>
      </c>
      <c r="T792" s="13">
        <v>6.16</v>
      </c>
      <c r="U792" s="13">
        <v>2.9567999999999999</v>
      </c>
      <c r="V792" s="55">
        <f>Table3[[#This Row],[Profit]]/Table3[[#This Row],[Sales]]</f>
        <v>0.48</v>
      </c>
    </row>
    <row r="793" spans="1:22" x14ac:dyDescent="0.2">
      <c r="A793">
        <v>792</v>
      </c>
      <c r="B793" t="s">
        <v>8243</v>
      </c>
      <c r="C793" s="1">
        <v>42867</v>
      </c>
      <c r="D793" s="22">
        <f>MONTH(Table3[[#This Row],[Order Date]])</f>
        <v>5</v>
      </c>
      <c r="E793" t="s">
        <v>7806</v>
      </c>
      <c r="F793" t="s">
        <v>7807</v>
      </c>
      <c r="G793" s="23" t="s">
        <v>41</v>
      </c>
      <c r="H793" s="23" t="s">
        <v>513</v>
      </c>
      <c r="I793" t="s">
        <v>1686</v>
      </c>
      <c r="J793" t="s">
        <v>22</v>
      </c>
      <c r="K793" s="22">
        <v>2</v>
      </c>
      <c r="L793" s="1">
        <v>42869</v>
      </c>
      <c r="M793" s="22">
        <f>Table3[[#This Row],[Ship Date]]-Table3[[#This Row],[Order Date]]</f>
        <v>2</v>
      </c>
      <c r="N793" s="23" t="s">
        <v>20</v>
      </c>
      <c r="O793" s="23" t="s">
        <v>23</v>
      </c>
      <c r="P793" s="23" t="s">
        <v>695</v>
      </c>
      <c r="Q793" s="23" t="s">
        <v>133</v>
      </c>
      <c r="R793" s="23" t="s">
        <v>3472</v>
      </c>
      <c r="S793" s="33">
        <v>0</v>
      </c>
      <c r="T793" s="13">
        <v>17</v>
      </c>
      <c r="U793" s="13">
        <v>4.42</v>
      </c>
      <c r="V793" s="55">
        <f>Table3[[#This Row],[Profit]]/Table3[[#This Row],[Sales]]</f>
        <v>0.26</v>
      </c>
    </row>
    <row r="794" spans="1:22" x14ac:dyDescent="0.2">
      <c r="A794">
        <v>793</v>
      </c>
      <c r="B794" t="s">
        <v>8243</v>
      </c>
      <c r="C794" s="1">
        <v>42867</v>
      </c>
      <c r="D794" s="22">
        <f>MONTH(Table3[[#This Row],[Order Date]])</f>
        <v>5</v>
      </c>
      <c r="E794" t="s">
        <v>6106</v>
      </c>
      <c r="F794" t="s">
        <v>6107</v>
      </c>
      <c r="G794" s="23" t="s">
        <v>64</v>
      </c>
      <c r="H794" s="23" t="s">
        <v>144</v>
      </c>
      <c r="I794" t="s">
        <v>1686</v>
      </c>
      <c r="J794" t="s">
        <v>22</v>
      </c>
      <c r="K794" s="22">
        <v>5</v>
      </c>
      <c r="L794" s="1">
        <v>42869</v>
      </c>
      <c r="M794" s="22">
        <f>Table3[[#This Row],[Ship Date]]-Table3[[#This Row],[Order Date]]</f>
        <v>2</v>
      </c>
      <c r="N794" s="23" t="s">
        <v>20</v>
      </c>
      <c r="O794" s="23" t="s">
        <v>23</v>
      </c>
      <c r="P794" s="23" t="s">
        <v>695</v>
      </c>
      <c r="Q794" s="23" t="s">
        <v>133</v>
      </c>
      <c r="R794" s="23" t="s">
        <v>3472</v>
      </c>
      <c r="S794" s="33">
        <v>0</v>
      </c>
      <c r="T794" s="13">
        <v>87.4</v>
      </c>
      <c r="U794" s="13">
        <v>34.96</v>
      </c>
      <c r="V794" s="55">
        <f>Table3[[#This Row],[Profit]]/Table3[[#This Row],[Sales]]</f>
        <v>0.39999999999999997</v>
      </c>
    </row>
    <row r="795" spans="1:22" x14ac:dyDescent="0.2">
      <c r="A795">
        <v>794</v>
      </c>
      <c r="B795" t="s">
        <v>4878</v>
      </c>
      <c r="C795" s="1">
        <v>42868</v>
      </c>
      <c r="D795" s="22">
        <f>MONTH(Table3[[#This Row],[Order Date]])</f>
        <v>5</v>
      </c>
      <c r="E795" t="s">
        <v>40</v>
      </c>
      <c r="F795" t="s">
        <v>43</v>
      </c>
      <c r="G795" s="23" t="s">
        <v>41</v>
      </c>
      <c r="H795" s="23" t="s">
        <v>42</v>
      </c>
      <c r="I795" t="s">
        <v>1334</v>
      </c>
      <c r="J795" t="s">
        <v>92</v>
      </c>
      <c r="K795" s="22">
        <v>8</v>
      </c>
      <c r="L795" s="1">
        <v>42875</v>
      </c>
      <c r="M795" s="22">
        <f>Table3[[#This Row],[Ship Date]]-Table3[[#This Row],[Order Date]]</f>
        <v>7</v>
      </c>
      <c r="N795" s="23" t="s">
        <v>45</v>
      </c>
      <c r="O795" s="23" t="s">
        <v>23</v>
      </c>
      <c r="P795" s="23" t="s">
        <v>38</v>
      </c>
      <c r="Q795" s="23" t="s">
        <v>39</v>
      </c>
      <c r="R795" s="23" t="s">
        <v>114</v>
      </c>
      <c r="S795" s="33">
        <v>0</v>
      </c>
      <c r="T795" s="13">
        <v>58.48</v>
      </c>
      <c r="U795" s="13">
        <v>27.485600000000002</v>
      </c>
      <c r="V795" s="55">
        <f>Table3[[#This Row],[Profit]]/Table3[[#This Row],[Sales]]</f>
        <v>0.47000000000000003</v>
      </c>
    </row>
    <row r="796" spans="1:22" x14ac:dyDescent="0.2">
      <c r="A796">
        <v>795</v>
      </c>
      <c r="B796" t="s">
        <v>5076</v>
      </c>
      <c r="C796" s="1">
        <v>42868</v>
      </c>
      <c r="D796" s="22">
        <f>MONTH(Table3[[#This Row],[Order Date]])</f>
        <v>5</v>
      </c>
      <c r="E796" t="s">
        <v>843</v>
      </c>
      <c r="F796" t="s">
        <v>844</v>
      </c>
      <c r="G796" s="23" t="s">
        <v>41</v>
      </c>
      <c r="H796" s="23" t="s">
        <v>155</v>
      </c>
      <c r="I796" t="s">
        <v>2296</v>
      </c>
      <c r="J796" t="s">
        <v>36</v>
      </c>
      <c r="K796" s="22">
        <v>2</v>
      </c>
      <c r="L796" s="1">
        <v>42872</v>
      </c>
      <c r="M796" s="22">
        <f>Table3[[#This Row],[Ship Date]]-Table3[[#This Row],[Order Date]]</f>
        <v>4</v>
      </c>
      <c r="N796" s="23" t="s">
        <v>45</v>
      </c>
      <c r="O796" s="23" t="s">
        <v>23</v>
      </c>
      <c r="P796" s="23" t="s">
        <v>226</v>
      </c>
      <c r="Q796" s="23" t="s">
        <v>95</v>
      </c>
      <c r="R796" s="23" t="s">
        <v>440</v>
      </c>
      <c r="S796" s="33">
        <v>0</v>
      </c>
      <c r="T796" s="13">
        <v>180.96</v>
      </c>
      <c r="U796" s="13">
        <v>81.432000000000002</v>
      </c>
      <c r="V796" s="55">
        <f>Table3[[#This Row],[Profit]]/Table3[[#This Row],[Sales]]</f>
        <v>0.45</v>
      </c>
    </row>
    <row r="797" spans="1:22" x14ac:dyDescent="0.2">
      <c r="A797">
        <v>796</v>
      </c>
      <c r="B797" t="s">
        <v>5076</v>
      </c>
      <c r="C797" s="1">
        <v>42868</v>
      </c>
      <c r="D797" s="22">
        <f>MONTH(Table3[[#This Row],[Order Date]])</f>
        <v>5</v>
      </c>
      <c r="E797" t="s">
        <v>1947</v>
      </c>
      <c r="F797" t="s">
        <v>1948</v>
      </c>
      <c r="G797" s="23" t="s">
        <v>41</v>
      </c>
      <c r="H797" s="23" t="s">
        <v>68</v>
      </c>
      <c r="I797" t="s">
        <v>2296</v>
      </c>
      <c r="J797" t="s">
        <v>36</v>
      </c>
      <c r="K797" s="22">
        <v>3</v>
      </c>
      <c r="L797" s="1">
        <v>42872</v>
      </c>
      <c r="M797" s="22">
        <f>Table3[[#This Row],[Ship Date]]-Table3[[#This Row],[Order Date]]</f>
        <v>4</v>
      </c>
      <c r="N797" s="23" t="s">
        <v>45</v>
      </c>
      <c r="O797" s="23" t="s">
        <v>23</v>
      </c>
      <c r="P797" s="23" t="s">
        <v>226</v>
      </c>
      <c r="Q797" s="23" t="s">
        <v>95</v>
      </c>
      <c r="R797" s="23" t="s">
        <v>440</v>
      </c>
      <c r="S797" s="33">
        <v>0</v>
      </c>
      <c r="T797" s="13">
        <v>914.97</v>
      </c>
      <c r="U797" s="13">
        <v>411.73649999999998</v>
      </c>
      <c r="V797" s="55">
        <f>Table3[[#This Row],[Profit]]/Table3[[#This Row],[Sales]]</f>
        <v>0.44999999999999996</v>
      </c>
    </row>
    <row r="798" spans="1:22" x14ac:dyDescent="0.2">
      <c r="A798">
        <v>797</v>
      </c>
      <c r="B798" t="s">
        <v>5076</v>
      </c>
      <c r="C798" s="1">
        <v>42868</v>
      </c>
      <c r="D798" s="22">
        <f>MONTH(Table3[[#This Row],[Order Date]])</f>
        <v>5</v>
      </c>
      <c r="E798" t="s">
        <v>3337</v>
      </c>
      <c r="F798" t="s">
        <v>5077</v>
      </c>
      <c r="G798" s="23" t="s">
        <v>64</v>
      </c>
      <c r="H798" s="23" t="s">
        <v>65</v>
      </c>
      <c r="I798" t="s">
        <v>2296</v>
      </c>
      <c r="J798" t="s">
        <v>36</v>
      </c>
      <c r="K798" s="22">
        <v>3</v>
      </c>
      <c r="L798" s="1">
        <v>42872</v>
      </c>
      <c r="M798" s="22">
        <f>Table3[[#This Row],[Ship Date]]-Table3[[#This Row],[Order Date]]</f>
        <v>4</v>
      </c>
      <c r="N798" s="23" t="s">
        <v>45</v>
      </c>
      <c r="O798" s="23" t="s">
        <v>23</v>
      </c>
      <c r="P798" s="23" t="s">
        <v>226</v>
      </c>
      <c r="Q798" s="23" t="s">
        <v>95</v>
      </c>
      <c r="R798" s="23" t="s">
        <v>440</v>
      </c>
      <c r="S798" s="33">
        <v>0</v>
      </c>
      <c r="T798" s="13">
        <v>587.97</v>
      </c>
      <c r="U798" s="13">
        <v>158.75190000000001</v>
      </c>
      <c r="V798" s="55">
        <f>Table3[[#This Row],[Profit]]/Table3[[#This Row],[Sales]]</f>
        <v>0.27</v>
      </c>
    </row>
    <row r="799" spans="1:22" x14ac:dyDescent="0.2">
      <c r="A799">
        <v>798</v>
      </c>
      <c r="B799" t="s">
        <v>5076</v>
      </c>
      <c r="C799" s="1">
        <v>42868</v>
      </c>
      <c r="D799" s="22">
        <f>MONTH(Table3[[#This Row],[Order Date]])</f>
        <v>5</v>
      </c>
      <c r="E799" t="s">
        <v>4435</v>
      </c>
      <c r="F799" t="s">
        <v>4436</v>
      </c>
      <c r="G799" s="23" t="s">
        <v>41</v>
      </c>
      <c r="H799" s="23" t="s">
        <v>53</v>
      </c>
      <c r="I799" t="s">
        <v>2296</v>
      </c>
      <c r="J799" t="s">
        <v>36</v>
      </c>
      <c r="K799" s="22">
        <v>2</v>
      </c>
      <c r="L799" s="1">
        <v>42872</v>
      </c>
      <c r="M799" s="22">
        <f>Table3[[#This Row],[Ship Date]]-Table3[[#This Row],[Order Date]]</f>
        <v>4</v>
      </c>
      <c r="N799" s="23" t="s">
        <v>45</v>
      </c>
      <c r="O799" s="23" t="s">
        <v>23</v>
      </c>
      <c r="P799" s="23" t="s">
        <v>226</v>
      </c>
      <c r="Q799" s="23" t="s">
        <v>95</v>
      </c>
      <c r="R799" s="23" t="s">
        <v>440</v>
      </c>
      <c r="S799" s="33">
        <v>0</v>
      </c>
      <c r="T799" s="13">
        <v>530.34</v>
      </c>
      <c r="U799" s="13">
        <v>95.461200000000005</v>
      </c>
      <c r="V799" s="55">
        <f>Table3[[#This Row],[Profit]]/Table3[[#This Row],[Sales]]</f>
        <v>0.18</v>
      </c>
    </row>
    <row r="800" spans="1:22" x14ac:dyDescent="0.2">
      <c r="A800">
        <v>799</v>
      </c>
      <c r="B800" t="s">
        <v>5076</v>
      </c>
      <c r="C800" s="1">
        <v>42868</v>
      </c>
      <c r="D800" s="22">
        <f>MONTH(Table3[[#This Row],[Order Date]])</f>
        <v>5</v>
      </c>
      <c r="E800" t="s">
        <v>5078</v>
      </c>
      <c r="F800" t="s">
        <v>5079</v>
      </c>
      <c r="G800" s="23" t="s">
        <v>41</v>
      </c>
      <c r="H800" s="23" t="s">
        <v>82</v>
      </c>
      <c r="I800" t="s">
        <v>2296</v>
      </c>
      <c r="J800" t="s">
        <v>36</v>
      </c>
      <c r="K800" s="22">
        <v>3</v>
      </c>
      <c r="L800" s="1">
        <v>42872</v>
      </c>
      <c r="M800" s="22">
        <f>Table3[[#This Row],[Ship Date]]-Table3[[#This Row],[Order Date]]</f>
        <v>4</v>
      </c>
      <c r="N800" s="23" t="s">
        <v>45</v>
      </c>
      <c r="O800" s="23" t="s">
        <v>23</v>
      </c>
      <c r="P800" s="23" t="s">
        <v>226</v>
      </c>
      <c r="Q800" s="23" t="s">
        <v>95</v>
      </c>
      <c r="R800" s="23" t="s">
        <v>440</v>
      </c>
      <c r="S800" s="33">
        <v>0</v>
      </c>
      <c r="T800" s="13">
        <v>14.94</v>
      </c>
      <c r="U800" s="13">
        <v>7.3205999999999998</v>
      </c>
      <c r="V800" s="55">
        <f>Table3[[#This Row],[Profit]]/Table3[[#This Row],[Sales]]</f>
        <v>0.49</v>
      </c>
    </row>
    <row r="801" spans="1:22" x14ac:dyDescent="0.2">
      <c r="A801">
        <v>800</v>
      </c>
      <c r="B801" t="s">
        <v>9182</v>
      </c>
      <c r="C801" s="1">
        <v>42868</v>
      </c>
      <c r="D801" s="22">
        <f>MONTH(Table3[[#This Row],[Order Date]])</f>
        <v>5</v>
      </c>
      <c r="E801" t="s">
        <v>4251</v>
      </c>
      <c r="F801" t="s">
        <v>4252</v>
      </c>
      <c r="G801" s="23" t="s">
        <v>41</v>
      </c>
      <c r="H801" s="23" t="s">
        <v>68</v>
      </c>
      <c r="I801" t="s">
        <v>1487</v>
      </c>
      <c r="J801" t="s">
        <v>92</v>
      </c>
      <c r="K801" s="22">
        <v>9</v>
      </c>
      <c r="L801" s="1">
        <v>42873</v>
      </c>
      <c r="M801" s="22">
        <f>Table3[[#This Row],[Ship Date]]-Table3[[#This Row],[Order Date]]</f>
        <v>5</v>
      </c>
      <c r="N801" s="23" t="s">
        <v>20</v>
      </c>
      <c r="O801" s="23" t="s">
        <v>23</v>
      </c>
      <c r="P801" s="23" t="s">
        <v>218</v>
      </c>
      <c r="Q801" s="23" t="s">
        <v>133</v>
      </c>
      <c r="R801" s="23" t="s">
        <v>536</v>
      </c>
      <c r="S801" s="33">
        <v>0</v>
      </c>
      <c r="T801" s="13">
        <v>299.52</v>
      </c>
      <c r="U801" s="13">
        <v>149.76</v>
      </c>
      <c r="V801" s="55">
        <f>Table3[[#This Row],[Profit]]/Table3[[#This Row],[Sales]]</f>
        <v>0.5</v>
      </c>
    </row>
    <row r="802" spans="1:22" x14ac:dyDescent="0.2">
      <c r="A802">
        <v>801</v>
      </c>
      <c r="B802" t="s">
        <v>9362</v>
      </c>
      <c r="C802" s="1">
        <v>42868</v>
      </c>
      <c r="D802" s="22">
        <f>MONTH(Table3[[#This Row],[Order Date]])</f>
        <v>5</v>
      </c>
      <c r="E802" t="s">
        <v>388</v>
      </c>
      <c r="F802" t="s">
        <v>389</v>
      </c>
      <c r="G802" s="23" t="s">
        <v>41</v>
      </c>
      <c r="H802" s="23" t="s">
        <v>71</v>
      </c>
      <c r="I802" t="s">
        <v>2897</v>
      </c>
      <c r="J802" t="s">
        <v>36</v>
      </c>
      <c r="K802" s="22">
        <v>2</v>
      </c>
      <c r="L802" s="1">
        <v>42873</v>
      </c>
      <c r="M802" s="22">
        <f>Table3[[#This Row],[Ship Date]]-Table3[[#This Row],[Order Date]]</f>
        <v>5</v>
      </c>
      <c r="N802" s="23" t="s">
        <v>45</v>
      </c>
      <c r="O802" s="23" t="s">
        <v>23</v>
      </c>
      <c r="P802" s="23" t="s">
        <v>299</v>
      </c>
      <c r="Q802" s="23" t="s">
        <v>26</v>
      </c>
      <c r="R802" s="23" t="s">
        <v>541</v>
      </c>
      <c r="S802" s="33">
        <v>0.2</v>
      </c>
      <c r="T802" s="13">
        <v>20.768000000000001</v>
      </c>
      <c r="U802" s="13">
        <v>2.3363999999999998</v>
      </c>
      <c r="V802" s="55">
        <f>Table3[[#This Row],[Profit]]/Table3[[#This Row],[Sales]]</f>
        <v>0.11249999999999999</v>
      </c>
    </row>
    <row r="803" spans="1:22" x14ac:dyDescent="0.2">
      <c r="A803">
        <v>802</v>
      </c>
      <c r="B803" t="s">
        <v>9579</v>
      </c>
      <c r="C803" s="1">
        <v>42868</v>
      </c>
      <c r="D803" s="22">
        <f>MONTH(Table3[[#This Row],[Order Date]])</f>
        <v>5</v>
      </c>
      <c r="E803" t="s">
        <v>1847</v>
      </c>
      <c r="F803" t="s">
        <v>1848</v>
      </c>
      <c r="G803" s="23" t="s">
        <v>28</v>
      </c>
      <c r="H803" s="23" t="s">
        <v>32</v>
      </c>
      <c r="I803" t="s">
        <v>3095</v>
      </c>
      <c r="J803" t="s">
        <v>92</v>
      </c>
      <c r="K803" s="22">
        <v>5</v>
      </c>
      <c r="L803" s="1">
        <v>42872</v>
      </c>
      <c r="M803" s="22">
        <f>Table3[[#This Row],[Ship Date]]-Table3[[#This Row],[Order Date]]</f>
        <v>4</v>
      </c>
      <c r="N803" s="23" t="s">
        <v>45</v>
      </c>
      <c r="O803" s="23" t="s">
        <v>23</v>
      </c>
      <c r="P803" s="23" t="s">
        <v>132</v>
      </c>
      <c r="Q803" s="23" t="s">
        <v>133</v>
      </c>
      <c r="R803" s="23" t="s">
        <v>131</v>
      </c>
      <c r="S803" s="33">
        <v>0.3</v>
      </c>
      <c r="T803" s="13">
        <v>458.43</v>
      </c>
      <c r="U803" s="13">
        <v>-124.431</v>
      </c>
      <c r="V803" s="55">
        <f>Table3[[#This Row],[Profit]]/Table3[[#This Row],[Sales]]</f>
        <v>-0.27142857142857141</v>
      </c>
    </row>
    <row r="804" spans="1:22" x14ac:dyDescent="0.2">
      <c r="A804">
        <v>803</v>
      </c>
      <c r="B804" t="s">
        <v>2235</v>
      </c>
      <c r="C804" s="1">
        <v>42869</v>
      </c>
      <c r="D804" s="22">
        <f>MONTH(Table3[[#This Row],[Order Date]])</f>
        <v>5</v>
      </c>
      <c r="E804" t="s">
        <v>2218</v>
      </c>
      <c r="F804" t="s">
        <v>2219</v>
      </c>
      <c r="G804" s="23" t="s">
        <v>28</v>
      </c>
      <c r="H804" s="23" t="s">
        <v>58</v>
      </c>
      <c r="I804" t="s">
        <v>2236</v>
      </c>
      <c r="J804" t="s">
        <v>22</v>
      </c>
      <c r="K804" s="22">
        <v>2</v>
      </c>
      <c r="L804" s="1">
        <v>42869</v>
      </c>
      <c r="M804" s="22">
        <f>Table3[[#This Row],[Ship Date]]-Table3[[#This Row],[Order Date]]</f>
        <v>0</v>
      </c>
      <c r="N804" s="23" t="s">
        <v>1141</v>
      </c>
      <c r="O804" s="23" t="s">
        <v>23</v>
      </c>
      <c r="P804" s="23" t="s">
        <v>38</v>
      </c>
      <c r="Q804" s="23" t="s">
        <v>39</v>
      </c>
      <c r="R804" s="23" t="s">
        <v>2237</v>
      </c>
      <c r="S804" s="33">
        <v>0</v>
      </c>
      <c r="T804" s="13">
        <v>18.28</v>
      </c>
      <c r="U804" s="13">
        <v>6.2152000000000003</v>
      </c>
      <c r="V804" s="55">
        <f>Table3[[#This Row],[Profit]]/Table3[[#This Row],[Sales]]</f>
        <v>0.33999999999999997</v>
      </c>
    </row>
    <row r="805" spans="1:22" x14ac:dyDescent="0.2">
      <c r="A805">
        <v>804</v>
      </c>
      <c r="B805" t="s">
        <v>2235</v>
      </c>
      <c r="C805" s="1">
        <v>42869</v>
      </c>
      <c r="D805" s="22">
        <f>MONTH(Table3[[#This Row],[Order Date]])</f>
        <v>5</v>
      </c>
      <c r="E805" t="s">
        <v>2238</v>
      </c>
      <c r="F805" t="s">
        <v>2239</v>
      </c>
      <c r="G805" s="23" t="s">
        <v>64</v>
      </c>
      <c r="H805" s="23" t="s">
        <v>144</v>
      </c>
      <c r="I805" t="s">
        <v>2236</v>
      </c>
      <c r="J805" t="s">
        <v>22</v>
      </c>
      <c r="K805" s="22">
        <v>7</v>
      </c>
      <c r="L805" s="1">
        <v>42869</v>
      </c>
      <c r="M805" s="22">
        <f>Table3[[#This Row],[Ship Date]]-Table3[[#This Row],[Order Date]]</f>
        <v>0</v>
      </c>
      <c r="N805" s="23" t="s">
        <v>1141</v>
      </c>
      <c r="O805" s="23" t="s">
        <v>23</v>
      </c>
      <c r="P805" s="23" t="s">
        <v>38</v>
      </c>
      <c r="Q805" s="23" t="s">
        <v>39</v>
      </c>
      <c r="R805" s="23" t="s">
        <v>2237</v>
      </c>
      <c r="S805" s="33">
        <v>0</v>
      </c>
      <c r="T805" s="13">
        <v>1399.93</v>
      </c>
      <c r="U805" s="13">
        <v>601.96990000000005</v>
      </c>
      <c r="V805" s="55">
        <f>Table3[[#This Row],[Profit]]/Table3[[#This Row],[Sales]]</f>
        <v>0.43</v>
      </c>
    </row>
    <row r="806" spans="1:22" x14ac:dyDescent="0.2">
      <c r="A806">
        <v>805</v>
      </c>
      <c r="B806" t="s">
        <v>3073</v>
      </c>
      <c r="C806" s="1">
        <v>42869</v>
      </c>
      <c r="D806" s="22">
        <f>MONTH(Table3[[#This Row],[Order Date]])</f>
        <v>5</v>
      </c>
      <c r="E806" t="s">
        <v>3076</v>
      </c>
      <c r="F806" t="s">
        <v>3077</v>
      </c>
      <c r="G806" s="23" t="s">
        <v>41</v>
      </c>
      <c r="H806" s="23" t="s">
        <v>155</v>
      </c>
      <c r="I806" t="s">
        <v>3074</v>
      </c>
      <c r="J806" t="s">
        <v>22</v>
      </c>
      <c r="K806" s="22">
        <v>9</v>
      </c>
      <c r="L806" s="1">
        <v>42876</v>
      </c>
      <c r="M806" s="22">
        <f>Table3[[#This Row],[Ship Date]]-Table3[[#This Row],[Order Date]]</f>
        <v>7</v>
      </c>
      <c r="N806" s="23" t="s">
        <v>45</v>
      </c>
      <c r="O806" s="23" t="s">
        <v>23</v>
      </c>
      <c r="P806" s="23" t="s">
        <v>1315</v>
      </c>
      <c r="Q806" s="23" t="s">
        <v>26</v>
      </c>
      <c r="R806" s="23" t="s">
        <v>3075</v>
      </c>
      <c r="S806" s="33">
        <v>0</v>
      </c>
      <c r="T806" s="13">
        <v>48.69</v>
      </c>
      <c r="U806" s="13">
        <v>23.8581</v>
      </c>
      <c r="V806" s="55">
        <f>Table3[[#This Row],[Profit]]/Table3[[#This Row],[Sales]]</f>
        <v>0.49000000000000005</v>
      </c>
    </row>
    <row r="807" spans="1:22" x14ac:dyDescent="0.2">
      <c r="A807">
        <v>806</v>
      </c>
      <c r="B807" t="s">
        <v>6530</v>
      </c>
      <c r="C807" s="1">
        <v>42869</v>
      </c>
      <c r="D807" s="22">
        <f>MONTH(Table3[[#This Row],[Order Date]])</f>
        <v>5</v>
      </c>
      <c r="E807" t="s">
        <v>5149</v>
      </c>
      <c r="F807" t="s">
        <v>5150</v>
      </c>
      <c r="G807" s="23" t="s">
        <v>64</v>
      </c>
      <c r="H807" s="23" t="s">
        <v>65</v>
      </c>
      <c r="I807" t="s">
        <v>6531</v>
      </c>
      <c r="J807" t="s">
        <v>22</v>
      </c>
      <c r="K807" s="22">
        <v>3</v>
      </c>
      <c r="L807" s="1">
        <v>42873</v>
      </c>
      <c r="M807" s="22">
        <f>Table3[[#This Row],[Ship Date]]-Table3[[#This Row],[Order Date]]</f>
        <v>4</v>
      </c>
      <c r="N807" s="23" t="s">
        <v>45</v>
      </c>
      <c r="O807" s="23" t="s">
        <v>23</v>
      </c>
      <c r="P807" s="23" t="s">
        <v>238</v>
      </c>
      <c r="Q807" s="23" t="s">
        <v>133</v>
      </c>
      <c r="R807" s="23" t="s">
        <v>237</v>
      </c>
      <c r="S807" s="33">
        <v>0</v>
      </c>
      <c r="T807" s="13">
        <v>539.97</v>
      </c>
      <c r="U807" s="13">
        <v>134.99250000000001</v>
      </c>
      <c r="V807" s="55">
        <f>Table3[[#This Row],[Profit]]/Table3[[#This Row],[Sales]]</f>
        <v>0.25</v>
      </c>
    </row>
    <row r="808" spans="1:22" x14ac:dyDescent="0.2">
      <c r="A808">
        <v>807</v>
      </c>
      <c r="B808" t="s">
        <v>6530</v>
      </c>
      <c r="C808" s="1">
        <v>42869</v>
      </c>
      <c r="D808" s="22">
        <f>MONTH(Table3[[#This Row],[Order Date]])</f>
        <v>5</v>
      </c>
      <c r="E808" t="s">
        <v>3510</v>
      </c>
      <c r="F808" t="s">
        <v>3511</v>
      </c>
      <c r="G808" s="23" t="s">
        <v>41</v>
      </c>
      <c r="H808" s="23" t="s">
        <v>53</v>
      </c>
      <c r="I808" t="s">
        <v>6531</v>
      </c>
      <c r="J808" t="s">
        <v>22</v>
      </c>
      <c r="K808" s="22">
        <v>2</v>
      </c>
      <c r="L808" s="1">
        <v>42873</v>
      </c>
      <c r="M808" s="22">
        <f>Table3[[#This Row],[Ship Date]]-Table3[[#This Row],[Order Date]]</f>
        <v>4</v>
      </c>
      <c r="N808" s="23" t="s">
        <v>45</v>
      </c>
      <c r="O808" s="23" t="s">
        <v>23</v>
      </c>
      <c r="P808" s="23" t="s">
        <v>238</v>
      </c>
      <c r="Q808" s="23" t="s">
        <v>133</v>
      </c>
      <c r="R808" s="23" t="s">
        <v>237</v>
      </c>
      <c r="S808" s="33">
        <v>0</v>
      </c>
      <c r="T808" s="13">
        <v>22.58</v>
      </c>
      <c r="U808" s="13">
        <v>5.8708</v>
      </c>
      <c r="V808" s="55">
        <f>Table3[[#This Row],[Profit]]/Table3[[#This Row],[Sales]]</f>
        <v>0.26</v>
      </c>
    </row>
    <row r="809" spans="1:22" x14ac:dyDescent="0.2">
      <c r="A809">
        <v>808</v>
      </c>
      <c r="B809" t="s">
        <v>6930</v>
      </c>
      <c r="C809" s="1">
        <v>42869</v>
      </c>
      <c r="D809" s="22">
        <f>MONTH(Table3[[#This Row],[Order Date]])</f>
        <v>5</v>
      </c>
      <c r="E809" t="s">
        <v>6931</v>
      </c>
      <c r="F809" t="s">
        <v>6932</v>
      </c>
      <c r="G809" s="23" t="s">
        <v>41</v>
      </c>
      <c r="H809" s="23" t="s">
        <v>82</v>
      </c>
      <c r="I809" t="s">
        <v>122</v>
      </c>
      <c r="J809" t="s">
        <v>36</v>
      </c>
      <c r="K809" s="22">
        <v>9</v>
      </c>
      <c r="L809" s="1">
        <v>42874</v>
      </c>
      <c r="M809" s="22">
        <f>Table3[[#This Row],[Ship Date]]-Table3[[#This Row],[Order Date]]</f>
        <v>5</v>
      </c>
      <c r="N809" s="23" t="s">
        <v>45</v>
      </c>
      <c r="O809" s="23" t="s">
        <v>23</v>
      </c>
      <c r="P809" s="23" t="s">
        <v>87</v>
      </c>
      <c r="Q809" s="23" t="s">
        <v>39</v>
      </c>
      <c r="R809" s="23" t="s">
        <v>86</v>
      </c>
      <c r="S809" s="33">
        <v>0</v>
      </c>
      <c r="T809" s="13">
        <v>440.19</v>
      </c>
      <c r="U809" s="13">
        <v>206.88929999999999</v>
      </c>
      <c r="V809" s="55">
        <f>Table3[[#This Row],[Profit]]/Table3[[#This Row],[Sales]]</f>
        <v>0.47</v>
      </c>
    </row>
    <row r="810" spans="1:22" x14ac:dyDescent="0.2">
      <c r="A810">
        <v>809</v>
      </c>
      <c r="B810" t="s">
        <v>6930</v>
      </c>
      <c r="C810" s="1">
        <v>42869</v>
      </c>
      <c r="D810" s="22">
        <f>MONTH(Table3[[#This Row],[Order Date]])</f>
        <v>5</v>
      </c>
      <c r="E810" t="s">
        <v>1730</v>
      </c>
      <c r="F810" t="s">
        <v>1731</v>
      </c>
      <c r="G810" s="23" t="s">
        <v>41</v>
      </c>
      <c r="H810" s="23" t="s">
        <v>513</v>
      </c>
      <c r="I810" t="s">
        <v>122</v>
      </c>
      <c r="J810" t="s">
        <v>36</v>
      </c>
      <c r="K810" s="22">
        <v>5</v>
      </c>
      <c r="L810" s="1">
        <v>42874</v>
      </c>
      <c r="M810" s="22">
        <f>Table3[[#This Row],[Ship Date]]-Table3[[#This Row],[Order Date]]</f>
        <v>5</v>
      </c>
      <c r="N810" s="23" t="s">
        <v>45</v>
      </c>
      <c r="O810" s="23" t="s">
        <v>23</v>
      </c>
      <c r="P810" s="23" t="s">
        <v>87</v>
      </c>
      <c r="Q810" s="23" t="s">
        <v>39</v>
      </c>
      <c r="R810" s="23" t="s">
        <v>86</v>
      </c>
      <c r="S810" s="33">
        <v>0</v>
      </c>
      <c r="T810" s="13">
        <v>64.400000000000006</v>
      </c>
      <c r="U810" s="13">
        <v>1.9319999999999999</v>
      </c>
      <c r="V810" s="55">
        <f>Table3[[#This Row],[Profit]]/Table3[[#This Row],[Sales]]</f>
        <v>2.9999999999999995E-2</v>
      </c>
    </row>
    <row r="811" spans="1:22" x14ac:dyDescent="0.2">
      <c r="A811">
        <v>810</v>
      </c>
      <c r="B811" t="s">
        <v>8108</v>
      </c>
      <c r="C811" s="1">
        <v>42869</v>
      </c>
      <c r="D811" s="22">
        <f>MONTH(Table3[[#This Row],[Order Date]])</f>
        <v>5</v>
      </c>
      <c r="E811" t="s">
        <v>4220</v>
      </c>
      <c r="F811" t="s">
        <v>4221</v>
      </c>
      <c r="G811" s="23" t="s">
        <v>28</v>
      </c>
      <c r="H811" s="23" t="s">
        <v>32</v>
      </c>
      <c r="I811" t="s">
        <v>1662</v>
      </c>
      <c r="J811" t="s">
        <v>22</v>
      </c>
      <c r="K811" s="22">
        <v>5</v>
      </c>
      <c r="L811" s="1">
        <v>42870</v>
      </c>
      <c r="M811" s="22">
        <f>Table3[[#This Row],[Ship Date]]-Table3[[#This Row],[Order Date]]</f>
        <v>1</v>
      </c>
      <c r="N811" s="23" t="s">
        <v>169</v>
      </c>
      <c r="O811" s="23" t="s">
        <v>23</v>
      </c>
      <c r="P811" s="23" t="s">
        <v>94</v>
      </c>
      <c r="Q811" s="23" t="s">
        <v>95</v>
      </c>
      <c r="R811" s="23" t="s">
        <v>165</v>
      </c>
      <c r="S811" s="33">
        <v>0.3</v>
      </c>
      <c r="T811" s="13">
        <v>899.43</v>
      </c>
      <c r="U811" s="13">
        <v>-12.849</v>
      </c>
      <c r="V811" s="55">
        <f>Table3[[#This Row],[Profit]]/Table3[[#This Row],[Sales]]</f>
        <v>-1.4285714285714287E-2</v>
      </c>
    </row>
    <row r="812" spans="1:22" x14ac:dyDescent="0.2">
      <c r="A812">
        <v>811</v>
      </c>
      <c r="B812" t="s">
        <v>8108</v>
      </c>
      <c r="C812" s="1">
        <v>42869</v>
      </c>
      <c r="D812" s="22">
        <f>MONTH(Table3[[#This Row],[Order Date]])</f>
        <v>5</v>
      </c>
      <c r="E812" t="s">
        <v>4168</v>
      </c>
      <c r="F812" t="s">
        <v>4169</v>
      </c>
      <c r="G812" s="23" t="s">
        <v>41</v>
      </c>
      <c r="H812" s="23" t="s">
        <v>61</v>
      </c>
      <c r="I812" t="s">
        <v>1662</v>
      </c>
      <c r="J812" t="s">
        <v>22</v>
      </c>
      <c r="K812" s="22">
        <v>5</v>
      </c>
      <c r="L812" s="1">
        <v>42870</v>
      </c>
      <c r="M812" s="22">
        <f>Table3[[#This Row],[Ship Date]]-Table3[[#This Row],[Order Date]]</f>
        <v>1</v>
      </c>
      <c r="N812" s="23" t="s">
        <v>169</v>
      </c>
      <c r="O812" s="23" t="s">
        <v>23</v>
      </c>
      <c r="P812" s="23" t="s">
        <v>94</v>
      </c>
      <c r="Q812" s="23" t="s">
        <v>95</v>
      </c>
      <c r="R812" s="23" t="s">
        <v>165</v>
      </c>
      <c r="S812" s="33">
        <v>0.2</v>
      </c>
      <c r="T812" s="13">
        <v>46.2</v>
      </c>
      <c r="U812" s="13">
        <v>5.7750000000000004</v>
      </c>
      <c r="V812" s="55">
        <f>Table3[[#This Row],[Profit]]/Table3[[#This Row],[Sales]]</f>
        <v>0.125</v>
      </c>
    </row>
    <row r="813" spans="1:22" x14ac:dyDescent="0.2">
      <c r="A813">
        <v>812</v>
      </c>
      <c r="B813" t="s">
        <v>8108</v>
      </c>
      <c r="C813" s="1">
        <v>42869</v>
      </c>
      <c r="D813" s="22">
        <f>MONTH(Table3[[#This Row],[Order Date]])</f>
        <v>5</v>
      </c>
      <c r="E813" t="s">
        <v>8109</v>
      </c>
      <c r="F813" t="s">
        <v>8110</v>
      </c>
      <c r="G813" s="23" t="s">
        <v>41</v>
      </c>
      <c r="H813" s="23" t="s">
        <v>82</v>
      </c>
      <c r="I813" t="s">
        <v>1662</v>
      </c>
      <c r="J813" t="s">
        <v>22</v>
      </c>
      <c r="K813" s="22">
        <v>3</v>
      </c>
      <c r="L813" s="1">
        <v>42870</v>
      </c>
      <c r="M813" s="22">
        <f>Table3[[#This Row],[Ship Date]]-Table3[[#This Row],[Order Date]]</f>
        <v>1</v>
      </c>
      <c r="N813" s="23" t="s">
        <v>169</v>
      </c>
      <c r="O813" s="23" t="s">
        <v>23</v>
      </c>
      <c r="P813" s="23" t="s">
        <v>94</v>
      </c>
      <c r="Q813" s="23" t="s">
        <v>95</v>
      </c>
      <c r="R813" s="23" t="s">
        <v>165</v>
      </c>
      <c r="S813" s="33">
        <v>0.2</v>
      </c>
      <c r="T813" s="13">
        <v>47.951999999999998</v>
      </c>
      <c r="U813" s="13">
        <v>16.183800000000002</v>
      </c>
      <c r="V813" s="55">
        <f>Table3[[#This Row],[Profit]]/Table3[[#This Row],[Sales]]</f>
        <v>0.33750000000000002</v>
      </c>
    </row>
    <row r="814" spans="1:22" x14ac:dyDescent="0.2">
      <c r="A814">
        <v>813</v>
      </c>
      <c r="B814" t="s">
        <v>8108</v>
      </c>
      <c r="C814" s="1">
        <v>42869</v>
      </c>
      <c r="D814" s="22">
        <f>MONTH(Table3[[#This Row],[Order Date]])</f>
        <v>5</v>
      </c>
      <c r="E814" t="s">
        <v>6081</v>
      </c>
      <c r="F814" t="s">
        <v>6082</v>
      </c>
      <c r="G814" s="23" t="s">
        <v>64</v>
      </c>
      <c r="H814" s="23" t="s">
        <v>65</v>
      </c>
      <c r="I814" t="s">
        <v>1662</v>
      </c>
      <c r="J814" t="s">
        <v>22</v>
      </c>
      <c r="K814" s="22">
        <v>1</v>
      </c>
      <c r="L814" s="1">
        <v>42870</v>
      </c>
      <c r="M814" s="22">
        <f>Table3[[#This Row],[Ship Date]]-Table3[[#This Row],[Order Date]]</f>
        <v>1</v>
      </c>
      <c r="N814" s="23" t="s">
        <v>169</v>
      </c>
      <c r="O814" s="23" t="s">
        <v>23</v>
      </c>
      <c r="P814" s="23" t="s">
        <v>94</v>
      </c>
      <c r="Q814" s="23" t="s">
        <v>95</v>
      </c>
      <c r="R814" s="23" t="s">
        <v>165</v>
      </c>
      <c r="S814" s="33">
        <v>0.2</v>
      </c>
      <c r="T814" s="13">
        <v>7.992</v>
      </c>
      <c r="U814" s="13">
        <v>0.69930000000000003</v>
      </c>
      <c r="V814" s="55">
        <f>Table3[[#This Row],[Profit]]/Table3[[#This Row],[Sales]]</f>
        <v>8.7500000000000008E-2</v>
      </c>
    </row>
    <row r="815" spans="1:22" x14ac:dyDescent="0.2">
      <c r="A815">
        <v>814</v>
      </c>
      <c r="B815" t="s">
        <v>8108</v>
      </c>
      <c r="C815" s="1">
        <v>42869</v>
      </c>
      <c r="D815" s="22">
        <f>MONTH(Table3[[#This Row],[Order Date]])</f>
        <v>5</v>
      </c>
      <c r="E815" t="s">
        <v>6897</v>
      </c>
      <c r="F815" t="s">
        <v>6898</v>
      </c>
      <c r="G815" s="23" t="s">
        <v>41</v>
      </c>
      <c r="H815" s="23" t="s">
        <v>82</v>
      </c>
      <c r="I815" t="s">
        <v>1662</v>
      </c>
      <c r="J815" t="s">
        <v>22</v>
      </c>
      <c r="K815" s="22">
        <v>2</v>
      </c>
      <c r="L815" s="1">
        <v>42870</v>
      </c>
      <c r="M815" s="22">
        <f>Table3[[#This Row],[Ship Date]]-Table3[[#This Row],[Order Date]]</f>
        <v>1</v>
      </c>
      <c r="N815" s="23" t="s">
        <v>169</v>
      </c>
      <c r="O815" s="23" t="s">
        <v>23</v>
      </c>
      <c r="P815" s="23" t="s">
        <v>94</v>
      </c>
      <c r="Q815" s="23" t="s">
        <v>95</v>
      </c>
      <c r="R815" s="23" t="s">
        <v>165</v>
      </c>
      <c r="S815" s="33">
        <v>0.2</v>
      </c>
      <c r="T815" s="13">
        <v>76.864000000000004</v>
      </c>
      <c r="U815" s="13">
        <v>26.9024</v>
      </c>
      <c r="V815" s="55">
        <f>Table3[[#This Row],[Profit]]/Table3[[#This Row],[Sales]]</f>
        <v>0.35</v>
      </c>
    </row>
    <row r="816" spans="1:22" x14ac:dyDescent="0.2">
      <c r="A816">
        <v>815</v>
      </c>
      <c r="B816" t="s">
        <v>8138</v>
      </c>
      <c r="C816" s="1">
        <v>42869</v>
      </c>
      <c r="D816" s="22">
        <f>MONTH(Table3[[#This Row],[Order Date]])</f>
        <v>5</v>
      </c>
      <c r="E816" t="s">
        <v>2986</v>
      </c>
      <c r="F816" t="s">
        <v>2987</v>
      </c>
      <c r="G816" s="23" t="s">
        <v>41</v>
      </c>
      <c r="H816" s="23" t="s">
        <v>61</v>
      </c>
      <c r="I816" t="s">
        <v>2355</v>
      </c>
      <c r="J816" t="s">
        <v>36</v>
      </c>
      <c r="K816" s="22">
        <v>2</v>
      </c>
      <c r="L816" s="1">
        <v>42872</v>
      </c>
      <c r="M816" s="22">
        <f>Table3[[#This Row],[Ship Date]]-Table3[[#This Row],[Order Date]]</f>
        <v>3</v>
      </c>
      <c r="N816" s="23" t="s">
        <v>169</v>
      </c>
      <c r="O816" s="23" t="s">
        <v>23</v>
      </c>
      <c r="P816" s="23" t="s">
        <v>2408</v>
      </c>
      <c r="Q816" s="23" t="s">
        <v>133</v>
      </c>
      <c r="R816" s="23" t="s">
        <v>3967</v>
      </c>
      <c r="S816" s="33">
        <v>0</v>
      </c>
      <c r="T816" s="13">
        <v>3.76</v>
      </c>
      <c r="U816" s="13">
        <v>1.0904</v>
      </c>
      <c r="V816" s="55">
        <f>Table3[[#This Row],[Profit]]/Table3[[#This Row],[Sales]]</f>
        <v>0.29000000000000004</v>
      </c>
    </row>
    <row r="817" spans="1:22" x14ac:dyDescent="0.2">
      <c r="A817">
        <v>816</v>
      </c>
      <c r="B817" t="s">
        <v>8138</v>
      </c>
      <c r="C817" s="1">
        <v>42869</v>
      </c>
      <c r="D817" s="22">
        <f>MONTH(Table3[[#This Row],[Order Date]])</f>
        <v>5</v>
      </c>
      <c r="E817" t="s">
        <v>1462</v>
      </c>
      <c r="F817" t="s">
        <v>1463</v>
      </c>
      <c r="G817" s="23" t="s">
        <v>41</v>
      </c>
      <c r="H817" s="23" t="s">
        <v>61</v>
      </c>
      <c r="I817" t="s">
        <v>2355</v>
      </c>
      <c r="J817" t="s">
        <v>36</v>
      </c>
      <c r="K817" s="22">
        <v>5</v>
      </c>
      <c r="L817" s="1">
        <v>42872</v>
      </c>
      <c r="M817" s="22">
        <f>Table3[[#This Row],[Ship Date]]-Table3[[#This Row],[Order Date]]</f>
        <v>3</v>
      </c>
      <c r="N817" s="23" t="s">
        <v>169</v>
      </c>
      <c r="O817" s="23" t="s">
        <v>23</v>
      </c>
      <c r="P817" s="23" t="s">
        <v>2408</v>
      </c>
      <c r="Q817" s="23" t="s">
        <v>133</v>
      </c>
      <c r="R817" s="23" t="s">
        <v>3967</v>
      </c>
      <c r="S817" s="33">
        <v>0</v>
      </c>
      <c r="T817" s="13">
        <v>14.7</v>
      </c>
      <c r="U817" s="13">
        <v>6.6150000000000002</v>
      </c>
      <c r="V817" s="55">
        <f>Table3[[#This Row],[Profit]]/Table3[[#This Row],[Sales]]</f>
        <v>0.45</v>
      </c>
    </row>
    <row r="818" spans="1:22" x14ac:dyDescent="0.2">
      <c r="A818">
        <v>817</v>
      </c>
      <c r="B818" t="s">
        <v>8138</v>
      </c>
      <c r="C818" s="1">
        <v>42869</v>
      </c>
      <c r="D818" s="22">
        <f>MONTH(Table3[[#This Row],[Order Date]])</f>
        <v>5</v>
      </c>
      <c r="E818" t="s">
        <v>5445</v>
      </c>
      <c r="F818" t="s">
        <v>5446</v>
      </c>
      <c r="G818" s="23" t="s">
        <v>41</v>
      </c>
      <c r="H818" s="23" t="s">
        <v>61</v>
      </c>
      <c r="I818" t="s">
        <v>2355</v>
      </c>
      <c r="J818" t="s">
        <v>36</v>
      </c>
      <c r="K818" s="22">
        <v>5</v>
      </c>
      <c r="L818" s="1">
        <v>42872</v>
      </c>
      <c r="M818" s="22">
        <f>Table3[[#This Row],[Ship Date]]-Table3[[#This Row],[Order Date]]</f>
        <v>3</v>
      </c>
      <c r="N818" s="23" t="s">
        <v>169</v>
      </c>
      <c r="O818" s="23" t="s">
        <v>23</v>
      </c>
      <c r="P818" s="23" t="s">
        <v>2408</v>
      </c>
      <c r="Q818" s="23" t="s">
        <v>133</v>
      </c>
      <c r="R818" s="23" t="s">
        <v>3967</v>
      </c>
      <c r="S818" s="33">
        <v>0</v>
      </c>
      <c r="T818" s="13">
        <v>37.200000000000003</v>
      </c>
      <c r="U818" s="13">
        <v>9.3000000000000007</v>
      </c>
      <c r="V818" s="55">
        <f>Table3[[#This Row],[Profit]]/Table3[[#This Row],[Sales]]</f>
        <v>0.25</v>
      </c>
    </row>
    <row r="819" spans="1:22" x14ac:dyDescent="0.2">
      <c r="A819">
        <v>818</v>
      </c>
      <c r="B819" t="s">
        <v>8138</v>
      </c>
      <c r="C819" s="1">
        <v>42869</v>
      </c>
      <c r="D819" s="22">
        <f>MONTH(Table3[[#This Row],[Order Date]])</f>
        <v>5</v>
      </c>
      <c r="E819" t="s">
        <v>3675</v>
      </c>
      <c r="F819" t="s">
        <v>3676</v>
      </c>
      <c r="G819" s="23" t="s">
        <v>64</v>
      </c>
      <c r="H819" s="23" t="s">
        <v>144</v>
      </c>
      <c r="I819" t="s">
        <v>2355</v>
      </c>
      <c r="J819" t="s">
        <v>36</v>
      </c>
      <c r="K819" s="22">
        <v>3</v>
      </c>
      <c r="L819" s="1">
        <v>42872</v>
      </c>
      <c r="M819" s="22">
        <f>Table3[[#This Row],[Ship Date]]-Table3[[#This Row],[Order Date]]</f>
        <v>3</v>
      </c>
      <c r="N819" s="23" t="s">
        <v>169</v>
      </c>
      <c r="O819" s="23" t="s">
        <v>23</v>
      </c>
      <c r="P819" s="23" t="s">
        <v>2408</v>
      </c>
      <c r="Q819" s="23" t="s">
        <v>133</v>
      </c>
      <c r="R819" s="23" t="s">
        <v>3967</v>
      </c>
      <c r="S819" s="33">
        <v>0</v>
      </c>
      <c r="T819" s="13">
        <v>89.97</v>
      </c>
      <c r="U819" s="13">
        <v>18.893699999999999</v>
      </c>
      <c r="V819" s="55">
        <f>Table3[[#This Row],[Profit]]/Table3[[#This Row],[Sales]]</f>
        <v>0.21</v>
      </c>
    </row>
    <row r="820" spans="1:22" x14ac:dyDescent="0.2">
      <c r="A820">
        <v>819</v>
      </c>
      <c r="B820" t="s">
        <v>8138</v>
      </c>
      <c r="C820" s="1">
        <v>42869</v>
      </c>
      <c r="D820" s="22">
        <f>MONTH(Table3[[#This Row],[Order Date]])</f>
        <v>5</v>
      </c>
      <c r="E820" t="s">
        <v>6240</v>
      </c>
      <c r="F820" t="s">
        <v>6241</v>
      </c>
      <c r="G820" s="23" t="s">
        <v>28</v>
      </c>
      <c r="H820" s="23" t="s">
        <v>32</v>
      </c>
      <c r="I820" t="s">
        <v>2355</v>
      </c>
      <c r="J820" t="s">
        <v>36</v>
      </c>
      <c r="K820" s="22">
        <v>2</v>
      </c>
      <c r="L820" s="1">
        <v>42872</v>
      </c>
      <c r="M820" s="22">
        <f>Table3[[#This Row],[Ship Date]]-Table3[[#This Row],[Order Date]]</f>
        <v>3</v>
      </c>
      <c r="N820" s="23" t="s">
        <v>169</v>
      </c>
      <c r="O820" s="23" t="s">
        <v>23</v>
      </c>
      <c r="P820" s="23" t="s">
        <v>2408</v>
      </c>
      <c r="Q820" s="23" t="s">
        <v>133</v>
      </c>
      <c r="R820" s="23" t="s">
        <v>3967</v>
      </c>
      <c r="S820" s="33">
        <v>0</v>
      </c>
      <c r="T820" s="13">
        <v>261.95999999999998</v>
      </c>
      <c r="U820" s="13">
        <v>23.5764</v>
      </c>
      <c r="V820" s="55">
        <f>Table3[[#This Row],[Profit]]/Table3[[#This Row],[Sales]]</f>
        <v>9.0000000000000011E-2</v>
      </c>
    </row>
    <row r="821" spans="1:22" x14ac:dyDescent="0.2">
      <c r="A821">
        <v>820</v>
      </c>
      <c r="B821" t="s">
        <v>8138</v>
      </c>
      <c r="C821" s="1">
        <v>42869</v>
      </c>
      <c r="D821" s="22">
        <f>MONTH(Table3[[#This Row],[Order Date]])</f>
        <v>5</v>
      </c>
      <c r="E821" t="s">
        <v>748</v>
      </c>
      <c r="F821" t="s">
        <v>749</v>
      </c>
      <c r="G821" s="23" t="s">
        <v>41</v>
      </c>
      <c r="H821" s="23" t="s">
        <v>42</v>
      </c>
      <c r="I821" t="s">
        <v>2355</v>
      </c>
      <c r="J821" t="s">
        <v>36</v>
      </c>
      <c r="K821" s="22">
        <v>5</v>
      </c>
      <c r="L821" s="1">
        <v>42872</v>
      </c>
      <c r="M821" s="22">
        <f>Table3[[#This Row],[Ship Date]]-Table3[[#This Row],[Order Date]]</f>
        <v>3</v>
      </c>
      <c r="N821" s="23" t="s">
        <v>169</v>
      </c>
      <c r="O821" s="23" t="s">
        <v>23</v>
      </c>
      <c r="P821" s="23" t="s">
        <v>2408</v>
      </c>
      <c r="Q821" s="23" t="s">
        <v>133</v>
      </c>
      <c r="R821" s="23" t="s">
        <v>3967</v>
      </c>
      <c r="S821" s="33">
        <v>0</v>
      </c>
      <c r="T821" s="13">
        <v>74</v>
      </c>
      <c r="U821" s="13">
        <v>37</v>
      </c>
      <c r="V821" s="55">
        <f>Table3[[#This Row],[Profit]]/Table3[[#This Row],[Sales]]</f>
        <v>0.5</v>
      </c>
    </row>
    <row r="822" spans="1:22" x14ac:dyDescent="0.2">
      <c r="A822">
        <v>821</v>
      </c>
      <c r="B822" t="s">
        <v>8178</v>
      </c>
      <c r="C822" s="1">
        <v>42869</v>
      </c>
      <c r="D822" s="22">
        <f>MONTH(Table3[[#This Row],[Order Date]])</f>
        <v>5</v>
      </c>
      <c r="E822" t="s">
        <v>6098</v>
      </c>
      <c r="F822" t="s">
        <v>6099</v>
      </c>
      <c r="G822" s="23" t="s">
        <v>41</v>
      </c>
      <c r="H822" s="23" t="s">
        <v>68</v>
      </c>
      <c r="I822" t="s">
        <v>224</v>
      </c>
      <c r="J822" t="s">
        <v>22</v>
      </c>
      <c r="K822" s="22">
        <v>5</v>
      </c>
      <c r="L822" s="1">
        <v>42873</v>
      </c>
      <c r="M822" s="22">
        <f>Table3[[#This Row],[Ship Date]]-Table3[[#This Row],[Order Date]]</f>
        <v>4</v>
      </c>
      <c r="N822" s="23" t="s">
        <v>45</v>
      </c>
      <c r="O822" s="23" t="s">
        <v>23</v>
      </c>
      <c r="P822" s="23" t="s">
        <v>441</v>
      </c>
      <c r="Q822" s="23" t="s">
        <v>133</v>
      </c>
      <c r="R822" s="23" t="s">
        <v>1920</v>
      </c>
      <c r="S822" s="33">
        <v>0.7</v>
      </c>
      <c r="T822" s="13">
        <v>58.17</v>
      </c>
      <c r="U822" s="13">
        <v>-46.536000000000001</v>
      </c>
      <c r="V822" s="55">
        <f>Table3[[#This Row],[Profit]]/Table3[[#This Row],[Sales]]</f>
        <v>-0.8</v>
      </c>
    </row>
    <row r="823" spans="1:22" x14ac:dyDescent="0.2">
      <c r="A823">
        <v>822</v>
      </c>
      <c r="B823" t="s">
        <v>8178</v>
      </c>
      <c r="C823" s="1">
        <v>42869</v>
      </c>
      <c r="D823" s="22">
        <f>MONTH(Table3[[#This Row],[Order Date]])</f>
        <v>5</v>
      </c>
      <c r="E823" t="s">
        <v>2890</v>
      </c>
      <c r="F823" t="s">
        <v>2891</v>
      </c>
      <c r="G823" s="23" t="s">
        <v>41</v>
      </c>
      <c r="H823" s="23" t="s">
        <v>42</v>
      </c>
      <c r="I823" t="s">
        <v>224</v>
      </c>
      <c r="J823" t="s">
        <v>22</v>
      </c>
      <c r="K823" s="22">
        <v>2</v>
      </c>
      <c r="L823" s="1">
        <v>42873</v>
      </c>
      <c r="M823" s="22">
        <f>Table3[[#This Row],[Ship Date]]-Table3[[#This Row],[Order Date]]</f>
        <v>4</v>
      </c>
      <c r="N823" s="23" t="s">
        <v>45</v>
      </c>
      <c r="O823" s="23" t="s">
        <v>23</v>
      </c>
      <c r="P823" s="23" t="s">
        <v>441</v>
      </c>
      <c r="Q823" s="23" t="s">
        <v>133</v>
      </c>
      <c r="R823" s="23" t="s">
        <v>1920</v>
      </c>
      <c r="S823" s="33">
        <v>0.2</v>
      </c>
      <c r="T823" s="13">
        <v>5.04</v>
      </c>
      <c r="U823" s="13">
        <v>1.764</v>
      </c>
      <c r="V823" s="55">
        <f>Table3[[#This Row],[Profit]]/Table3[[#This Row],[Sales]]</f>
        <v>0.35</v>
      </c>
    </row>
    <row r="824" spans="1:22" x14ac:dyDescent="0.2">
      <c r="A824">
        <v>823</v>
      </c>
      <c r="B824" t="s">
        <v>8178</v>
      </c>
      <c r="C824" s="1">
        <v>42869</v>
      </c>
      <c r="D824" s="22">
        <f>MONTH(Table3[[#This Row],[Order Date]])</f>
        <v>5</v>
      </c>
      <c r="E824" t="s">
        <v>6972</v>
      </c>
      <c r="F824" t="s">
        <v>6973</v>
      </c>
      <c r="G824" s="23" t="s">
        <v>41</v>
      </c>
      <c r="H824" s="23" t="s">
        <v>82</v>
      </c>
      <c r="I824" t="s">
        <v>224</v>
      </c>
      <c r="J824" t="s">
        <v>22</v>
      </c>
      <c r="K824" s="22">
        <v>1</v>
      </c>
      <c r="L824" s="1">
        <v>42873</v>
      </c>
      <c r="M824" s="22">
        <f>Table3[[#This Row],[Ship Date]]-Table3[[#This Row],[Order Date]]</f>
        <v>4</v>
      </c>
      <c r="N824" s="23" t="s">
        <v>45</v>
      </c>
      <c r="O824" s="23" t="s">
        <v>23</v>
      </c>
      <c r="P824" s="23" t="s">
        <v>441</v>
      </c>
      <c r="Q824" s="23" t="s">
        <v>133</v>
      </c>
      <c r="R824" s="23" t="s">
        <v>1920</v>
      </c>
      <c r="S824" s="33">
        <v>0.2</v>
      </c>
      <c r="T824" s="13">
        <v>24.783999999999999</v>
      </c>
      <c r="U824" s="13">
        <v>7.7450000000000001</v>
      </c>
      <c r="V824" s="55">
        <f>Table3[[#This Row],[Profit]]/Table3[[#This Row],[Sales]]</f>
        <v>0.3125</v>
      </c>
    </row>
    <row r="825" spans="1:22" x14ac:dyDescent="0.2">
      <c r="A825">
        <v>824</v>
      </c>
      <c r="B825" t="s">
        <v>2549</v>
      </c>
      <c r="C825" s="1">
        <v>42870</v>
      </c>
      <c r="D825" s="22">
        <f>MONTH(Table3[[#This Row],[Order Date]])</f>
        <v>5</v>
      </c>
      <c r="E825" t="s">
        <v>2352</v>
      </c>
      <c r="F825" t="s">
        <v>2353</v>
      </c>
      <c r="G825" s="23" t="s">
        <v>64</v>
      </c>
      <c r="H825" s="23" t="s">
        <v>65</v>
      </c>
      <c r="I825" t="s">
        <v>2550</v>
      </c>
      <c r="J825" t="s">
        <v>22</v>
      </c>
      <c r="K825" s="22">
        <v>1</v>
      </c>
      <c r="L825" s="1">
        <v>42873</v>
      </c>
      <c r="M825" s="22">
        <f>Table3[[#This Row],[Ship Date]]-Table3[[#This Row],[Order Date]]</f>
        <v>3</v>
      </c>
      <c r="N825" s="23" t="s">
        <v>20</v>
      </c>
      <c r="O825" s="23" t="s">
        <v>23</v>
      </c>
      <c r="P825" s="23" t="s">
        <v>277</v>
      </c>
      <c r="Q825" s="23" t="s">
        <v>39</v>
      </c>
      <c r="R825" s="23" t="s">
        <v>481</v>
      </c>
      <c r="S825" s="33">
        <v>0.2</v>
      </c>
      <c r="T825" s="13">
        <v>29.591999999999999</v>
      </c>
      <c r="U825" s="13">
        <v>2.5893000000000002</v>
      </c>
      <c r="V825" s="55">
        <f>Table3[[#This Row],[Profit]]/Table3[[#This Row],[Sales]]</f>
        <v>8.7500000000000008E-2</v>
      </c>
    </row>
    <row r="826" spans="1:22" x14ac:dyDescent="0.2">
      <c r="A826">
        <v>825</v>
      </c>
      <c r="B826" t="s">
        <v>2549</v>
      </c>
      <c r="C826" s="1">
        <v>42870</v>
      </c>
      <c r="D826" s="22">
        <f>MONTH(Table3[[#This Row],[Order Date]])</f>
        <v>5</v>
      </c>
      <c r="E826" t="s">
        <v>2551</v>
      </c>
      <c r="F826" t="s">
        <v>2552</v>
      </c>
      <c r="G826" s="23" t="s">
        <v>41</v>
      </c>
      <c r="H826" s="23" t="s">
        <v>68</v>
      </c>
      <c r="I826" t="s">
        <v>2550</v>
      </c>
      <c r="J826" t="s">
        <v>22</v>
      </c>
      <c r="K826" s="22">
        <v>2</v>
      </c>
      <c r="L826" s="1">
        <v>42873</v>
      </c>
      <c r="M826" s="22">
        <f>Table3[[#This Row],[Ship Date]]-Table3[[#This Row],[Order Date]]</f>
        <v>3</v>
      </c>
      <c r="N826" s="23" t="s">
        <v>20</v>
      </c>
      <c r="O826" s="23" t="s">
        <v>23</v>
      </c>
      <c r="P826" s="23" t="s">
        <v>277</v>
      </c>
      <c r="Q826" s="23" t="s">
        <v>39</v>
      </c>
      <c r="R826" s="23" t="s">
        <v>481</v>
      </c>
      <c r="S826" s="33">
        <v>0.7</v>
      </c>
      <c r="T826" s="13">
        <v>4.7519999999999998</v>
      </c>
      <c r="U826" s="13">
        <v>-3.1680000000000001</v>
      </c>
      <c r="V826" s="55">
        <f>Table3[[#This Row],[Profit]]/Table3[[#This Row],[Sales]]</f>
        <v>-0.66666666666666674</v>
      </c>
    </row>
    <row r="827" spans="1:22" x14ac:dyDescent="0.2">
      <c r="A827">
        <v>826</v>
      </c>
      <c r="B827" t="s">
        <v>2549</v>
      </c>
      <c r="C827" s="1">
        <v>42870</v>
      </c>
      <c r="D827" s="22">
        <f>MONTH(Table3[[#This Row],[Order Date]])</f>
        <v>5</v>
      </c>
      <c r="E827" t="s">
        <v>2553</v>
      </c>
      <c r="F827" t="s">
        <v>2554</v>
      </c>
      <c r="G827" s="23" t="s">
        <v>41</v>
      </c>
      <c r="H827" s="23" t="s">
        <v>82</v>
      </c>
      <c r="I827" t="s">
        <v>2550</v>
      </c>
      <c r="J827" t="s">
        <v>22</v>
      </c>
      <c r="K827" s="22">
        <v>3</v>
      </c>
      <c r="L827" s="1">
        <v>42873</v>
      </c>
      <c r="M827" s="22">
        <f>Table3[[#This Row],[Ship Date]]-Table3[[#This Row],[Order Date]]</f>
        <v>3</v>
      </c>
      <c r="N827" s="23" t="s">
        <v>20</v>
      </c>
      <c r="O827" s="23" t="s">
        <v>23</v>
      </c>
      <c r="P827" s="23" t="s">
        <v>277</v>
      </c>
      <c r="Q827" s="23" t="s">
        <v>39</v>
      </c>
      <c r="R827" s="23" t="s">
        <v>481</v>
      </c>
      <c r="S827" s="33">
        <v>0.2</v>
      </c>
      <c r="T827" s="13">
        <v>15.552</v>
      </c>
      <c r="U827" s="13">
        <v>5.6375999999999999</v>
      </c>
      <c r="V827" s="55">
        <f>Table3[[#This Row],[Profit]]/Table3[[#This Row],[Sales]]</f>
        <v>0.36249999999999999</v>
      </c>
    </row>
    <row r="828" spans="1:22" x14ac:dyDescent="0.2">
      <c r="A828">
        <v>827</v>
      </c>
      <c r="B828" t="s">
        <v>5113</v>
      </c>
      <c r="C828" s="1">
        <v>42870</v>
      </c>
      <c r="D828" s="22">
        <f>MONTH(Table3[[#This Row],[Order Date]])</f>
        <v>5</v>
      </c>
      <c r="E828" t="s">
        <v>3057</v>
      </c>
      <c r="F828" t="s">
        <v>3058</v>
      </c>
      <c r="G828" s="23" t="s">
        <v>28</v>
      </c>
      <c r="H828" s="23" t="s">
        <v>58</v>
      </c>
      <c r="I828" t="s">
        <v>5114</v>
      </c>
      <c r="J828" t="s">
        <v>22</v>
      </c>
      <c r="K828" s="22">
        <v>2</v>
      </c>
      <c r="L828" s="1">
        <v>42875</v>
      </c>
      <c r="M828" s="22">
        <f>Table3[[#This Row],[Ship Date]]-Table3[[#This Row],[Order Date]]</f>
        <v>5</v>
      </c>
      <c r="N828" s="23" t="s">
        <v>45</v>
      </c>
      <c r="O828" s="23" t="s">
        <v>23</v>
      </c>
      <c r="P828" s="23" t="s">
        <v>87</v>
      </c>
      <c r="Q828" s="23" t="s">
        <v>39</v>
      </c>
      <c r="R828" s="23" t="s">
        <v>86</v>
      </c>
      <c r="S828" s="33">
        <v>0</v>
      </c>
      <c r="T828" s="13">
        <v>39.96</v>
      </c>
      <c r="U828" s="13">
        <v>17.1828</v>
      </c>
      <c r="V828" s="55">
        <f>Table3[[#This Row],[Profit]]/Table3[[#This Row],[Sales]]</f>
        <v>0.43</v>
      </c>
    </row>
    <row r="829" spans="1:22" x14ac:dyDescent="0.2">
      <c r="A829">
        <v>828</v>
      </c>
      <c r="B829" t="s">
        <v>5113</v>
      </c>
      <c r="C829" s="1">
        <v>42870</v>
      </c>
      <c r="D829" s="22">
        <f>MONTH(Table3[[#This Row],[Order Date]])</f>
        <v>5</v>
      </c>
      <c r="E829" t="s">
        <v>5115</v>
      </c>
      <c r="F829" t="s">
        <v>5116</v>
      </c>
      <c r="G829" s="23" t="s">
        <v>28</v>
      </c>
      <c r="H829" s="23" t="s">
        <v>32</v>
      </c>
      <c r="I829" t="s">
        <v>5114</v>
      </c>
      <c r="J829" t="s">
        <v>22</v>
      </c>
      <c r="K829" s="22">
        <v>2</v>
      </c>
      <c r="L829" s="1">
        <v>42875</v>
      </c>
      <c r="M829" s="22">
        <f>Table3[[#This Row],[Ship Date]]-Table3[[#This Row],[Order Date]]</f>
        <v>5</v>
      </c>
      <c r="N829" s="23" t="s">
        <v>45</v>
      </c>
      <c r="O829" s="23" t="s">
        <v>23</v>
      </c>
      <c r="P829" s="23" t="s">
        <v>87</v>
      </c>
      <c r="Q829" s="23" t="s">
        <v>39</v>
      </c>
      <c r="R829" s="23" t="s">
        <v>86</v>
      </c>
      <c r="S829" s="33">
        <v>0.2</v>
      </c>
      <c r="T829" s="13">
        <v>42.624000000000002</v>
      </c>
      <c r="U829" s="13">
        <v>4.2624000000000004</v>
      </c>
      <c r="V829" s="55">
        <f>Table3[[#This Row],[Profit]]/Table3[[#This Row],[Sales]]</f>
        <v>0.1</v>
      </c>
    </row>
    <row r="830" spans="1:22" x14ac:dyDescent="0.2">
      <c r="A830">
        <v>829</v>
      </c>
      <c r="B830" t="s">
        <v>5113</v>
      </c>
      <c r="C830" s="1">
        <v>42870</v>
      </c>
      <c r="D830" s="22">
        <f>MONTH(Table3[[#This Row],[Order Date]])</f>
        <v>5</v>
      </c>
      <c r="E830" t="s">
        <v>606</v>
      </c>
      <c r="F830" t="s">
        <v>607</v>
      </c>
      <c r="G830" s="23" t="s">
        <v>28</v>
      </c>
      <c r="H830" s="23" t="s">
        <v>32</v>
      </c>
      <c r="I830" t="s">
        <v>5114</v>
      </c>
      <c r="J830" t="s">
        <v>22</v>
      </c>
      <c r="K830" s="22">
        <v>1</v>
      </c>
      <c r="L830" s="1">
        <v>42875</v>
      </c>
      <c r="M830" s="22">
        <f>Table3[[#This Row],[Ship Date]]-Table3[[#This Row],[Order Date]]</f>
        <v>5</v>
      </c>
      <c r="N830" s="23" t="s">
        <v>45</v>
      </c>
      <c r="O830" s="23" t="s">
        <v>23</v>
      </c>
      <c r="P830" s="23" t="s">
        <v>87</v>
      </c>
      <c r="Q830" s="23" t="s">
        <v>39</v>
      </c>
      <c r="R830" s="23" t="s">
        <v>86</v>
      </c>
      <c r="S830" s="33">
        <v>0.2</v>
      </c>
      <c r="T830" s="13">
        <v>220.96</v>
      </c>
      <c r="U830" s="13">
        <v>24.858000000000001</v>
      </c>
      <c r="V830" s="55">
        <f>Table3[[#This Row],[Profit]]/Table3[[#This Row],[Sales]]</f>
        <v>0.1125</v>
      </c>
    </row>
    <row r="831" spans="1:22" x14ac:dyDescent="0.2">
      <c r="A831">
        <v>830</v>
      </c>
      <c r="B831" t="s">
        <v>7533</v>
      </c>
      <c r="C831" s="1">
        <v>42870</v>
      </c>
      <c r="D831" s="22">
        <f>MONTH(Table3[[#This Row],[Order Date]])</f>
        <v>5</v>
      </c>
      <c r="E831" t="s">
        <v>504</v>
      </c>
      <c r="F831" t="s">
        <v>505</v>
      </c>
      <c r="G831" s="23" t="s">
        <v>41</v>
      </c>
      <c r="H831" s="23" t="s">
        <v>82</v>
      </c>
      <c r="I831" t="s">
        <v>4279</v>
      </c>
      <c r="J831" t="s">
        <v>22</v>
      </c>
      <c r="K831" s="22">
        <v>2</v>
      </c>
      <c r="L831" s="1">
        <v>42875</v>
      </c>
      <c r="M831" s="22">
        <f>Table3[[#This Row],[Ship Date]]-Table3[[#This Row],[Order Date]]</f>
        <v>5</v>
      </c>
      <c r="N831" s="23" t="s">
        <v>45</v>
      </c>
      <c r="O831" s="23" t="s">
        <v>23</v>
      </c>
      <c r="P831" s="23" t="s">
        <v>189</v>
      </c>
      <c r="Q831" s="23" t="s">
        <v>95</v>
      </c>
      <c r="R831" s="23" t="s">
        <v>271</v>
      </c>
      <c r="S831" s="33">
        <v>0.2</v>
      </c>
      <c r="T831" s="13">
        <v>56.704000000000001</v>
      </c>
      <c r="U831" s="13">
        <v>19.137599999999999</v>
      </c>
      <c r="V831" s="55">
        <f>Table3[[#This Row],[Profit]]/Table3[[#This Row],[Sales]]</f>
        <v>0.33749999999999997</v>
      </c>
    </row>
    <row r="832" spans="1:22" x14ac:dyDescent="0.2">
      <c r="A832">
        <v>831</v>
      </c>
      <c r="B832" t="s">
        <v>7533</v>
      </c>
      <c r="C832" s="1">
        <v>42870</v>
      </c>
      <c r="D832" s="22">
        <f>MONTH(Table3[[#This Row],[Order Date]])</f>
        <v>5</v>
      </c>
      <c r="E832" t="s">
        <v>3830</v>
      </c>
      <c r="F832" t="s">
        <v>3831</v>
      </c>
      <c r="G832" s="23" t="s">
        <v>64</v>
      </c>
      <c r="H832" s="23" t="s">
        <v>65</v>
      </c>
      <c r="I832" t="s">
        <v>4279</v>
      </c>
      <c r="J832" t="s">
        <v>22</v>
      </c>
      <c r="K832" s="22">
        <v>2</v>
      </c>
      <c r="L832" s="1">
        <v>42875</v>
      </c>
      <c r="M832" s="22">
        <f>Table3[[#This Row],[Ship Date]]-Table3[[#This Row],[Order Date]]</f>
        <v>5</v>
      </c>
      <c r="N832" s="23" t="s">
        <v>45</v>
      </c>
      <c r="O832" s="23" t="s">
        <v>23</v>
      </c>
      <c r="P832" s="23" t="s">
        <v>189</v>
      </c>
      <c r="Q832" s="23" t="s">
        <v>95</v>
      </c>
      <c r="R832" s="23" t="s">
        <v>271</v>
      </c>
      <c r="S832" s="33">
        <v>0.2</v>
      </c>
      <c r="T832" s="13">
        <v>11.12</v>
      </c>
      <c r="U832" s="13">
        <v>3.4750000000000001</v>
      </c>
      <c r="V832" s="55">
        <f>Table3[[#This Row],[Profit]]/Table3[[#This Row],[Sales]]</f>
        <v>0.31250000000000006</v>
      </c>
    </row>
    <row r="833" spans="1:22" x14ac:dyDescent="0.2">
      <c r="A833">
        <v>832</v>
      </c>
      <c r="B833" t="s">
        <v>6478</v>
      </c>
      <c r="C833" s="1">
        <v>42871</v>
      </c>
      <c r="D833" s="22">
        <f>MONTH(Table3[[#This Row],[Order Date]])</f>
        <v>5</v>
      </c>
      <c r="E833" t="s">
        <v>3254</v>
      </c>
      <c r="F833" t="s">
        <v>3255</v>
      </c>
      <c r="G833" s="23" t="s">
        <v>41</v>
      </c>
      <c r="H833" s="23" t="s">
        <v>53</v>
      </c>
      <c r="I833" t="s">
        <v>4953</v>
      </c>
      <c r="J833" t="s">
        <v>22</v>
      </c>
      <c r="K833" s="22">
        <v>2</v>
      </c>
      <c r="L833" s="1">
        <v>42873</v>
      </c>
      <c r="M833" s="22">
        <f>Table3[[#This Row],[Ship Date]]-Table3[[#This Row],[Order Date]]</f>
        <v>2</v>
      </c>
      <c r="N833" s="23" t="s">
        <v>169</v>
      </c>
      <c r="O833" s="23" t="s">
        <v>23</v>
      </c>
      <c r="P833" s="23" t="s">
        <v>441</v>
      </c>
      <c r="Q833" s="23" t="s">
        <v>133</v>
      </c>
      <c r="R833" s="23" t="s">
        <v>706</v>
      </c>
      <c r="S833" s="33">
        <v>0.2</v>
      </c>
      <c r="T833" s="13">
        <v>221.024</v>
      </c>
      <c r="U833" s="13">
        <v>-55.256</v>
      </c>
      <c r="V833" s="55">
        <f>Table3[[#This Row],[Profit]]/Table3[[#This Row],[Sales]]</f>
        <v>-0.25</v>
      </c>
    </row>
    <row r="834" spans="1:22" x14ac:dyDescent="0.2">
      <c r="A834">
        <v>833</v>
      </c>
      <c r="B834" t="s">
        <v>5365</v>
      </c>
      <c r="C834" s="1">
        <v>42873</v>
      </c>
      <c r="D834" s="22">
        <f>MONTH(Table3[[#This Row],[Order Date]])</f>
        <v>5</v>
      </c>
      <c r="E834" t="s">
        <v>5037</v>
      </c>
      <c r="F834" t="s">
        <v>5038</v>
      </c>
      <c r="G834" s="23" t="s">
        <v>64</v>
      </c>
      <c r="H834" s="23" t="s">
        <v>144</v>
      </c>
      <c r="I834" t="s">
        <v>56</v>
      </c>
      <c r="J834" t="s">
        <v>22</v>
      </c>
      <c r="K834" s="22">
        <v>3</v>
      </c>
      <c r="L834" s="1">
        <v>42877</v>
      </c>
      <c r="M834" s="22">
        <f>Table3[[#This Row],[Ship Date]]-Table3[[#This Row],[Order Date]]</f>
        <v>4</v>
      </c>
      <c r="N834" s="23" t="s">
        <v>45</v>
      </c>
      <c r="O834" s="23" t="s">
        <v>23</v>
      </c>
      <c r="P834" s="23" t="s">
        <v>132</v>
      </c>
      <c r="Q834" s="23" t="s">
        <v>133</v>
      </c>
      <c r="R834" s="23" t="s">
        <v>131</v>
      </c>
      <c r="S834" s="33">
        <v>0.2</v>
      </c>
      <c r="T834" s="13">
        <v>36.048000000000002</v>
      </c>
      <c r="U834" s="13">
        <v>-0.9012</v>
      </c>
      <c r="V834" s="55">
        <f>Table3[[#This Row],[Profit]]/Table3[[#This Row],[Sales]]</f>
        <v>-2.4999999999999998E-2</v>
      </c>
    </row>
    <row r="835" spans="1:22" x14ac:dyDescent="0.2">
      <c r="A835">
        <v>834</v>
      </c>
      <c r="B835" t="s">
        <v>6355</v>
      </c>
      <c r="C835" s="1">
        <v>42873</v>
      </c>
      <c r="D835" s="22">
        <f>MONTH(Table3[[#This Row],[Order Date]])</f>
        <v>5</v>
      </c>
      <c r="E835" t="s">
        <v>3584</v>
      </c>
      <c r="F835" t="s">
        <v>3585</v>
      </c>
      <c r="G835" s="23" t="s">
        <v>28</v>
      </c>
      <c r="H835" s="23" t="s">
        <v>58</v>
      </c>
      <c r="I835" t="s">
        <v>2607</v>
      </c>
      <c r="J835" t="s">
        <v>22</v>
      </c>
      <c r="K835" s="22">
        <v>2</v>
      </c>
      <c r="L835" s="1">
        <v>42878</v>
      </c>
      <c r="M835" s="22">
        <f>Table3[[#This Row],[Ship Date]]-Table3[[#This Row],[Order Date]]</f>
        <v>5</v>
      </c>
      <c r="N835" s="23" t="s">
        <v>45</v>
      </c>
      <c r="O835" s="23" t="s">
        <v>23</v>
      </c>
      <c r="P835" s="23" t="s">
        <v>238</v>
      </c>
      <c r="Q835" s="23" t="s">
        <v>133</v>
      </c>
      <c r="R835" s="23" t="s">
        <v>237</v>
      </c>
      <c r="S835" s="33">
        <v>0</v>
      </c>
      <c r="T835" s="13">
        <v>14.56</v>
      </c>
      <c r="U835" s="13">
        <v>6.2607999999999997</v>
      </c>
      <c r="V835" s="55">
        <f>Table3[[#This Row],[Profit]]/Table3[[#This Row],[Sales]]</f>
        <v>0.42999999999999994</v>
      </c>
    </row>
    <row r="836" spans="1:22" x14ac:dyDescent="0.2">
      <c r="A836">
        <v>835</v>
      </c>
      <c r="B836" t="s">
        <v>6355</v>
      </c>
      <c r="C836" s="1">
        <v>42873</v>
      </c>
      <c r="D836" s="22">
        <f>MONTH(Table3[[#This Row],[Order Date]])</f>
        <v>5</v>
      </c>
      <c r="E836" t="s">
        <v>1831</v>
      </c>
      <c r="F836" t="s">
        <v>1832</v>
      </c>
      <c r="G836" s="23" t="s">
        <v>41</v>
      </c>
      <c r="H836" s="23" t="s">
        <v>68</v>
      </c>
      <c r="I836" t="s">
        <v>2607</v>
      </c>
      <c r="J836" t="s">
        <v>22</v>
      </c>
      <c r="K836" s="22">
        <v>1</v>
      </c>
      <c r="L836" s="1">
        <v>42878</v>
      </c>
      <c r="M836" s="22">
        <f>Table3[[#This Row],[Ship Date]]-Table3[[#This Row],[Order Date]]</f>
        <v>5</v>
      </c>
      <c r="N836" s="23" t="s">
        <v>45</v>
      </c>
      <c r="O836" s="23" t="s">
        <v>23</v>
      </c>
      <c r="P836" s="23" t="s">
        <v>238</v>
      </c>
      <c r="Q836" s="23" t="s">
        <v>133</v>
      </c>
      <c r="R836" s="23" t="s">
        <v>237</v>
      </c>
      <c r="S836" s="33">
        <v>0.2</v>
      </c>
      <c r="T836" s="13">
        <v>3.048</v>
      </c>
      <c r="U836" s="13">
        <v>1.0286999999999999</v>
      </c>
      <c r="V836" s="55">
        <f>Table3[[#This Row],[Profit]]/Table3[[#This Row],[Sales]]</f>
        <v>0.33749999999999997</v>
      </c>
    </row>
    <row r="837" spans="1:22" x14ac:dyDescent="0.2">
      <c r="A837">
        <v>836</v>
      </c>
      <c r="B837" t="s">
        <v>6554</v>
      </c>
      <c r="C837" s="1">
        <v>42873</v>
      </c>
      <c r="D837" s="22">
        <f>MONTH(Table3[[#This Row],[Order Date]])</f>
        <v>5</v>
      </c>
      <c r="E837" t="s">
        <v>2386</v>
      </c>
      <c r="F837" t="s">
        <v>2387</v>
      </c>
      <c r="G837" s="23" t="s">
        <v>41</v>
      </c>
      <c r="H837" s="23" t="s">
        <v>68</v>
      </c>
      <c r="I837" t="s">
        <v>6555</v>
      </c>
      <c r="J837" t="s">
        <v>36</v>
      </c>
      <c r="K837" s="22">
        <v>7</v>
      </c>
      <c r="L837" s="1">
        <v>42878</v>
      </c>
      <c r="M837" s="22">
        <f>Table3[[#This Row],[Ship Date]]-Table3[[#This Row],[Order Date]]</f>
        <v>5</v>
      </c>
      <c r="N837" s="23" t="s">
        <v>45</v>
      </c>
      <c r="O837" s="23" t="s">
        <v>23</v>
      </c>
      <c r="P837" s="23" t="s">
        <v>94</v>
      </c>
      <c r="Q837" s="23" t="s">
        <v>95</v>
      </c>
      <c r="R837" s="23" t="s">
        <v>6556</v>
      </c>
      <c r="S837" s="33">
        <v>0.8</v>
      </c>
      <c r="T837" s="13">
        <v>6.8739999999999997</v>
      </c>
      <c r="U837" s="13">
        <v>-10.6547</v>
      </c>
      <c r="V837" s="55">
        <f>Table3[[#This Row],[Profit]]/Table3[[#This Row],[Sales]]</f>
        <v>-1.55</v>
      </c>
    </row>
    <row r="838" spans="1:22" x14ac:dyDescent="0.2">
      <c r="A838">
        <v>837</v>
      </c>
      <c r="B838" t="s">
        <v>6554</v>
      </c>
      <c r="C838" s="1">
        <v>42873</v>
      </c>
      <c r="D838" s="22">
        <f>MONTH(Table3[[#This Row],[Order Date]])</f>
        <v>5</v>
      </c>
      <c r="E838" t="s">
        <v>4380</v>
      </c>
      <c r="F838" t="s">
        <v>4381</v>
      </c>
      <c r="G838" s="23" t="s">
        <v>41</v>
      </c>
      <c r="H838" s="23" t="s">
        <v>68</v>
      </c>
      <c r="I838" t="s">
        <v>6555</v>
      </c>
      <c r="J838" t="s">
        <v>36</v>
      </c>
      <c r="K838" s="22">
        <v>1</v>
      </c>
      <c r="L838" s="1">
        <v>42878</v>
      </c>
      <c r="M838" s="22">
        <f>Table3[[#This Row],[Ship Date]]-Table3[[#This Row],[Order Date]]</f>
        <v>5</v>
      </c>
      <c r="N838" s="23" t="s">
        <v>45</v>
      </c>
      <c r="O838" s="23" t="s">
        <v>23</v>
      </c>
      <c r="P838" s="23" t="s">
        <v>94</v>
      </c>
      <c r="Q838" s="23" t="s">
        <v>95</v>
      </c>
      <c r="R838" s="23" t="s">
        <v>6556</v>
      </c>
      <c r="S838" s="33">
        <v>0.8</v>
      </c>
      <c r="T838" s="13">
        <v>1.996</v>
      </c>
      <c r="U838" s="13">
        <v>-3.2934000000000001</v>
      </c>
      <c r="V838" s="55">
        <f>Table3[[#This Row],[Profit]]/Table3[[#This Row],[Sales]]</f>
        <v>-1.6500000000000001</v>
      </c>
    </row>
    <row r="839" spans="1:22" x14ac:dyDescent="0.2">
      <c r="A839">
        <v>838</v>
      </c>
      <c r="B839" t="s">
        <v>6554</v>
      </c>
      <c r="C839" s="1">
        <v>42873</v>
      </c>
      <c r="D839" s="22">
        <f>MONTH(Table3[[#This Row],[Order Date]])</f>
        <v>5</v>
      </c>
      <c r="E839" t="s">
        <v>5284</v>
      </c>
      <c r="F839" t="s">
        <v>5285</v>
      </c>
      <c r="G839" s="23" t="s">
        <v>41</v>
      </c>
      <c r="H839" s="23" t="s">
        <v>53</v>
      </c>
      <c r="I839" t="s">
        <v>6555</v>
      </c>
      <c r="J839" t="s">
        <v>36</v>
      </c>
      <c r="K839" s="22">
        <v>2</v>
      </c>
      <c r="L839" s="1">
        <v>42878</v>
      </c>
      <c r="M839" s="22">
        <f>Table3[[#This Row],[Ship Date]]-Table3[[#This Row],[Order Date]]</f>
        <v>5</v>
      </c>
      <c r="N839" s="23" t="s">
        <v>45</v>
      </c>
      <c r="O839" s="23" t="s">
        <v>23</v>
      </c>
      <c r="P839" s="23" t="s">
        <v>94</v>
      </c>
      <c r="Q839" s="23" t="s">
        <v>95</v>
      </c>
      <c r="R839" s="23" t="s">
        <v>6556</v>
      </c>
      <c r="S839" s="33">
        <v>0.2</v>
      </c>
      <c r="T839" s="13">
        <v>8.9280000000000008</v>
      </c>
      <c r="U839" s="13">
        <v>0.66959999999999997</v>
      </c>
      <c r="V839" s="55">
        <f>Table3[[#This Row],[Profit]]/Table3[[#This Row],[Sales]]</f>
        <v>7.4999999999999983E-2</v>
      </c>
    </row>
    <row r="840" spans="1:22" x14ac:dyDescent="0.2">
      <c r="A840">
        <v>839</v>
      </c>
      <c r="B840" t="s">
        <v>6750</v>
      </c>
      <c r="C840" s="1">
        <v>42873</v>
      </c>
      <c r="D840" s="22">
        <f>MONTH(Table3[[#This Row],[Order Date]])</f>
        <v>5</v>
      </c>
      <c r="E840" t="s">
        <v>127</v>
      </c>
      <c r="F840" t="s">
        <v>128</v>
      </c>
      <c r="G840" s="23" t="s">
        <v>41</v>
      </c>
      <c r="H840" s="23" t="s">
        <v>71</v>
      </c>
      <c r="I840" t="s">
        <v>3166</v>
      </c>
      <c r="J840" t="s">
        <v>36</v>
      </c>
      <c r="K840" s="22">
        <v>2</v>
      </c>
      <c r="L840" s="1">
        <v>42874</v>
      </c>
      <c r="M840" s="22">
        <f>Table3[[#This Row],[Ship Date]]-Table3[[#This Row],[Order Date]]</f>
        <v>1</v>
      </c>
      <c r="N840" s="23" t="s">
        <v>169</v>
      </c>
      <c r="O840" s="23" t="s">
        <v>23</v>
      </c>
      <c r="P840" s="23" t="s">
        <v>1125</v>
      </c>
      <c r="Q840" s="23" t="s">
        <v>26</v>
      </c>
      <c r="R840" s="23" t="s">
        <v>6751</v>
      </c>
      <c r="S840" s="33">
        <v>0</v>
      </c>
      <c r="T840" s="13">
        <v>17.239999999999998</v>
      </c>
      <c r="U840" s="13">
        <v>4.4824000000000002</v>
      </c>
      <c r="V840" s="55">
        <f>Table3[[#This Row],[Profit]]/Table3[[#This Row],[Sales]]</f>
        <v>0.26</v>
      </c>
    </row>
    <row r="841" spans="1:22" x14ac:dyDescent="0.2">
      <c r="A841">
        <v>840</v>
      </c>
      <c r="B841" t="s">
        <v>6750</v>
      </c>
      <c r="C841" s="1">
        <v>42873</v>
      </c>
      <c r="D841" s="22">
        <f>MONTH(Table3[[#This Row],[Order Date]])</f>
        <v>5</v>
      </c>
      <c r="E841" t="s">
        <v>6752</v>
      </c>
      <c r="F841" t="s">
        <v>6753</v>
      </c>
      <c r="G841" s="23" t="s">
        <v>28</v>
      </c>
      <c r="H841" s="23" t="s">
        <v>29</v>
      </c>
      <c r="I841" t="s">
        <v>3166</v>
      </c>
      <c r="J841" t="s">
        <v>36</v>
      </c>
      <c r="K841" s="22">
        <v>3</v>
      </c>
      <c r="L841" s="1">
        <v>42874</v>
      </c>
      <c r="M841" s="22">
        <f>Table3[[#This Row],[Ship Date]]-Table3[[#This Row],[Order Date]]</f>
        <v>1</v>
      </c>
      <c r="N841" s="23" t="s">
        <v>169</v>
      </c>
      <c r="O841" s="23" t="s">
        <v>23</v>
      </c>
      <c r="P841" s="23" t="s">
        <v>1125</v>
      </c>
      <c r="Q841" s="23" t="s">
        <v>26</v>
      </c>
      <c r="R841" s="23" t="s">
        <v>6751</v>
      </c>
      <c r="S841" s="33">
        <v>0</v>
      </c>
      <c r="T841" s="13">
        <v>302.94</v>
      </c>
      <c r="U841" s="13">
        <v>75.734999999999999</v>
      </c>
      <c r="V841" s="55">
        <f>Table3[[#This Row],[Profit]]/Table3[[#This Row],[Sales]]</f>
        <v>0.25</v>
      </c>
    </row>
    <row r="842" spans="1:22" x14ac:dyDescent="0.2">
      <c r="A842">
        <v>841</v>
      </c>
      <c r="B842" t="s">
        <v>6750</v>
      </c>
      <c r="C842" s="1">
        <v>42873</v>
      </c>
      <c r="D842" s="22">
        <f>MONTH(Table3[[#This Row],[Order Date]])</f>
        <v>5</v>
      </c>
      <c r="E842" t="s">
        <v>3830</v>
      </c>
      <c r="F842" t="s">
        <v>3831</v>
      </c>
      <c r="G842" s="23" t="s">
        <v>64</v>
      </c>
      <c r="H842" s="23" t="s">
        <v>65</v>
      </c>
      <c r="I842" t="s">
        <v>3166</v>
      </c>
      <c r="J842" t="s">
        <v>36</v>
      </c>
      <c r="K842" s="22">
        <v>5</v>
      </c>
      <c r="L842" s="1">
        <v>42874</v>
      </c>
      <c r="M842" s="22">
        <f>Table3[[#This Row],[Ship Date]]-Table3[[#This Row],[Order Date]]</f>
        <v>1</v>
      </c>
      <c r="N842" s="23" t="s">
        <v>169</v>
      </c>
      <c r="O842" s="23" t="s">
        <v>23</v>
      </c>
      <c r="P842" s="23" t="s">
        <v>1125</v>
      </c>
      <c r="Q842" s="23" t="s">
        <v>26</v>
      </c>
      <c r="R842" s="23" t="s">
        <v>6751</v>
      </c>
      <c r="S842" s="33">
        <v>0</v>
      </c>
      <c r="T842" s="13">
        <v>34.75</v>
      </c>
      <c r="U842" s="13">
        <v>15.637499999999999</v>
      </c>
      <c r="V842" s="55">
        <f>Table3[[#This Row],[Profit]]/Table3[[#This Row],[Sales]]</f>
        <v>0.44999999999999996</v>
      </c>
    </row>
    <row r="843" spans="1:22" x14ac:dyDescent="0.2">
      <c r="A843">
        <v>842</v>
      </c>
      <c r="B843" t="s">
        <v>6750</v>
      </c>
      <c r="C843" s="1">
        <v>42873</v>
      </c>
      <c r="D843" s="22">
        <f>MONTH(Table3[[#This Row],[Order Date]])</f>
        <v>5</v>
      </c>
      <c r="E843" t="s">
        <v>1420</v>
      </c>
      <c r="F843" t="s">
        <v>1421</v>
      </c>
      <c r="G843" s="23" t="s">
        <v>41</v>
      </c>
      <c r="H843" s="23" t="s">
        <v>68</v>
      </c>
      <c r="I843" t="s">
        <v>3166</v>
      </c>
      <c r="J843" t="s">
        <v>36</v>
      </c>
      <c r="K843" s="22">
        <v>6</v>
      </c>
      <c r="L843" s="1">
        <v>42874</v>
      </c>
      <c r="M843" s="22">
        <f>Table3[[#This Row],[Ship Date]]-Table3[[#This Row],[Order Date]]</f>
        <v>1</v>
      </c>
      <c r="N843" s="23" t="s">
        <v>169</v>
      </c>
      <c r="O843" s="23" t="s">
        <v>23</v>
      </c>
      <c r="P843" s="23" t="s">
        <v>1125</v>
      </c>
      <c r="Q843" s="23" t="s">
        <v>26</v>
      </c>
      <c r="R843" s="23" t="s">
        <v>6751</v>
      </c>
      <c r="S843" s="33">
        <v>0</v>
      </c>
      <c r="T843" s="13">
        <v>113.94</v>
      </c>
      <c r="U843" s="13">
        <v>54.691200000000002</v>
      </c>
      <c r="V843" s="55">
        <f>Table3[[#This Row],[Profit]]/Table3[[#This Row],[Sales]]</f>
        <v>0.48000000000000004</v>
      </c>
    </row>
    <row r="844" spans="1:22" x14ac:dyDescent="0.2">
      <c r="A844">
        <v>843</v>
      </c>
      <c r="B844" t="s">
        <v>6750</v>
      </c>
      <c r="C844" s="1">
        <v>42873</v>
      </c>
      <c r="D844" s="22">
        <f>MONTH(Table3[[#This Row],[Order Date]])</f>
        <v>5</v>
      </c>
      <c r="E844" t="s">
        <v>5598</v>
      </c>
      <c r="F844" t="s">
        <v>5599</v>
      </c>
      <c r="G844" s="23" t="s">
        <v>64</v>
      </c>
      <c r="H844" s="23" t="s">
        <v>65</v>
      </c>
      <c r="I844" t="s">
        <v>3166</v>
      </c>
      <c r="J844" t="s">
        <v>36</v>
      </c>
      <c r="K844" s="22">
        <v>2</v>
      </c>
      <c r="L844" s="1">
        <v>42874</v>
      </c>
      <c r="M844" s="22">
        <f>Table3[[#This Row],[Ship Date]]-Table3[[#This Row],[Order Date]]</f>
        <v>1</v>
      </c>
      <c r="N844" s="23" t="s">
        <v>169</v>
      </c>
      <c r="O844" s="23" t="s">
        <v>23</v>
      </c>
      <c r="P844" s="23" t="s">
        <v>1125</v>
      </c>
      <c r="Q844" s="23" t="s">
        <v>26</v>
      </c>
      <c r="R844" s="23" t="s">
        <v>6751</v>
      </c>
      <c r="S844" s="33">
        <v>0</v>
      </c>
      <c r="T844" s="13">
        <v>55.98</v>
      </c>
      <c r="U844" s="13">
        <v>15.6744</v>
      </c>
      <c r="V844" s="55">
        <f>Table3[[#This Row],[Profit]]/Table3[[#This Row],[Sales]]</f>
        <v>0.28000000000000003</v>
      </c>
    </row>
    <row r="845" spans="1:22" x14ac:dyDescent="0.2">
      <c r="A845">
        <v>844</v>
      </c>
      <c r="B845" t="s">
        <v>6966</v>
      </c>
      <c r="C845" s="1">
        <v>42873</v>
      </c>
      <c r="D845" s="22">
        <f>MONTH(Table3[[#This Row],[Order Date]])</f>
        <v>5</v>
      </c>
      <c r="E845" t="s">
        <v>3031</v>
      </c>
      <c r="F845" t="s">
        <v>5655</v>
      </c>
      <c r="G845" s="23" t="s">
        <v>64</v>
      </c>
      <c r="H845" s="23" t="s">
        <v>65</v>
      </c>
      <c r="I845" t="s">
        <v>3378</v>
      </c>
      <c r="J845" t="s">
        <v>22</v>
      </c>
      <c r="K845" s="22">
        <v>2</v>
      </c>
      <c r="L845" s="1">
        <v>42875</v>
      </c>
      <c r="M845" s="22">
        <f>Table3[[#This Row],[Ship Date]]-Table3[[#This Row],[Order Date]]</f>
        <v>2</v>
      </c>
      <c r="N845" s="23" t="s">
        <v>169</v>
      </c>
      <c r="O845" s="23" t="s">
        <v>23</v>
      </c>
      <c r="P845" s="23" t="s">
        <v>374</v>
      </c>
      <c r="Q845" s="23" t="s">
        <v>39</v>
      </c>
      <c r="R845" s="23" t="s">
        <v>373</v>
      </c>
      <c r="S845" s="33">
        <v>0.2</v>
      </c>
      <c r="T845" s="13">
        <v>344.70400000000001</v>
      </c>
      <c r="U845" s="13">
        <v>38.779200000000003</v>
      </c>
      <c r="V845" s="55">
        <f>Table3[[#This Row],[Profit]]/Table3[[#This Row],[Sales]]</f>
        <v>0.1125</v>
      </c>
    </row>
    <row r="846" spans="1:22" x14ac:dyDescent="0.2">
      <c r="A846">
        <v>845</v>
      </c>
      <c r="B846" t="s">
        <v>7316</v>
      </c>
      <c r="C846" s="1">
        <v>42873</v>
      </c>
      <c r="D846" s="22">
        <f>MONTH(Table3[[#This Row],[Order Date]])</f>
        <v>5</v>
      </c>
      <c r="E846" t="s">
        <v>7317</v>
      </c>
      <c r="F846" t="s">
        <v>7318</v>
      </c>
      <c r="G846" s="23" t="s">
        <v>41</v>
      </c>
      <c r="H846" s="23" t="s">
        <v>71</v>
      </c>
      <c r="I846" t="s">
        <v>3344</v>
      </c>
      <c r="J846" t="s">
        <v>92</v>
      </c>
      <c r="K846" s="22">
        <v>7</v>
      </c>
      <c r="L846" s="1">
        <v>42877</v>
      </c>
      <c r="M846" s="22">
        <f>Table3[[#This Row],[Ship Date]]-Table3[[#This Row],[Order Date]]</f>
        <v>4</v>
      </c>
      <c r="N846" s="23" t="s">
        <v>20</v>
      </c>
      <c r="O846" s="23" t="s">
        <v>23</v>
      </c>
      <c r="P846" s="23" t="s">
        <v>528</v>
      </c>
      <c r="Q846" s="23" t="s">
        <v>95</v>
      </c>
      <c r="R846" s="23" t="s">
        <v>284</v>
      </c>
      <c r="S846" s="33">
        <v>0</v>
      </c>
      <c r="T846" s="13">
        <v>706.86</v>
      </c>
      <c r="U846" s="13">
        <v>197.92080000000001</v>
      </c>
      <c r="V846" s="55">
        <f>Table3[[#This Row],[Profit]]/Table3[[#This Row],[Sales]]</f>
        <v>0.28000000000000003</v>
      </c>
    </row>
    <row r="847" spans="1:22" x14ac:dyDescent="0.2">
      <c r="A847">
        <v>846</v>
      </c>
      <c r="B847" t="s">
        <v>7316</v>
      </c>
      <c r="C847" s="1">
        <v>42873</v>
      </c>
      <c r="D847" s="22">
        <f>MONTH(Table3[[#This Row],[Order Date]])</f>
        <v>5</v>
      </c>
      <c r="E847" t="s">
        <v>1579</v>
      </c>
      <c r="F847" t="s">
        <v>1580</v>
      </c>
      <c r="G847" s="23" t="s">
        <v>64</v>
      </c>
      <c r="H847" s="23" t="s">
        <v>65</v>
      </c>
      <c r="I847" t="s">
        <v>3344</v>
      </c>
      <c r="J847" t="s">
        <v>92</v>
      </c>
      <c r="K847" s="22">
        <v>5</v>
      </c>
      <c r="L847" s="1">
        <v>42877</v>
      </c>
      <c r="M847" s="22">
        <f>Table3[[#This Row],[Ship Date]]-Table3[[#This Row],[Order Date]]</f>
        <v>4</v>
      </c>
      <c r="N847" s="23" t="s">
        <v>20</v>
      </c>
      <c r="O847" s="23" t="s">
        <v>23</v>
      </c>
      <c r="P847" s="23" t="s">
        <v>528</v>
      </c>
      <c r="Q847" s="23" t="s">
        <v>95</v>
      </c>
      <c r="R847" s="23" t="s">
        <v>284</v>
      </c>
      <c r="S847" s="33">
        <v>0</v>
      </c>
      <c r="T847" s="13">
        <v>114.95</v>
      </c>
      <c r="U847" s="13">
        <v>2.2989999999999999</v>
      </c>
      <c r="V847" s="55">
        <f>Table3[[#This Row],[Profit]]/Table3[[#This Row],[Sales]]</f>
        <v>0.02</v>
      </c>
    </row>
    <row r="848" spans="1:22" x14ac:dyDescent="0.2">
      <c r="A848">
        <v>847</v>
      </c>
      <c r="B848" t="s">
        <v>7316</v>
      </c>
      <c r="C848" s="1">
        <v>42873</v>
      </c>
      <c r="D848" s="22">
        <f>MONTH(Table3[[#This Row],[Order Date]])</f>
        <v>5</v>
      </c>
      <c r="E848" t="s">
        <v>5636</v>
      </c>
      <c r="F848" t="s">
        <v>5637</v>
      </c>
      <c r="G848" s="23" t="s">
        <v>41</v>
      </c>
      <c r="H848" s="23" t="s">
        <v>68</v>
      </c>
      <c r="I848" t="s">
        <v>3344</v>
      </c>
      <c r="J848" t="s">
        <v>92</v>
      </c>
      <c r="K848" s="22">
        <v>7</v>
      </c>
      <c r="L848" s="1">
        <v>42877</v>
      </c>
      <c r="M848" s="22">
        <f>Table3[[#This Row],[Ship Date]]-Table3[[#This Row],[Order Date]]</f>
        <v>4</v>
      </c>
      <c r="N848" s="23" t="s">
        <v>20</v>
      </c>
      <c r="O848" s="23" t="s">
        <v>23</v>
      </c>
      <c r="P848" s="23" t="s">
        <v>528</v>
      </c>
      <c r="Q848" s="23" t="s">
        <v>95</v>
      </c>
      <c r="R848" s="23" t="s">
        <v>284</v>
      </c>
      <c r="S848" s="33">
        <v>0</v>
      </c>
      <c r="T848" s="13">
        <v>43.19</v>
      </c>
      <c r="U848" s="13">
        <v>20.731200000000001</v>
      </c>
      <c r="V848" s="55">
        <f>Table3[[#This Row],[Profit]]/Table3[[#This Row],[Sales]]</f>
        <v>0.48000000000000004</v>
      </c>
    </row>
    <row r="849" spans="1:22" x14ac:dyDescent="0.2">
      <c r="A849">
        <v>848</v>
      </c>
      <c r="B849" t="s">
        <v>9100</v>
      </c>
      <c r="C849" s="1">
        <v>42873</v>
      </c>
      <c r="D849" s="22">
        <f>MONTH(Table3[[#This Row],[Order Date]])</f>
        <v>5</v>
      </c>
      <c r="E849" t="s">
        <v>4090</v>
      </c>
      <c r="F849" t="s">
        <v>4091</v>
      </c>
      <c r="G849" s="23" t="s">
        <v>28</v>
      </c>
      <c r="H849" s="23" t="s">
        <v>58</v>
      </c>
      <c r="I849" t="s">
        <v>4734</v>
      </c>
      <c r="J849" t="s">
        <v>36</v>
      </c>
      <c r="K849" s="22">
        <v>3</v>
      </c>
      <c r="L849" s="1">
        <v>42877</v>
      </c>
      <c r="M849" s="22">
        <f>Table3[[#This Row],[Ship Date]]-Table3[[#This Row],[Order Date]]</f>
        <v>4</v>
      </c>
      <c r="N849" s="23" t="s">
        <v>45</v>
      </c>
      <c r="O849" s="23" t="s">
        <v>23</v>
      </c>
      <c r="P849" s="23" t="s">
        <v>189</v>
      </c>
      <c r="Q849" s="23" t="s">
        <v>95</v>
      </c>
      <c r="R849" s="23" t="s">
        <v>271</v>
      </c>
      <c r="S849" s="33">
        <v>0.6</v>
      </c>
      <c r="T849" s="13">
        <v>22.608000000000001</v>
      </c>
      <c r="U849" s="13">
        <v>-10.1736</v>
      </c>
      <c r="V849" s="55">
        <f>Table3[[#This Row],[Profit]]/Table3[[#This Row],[Sales]]</f>
        <v>-0.45</v>
      </c>
    </row>
    <row r="850" spans="1:22" x14ac:dyDescent="0.2">
      <c r="A850">
        <v>849</v>
      </c>
      <c r="B850" t="s">
        <v>9100</v>
      </c>
      <c r="C850" s="1">
        <v>42873</v>
      </c>
      <c r="D850" s="22">
        <f>MONTH(Table3[[#This Row],[Order Date]])</f>
        <v>5</v>
      </c>
      <c r="E850" t="s">
        <v>1003</v>
      </c>
      <c r="F850" t="s">
        <v>1004</v>
      </c>
      <c r="G850" s="23" t="s">
        <v>28</v>
      </c>
      <c r="H850" s="23" t="s">
        <v>58</v>
      </c>
      <c r="I850" t="s">
        <v>4734</v>
      </c>
      <c r="J850" t="s">
        <v>36</v>
      </c>
      <c r="K850" s="22">
        <v>1</v>
      </c>
      <c r="L850" s="1">
        <v>42877</v>
      </c>
      <c r="M850" s="22">
        <f>Table3[[#This Row],[Ship Date]]-Table3[[#This Row],[Order Date]]</f>
        <v>4</v>
      </c>
      <c r="N850" s="23" t="s">
        <v>45</v>
      </c>
      <c r="O850" s="23" t="s">
        <v>23</v>
      </c>
      <c r="P850" s="23" t="s">
        <v>189</v>
      </c>
      <c r="Q850" s="23" t="s">
        <v>95</v>
      </c>
      <c r="R850" s="23" t="s">
        <v>271</v>
      </c>
      <c r="S850" s="33">
        <v>0.6</v>
      </c>
      <c r="T850" s="13">
        <v>1.8919999999999999</v>
      </c>
      <c r="U850" s="13">
        <v>-0.99329999999999996</v>
      </c>
      <c r="V850" s="55">
        <f>Table3[[#This Row],[Profit]]/Table3[[#This Row],[Sales]]</f>
        <v>-0.52500000000000002</v>
      </c>
    </row>
    <row r="851" spans="1:22" x14ac:dyDescent="0.2">
      <c r="A851">
        <v>850</v>
      </c>
      <c r="B851" t="s">
        <v>1826</v>
      </c>
      <c r="C851" s="1">
        <v>42874</v>
      </c>
      <c r="D851" s="22">
        <f>MONTH(Table3[[#This Row],[Order Date]])</f>
        <v>5</v>
      </c>
      <c r="E851" t="s">
        <v>1828</v>
      </c>
      <c r="F851" t="s">
        <v>1829</v>
      </c>
      <c r="G851" s="23" t="s">
        <v>41</v>
      </c>
      <c r="H851" s="23" t="s">
        <v>71</v>
      </c>
      <c r="I851" t="s">
        <v>1827</v>
      </c>
      <c r="J851" t="s">
        <v>22</v>
      </c>
      <c r="K851" s="22">
        <v>2</v>
      </c>
      <c r="L851" s="1">
        <v>42878</v>
      </c>
      <c r="M851" s="22">
        <f>Table3[[#This Row],[Ship Date]]-Table3[[#This Row],[Order Date]]</f>
        <v>4</v>
      </c>
      <c r="N851" s="23" t="s">
        <v>45</v>
      </c>
      <c r="O851" s="23" t="s">
        <v>23</v>
      </c>
      <c r="P851" s="23" t="s">
        <v>87</v>
      </c>
      <c r="Q851" s="23" t="s">
        <v>39</v>
      </c>
      <c r="R851" s="23" t="s">
        <v>86</v>
      </c>
      <c r="S851" s="33">
        <v>0</v>
      </c>
      <c r="T851" s="13">
        <v>97.16</v>
      </c>
      <c r="U851" s="13">
        <v>28.176400000000001</v>
      </c>
      <c r="V851" s="55">
        <f>Table3[[#This Row],[Profit]]/Table3[[#This Row],[Sales]]</f>
        <v>0.29000000000000004</v>
      </c>
    </row>
    <row r="852" spans="1:22" x14ac:dyDescent="0.2">
      <c r="A852">
        <v>851</v>
      </c>
      <c r="B852" t="s">
        <v>2018</v>
      </c>
      <c r="C852" s="1">
        <v>42874</v>
      </c>
      <c r="D852" s="22">
        <f>MONTH(Table3[[#This Row],[Order Date]])</f>
        <v>5</v>
      </c>
      <c r="E852" t="s">
        <v>2021</v>
      </c>
      <c r="F852" t="s">
        <v>2022</v>
      </c>
      <c r="G852" s="23" t="s">
        <v>41</v>
      </c>
      <c r="H852" s="23" t="s">
        <v>71</v>
      </c>
      <c r="I852" t="s">
        <v>2019</v>
      </c>
      <c r="J852" t="s">
        <v>36</v>
      </c>
      <c r="K852" s="22">
        <v>6</v>
      </c>
      <c r="L852" s="1">
        <v>42879</v>
      </c>
      <c r="M852" s="22">
        <f>Table3[[#This Row],[Ship Date]]-Table3[[#This Row],[Order Date]]</f>
        <v>5</v>
      </c>
      <c r="N852" s="23" t="s">
        <v>45</v>
      </c>
      <c r="O852" s="23" t="s">
        <v>23</v>
      </c>
      <c r="P852" s="23" t="s">
        <v>238</v>
      </c>
      <c r="Q852" s="23" t="s">
        <v>133</v>
      </c>
      <c r="R852" s="23" t="s">
        <v>2020</v>
      </c>
      <c r="S852" s="33">
        <v>0</v>
      </c>
      <c r="T852" s="13">
        <v>281.33999999999997</v>
      </c>
      <c r="U852" s="13">
        <v>109.7226</v>
      </c>
      <c r="V852" s="55">
        <f>Table3[[#This Row],[Profit]]/Table3[[#This Row],[Sales]]</f>
        <v>0.39</v>
      </c>
    </row>
    <row r="853" spans="1:22" x14ac:dyDescent="0.2">
      <c r="A853">
        <v>852</v>
      </c>
      <c r="B853" t="s">
        <v>2018</v>
      </c>
      <c r="C853" s="1">
        <v>42874</v>
      </c>
      <c r="D853" s="22">
        <f>MONTH(Table3[[#This Row],[Order Date]])</f>
        <v>5</v>
      </c>
      <c r="E853" t="s">
        <v>1217</v>
      </c>
      <c r="F853" t="s">
        <v>1218</v>
      </c>
      <c r="G853" s="23" t="s">
        <v>64</v>
      </c>
      <c r="H853" s="23" t="s">
        <v>65</v>
      </c>
      <c r="I853" t="s">
        <v>2019</v>
      </c>
      <c r="J853" t="s">
        <v>36</v>
      </c>
      <c r="K853" s="22">
        <v>2</v>
      </c>
      <c r="L853" s="1">
        <v>42879</v>
      </c>
      <c r="M853" s="22">
        <f>Table3[[#This Row],[Ship Date]]-Table3[[#This Row],[Order Date]]</f>
        <v>5</v>
      </c>
      <c r="N853" s="23" t="s">
        <v>45</v>
      </c>
      <c r="O853" s="23" t="s">
        <v>23</v>
      </c>
      <c r="P853" s="23" t="s">
        <v>238</v>
      </c>
      <c r="Q853" s="23" t="s">
        <v>133</v>
      </c>
      <c r="R853" s="23" t="s">
        <v>2020</v>
      </c>
      <c r="S853" s="33">
        <v>0</v>
      </c>
      <c r="T853" s="13">
        <v>307.98</v>
      </c>
      <c r="U853" s="13">
        <v>89.3142</v>
      </c>
      <c r="V853" s="55">
        <f>Table3[[#This Row],[Profit]]/Table3[[#This Row],[Sales]]</f>
        <v>0.28999999999999998</v>
      </c>
    </row>
    <row r="854" spans="1:22" x14ac:dyDescent="0.2">
      <c r="A854">
        <v>853</v>
      </c>
      <c r="B854" t="s">
        <v>2018</v>
      </c>
      <c r="C854" s="1">
        <v>42874</v>
      </c>
      <c r="D854" s="22">
        <f>MONTH(Table3[[#This Row],[Order Date]])</f>
        <v>5</v>
      </c>
      <c r="E854" t="s">
        <v>2023</v>
      </c>
      <c r="F854" t="s">
        <v>2024</v>
      </c>
      <c r="G854" s="23" t="s">
        <v>64</v>
      </c>
      <c r="H854" s="23" t="s">
        <v>144</v>
      </c>
      <c r="I854" t="s">
        <v>2019</v>
      </c>
      <c r="J854" t="s">
        <v>36</v>
      </c>
      <c r="K854" s="22">
        <v>3</v>
      </c>
      <c r="L854" s="1">
        <v>42879</v>
      </c>
      <c r="M854" s="22">
        <f>Table3[[#This Row],[Ship Date]]-Table3[[#This Row],[Order Date]]</f>
        <v>5</v>
      </c>
      <c r="N854" s="23" t="s">
        <v>45</v>
      </c>
      <c r="O854" s="23" t="s">
        <v>23</v>
      </c>
      <c r="P854" s="23" t="s">
        <v>238</v>
      </c>
      <c r="Q854" s="23" t="s">
        <v>133</v>
      </c>
      <c r="R854" s="23" t="s">
        <v>2020</v>
      </c>
      <c r="S854" s="33">
        <v>0</v>
      </c>
      <c r="T854" s="13">
        <v>299.97000000000003</v>
      </c>
      <c r="U854" s="13">
        <v>113.98860000000001</v>
      </c>
      <c r="V854" s="55">
        <f>Table3[[#This Row],[Profit]]/Table3[[#This Row],[Sales]]</f>
        <v>0.38</v>
      </c>
    </row>
    <row r="855" spans="1:22" x14ac:dyDescent="0.2">
      <c r="A855">
        <v>854</v>
      </c>
      <c r="B855" t="s">
        <v>5385</v>
      </c>
      <c r="C855" s="1">
        <v>42874</v>
      </c>
      <c r="D855" s="22">
        <f>MONTH(Table3[[#This Row],[Order Date]])</f>
        <v>5</v>
      </c>
      <c r="E855" t="s">
        <v>2261</v>
      </c>
      <c r="F855" t="s">
        <v>2262</v>
      </c>
      <c r="G855" s="23" t="s">
        <v>64</v>
      </c>
      <c r="H855" s="23" t="s">
        <v>144</v>
      </c>
      <c r="I855" t="s">
        <v>4910</v>
      </c>
      <c r="J855" t="s">
        <v>22</v>
      </c>
      <c r="K855" s="22">
        <v>4</v>
      </c>
      <c r="L855" s="1">
        <v>42878</v>
      </c>
      <c r="M855" s="22">
        <f>Table3[[#This Row],[Ship Date]]-Table3[[#This Row],[Order Date]]</f>
        <v>4</v>
      </c>
      <c r="N855" s="23" t="s">
        <v>45</v>
      </c>
      <c r="O855" s="23" t="s">
        <v>23</v>
      </c>
      <c r="P855" s="23" t="s">
        <v>1125</v>
      </c>
      <c r="Q855" s="23" t="s">
        <v>26</v>
      </c>
      <c r="R855" s="23" t="s">
        <v>1537</v>
      </c>
      <c r="S855" s="33">
        <v>0</v>
      </c>
      <c r="T855" s="13">
        <v>67.8</v>
      </c>
      <c r="U855" s="13">
        <v>4.0679999999999996</v>
      </c>
      <c r="V855" s="55">
        <f>Table3[[#This Row],[Profit]]/Table3[[#This Row],[Sales]]</f>
        <v>0.06</v>
      </c>
    </row>
    <row r="856" spans="1:22" x14ac:dyDescent="0.2">
      <c r="A856">
        <v>855</v>
      </c>
      <c r="B856" t="s">
        <v>5385</v>
      </c>
      <c r="C856" s="1">
        <v>42874</v>
      </c>
      <c r="D856" s="22">
        <f>MONTH(Table3[[#This Row],[Order Date]])</f>
        <v>5</v>
      </c>
      <c r="E856" t="s">
        <v>5386</v>
      </c>
      <c r="F856" t="s">
        <v>5387</v>
      </c>
      <c r="G856" s="23" t="s">
        <v>64</v>
      </c>
      <c r="H856" s="23" t="s">
        <v>65</v>
      </c>
      <c r="I856" t="s">
        <v>4910</v>
      </c>
      <c r="J856" t="s">
        <v>22</v>
      </c>
      <c r="K856" s="22">
        <v>3</v>
      </c>
      <c r="L856" s="1">
        <v>42878</v>
      </c>
      <c r="M856" s="22">
        <f>Table3[[#This Row],[Ship Date]]-Table3[[#This Row],[Order Date]]</f>
        <v>4</v>
      </c>
      <c r="N856" s="23" t="s">
        <v>45</v>
      </c>
      <c r="O856" s="23" t="s">
        <v>23</v>
      </c>
      <c r="P856" s="23" t="s">
        <v>1125</v>
      </c>
      <c r="Q856" s="23" t="s">
        <v>26</v>
      </c>
      <c r="R856" s="23" t="s">
        <v>1537</v>
      </c>
      <c r="S856" s="33">
        <v>0</v>
      </c>
      <c r="T856" s="13">
        <v>377.97</v>
      </c>
      <c r="U856" s="13">
        <v>98.272199999999998</v>
      </c>
      <c r="V856" s="55">
        <f>Table3[[#This Row],[Profit]]/Table3[[#This Row],[Sales]]</f>
        <v>0.25999999999999995</v>
      </c>
    </row>
    <row r="857" spans="1:22" x14ac:dyDescent="0.2">
      <c r="A857">
        <v>856</v>
      </c>
      <c r="B857" t="s">
        <v>5385</v>
      </c>
      <c r="C857" s="1">
        <v>42874</v>
      </c>
      <c r="D857" s="22">
        <f>MONTH(Table3[[#This Row],[Order Date]])</f>
        <v>5</v>
      </c>
      <c r="E857" t="s">
        <v>750</v>
      </c>
      <c r="F857" t="s">
        <v>751</v>
      </c>
      <c r="G857" s="23" t="s">
        <v>28</v>
      </c>
      <c r="H857" s="23" t="s">
        <v>29</v>
      </c>
      <c r="I857" t="s">
        <v>4910</v>
      </c>
      <c r="J857" t="s">
        <v>22</v>
      </c>
      <c r="K857" s="22">
        <v>9</v>
      </c>
      <c r="L857" s="1">
        <v>42878</v>
      </c>
      <c r="M857" s="22">
        <f>Table3[[#This Row],[Ship Date]]-Table3[[#This Row],[Order Date]]</f>
        <v>4</v>
      </c>
      <c r="N857" s="23" t="s">
        <v>45</v>
      </c>
      <c r="O857" s="23" t="s">
        <v>23</v>
      </c>
      <c r="P857" s="23" t="s">
        <v>1125</v>
      </c>
      <c r="Q857" s="23" t="s">
        <v>26</v>
      </c>
      <c r="R857" s="23" t="s">
        <v>1537</v>
      </c>
      <c r="S857" s="33">
        <v>0</v>
      </c>
      <c r="T857" s="13">
        <v>1628.82</v>
      </c>
      <c r="U857" s="13">
        <v>374.62860000000001</v>
      </c>
      <c r="V857" s="55">
        <f>Table3[[#This Row],[Profit]]/Table3[[#This Row],[Sales]]</f>
        <v>0.23</v>
      </c>
    </row>
    <row r="858" spans="1:22" x14ac:dyDescent="0.2">
      <c r="A858">
        <v>857</v>
      </c>
      <c r="B858" t="s">
        <v>5385</v>
      </c>
      <c r="C858" s="1">
        <v>42874</v>
      </c>
      <c r="D858" s="22">
        <f>MONTH(Table3[[#This Row],[Order Date]])</f>
        <v>5</v>
      </c>
      <c r="E858" t="s">
        <v>2885</v>
      </c>
      <c r="F858" t="s">
        <v>2886</v>
      </c>
      <c r="G858" s="23" t="s">
        <v>41</v>
      </c>
      <c r="H858" s="23" t="s">
        <v>82</v>
      </c>
      <c r="I858" t="s">
        <v>4910</v>
      </c>
      <c r="J858" t="s">
        <v>22</v>
      </c>
      <c r="K858" s="22">
        <v>7</v>
      </c>
      <c r="L858" s="1">
        <v>42878</v>
      </c>
      <c r="M858" s="22">
        <f>Table3[[#This Row],[Ship Date]]-Table3[[#This Row],[Order Date]]</f>
        <v>4</v>
      </c>
      <c r="N858" s="23" t="s">
        <v>45</v>
      </c>
      <c r="O858" s="23" t="s">
        <v>23</v>
      </c>
      <c r="P858" s="23" t="s">
        <v>1125</v>
      </c>
      <c r="Q858" s="23" t="s">
        <v>26</v>
      </c>
      <c r="R858" s="23" t="s">
        <v>1537</v>
      </c>
      <c r="S858" s="33">
        <v>0</v>
      </c>
      <c r="T858" s="13">
        <v>286.93</v>
      </c>
      <c r="U858" s="13">
        <v>140.59569999999999</v>
      </c>
      <c r="V858" s="55">
        <f>Table3[[#This Row],[Profit]]/Table3[[#This Row],[Sales]]</f>
        <v>0.49</v>
      </c>
    </row>
    <row r="859" spans="1:22" x14ac:dyDescent="0.2">
      <c r="A859">
        <v>858</v>
      </c>
      <c r="B859" t="s">
        <v>6084</v>
      </c>
      <c r="C859" s="1">
        <v>42874</v>
      </c>
      <c r="D859" s="22">
        <f>MONTH(Table3[[#This Row],[Order Date]])</f>
        <v>5</v>
      </c>
      <c r="E859" t="s">
        <v>1627</v>
      </c>
      <c r="F859" t="s">
        <v>1628</v>
      </c>
      <c r="G859" s="23" t="s">
        <v>28</v>
      </c>
      <c r="H859" s="23" t="s">
        <v>32</v>
      </c>
      <c r="I859" t="s">
        <v>4721</v>
      </c>
      <c r="J859" t="s">
        <v>92</v>
      </c>
      <c r="K859" s="22">
        <v>12</v>
      </c>
      <c r="L859" s="1">
        <v>42876</v>
      </c>
      <c r="M859" s="22">
        <f>Table3[[#This Row],[Ship Date]]-Table3[[#This Row],[Order Date]]</f>
        <v>2</v>
      </c>
      <c r="N859" s="23" t="s">
        <v>20</v>
      </c>
      <c r="O859" s="23" t="s">
        <v>23</v>
      </c>
      <c r="P859" s="23" t="s">
        <v>38</v>
      </c>
      <c r="Q859" s="23" t="s">
        <v>39</v>
      </c>
      <c r="R859" s="23" t="s">
        <v>114</v>
      </c>
      <c r="S859" s="33">
        <v>0.2</v>
      </c>
      <c r="T859" s="13">
        <v>681.40800000000002</v>
      </c>
      <c r="U859" s="13">
        <v>42.588000000000001</v>
      </c>
      <c r="V859" s="55">
        <f>Table3[[#This Row],[Profit]]/Table3[[#This Row],[Sales]]</f>
        <v>6.25E-2</v>
      </c>
    </row>
    <row r="860" spans="1:22" x14ac:dyDescent="0.2">
      <c r="A860">
        <v>859</v>
      </c>
      <c r="B860" t="s">
        <v>6084</v>
      </c>
      <c r="C860" s="1">
        <v>42874</v>
      </c>
      <c r="D860" s="22">
        <f>MONTH(Table3[[#This Row],[Order Date]])</f>
        <v>5</v>
      </c>
      <c r="E860" t="s">
        <v>3637</v>
      </c>
      <c r="F860" t="s">
        <v>3638</v>
      </c>
      <c r="G860" s="23" t="s">
        <v>41</v>
      </c>
      <c r="H860" s="23" t="s">
        <v>61</v>
      </c>
      <c r="I860" t="s">
        <v>4721</v>
      </c>
      <c r="J860" t="s">
        <v>92</v>
      </c>
      <c r="K860" s="22">
        <v>2</v>
      </c>
      <c r="L860" s="1">
        <v>42876</v>
      </c>
      <c r="M860" s="22">
        <f>Table3[[#This Row],[Ship Date]]-Table3[[#This Row],[Order Date]]</f>
        <v>2</v>
      </c>
      <c r="N860" s="23" t="s">
        <v>20</v>
      </c>
      <c r="O860" s="23" t="s">
        <v>23</v>
      </c>
      <c r="P860" s="23" t="s">
        <v>38</v>
      </c>
      <c r="Q860" s="23" t="s">
        <v>39</v>
      </c>
      <c r="R860" s="23" t="s">
        <v>114</v>
      </c>
      <c r="S860" s="33">
        <v>0</v>
      </c>
      <c r="T860" s="13">
        <v>3.52</v>
      </c>
      <c r="U860" s="13">
        <v>1.0207999999999999</v>
      </c>
      <c r="V860" s="55">
        <f>Table3[[#This Row],[Profit]]/Table3[[#This Row],[Sales]]</f>
        <v>0.28999999999999998</v>
      </c>
    </row>
    <row r="861" spans="1:22" x14ac:dyDescent="0.2">
      <c r="A861">
        <v>860</v>
      </c>
      <c r="B861" t="s">
        <v>6084</v>
      </c>
      <c r="C861" s="1">
        <v>42874</v>
      </c>
      <c r="D861" s="22">
        <f>MONTH(Table3[[#This Row],[Order Date]])</f>
        <v>5</v>
      </c>
      <c r="E861" t="s">
        <v>1090</v>
      </c>
      <c r="F861" t="s">
        <v>1091</v>
      </c>
      <c r="G861" s="23" t="s">
        <v>41</v>
      </c>
      <c r="H861" s="23" t="s">
        <v>61</v>
      </c>
      <c r="I861" t="s">
        <v>4721</v>
      </c>
      <c r="J861" t="s">
        <v>92</v>
      </c>
      <c r="K861" s="22">
        <v>1</v>
      </c>
      <c r="L861" s="1">
        <v>42876</v>
      </c>
      <c r="M861" s="22">
        <f>Table3[[#This Row],[Ship Date]]-Table3[[#This Row],[Order Date]]</f>
        <v>2</v>
      </c>
      <c r="N861" s="23" t="s">
        <v>20</v>
      </c>
      <c r="O861" s="23" t="s">
        <v>23</v>
      </c>
      <c r="P861" s="23" t="s">
        <v>38</v>
      </c>
      <c r="Q861" s="23" t="s">
        <v>39</v>
      </c>
      <c r="R861" s="23" t="s">
        <v>114</v>
      </c>
      <c r="S861" s="33">
        <v>0</v>
      </c>
      <c r="T861" s="13">
        <v>5.58</v>
      </c>
      <c r="U861" s="13">
        <v>1.395</v>
      </c>
      <c r="V861" s="55">
        <f>Table3[[#This Row],[Profit]]/Table3[[#This Row],[Sales]]</f>
        <v>0.25</v>
      </c>
    </row>
    <row r="862" spans="1:22" x14ac:dyDescent="0.2">
      <c r="A862">
        <v>861</v>
      </c>
      <c r="B862" t="s">
        <v>6084</v>
      </c>
      <c r="C862" s="1">
        <v>42874</v>
      </c>
      <c r="D862" s="22">
        <f>MONTH(Table3[[#This Row],[Order Date]])</f>
        <v>5</v>
      </c>
      <c r="E862" t="s">
        <v>1640</v>
      </c>
      <c r="F862" t="s">
        <v>1641</v>
      </c>
      <c r="G862" s="23" t="s">
        <v>64</v>
      </c>
      <c r="H862" s="23" t="s">
        <v>144</v>
      </c>
      <c r="I862" t="s">
        <v>4721</v>
      </c>
      <c r="J862" t="s">
        <v>92</v>
      </c>
      <c r="K862" s="22">
        <v>1</v>
      </c>
      <c r="L862" s="1">
        <v>42876</v>
      </c>
      <c r="M862" s="22">
        <f>Table3[[#This Row],[Ship Date]]-Table3[[#This Row],[Order Date]]</f>
        <v>2</v>
      </c>
      <c r="N862" s="23" t="s">
        <v>20</v>
      </c>
      <c r="O862" s="23" t="s">
        <v>23</v>
      </c>
      <c r="P862" s="23" t="s">
        <v>38</v>
      </c>
      <c r="Q862" s="23" t="s">
        <v>39</v>
      </c>
      <c r="R862" s="23" t="s">
        <v>114</v>
      </c>
      <c r="S862" s="33">
        <v>0</v>
      </c>
      <c r="T862" s="13">
        <v>36.32</v>
      </c>
      <c r="U862" s="13">
        <v>10.896000000000001</v>
      </c>
      <c r="V862" s="55">
        <f>Table3[[#This Row],[Profit]]/Table3[[#This Row],[Sales]]</f>
        <v>0.30000000000000004</v>
      </c>
    </row>
    <row r="863" spans="1:22" x14ac:dyDescent="0.2">
      <c r="A863">
        <v>862</v>
      </c>
      <c r="B863" t="s">
        <v>7211</v>
      </c>
      <c r="C863" s="1">
        <v>42874</v>
      </c>
      <c r="D863" s="22">
        <f>MONTH(Table3[[#This Row],[Order Date]])</f>
        <v>5</v>
      </c>
      <c r="E863" t="s">
        <v>4099</v>
      </c>
      <c r="F863" t="s">
        <v>4100</v>
      </c>
      <c r="G863" s="23" t="s">
        <v>41</v>
      </c>
      <c r="H863" s="23" t="s">
        <v>82</v>
      </c>
      <c r="I863" t="s">
        <v>4141</v>
      </c>
      <c r="J863" t="s">
        <v>22</v>
      </c>
      <c r="K863" s="22">
        <v>4</v>
      </c>
      <c r="L863" s="1">
        <v>42874</v>
      </c>
      <c r="M863" s="22">
        <f>Table3[[#This Row],[Ship Date]]-Table3[[#This Row],[Order Date]]</f>
        <v>0</v>
      </c>
      <c r="N863" s="23" t="s">
        <v>1141</v>
      </c>
      <c r="O863" s="23" t="s">
        <v>23</v>
      </c>
      <c r="P863" s="23" t="s">
        <v>1125</v>
      </c>
      <c r="Q863" s="23" t="s">
        <v>26</v>
      </c>
      <c r="R863" s="23" t="s">
        <v>1537</v>
      </c>
      <c r="S863" s="33">
        <v>0</v>
      </c>
      <c r="T863" s="13">
        <v>195.64</v>
      </c>
      <c r="U863" s="13">
        <v>91.950800000000001</v>
      </c>
      <c r="V863" s="55">
        <f>Table3[[#This Row],[Profit]]/Table3[[#This Row],[Sales]]</f>
        <v>0.47000000000000003</v>
      </c>
    </row>
    <row r="864" spans="1:22" x14ac:dyDescent="0.2">
      <c r="A864">
        <v>863</v>
      </c>
      <c r="B864" t="s">
        <v>7496</v>
      </c>
      <c r="C864" s="1">
        <v>42874</v>
      </c>
      <c r="D864" s="22">
        <f>MONTH(Table3[[#This Row],[Order Date]])</f>
        <v>5</v>
      </c>
      <c r="E864" t="s">
        <v>6259</v>
      </c>
      <c r="F864" t="s">
        <v>6260</v>
      </c>
      <c r="G864" s="23" t="s">
        <v>41</v>
      </c>
      <c r="H864" s="23" t="s">
        <v>82</v>
      </c>
      <c r="I864" t="s">
        <v>4692</v>
      </c>
      <c r="J864" t="s">
        <v>36</v>
      </c>
      <c r="K864" s="22">
        <v>6</v>
      </c>
      <c r="L864" s="1">
        <v>42878</v>
      </c>
      <c r="M864" s="22">
        <f>Table3[[#This Row],[Ship Date]]-Table3[[#This Row],[Order Date]]</f>
        <v>4</v>
      </c>
      <c r="N864" s="23" t="s">
        <v>45</v>
      </c>
      <c r="O864" s="23" t="s">
        <v>23</v>
      </c>
      <c r="P864" s="23" t="s">
        <v>189</v>
      </c>
      <c r="Q864" s="23" t="s">
        <v>95</v>
      </c>
      <c r="R864" s="23" t="s">
        <v>2731</v>
      </c>
      <c r="S864" s="33">
        <v>0.2</v>
      </c>
      <c r="T864" s="13">
        <v>38.015999999999998</v>
      </c>
      <c r="U864" s="13">
        <v>13.780799999999999</v>
      </c>
      <c r="V864" s="55">
        <f>Table3[[#This Row],[Profit]]/Table3[[#This Row],[Sales]]</f>
        <v>0.36249999999999999</v>
      </c>
    </row>
    <row r="865" spans="1:22" x14ac:dyDescent="0.2">
      <c r="A865">
        <v>864</v>
      </c>
      <c r="B865" t="s">
        <v>7816</v>
      </c>
      <c r="C865" s="1">
        <v>42874</v>
      </c>
      <c r="D865" s="22">
        <f>MONTH(Table3[[#This Row],[Order Date]])</f>
        <v>5</v>
      </c>
      <c r="E865" t="s">
        <v>4296</v>
      </c>
      <c r="F865" t="s">
        <v>4297</v>
      </c>
      <c r="G865" s="23" t="s">
        <v>64</v>
      </c>
      <c r="H865" s="23" t="s">
        <v>65</v>
      </c>
      <c r="I865" t="s">
        <v>5114</v>
      </c>
      <c r="J865" t="s">
        <v>22</v>
      </c>
      <c r="K865" s="22">
        <v>1</v>
      </c>
      <c r="L865" s="1">
        <v>42880</v>
      </c>
      <c r="M865" s="22">
        <f>Table3[[#This Row],[Ship Date]]-Table3[[#This Row],[Order Date]]</f>
        <v>6</v>
      </c>
      <c r="N865" s="23" t="s">
        <v>45</v>
      </c>
      <c r="O865" s="23" t="s">
        <v>23</v>
      </c>
      <c r="P865" s="23" t="s">
        <v>94</v>
      </c>
      <c r="Q865" s="23" t="s">
        <v>95</v>
      </c>
      <c r="R865" s="23" t="s">
        <v>3835</v>
      </c>
      <c r="S865" s="33">
        <v>0.2</v>
      </c>
      <c r="T865" s="13">
        <v>95.992000000000004</v>
      </c>
      <c r="U865" s="13">
        <v>9.5991999999999997</v>
      </c>
      <c r="V865" s="55">
        <f>Table3[[#This Row],[Profit]]/Table3[[#This Row],[Sales]]</f>
        <v>9.9999999999999992E-2</v>
      </c>
    </row>
    <row r="866" spans="1:22" x14ac:dyDescent="0.2">
      <c r="A866">
        <v>865</v>
      </c>
      <c r="B866" t="s">
        <v>7816</v>
      </c>
      <c r="C866" s="1">
        <v>42874</v>
      </c>
      <c r="D866" s="22">
        <f>MONTH(Table3[[#This Row],[Order Date]])</f>
        <v>5</v>
      </c>
      <c r="E866" t="s">
        <v>7254</v>
      </c>
      <c r="F866" t="s">
        <v>7255</v>
      </c>
      <c r="G866" s="23" t="s">
        <v>41</v>
      </c>
      <c r="H866" s="23" t="s">
        <v>42</v>
      </c>
      <c r="I866" t="s">
        <v>5114</v>
      </c>
      <c r="J866" t="s">
        <v>22</v>
      </c>
      <c r="K866" s="22">
        <v>4</v>
      </c>
      <c r="L866" s="1">
        <v>42880</v>
      </c>
      <c r="M866" s="22">
        <f>Table3[[#This Row],[Ship Date]]-Table3[[#This Row],[Order Date]]</f>
        <v>6</v>
      </c>
      <c r="N866" s="23" t="s">
        <v>45</v>
      </c>
      <c r="O866" s="23" t="s">
        <v>23</v>
      </c>
      <c r="P866" s="23" t="s">
        <v>94</v>
      </c>
      <c r="Q866" s="23" t="s">
        <v>95</v>
      </c>
      <c r="R866" s="23" t="s">
        <v>3835</v>
      </c>
      <c r="S866" s="33">
        <v>0.2</v>
      </c>
      <c r="T866" s="13">
        <v>13.215999999999999</v>
      </c>
      <c r="U866" s="13">
        <v>4.2952000000000004</v>
      </c>
      <c r="V866" s="55">
        <f>Table3[[#This Row],[Profit]]/Table3[[#This Row],[Sales]]</f>
        <v>0.32500000000000007</v>
      </c>
    </row>
    <row r="867" spans="1:22" x14ac:dyDescent="0.2">
      <c r="A867">
        <v>866</v>
      </c>
      <c r="B867" t="s">
        <v>7876</v>
      </c>
      <c r="C867" s="1">
        <v>42874</v>
      </c>
      <c r="D867" s="22">
        <f>MONTH(Table3[[#This Row],[Order Date]])</f>
        <v>5</v>
      </c>
      <c r="E867" t="s">
        <v>1847</v>
      </c>
      <c r="F867" t="s">
        <v>1848</v>
      </c>
      <c r="G867" s="23" t="s">
        <v>28</v>
      </c>
      <c r="H867" s="23" t="s">
        <v>32</v>
      </c>
      <c r="I867" t="s">
        <v>2486</v>
      </c>
      <c r="J867" t="s">
        <v>36</v>
      </c>
      <c r="K867" s="22">
        <v>3</v>
      </c>
      <c r="L867" s="1">
        <v>42879</v>
      </c>
      <c r="M867" s="22">
        <f>Table3[[#This Row],[Ship Date]]-Table3[[#This Row],[Order Date]]</f>
        <v>5</v>
      </c>
      <c r="N867" s="23" t="s">
        <v>20</v>
      </c>
      <c r="O867" s="23" t="s">
        <v>23</v>
      </c>
      <c r="P867" s="23" t="s">
        <v>299</v>
      </c>
      <c r="Q867" s="23" t="s">
        <v>26</v>
      </c>
      <c r="R867" s="23" t="s">
        <v>4558</v>
      </c>
      <c r="S867" s="33">
        <v>0.2</v>
      </c>
      <c r="T867" s="13">
        <v>314.35199999999998</v>
      </c>
      <c r="U867" s="13">
        <v>-35.364600000000003</v>
      </c>
      <c r="V867" s="55">
        <f>Table3[[#This Row],[Profit]]/Table3[[#This Row],[Sales]]</f>
        <v>-0.11250000000000002</v>
      </c>
    </row>
    <row r="868" spans="1:22" x14ac:dyDescent="0.2">
      <c r="A868">
        <v>867</v>
      </c>
      <c r="B868" t="s">
        <v>7876</v>
      </c>
      <c r="C868" s="1">
        <v>42874</v>
      </c>
      <c r="D868" s="22">
        <f>MONTH(Table3[[#This Row],[Order Date]])</f>
        <v>5</v>
      </c>
      <c r="E868" t="s">
        <v>3685</v>
      </c>
      <c r="F868" t="s">
        <v>3686</v>
      </c>
      <c r="G868" s="23" t="s">
        <v>41</v>
      </c>
      <c r="H868" s="23" t="s">
        <v>82</v>
      </c>
      <c r="I868" t="s">
        <v>2486</v>
      </c>
      <c r="J868" t="s">
        <v>36</v>
      </c>
      <c r="K868" s="22">
        <v>7</v>
      </c>
      <c r="L868" s="1">
        <v>42879</v>
      </c>
      <c r="M868" s="22">
        <f>Table3[[#This Row],[Ship Date]]-Table3[[#This Row],[Order Date]]</f>
        <v>5</v>
      </c>
      <c r="N868" s="23" t="s">
        <v>20</v>
      </c>
      <c r="O868" s="23" t="s">
        <v>23</v>
      </c>
      <c r="P868" s="23" t="s">
        <v>299</v>
      </c>
      <c r="Q868" s="23" t="s">
        <v>26</v>
      </c>
      <c r="R868" s="23" t="s">
        <v>4558</v>
      </c>
      <c r="S868" s="33">
        <v>0.2</v>
      </c>
      <c r="T868" s="13">
        <v>27.888000000000002</v>
      </c>
      <c r="U868" s="13">
        <v>10.109400000000001</v>
      </c>
      <c r="V868" s="55">
        <f>Table3[[#This Row],[Profit]]/Table3[[#This Row],[Sales]]</f>
        <v>0.36249999999999999</v>
      </c>
    </row>
    <row r="869" spans="1:22" x14ac:dyDescent="0.2">
      <c r="A869">
        <v>868</v>
      </c>
      <c r="B869" t="s">
        <v>8087</v>
      </c>
      <c r="C869" s="1">
        <v>42874</v>
      </c>
      <c r="D869" s="22">
        <f>MONTH(Table3[[#This Row],[Order Date]])</f>
        <v>5</v>
      </c>
      <c r="E869" t="s">
        <v>4251</v>
      </c>
      <c r="F869" t="s">
        <v>4252</v>
      </c>
      <c r="G869" s="23" t="s">
        <v>41</v>
      </c>
      <c r="H869" s="23" t="s">
        <v>68</v>
      </c>
      <c r="I869" t="s">
        <v>1483</v>
      </c>
      <c r="J869" t="s">
        <v>22</v>
      </c>
      <c r="K869" s="22">
        <v>5</v>
      </c>
      <c r="L869" s="1">
        <v>42879</v>
      </c>
      <c r="M869" s="22">
        <f>Table3[[#This Row],[Ship Date]]-Table3[[#This Row],[Order Date]]</f>
        <v>5</v>
      </c>
      <c r="N869" s="23" t="s">
        <v>45</v>
      </c>
      <c r="O869" s="23" t="s">
        <v>23</v>
      </c>
      <c r="P869" s="23" t="s">
        <v>38</v>
      </c>
      <c r="Q869" s="23" t="s">
        <v>39</v>
      </c>
      <c r="R869" s="23" t="s">
        <v>557</v>
      </c>
      <c r="S869" s="33">
        <v>0.2</v>
      </c>
      <c r="T869" s="13">
        <v>133.12</v>
      </c>
      <c r="U869" s="13">
        <v>49.92</v>
      </c>
      <c r="V869" s="55">
        <f>Table3[[#This Row],[Profit]]/Table3[[#This Row],[Sales]]</f>
        <v>0.375</v>
      </c>
    </row>
    <row r="870" spans="1:22" x14ac:dyDescent="0.2">
      <c r="A870">
        <v>869</v>
      </c>
      <c r="B870" t="s">
        <v>9585</v>
      </c>
      <c r="C870" s="1">
        <v>42874</v>
      </c>
      <c r="D870" s="22">
        <f>MONTH(Table3[[#This Row],[Order Date]])</f>
        <v>5</v>
      </c>
      <c r="E870" t="s">
        <v>5714</v>
      </c>
      <c r="F870" t="s">
        <v>5715</v>
      </c>
      <c r="G870" s="23" t="s">
        <v>41</v>
      </c>
      <c r="H870" s="23" t="s">
        <v>68</v>
      </c>
      <c r="I870" t="s">
        <v>4058</v>
      </c>
      <c r="J870" t="s">
        <v>36</v>
      </c>
      <c r="K870" s="22">
        <v>4</v>
      </c>
      <c r="L870" s="1">
        <v>42878</v>
      </c>
      <c r="M870" s="22">
        <f>Table3[[#This Row],[Ship Date]]-Table3[[#This Row],[Order Date]]</f>
        <v>4</v>
      </c>
      <c r="N870" s="23" t="s">
        <v>45</v>
      </c>
      <c r="O870" s="23" t="s">
        <v>23</v>
      </c>
      <c r="P870" s="23" t="s">
        <v>320</v>
      </c>
      <c r="Q870" s="23" t="s">
        <v>26</v>
      </c>
      <c r="R870" s="23" t="s">
        <v>1488</v>
      </c>
      <c r="S870" s="33">
        <v>0</v>
      </c>
      <c r="T870" s="13">
        <v>26.16</v>
      </c>
      <c r="U870" s="13">
        <v>12.8184</v>
      </c>
      <c r="V870" s="55">
        <f>Table3[[#This Row],[Profit]]/Table3[[#This Row],[Sales]]</f>
        <v>0.49</v>
      </c>
    </row>
    <row r="871" spans="1:22" x14ac:dyDescent="0.2">
      <c r="A871">
        <v>870</v>
      </c>
      <c r="B871" t="s">
        <v>6708</v>
      </c>
      <c r="C871" s="1">
        <v>42875</v>
      </c>
      <c r="D871" s="22">
        <f>MONTH(Table3[[#This Row],[Order Date]])</f>
        <v>5</v>
      </c>
      <c r="E871" t="s">
        <v>1385</v>
      </c>
      <c r="F871" t="s">
        <v>1386</v>
      </c>
      <c r="G871" s="23" t="s">
        <v>41</v>
      </c>
      <c r="H871" s="23" t="s">
        <v>61</v>
      </c>
      <c r="I871" t="s">
        <v>2911</v>
      </c>
      <c r="J871" t="s">
        <v>22</v>
      </c>
      <c r="K871" s="22">
        <v>3</v>
      </c>
      <c r="L871" s="1">
        <v>42877</v>
      </c>
      <c r="M871" s="22">
        <f>Table3[[#This Row],[Ship Date]]-Table3[[#This Row],[Order Date]]</f>
        <v>2</v>
      </c>
      <c r="N871" s="23" t="s">
        <v>20</v>
      </c>
      <c r="O871" s="23" t="s">
        <v>23</v>
      </c>
      <c r="P871" s="23" t="s">
        <v>6710</v>
      </c>
      <c r="Q871" s="23" t="s">
        <v>95</v>
      </c>
      <c r="R871" s="23" t="s">
        <v>6709</v>
      </c>
      <c r="S871" s="33">
        <v>0</v>
      </c>
      <c r="T871" s="13">
        <v>131.94</v>
      </c>
      <c r="U871" s="13">
        <v>35.623800000000003</v>
      </c>
      <c r="V871" s="55">
        <f>Table3[[#This Row],[Profit]]/Table3[[#This Row],[Sales]]</f>
        <v>0.27</v>
      </c>
    </row>
    <row r="872" spans="1:22" x14ac:dyDescent="0.2">
      <c r="A872">
        <v>871</v>
      </c>
      <c r="B872" t="s">
        <v>6708</v>
      </c>
      <c r="C872" s="1">
        <v>42875</v>
      </c>
      <c r="D872" s="22">
        <f>MONTH(Table3[[#This Row],[Order Date]])</f>
        <v>5</v>
      </c>
      <c r="E872" t="s">
        <v>1102</v>
      </c>
      <c r="F872" t="s">
        <v>1103</v>
      </c>
      <c r="G872" s="23" t="s">
        <v>41</v>
      </c>
      <c r="H872" s="23" t="s">
        <v>61</v>
      </c>
      <c r="I872" t="s">
        <v>2911</v>
      </c>
      <c r="J872" t="s">
        <v>22</v>
      </c>
      <c r="K872" s="22">
        <v>4</v>
      </c>
      <c r="L872" s="1">
        <v>42877</v>
      </c>
      <c r="M872" s="22">
        <f>Table3[[#This Row],[Ship Date]]-Table3[[#This Row],[Order Date]]</f>
        <v>2</v>
      </c>
      <c r="N872" s="23" t="s">
        <v>20</v>
      </c>
      <c r="O872" s="23" t="s">
        <v>23</v>
      </c>
      <c r="P872" s="23" t="s">
        <v>6710</v>
      </c>
      <c r="Q872" s="23" t="s">
        <v>95</v>
      </c>
      <c r="R872" s="23" t="s">
        <v>6709</v>
      </c>
      <c r="S872" s="33">
        <v>0</v>
      </c>
      <c r="T872" s="13">
        <v>25.92</v>
      </c>
      <c r="U872" s="13">
        <v>8.2943999999999996</v>
      </c>
      <c r="V872" s="55">
        <f>Table3[[#This Row],[Profit]]/Table3[[#This Row],[Sales]]</f>
        <v>0.31999999999999995</v>
      </c>
    </row>
    <row r="873" spans="1:22" x14ac:dyDescent="0.2">
      <c r="A873">
        <v>872</v>
      </c>
      <c r="B873" t="s">
        <v>6708</v>
      </c>
      <c r="C873" s="1">
        <v>42875</v>
      </c>
      <c r="D873" s="22">
        <f>MONTH(Table3[[#This Row],[Order Date]])</f>
        <v>5</v>
      </c>
      <c r="E873" t="s">
        <v>2462</v>
      </c>
      <c r="F873" t="s">
        <v>2463</v>
      </c>
      <c r="G873" s="23" t="s">
        <v>41</v>
      </c>
      <c r="H873" s="23" t="s">
        <v>53</v>
      </c>
      <c r="I873" t="s">
        <v>2911</v>
      </c>
      <c r="J873" t="s">
        <v>22</v>
      </c>
      <c r="K873" s="22">
        <v>4</v>
      </c>
      <c r="L873" s="1">
        <v>42877</v>
      </c>
      <c r="M873" s="22">
        <f>Table3[[#This Row],[Ship Date]]-Table3[[#This Row],[Order Date]]</f>
        <v>2</v>
      </c>
      <c r="N873" s="23" t="s">
        <v>20</v>
      </c>
      <c r="O873" s="23" t="s">
        <v>23</v>
      </c>
      <c r="P873" s="23" t="s">
        <v>6710</v>
      </c>
      <c r="Q873" s="23" t="s">
        <v>95</v>
      </c>
      <c r="R873" s="23" t="s">
        <v>6709</v>
      </c>
      <c r="S873" s="33">
        <v>0</v>
      </c>
      <c r="T873" s="13">
        <v>704.76</v>
      </c>
      <c r="U873" s="13">
        <v>162.09479999999999</v>
      </c>
      <c r="V873" s="55">
        <f>Table3[[#This Row],[Profit]]/Table3[[#This Row],[Sales]]</f>
        <v>0.22999999999999998</v>
      </c>
    </row>
    <row r="874" spans="1:22" x14ac:dyDescent="0.2">
      <c r="A874">
        <v>873</v>
      </c>
      <c r="B874" t="s">
        <v>6708</v>
      </c>
      <c r="C874" s="1">
        <v>42875</v>
      </c>
      <c r="D874" s="22">
        <f>MONTH(Table3[[#This Row],[Order Date]])</f>
        <v>5</v>
      </c>
      <c r="E874" t="s">
        <v>3876</v>
      </c>
      <c r="F874" t="s">
        <v>498</v>
      </c>
      <c r="G874" s="23" t="s">
        <v>41</v>
      </c>
      <c r="H874" s="23" t="s">
        <v>240</v>
      </c>
      <c r="I874" t="s">
        <v>2911</v>
      </c>
      <c r="J874" t="s">
        <v>22</v>
      </c>
      <c r="K874" s="22">
        <v>3</v>
      </c>
      <c r="L874" s="1">
        <v>42877</v>
      </c>
      <c r="M874" s="22">
        <f>Table3[[#This Row],[Ship Date]]-Table3[[#This Row],[Order Date]]</f>
        <v>2</v>
      </c>
      <c r="N874" s="23" t="s">
        <v>20</v>
      </c>
      <c r="O874" s="23" t="s">
        <v>23</v>
      </c>
      <c r="P874" s="23" t="s">
        <v>6710</v>
      </c>
      <c r="Q874" s="23" t="s">
        <v>95</v>
      </c>
      <c r="R874" s="23" t="s">
        <v>6709</v>
      </c>
      <c r="S874" s="33">
        <v>0</v>
      </c>
      <c r="T874" s="13">
        <v>7.41</v>
      </c>
      <c r="U874" s="13">
        <v>3.4826999999999999</v>
      </c>
      <c r="V874" s="55">
        <f>Table3[[#This Row],[Profit]]/Table3[[#This Row],[Sales]]</f>
        <v>0.47</v>
      </c>
    </row>
    <row r="875" spans="1:22" x14ac:dyDescent="0.2">
      <c r="A875">
        <v>874</v>
      </c>
      <c r="B875" t="s">
        <v>6708</v>
      </c>
      <c r="C875" s="1">
        <v>42875</v>
      </c>
      <c r="D875" s="22">
        <f>MONTH(Table3[[#This Row],[Order Date]])</f>
        <v>5</v>
      </c>
      <c r="E875" t="s">
        <v>5946</v>
      </c>
      <c r="F875" t="s">
        <v>5947</v>
      </c>
      <c r="G875" s="23" t="s">
        <v>41</v>
      </c>
      <c r="H875" s="23" t="s">
        <v>61</v>
      </c>
      <c r="I875" t="s">
        <v>2911</v>
      </c>
      <c r="J875" t="s">
        <v>22</v>
      </c>
      <c r="K875" s="22">
        <v>10</v>
      </c>
      <c r="L875" s="1">
        <v>42877</v>
      </c>
      <c r="M875" s="22">
        <f>Table3[[#This Row],[Ship Date]]-Table3[[#This Row],[Order Date]]</f>
        <v>2</v>
      </c>
      <c r="N875" s="23" t="s">
        <v>20</v>
      </c>
      <c r="O875" s="23" t="s">
        <v>23</v>
      </c>
      <c r="P875" s="23" t="s">
        <v>6710</v>
      </c>
      <c r="Q875" s="23" t="s">
        <v>95</v>
      </c>
      <c r="R875" s="23" t="s">
        <v>6709</v>
      </c>
      <c r="S875" s="33">
        <v>0</v>
      </c>
      <c r="T875" s="13">
        <v>21.5</v>
      </c>
      <c r="U875" s="13">
        <v>7.0949999999999998</v>
      </c>
      <c r="V875" s="55">
        <f>Table3[[#This Row],[Profit]]/Table3[[#This Row],[Sales]]</f>
        <v>0.33</v>
      </c>
    </row>
    <row r="876" spans="1:22" x14ac:dyDescent="0.2">
      <c r="A876">
        <v>875</v>
      </c>
      <c r="B876" t="s">
        <v>7892</v>
      </c>
      <c r="C876" s="1">
        <v>42875</v>
      </c>
      <c r="D876" s="22">
        <f>MONTH(Table3[[#This Row],[Order Date]])</f>
        <v>5</v>
      </c>
      <c r="E876" t="s">
        <v>1403</v>
      </c>
      <c r="F876" t="s">
        <v>1404</v>
      </c>
      <c r="G876" s="23" t="s">
        <v>28</v>
      </c>
      <c r="H876" s="23" t="s">
        <v>32</v>
      </c>
      <c r="I876" t="s">
        <v>1878</v>
      </c>
      <c r="J876" t="s">
        <v>92</v>
      </c>
      <c r="K876" s="22">
        <v>8</v>
      </c>
      <c r="L876" s="1">
        <v>42879</v>
      </c>
      <c r="M876" s="22">
        <f>Table3[[#This Row],[Ship Date]]-Table3[[#This Row],[Order Date]]</f>
        <v>4</v>
      </c>
      <c r="N876" s="23" t="s">
        <v>45</v>
      </c>
      <c r="O876" s="23" t="s">
        <v>23</v>
      </c>
      <c r="P876" s="23" t="s">
        <v>38</v>
      </c>
      <c r="Q876" s="23" t="s">
        <v>39</v>
      </c>
      <c r="R876" s="23" t="s">
        <v>990</v>
      </c>
      <c r="S876" s="33">
        <v>0.2</v>
      </c>
      <c r="T876" s="13">
        <v>518.27200000000005</v>
      </c>
      <c r="U876" s="13">
        <v>-97.176000000000002</v>
      </c>
      <c r="V876" s="55">
        <f>Table3[[#This Row],[Profit]]/Table3[[#This Row],[Sales]]</f>
        <v>-0.1875</v>
      </c>
    </row>
    <row r="877" spans="1:22" x14ac:dyDescent="0.2">
      <c r="A877">
        <v>876</v>
      </c>
      <c r="B877" t="s">
        <v>7892</v>
      </c>
      <c r="C877" s="1">
        <v>42875</v>
      </c>
      <c r="D877" s="22">
        <f>MONTH(Table3[[#This Row],[Order Date]])</f>
        <v>5</v>
      </c>
      <c r="E877" t="s">
        <v>2664</v>
      </c>
      <c r="F877" t="s">
        <v>2665</v>
      </c>
      <c r="G877" s="23" t="s">
        <v>28</v>
      </c>
      <c r="H877" s="23" t="s">
        <v>58</v>
      </c>
      <c r="I877" t="s">
        <v>1878</v>
      </c>
      <c r="J877" t="s">
        <v>92</v>
      </c>
      <c r="K877" s="22">
        <v>1</v>
      </c>
      <c r="L877" s="1">
        <v>42879</v>
      </c>
      <c r="M877" s="22">
        <f>Table3[[#This Row],[Ship Date]]-Table3[[#This Row],[Order Date]]</f>
        <v>4</v>
      </c>
      <c r="N877" s="23" t="s">
        <v>45</v>
      </c>
      <c r="O877" s="23" t="s">
        <v>23</v>
      </c>
      <c r="P877" s="23" t="s">
        <v>38</v>
      </c>
      <c r="Q877" s="23" t="s">
        <v>39</v>
      </c>
      <c r="R877" s="23" t="s">
        <v>990</v>
      </c>
      <c r="S877" s="33">
        <v>0</v>
      </c>
      <c r="T877" s="13">
        <v>6.98</v>
      </c>
      <c r="U877" s="13">
        <v>3.3504</v>
      </c>
      <c r="V877" s="55">
        <f>Table3[[#This Row],[Profit]]/Table3[[#This Row],[Sales]]</f>
        <v>0.48</v>
      </c>
    </row>
    <row r="878" spans="1:22" x14ac:dyDescent="0.2">
      <c r="A878">
        <v>877</v>
      </c>
      <c r="B878" t="s">
        <v>7892</v>
      </c>
      <c r="C878" s="1">
        <v>42875</v>
      </c>
      <c r="D878" s="22">
        <f>MONTH(Table3[[#This Row],[Order Date]])</f>
        <v>5</v>
      </c>
      <c r="E878" t="s">
        <v>7893</v>
      </c>
      <c r="F878" t="s">
        <v>7894</v>
      </c>
      <c r="G878" s="23" t="s">
        <v>64</v>
      </c>
      <c r="H878" s="23" t="s">
        <v>602</v>
      </c>
      <c r="I878" t="s">
        <v>1878</v>
      </c>
      <c r="J878" t="s">
        <v>92</v>
      </c>
      <c r="K878" s="22">
        <v>1</v>
      </c>
      <c r="L878" s="1">
        <v>42879</v>
      </c>
      <c r="M878" s="22">
        <f>Table3[[#This Row],[Ship Date]]-Table3[[#This Row],[Order Date]]</f>
        <v>4</v>
      </c>
      <c r="N878" s="23" t="s">
        <v>45</v>
      </c>
      <c r="O878" s="23" t="s">
        <v>23</v>
      </c>
      <c r="P878" s="23" t="s">
        <v>38</v>
      </c>
      <c r="Q878" s="23" t="s">
        <v>39</v>
      </c>
      <c r="R878" s="23" t="s">
        <v>990</v>
      </c>
      <c r="S878" s="33">
        <v>0.2</v>
      </c>
      <c r="T878" s="13">
        <v>343.2</v>
      </c>
      <c r="U878" s="13">
        <v>38.61</v>
      </c>
      <c r="V878" s="55">
        <f>Table3[[#This Row],[Profit]]/Table3[[#This Row],[Sales]]</f>
        <v>0.1125</v>
      </c>
    </row>
    <row r="879" spans="1:22" x14ac:dyDescent="0.2">
      <c r="A879">
        <v>878</v>
      </c>
      <c r="B879" t="s">
        <v>8387</v>
      </c>
      <c r="C879" s="1">
        <v>42875</v>
      </c>
      <c r="D879" s="22">
        <f>MONTH(Table3[[#This Row],[Order Date]])</f>
        <v>5</v>
      </c>
      <c r="E879" t="s">
        <v>1187</v>
      </c>
      <c r="F879" t="s">
        <v>1188</v>
      </c>
      <c r="G879" s="23" t="s">
        <v>41</v>
      </c>
      <c r="H879" s="23" t="s">
        <v>68</v>
      </c>
      <c r="I879" t="s">
        <v>1172</v>
      </c>
      <c r="J879" t="s">
        <v>36</v>
      </c>
      <c r="K879" s="22">
        <v>2</v>
      </c>
      <c r="L879" s="1">
        <v>42875</v>
      </c>
      <c r="M879" s="22">
        <f>Table3[[#This Row],[Ship Date]]-Table3[[#This Row],[Order Date]]</f>
        <v>0</v>
      </c>
      <c r="N879" s="23" t="s">
        <v>1141</v>
      </c>
      <c r="O879" s="23" t="s">
        <v>23</v>
      </c>
      <c r="P879" s="23" t="s">
        <v>212</v>
      </c>
      <c r="Q879" s="23" t="s">
        <v>95</v>
      </c>
      <c r="R879" s="23" t="s">
        <v>2099</v>
      </c>
      <c r="S879" s="33">
        <v>0</v>
      </c>
      <c r="T879" s="13">
        <v>41.28</v>
      </c>
      <c r="U879" s="13">
        <v>19.814399999999999</v>
      </c>
      <c r="V879" s="55">
        <f>Table3[[#This Row],[Profit]]/Table3[[#This Row],[Sales]]</f>
        <v>0.48</v>
      </c>
    </row>
    <row r="880" spans="1:22" x14ac:dyDescent="0.2">
      <c r="A880">
        <v>879</v>
      </c>
      <c r="B880" t="s">
        <v>9668</v>
      </c>
      <c r="C880" s="1">
        <v>42875</v>
      </c>
      <c r="D880" s="22">
        <f>MONTH(Table3[[#This Row],[Order Date]])</f>
        <v>5</v>
      </c>
      <c r="E880" t="s">
        <v>5691</v>
      </c>
      <c r="F880" t="s">
        <v>5692</v>
      </c>
      <c r="G880" s="23" t="s">
        <v>41</v>
      </c>
      <c r="H880" s="23" t="s">
        <v>68</v>
      </c>
      <c r="I880" t="s">
        <v>3703</v>
      </c>
      <c r="J880" t="s">
        <v>22</v>
      </c>
      <c r="K880" s="22">
        <v>2</v>
      </c>
      <c r="L880" s="1">
        <v>42881</v>
      </c>
      <c r="M880" s="22">
        <f>Table3[[#This Row],[Ship Date]]-Table3[[#This Row],[Order Date]]</f>
        <v>6</v>
      </c>
      <c r="N880" s="23" t="s">
        <v>45</v>
      </c>
      <c r="O880" s="23" t="s">
        <v>23</v>
      </c>
      <c r="P880" s="23" t="s">
        <v>1229</v>
      </c>
      <c r="Q880" s="23" t="s">
        <v>39</v>
      </c>
      <c r="R880" s="23" t="s">
        <v>1228</v>
      </c>
      <c r="S880" s="33">
        <v>0.2</v>
      </c>
      <c r="T880" s="13">
        <v>8.2880000000000003</v>
      </c>
      <c r="U880" s="13">
        <v>3.0044</v>
      </c>
      <c r="V880" s="55">
        <f>Table3[[#This Row],[Profit]]/Table3[[#This Row],[Sales]]</f>
        <v>0.36249999999999999</v>
      </c>
    </row>
    <row r="881" spans="1:22" x14ac:dyDescent="0.2">
      <c r="A881">
        <v>880</v>
      </c>
      <c r="B881" t="s">
        <v>9668</v>
      </c>
      <c r="C881" s="1">
        <v>42875</v>
      </c>
      <c r="D881" s="22">
        <f>MONTH(Table3[[#This Row],[Order Date]])</f>
        <v>5</v>
      </c>
      <c r="E881" t="s">
        <v>8419</v>
      </c>
      <c r="F881" t="s">
        <v>8420</v>
      </c>
      <c r="G881" s="23" t="s">
        <v>64</v>
      </c>
      <c r="H881" s="23" t="s">
        <v>65</v>
      </c>
      <c r="I881" t="s">
        <v>3703</v>
      </c>
      <c r="J881" t="s">
        <v>22</v>
      </c>
      <c r="K881" s="22">
        <v>9</v>
      </c>
      <c r="L881" s="1">
        <v>42881</v>
      </c>
      <c r="M881" s="22">
        <f>Table3[[#This Row],[Ship Date]]-Table3[[#This Row],[Order Date]]</f>
        <v>6</v>
      </c>
      <c r="N881" s="23" t="s">
        <v>45</v>
      </c>
      <c r="O881" s="23" t="s">
        <v>23</v>
      </c>
      <c r="P881" s="23" t="s">
        <v>1229</v>
      </c>
      <c r="Q881" s="23" t="s">
        <v>39</v>
      </c>
      <c r="R881" s="23" t="s">
        <v>1228</v>
      </c>
      <c r="S881" s="33">
        <v>0.2</v>
      </c>
      <c r="T881" s="13">
        <v>1123.1279999999999</v>
      </c>
      <c r="U881" s="13">
        <v>70.195499999999996</v>
      </c>
      <c r="V881" s="55">
        <f>Table3[[#This Row],[Profit]]/Table3[[#This Row],[Sales]]</f>
        <v>6.25E-2</v>
      </c>
    </row>
    <row r="882" spans="1:22" x14ac:dyDescent="0.2">
      <c r="A882">
        <v>881</v>
      </c>
      <c r="B882" t="s">
        <v>9668</v>
      </c>
      <c r="C882" s="1">
        <v>42875</v>
      </c>
      <c r="D882" s="22">
        <f>MONTH(Table3[[#This Row],[Order Date]])</f>
        <v>5</v>
      </c>
      <c r="E882" t="s">
        <v>388</v>
      </c>
      <c r="F882" t="s">
        <v>389</v>
      </c>
      <c r="G882" s="23" t="s">
        <v>41</v>
      </c>
      <c r="H882" s="23" t="s">
        <v>71</v>
      </c>
      <c r="I882" t="s">
        <v>3703</v>
      </c>
      <c r="J882" t="s">
        <v>22</v>
      </c>
      <c r="K882" s="22">
        <v>5</v>
      </c>
      <c r="L882" s="1">
        <v>42881</v>
      </c>
      <c r="M882" s="22">
        <f>Table3[[#This Row],[Ship Date]]-Table3[[#This Row],[Order Date]]</f>
        <v>6</v>
      </c>
      <c r="N882" s="23" t="s">
        <v>45</v>
      </c>
      <c r="O882" s="23" t="s">
        <v>23</v>
      </c>
      <c r="P882" s="23" t="s">
        <v>1229</v>
      </c>
      <c r="Q882" s="23" t="s">
        <v>39</v>
      </c>
      <c r="R882" s="23" t="s">
        <v>1228</v>
      </c>
      <c r="S882" s="33">
        <v>0</v>
      </c>
      <c r="T882" s="13">
        <v>64.900000000000006</v>
      </c>
      <c r="U882" s="13">
        <v>18.821000000000002</v>
      </c>
      <c r="V882" s="55">
        <f>Table3[[#This Row],[Profit]]/Table3[[#This Row],[Sales]]</f>
        <v>0.28999999999999998</v>
      </c>
    </row>
    <row r="883" spans="1:22" x14ac:dyDescent="0.2">
      <c r="A883">
        <v>882</v>
      </c>
      <c r="B883" t="s">
        <v>2610</v>
      </c>
      <c r="C883" s="1">
        <v>42876</v>
      </c>
      <c r="D883" s="22">
        <f>MONTH(Table3[[#This Row],[Order Date]])</f>
        <v>5</v>
      </c>
      <c r="E883" t="s">
        <v>1971</v>
      </c>
      <c r="F883" t="s">
        <v>1972</v>
      </c>
      <c r="G883" s="23" t="s">
        <v>28</v>
      </c>
      <c r="H883" s="23" t="s">
        <v>58</v>
      </c>
      <c r="I883" t="s">
        <v>1461</v>
      </c>
      <c r="J883" t="s">
        <v>36</v>
      </c>
      <c r="K883" s="22">
        <v>5</v>
      </c>
      <c r="L883" s="1">
        <v>42881</v>
      </c>
      <c r="M883" s="22">
        <f>Table3[[#This Row],[Ship Date]]-Table3[[#This Row],[Order Date]]</f>
        <v>5</v>
      </c>
      <c r="N883" s="23" t="s">
        <v>45</v>
      </c>
      <c r="O883" s="23" t="s">
        <v>23</v>
      </c>
      <c r="P883" s="23" t="s">
        <v>238</v>
      </c>
      <c r="Q883" s="23" t="s">
        <v>133</v>
      </c>
      <c r="R883" s="23" t="s">
        <v>1380</v>
      </c>
      <c r="S883" s="33">
        <v>0</v>
      </c>
      <c r="T883" s="13">
        <v>520.04999999999995</v>
      </c>
      <c r="U883" s="13">
        <v>72.807000000000002</v>
      </c>
      <c r="V883" s="55">
        <f>Table3[[#This Row],[Profit]]/Table3[[#This Row],[Sales]]</f>
        <v>0.14000000000000001</v>
      </c>
    </row>
    <row r="884" spans="1:22" x14ac:dyDescent="0.2">
      <c r="A884">
        <v>883</v>
      </c>
      <c r="B884" t="s">
        <v>2610</v>
      </c>
      <c r="C884" s="1">
        <v>42876</v>
      </c>
      <c r="D884" s="22">
        <f>MONTH(Table3[[#This Row],[Order Date]])</f>
        <v>5</v>
      </c>
      <c r="E884" t="s">
        <v>2611</v>
      </c>
      <c r="F884" t="s">
        <v>2612</v>
      </c>
      <c r="G884" s="23" t="s">
        <v>41</v>
      </c>
      <c r="H884" s="23" t="s">
        <v>61</v>
      </c>
      <c r="I884" t="s">
        <v>1461</v>
      </c>
      <c r="J884" t="s">
        <v>36</v>
      </c>
      <c r="K884" s="22">
        <v>3</v>
      </c>
      <c r="L884" s="1">
        <v>42881</v>
      </c>
      <c r="M884" s="22">
        <f>Table3[[#This Row],[Ship Date]]-Table3[[#This Row],[Order Date]]</f>
        <v>5</v>
      </c>
      <c r="N884" s="23" t="s">
        <v>45</v>
      </c>
      <c r="O884" s="23" t="s">
        <v>23</v>
      </c>
      <c r="P884" s="23" t="s">
        <v>238</v>
      </c>
      <c r="Q884" s="23" t="s">
        <v>133</v>
      </c>
      <c r="R884" s="23" t="s">
        <v>1380</v>
      </c>
      <c r="S884" s="33">
        <v>0</v>
      </c>
      <c r="T884" s="13">
        <v>17.97</v>
      </c>
      <c r="U884" s="13">
        <v>5.2112999999999996</v>
      </c>
      <c r="V884" s="55">
        <f>Table3[[#This Row],[Profit]]/Table3[[#This Row],[Sales]]</f>
        <v>0.28999999999999998</v>
      </c>
    </row>
    <row r="885" spans="1:22" x14ac:dyDescent="0.2">
      <c r="A885">
        <v>884</v>
      </c>
      <c r="B885" t="s">
        <v>7553</v>
      </c>
      <c r="C885" s="1">
        <v>42877</v>
      </c>
      <c r="D885" s="22">
        <f>MONTH(Table3[[#This Row],[Order Date]])</f>
        <v>5</v>
      </c>
      <c r="E885" t="s">
        <v>300</v>
      </c>
      <c r="F885" t="s">
        <v>301</v>
      </c>
      <c r="G885" s="23" t="s">
        <v>28</v>
      </c>
      <c r="H885" s="23" t="s">
        <v>32</v>
      </c>
      <c r="I885" t="s">
        <v>726</v>
      </c>
      <c r="J885" t="s">
        <v>22</v>
      </c>
      <c r="K885" s="22">
        <v>2</v>
      </c>
      <c r="L885" s="1">
        <v>42881</v>
      </c>
      <c r="M885" s="22">
        <f>Table3[[#This Row],[Ship Date]]-Table3[[#This Row],[Order Date]]</f>
        <v>4</v>
      </c>
      <c r="N885" s="23" t="s">
        <v>45</v>
      </c>
      <c r="O885" s="23" t="s">
        <v>23</v>
      </c>
      <c r="P885" s="23" t="s">
        <v>189</v>
      </c>
      <c r="Q885" s="23" t="s">
        <v>95</v>
      </c>
      <c r="R885" s="23" t="s">
        <v>271</v>
      </c>
      <c r="S885" s="33">
        <v>0.3</v>
      </c>
      <c r="T885" s="13">
        <v>181.98599999999999</v>
      </c>
      <c r="U885" s="13">
        <v>-54.595799999999997</v>
      </c>
      <c r="V885" s="55">
        <f>Table3[[#This Row],[Profit]]/Table3[[#This Row],[Sales]]</f>
        <v>-0.3</v>
      </c>
    </row>
    <row r="886" spans="1:22" x14ac:dyDescent="0.2">
      <c r="A886">
        <v>885</v>
      </c>
      <c r="B886" t="s">
        <v>7553</v>
      </c>
      <c r="C886" s="1">
        <v>42877</v>
      </c>
      <c r="D886" s="22">
        <f>MONTH(Table3[[#This Row],[Order Date]])</f>
        <v>5</v>
      </c>
      <c r="E886" t="s">
        <v>482</v>
      </c>
      <c r="F886" t="s">
        <v>483</v>
      </c>
      <c r="G886" s="23" t="s">
        <v>41</v>
      </c>
      <c r="H886" s="23" t="s">
        <v>68</v>
      </c>
      <c r="I886" t="s">
        <v>726</v>
      </c>
      <c r="J886" t="s">
        <v>22</v>
      </c>
      <c r="K886" s="22">
        <v>2</v>
      </c>
      <c r="L886" s="1">
        <v>42881</v>
      </c>
      <c r="M886" s="22">
        <f>Table3[[#This Row],[Ship Date]]-Table3[[#This Row],[Order Date]]</f>
        <v>4</v>
      </c>
      <c r="N886" s="23" t="s">
        <v>45</v>
      </c>
      <c r="O886" s="23" t="s">
        <v>23</v>
      </c>
      <c r="P886" s="23" t="s">
        <v>189</v>
      </c>
      <c r="Q886" s="23" t="s">
        <v>95</v>
      </c>
      <c r="R886" s="23" t="s">
        <v>271</v>
      </c>
      <c r="S886" s="33">
        <v>0.8</v>
      </c>
      <c r="T886" s="13">
        <v>1.5920000000000001</v>
      </c>
      <c r="U886" s="13">
        <v>-2.6267999999999998</v>
      </c>
      <c r="V886" s="55">
        <f>Table3[[#This Row],[Profit]]/Table3[[#This Row],[Sales]]</f>
        <v>-1.6499999999999997</v>
      </c>
    </row>
    <row r="887" spans="1:22" x14ac:dyDescent="0.2">
      <c r="A887">
        <v>886</v>
      </c>
      <c r="B887" t="s">
        <v>7553</v>
      </c>
      <c r="C887" s="1">
        <v>42877</v>
      </c>
      <c r="D887" s="22">
        <f>MONTH(Table3[[#This Row],[Order Date]])</f>
        <v>5</v>
      </c>
      <c r="E887" t="s">
        <v>2266</v>
      </c>
      <c r="F887" t="s">
        <v>2267</v>
      </c>
      <c r="G887" s="23" t="s">
        <v>41</v>
      </c>
      <c r="H887" s="23" t="s">
        <v>513</v>
      </c>
      <c r="I887" t="s">
        <v>726</v>
      </c>
      <c r="J887" t="s">
        <v>22</v>
      </c>
      <c r="K887" s="22">
        <v>3</v>
      </c>
      <c r="L887" s="1">
        <v>42881</v>
      </c>
      <c r="M887" s="22">
        <f>Table3[[#This Row],[Ship Date]]-Table3[[#This Row],[Order Date]]</f>
        <v>4</v>
      </c>
      <c r="N887" s="23" t="s">
        <v>45</v>
      </c>
      <c r="O887" s="23" t="s">
        <v>23</v>
      </c>
      <c r="P887" s="23" t="s">
        <v>189</v>
      </c>
      <c r="Q887" s="23" t="s">
        <v>95</v>
      </c>
      <c r="R887" s="23" t="s">
        <v>271</v>
      </c>
      <c r="S887" s="33">
        <v>0.2</v>
      </c>
      <c r="T887" s="13">
        <v>22.344000000000001</v>
      </c>
      <c r="U887" s="13">
        <v>2.5137</v>
      </c>
      <c r="V887" s="55">
        <f>Table3[[#This Row],[Profit]]/Table3[[#This Row],[Sales]]</f>
        <v>0.1125</v>
      </c>
    </row>
    <row r="888" spans="1:22" x14ac:dyDescent="0.2">
      <c r="A888">
        <v>887</v>
      </c>
      <c r="B888" t="s">
        <v>8141</v>
      </c>
      <c r="C888" s="1">
        <v>42877</v>
      </c>
      <c r="D888" s="22">
        <f>MONTH(Table3[[#This Row],[Order Date]])</f>
        <v>5</v>
      </c>
      <c r="E888" t="s">
        <v>6317</v>
      </c>
      <c r="F888" t="s">
        <v>6318</v>
      </c>
      <c r="G888" s="23" t="s">
        <v>64</v>
      </c>
      <c r="H888" s="23" t="s">
        <v>144</v>
      </c>
      <c r="I888" t="s">
        <v>140</v>
      </c>
      <c r="J888" t="s">
        <v>22</v>
      </c>
      <c r="K888" s="22">
        <v>7</v>
      </c>
      <c r="L888" s="1">
        <v>42880</v>
      </c>
      <c r="M888" s="22">
        <f>Table3[[#This Row],[Ship Date]]-Table3[[#This Row],[Order Date]]</f>
        <v>3</v>
      </c>
      <c r="N888" s="23" t="s">
        <v>20</v>
      </c>
      <c r="O888" s="23" t="s">
        <v>23</v>
      </c>
      <c r="P888" s="23" t="s">
        <v>38</v>
      </c>
      <c r="Q888" s="23" t="s">
        <v>39</v>
      </c>
      <c r="R888" s="23" t="s">
        <v>37</v>
      </c>
      <c r="S888" s="33">
        <v>0</v>
      </c>
      <c r="T888" s="13">
        <v>68.459999999999994</v>
      </c>
      <c r="U888" s="13">
        <v>25.330200000000001</v>
      </c>
      <c r="V888" s="55">
        <f>Table3[[#This Row],[Profit]]/Table3[[#This Row],[Sales]]</f>
        <v>0.37000000000000005</v>
      </c>
    </row>
    <row r="889" spans="1:22" x14ac:dyDescent="0.2">
      <c r="A889">
        <v>888</v>
      </c>
      <c r="B889" t="s">
        <v>8592</v>
      </c>
      <c r="C889" s="1">
        <v>42877</v>
      </c>
      <c r="D889" s="22">
        <f>MONTH(Table3[[#This Row],[Order Date]])</f>
        <v>5</v>
      </c>
      <c r="E889" t="s">
        <v>6735</v>
      </c>
      <c r="F889" t="s">
        <v>6736</v>
      </c>
      <c r="G889" s="23" t="s">
        <v>41</v>
      </c>
      <c r="H889" s="23" t="s">
        <v>61</v>
      </c>
      <c r="I889" t="s">
        <v>1607</v>
      </c>
      <c r="J889" t="s">
        <v>22</v>
      </c>
      <c r="K889" s="22">
        <v>7</v>
      </c>
      <c r="L889" s="1">
        <v>42880</v>
      </c>
      <c r="M889" s="22">
        <f>Table3[[#This Row],[Ship Date]]-Table3[[#This Row],[Order Date]]</f>
        <v>3</v>
      </c>
      <c r="N889" s="23" t="s">
        <v>169</v>
      </c>
      <c r="O889" s="23" t="s">
        <v>23</v>
      </c>
      <c r="P889" s="23" t="s">
        <v>38</v>
      </c>
      <c r="Q889" s="23" t="s">
        <v>39</v>
      </c>
      <c r="R889" s="23" t="s">
        <v>37</v>
      </c>
      <c r="S889" s="33">
        <v>0</v>
      </c>
      <c r="T889" s="13">
        <v>49.56</v>
      </c>
      <c r="U889" s="13">
        <v>18.832799999999999</v>
      </c>
      <c r="V889" s="55">
        <f>Table3[[#This Row],[Profit]]/Table3[[#This Row],[Sales]]</f>
        <v>0.37999999999999995</v>
      </c>
    </row>
    <row r="890" spans="1:22" x14ac:dyDescent="0.2">
      <c r="A890">
        <v>889</v>
      </c>
      <c r="B890" t="s">
        <v>9722</v>
      </c>
      <c r="C890" s="1">
        <v>42877</v>
      </c>
      <c r="D890" s="22">
        <f>MONTH(Table3[[#This Row],[Order Date]])</f>
        <v>5</v>
      </c>
      <c r="E890" t="s">
        <v>986</v>
      </c>
      <c r="F890" t="s">
        <v>987</v>
      </c>
      <c r="G890" s="23" t="s">
        <v>41</v>
      </c>
      <c r="H890" s="23" t="s">
        <v>61</v>
      </c>
      <c r="I890" t="s">
        <v>5376</v>
      </c>
      <c r="J890" t="s">
        <v>92</v>
      </c>
      <c r="K890" s="22">
        <v>3</v>
      </c>
      <c r="L890" s="1">
        <v>42881</v>
      </c>
      <c r="M890" s="22">
        <f>Table3[[#This Row],[Ship Date]]-Table3[[#This Row],[Order Date]]</f>
        <v>4</v>
      </c>
      <c r="N890" s="23" t="s">
        <v>45</v>
      </c>
      <c r="O890" s="23" t="s">
        <v>23</v>
      </c>
      <c r="P890" s="23" t="s">
        <v>38</v>
      </c>
      <c r="Q890" s="23" t="s">
        <v>39</v>
      </c>
      <c r="R890" s="23" t="s">
        <v>114</v>
      </c>
      <c r="S890" s="33">
        <v>0</v>
      </c>
      <c r="T890" s="13">
        <v>9.84</v>
      </c>
      <c r="U890" s="13">
        <v>2.8536000000000001</v>
      </c>
      <c r="V890" s="55">
        <f>Table3[[#This Row],[Profit]]/Table3[[#This Row],[Sales]]</f>
        <v>0.29000000000000004</v>
      </c>
    </row>
    <row r="891" spans="1:22" x14ac:dyDescent="0.2">
      <c r="A891">
        <v>890</v>
      </c>
      <c r="B891" t="s">
        <v>9722</v>
      </c>
      <c r="C891" s="1">
        <v>42877</v>
      </c>
      <c r="D891" s="22">
        <f>MONTH(Table3[[#This Row],[Order Date]])</f>
        <v>5</v>
      </c>
      <c r="E891" t="s">
        <v>1134</v>
      </c>
      <c r="F891" t="s">
        <v>1135</v>
      </c>
      <c r="G891" s="23" t="s">
        <v>41</v>
      </c>
      <c r="H891" s="23" t="s">
        <v>61</v>
      </c>
      <c r="I891" t="s">
        <v>5376</v>
      </c>
      <c r="J891" t="s">
        <v>92</v>
      </c>
      <c r="K891" s="22">
        <v>1</v>
      </c>
      <c r="L891" s="1">
        <v>42881</v>
      </c>
      <c r="M891" s="22">
        <f>Table3[[#This Row],[Ship Date]]-Table3[[#This Row],[Order Date]]</f>
        <v>4</v>
      </c>
      <c r="N891" s="23" t="s">
        <v>45</v>
      </c>
      <c r="O891" s="23" t="s">
        <v>23</v>
      </c>
      <c r="P891" s="23" t="s">
        <v>38</v>
      </c>
      <c r="Q891" s="23" t="s">
        <v>39</v>
      </c>
      <c r="R891" s="23" t="s">
        <v>114</v>
      </c>
      <c r="S891" s="33">
        <v>0</v>
      </c>
      <c r="T891" s="13">
        <v>2.78</v>
      </c>
      <c r="U891" s="13">
        <v>0.7228</v>
      </c>
      <c r="V891" s="55">
        <f>Table3[[#This Row],[Profit]]/Table3[[#This Row],[Sales]]</f>
        <v>0.26</v>
      </c>
    </row>
    <row r="892" spans="1:22" x14ac:dyDescent="0.2">
      <c r="A892">
        <v>891</v>
      </c>
      <c r="B892" t="s">
        <v>6809</v>
      </c>
      <c r="C892" s="1">
        <v>42878</v>
      </c>
      <c r="D892" s="22">
        <f>MONTH(Table3[[#This Row],[Order Date]])</f>
        <v>5</v>
      </c>
      <c r="E892" t="s">
        <v>2469</v>
      </c>
      <c r="F892" t="s">
        <v>2470</v>
      </c>
      <c r="G892" s="23" t="s">
        <v>28</v>
      </c>
      <c r="H892" s="23" t="s">
        <v>50</v>
      </c>
      <c r="I892" t="s">
        <v>6810</v>
      </c>
      <c r="J892" t="s">
        <v>22</v>
      </c>
      <c r="K892" s="22">
        <v>3</v>
      </c>
      <c r="L892" s="1">
        <v>42884</v>
      </c>
      <c r="M892" s="22">
        <f>Table3[[#This Row],[Ship Date]]-Table3[[#This Row],[Order Date]]</f>
        <v>6</v>
      </c>
      <c r="N892" s="23" t="s">
        <v>45</v>
      </c>
      <c r="O892" s="23" t="s">
        <v>23</v>
      </c>
      <c r="P892" s="23" t="s">
        <v>38</v>
      </c>
      <c r="Q892" s="23" t="s">
        <v>39</v>
      </c>
      <c r="R892" s="23" t="s">
        <v>37</v>
      </c>
      <c r="S892" s="33">
        <v>0.2</v>
      </c>
      <c r="T892" s="13">
        <v>171.28800000000001</v>
      </c>
      <c r="U892" s="13">
        <v>-6.4233000000000002</v>
      </c>
      <c r="V892" s="55">
        <f>Table3[[#This Row],[Profit]]/Table3[[#This Row],[Sales]]</f>
        <v>-3.7499999999999999E-2</v>
      </c>
    </row>
    <row r="893" spans="1:22" x14ac:dyDescent="0.2">
      <c r="A893">
        <v>892</v>
      </c>
      <c r="B893" t="s">
        <v>7085</v>
      </c>
      <c r="C893" s="1">
        <v>42878</v>
      </c>
      <c r="D893" s="22">
        <f>MONTH(Table3[[#This Row],[Order Date]])</f>
        <v>5</v>
      </c>
      <c r="E893" t="s">
        <v>7086</v>
      </c>
      <c r="F893" t="s">
        <v>7087</v>
      </c>
      <c r="G893" s="23" t="s">
        <v>41</v>
      </c>
      <c r="H893" s="23" t="s">
        <v>240</v>
      </c>
      <c r="I893" t="s">
        <v>808</v>
      </c>
      <c r="J893" t="s">
        <v>22</v>
      </c>
      <c r="K893" s="22">
        <v>2</v>
      </c>
      <c r="L893" s="1">
        <v>42882</v>
      </c>
      <c r="M893" s="22">
        <f>Table3[[#This Row],[Ship Date]]-Table3[[#This Row],[Order Date]]</f>
        <v>4</v>
      </c>
      <c r="N893" s="23" t="s">
        <v>45</v>
      </c>
      <c r="O893" s="23" t="s">
        <v>23</v>
      </c>
      <c r="P893" s="23" t="s">
        <v>94</v>
      </c>
      <c r="Q893" s="23" t="s">
        <v>95</v>
      </c>
      <c r="R893" s="23" t="s">
        <v>165</v>
      </c>
      <c r="S893" s="33">
        <v>0.2</v>
      </c>
      <c r="T893" s="13">
        <v>1.8240000000000001</v>
      </c>
      <c r="U893" s="13">
        <v>0.61560000000000004</v>
      </c>
      <c r="V893" s="55">
        <f>Table3[[#This Row],[Profit]]/Table3[[#This Row],[Sales]]</f>
        <v>0.33750000000000002</v>
      </c>
    </row>
    <row r="894" spans="1:22" x14ac:dyDescent="0.2">
      <c r="A894">
        <v>893</v>
      </c>
      <c r="B894" t="s">
        <v>7085</v>
      </c>
      <c r="C894" s="1">
        <v>42878</v>
      </c>
      <c r="D894" s="22">
        <f>MONTH(Table3[[#This Row],[Order Date]])</f>
        <v>5</v>
      </c>
      <c r="E894" t="s">
        <v>6021</v>
      </c>
      <c r="F894" t="s">
        <v>6022</v>
      </c>
      <c r="G894" s="23" t="s">
        <v>41</v>
      </c>
      <c r="H894" s="23" t="s">
        <v>71</v>
      </c>
      <c r="I894" t="s">
        <v>808</v>
      </c>
      <c r="J894" t="s">
        <v>22</v>
      </c>
      <c r="K894" s="22">
        <v>5</v>
      </c>
      <c r="L894" s="1">
        <v>42882</v>
      </c>
      <c r="M894" s="22">
        <f>Table3[[#This Row],[Ship Date]]-Table3[[#This Row],[Order Date]]</f>
        <v>4</v>
      </c>
      <c r="N894" s="23" t="s">
        <v>45</v>
      </c>
      <c r="O894" s="23" t="s">
        <v>23</v>
      </c>
      <c r="P894" s="23" t="s">
        <v>94</v>
      </c>
      <c r="Q894" s="23" t="s">
        <v>95</v>
      </c>
      <c r="R894" s="23" t="s">
        <v>165</v>
      </c>
      <c r="S894" s="33">
        <v>0.8</v>
      </c>
      <c r="T894" s="13">
        <v>18.32</v>
      </c>
      <c r="U894" s="13">
        <v>-46.716000000000001</v>
      </c>
      <c r="V894" s="55">
        <f>Table3[[#This Row],[Profit]]/Table3[[#This Row],[Sales]]</f>
        <v>-2.5499999999999998</v>
      </c>
    </row>
    <row r="895" spans="1:22" x14ac:dyDescent="0.2">
      <c r="A895">
        <v>894</v>
      </c>
      <c r="B895" t="s">
        <v>7085</v>
      </c>
      <c r="C895" s="1">
        <v>42878</v>
      </c>
      <c r="D895" s="22">
        <f>MONTH(Table3[[#This Row],[Order Date]])</f>
        <v>5</v>
      </c>
      <c r="E895" t="s">
        <v>5758</v>
      </c>
      <c r="F895" t="s">
        <v>5759</v>
      </c>
      <c r="G895" s="23" t="s">
        <v>41</v>
      </c>
      <c r="H895" s="23" t="s">
        <v>53</v>
      </c>
      <c r="I895" t="s">
        <v>808</v>
      </c>
      <c r="J895" t="s">
        <v>22</v>
      </c>
      <c r="K895" s="22">
        <v>3</v>
      </c>
      <c r="L895" s="1">
        <v>42882</v>
      </c>
      <c r="M895" s="22">
        <f>Table3[[#This Row],[Ship Date]]-Table3[[#This Row],[Order Date]]</f>
        <v>4</v>
      </c>
      <c r="N895" s="23" t="s">
        <v>45</v>
      </c>
      <c r="O895" s="23" t="s">
        <v>23</v>
      </c>
      <c r="P895" s="23" t="s">
        <v>94</v>
      </c>
      <c r="Q895" s="23" t="s">
        <v>95</v>
      </c>
      <c r="R895" s="23" t="s">
        <v>165</v>
      </c>
      <c r="S895" s="33">
        <v>0.2</v>
      </c>
      <c r="T895" s="13">
        <v>48.816000000000003</v>
      </c>
      <c r="U895" s="13">
        <v>-11.5938</v>
      </c>
      <c r="V895" s="55">
        <f>Table3[[#This Row],[Profit]]/Table3[[#This Row],[Sales]]</f>
        <v>-0.23749999999999999</v>
      </c>
    </row>
    <row r="896" spans="1:22" x14ac:dyDescent="0.2">
      <c r="A896">
        <v>895</v>
      </c>
      <c r="B896" t="s">
        <v>7085</v>
      </c>
      <c r="C896" s="1">
        <v>42878</v>
      </c>
      <c r="D896" s="22">
        <f>MONTH(Table3[[#This Row],[Order Date]])</f>
        <v>5</v>
      </c>
      <c r="E896" t="s">
        <v>1072</v>
      </c>
      <c r="F896" t="s">
        <v>1073</v>
      </c>
      <c r="G896" s="23" t="s">
        <v>41</v>
      </c>
      <c r="H896" s="23" t="s">
        <v>68</v>
      </c>
      <c r="I896" t="s">
        <v>808</v>
      </c>
      <c r="J896" t="s">
        <v>22</v>
      </c>
      <c r="K896" s="22">
        <v>1</v>
      </c>
      <c r="L896" s="1">
        <v>42882</v>
      </c>
      <c r="M896" s="22">
        <f>Table3[[#This Row],[Ship Date]]-Table3[[#This Row],[Order Date]]</f>
        <v>4</v>
      </c>
      <c r="N896" s="23" t="s">
        <v>45</v>
      </c>
      <c r="O896" s="23" t="s">
        <v>23</v>
      </c>
      <c r="P896" s="23" t="s">
        <v>94</v>
      </c>
      <c r="Q896" s="23" t="s">
        <v>95</v>
      </c>
      <c r="R896" s="23" t="s">
        <v>165</v>
      </c>
      <c r="S896" s="33">
        <v>0.8</v>
      </c>
      <c r="T896" s="13">
        <v>1.1879999999999999</v>
      </c>
      <c r="U896" s="13">
        <v>-1.9601999999999999</v>
      </c>
      <c r="V896" s="55">
        <f>Table3[[#This Row],[Profit]]/Table3[[#This Row],[Sales]]</f>
        <v>-1.6500000000000001</v>
      </c>
    </row>
    <row r="897" spans="1:22" x14ac:dyDescent="0.2">
      <c r="A897">
        <v>896</v>
      </c>
      <c r="B897" t="s">
        <v>8244</v>
      </c>
      <c r="C897" s="1">
        <v>42880</v>
      </c>
      <c r="D897" s="22">
        <f>MONTH(Table3[[#This Row],[Order Date]])</f>
        <v>5</v>
      </c>
      <c r="E897" t="s">
        <v>1805</v>
      </c>
      <c r="F897" t="s">
        <v>1806</v>
      </c>
      <c r="G897" s="23" t="s">
        <v>41</v>
      </c>
      <c r="H897" s="23" t="s">
        <v>68</v>
      </c>
      <c r="I897" t="s">
        <v>3095</v>
      </c>
      <c r="J897" t="s">
        <v>92</v>
      </c>
      <c r="K897" s="22">
        <v>2</v>
      </c>
      <c r="L897" s="1">
        <v>42884</v>
      </c>
      <c r="M897" s="22">
        <f>Table3[[#This Row],[Ship Date]]-Table3[[#This Row],[Order Date]]</f>
        <v>4</v>
      </c>
      <c r="N897" s="23" t="s">
        <v>45</v>
      </c>
      <c r="O897" s="23" t="s">
        <v>23</v>
      </c>
      <c r="P897" s="23" t="s">
        <v>1125</v>
      </c>
      <c r="Q897" s="23" t="s">
        <v>26</v>
      </c>
      <c r="R897" s="23" t="s">
        <v>440</v>
      </c>
      <c r="S897" s="33">
        <v>0</v>
      </c>
      <c r="T897" s="13">
        <v>29.84</v>
      </c>
      <c r="U897" s="13">
        <v>13.428000000000001</v>
      </c>
      <c r="V897" s="55">
        <f>Table3[[#This Row],[Profit]]/Table3[[#This Row],[Sales]]</f>
        <v>0.45</v>
      </c>
    </row>
    <row r="898" spans="1:22" x14ac:dyDescent="0.2">
      <c r="A898">
        <v>897</v>
      </c>
      <c r="B898" t="s">
        <v>9004</v>
      </c>
      <c r="C898" s="1">
        <v>42880</v>
      </c>
      <c r="D898" s="22">
        <f>MONTH(Table3[[#This Row],[Order Date]])</f>
        <v>5</v>
      </c>
      <c r="E898" t="s">
        <v>3071</v>
      </c>
      <c r="F898" t="s">
        <v>3072</v>
      </c>
      <c r="G898" s="23" t="s">
        <v>41</v>
      </c>
      <c r="H898" s="23" t="s">
        <v>68</v>
      </c>
      <c r="I898" t="s">
        <v>4488</v>
      </c>
      <c r="J898" t="s">
        <v>22</v>
      </c>
      <c r="K898" s="22">
        <v>5</v>
      </c>
      <c r="L898" s="1">
        <v>42880</v>
      </c>
      <c r="M898" s="22">
        <f>Table3[[#This Row],[Ship Date]]-Table3[[#This Row],[Order Date]]</f>
        <v>0</v>
      </c>
      <c r="N898" s="23" t="s">
        <v>1141</v>
      </c>
      <c r="O898" s="23" t="s">
        <v>23</v>
      </c>
      <c r="P898" s="23" t="s">
        <v>238</v>
      </c>
      <c r="Q898" s="23" t="s">
        <v>133</v>
      </c>
      <c r="R898" s="23" t="s">
        <v>237</v>
      </c>
      <c r="S898" s="33">
        <v>0.2</v>
      </c>
      <c r="T898" s="13">
        <v>663.92</v>
      </c>
      <c r="U898" s="13">
        <v>207.47499999999999</v>
      </c>
      <c r="V898" s="55">
        <f>Table3[[#This Row],[Profit]]/Table3[[#This Row],[Sales]]</f>
        <v>0.3125</v>
      </c>
    </row>
    <row r="899" spans="1:22" x14ac:dyDescent="0.2">
      <c r="A899">
        <v>898</v>
      </c>
      <c r="B899" t="s">
        <v>9004</v>
      </c>
      <c r="C899" s="1">
        <v>42880</v>
      </c>
      <c r="D899" s="22">
        <f>MONTH(Table3[[#This Row],[Order Date]])</f>
        <v>5</v>
      </c>
      <c r="E899" t="s">
        <v>219</v>
      </c>
      <c r="F899" t="s">
        <v>220</v>
      </c>
      <c r="G899" s="23" t="s">
        <v>64</v>
      </c>
      <c r="H899" s="23" t="s">
        <v>144</v>
      </c>
      <c r="I899" t="s">
        <v>4488</v>
      </c>
      <c r="J899" t="s">
        <v>22</v>
      </c>
      <c r="K899" s="22">
        <v>8</v>
      </c>
      <c r="L899" s="1">
        <v>42880</v>
      </c>
      <c r="M899" s="22">
        <f>Table3[[#This Row],[Ship Date]]-Table3[[#This Row],[Order Date]]</f>
        <v>0</v>
      </c>
      <c r="N899" s="23" t="s">
        <v>1141</v>
      </c>
      <c r="O899" s="23" t="s">
        <v>23</v>
      </c>
      <c r="P899" s="23" t="s">
        <v>238</v>
      </c>
      <c r="Q899" s="23" t="s">
        <v>133</v>
      </c>
      <c r="R899" s="23" t="s">
        <v>237</v>
      </c>
      <c r="S899" s="33">
        <v>0</v>
      </c>
      <c r="T899" s="13">
        <v>120</v>
      </c>
      <c r="U899" s="13">
        <v>13.2</v>
      </c>
      <c r="V899" s="55">
        <f>Table3[[#This Row],[Profit]]/Table3[[#This Row],[Sales]]</f>
        <v>0.11</v>
      </c>
    </row>
    <row r="900" spans="1:22" x14ac:dyDescent="0.2">
      <c r="A900">
        <v>899</v>
      </c>
      <c r="B900" t="s">
        <v>9004</v>
      </c>
      <c r="C900" s="1">
        <v>42880</v>
      </c>
      <c r="D900" s="22">
        <f>MONTH(Table3[[#This Row],[Order Date]])</f>
        <v>5</v>
      </c>
      <c r="E900" t="s">
        <v>4801</v>
      </c>
      <c r="F900" t="s">
        <v>4802</v>
      </c>
      <c r="G900" s="23" t="s">
        <v>41</v>
      </c>
      <c r="H900" s="23" t="s">
        <v>240</v>
      </c>
      <c r="I900" t="s">
        <v>4488</v>
      </c>
      <c r="J900" t="s">
        <v>22</v>
      </c>
      <c r="K900" s="22">
        <v>1</v>
      </c>
      <c r="L900" s="1">
        <v>42880</v>
      </c>
      <c r="M900" s="22">
        <f>Table3[[#This Row],[Ship Date]]-Table3[[#This Row],[Order Date]]</f>
        <v>0</v>
      </c>
      <c r="N900" s="23" t="s">
        <v>1141</v>
      </c>
      <c r="O900" s="23" t="s">
        <v>23</v>
      </c>
      <c r="P900" s="23" t="s">
        <v>238</v>
      </c>
      <c r="Q900" s="23" t="s">
        <v>133</v>
      </c>
      <c r="R900" s="23" t="s">
        <v>237</v>
      </c>
      <c r="S900" s="33">
        <v>0</v>
      </c>
      <c r="T900" s="13">
        <v>3.29</v>
      </c>
      <c r="U900" s="13">
        <v>1.4804999999999999</v>
      </c>
      <c r="V900" s="55">
        <f>Table3[[#This Row],[Profit]]/Table3[[#This Row],[Sales]]</f>
        <v>0.44999999999999996</v>
      </c>
    </row>
    <row r="901" spans="1:22" x14ac:dyDescent="0.2">
      <c r="A901">
        <v>900</v>
      </c>
      <c r="B901" t="s">
        <v>9004</v>
      </c>
      <c r="C901" s="1">
        <v>42880</v>
      </c>
      <c r="D901" s="22">
        <f>MONTH(Table3[[#This Row],[Order Date]])</f>
        <v>5</v>
      </c>
      <c r="E901" t="s">
        <v>1861</v>
      </c>
      <c r="F901" t="s">
        <v>1862</v>
      </c>
      <c r="G901" s="23" t="s">
        <v>28</v>
      </c>
      <c r="H901" s="23" t="s">
        <v>58</v>
      </c>
      <c r="I901" t="s">
        <v>4488</v>
      </c>
      <c r="J901" t="s">
        <v>22</v>
      </c>
      <c r="K901" s="22">
        <v>3</v>
      </c>
      <c r="L901" s="1">
        <v>42880</v>
      </c>
      <c r="M901" s="22">
        <f>Table3[[#This Row],[Ship Date]]-Table3[[#This Row],[Order Date]]</f>
        <v>0</v>
      </c>
      <c r="N901" s="23" t="s">
        <v>1141</v>
      </c>
      <c r="O901" s="23" t="s">
        <v>23</v>
      </c>
      <c r="P901" s="23" t="s">
        <v>238</v>
      </c>
      <c r="Q901" s="23" t="s">
        <v>133</v>
      </c>
      <c r="R901" s="23" t="s">
        <v>237</v>
      </c>
      <c r="S901" s="33">
        <v>0</v>
      </c>
      <c r="T901" s="13">
        <v>18.84</v>
      </c>
      <c r="U901" s="13">
        <v>6.0288000000000004</v>
      </c>
      <c r="V901" s="55">
        <f>Table3[[#This Row],[Profit]]/Table3[[#This Row],[Sales]]</f>
        <v>0.32</v>
      </c>
    </row>
    <row r="902" spans="1:22" x14ac:dyDescent="0.2">
      <c r="A902">
        <v>901</v>
      </c>
      <c r="B902" t="s">
        <v>9657</v>
      </c>
      <c r="C902" s="1">
        <v>42880</v>
      </c>
      <c r="D902" s="22">
        <f>MONTH(Table3[[#This Row],[Order Date]])</f>
        <v>5</v>
      </c>
      <c r="E902" t="s">
        <v>7582</v>
      </c>
      <c r="F902" t="s">
        <v>7583</v>
      </c>
      <c r="G902" s="23" t="s">
        <v>41</v>
      </c>
      <c r="H902" s="23" t="s">
        <v>53</v>
      </c>
      <c r="I902" t="s">
        <v>1113</v>
      </c>
      <c r="J902" t="s">
        <v>22</v>
      </c>
      <c r="K902" s="22">
        <v>3</v>
      </c>
      <c r="L902" s="1">
        <v>42887</v>
      </c>
      <c r="M902" s="22">
        <f>Table3[[#This Row],[Ship Date]]-Table3[[#This Row],[Order Date]]</f>
        <v>7</v>
      </c>
      <c r="N902" s="23" t="s">
        <v>45</v>
      </c>
      <c r="O902" s="23" t="s">
        <v>23</v>
      </c>
      <c r="P902" s="23" t="s">
        <v>94</v>
      </c>
      <c r="Q902" s="23" t="s">
        <v>95</v>
      </c>
      <c r="R902" s="23" t="s">
        <v>165</v>
      </c>
      <c r="S902" s="33">
        <v>0.2</v>
      </c>
      <c r="T902" s="13">
        <v>50.136000000000003</v>
      </c>
      <c r="U902" s="13">
        <v>-11.2806</v>
      </c>
      <c r="V902" s="55">
        <f>Table3[[#This Row],[Profit]]/Table3[[#This Row],[Sales]]</f>
        <v>-0.22499999999999998</v>
      </c>
    </row>
    <row r="903" spans="1:22" x14ac:dyDescent="0.2">
      <c r="A903">
        <v>902</v>
      </c>
      <c r="B903" t="s">
        <v>8455</v>
      </c>
      <c r="C903" s="1">
        <v>42881</v>
      </c>
      <c r="D903" s="22">
        <f>MONTH(Table3[[#This Row],[Order Date]])</f>
        <v>5</v>
      </c>
      <c r="E903" t="s">
        <v>7141</v>
      </c>
      <c r="F903" t="s">
        <v>7142</v>
      </c>
      <c r="G903" s="23" t="s">
        <v>41</v>
      </c>
      <c r="H903" s="23" t="s">
        <v>71</v>
      </c>
      <c r="I903" t="s">
        <v>1281</v>
      </c>
      <c r="J903" t="s">
        <v>36</v>
      </c>
      <c r="K903" s="22">
        <v>3</v>
      </c>
      <c r="L903" s="1">
        <v>42884</v>
      </c>
      <c r="M903" s="22">
        <f>Table3[[#This Row],[Ship Date]]-Table3[[#This Row],[Order Date]]</f>
        <v>3</v>
      </c>
      <c r="N903" s="23" t="s">
        <v>169</v>
      </c>
      <c r="O903" s="23" t="s">
        <v>23</v>
      </c>
      <c r="P903" s="23" t="s">
        <v>25</v>
      </c>
      <c r="Q903" s="23" t="s">
        <v>26</v>
      </c>
      <c r="R903" s="23" t="s">
        <v>1303</v>
      </c>
      <c r="S903" s="33">
        <v>0</v>
      </c>
      <c r="T903" s="13">
        <v>208.44</v>
      </c>
      <c r="U903" s="13">
        <v>62.531999999999996</v>
      </c>
      <c r="V903" s="55">
        <f>Table3[[#This Row],[Profit]]/Table3[[#This Row],[Sales]]</f>
        <v>0.3</v>
      </c>
    </row>
    <row r="904" spans="1:22" x14ac:dyDescent="0.2">
      <c r="A904">
        <v>903</v>
      </c>
      <c r="B904" t="s">
        <v>8455</v>
      </c>
      <c r="C904" s="1">
        <v>42881</v>
      </c>
      <c r="D904" s="22">
        <f>MONTH(Table3[[#This Row],[Order Date]])</f>
        <v>5</v>
      </c>
      <c r="E904" t="s">
        <v>1730</v>
      </c>
      <c r="F904" t="s">
        <v>1731</v>
      </c>
      <c r="G904" s="23" t="s">
        <v>41</v>
      </c>
      <c r="H904" s="23" t="s">
        <v>513</v>
      </c>
      <c r="I904" t="s">
        <v>1281</v>
      </c>
      <c r="J904" t="s">
        <v>36</v>
      </c>
      <c r="K904" s="22">
        <v>2</v>
      </c>
      <c r="L904" s="1">
        <v>42884</v>
      </c>
      <c r="M904" s="22">
        <f>Table3[[#This Row],[Ship Date]]-Table3[[#This Row],[Order Date]]</f>
        <v>3</v>
      </c>
      <c r="N904" s="23" t="s">
        <v>169</v>
      </c>
      <c r="O904" s="23" t="s">
        <v>23</v>
      </c>
      <c r="P904" s="23" t="s">
        <v>25</v>
      </c>
      <c r="Q904" s="23" t="s">
        <v>26</v>
      </c>
      <c r="R904" s="23" t="s">
        <v>1303</v>
      </c>
      <c r="S904" s="33">
        <v>0</v>
      </c>
      <c r="T904" s="13">
        <v>25.76</v>
      </c>
      <c r="U904" s="13">
        <v>0.77280000000000004</v>
      </c>
      <c r="V904" s="55">
        <f>Table3[[#This Row],[Profit]]/Table3[[#This Row],[Sales]]</f>
        <v>0.03</v>
      </c>
    </row>
    <row r="905" spans="1:22" x14ac:dyDescent="0.2">
      <c r="A905">
        <v>904</v>
      </c>
      <c r="B905" t="s">
        <v>9622</v>
      </c>
      <c r="C905" s="1">
        <v>42881</v>
      </c>
      <c r="D905" s="22">
        <f>MONTH(Table3[[#This Row],[Order Date]])</f>
        <v>5</v>
      </c>
      <c r="E905" t="s">
        <v>6160</v>
      </c>
      <c r="F905" t="s">
        <v>6161</v>
      </c>
      <c r="G905" s="23" t="s">
        <v>64</v>
      </c>
      <c r="H905" s="23" t="s">
        <v>144</v>
      </c>
      <c r="I905" t="s">
        <v>2165</v>
      </c>
      <c r="J905" t="s">
        <v>22</v>
      </c>
      <c r="K905" s="22">
        <v>2</v>
      </c>
      <c r="L905" s="1">
        <v>42885</v>
      </c>
      <c r="M905" s="22">
        <f>Table3[[#This Row],[Ship Date]]-Table3[[#This Row],[Order Date]]</f>
        <v>4</v>
      </c>
      <c r="N905" s="23" t="s">
        <v>45</v>
      </c>
      <c r="O905" s="23" t="s">
        <v>23</v>
      </c>
      <c r="P905" s="23" t="s">
        <v>285</v>
      </c>
      <c r="Q905" s="23" t="s">
        <v>26</v>
      </c>
      <c r="R905" s="23" t="s">
        <v>2931</v>
      </c>
      <c r="S905" s="33">
        <v>0</v>
      </c>
      <c r="T905" s="13">
        <v>23.08</v>
      </c>
      <c r="U905" s="13">
        <v>6.9240000000000004</v>
      </c>
      <c r="V905" s="55">
        <f>Table3[[#This Row],[Profit]]/Table3[[#This Row],[Sales]]</f>
        <v>0.30000000000000004</v>
      </c>
    </row>
    <row r="906" spans="1:22" x14ac:dyDescent="0.2">
      <c r="A906">
        <v>905</v>
      </c>
      <c r="B906" t="s">
        <v>9832</v>
      </c>
      <c r="C906" s="1">
        <v>42881</v>
      </c>
      <c r="D906" s="22">
        <f>MONTH(Table3[[#This Row],[Order Date]])</f>
        <v>5</v>
      </c>
      <c r="E906" t="s">
        <v>5357</v>
      </c>
      <c r="F906" t="s">
        <v>5358</v>
      </c>
      <c r="G906" s="23" t="s">
        <v>41</v>
      </c>
      <c r="H906" s="23" t="s">
        <v>82</v>
      </c>
      <c r="I906" t="s">
        <v>2203</v>
      </c>
      <c r="J906" t="s">
        <v>22</v>
      </c>
      <c r="K906" s="22">
        <v>2</v>
      </c>
      <c r="L906" s="1">
        <v>42886</v>
      </c>
      <c r="M906" s="22">
        <f>Table3[[#This Row],[Ship Date]]-Table3[[#This Row],[Order Date]]</f>
        <v>5</v>
      </c>
      <c r="N906" s="23" t="s">
        <v>45</v>
      </c>
      <c r="O906" s="23" t="s">
        <v>23</v>
      </c>
      <c r="P906" s="23" t="s">
        <v>38</v>
      </c>
      <c r="Q906" s="23" t="s">
        <v>39</v>
      </c>
      <c r="R906" s="23" t="s">
        <v>2061</v>
      </c>
      <c r="S906" s="33">
        <v>0</v>
      </c>
      <c r="T906" s="13">
        <v>12.96</v>
      </c>
      <c r="U906" s="13">
        <v>6.2207999999999997</v>
      </c>
      <c r="V906" s="55">
        <f>Table3[[#This Row],[Profit]]/Table3[[#This Row],[Sales]]</f>
        <v>0.47999999999999993</v>
      </c>
    </row>
    <row r="907" spans="1:22" x14ac:dyDescent="0.2">
      <c r="A907">
        <v>906</v>
      </c>
      <c r="B907" t="s">
        <v>5618</v>
      </c>
      <c r="C907" s="1">
        <v>42882</v>
      </c>
      <c r="D907" s="22">
        <f>MONTH(Table3[[#This Row],[Order Date]])</f>
        <v>5</v>
      </c>
      <c r="E907" t="s">
        <v>2422</v>
      </c>
      <c r="F907" t="s">
        <v>2423</v>
      </c>
      <c r="G907" s="23" t="s">
        <v>41</v>
      </c>
      <c r="H907" s="23" t="s">
        <v>68</v>
      </c>
      <c r="I907" t="s">
        <v>822</v>
      </c>
      <c r="J907" t="s">
        <v>92</v>
      </c>
      <c r="K907" s="22">
        <v>2</v>
      </c>
      <c r="L907" s="1">
        <v>42888</v>
      </c>
      <c r="M907" s="22">
        <f>Table3[[#This Row],[Ship Date]]-Table3[[#This Row],[Order Date]]</f>
        <v>6</v>
      </c>
      <c r="N907" s="23" t="s">
        <v>45</v>
      </c>
      <c r="O907" s="23" t="s">
        <v>23</v>
      </c>
      <c r="P907" s="23" t="s">
        <v>25</v>
      </c>
      <c r="Q907" s="23" t="s">
        <v>26</v>
      </c>
      <c r="R907" s="23" t="s">
        <v>1303</v>
      </c>
      <c r="S907" s="33">
        <v>0</v>
      </c>
      <c r="T907" s="13">
        <v>58.34</v>
      </c>
      <c r="U907" s="13">
        <v>28.0032</v>
      </c>
      <c r="V907" s="55">
        <f>Table3[[#This Row],[Profit]]/Table3[[#This Row],[Sales]]</f>
        <v>0.48</v>
      </c>
    </row>
    <row r="908" spans="1:22" x14ac:dyDescent="0.2">
      <c r="A908">
        <v>907</v>
      </c>
      <c r="B908" t="s">
        <v>5618</v>
      </c>
      <c r="C908" s="1">
        <v>42882</v>
      </c>
      <c r="D908" s="22">
        <f>MONTH(Table3[[#This Row],[Order Date]])</f>
        <v>5</v>
      </c>
      <c r="E908" t="s">
        <v>5149</v>
      </c>
      <c r="F908" t="s">
        <v>5150</v>
      </c>
      <c r="G908" s="23" t="s">
        <v>64</v>
      </c>
      <c r="H908" s="23" t="s">
        <v>65</v>
      </c>
      <c r="I908" t="s">
        <v>822</v>
      </c>
      <c r="J908" t="s">
        <v>92</v>
      </c>
      <c r="K908" s="22">
        <v>3</v>
      </c>
      <c r="L908" s="1">
        <v>42888</v>
      </c>
      <c r="M908" s="22">
        <f>Table3[[#This Row],[Ship Date]]-Table3[[#This Row],[Order Date]]</f>
        <v>6</v>
      </c>
      <c r="N908" s="23" t="s">
        <v>45</v>
      </c>
      <c r="O908" s="23" t="s">
        <v>23</v>
      </c>
      <c r="P908" s="23" t="s">
        <v>25</v>
      </c>
      <c r="Q908" s="23" t="s">
        <v>26</v>
      </c>
      <c r="R908" s="23" t="s">
        <v>1303</v>
      </c>
      <c r="S908" s="33">
        <v>0</v>
      </c>
      <c r="T908" s="13">
        <v>539.97</v>
      </c>
      <c r="U908" s="13">
        <v>134.99250000000001</v>
      </c>
      <c r="V908" s="55">
        <f>Table3[[#This Row],[Profit]]/Table3[[#This Row],[Sales]]</f>
        <v>0.25</v>
      </c>
    </row>
    <row r="909" spans="1:22" x14ac:dyDescent="0.2">
      <c r="A909">
        <v>908</v>
      </c>
      <c r="B909" t="s">
        <v>6356</v>
      </c>
      <c r="C909" s="1">
        <v>42882</v>
      </c>
      <c r="D909" s="22">
        <f>MONTH(Table3[[#This Row],[Order Date]])</f>
        <v>5</v>
      </c>
      <c r="E909" t="s">
        <v>2687</v>
      </c>
      <c r="F909" t="s">
        <v>2688</v>
      </c>
      <c r="G909" s="23" t="s">
        <v>41</v>
      </c>
      <c r="H909" s="23" t="s">
        <v>82</v>
      </c>
      <c r="I909" t="s">
        <v>140</v>
      </c>
      <c r="J909" t="s">
        <v>22</v>
      </c>
      <c r="K909" s="22">
        <v>5</v>
      </c>
      <c r="L909" s="1">
        <v>42884</v>
      </c>
      <c r="M909" s="22">
        <f>Table3[[#This Row],[Ship Date]]-Table3[[#This Row],[Order Date]]</f>
        <v>2</v>
      </c>
      <c r="N909" s="23" t="s">
        <v>20</v>
      </c>
      <c r="O909" s="23" t="s">
        <v>23</v>
      </c>
      <c r="P909" s="23" t="s">
        <v>299</v>
      </c>
      <c r="Q909" s="23" t="s">
        <v>26</v>
      </c>
      <c r="R909" s="23" t="s">
        <v>298</v>
      </c>
      <c r="S909" s="33">
        <v>0.2</v>
      </c>
      <c r="T909" s="13">
        <v>25.92</v>
      </c>
      <c r="U909" s="13">
        <v>9.0719999999999992</v>
      </c>
      <c r="V909" s="55">
        <f>Table3[[#This Row],[Profit]]/Table3[[#This Row],[Sales]]</f>
        <v>0.34999999999999992</v>
      </c>
    </row>
    <row r="910" spans="1:22" x14ac:dyDescent="0.2">
      <c r="A910">
        <v>909</v>
      </c>
      <c r="B910" t="s">
        <v>7427</v>
      </c>
      <c r="C910" s="1">
        <v>42882</v>
      </c>
      <c r="D910" s="22">
        <f>MONTH(Table3[[#This Row],[Order Date]])</f>
        <v>5</v>
      </c>
      <c r="E910" t="s">
        <v>3320</v>
      </c>
      <c r="F910" t="s">
        <v>3321</v>
      </c>
      <c r="G910" s="23" t="s">
        <v>64</v>
      </c>
      <c r="H910" s="23" t="s">
        <v>144</v>
      </c>
      <c r="I910" t="s">
        <v>3986</v>
      </c>
      <c r="J910" t="s">
        <v>36</v>
      </c>
      <c r="K910" s="22">
        <v>6</v>
      </c>
      <c r="L910" s="1">
        <v>42886</v>
      </c>
      <c r="M910" s="22">
        <f>Table3[[#This Row],[Ship Date]]-Table3[[#This Row],[Order Date]]</f>
        <v>4</v>
      </c>
      <c r="N910" s="23" t="s">
        <v>45</v>
      </c>
      <c r="O910" s="23" t="s">
        <v>23</v>
      </c>
      <c r="P910" s="23" t="s">
        <v>87</v>
      </c>
      <c r="Q910" s="23" t="s">
        <v>39</v>
      </c>
      <c r="R910" s="23" t="s">
        <v>86</v>
      </c>
      <c r="S910" s="33">
        <v>0</v>
      </c>
      <c r="T910" s="13">
        <v>98.16</v>
      </c>
      <c r="U910" s="13">
        <v>9.8160000000000007</v>
      </c>
      <c r="V910" s="55">
        <f>Table3[[#This Row],[Profit]]/Table3[[#This Row],[Sales]]</f>
        <v>0.1</v>
      </c>
    </row>
    <row r="911" spans="1:22" x14ac:dyDescent="0.2">
      <c r="A911">
        <v>910</v>
      </c>
      <c r="B911" t="s">
        <v>7427</v>
      </c>
      <c r="C911" s="1">
        <v>42882</v>
      </c>
      <c r="D911" s="22">
        <f>MONTH(Table3[[#This Row],[Order Date]])</f>
        <v>5</v>
      </c>
      <c r="E911" t="s">
        <v>6046</v>
      </c>
      <c r="F911" t="s">
        <v>2673</v>
      </c>
      <c r="G911" s="23" t="s">
        <v>41</v>
      </c>
      <c r="H911" s="23" t="s">
        <v>61</v>
      </c>
      <c r="I911" t="s">
        <v>3986</v>
      </c>
      <c r="J911" t="s">
        <v>36</v>
      </c>
      <c r="K911" s="22">
        <v>3</v>
      </c>
      <c r="L911" s="1">
        <v>42886</v>
      </c>
      <c r="M911" s="22">
        <f>Table3[[#This Row],[Ship Date]]-Table3[[#This Row],[Order Date]]</f>
        <v>4</v>
      </c>
      <c r="N911" s="23" t="s">
        <v>45</v>
      </c>
      <c r="O911" s="23" t="s">
        <v>23</v>
      </c>
      <c r="P911" s="23" t="s">
        <v>87</v>
      </c>
      <c r="Q911" s="23" t="s">
        <v>39</v>
      </c>
      <c r="R911" s="23" t="s">
        <v>86</v>
      </c>
      <c r="S911" s="33">
        <v>0</v>
      </c>
      <c r="T911" s="13">
        <v>31.44</v>
      </c>
      <c r="U911" s="13">
        <v>7.86</v>
      </c>
      <c r="V911" s="55">
        <f>Table3[[#This Row],[Profit]]/Table3[[#This Row],[Sales]]</f>
        <v>0.25</v>
      </c>
    </row>
    <row r="912" spans="1:22" x14ac:dyDescent="0.2">
      <c r="A912">
        <v>911</v>
      </c>
      <c r="B912" t="s">
        <v>8126</v>
      </c>
      <c r="C912" s="1">
        <v>42882</v>
      </c>
      <c r="D912" s="22">
        <f>MONTH(Table3[[#This Row],[Order Date]])</f>
        <v>5</v>
      </c>
      <c r="E912" t="s">
        <v>5470</v>
      </c>
      <c r="F912" t="s">
        <v>5471</v>
      </c>
      <c r="G912" s="23" t="s">
        <v>28</v>
      </c>
      <c r="H912" s="23" t="s">
        <v>58</v>
      </c>
      <c r="I912" t="s">
        <v>3761</v>
      </c>
      <c r="J912" t="s">
        <v>22</v>
      </c>
      <c r="K912" s="22">
        <v>4</v>
      </c>
      <c r="L912" s="1">
        <v>42884</v>
      </c>
      <c r="M912" s="22">
        <f>Table3[[#This Row],[Ship Date]]-Table3[[#This Row],[Order Date]]</f>
        <v>2</v>
      </c>
      <c r="N912" s="23" t="s">
        <v>169</v>
      </c>
      <c r="O912" s="23" t="s">
        <v>23</v>
      </c>
      <c r="P912" s="23" t="s">
        <v>5585</v>
      </c>
      <c r="Q912" s="23" t="s">
        <v>39</v>
      </c>
      <c r="R912" s="23" t="s">
        <v>7651</v>
      </c>
      <c r="S912" s="33">
        <v>0</v>
      </c>
      <c r="T912" s="13">
        <v>35</v>
      </c>
      <c r="U912" s="13">
        <v>14.7</v>
      </c>
      <c r="V912" s="55">
        <f>Table3[[#This Row],[Profit]]/Table3[[#This Row],[Sales]]</f>
        <v>0.42</v>
      </c>
    </row>
    <row r="913" spans="1:22" x14ac:dyDescent="0.2">
      <c r="A913">
        <v>912</v>
      </c>
      <c r="B913" t="s">
        <v>8126</v>
      </c>
      <c r="C913" s="1">
        <v>42882</v>
      </c>
      <c r="D913" s="22">
        <f>MONTH(Table3[[#This Row],[Order Date]])</f>
        <v>5</v>
      </c>
      <c r="E913" t="s">
        <v>2136</v>
      </c>
      <c r="F913" t="s">
        <v>2137</v>
      </c>
      <c r="G913" s="23" t="s">
        <v>41</v>
      </c>
      <c r="H913" s="23" t="s">
        <v>53</v>
      </c>
      <c r="I913" t="s">
        <v>3761</v>
      </c>
      <c r="J913" t="s">
        <v>22</v>
      </c>
      <c r="K913" s="22">
        <v>5</v>
      </c>
      <c r="L913" s="1">
        <v>42884</v>
      </c>
      <c r="M913" s="22">
        <f>Table3[[#This Row],[Ship Date]]-Table3[[#This Row],[Order Date]]</f>
        <v>2</v>
      </c>
      <c r="N913" s="23" t="s">
        <v>169</v>
      </c>
      <c r="O913" s="23" t="s">
        <v>23</v>
      </c>
      <c r="P913" s="23" t="s">
        <v>5585</v>
      </c>
      <c r="Q913" s="23" t="s">
        <v>39</v>
      </c>
      <c r="R913" s="23" t="s">
        <v>7651</v>
      </c>
      <c r="S913" s="33">
        <v>0</v>
      </c>
      <c r="T913" s="13">
        <v>477.15</v>
      </c>
      <c r="U913" s="13">
        <v>28.629000000000001</v>
      </c>
      <c r="V913" s="55">
        <f>Table3[[#This Row],[Profit]]/Table3[[#This Row],[Sales]]</f>
        <v>6.0000000000000005E-2</v>
      </c>
    </row>
    <row r="914" spans="1:22" x14ac:dyDescent="0.2">
      <c r="A914">
        <v>913</v>
      </c>
      <c r="B914" t="s">
        <v>8126</v>
      </c>
      <c r="C914" s="1">
        <v>42882</v>
      </c>
      <c r="D914" s="22">
        <f>MONTH(Table3[[#This Row],[Order Date]])</f>
        <v>5</v>
      </c>
      <c r="E914" t="s">
        <v>5386</v>
      </c>
      <c r="F914" t="s">
        <v>5387</v>
      </c>
      <c r="G914" s="23" t="s">
        <v>64</v>
      </c>
      <c r="H914" s="23" t="s">
        <v>65</v>
      </c>
      <c r="I914" t="s">
        <v>3761</v>
      </c>
      <c r="J914" t="s">
        <v>22</v>
      </c>
      <c r="K914" s="22">
        <v>3</v>
      </c>
      <c r="L914" s="1">
        <v>42884</v>
      </c>
      <c r="M914" s="22">
        <f>Table3[[#This Row],[Ship Date]]-Table3[[#This Row],[Order Date]]</f>
        <v>2</v>
      </c>
      <c r="N914" s="23" t="s">
        <v>169</v>
      </c>
      <c r="O914" s="23" t="s">
        <v>23</v>
      </c>
      <c r="P914" s="23" t="s">
        <v>5585</v>
      </c>
      <c r="Q914" s="23" t="s">
        <v>39</v>
      </c>
      <c r="R914" s="23" t="s">
        <v>7651</v>
      </c>
      <c r="S914" s="33">
        <v>0.2</v>
      </c>
      <c r="T914" s="13">
        <v>302.37599999999998</v>
      </c>
      <c r="U914" s="13">
        <v>22.6782</v>
      </c>
      <c r="V914" s="55">
        <f>Table3[[#This Row],[Profit]]/Table3[[#This Row],[Sales]]</f>
        <v>7.5000000000000011E-2</v>
      </c>
    </row>
    <row r="915" spans="1:22" x14ac:dyDescent="0.2">
      <c r="A915">
        <v>914</v>
      </c>
      <c r="B915" t="s">
        <v>9842</v>
      </c>
      <c r="C915" s="1">
        <v>42882</v>
      </c>
      <c r="D915" s="22">
        <f>MONTH(Table3[[#This Row],[Order Date]])</f>
        <v>5</v>
      </c>
      <c r="E915" t="s">
        <v>174</v>
      </c>
      <c r="F915" t="s">
        <v>175</v>
      </c>
      <c r="G915" s="23" t="s">
        <v>28</v>
      </c>
      <c r="H915" s="23" t="s">
        <v>58</v>
      </c>
      <c r="I915" t="s">
        <v>326</v>
      </c>
      <c r="J915" t="s">
        <v>22</v>
      </c>
      <c r="K915" s="22">
        <v>5</v>
      </c>
      <c r="L915" s="1">
        <v>42889</v>
      </c>
      <c r="M915" s="22">
        <f>Table3[[#This Row],[Ship Date]]-Table3[[#This Row],[Order Date]]</f>
        <v>7</v>
      </c>
      <c r="N915" s="23" t="s">
        <v>45</v>
      </c>
      <c r="O915" s="23" t="s">
        <v>23</v>
      </c>
      <c r="P915" s="23" t="s">
        <v>573</v>
      </c>
      <c r="Q915" s="23" t="s">
        <v>95</v>
      </c>
      <c r="R915" s="23" t="s">
        <v>4017</v>
      </c>
      <c r="S915" s="33">
        <v>0</v>
      </c>
      <c r="T915" s="13">
        <v>477.3</v>
      </c>
      <c r="U915" s="13">
        <v>138.417</v>
      </c>
      <c r="V915" s="55">
        <f>Table3[[#This Row],[Profit]]/Table3[[#This Row],[Sales]]</f>
        <v>0.28999999999999998</v>
      </c>
    </row>
    <row r="916" spans="1:22" x14ac:dyDescent="0.2">
      <c r="A916">
        <v>915</v>
      </c>
      <c r="B916" t="s">
        <v>9850</v>
      </c>
      <c r="C916" s="1">
        <v>42882</v>
      </c>
      <c r="D916" s="22">
        <f>MONTH(Table3[[#This Row],[Order Date]])</f>
        <v>5</v>
      </c>
      <c r="E916" t="s">
        <v>9851</v>
      </c>
      <c r="F916" t="s">
        <v>9852</v>
      </c>
      <c r="G916" s="23" t="s">
        <v>64</v>
      </c>
      <c r="H916" s="23" t="s">
        <v>144</v>
      </c>
      <c r="I916" t="s">
        <v>2241</v>
      </c>
      <c r="J916" t="s">
        <v>36</v>
      </c>
      <c r="K916" s="22">
        <v>3</v>
      </c>
      <c r="L916" s="1">
        <v>42889</v>
      </c>
      <c r="M916" s="22">
        <f>Table3[[#This Row],[Ship Date]]-Table3[[#This Row],[Order Date]]</f>
        <v>7</v>
      </c>
      <c r="N916" s="23" t="s">
        <v>45</v>
      </c>
      <c r="O916" s="23" t="s">
        <v>23</v>
      </c>
      <c r="P916" s="23" t="s">
        <v>80</v>
      </c>
      <c r="Q916" s="23" t="s">
        <v>26</v>
      </c>
      <c r="R916" s="23" t="s">
        <v>3963</v>
      </c>
      <c r="S916" s="33">
        <v>0.2</v>
      </c>
      <c r="T916" s="13">
        <v>27.192</v>
      </c>
      <c r="U916" s="13">
        <v>0.33989999999999998</v>
      </c>
      <c r="V916" s="55">
        <f>Table3[[#This Row],[Profit]]/Table3[[#This Row],[Sales]]</f>
        <v>1.2499999999999999E-2</v>
      </c>
    </row>
    <row r="917" spans="1:22" x14ac:dyDescent="0.2">
      <c r="A917">
        <v>916</v>
      </c>
      <c r="B917" t="s">
        <v>9850</v>
      </c>
      <c r="C917" s="1">
        <v>42882</v>
      </c>
      <c r="D917" s="22">
        <f>MONTH(Table3[[#This Row],[Order Date]])</f>
        <v>5</v>
      </c>
      <c r="E917" t="s">
        <v>4384</v>
      </c>
      <c r="F917" t="s">
        <v>4385</v>
      </c>
      <c r="G917" s="23" t="s">
        <v>41</v>
      </c>
      <c r="H917" s="23" t="s">
        <v>68</v>
      </c>
      <c r="I917" t="s">
        <v>2241</v>
      </c>
      <c r="J917" t="s">
        <v>36</v>
      </c>
      <c r="K917" s="22">
        <v>5</v>
      </c>
      <c r="L917" s="1">
        <v>42889</v>
      </c>
      <c r="M917" s="22">
        <f>Table3[[#This Row],[Ship Date]]-Table3[[#This Row],[Order Date]]</f>
        <v>7</v>
      </c>
      <c r="N917" s="23" t="s">
        <v>45</v>
      </c>
      <c r="O917" s="23" t="s">
        <v>23</v>
      </c>
      <c r="P917" s="23" t="s">
        <v>80</v>
      </c>
      <c r="Q917" s="23" t="s">
        <v>26</v>
      </c>
      <c r="R917" s="23" t="s">
        <v>3963</v>
      </c>
      <c r="S917" s="33">
        <v>0.7</v>
      </c>
      <c r="T917" s="13">
        <v>12.06</v>
      </c>
      <c r="U917" s="13">
        <v>-10.050000000000001</v>
      </c>
      <c r="V917" s="55">
        <f>Table3[[#This Row],[Profit]]/Table3[[#This Row],[Sales]]</f>
        <v>-0.83333333333333337</v>
      </c>
    </row>
    <row r="918" spans="1:22" x14ac:dyDescent="0.2">
      <c r="A918">
        <v>917</v>
      </c>
      <c r="B918" t="s">
        <v>340</v>
      </c>
      <c r="C918" s="1">
        <v>42883</v>
      </c>
      <c r="D918" s="22">
        <f>MONTH(Table3[[#This Row],[Order Date]])</f>
        <v>5</v>
      </c>
      <c r="E918" t="s">
        <v>343</v>
      </c>
      <c r="F918" t="s">
        <v>344</v>
      </c>
      <c r="G918" s="23" t="s">
        <v>28</v>
      </c>
      <c r="H918" s="23" t="s">
        <v>32</v>
      </c>
      <c r="I918" t="s">
        <v>210</v>
      </c>
      <c r="J918" t="s">
        <v>22</v>
      </c>
      <c r="K918" s="22">
        <v>2</v>
      </c>
      <c r="L918" s="1">
        <v>42885</v>
      </c>
      <c r="M918" s="22">
        <f>Table3[[#This Row],[Ship Date]]-Table3[[#This Row],[Order Date]]</f>
        <v>2</v>
      </c>
      <c r="N918" s="23" t="s">
        <v>20</v>
      </c>
      <c r="O918" s="23" t="s">
        <v>23</v>
      </c>
      <c r="P918" s="23" t="s">
        <v>342</v>
      </c>
      <c r="Q918" s="23" t="s">
        <v>26</v>
      </c>
      <c r="R918" s="23" t="s">
        <v>341</v>
      </c>
      <c r="S918" s="33">
        <v>0</v>
      </c>
      <c r="T918" s="13">
        <v>301.95999999999998</v>
      </c>
      <c r="U918" s="13">
        <v>33.215600000000002</v>
      </c>
      <c r="V918" s="55">
        <f>Table3[[#This Row],[Profit]]/Table3[[#This Row],[Sales]]</f>
        <v>0.11000000000000001</v>
      </c>
    </row>
    <row r="919" spans="1:22" x14ac:dyDescent="0.2">
      <c r="A919">
        <v>918</v>
      </c>
      <c r="B919" t="s">
        <v>4884</v>
      </c>
      <c r="C919" s="1">
        <v>42883</v>
      </c>
      <c r="D919" s="22">
        <f>MONTH(Table3[[#This Row],[Order Date]])</f>
        <v>5</v>
      </c>
      <c r="E919" t="s">
        <v>4502</v>
      </c>
      <c r="F919" t="s">
        <v>4503</v>
      </c>
      <c r="G919" s="23" t="s">
        <v>64</v>
      </c>
      <c r="H919" s="23" t="s">
        <v>65</v>
      </c>
      <c r="I919" t="s">
        <v>757</v>
      </c>
      <c r="J919" t="s">
        <v>22</v>
      </c>
      <c r="K919" s="22">
        <v>4</v>
      </c>
      <c r="L919" s="1">
        <v>42887</v>
      </c>
      <c r="M919" s="22">
        <f>Table3[[#This Row],[Ship Date]]-Table3[[#This Row],[Order Date]]</f>
        <v>4</v>
      </c>
      <c r="N919" s="23" t="s">
        <v>45</v>
      </c>
      <c r="O919" s="23" t="s">
        <v>23</v>
      </c>
      <c r="P919" s="23" t="s">
        <v>94</v>
      </c>
      <c r="Q919" s="23" t="s">
        <v>95</v>
      </c>
      <c r="R919" s="23" t="s">
        <v>165</v>
      </c>
      <c r="S919" s="33">
        <v>0.2</v>
      </c>
      <c r="T919" s="13">
        <v>54.368000000000002</v>
      </c>
      <c r="U919" s="13">
        <v>4.0776000000000003</v>
      </c>
      <c r="V919" s="55">
        <f>Table3[[#This Row],[Profit]]/Table3[[#This Row],[Sales]]</f>
        <v>7.4999999999999997E-2</v>
      </c>
    </row>
    <row r="920" spans="1:22" x14ac:dyDescent="0.2">
      <c r="A920">
        <v>919</v>
      </c>
      <c r="B920" t="s">
        <v>8001</v>
      </c>
      <c r="C920" s="1">
        <v>42883</v>
      </c>
      <c r="D920" s="22">
        <f>MONTH(Table3[[#This Row],[Order Date]])</f>
        <v>5</v>
      </c>
      <c r="E920" t="s">
        <v>5335</v>
      </c>
      <c r="F920" t="s">
        <v>5336</v>
      </c>
      <c r="G920" s="23" t="s">
        <v>28</v>
      </c>
      <c r="H920" s="23" t="s">
        <v>58</v>
      </c>
      <c r="I920" t="s">
        <v>5001</v>
      </c>
      <c r="J920" t="s">
        <v>36</v>
      </c>
      <c r="K920" s="22">
        <v>8</v>
      </c>
      <c r="L920" s="1">
        <v>42886</v>
      </c>
      <c r="M920" s="22">
        <f>Table3[[#This Row],[Ship Date]]-Table3[[#This Row],[Order Date]]</f>
        <v>3</v>
      </c>
      <c r="N920" s="23" t="s">
        <v>20</v>
      </c>
      <c r="O920" s="23" t="s">
        <v>23</v>
      </c>
      <c r="P920" s="23" t="s">
        <v>2373</v>
      </c>
      <c r="Q920" s="23" t="s">
        <v>133</v>
      </c>
      <c r="R920" s="23" t="s">
        <v>79</v>
      </c>
      <c r="S920" s="33">
        <v>0</v>
      </c>
      <c r="T920" s="13">
        <v>247.44</v>
      </c>
      <c r="U920" s="13">
        <v>101.4504</v>
      </c>
      <c r="V920" s="55">
        <f>Table3[[#This Row],[Profit]]/Table3[[#This Row],[Sales]]</f>
        <v>0.41000000000000003</v>
      </c>
    </row>
    <row r="921" spans="1:22" x14ac:dyDescent="0.2">
      <c r="A921">
        <v>920</v>
      </c>
      <c r="B921" t="s">
        <v>9258</v>
      </c>
      <c r="C921" s="1">
        <v>42883</v>
      </c>
      <c r="D921" s="22">
        <f>MONTH(Table3[[#This Row],[Order Date]])</f>
        <v>5</v>
      </c>
      <c r="E921" t="s">
        <v>272</v>
      </c>
      <c r="F921" t="s">
        <v>488</v>
      </c>
      <c r="G921" s="23" t="s">
        <v>28</v>
      </c>
      <c r="H921" s="23" t="s">
        <v>32</v>
      </c>
      <c r="I921" t="s">
        <v>1913</v>
      </c>
      <c r="J921" t="s">
        <v>36</v>
      </c>
      <c r="K921" s="22">
        <v>3</v>
      </c>
      <c r="L921" s="1">
        <v>42888</v>
      </c>
      <c r="M921" s="22">
        <f>Table3[[#This Row],[Ship Date]]-Table3[[#This Row],[Order Date]]</f>
        <v>5</v>
      </c>
      <c r="N921" s="23" t="s">
        <v>20</v>
      </c>
      <c r="O921" s="23" t="s">
        <v>23</v>
      </c>
      <c r="P921" s="23" t="s">
        <v>189</v>
      </c>
      <c r="Q921" s="23" t="s">
        <v>95</v>
      </c>
      <c r="R921" s="23" t="s">
        <v>271</v>
      </c>
      <c r="S921" s="33">
        <v>0.3</v>
      </c>
      <c r="T921" s="13">
        <v>106.869</v>
      </c>
      <c r="U921" s="13">
        <v>-29.007300000000001</v>
      </c>
      <c r="V921" s="55">
        <f>Table3[[#This Row],[Profit]]/Table3[[#This Row],[Sales]]</f>
        <v>-0.27142857142857146</v>
      </c>
    </row>
    <row r="922" spans="1:22" x14ac:dyDescent="0.2">
      <c r="A922">
        <v>921</v>
      </c>
      <c r="B922" t="s">
        <v>9258</v>
      </c>
      <c r="C922" s="1">
        <v>42883</v>
      </c>
      <c r="D922" s="22">
        <f>MONTH(Table3[[#This Row],[Order Date]])</f>
        <v>5</v>
      </c>
      <c r="E922" t="s">
        <v>3421</v>
      </c>
      <c r="F922" t="s">
        <v>1073</v>
      </c>
      <c r="G922" s="23" t="s">
        <v>41</v>
      </c>
      <c r="H922" s="23" t="s">
        <v>68</v>
      </c>
      <c r="I922" t="s">
        <v>1913</v>
      </c>
      <c r="J922" t="s">
        <v>36</v>
      </c>
      <c r="K922" s="22">
        <v>3</v>
      </c>
      <c r="L922" s="1">
        <v>42888</v>
      </c>
      <c r="M922" s="22">
        <f>Table3[[#This Row],[Ship Date]]-Table3[[#This Row],[Order Date]]</f>
        <v>5</v>
      </c>
      <c r="N922" s="23" t="s">
        <v>20</v>
      </c>
      <c r="O922" s="23" t="s">
        <v>23</v>
      </c>
      <c r="P922" s="23" t="s">
        <v>189</v>
      </c>
      <c r="Q922" s="23" t="s">
        <v>95</v>
      </c>
      <c r="R922" s="23" t="s">
        <v>271</v>
      </c>
      <c r="S922" s="33">
        <v>0.8</v>
      </c>
      <c r="T922" s="13">
        <v>3.5640000000000001</v>
      </c>
      <c r="U922" s="13">
        <v>-6.2370000000000001</v>
      </c>
      <c r="V922" s="55">
        <f>Table3[[#This Row],[Profit]]/Table3[[#This Row],[Sales]]</f>
        <v>-1.75</v>
      </c>
    </row>
    <row r="923" spans="1:22" x14ac:dyDescent="0.2">
      <c r="A923">
        <v>922</v>
      </c>
      <c r="B923" t="s">
        <v>9455</v>
      </c>
      <c r="C923" s="1">
        <v>42883</v>
      </c>
      <c r="D923" s="22">
        <f>MONTH(Table3[[#This Row],[Order Date]])</f>
        <v>5</v>
      </c>
      <c r="E923" t="s">
        <v>6954</v>
      </c>
      <c r="F923" t="s">
        <v>6955</v>
      </c>
      <c r="G923" s="23" t="s">
        <v>64</v>
      </c>
      <c r="H923" s="23" t="s">
        <v>65</v>
      </c>
      <c r="I923" t="s">
        <v>5789</v>
      </c>
      <c r="J923" t="s">
        <v>36</v>
      </c>
      <c r="K923" s="22">
        <v>5</v>
      </c>
      <c r="L923" s="1">
        <v>42888</v>
      </c>
      <c r="M923" s="22">
        <f>Table3[[#This Row],[Ship Date]]-Table3[[#This Row],[Order Date]]</f>
        <v>5</v>
      </c>
      <c r="N923" s="23" t="s">
        <v>45</v>
      </c>
      <c r="O923" s="23" t="s">
        <v>23</v>
      </c>
      <c r="P923" s="23" t="s">
        <v>277</v>
      </c>
      <c r="Q923" s="23" t="s">
        <v>39</v>
      </c>
      <c r="R923" s="23" t="s">
        <v>481</v>
      </c>
      <c r="S923" s="33">
        <v>0.2</v>
      </c>
      <c r="T923" s="13">
        <v>195.96</v>
      </c>
      <c r="U923" s="13">
        <v>19.596</v>
      </c>
      <c r="V923" s="55">
        <f>Table3[[#This Row],[Profit]]/Table3[[#This Row],[Sales]]</f>
        <v>9.9999999999999992E-2</v>
      </c>
    </row>
    <row r="924" spans="1:22" x14ac:dyDescent="0.2">
      <c r="A924">
        <v>923</v>
      </c>
      <c r="B924" t="s">
        <v>9455</v>
      </c>
      <c r="C924" s="1">
        <v>42883</v>
      </c>
      <c r="D924" s="22">
        <f>MONTH(Table3[[#This Row],[Order Date]])</f>
        <v>5</v>
      </c>
      <c r="E924" t="s">
        <v>5606</v>
      </c>
      <c r="F924" t="s">
        <v>5607</v>
      </c>
      <c r="G924" s="23" t="s">
        <v>41</v>
      </c>
      <c r="H924" s="23" t="s">
        <v>82</v>
      </c>
      <c r="I924" t="s">
        <v>5789</v>
      </c>
      <c r="J924" t="s">
        <v>36</v>
      </c>
      <c r="K924" s="22">
        <v>3</v>
      </c>
      <c r="L924" s="1">
        <v>42888</v>
      </c>
      <c r="M924" s="22">
        <f>Table3[[#This Row],[Ship Date]]-Table3[[#This Row],[Order Date]]</f>
        <v>5</v>
      </c>
      <c r="N924" s="23" t="s">
        <v>45</v>
      </c>
      <c r="O924" s="23" t="s">
        <v>23</v>
      </c>
      <c r="P924" s="23" t="s">
        <v>277</v>
      </c>
      <c r="Q924" s="23" t="s">
        <v>39</v>
      </c>
      <c r="R924" s="23" t="s">
        <v>481</v>
      </c>
      <c r="S924" s="33">
        <v>0.2</v>
      </c>
      <c r="T924" s="13">
        <v>15.552</v>
      </c>
      <c r="U924" s="13">
        <v>5.4432</v>
      </c>
      <c r="V924" s="55">
        <f>Table3[[#This Row],[Profit]]/Table3[[#This Row],[Sales]]</f>
        <v>0.35000000000000003</v>
      </c>
    </row>
    <row r="925" spans="1:22" x14ac:dyDescent="0.2">
      <c r="A925">
        <v>924</v>
      </c>
      <c r="B925" t="s">
        <v>9455</v>
      </c>
      <c r="C925" s="1">
        <v>42883</v>
      </c>
      <c r="D925" s="22">
        <f>MONTH(Table3[[#This Row],[Order Date]])</f>
        <v>5</v>
      </c>
      <c r="E925" t="s">
        <v>424</v>
      </c>
      <c r="F925" t="s">
        <v>425</v>
      </c>
      <c r="G925" s="23" t="s">
        <v>64</v>
      </c>
      <c r="H925" s="23" t="s">
        <v>144</v>
      </c>
      <c r="I925" t="s">
        <v>5789</v>
      </c>
      <c r="J925" t="s">
        <v>36</v>
      </c>
      <c r="K925" s="22">
        <v>4</v>
      </c>
      <c r="L925" s="1">
        <v>42888</v>
      </c>
      <c r="M925" s="22">
        <f>Table3[[#This Row],[Ship Date]]-Table3[[#This Row],[Order Date]]</f>
        <v>5</v>
      </c>
      <c r="N925" s="23" t="s">
        <v>45</v>
      </c>
      <c r="O925" s="23" t="s">
        <v>23</v>
      </c>
      <c r="P925" s="23" t="s">
        <v>277</v>
      </c>
      <c r="Q925" s="23" t="s">
        <v>39</v>
      </c>
      <c r="R925" s="23" t="s">
        <v>481</v>
      </c>
      <c r="S925" s="33">
        <v>0.2</v>
      </c>
      <c r="T925" s="13">
        <v>271.96800000000002</v>
      </c>
      <c r="U925" s="13">
        <v>54.393599999999999</v>
      </c>
      <c r="V925" s="55">
        <f>Table3[[#This Row],[Profit]]/Table3[[#This Row],[Sales]]</f>
        <v>0.19999999999999998</v>
      </c>
    </row>
    <row r="926" spans="1:22" x14ac:dyDescent="0.2">
      <c r="A926">
        <v>925</v>
      </c>
      <c r="B926" t="s">
        <v>9660</v>
      </c>
      <c r="C926" s="1">
        <v>42883</v>
      </c>
      <c r="D926" s="22">
        <f>MONTH(Table3[[#This Row],[Order Date]])</f>
        <v>5</v>
      </c>
      <c r="E926" t="s">
        <v>3465</v>
      </c>
      <c r="F926" t="s">
        <v>3466</v>
      </c>
      <c r="G926" s="23" t="s">
        <v>28</v>
      </c>
      <c r="H926" s="23" t="s">
        <v>58</v>
      </c>
      <c r="I926" t="s">
        <v>4189</v>
      </c>
      <c r="J926" t="s">
        <v>36</v>
      </c>
      <c r="K926" s="22">
        <v>2</v>
      </c>
      <c r="L926" s="1">
        <v>42887</v>
      </c>
      <c r="M926" s="22">
        <f>Table3[[#This Row],[Ship Date]]-Table3[[#This Row],[Order Date]]</f>
        <v>4</v>
      </c>
      <c r="N926" s="23" t="s">
        <v>45</v>
      </c>
      <c r="O926" s="23" t="s">
        <v>23</v>
      </c>
      <c r="P926" s="23" t="s">
        <v>2408</v>
      </c>
      <c r="Q926" s="23" t="s">
        <v>133</v>
      </c>
      <c r="R926" s="23" t="s">
        <v>9661</v>
      </c>
      <c r="S926" s="33">
        <v>0</v>
      </c>
      <c r="T926" s="13">
        <v>27.46</v>
      </c>
      <c r="U926" s="13">
        <v>9.8856000000000002</v>
      </c>
      <c r="V926" s="55">
        <f>Table3[[#This Row],[Profit]]/Table3[[#This Row],[Sales]]</f>
        <v>0.36</v>
      </c>
    </row>
    <row r="927" spans="1:22" x14ac:dyDescent="0.2">
      <c r="A927">
        <v>926</v>
      </c>
      <c r="B927" t="s">
        <v>9660</v>
      </c>
      <c r="C927" s="1">
        <v>42883</v>
      </c>
      <c r="D927" s="22">
        <f>MONTH(Table3[[#This Row],[Order Date]])</f>
        <v>5</v>
      </c>
      <c r="E927" t="s">
        <v>2005</v>
      </c>
      <c r="F927" t="s">
        <v>2006</v>
      </c>
      <c r="G927" s="23" t="s">
        <v>41</v>
      </c>
      <c r="H927" s="23" t="s">
        <v>71</v>
      </c>
      <c r="I927" t="s">
        <v>4189</v>
      </c>
      <c r="J927" t="s">
        <v>36</v>
      </c>
      <c r="K927" s="22">
        <v>3</v>
      </c>
      <c r="L927" s="1">
        <v>42887</v>
      </c>
      <c r="M927" s="22">
        <f>Table3[[#This Row],[Ship Date]]-Table3[[#This Row],[Order Date]]</f>
        <v>4</v>
      </c>
      <c r="N927" s="23" t="s">
        <v>45</v>
      </c>
      <c r="O927" s="23" t="s">
        <v>23</v>
      </c>
      <c r="P927" s="23" t="s">
        <v>2408</v>
      </c>
      <c r="Q927" s="23" t="s">
        <v>133</v>
      </c>
      <c r="R927" s="23" t="s">
        <v>9661</v>
      </c>
      <c r="S927" s="33">
        <v>0</v>
      </c>
      <c r="T927" s="13">
        <v>125.13</v>
      </c>
      <c r="U927" s="13">
        <v>36.287700000000001</v>
      </c>
      <c r="V927" s="55">
        <f>Table3[[#This Row],[Profit]]/Table3[[#This Row],[Sales]]</f>
        <v>0.29000000000000004</v>
      </c>
    </row>
    <row r="928" spans="1:22" x14ac:dyDescent="0.2">
      <c r="A928">
        <v>927</v>
      </c>
      <c r="B928" t="s">
        <v>9755</v>
      </c>
      <c r="C928" s="1">
        <v>42883</v>
      </c>
      <c r="D928" s="22">
        <f>MONTH(Table3[[#This Row],[Order Date]])</f>
        <v>5</v>
      </c>
      <c r="E928" t="s">
        <v>3508</v>
      </c>
      <c r="F928" t="s">
        <v>3509</v>
      </c>
      <c r="G928" s="23" t="s">
        <v>41</v>
      </c>
      <c r="H928" s="23" t="s">
        <v>82</v>
      </c>
      <c r="I928" t="s">
        <v>668</v>
      </c>
      <c r="J928" t="s">
        <v>36</v>
      </c>
      <c r="K928" s="22">
        <v>3</v>
      </c>
      <c r="L928" s="1">
        <v>42887</v>
      </c>
      <c r="M928" s="22">
        <f>Table3[[#This Row],[Ship Date]]-Table3[[#This Row],[Order Date]]</f>
        <v>4</v>
      </c>
      <c r="N928" s="23" t="s">
        <v>45</v>
      </c>
      <c r="O928" s="23" t="s">
        <v>23</v>
      </c>
      <c r="P928" s="23" t="s">
        <v>441</v>
      </c>
      <c r="Q928" s="23" t="s">
        <v>133</v>
      </c>
      <c r="R928" s="23" t="s">
        <v>1920</v>
      </c>
      <c r="S928" s="33">
        <v>0.2</v>
      </c>
      <c r="T928" s="13">
        <v>13.872</v>
      </c>
      <c r="U928" s="13">
        <v>5.0286</v>
      </c>
      <c r="V928" s="55">
        <f>Table3[[#This Row],[Profit]]/Table3[[#This Row],[Sales]]</f>
        <v>0.36249999999999999</v>
      </c>
    </row>
    <row r="929" spans="1:22" x14ac:dyDescent="0.2">
      <c r="A929">
        <v>928</v>
      </c>
      <c r="B929" t="s">
        <v>9755</v>
      </c>
      <c r="C929" s="1">
        <v>42883</v>
      </c>
      <c r="D929" s="22">
        <f>MONTH(Table3[[#This Row],[Order Date]])</f>
        <v>5</v>
      </c>
      <c r="E929" t="s">
        <v>950</v>
      </c>
      <c r="F929" t="s">
        <v>951</v>
      </c>
      <c r="G929" s="23" t="s">
        <v>28</v>
      </c>
      <c r="H929" s="23" t="s">
        <v>29</v>
      </c>
      <c r="I929" t="s">
        <v>668</v>
      </c>
      <c r="J929" t="s">
        <v>36</v>
      </c>
      <c r="K929" s="22">
        <v>4</v>
      </c>
      <c r="L929" s="1">
        <v>42887</v>
      </c>
      <c r="M929" s="22">
        <f>Table3[[#This Row],[Ship Date]]-Table3[[#This Row],[Order Date]]</f>
        <v>4</v>
      </c>
      <c r="N929" s="23" t="s">
        <v>45</v>
      </c>
      <c r="O929" s="23" t="s">
        <v>23</v>
      </c>
      <c r="P929" s="23" t="s">
        <v>441</v>
      </c>
      <c r="Q929" s="23" t="s">
        <v>133</v>
      </c>
      <c r="R929" s="23" t="s">
        <v>1920</v>
      </c>
      <c r="S929" s="33">
        <v>0.5</v>
      </c>
      <c r="T929" s="13">
        <v>115.96</v>
      </c>
      <c r="U929" s="13">
        <v>-64.937600000000003</v>
      </c>
      <c r="V929" s="55">
        <f>Table3[[#This Row],[Profit]]/Table3[[#This Row],[Sales]]</f>
        <v>-0.56000000000000005</v>
      </c>
    </row>
    <row r="930" spans="1:22" x14ac:dyDescent="0.2">
      <c r="A930">
        <v>929</v>
      </c>
      <c r="B930" t="s">
        <v>1150</v>
      </c>
      <c r="C930" s="1">
        <v>42884</v>
      </c>
      <c r="D930" s="22">
        <f>MONTH(Table3[[#This Row],[Order Date]])</f>
        <v>5</v>
      </c>
      <c r="E930" t="s">
        <v>1153</v>
      </c>
      <c r="F930" t="s">
        <v>1154</v>
      </c>
      <c r="G930" s="23" t="s">
        <v>41</v>
      </c>
      <c r="H930" s="23" t="s">
        <v>82</v>
      </c>
      <c r="I930" t="s">
        <v>1151</v>
      </c>
      <c r="J930" t="s">
        <v>22</v>
      </c>
      <c r="K930" s="22">
        <v>5</v>
      </c>
      <c r="L930" s="1">
        <v>42890</v>
      </c>
      <c r="M930" s="22">
        <f>Table3[[#This Row],[Ship Date]]-Table3[[#This Row],[Order Date]]</f>
        <v>6</v>
      </c>
      <c r="N930" s="23" t="s">
        <v>45</v>
      </c>
      <c r="O930" s="23" t="s">
        <v>23</v>
      </c>
      <c r="P930" s="23" t="s">
        <v>94</v>
      </c>
      <c r="Q930" s="23" t="s">
        <v>95</v>
      </c>
      <c r="R930" s="23" t="s">
        <v>1152</v>
      </c>
      <c r="S930" s="33">
        <v>0.2</v>
      </c>
      <c r="T930" s="13">
        <v>25.92</v>
      </c>
      <c r="U930" s="13">
        <v>9.3960000000000008</v>
      </c>
      <c r="V930" s="55">
        <f>Table3[[#This Row],[Profit]]/Table3[[#This Row],[Sales]]</f>
        <v>0.36249999999999999</v>
      </c>
    </row>
    <row r="931" spans="1:22" x14ac:dyDescent="0.2">
      <c r="A931">
        <v>930</v>
      </c>
      <c r="B931" t="s">
        <v>1150</v>
      </c>
      <c r="C931" s="1">
        <v>42884</v>
      </c>
      <c r="D931" s="22">
        <f>MONTH(Table3[[#This Row],[Order Date]])</f>
        <v>5</v>
      </c>
      <c r="E931" t="s">
        <v>1155</v>
      </c>
      <c r="F931" t="s">
        <v>1156</v>
      </c>
      <c r="G931" s="23" t="s">
        <v>41</v>
      </c>
      <c r="H931" s="23" t="s">
        <v>53</v>
      </c>
      <c r="I931" t="s">
        <v>1151</v>
      </c>
      <c r="J931" t="s">
        <v>22</v>
      </c>
      <c r="K931" s="22">
        <v>3</v>
      </c>
      <c r="L931" s="1">
        <v>42890</v>
      </c>
      <c r="M931" s="22">
        <f>Table3[[#This Row],[Ship Date]]-Table3[[#This Row],[Order Date]]</f>
        <v>6</v>
      </c>
      <c r="N931" s="23" t="s">
        <v>45</v>
      </c>
      <c r="O931" s="23" t="s">
        <v>23</v>
      </c>
      <c r="P931" s="23" t="s">
        <v>94</v>
      </c>
      <c r="Q931" s="23" t="s">
        <v>95</v>
      </c>
      <c r="R931" s="23" t="s">
        <v>1152</v>
      </c>
      <c r="S931" s="33">
        <v>0.2</v>
      </c>
      <c r="T931" s="13">
        <v>53.423999999999999</v>
      </c>
      <c r="U931" s="13">
        <v>4.6745999999999999</v>
      </c>
      <c r="V931" s="55">
        <f>Table3[[#This Row],[Profit]]/Table3[[#This Row],[Sales]]</f>
        <v>8.7499999999999994E-2</v>
      </c>
    </row>
    <row r="932" spans="1:22" x14ac:dyDescent="0.2">
      <c r="A932">
        <v>931</v>
      </c>
      <c r="B932" t="s">
        <v>5908</v>
      </c>
      <c r="C932" s="1">
        <v>42884</v>
      </c>
      <c r="D932" s="22">
        <f>MONTH(Table3[[#This Row],[Order Date]])</f>
        <v>5</v>
      </c>
      <c r="E932" t="s">
        <v>5909</v>
      </c>
      <c r="F932" t="s">
        <v>5910</v>
      </c>
      <c r="G932" s="23" t="s">
        <v>28</v>
      </c>
      <c r="H932" s="23" t="s">
        <v>58</v>
      </c>
      <c r="I932" t="s">
        <v>3861</v>
      </c>
      <c r="J932" t="s">
        <v>22</v>
      </c>
      <c r="K932" s="22">
        <v>4</v>
      </c>
      <c r="L932" s="1">
        <v>42891</v>
      </c>
      <c r="M932" s="22">
        <f>Table3[[#This Row],[Ship Date]]-Table3[[#This Row],[Order Date]]</f>
        <v>7</v>
      </c>
      <c r="N932" s="23" t="s">
        <v>45</v>
      </c>
      <c r="O932" s="23" t="s">
        <v>23</v>
      </c>
      <c r="P932" s="23" t="s">
        <v>94</v>
      </c>
      <c r="Q932" s="23" t="s">
        <v>95</v>
      </c>
      <c r="R932" s="23" t="s">
        <v>165</v>
      </c>
      <c r="S932" s="33">
        <v>0.6</v>
      </c>
      <c r="T932" s="13">
        <v>65.424000000000007</v>
      </c>
      <c r="U932" s="13">
        <v>-52.339199999999998</v>
      </c>
      <c r="V932" s="55">
        <f>Table3[[#This Row],[Profit]]/Table3[[#This Row],[Sales]]</f>
        <v>-0.79999999999999993</v>
      </c>
    </row>
    <row r="933" spans="1:22" x14ac:dyDescent="0.2">
      <c r="A933">
        <v>932</v>
      </c>
      <c r="B933" t="s">
        <v>6163</v>
      </c>
      <c r="C933" s="1">
        <v>42884</v>
      </c>
      <c r="D933" s="22">
        <f>MONTH(Table3[[#This Row],[Order Date]])</f>
        <v>5</v>
      </c>
      <c r="E933" t="s">
        <v>4313</v>
      </c>
      <c r="F933" t="s">
        <v>4314</v>
      </c>
      <c r="G933" s="23" t="s">
        <v>41</v>
      </c>
      <c r="H933" s="23" t="s">
        <v>240</v>
      </c>
      <c r="I933" t="s">
        <v>1982</v>
      </c>
      <c r="J933" t="s">
        <v>92</v>
      </c>
      <c r="K933" s="22">
        <v>5</v>
      </c>
      <c r="L933" s="1">
        <v>42888</v>
      </c>
      <c r="M933" s="22">
        <f>Table3[[#This Row],[Ship Date]]-Table3[[#This Row],[Order Date]]</f>
        <v>4</v>
      </c>
      <c r="N933" s="23" t="s">
        <v>45</v>
      </c>
      <c r="O933" s="23" t="s">
        <v>23</v>
      </c>
      <c r="P933" s="23" t="s">
        <v>124</v>
      </c>
      <c r="Q933" s="23" t="s">
        <v>95</v>
      </c>
      <c r="R933" s="23" t="s">
        <v>2226</v>
      </c>
      <c r="S933" s="33">
        <v>0</v>
      </c>
      <c r="T933" s="13">
        <v>23.55</v>
      </c>
      <c r="U933" s="13">
        <v>1.1775</v>
      </c>
      <c r="V933" s="55">
        <f>Table3[[#This Row],[Profit]]/Table3[[#This Row],[Sales]]</f>
        <v>4.9999999999999996E-2</v>
      </c>
    </row>
    <row r="934" spans="1:22" x14ac:dyDescent="0.2">
      <c r="A934">
        <v>933</v>
      </c>
      <c r="B934" t="s">
        <v>8005</v>
      </c>
      <c r="C934" s="1">
        <v>42884</v>
      </c>
      <c r="D934" s="22">
        <f>MONTH(Table3[[#This Row],[Order Date]])</f>
        <v>5</v>
      </c>
      <c r="E934" t="s">
        <v>4770</v>
      </c>
      <c r="F934" t="s">
        <v>4771</v>
      </c>
      <c r="G934" s="23" t="s">
        <v>41</v>
      </c>
      <c r="H934" s="23" t="s">
        <v>68</v>
      </c>
      <c r="I934" t="s">
        <v>4575</v>
      </c>
      <c r="J934" t="s">
        <v>22</v>
      </c>
      <c r="K934" s="22">
        <v>1</v>
      </c>
      <c r="L934" s="1">
        <v>42890</v>
      </c>
      <c r="M934" s="22">
        <f>Table3[[#This Row],[Ship Date]]-Table3[[#This Row],[Order Date]]</f>
        <v>6</v>
      </c>
      <c r="N934" s="23" t="s">
        <v>45</v>
      </c>
      <c r="O934" s="23" t="s">
        <v>23</v>
      </c>
      <c r="P934" s="23" t="s">
        <v>226</v>
      </c>
      <c r="Q934" s="23" t="s">
        <v>95</v>
      </c>
      <c r="R934" s="23" t="s">
        <v>440</v>
      </c>
      <c r="S934" s="33">
        <v>0</v>
      </c>
      <c r="T934" s="13">
        <v>43.41</v>
      </c>
      <c r="U934" s="13">
        <v>19.968599999999999</v>
      </c>
      <c r="V934" s="55">
        <f>Table3[[#This Row],[Profit]]/Table3[[#This Row],[Sales]]</f>
        <v>0.46</v>
      </c>
    </row>
    <row r="935" spans="1:22" x14ac:dyDescent="0.2">
      <c r="A935">
        <v>934</v>
      </c>
      <c r="B935" t="s">
        <v>8005</v>
      </c>
      <c r="C935" s="1">
        <v>42884</v>
      </c>
      <c r="D935" s="22">
        <f>MONTH(Table3[[#This Row],[Order Date]])</f>
        <v>5</v>
      </c>
      <c r="E935" t="s">
        <v>3615</v>
      </c>
      <c r="F935" t="s">
        <v>1137</v>
      </c>
      <c r="G935" s="23" t="s">
        <v>28</v>
      </c>
      <c r="H935" s="23" t="s">
        <v>58</v>
      </c>
      <c r="I935" t="s">
        <v>4575</v>
      </c>
      <c r="J935" t="s">
        <v>22</v>
      </c>
      <c r="K935" s="22">
        <v>3</v>
      </c>
      <c r="L935" s="1">
        <v>42890</v>
      </c>
      <c r="M935" s="22">
        <f>Table3[[#This Row],[Ship Date]]-Table3[[#This Row],[Order Date]]</f>
        <v>6</v>
      </c>
      <c r="N935" s="23" t="s">
        <v>45</v>
      </c>
      <c r="O935" s="23" t="s">
        <v>23</v>
      </c>
      <c r="P935" s="23" t="s">
        <v>226</v>
      </c>
      <c r="Q935" s="23" t="s">
        <v>95</v>
      </c>
      <c r="R935" s="23" t="s">
        <v>440</v>
      </c>
      <c r="S935" s="33">
        <v>0</v>
      </c>
      <c r="T935" s="13">
        <v>6.24</v>
      </c>
      <c r="U935" s="13">
        <v>2.6208</v>
      </c>
      <c r="V935" s="55">
        <f>Table3[[#This Row],[Profit]]/Table3[[#This Row],[Sales]]</f>
        <v>0.42</v>
      </c>
    </row>
    <row r="936" spans="1:22" x14ac:dyDescent="0.2">
      <c r="A936">
        <v>935</v>
      </c>
      <c r="B936" t="s">
        <v>8005</v>
      </c>
      <c r="C936" s="1">
        <v>42884</v>
      </c>
      <c r="D936" s="22">
        <f>MONTH(Table3[[#This Row],[Order Date]])</f>
        <v>5</v>
      </c>
      <c r="E936" t="s">
        <v>8006</v>
      </c>
      <c r="F936" t="s">
        <v>8007</v>
      </c>
      <c r="G936" s="23" t="s">
        <v>41</v>
      </c>
      <c r="H936" s="23" t="s">
        <v>71</v>
      </c>
      <c r="I936" t="s">
        <v>4575</v>
      </c>
      <c r="J936" t="s">
        <v>22</v>
      </c>
      <c r="K936" s="22">
        <v>2</v>
      </c>
      <c r="L936" s="1">
        <v>42890</v>
      </c>
      <c r="M936" s="22">
        <f>Table3[[#This Row],[Ship Date]]-Table3[[#This Row],[Order Date]]</f>
        <v>6</v>
      </c>
      <c r="N936" s="23" t="s">
        <v>45</v>
      </c>
      <c r="O936" s="23" t="s">
        <v>23</v>
      </c>
      <c r="P936" s="23" t="s">
        <v>226</v>
      </c>
      <c r="Q936" s="23" t="s">
        <v>95</v>
      </c>
      <c r="R936" s="23" t="s">
        <v>440</v>
      </c>
      <c r="S936" s="33">
        <v>0</v>
      </c>
      <c r="T936" s="13">
        <v>465.16</v>
      </c>
      <c r="U936" s="13">
        <v>120.94159999999999</v>
      </c>
      <c r="V936" s="55">
        <f>Table3[[#This Row],[Profit]]/Table3[[#This Row],[Sales]]</f>
        <v>0.25999999999999995</v>
      </c>
    </row>
    <row r="937" spans="1:22" x14ac:dyDescent="0.2">
      <c r="A937">
        <v>936</v>
      </c>
      <c r="B937" t="s">
        <v>8005</v>
      </c>
      <c r="C937" s="1">
        <v>42884</v>
      </c>
      <c r="D937" s="22">
        <f>MONTH(Table3[[#This Row],[Order Date]])</f>
        <v>5</v>
      </c>
      <c r="E937" t="s">
        <v>826</v>
      </c>
      <c r="F937" t="s">
        <v>827</v>
      </c>
      <c r="G937" s="23" t="s">
        <v>41</v>
      </c>
      <c r="H937" s="23" t="s">
        <v>82</v>
      </c>
      <c r="I937" t="s">
        <v>4575</v>
      </c>
      <c r="J937" t="s">
        <v>22</v>
      </c>
      <c r="K937" s="22">
        <v>1</v>
      </c>
      <c r="L937" s="1">
        <v>42890</v>
      </c>
      <c r="M937" s="22">
        <f>Table3[[#This Row],[Ship Date]]-Table3[[#This Row],[Order Date]]</f>
        <v>6</v>
      </c>
      <c r="N937" s="23" t="s">
        <v>45</v>
      </c>
      <c r="O937" s="23" t="s">
        <v>23</v>
      </c>
      <c r="P937" s="23" t="s">
        <v>226</v>
      </c>
      <c r="Q937" s="23" t="s">
        <v>95</v>
      </c>
      <c r="R937" s="23" t="s">
        <v>440</v>
      </c>
      <c r="S937" s="33">
        <v>0</v>
      </c>
      <c r="T937" s="13">
        <v>7.98</v>
      </c>
      <c r="U937" s="13">
        <v>3.99</v>
      </c>
      <c r="V937" s="55">
        <f>Table3[[#This Row],[Profit]]/Table3[[#This Row],[Sales]]</f>
        <v>0.5</v>
      </c>
    </row>
    <row r="938" spans="1:22" x14ac:dyDescent="0.2">
      <c r="A938">
        <v>937</v>
      </c>
      <c r="B938" t="s">
        <v>8105</v>
      </c>
      <c r="C938" s="1">
        <v>42885</v>
      </c>
      <c r="D938" s="22">
        <f>MONTH(Table3[[#This Row],[Order Date]])</f>
        <v>5</v>
      </c>
      <c r="E938" t="s">
        <v>3949</v>
      </c>
      <c r="F938" t="s">
        <v>3950</v>
      </c>
      <c r="G938" s="23" t="s">
        <v>28</v>
      </c>
      <c r="H938" s="23" t="s">
        <v>29</v>
      </c>
      <c r="I938" t="s">
        <v>1739</v>
      </c>
      <c r="J938" t="s">
        <v>22</v>
      </c>
      <c r="K938" s="22">
        <v>2</v>
      </c>
      <c r="L938" s="1">
        <v>42886</v>
      </c>
      <c r="M938" s="22">
        <f>Table3[[#This Row],[Ship Date]]-Table3[[#This Row],[Order Date]]</f>
        <v>1</v>
      </c>
      <c r="N938" s="23" t="s">
        <v>169</v>
      </c>
      <c r="O938" s="23" t="s">
        <v>23</v>
      </c>
      <c r="P938" s="23" t="s">
        <v>650</v>
      </c>
      <c r="Q938" s="23" t="s">
        <v>26</v>
      </c>
      <c r="R938" s="23" t="s">
        <v>3766</v>
      </c>
      <c r="S938" s="33">
        <v>0</v>
      </c>
      <c r="T938" s="13">
        <v>241.96</v>
      </c>
      <c r="U938" s="13">
        <v>33.874400000000001</v>
      </c>
      <c r="V938" s="55">
        <f>Table3[[#This Row],[Profit]]/Table3[[#This Row],[Sales]]</f>
        <v>0.14000000000000001</v>
      </c>
    </row>
    <row r="939" spans="1:22" x14ac:dyDescent="0.2">
      <c r="A939">
        <v>938</v>
      </c>
      <c r="B939" t="s">
        <v>8105</v>
      </c>
      <c r="C939" s="1">
        <v>42885</v>
      </c>
      <c r="D939" s="22">
        <f>MONTH(Table3[[#This Row],[Order Date]])</f>
        <v>5</v>
      </c>
      <c r="E939" t="s">
        <v>3735</v>
      </c>
      <c r="F939" t="s">
        <v>3736</v>
      </c>
      <c r="G939" s="23" t="s">
        <v>41</v>
      </c>
      <c r="H939" s="23" t="s">
        <v>68</v>
      </c>
      <c r="I939" t="s">
        <v>1739</v>
      </c>
      <c r="J939" t="s">
        <v>22</v>
      </c>
      <c r="K939" s="22">
        <v>1</v>
      </c>
      <c r="L939" s="1">
        <v>42886</v>
      </c>
      <c r="M939" s="22">
        <f>Table3[[#This Row],[Ship Date]]-Table3[[#This Row],[Order Date]]</f>
        <v>1</v>
      </c>
      <c r="N939" s="23" t="s">
        <v>169</v>
      </c>
      <c r="O939" s="23" t="s">
        <v>23</v>
      </c>
      <c r="P939" s="23" t="s">
        <v>650</v>
      </c>
      <c r="Q939" s="23" t="s">
        <v>26</v>
      </c>
      <c r="R939" s="23" t="s">
        <v>3766</v>
      </c>
      <c r="S939" s="33">
        <v>0</v>
      </c>
      <c r="T939" s="13">
        <v>3.89</v>
      </c>
      <c r="U939" s="13">
        <v>1.8672</v>
      </c>
      <c r="V939" s="55">
        <f>Table3[[#This Row],[Profit]]/Table3[[#This Row],[Sales]]</f>
        <v>0.48</v>
      </c>
    </row>
    <row r="940" spans="1:22" x14ac:dyDescent="0.2">
      <c r="A940">
        <v>939</v>
      </c>
      <c r="B940" t="s">
        <v>8105</v>
      </c>
      <c r="C940" s="1">
        <v>42885</v>
      </c>
      <c r="D940" s="22">
        <f>MONTH(Table3[[#This Row],[Order Date]])</f>
        <v>5</v>
      </c>
      <c r="E940" t="s">
        <v>6115</v>
      </c>
      <c r="F940" t="s">
        <v>6116</v>
      </c>
      <c r="G940" s="23" t="s">
        <v>28</v>
      </c>
      <c r="H940" s="23" t="s">
        <v>58</v>
      </c>
      <c r="I940" t="s">
        <v>1739</v>
      </c>
      <c r="J940" t="s">
        <v>22</v>
      </c>
      <c r="K940" s="22">
        <v>3</v>
      </c>
      <c r="L940" s="1">
        <v>42886</v>
      </c>
      <c r="M940" s="22">
        <f>Table3[[#This Row],[Ship Date]]-Table3[[#This Row],[Order Date]]</f>
        <v>1</v>
      </c>
      <c r="N940" s="23" t="s">
        <v>169</v>
      </c>
      <c r="O940" s="23" t="s">
        <v>23</v>
      </c>
      <c r="P940" s="23" t="s">
        <v>650</v>
      </c>
      <c r="Q940" s="23" t="s">
        <v>26</v>
      </c>
      <c r="R940" s="23" t="s">
        <v>3766</v>
      </c>
      <c r="S940" s="33">
        <v>0</v>
      </c>
      <c r="T940" s="13">
        <v>8.01</v>
      </c>
      <c r="U940" s="13">
        <v>3.0438000000000001</v>
      </c>
      <c r="V940" s="55">
        <f>Table3[[#This Row],[Profit]]/Table3[[#This Row],[Sales]]</f>
        <v>0.38</v>
      </c>
    </row>
    <row r="941" spans="1:22" x14ac:dyDescent="0.2">
      <c r="A941">
        <v>940</v>
      </c>
      <c r="B941" t="s">
        <v>8692</v>
      </c>
      <c r="C941" s="1">
        <v>42885</v>
      </c>
      <c r="D941" s="22">
        <f>MONTH(Table3[[#This Row],[Order Date]])</f>
        <v>5</v>
      </c>
      <c r="E941" t="s">
        <v>6334</v>
      </c>
      <c r="F941" t="s">
        <v>6335</v>
      </c>
      <c r="G941" s="23" t="s">
        <v>64</v>
      </c>
      <c r="H941" s="23" t="s">
        <v>65</v>
      </c>
      <c r="I941" t="s">
        <v>3319</v>
      </c>
      <c r="J941" t="s">
        <v>92</v>
      </c>
      <c r="K941" s="22">
        <v>1</v>
      </c>
      <c r="L941" s="1">
        <v>42889</v>
      </c>
      <c r="M941" s="22">
        <f>Table3[[#This Row],[Ship Date]]-Table3[[#This Row],[Order Date]]</f>
        <v>4</v>
      </c>
      <c r="N941" s="23" t="s">
        <v>45</v>
      </c>
      <c r="O941" s="23" t="s">
        <v>23</v>
      </c>
      <c r="P941" s="23" t="s">
        <v>374</v>
      </c>
      <c r="Q941" s="23" t="s">
        <v>39</v>
      </c>
      <c r="R941" s="23" t="s">
        <v>3775</v>
      </c>
      <c r="S941" s="33">
        <v>0.2</v>
      </c>
      <c r="T941" s="13">
        <v>156.792</v>
      </c>
      <c r="U941" s="13">
        <v>17.639099999999999</v>
      </c>
      <c r="V941" s="55">
        <f>Table3[[#This Row],[Profit]]/Table3[[#This Row],[Sales]]</f>
        <v>0.11249999999999999</v>
      </c>
    </row>
    <row r="942" spans="1:22" x14ac:dyDescent="0.2">
      <c r="A942">
        <v>941</v>
      </c>
      <c r="B942" t="s">
        <v>8692</v>
      </c>
      <c r="C942" s="1">
        <v>42885</v>
      </c>
      <c r="D942" s="22">
        <f>MONTH(Table3[[#This Row],[Order Date]])</f>
        <v>5</v>
      </c>
      <c r="E942" t="s">
        <v>665</v>
      </c>
      <c r="F942" t="s">
        <v>666</v>
      </c>
      <c r="G942" s="23" t="s">
        <v>64</v>
      </c>
      <c r="H942" s="23" t="s">
        <v>144</v>
      </c>
      <c r="I942" t="s">
        <v>3319</v>
      </c>
      <c r="J942" t="s">
        <v>92</v>
      </c>
      <c r="K942" s="22">
        <v>2</v>
      </c>
      <c r="L942" s="1">
        <v>42889</v>
      </c>
      <c r="M942" s="22">
        <f>Table3[[#This Row],[Ship Date]]-Table3[[#This Row],[Order Date]]</f>
        <v>4</v>
      </c>
      <c r="N942" s="23" t="s">
        <v>45</v>
      </c>
      <c r="O942" s="23" t="s">
        <v>23</v>
      </c>
      <c r="P942" s="23" t="s">
        <v>374</v>
      </c>
      <c r="Q942" s="23" t="s">
        <v>39</v>
      </c>
      <c r="R942" s="23" t="s">
        <v>3775</v>
      </c>
      <c r="S942" s="33">
        <v>0.2</v>
      </c>
      <c r="T942" s="13">
        <v>35.36</v>
      </c>
      <c r="U942" s="13">
        <v>-3.0939999999999999</v>
      </c>
      <c r="V942" s="55">
        <f>Table3[[#This Row],[Profit]]/Table3[[#This Row],[Sales]]</f>
        <v>-8.7499999999999994E-2</v>
      </c>
    </row>
    <row r="943" spans="1:22" x14ac:dyDescent="0.2">
      <c r="A943">
        <v>942</v>
      </c>
      <c r="B943" t="s">
        <v>8692</v>
      </c>
      <c r="C943" s="1">
        <v>42885</v>
      </c>
      <c r="D943" s="22">
        <f>MONTH(Table3[[#This Row],[Order Date]])</f>
        <v>5</v>
      </c>
      <c r="E943" t="s">
        <v>8248</v>
      </c>
      <c r="F943" t="s">
        <v>8249</v>
      </c>
      <c r="G943" s="23" t="s">
        <v>28</v>
      </c>
      <c r="H943" s="23" t="s">
        <v>58</v>
      </c>
      <c r="I943" t="s">
        <v>3319</v>
      </c>
      <c r="J943" t="s">
        <v>92</v>
      </c>
      <c r="K943" s="22">
        <v>1</v>
      </c>
      <c r="L943" s="1">
        <v>42889</v>
      </c>
      <c r="M943" s="22">
        <f>Table3[[#This Row],[Ship Date]]-Table3[[#This Row],[Order Date]]</f>
        <v>4</v>
      </c>
      <c r="N943" s="23" t="s">
        <v>45</v>
      </c>
      <c r="O943" s="23" t="s">
        <v>23</v>
      </c>
      <c r="P943" s="23" t="s">
        <v>374</v>
      </c>
      <c r="Q943" s="23" t="s">
        <v>39</v>
      </c>
      <c r="R943" s="23" t="s">
        <v>3775</v>
      </c>
      <c r="S943" s="33">
        <v>0.2</v>
      </c>
      <c r="T943" s="13">
        <v>13.592000000000001</v>
      </c>
      <c r="U943" s="13">
        <v>-0.33979999999999999</v>
      </c>
      <c r="V943" s="55">
        <f>Table3[[#This Row],[Profit]]/Table3[[#This Row],[Sales]]</f>
        <v>-2.4999999999999998E-2</v>
      </c>
    </row>
    <row r="944" spans="1:22" x14ac:dyDescent="0.2">
      <c r="A944">
        <v>943</v>
      </c>
      <c r="B944" t="s">
        <v>9469</v>
      </c>
      <c r="C944" s="1">
        <v>42885</v>
      </c>
      <c r="D944" s="22">
        <f>MONTH(Table3[[#This Row],[Order Date]])</f>
        <v>5</v>
      </c>
      <c r="E944" t="s">
        <v>3264</v>
      </c>
      <c r="F944" t="s">
        <v>3265</v>
      </c>
      <c r="G944" s="23" t="s">
        <v>41</v>
      </c>
      <c r="H944" s="23" t="s">
        <v>82</v>
      </c>
      <c r="I944" t="s">
        <v>3108</v>
      </c>
      <c r="J944" t="s">
        <v>36</v>
      </c>
      <c r="K944" s="22">
        <v>4</v>
      </c>
      <c r="L944" s="1">
        <v>42890</v>
      </c>
      <c r="M944" s="22">
        <f>Table3[[#This Row],[Ship Date]]-Table3[[#This Row],[Order Date]]</f>
        <v>5</v>
      </c>
      <c r="N944" s="23" t="s">
        <v>45</v>
      </c>
      <c r="O944" s="23" t="s">
        <v>23</v>
      </c>
      <c r="P944" s="23" t="s">
        <v>38</v>
      </c>
      <c r="Q944" s="23" t="s">
        <v>39</v>
      </c>
      <c r="R944" s="23" t="s">
        <v>37</v>
      </c>
      <c r="S944" s="33">
        <v>0</v>
      </c>
      <c r="T944" s="13">
        <v>37.520000000000003</v>
      </c>
      <c r="U944" s="13">
        <v>18.009599999999999</v>
      </c>
      <c r="V944" s="55">
        <f>Table3[[#This Row],[Profit]]/Table3[[#This Row],[Sales]]</f>
        <v>0.47999999999999993</v>
      </c>
    </row>
    <row r="945" spans="1:22" x14ac:dyDescent="0.2">
      <c r="A945">
        <v>944</v>
      </c>
      <c r="B945" t="s">
        <v>9884</v>
      </c>
      <c r="C945" s="1">
        <v>42885</v>
      </c>
      <c r="D945" s="22">
        <f>MONTH(Table3[[#This Row],[Order Date]])</f>
        <v>5</v>
      </c>
      <c r="E945" t="s">
        <v>2722</v>
      </c>
      <c r="F945" t="s">
        <v>2723</v>
      </c>
      <c r="G945" s="23" t="s">
        <v>28</v>
      </c>
      <c r="H945" s="23" t="s">
        <v>29</v>
      </c>
      <c r="I945" t="s">
        <v>3047</v>
      </c>
      <c r="J945" t="s">
        <v>22</v>
      </c>
      <c r="K945" s="22">
        <v>1</v>
      </c>
      <c r="L945" s="1">
        <v>42889</v>
      </c>
      <c r="M945" s="22">
        <f>Table3[[#This Row],[Ship Date]]-Table3[[#This Row],[Order Date]]</f>
        <v>4</v>
      </c>
      <c r="N945" s="23" t="s">
        <v>20</v>
      </c>
      <c r="O945" s="23" t="s">
        <v>23</v>
      </c>
      <c r="P945" s="23" t="s">
        <v>94</v>
      </c>
      <c r="Q945" s="23" t="s">
        <v>95</v>
      </c>
      <c r="R945" s="23" t="s">
        <v>718</v>
      </c>
      <c r="S945" s="33">
        <v>0.32</v>
      </c>
      <c r="T945" s="13">
        <v>204.66640000000001</v>
      </c>
      <c r="U945" s="13">
        <v>-6.0195999999999996</v>
      </c>
      <c r="V945" s="55">
        <f>Table3[[#This Row],[Profit]]/Table3[[#This Row],[Sales]]</f>
        <v>-2.9411764705882349E-2</v>
      </c>
    </row>
    <row r="946" spans="1:22" x14ac:dyDescent="0.2">
      <c r="A946">
        <v>945</v>
      </c>
      <c r="B946" t="s">
        <v>9990</v>
      </c>
      <c r="C946" s="1">
        <v>42885</v>
      </c>
      <c r="D946" s="22">
        <f>MONTH(Table3[[#This Row],[Order Date]])</f>
        <v>5</v>
      </c>
      <c r="E946" t="s">
        <v>2157</v>
      </c>
      <c r="F946" t="s">
        <v>2158</v>
      </c>
      <c r="G946" s="23" t="s">
        <v>41</v>
      </c>
      <c r="H946" s="23" t="s">
        <v>61</v>
      </c>
      <c r="I946" t="s">
        <v>4394</v>
      </c>
      <c r="J946" t="s">
        <v>22</v>
      </c>
      <c r="K946" s="22">
        <v>6</v>
      </c>
      <c r="L946" s="1">
        <v>42889</v>
      </c>
      <c r="M946" s="22">
        <f>Table3[[#This Row],[Ship Date]]-Table3[[#This Row],[Order Date]]</f>
        <v>4</v>
      </c>
      <c r="N946" s="23" t="s">
        <v>45</v>
      </c>
      <c r="O946" s="23" t="s">
        <v>23</v>
      </c>
      <c r="P946" s="23" t="s">
        <v>38</v>
      </c>
      <c r="Q946" s="23" t="s">
        <v>39</v>
      </c>
      <c r="R946" s="23" t="s">
        <v>836</v>
      </c>
      <c r="S946" s="33">
        <v>0</v>
      </c>
      <c r="T946" s="13">
        <v>35.1</v>
      </c>
      <c r="U946" s="13">
        <v>10.179</v>
      </c>
      <c r="V946" s="55">
        <f>Table3[[#This Row],[Profit]]/Table3[[#This Row],[Sales]]</f>
        <v>0.28999999999999998</v>
      </c>
    </row>
    <row r="947" spans="1:22" x14ac:dyDescent="0.2">
      <c r="A947">
        <v>946</v>
      </c>
      <c r="B947" t="s">
        <v>4698</v>
      </c>
      <c r="C947" s="1">
        <v>42887</v>
      </c>
      <c r="D947" s="22">
        <f>MONTH(Table3[[#This Row],[Order Date]])</f>
        <v>6</v>
      </c>
      <c r="E947" t="s">
        <v>4699</v>
      </c>
      <c r="F947" t="s">
        <v>4700</v>
      </c>
      <c r="G947" s="23" t="s">
        <v>41</v>
      </c>
      <c r="H947" s="23" t="s">
        <v>71</v>
      </c>
      <c r="I947" t="s">
        <v>904</v>
      </c>
      <c r="J947" t="s">
        <v>36</v>
      </c>
      <c r="K947" s="22">
        <v>5</v>
      </c>
      <c r="L947" s="1">
        <v>42891</v>
      </c>
      <c r="M947" s="22">
        <f>Table3[[#This Row],[Ship Date]]-Table3[[#This Row],[Order Date]]</f>
        <v>4</v>
      </c>
      <c r="N947" s="23" t="s">
        <v>20</v>
      </c>
      <c r="O947" s="23" t="s">
        <v>23</v>
      </c>
      <c r="P947" s="23" t="s">
        <v>441</v>
      </c>
      <c r="Q947" s="23" t="s">
        <v>133</v>
      </c>
      <c r="R947" s="23" t="s">
        <v>2496</v>
      </c>
      <c r="S947" s="33">
        <v>0.2</v>
      </c>
      <c r="T947" s="13">
        <v>17.48</v>
      </c>
      <c r="U947" s="13">
        <v>1.3109999999999999</v>
      </c>
      <c r="V947" s="55">
        <f>Table3[[#This Row],[Profit]]/Table3[[#This Row],[Sales]]</f>
        <v>7.4999999999999997E-2</v>
      </c>
    </row>
    <row r="948" spans="1:22" x14ac:dyDescent="0.2">
      <c r="A948">
        <v>947</v>
      </c>
      <c r="B948" t="s">
        <v>7063</v>
      </c>
      <c r="C948" s="1">
        <v>42887</v>
      </c>
      <c r="D948" s="22">
        <f>MONTH(Table3[[#This Row],[Order Date]])</f>
        <v>6</v>
      </c>
      <c r="E948" t="s">
        <v>2949</v>
      </c>
      <c r="F948" t="s">
        <v>2950</v>
      </c>
      <c r="G948" s="23" t="s">
        <v>41</v>
      </c>
      <c r="H948" s="23" t="s">
        <v>68</v>
      </c>
      <c r="I948" t="s">
        <v>5238</v>
      </c>
      <c r="J948" t="s">
        <v>22</v>
      </c>
      <c r="K948" s="22">
        <v>2</v>
      </c>
      <c r="L948" s="1">
        <v>42889</v>
      </c>
      <c r="M948" s="22">
        <f>Table3[[#This Row],[Ship Date]]-Table3[[#This Row],[Order Date]]</f>
        <v>2</v>
      </c>
      <c r="N948" s="23" t="s">
        <v>169</v>
      </c>
      <c r="O948" s="23" t="s">
        <v>23</v>
      </c>
      <c r="P948" s="23" t="s">
        <v>441</v>
      </c>
      <c r="Q948" s="23" t="s">
        <v>133</v>
      </c>
      <c r="R948" s="23" t="s">
        <v>762</v>
      </c>
      <c r="S948" s="33">
        <v>0.7</v>
      </c>
      <c r="T948" s="13">
        <v>3.798</v>
      </c>
      <c r="U948" s="13">
        <v>-2.6585999999999999</v>
      </c>
      <c r="V948" s="55">
        <f>Table3[[#This Row],[Profit]]/Table3[[#This Row],[Sales]]</f>
        <v>-0.7</v>
      </c>
    </row>
    <row r="949" spans="1:22" x14ac:dyDescent="0.2">
      <c r="A949">
        <v>948</v>
      </c>
      <c r="B949" t="s">
        <v>7063</v>
      </c>
      <c r="C949" s="1">
        <v>42887</v>
      </c>
      <c r="D949" s="22">
        <f>MONTH(Table3[[#This Row],[Order Date]])</f>
        <v>6</v>
      </c>
      <c r="E949" t="s">
        <v>3003</v>
      </c>
      <c r="F949" t="s">
        <v>3004</v>
      </c>
      <c r="G949" s="23" t="s">
        <v>41</v>
      </c>
      <c r="H949" s="23" t="s">
        <v>82</v>
      </c>
      <c r="I949" t="s">
        <v>5238</v>
      </c>
      <c r="J949" t="s">
        <v>22</v>
      </c>
      <c r="K949" s="22">
        <v>6</v>
      </c>
      <c r="L949" s="1">
        <v>42889</v>
      </c>
      <c r="M949" s="22">
        <f>Table3[[#This Row],[Ship Date]]-Table3[[#This Row],[Order Date]]</f>
        <v>2</v>
      </c>
      <c r="N949" s="23" t="s">
        <v>169</v>
      </c>
      <c r="O949" s="23" t="s">
        <v>23</v>
      </c>
      <c r="P949" s="23" t="s">
        <v>441</v>
      </c>
      <c r="Q949" s="23" t="s">
        <v>133</v>
      </c>
      <c r="R949" s="23" t="s">
        <v>762</v>
      </c>
      <c r="S949" s="33">
        <v>0.2</v>
      </c>
      <c r="T949" s="13">
        <v>27.744</v>
      </c>
      <c r="U949" s="13">
        <v>10.0572</v>
      </c>
      <c r="V949" s="55">
        <f>Table3[[#This Row],[Profit]]/Table3[[#This Row],[Sales]]</f>
        <v>0.36249999999999999</v>
      </c>
    </row>
    <row r="950" spans="1:22" x14ac:dyDescent="0.2">
      <c r="A950">
        <v>949</v>
      </c>
      <c r="B950" t="s">
        <v>7063</v>
      </c>
      <c r="C950" s="1">
        <v>42887</v>
      </c>
      <c r="D950" s="22">
        <f>MONTH(Table3[[#This Row],[Order Date]])</f>
        <v>6</v>
      </c>
      <c r="E950" t="s">
        <v>735</v>
      </c>
      <c r="F950" t="s">
        <v>736</v>
      </c>
      <c r="G950" s="23" t="s">
        <v>64</v>
      </c>
      <c r="H950" s="23" t="s">
        <v>65</v>
      </c>
      <c r="I950" t="s">
        <v>5238</v>
      </c>
      <c r="J950" t="s">
        <v>22</v>
      </c>
      <c r="K950" s="22">
        <v>4</v>
      </c>
      <c r="L950" s="1">
        <v>42889</v>
      </c>
      <c r="M950" s="22">
        <f>Table3[[#This Row],[Ship Date]]-Table3[[#This Row],[Order Date]]</f>
        <v>2</v>
      </c>
      <c r="N950" s="23" t="s">
        <v>169</v>
      </c>
      <c r="O950" s="23" t="s">
        <v>23</v>
      </c>
      <c r="P950" s="23" t="s">
        <v>441</v>
      </c>
      <c r="Q950" s="23" t="s">
        <v>133</v>
      </c>
      <c r="R950" s="23" t="s">
        <v>762</v>
      </c>
      <c r="S950" s="33">
        <v>0.4</v>
      </c>
      <c r="T950" s="13">
        <v>158.376</v>
      </c>
      <c r="U950" s="13">
        <v>-34.314799999999998</v>
      </c>
      <c r="V950" s="55">
        <f>Table3[[#This Row],[Profit]]/Table3[[#This Row],[Sales]]</f>
        <v>-0.21666666666666665</v>
      </c>
    </row>
    <row r="951" spans="1:22" x14ac:dyDescent="0.2">
      <c r="A951">
        <v>950</v>
      </c>
      <c r="B951" t="s">
        <v>8809</v>
      </c>
      <c r="C951" s="1">
        <v>42887</v>
      </c>
      <c r="D951" s="22">
        <f>MONTH(Table3[[#This Row],[Order Date]])</f>
        <v>6</v>
      </c>
      <c r="E951" t="s">
        <v>2854</v>
      </c>
      <c r="F951" t="s">
        <v>2855</v>
      </c>
      <c r="G951" s="23" t="s">
        <v>41</v>
      </c>
      <c r="H951" s="23" t="s">
        <v>68</v>
      </c>
      <c r="I951" t="s">
        <v>427</v>
      </c>
      <c r="J951" t="s">
        <v>36</v>
      </c>
      <c r="K951" s="22">
        <v>5</v>
      </c>
      <c r="L951" s="1">
        <v>42891</v>
      </c>
      <c r="M951" s="22">
        <f>Table3[[#This Row],[Ship Date]]-Table3[[#This Row],[Order Date]]</f>
        <v>4</v>
      </c>
      <c r="N951" s="23" t="s">
        <v>45</v>
      </c>
      <c r="O951" s="23" t="s">
        <v>23</v>
      </c>
      <c r="P951" s="23" t="s">
        <v>124</v>
      </c>
      <c r="Q951" s="23" t="s">
        <v>95</v>
      </c>
      <c r="R951" s="23" t="s">
        <v>123</v>
      </c>
      <c r="S951" s="33">
        <v>0</v>
      </c>
      <c r="T951" s="13">
        <v>53.9</v>
      </c>
      <c r="U951" s="13">
        <v>25.872</v>
      </c>
      <c r="V951" s="55">
        <f>Table3[[#This Row],[Profit]]/Table3[[#This Row],[Sales]]</f>
        <v>0.48000000000000004</v>
      </c>
    </row>
    <row r="952" spans="1:22" x14ac:dyDescent="0.2">
      <c r="A952">
        <v>951</v>
      </c>
      <c r="B952" t="s">
        <v>8897</v>
      </c>
      <c r="C952" s="1">
        <v>42887</v>
      </c>
      <c r="D952" s="22">
        <f>MONTH(Table3[[#This Row],[Order Date]])</f>
        <v>6</v>
      </c>
      <c r="E952" t="s">
        <v>969</v>
      </c>
      <c r="F952" t="s">
        <v>970</v>
      </c>
      <c r="G952" s="23" t="s">
        <v>41</v>
      </c>
      <c r="H952" s="23" t="s">
        <v>53</v>
      </c>
      <c r="I952" t="s">
        <v>7701</v>
      </c>
      <c r="J952" t="s">
        <v>22</v>
      </c>
      <c r="K952" s="22">
        <v>3</v>
      </c>
      <c r="L952" s="1">
        <v>42892</v>
      </c>
      <c r="M952" s="22">
        <f>Table3[[#This Row],[Ship Date]]-Table3[[#This Row],[Order Date]]</f>
        <v>5</v>
      </c>
      <c r="N952" s="23" t="s">
        <v>45</v>
      </c>
      <c r="O952" s="23" t="s">
        <v>23</v>
      </c>
      <c r="P952" s="23" t="s">
        <v>132</v>
      </c>
      <c r="Q952" s="23" t="s">
        <v>133</v>
      </c>
      <c r="R952" s="23" t="s">
        <v>131</v>
      </c>
      <c r="S952" s="33">
        <v>0.2</v>
      </c>
      <c r="T952" s="13">
        <v>324.74400000000003</v>
      </c>
      <c r="U952" s="13">
        <v>-77.1267</v>
      </c>
      <c r="V952" s="55">
        <f>Table3[[#This Row],[Profit]]/Table3[[#This Row],[Sales]]</f>
        <v>-0.23749999999999999</v>
      </c>
    </row>
    <row r="953" spans="1:22" x14ac:dyDescent="0.2">
      <c r="A953">
        <v>952</v>
      </c>
      <c r="B953" t="s">
        <v>10123</v>
      </c>
      <c r="C953" s="1">
        <v>42887</v>
      </c>
      <c r="D953" s="22">
        <f>MONTH(Table3[[#This Row],[Order Date]])</f>
        <v>6</v>
      </c>
      <c r="E953" t="s">
        <v>2143</v>
      </c>
      <c r="F953" t="s">
        <v>2144</v>
      </c>
      <c r="G953" s="23" t="s">
        <v>28</v>
      </c>
      <c r="H953" s="23" t="s">
        <v>32</v>
      </c>
      <c r="I953" t="s">
        <v>2206</v>
      </c>
      <c r="J953" t="s">
        <v>36</v>
      </c>
      <c r="K953" s="22">
        <v>6</v>
      </c>
      <c r="L953" s="1">
        <v>42889</v>
      </c>
      <c r="M953" s="22">
        <f>Table3[[#This Row],[Ship Date]]-Table3[[#This Row],[Order Date]]</f>
        <v>2</v>
      </c>
      <c r="N953" s="23" t="s">
        <v>20</v>
      </c>
      <c r="O953" s="23" t="s">
        <v>23</v>
      </c>
      <c r="P953" s="23" t="s">
        <v>226</v>
      </c>
      <c r="Q953" s="23" t="s">
        <v>95</v>
      </c>
      <c r="R953" s="23" t="s">
        <v>3859</v>
      </c>
      <c r="S953" s="33">
        <v>0</v>
      </c>
      <c r="T953" s="13">
        <v>1925.88</v>
      </c>
      <c r="U953" s="13">
        <v>539.24639999999999</v>
      </c>
      <c r="V953" s="55">
        <f>Table3[[#This Row],[Profit]]/Table3[[#This Row],[Sales]]</f>
        <v>0.27999999999999997</v>
      </c>
    </row>
    <row r="954" spans="1:22" x14ac:dyDescent="0.2">
      <c r="A954">
        <v>953</v>
      </c>
      <c r="B954" t="s">
        <v>10123</v>
      </c>
      <c r="C954" s="1">
        <v>42887</v>
      </c>
      <c r="D954" s="22">
        <f>MONTH(Table3[[#This Row],[Order Date]])</f>
        <v>6</v>
      </c>
      <c r="E954" t="s">
        <v>828</v>
      </c>
      <c r="F954" t="s">
        <v>829</v>
      </c>
      <c r="G954" s="23" t="s">
        <v>41</v>
      </c>
      <c r="H954" s="23" t="s">
        <v>71</v>
      </c>
      <c r="I954" t="s">
        <v>2206</v>
      </c>
      <c r="J954" t="s">
        <v>36</v>
      </c>
      <c r="K954" s="22">
        <v>8</v>
      </c>
      <c r="L954" s="1">
        <v>42889</v>
      </c>
      <c r="M954" s="22">
        <f>Table3[[#This Row],[Ship Date]]-Table3[[#This Row],[Order Date]]</f>
        <v>2</v>
      </c>
      <c r="N954" s="23" t="s">
        <v>20</v>
      </c>
      <c r="O954" s="23" t="s">
        <v>23</v>
      </c>
      <c r="P954" s="23" t="s">
        <v>226</v>
      </c>
      <c r="Q954" s="23" t="s">
        <v>95</v>
      </c>
      <c r="R954" s="23" t="s">
        <v>3859</v>
      </c>
      <c r="S954" s="33">
        <v>0</v>
      </c>
      <c r="T954" s="13">
        <v>2405.1999999999998</v>
      </c>
      <c r="U954" s="13">
        <v>793.71600000000001</v>
      </c>
      <c r="V954" s="55">
        <f>Table3[[#This Row],[Profit]]/Table3[[#This Row],[Sales]]</f>
        <v>0.33</v>
      </c>
    </row>
    <row r="955" spans="1:22" x14ac:dyDescent="0.2">
      <c r="A955">
        <v>954</v>
      </c>
      <c r="B955" t="s">
        <v>10123</v>
      </c>
      <c r="C955" s="1">
        <v>42887</v>
      </c>
      <c r="D955" s="22">
        <f>MONTH(Table3[[#This Row],[Order Date]])</f>
        <v>6</v>
      </c>
      <c r="E955" t="s">
        <v>3988</v>
      </c>
      <c r="F955" t="s">
        <v>3989</v>
      </c>
      <c r="G955" s="23" t="s">
        <v>64</v>
      </c>
      <c r="H955" s="23" t="s">
        <v>144</v>
      </c>
      <c r="I955" t="s">
        <v>2206</v>
      </c>
      <c r="J955" t="s">
        <v>36</v>
      </c>
      <c r="K955" s="22">
        <v>3</v>
      </c>
      <c r="L955" s="1">
        <v>42889</v>
      </c>
      <c r="M955" s="22">
        <f>Table3[[#This Row],[Ship Date]]-Table3[[#This Row],[Order Date]]</f>
        <v>2</v>
      </c>
      <c r="N955" s="23" t="s">
        <v>20</v>
      </c>
      <c r="O955" s="23" t="s">
        <v>23</v>
      </c>
      <c r="P955" s="23" t="s">
        <v>226</v>
      </c>
      <c r="Q955" s="23" t="s">
        <v>95</v>
      </c>
      <c r="R955" s="23" t="s">
        <v>3859</v>
      </c>
      <c r="S955" s="33">
        <v>0</v>
      </c>
      <c r="T955" s="13">
        <v>83.97</v>
      </c>
      <c r="U955" s="13">
        <v>15.9543</v>
      </c>
      <c r="V955" s="55">
        <f>Table3[[#This Row],[Profit]]/Table3[[#This Row],[Sales]]</f>
        <v>0.19</v>
      </c>
    </row>
    <row r="956" spans="1:22" x14ac:dyDescent="0.2">
      <c r="A956">
        <v>955</v>
      </c>
      <c r="B956" t="s">
        <v>10123</v>
      </c>
      <c r="C956" s="1">
        <v>42887</v>
      </c>
      <c r="D956" s="22">
        <f>MONTH(Table3[[#This Row],[Order Date]])</f>
        <v>6</v>
      </c>
      <c r="E956" t="s">
        <v>2348</v>
      </c>
      <c r="F956" t="s">
        <v>2349</v>
      </c>
      <c r="G956" s="23" t="s">
        <v>64</v>
      </c>
      <c r="H956" s="23" t="s">
        <v>144</v>
      </c>
      <c r="I956" t="s">
        <v>2206</v>
      </c>
      <c r="J956" t="s">
        <v>36</v>
      </c>
      <c r="K956" s="22">
        <v>1</v>
      </c>
      <c r="L956" s="1">
        <v>42889</v>
      </c>
      <c r="M956" s="22">
        <f>Table3[[#This Row],[Ship Date]]-Table3[[#This Row],[Order Date]]</f>
        <v>2</v>
      </c>
      <c r="N956" s="23" t="s">
        <v>20</v>
      </c>
      <c r="O956" s="23" t="s">
        <v>23</v>
      </c>
      <c r="P956" s="23" t="s">
        <v>226</v>
      </c>
      <c r="Q956" s="23" t="s">
        <v>95</v>
      </c>
      <c r="R956" s="23" t="s">
        <v>3859</v>
      </c>
      <c r="S956" s="33">
        <v>0</v>
      </c>
      <c r="T956" s="13">
        <v>39.89</v>
      </c>
      <c r="U956" s="13">
        <v>14.7593</v>
      </c>
      <c r="V956" s="55">
        <f>Table3[[#This Row],[Profit]]/Table3[[#This Row],[Sales]]</f>
        <v>0.37</v>
      </c>
    </row>
    <row r="957" spans="1:22" x14ac:dyDescent="0.2">
      <c r="A957">
        <v>956</v>
      </c>
      <c r="B957" t="s">
        <v>10123</v>
      </c>
      <c r="C957" s="1">
        <v>42887</v>
      </c>
      <c r="D957" s="22">
        <f>MONTH(Table3[[#This Row],[Order Date]])</f>
        <v>6</v>
      </c>
      <c r="E957" t="s">
        <v>2903</v>
      </c>
      <c r="F957" t="s">
        <v>2904</v>
      </c>
      <c r="G957" s="23" t="s">
        <v>41</v>
      </c>
      <c r="H957" s="23" t="s">
        <v>68</v>
      </c>
      <c r="I957" t="s">
        <v>2206</v>
      </c>
      <c r="J957" t="s">
        <v>36</v>
      </c>
      <c r="K957" s="22">
        <v>2</v>
      </c>
      <c r="L957" s="1">
        <v>42889</v>
      </c>
      <c r="M957" s="22">
        <f>Table3[[#This Row],[Ship Date]]-Table3[[#This Row],[Order Date]]</f>
        <v>2</v>
      </c>
      <c r="N957" s="23" t="s">
        <v>20</v>
      </c>
      <c r="O957" s="23" t="s">
        <v>23</v>
      </c>
      <c r="P957" s="23" t="s">
        <v>226</v>
      </c>
      <c r="Q957" s="23" t="s">
        <v>95</v>
      </c>
      <c r="R957" s="23" t="s">
        <v>3859</v>
      </c>
      <c r="S957" s="33">
        <v>0</v>
      </c>
      <c r="T957" s="13">
        <v>17.38</v>
      </c>
      <c r="U957" s="13">
        <v>8.69</v>
      </c>
      <c r="V957" s="55">
        <f>Table3[[#This Row],[Profit]]/Table3[[#This Row],[Sales]]</f>
        <v>0.5</v>
      </c>
    </row>
    <row r="958" spans="1:22" x14ac:dyDescent="0.2">
      <c r="A958">
        <v>957</v>
      </c>
      <c r="B958" t="s">
        <v>3244</v>
      </c>
      <c r="C958" s="1">
        <v>42888</v>
      </c>
      <c r="D958" s="22">
        <f>MONTH(Table3[[#This Row],[Order Date]])</f>
        <v>6</v>
      </c>
      <c r="E958" t="s">
        <v>1711</v>
      </c>
      <c r="F958" t="s">
        <v>1712</v>
      </c>
      <c r="G958" s="23" t="s">
        <v>64</v>
      </c>
      <c r="H958" s="23" t="s">
        <v>65</v>
      </c>
      <c r="I958" t="s">
        <v>3245</v>
      </c>
      <c r="J958" t="s">
        <v>92</v>
      </c>
      <c r="K958" s="22">
        <v>1</v>
      </c>
      <c r="L958" s="1">
        <v>42892</v>
      </c>
      <c r="M958" s="22">
        <f>Table3[[#This Row],[Ship Date]]-Table3[[#This Row],[Order Date]]</f>
        <v>4</v>
      </c>
      <c r="N958" s="23" t="s">
        <v>45</v>
      </c>
      <c r="O958" s="23" t="s">
        <v>23</v>
      </c>
      <c r="P958" s="23" t="s">
        <v>441</v>
      </c>
      <c r="Q958" s="23" t="s">
        <v>133</v>
      </c>
      <c r="R958" s="23" t="s">
        <v>2315</v>
      </c>
      <c r="S958" s="33">
        <v>0.4</v>
      </c>
      <c r="T958" s="13">
        <v>2.97</v>
      </c>
      <c r="U958" s="13">
        <v>-0.64349999999999996</v>
      </c>
      <c r="V958" s="55">
        <f>Table3[[#This Row],[Profit]]/Table3[[#This Row],[Sales]]</f>
        <v>-0.21666666666666665</v>
      </c>
    </row>
    <row r="959" spans="1:22" x14ac:dyDescent="0.2">
      <c r="A959">
        <v>958</v>
      </c>
      <c r="B959" t="s">
        <v>3244</v>
      </c>
      <c r="C959" s="1">
        <v>42888</v>
      </c>
      <c r="D959" s="22">
        <f>MONTH(Table3[[#This Row],[Order Date]])</f>
        <v>6</v>
      </c>
      <c r="E959" t="s">
        <v>1564</v>
      </c>
      <c r="F959" t="s">
        <v>1565</v>
      </c>
      <c r="G959" s="23" t="s">
        <v>41</v>
      </c>
      <c r="H959" s="23" t="s">
        <v>53</v>
      </c>
      <c r="I959" t="s">
        <v>3245</v>
      </c>
      <c r="J959" t="s">
        <v>92</v>
      </c>
      <c r="K959" s="22">
        <v>2</v>
      </c>
      <c r="L959" s="1">
        <v>42892</v>
      </c>
      <c r="M959" s="22">
        <f>Table3[[#This Row],[Ship Date]]-Table3[[#This Row],[Order Date]]</f>
        <v>4</v>
      </c>
      <c r="N959" s="23" t="s">
        <v>45</v>
      </c>
      <c r="O959" s="23" t="s">
        <v>23</v>
      </c>
      <c r="P959" s="23" t="s">
        <v>441</v>
      </c>
      <c r="Q959" s="23" t="s">
        <v>133</v>
      </c>
      <c r="R959" s="23" t="s">
        <v>2315</v>
      </c>
      <c r="S959" s="33">
        <v>0.2</v>
      </c>
      <c r="T959" s="13">
        <v>27.44</v>
      </c>
      <c r="U959" s="13">
        <v>2.4009999999999998</v>
      </c>
      <c r="V959" s="55">
        <f>Table3[[#This Row],[Profit]]/Table3[[#This Row],[Sales]]</f>
        <v>8.7499999999999994E-2</v>
      </c>
    </row>
    <row r="960" spans="1:22" x14ac:dyDescent="0.2">
      <c r="A960">
        <v>959</v>
      </c>
      <c r="B960" t="s">
        <v>6140</v>
      </c>
      <c r="C960" s="1">
        <v>42888</v>
      </c>
      <c r="D960" s="22">
        <f>MONTH(Table3[[#This Row],[Order Date]])</f>
        <v>6</v>
      </c>
      <c r="E960" t="s">
        <v>805</v>
      </c>
      <c r="F960" t="s">
        <v>806</v>
      </c>
      <c r="G960" s="23" t="s">
        <v>41</v>
      </c>
      <c r="H960" s="23" t="s">
        <v>82</v>
      </c>
      <c r="I960" t="s">
        <v>1194</v>
      </c>
      <c r="J960" t="s">
        <v>22</v>
      </c>
      <c r="K960" s="22">
        <v>6</v>
      </c>
      <c r="L960" s="1">
        <v>42891</v>
      </c>
      <c r="M960" s="22">
        <f>Table3[[#This Row],[Ship Date]]-Table3[[#This Row],[Order Date]]</f>
        <v>3</v>
      </c>
      <c r="N960" s="23" t="s">
        <v>20</v>
      </c>
      <c r="O960" s="23" t="s">
        <v>23</v>
      </c>
      <c r="P960" s="23" t="s">
        <v>277</v>
      </c>
      <c r="Q960" s="23" t="s">
        <v>39</v>
      </c>
      <c r="R960" s="23" t="s">
        <v>1613</v>
      </c>
      <c r="S960" s="33">
        <v>0.2</v>
      </c>
      <c r="T960" s="13">
        <v>25.344000000000001</v>
      </c>
      <c r="U960" s="13">
        <v>7.92</v>
      </c>
      <c r="V960" s="55">
        <f>Table3[[#This Row],[Profit]]/Table3[[#This Row],[Sales]]</f>
        <v>0.3125</v>
      </c>
    </row>
    <row r="961" spans="1:22" x14ac:dyDescent="0.2">
      <c r="A961">
        <v>960</v>
      </c>
      <c r="B961" t="s">
        <v>6140</v>
      </c>
      <c r="C961" s="1">
        <v>42888</v>
      </c>
      <c r="D961" s="22">
        <f>MONTH(Table3[[#This Row],[Order Date]])</f>
        <v>6</v>
      </c>
      <c r="E961" t="s">
        <v>2055</v>
      </c>
      <c r="F961" t="s">
        <v>2056</v>
      </c>
      <c r="G961" s="23" t="s">
        <v>41</v>
      </c>
      <c r="H961" s="23" t="s">
        <v>155</v>
      </c>
      <c r="I961" t="s">
        <v>1194</v>
      </c>
      <c r="J961" t="s">
        <v>22</v>
      </c>
      <c r="K961" s="22">
        <v>5</v>
      </c>
      <c r="L961" s="1">
        <v>42891</v>
      </c>
      <c r="M961" s="22">
        <f>Table3[[#This Row],[Ship Date]]-Table3[[#This Row],[Order Date]]</f>
        <v>3</v>
      </c>
      <c r="N961" s="23" t="s">
        <v>20</v>
      </c>
      <c r="O961" s="23" t="s">
        <v>23</v>
      </c>
      <c r="P961" s="23" t="s">
        <v>277</v>
      </c>
      <c r="Q961" s="23" t="s">
        <v>39</v>
      </c>
      <c r="R961" s="23" t="s">
        <v>1613</v>
      </c>
      <c r="S961" s="33">
        <v>0.2</v>
      </c>
      <c r="T961" s="13">
        <v>43.92</v>
      </c>
      <c r="U961" s="13">
        <v>15.920999999999999</v>
      </c>
      <c r="V961" s="55">
        <f>Table3[[#This Row],[Profit]]/Table3[[#This Row],[Sales]]</f>
        <v>0.36249999999999999</v>
      </c>
    </row>
    <row r="962" spans="1:22" x14ac:dyDescent="0.2">
      <c r="A962">
        <v>961</v>
      </c>
      <c r="B962" t="s">
        <v>7012</v>
      </c>
      <c r="C962" s="1">
        <v>42888</v>
      </c>
      <c r="D962" s="22">
        <f>MONTH(Table3[[#This Row],[Order Date]])</f>
        <v>6</v>
      </c>
      <c r="E962" t="s">
        <v>6259</v>
      </c>
      <c r="F962" t="s">
        <v>6260</v>
      </c>
      <c r="G962" s="23" t="s">
        <v>41</v>
      </c>
      <c r="H962" s="23" t="s">
        <v>82</v>
      </c>
      <c r="I962" t="s">
        <v>7013</v>
      </c>
      <c r="J962" t="s">
        <v>22</v>
      </c>
      <c r="K962" s="22">
        <v>4</v>
      </c>
      <c r="L962" s="1">
        <v>42889</v>
      </c>
      <c r="M962" s="22">
        <f>Table3[[#This Row],[Ship Date]]-Table3[[#This Row],[Order Date]]</f>
        <v>1</v>
      </c>
      <c r="N962" s="23" t="s">
        <v>1141</v>
      </c>
      <c r="O962" s="23" t="s">
        <v>23</v>
      </c>
      <c r="P962" s="23" t="s">
        <v>80</v>
      </c>
      <c r="Q962" s="23" t="s">
        <v>26</v>
      </c>
      <c r="R962" s="23" t="s">
        <v>1345</v>
      </c>
      <c r="S962" s="33">
        <v>0.2</v>
      </c>
      <c r="T962" s="13">
        <v>25.344000000000001</v>
      </c>
      <c r="U962" s="13">
        <v>9.1872000000000007</v>
      </c>
      <c r="V962" s="55">
        <f>Table3[[#This Row],[Profit]]/Table3[[#This Row],[Sales]]</f>
        <v>0.36249999999999999</v>
      </c>
    </row>
    <row r="963" spans="1:22" x14ac:dyDescent="0.2">
      <c r="A963">
        <v>962</v>
      </c>
      <c r="B963" t="s">
        <v>8851</v>
      </c>
      <c r="C963" s="1">
        <v>42888</v>
      </c>
      <c r="D963" s="22">
        <f>MONTH(Table3[[#This Row],[Order Date]])</f>
        <v>6</v>
      </c>
      <c r="E963" t="s">
        <v>1979</v>
      </c>
      <c r="F963" t="s">
        <v>1980</v>
      </c>
      <c r="G963" s="23" t="s">
        <v>41</v>
      </c>
      <c r="H963" s="23" t="s">
        <v>82</v>
      </c>
      <c r="I963" t="s">
        <v>3538</v>
      </c>
      <c r="J963" t="s">
        <v>22</v>
      </c>
      <c r="K963" s="22">
        <v>2</v>
      </c>
      <c r="L963" s="1">
        <v>42894</v>
      </c>
      <c r="M963" s="22">
        <f>Table3[[#This Row],[Ship Date]]-Table3[[#This Row],[Order Date]]</f>
        <v>6</v>
      </c>
      <c r="N963" s="23" t="s">
        <v>45</v>
      </c>
      <c r="O963" s="23" t="s">
        <v>23</v>
      </c>
      <c r="P963" s="23" t="s">
        <v>94</v>
      </c>
      <c r="Q963" s="23" t="s">
        <v>95</v>
      </c>
      <c r="R963" s="23" t="s">
        <v>165</v>
      </c>
      <c r="S963" s="33">
        <v>0.2</v>
      </c>
      <c r="T963" s="13">
        <v>10.688000000000001</v>
      </c>
      <c r="U963" s="13">
        <v>3.7408000000000001</v>
      </c>
      <c r="V963" s="55">
        <f>Table3[[#This Row],[Profit]]/Table3[[#This Row],[Sales]]</f>
        <v>0.35</v>
      </c>
    </row>
    <row r="964" spans="1:22" x14ac:dyDescent="0.2">
      <c r="A964">
        <v>963</v>
      </c>
      <c r="B964" t="s">
        <v>721</v>
      </c>
      <c r="C964" s="1">
        <v>42889</v>
      </c>
      <c r="D964" s="22">
        <f>MONTH(Table3[[#This Row],[Order Date]])</f>
        <v>6</v>
      </c>
      <c r="E964" t="s">
        <v>723</v>
      </c>
      <c r="F964" t="s">
        <v>724</v>
      </c>
      <c r="G964" s="23" t="s">
        <v>28</v>
      </c>
      <c r="H964" s="23" t="s">
        <v>58</v>
      </c>
      <c r="I964" t="s">
        <v>722</v>
      </c>
      <c r="J964" t="s">
        <v>36</v>
      </c>
      <c r="K964" s="22">
        <v>7</v>
      </c>
      <c r="L964" s="1">
        <v>42893</v>
      </c>
      <c r="M964" s="22">
        <f>Table3[[#This Row],[Ship Date]]-Table3[[#This Row],[Order Date]]</f>
        <v>4</v>
      </c>
      <c r="N964" s="23" t="s">
        <v>45</v>
      </c>
      <c r="O964" s="23" t="s">
        <v>23</v>
      </c>
      <c r="P964" s="23" t="s">
        <v>299</v>
      </c>
      <c r="Q964" s="23" t="s">
        <v>26</v>
      </c>
      <c r="R964" s="23" t="s">
        <v>541</v>
      </c>
      <c r="S964" s="33">
        <v>0.2</v>
      </c>
      <c r="T964" s="13">
        <v>35.167999999999999</v>
      </c>
      <c r="U964" s="13">
        <v>9.6712000000000007</v>
      </c>
      <c r="V964" s="55">
        <f>Table3[[#This Row],[Profit]]/Table3[[#This Row],[Sales]]</f>
        <v>0.27500000000000002</v>
      </c>
    </row>
    <row r="965" spans="1:22" x14ac:dyDescent="0.2">
      <c r="A965">
        <v>964</v>
      </c>
      <c r="B965" t="s">
        <v>7811</v>
      </c>
      <c r="C965" s="1">
        <v>42889</v>
      </c>
      <c r="D965" s="22">
        <f>MONTH(Table3[[#This Row],[Order Date]])</f>
        <v>6</v>
      </c>
      <c r="E965" t="s">
        <v>3418</v>
      </c>
      <c r="F965" t="s">
        <v>3419</v>
      </c>
      <c r="G965" s="23" t="s">
        <v>64</v>
      </c>
      <c r="H965" s="23" t="s">
        <v>144</v>
      </c>
      <c r="I965" t="s">
        <v>1789</v>
      </c>
      <c r="J965" t="s">
        <v>36</v>
      </c>
      <c r="K965" s="22">
        <v>10</v>
      </c>
      <c r="L965" s="1">
        <v>42894</v>
      </c>
      <c r="M965" s="22">
        <f>Table3[[#This Row],[Ship Date]]-Table3[[#This Row],[Order Date]]</f>
        <v>5</v>
      </c>
      <c r="N965" s="23" t="s">
        <v>45</v>
      </c>
      <c r="O965" s="23" t="s">
        <v>23</v>
      </c>
      <c r="P965" s="23" t="s">
        <v>87</v>
      </c>
      <c r="Q965" s="23" t="s">
        <v>39</v>
      </c>
      <c r="R965" s="23" t="s">
        <v>5042</v>
      </c>
      <c r="S965" s="33">
        <v>0</v>
      </c>
      <c r="T965" s="13">
        <v>1099.5</v>
      </c>
      <c r="U965" s="13">
        <v>362.83499999999998</v>
      </c>
      <c r="V965" s="55">
        <f>Table3[[#This Row],[Profit]]/Table3[[#This Row],[Sales]]</f>
        <v>0.32999999999999996</v>
      </c>
    </row>
    <row r="966" spans="1:22" x14ac:dyDescent="0.2">
      <c r="A966">
        <v>965</v>
      </c>
      <c r="B966" t="s">
        <v>7921</v>
      </c>
      <c r="C966" s="1">
        <v>42889</v>
      </c>
      <c r="D966" s="22">
        <f>MONTH(Table3[[#This Row],[Order Date]])</f>
        <v>6</v>
      </c>
      <c r="E966" t="s">
        <v>3664</v>
      </c>
      <c r="F966" t="s">
        <v>3665</v>
      </c>
      <c r="G966" s="23" t="s">
        <v>64</v>
      </c>
      <c r="H966" s="23" t="s">
        <v>144</v>
      </c>
      <c r="I966" t="s">
        <v>1233</v>
      </c>
      <c r="J966" t="s">
        <v>36</v>
      </c>
      <c r="K966" s="22">
        <v>5</v>
      </c>
      <c r="L966" s="1">
        <v>42893</v>
      </c>
      <c r="M966" s="22">
        <f>Table3[[#This Row],[Ship Date]]-Table3[[#This Row],[Order Date]]</f>
        <v>4</v>
      </c>
      <c r="N966" s="23" t="s">
        <v>45</v>
      </c>
      <c r="O966" s="23" t="s">
        <v>23</v>
      </c>
      <c r="P966" s="23" t="s">
        <v>38</v>
      </c>
      <c r="Q966" s="23" t="s">
        <v>39</v>
      </c>
      <c r="R966" s="23" t="s">
        <v>37</v>
      </c>
      <c r="S966" s="33">
        <v>0</v>
      </c>
      <c r="T966" s="13">
        <v>44.75</v>
      </c>
      <c r="U966" s="13">
        <v>8.5024999999999995</v>
      </c>
      <c r="V966" s="55">
        <f>Table3[[#This Row],[Profit]]/Table3[[#This Row],[Sales]]</f>
        <v>0.19</v>
      </c>
    </row>
    <row r="967" spans="1:22" x14ac:dyDescent="0.2">
      <c r="A967">
        <v>966</v>
      </c>
      <c r="B967" t="s">
        <v>7921</v>
      </c>
      <c r="C967" s="1">
        <v>42889</v>
      </c>
      <c r="D967" s="22">
        <f>MONTH(Table3[[#This Row],[Order Date]])</f>
        <v>6</v>
      </c>
      <c r="E967" t="s">
        <v>7922</v>
      </c>
      <c r="F967" t="s">
        <v>7923</v>
      </c>
      <c r="G967" s="23" t="s">
        <v>41</v>
      </c>
      <c r="H967" s="23" t="s">
        <v>82</v>
      </c>
      <c r="I967" t="s">
        <v>1233</v>
      </c>
      <c r="J967" t="s">
        <v>36</v>
      </c>
      <c r="K967" s="22">
        <v>2</v>
      </c>
      <c r="L967" s="1">
        <v>42893</v>
      </c>
      <c r="M967" s="22">
        <f>Table3[[#This Row],[Ship Date]]-Table3[[#This Row],[Order Date]]</f>
        <v>4</v>
      </c>
      <c r="N967" s="23" t="s">
        <v>45</v>
      </c>
      <c r="O967" s="23" t="s">
        <v>23</v>
      </c>
      <c r="P967" s="23" t="s">
        <v>38</v>
      </c>
      <c r="Q967" s="23" t="s">
        <v>39</v>
      </c>
      <c r="R967" s="23" t="s">
        <v>37</v>
      </c>
      <c r="S967" s="33">
        <v>0</v>
      </c>
      <c r="T967" s="13">
        <v>11.96</v>
      </c>
      <c r="U967" s="13">
        <v>5.3819999999999997</v>
      </c>
      <c r="V967" s="55">
        <f>Table3[[#This Row],[Profit]]/Table3[[#This Row],[Sales]]</f>
        <v>0.44999999999999996</v>
      </c>
    </row>
    <row r="968" spans="1:22" x14ac:dyDescent="0.2">
      <c r="A968">
        <v>967</v>
      </c>
      <c r="B968" t="s">
        <v>7921</v>
      </c>
      <c r="C968" s="1">
        <v>42889</v>
      </c>
      <c r="D968" s="22">
        <f>MONTH(Table3[[#This Row],[Order Date]])</f>
        <v>6</v>
      </c>
      <c r="E968" t="s">
        <v>2645</v>
      </c>
      <c r="F968" t="s">
        <v>2646</v>
      </c>
      <c r="G968" s="23" t="s">
        <v>41</v>
      </c>
      <c r="H968" s="23" t="s">
        <v>68</v>
      </c>
      <c r="I968" t="s">
        <v>1233</v>
      </c>
      <c r="J968" t="s">
        <v>36</v>
      </c>
      <c r="K968" s="22">
        <v>1</v>
      </c>
      <c r="L968" s="1">
        <v>42893</v>
      </c>
      <c r="M968" s="22">
        <f>Table3[[#This Row],[Ship Date]]-Table3[[#This Row],[Order Date]]</f>
        <v>4</v>
      </c>
      <c r="N968" s="23" t="s">
        <v>45</v>
      </c>
      <c r="O968" s="23" t="s">
        <v>23</v>
      </c>
      <c r="P968" s="23" t="s">
        <v>38</v>
      </c>
      <c r="Q968" s="23" t="s">
        <v>39</v>
      </c>
      <c r="R968" s="23" t="s">
        <v>37</v>
      </c>
      <c r="S968" s="33">
        <v>0.2</v>
      </c>
      <c r="T968" s="13">
        <v>3.9119999999999999</v>
      </c>
      <c r="U968" s="13">
        <v>1.2714000000000001</v>
      </c>
      <c r="V968" s="55">
        <f>Table3[[#This Row],[Profit]]/Table3[[#This Row],[Sales]]</f>
        <v>0.32500000000000001</v>
      </c>
    </row>
    <row r="969" spans="1:22" x14ac:dyDescent="0.2">
      <c r="A969">
        <v>968</v>
      </c>
      <c r="B969" t="s">
        <v>8147</v>
      </c>
      <c r="C969" s="1">
        <v>42889</v>
      </c>
      <c r="D969" s="22">
        <f>MONTH(Table3[[#This Row],[Order Date]])</f>
        <v>6</v>
      </c>
      <c r="E969" t="s">
        <v>3027</v>
      </c>
      <c r="F969" t="s">
        <v>3028</v>
      </c>
      <c r="G969" s="23" t="s">
        <v>41</v>
      </c>
      <c r="H969" s="23" t="s">
        <v>68</v>
      </c>
      <c r="I969" t="s">
        <v>6975</v>
      </c>
      <c r="J969" t="s">
        <v>22</v>
      </c>
      <c r="K969" s="22">
        <v>3</v>
      </c>
      <c r="L969" s="1">
        <v>42896</v>
      </c>
      <c r="M969" s="22">
        <f>Table3[[#This Row],[Ship Date]]-Table3[[#This Row],[Order Date]]</f>
        <v>7</v>
      </c>
      <c r="N969" s="23" t="s">
        <v>45</v>
      </c>
      <c r="O969" s="23" t="s">
        <v>23</v>
      </c>
      <c r="P969" s="23" t="s">
        <v>48</v>
      </c>
      <c r="Q969" s="23" t="s">
        <v>26</v>
      </c>
      <c r="R969" s="23" t="s">
        <v>1195</v>
      </c>
      <c r="S969" s="33">
        <v>0.7</v>
      </c>
      <c r="T969" s="13">
        <v>4.5540000000000003</v>
      </c>
      <c r="U969" s="13">
        <v>-3.4914000000000001</v>
      </c>
      <c r="V969" s="55">
        <f>Table3[[#This Row],[Profit]]/Table3[[#This Row],[Sales]]</f>
        <v>-0.76666666666666661</v>
      </c>
    </row>
    <row r="970" spans="1:22" x14ac:dyDescent="0.2">
      <c r="A970">
        <v>969</v>
      </c>
      <c r="B970" t="s">
        <v>8147</v>
      </c>
      <c r="C970" s="1">
        <v>42889</v>
      </c>
      <c r="D970" s="22">
        <f>MONTH(Table3[[#This Row],[Order Date]])</f>
        <v>6</v>
      </c>
      <c r="E970" t="s">
        <v>714</v>
      </c>
      <c r="F970" t="s">
        <v>715</v>
      </c>
      <c r="G970" s="23" t="s">
        <v>41</v>
      </c>
      <c r="H970" s="23" t="s">
        <v>71</v>
      </c>
      <c r="I970" t="s">
        <v>6975</v>
      </c>
      <c r="J970" t="s">
        <v>22</v>
      </c>
      <c r="K970" s="22">
        <v>2</v>
      </c>
      <c r="L970" s="1">
        <v>42896</v>
      </c>
      <c r="M970" s="22">
        <f>Table3[[#This Row],[Ship Date]]-Table3[[#This Row],[Order Date]]</f>
        <v>7</v>
      </c>
      <c r="N970" s="23" t="s">
        <v>45</v>
      </c>
      <c r="O970" s="23" t="s">
        <v>23</v>
      </c>
      <c r="P970" s="23" t="s">
        <v>48</v>
      </c>
      <c r="Q970" s="23" t="s">
        <v>26</v>
      </c>
      <c r="R970" s="23" t="s">
        <v>1195</v>
      </c>
      <c r="S970" s="33">
        <v>0.2</v>
      </c>
      <c r="T970" s="13">
        <v>5.2</v>
      </c>
      <c r="U970" s="13">
        <v>0.58499999999999996</v>
      </c>
      <c r="V970" s="55">
        <f>Table3[[#This Row],[Profit]]/Table3[[#This Row],[Sales]]</f>
        <v>0.11249999999999999</v>
      </c>
    </row>
    <row r="971" spans="1:22" x14ac:dyDescent="0.2">
      <c r="A971">
        <v>970</v>
      </c>
      <c r="B971" t="s">
        <v>8147</v>
      </c>
      <c r="C971" s="1">
        <v>42889</v>
      </c>
      <c r="D971" s="22">
        <f>MONTH(Table3[[#This Row],[Order Date]])</f>
        <v>6</v>
      </c>
      <c r="E971" t="s">
        <v>800</v>
      </c>
      <c r="F971" t="s">
        <v>801</v>
      </c>
      <c r="G971" s="23" t="s">
        <v>64</v>
      </c>
      <c r="H971" s="23" t="s">
        <v>144</v>
      </c>
      <c r="I971" t="s">
        <v>6975</v>
      </c>
      <c r="J971" t="s">
        <v>22</v>
      </c>
      <c r="K971" s="22">
        <v>1</v>
      </c>
      <c r="L971" s="1">
        <v>42896</v>
      </c>
      <c r="M971" s="22">
        <f>Table3[[#This Row],[Ship Date]]-Table3[[#This Row],[Order Date]]</f>
        <v>7</v>
      </c>
      <c r="N971" s="23" t="s">
        <v>45</v>
      </c>
      <c r="O971" s="23" t="s">
        <v>23</v>
      </c>
      <c r="P971" s="23" t="s">
        <v>48</v>
      </c>
      <c r="Q971" s="23" t="s">
        <v>26</v>
      </c>
      <c r="R971" s="23" t="s">
        <v>1195</v>
      </c>
      <c r="S971" s="33">
        <v>0.2</v>
      </c>
      <c r="T971" s="13">
        <v>205.99199999999999</v>
      </c>
      <c r="U971" s="13">
        <v>-2.5749</v>
      </c>
      <c r="V971" s="55">
        <f>Table3[[#This Row],[Profit]]/Table3[[#This Row],[Sales]]</f>
        <v>-1.2500000000000001E-2</v>
      </c>
    </row>
    <row r="972" spans="1:22" x14ac:dyDescent="0.2">
      <c r="A972">
        <v>971</v>
      </c>
      <c r="B972" t="s">
        <v>8147</v>
      </c>
      <c r="C972" s="1">
        <v>42889</v>
      </c>
      <c r="D972" s="22">
        <f>MONTH(Table3[[#This Row],[Order Date]])</f>
        <v>6</v>
      </c>
      <c r="E972" t="s">
        <v>4046</v>
      </c>
      <c r="F972" t="s">
        <v>4047</v>
      </c>
      <c r="G972" s="23" t="s">
        <v>41</v>
      </c>
      <c r="H972" s="23" t="s">
        <v>82</v>
      </c>
      <c r="I972" t="s">
        <v>6975</v>
      </c>
      <c r="J972" t="s">
        <v>22</v>
      </c>
      <c r="K972" s="22">
        <v>3</v>
      </c>
      <c r="L972" s="1">
        <v>42896</v>
      </c>
      <c r="M972" s="22">
        <f>Table3[[#This Row],[Ship Date]]-Table3[[#This Row],[Order Date]]</f>
        <v>7</v>
      </c>
      <c r="N972" s="23" t="s">
        <v>45</v>
      </c>
      <c r="O972" s="23" t="s">
        <v>23</v>
      </c>
      <c r="P972" s="23" t="s">
        <v>48</v>
      </c>
      <c r="Q972" s="23" t="s">
        <v>26</v>
      </c>
      <c r="R972" s="23" t="s">
        <v>1195</v>
      </c>
      <c r="S972" s="33">
        <v>0.2</v>
      </c>
      <c r="T972" s="13">
        <v>15.552</v>
      </c>
      <c r="U972" s="13">
        <v>5.4432</v>
      </c>
      <c r="V972" s="55">
        <f>Table3[[#This Row],[Profit]]/Table3[[#This Row],[Sales]]</f>
        <v>0.35000000000000003</v>
      </c>
    </row>
    <row r="973" spans="1:22" x14ac:dyDescent="0.2">
      <c r="A973">
        <v>972</v>
      </c>
      <c r="B973" t="s">
        <v>8147</v>
      </c>
      <c r="C973" s="1">
        <v>42889</v>
      </c>
      <c r="D973" s="22">
        <f>MONTH(Table3[[#This Row],[Order Date]])</f>
        <v>6</v>
      </c>
      <c r="E973" t="s">
        <v>3739</v>
      </c>
      <c r="F973" t="s">
        <v>3740</v>
      </c>
      <c r="G973" s="23" t="s">
        <v>64</v>
      </c>
      <c r="H973" s="23" t="s">
        <v>65</v>
      </c>
      <c r="I973" t="s">
        <v>6975</v>
      </c>
      <c r="J973" t="s">
        <v>22</v>
      </c>
      <c r="K973" s="22">
        <v>5</v>
      </c>
      <c r="L973" s="1">
        <v>42896</v>
      </c>
      <c r="M973" s="22">
        <f>Table3[[#This Row],[Ship Date]]-Table3[[#This Row],[Order Date]]</f>
        <v>7</v>
      </c>
      <c r="N973" s="23" t="s">
        <v>45</v>
      </c>
      <c r="O973" s="23" t="s">
        <v>23</v>
      </c>
      <c r="P973" s="23" t="s">
        <v>48</v>
      </c>
      <c r="Q973" s="23" t="s">
        <v>26</v>
      </c>
      <c r="R973" s="23" t="s">
        <v>1195</v>
      </c>
      <c r="S973" s="33">
        <v>0.2</v>
      </c>
      <c r="T973" s="13">
        <v>503.96</v>
      </c>
      <c r="U973" s="13">
        <v>50.396000000000001</v>
      </c>
      <c r="V973" s="55">
        <f>Table3[[#This Row],[Profit]]/Table3[[#This Row],[Sales]]</f>
        <v>0.1</v>
      </c>
    </row>
    <row r="974" spans="1:22" x14ac:dyDescent="0.2">
      <c r="A974">
        <v>973</v>
      </c>
      <c r="B974" t="s">
        <v>8147</v>
      </c>
      <c r="C974" s="1">
        <v>42889</v>
      </c>
      <c r="D974" s="22">
        <f>MONTH(Table3[[#This Row],[Order Date]])</f>
        <v>6</v>
      </c>
      <c r="E974" t="s">
        <v>4699</v>
      </c>
      <c r="F974" t="s">
        <v>4700</v>
      </c>
      <c r="G974" s="23" t="s">
        <v>41</v>
      </c>
      <c r="H974" s="23" t="s">
        <v>71</v>
      </c>
      <c r="I974" t="s">
        <v>6975</v>
      </c>
      <c r="J974" t="s">
        <v>22</v>
      </c>
      <c r="K974" s="22">
        <v>7</v>
      </c>
      <c r="L974" s="1">
        <v>42896</v>
      </c>
      <c r="M974" s="22">
        <f>Table3[[#This Row],[Ship Date]]-Table3[[#This Row],[Order Date]]</f>
        <v>7</v>
      </c>
      <c r="N974" s="23" t="s">
        <v>45</v>
      </c>
      <c r="O974" s="23" t="s">
        <v>23</v>
      </c>
      <c r="P974" s="23" t="s">
        <v>48</v>
      </c>
      <c r="Q974" s="23" t="s">
        <v>26</v>
      </c>
      <c r="R974" s="23" t="s">
        <v>1195</v>
      </c>
      <c r="S974" s="33">
        <v>0.2</v>
      </c>
      <c r="T974" s="13">
        <v>24.472000000000001</v>
      </c>
      <c r="U974" s="13">
        <v>1.8353999999999999</v>
      </c>
      <c r="V974" s="55">
        <f>Table3[[#This Row],[Profit]]/Table3[[#This Row],[Sales]]</f>
        <v>7.4999999999999997E-2</v>
      </c>
    </row>
    <row r="975" spans="1:22" x14ac:dyDescent="0.2">
      <c r="A975">
        <v>974</v>
      </c>
      <c r="B975" t="s">
        <v>8147</v>
      </c>
      <c r="C975" s="1">
        <v>42889</v>
      </c>
      <c r="D975" s="22">
        <f>MONTH(Table3[[#This Row],[Order Date]])</f>
        <v>6</v>
      </c>
      <c r="E975" t="s">
        <v>1431</v>
      </c>
      <c r="F975" t="s">
        <v>1432</v>
      </c>
      <c r="G975" s="23" t="s">
        <v>28</v>
      </c>
      <c r="H975" s="23" t="s">
        <v>29</v>
      </c>
      <c r="I975" t="s">
        <v>6975</v>
      </c>
      <c r="J975" t="s">
        <v>22</v>
      </c>
      <c r="K975" s="22">
        <v>2</v>
      </c>
      <c r="L975" s="1">
        <v>42896</v>
      </c>
      <c r="M975" s="22">
        <f>Table3[[#This Row],[Ship Date]]-Table3[[#This Row],[Order Date]]</f>
        <v>7</v>
      </c>
      <c r="N975" s="23" t="s">
        <v>45</v>
      </c>
      <c r="O975" s="23" t="s">
        <v>23</v>
      </c>
      <c r="P975" s="23" t="s">
        <v>48</v>
      </c>
      <c r="Q975" s="23" t="s">
        <v>26</v>
      </c>
      <c r="R975" s="23" t="s">
        <v>1195</v>
      </c>
      <c r="S975" s="33">
        <v>0.2</v>
      </c>
      <c r="T975" s="13">
        <v>241.56800000000001</v>
      </c>
      <c r="U975" s="13">
        <v>0</v>
      </c>
      <c r="V975" s="55">
        <f>Table3[[#This Row],[Profit]]/Table3[[#This Row],[Sales]]</f>
        <v>0</v>
      </c>
    </row>
    <row r="976" spans="1:22" x14ac:dyDescent="0.2">
      <c r="A976">
        <v>975</v>
      </c>
      <c r="B976" t="s">
        <v>8147</v>
      </c>
      <c r="C976" s="1">
        <v>42889</v>
      </c>
      <c r="D976" s="22">
        <f>MONTH(Table3[[#This Row],[Order Date]])</f>
        <v>6</v>
      </c>
      <c r="E976" t="s">
        <v>6412</v>
      </c>
      <c r="F976" t="s">
        <v>6413</v>
      </c>
      <c r="G976" s="23" t="s">
        <v>64</v>
      </c>
      <c r="H976" s="23" t="s">
        <v>144</v>
      </c>
      <c r="I976" t="s">
        <v>6975</v>
      </c>
      <c r="J976" t="s">
        <v>22</v>
      </c>
      <c r="K976" s="22">
        <v>2</v>
      </c>
      <c r="L976" s="1">
        <v>42896</v>
      </c>
      <c r="M976" s="22">
        <f>Table3[[#This Row],[Ship Date]]-Table3[[#This Row],[Order Date]]</f>
        <v>7</v>
      </c>
      <c r="N976" s="23" t="s">
        <v>45</v>
      </c>
      <c r="O976" s="23" t="s">
        <v>23</v>
      </c>
      <c r="P976" s="23" t="s">
        <v>48</v>
      </c>
      <c r="Q976" s="23" t="s">
        <v>26</v>
      </c>
      <c r="R976" s="23" t="s">
        <v>1195</v>
      </c>
      <c r="S976" s="33">
        <v>0.2</v>
      </c>
      <c r="T976" s="13">
        <v>110.4</v>
      </c>
      <c r="U976" s="13">
        <v>-4.1399999999999997</v>
      </c>
      <c r="V976" s="55">
        <f>Table3[[#This Row],[Profit]]/Table3[[#This Row],[Sales]]</f>
        <v>-3.7499999999999999E-2</v>
      </c>
    </row>
    <row r="977" spans="1:22" x14ac:dyDescent="0.2">
      <c r="A977">
        <v>976</v>
      </c>
      <c r="B977" t="s">
        <v>8148</v>
      </c>
      <c r="C977" s="1">
        <v>42889</v>
      </c>
      <c r="D977" s="22">
        <f>MONTH(Table3[[#This Row],[Order Date]])</f>
        <v>6</v>
      </c>
      <c r="E977" t="s">
        <v>2934</v>
      </c>
      <c r="F977" t="s">
        <v>2935</v>
      </c>
      <c r="G977" s="23" t="s">
        <v>28</v>
      </c>
      <c r="H977" s="23" t="s">
        <v>50</v>
      </c>
      <c r="I977" t="s">
        <v>3488</v>
      </c>
      <c r="J977" t="s">
        <v>36</v>
      </c>
      <c r="K977" s="22">
        <v>2</v>
      </c>
      <c r="L977" s="1">
        <v>42895</v>
      </c>
      <c r="M977" s="22">
        <f>Table3[[#This Row],[Ship Date]]-Table3[[#This Row],[Order Date]]</f>
        <v>6</v>
      </c>
      <c r="N977" s="23" t="s">
        <v>45</v>
      </c>
      <c r="O977" s="23" t="s">
        <v>23</v>
      </c>
      <c r="P977" s="23" t="s">
        <v>238</v>
      </c>
      <c r="Q977" s="23" t="s">
        <v>133</v>
      </c>
      <c r="R977" s="23" t="s">
        <v>237</v>
      </c>
      <c r="S977" s="33">
        <v>0.4</v>
      </c>
      <c r="T977" s="13">
        <v>384.76799999999997</v>
      </c>
      <c r="U977" s="13">
        <v>-115.43040000000001</v>
      </c>
      <c r="V977" s="55">
        <f>Table3[[#This Row],[Profit]]/Table3[[#This Row],[Sales]]</f>
        <v>-0.30000000000000004</v>
      </c>
    </row>
    <row r="978" spans="1:22" x14ac:dyDescent="0.2">
      <c r="A978">
        <v>977</v>
      </c>
      <c r="B978" t="s">
        <v>8148</v>
      </c>
      <c r="C978" s="1">
        <v>42889</v>
      </c>
      <c r="D978" s="22">
        <f>MONTH(Table3[[#This Row],[Order Date]])</f>
        <v>6</v>
      </c>
      <c r="E978" t="s">
        <v>7352</v>
      </c>
      <c r="F978" t="s">
        <v>7353</v>
      </c>
      <c r="G978" s="23" t="s">
        <v>64</v>
      </c>
      <c r="H978" s="23" t="s">
        <v>602</v>
      </c>
      <c r="I978" t="s">
        <v>3488</v>
      </c>
      <c r="J978" t="s">
        <v>36</v>
      </c>
      <c r="K978" s="22">
        <v>6</v>
      </c>
      <c r="L978" s="1">
        <v>42895</v>
      </c>
      <c r="M978" s="22">
        <f>Table3[[#This Row],[Ship Date]]-Table3[[#This Row],[Order Date]]</f>
        <v>6</v>
      </c>
      <c r="N978" s="23" t="s">
        <v>45</v>
      </c>
      <c r="O978" s="23" t="s">
        <v>23</v>
      </c>
      <c r="P978" s="23" t="s">
        <v>238</v>
      </c>
      <c r="Q978" s="23" t="s">
        <v>133</v>
      </c>
      <c r="R978" s="23" t="s">
        <v>237</v>
      </c>
      <c r="S978" s="33">
        <v>0</v>
      </c>
      <c r="T978" s="13">
        <v>78.66</v>
      </c>
      <c r="U978" s="13">
        <v>36.183599999999998</v>
      </c>
      <c r="V978" s="55">
        <f>Table3[[#This Row],[Profit]]/Table3[[#This Row],[Sales]]</f>
        <v>0.46</v>
      </c>
    </row>
    <row r="979" spans="1:22" x14ac:dyDescent="0.2">
      <c r="A979">
        <v>978</v>
      </c>
      <c r="B979" t="s">
        <v>8148</v>
      </c>
      <c r="C979" s="1">
        <v>42889</v>
      </c>
      <c r="D979" s="22">
        <f>MONTH(Table3[[#This Row],[Order Date]])</f>
        <v>6</v>
      </c>
      <c r="E979" t="s">
        <v>2591</v>
      </c>
      <c r="F979" t="s">
        <v>2592</v>
      </c>
      <c r="G979" s="23" t="s">
        <v>41</v>
      </c>
      <c r="H979" s="23" t="s">
        <v>82</v>
      </c>
      <c r="I979" t="s">
        <v>3488</v>
      </c>
      <c r="J979" t="s">
        <v>36</v>
      </c>
      <c r="K979" s="22">
        <v>4</v>
      </c>
      <c r="L979" s="1">
        <v>42895</v>
      </c>
      <c r="M979" s="22">
        <f>Table3[[#This Row],[Ship Date]]-Table3[[#This Row],[Order Date]]</f>
        <v>6</v>
      </c>
      <c r="N979" s="23" t="s">
        <v>45</v>
      </c>
      <c r="O979" s="23" t="s">
        <v>23</v>
      </c>
      <c r="P979" s="23" t="s">
        <v>238</v>
      </c>
      <c r="Q979" s="23" t="s">
        <v>133</v>
      </c>
      <c r="R979" s="23" t="s">
        <v>237</v>
      </c>
      <c r="S979" s="33">
        <v>0</v>
      </c>
      <c r="T979" s="13">
        <v>45.36</v>
      </c>
      <c r="U979" s="13">
        <v>22.226400000000002</v>
      </c>
      <c r="V979" s="55">
        <f>Table3[[#This Row],[Profit]]/Table3[[#This Row],[Sales]]</f>
        <v>0.49000000000000005</v>
      </c>
    </row>
    <row r="980" spans="1:22" x14ac:dyDescent="0.2">
      <c r="A980">
        <v>979</v>
      </c>
      <c r="B980" t="s">
        <v>9845</v>
      </c>
      <c r="C980" s="1">
        <v>42889</v>
      </c>
      <c r="D980" s="22">
        <f>MONTH(Table3[[#This Row],[Order Date]])</f>
        <v>6</v>
      </c>
      <c r="E980" t="s">
        <v>1592</v>
      </c>
      <c r="F980" t="s">
        <v>1593</v>
      </c>
      <c r="G980" s="23" t="s">
        <v>41</v>
      </c>
      <c r="H980" s="23" t="s">
        <v>53</v>
      </c>
      <c r="I980" t="s">
        <v>1823</v>
      </c>
      <c r="J980" t="s">
        <v>92</v>
      </c>
      <c r="K980" s="22">
        <v>9</v>
      </c>
      <c r="L980" s="1">
        <v>42893</v>
      </c>
      <c r="M980" s="22">
        <f>Table3[[#This Row],[Ship Date]]-Table3[[#This Row],[Order Date]]</f>
        <v>4</v>
      </c>
      <c r="N980" s="23" t="s">
        <v>45</v>
      </c>
      <c r="O980" s="23" t="s">
        <v>23</v>
      </c>
      <c r="P980" s="23" t="s">
        <v>87</v>
      </c>
      <c r="Q980" s="23" t="s">
        <v>39</v>
      </c>
      <c r="R980" s="23" t="s">
        <v>4135</v>
      </c>
      <c r="S980" s="33">
        <v>0</v>
      </c>
      <c r="T980" s="13">
        <v>136.26</v>
      </c>
      <c r="U980" s="13">
        <v>5.4504000000000001</v>
      </c>
      <c r="V980" s="55">
        <f>Table3[[#This Row],[Profit]]/Table3[[#This Row],[Sales]]</f>
        <v>0.04</v>
      </c>
    </row>
    <row r="981" spans="1:22" x14ac:dyDescent="0.2">
      <c r="A981">
        <v>980</v>
      </c>
      <c r="B981" t="s">
        <v>2818</v>
      </c>
      <c r="C981" s="1">
        <v>42890</v>
      </c>
      <c r="D981" s="22">
        <f>MONTH(Table3[[#This Row],[Order Date]])</f>
        <v>6</v>
      </c>
      <c r="E981" t="s">
        <v>1048</v>
      </c>
      <c r="F981" t="s">
        <v>1049</v>
      </c>
      <c r="G981" s="23" t="s">
        <v>28</v>
      </c>
      <c r="H981" s="23" t="s">
        <v>58</v>
      </c>
      <c r="I981" t="s">
        <v>2560</v>
      </c>
      <c r="J981" t="s">
        <v>36</v>
      </c>
      <c r="K981" s="22">
        <v>2</v>
      </c>
      <c r="L981" s="1">
        <v>42896</v>
      </c>
      <c r="M981" s="22">
        <f>Table3[[#This Row],[Ship Date]]-Table3[[#This Row],[Order Date]]</f>
        <v>6</v>
      </c>
      <c r="N981" s="23" t="s">
        <v>45</v>
      </c>
      <c r="O981" s="23" t="s">
        <v>23</v>
      </c>
      <c r="P981" s="23" t="s">
        <v>80</v>
      </c>
      <c r="Q981" s="23" t="s">
        <v>26</v>
      </c>
      <c r="R981" s="23" t="s">
        <v>649</v>
      </c>
      <c r="S981" s="33">
        <v>0.2</v>
      </c>
      <c r="T981" s="13">
        <v>31.984000000000002</v>
      </c>
      <c r="U981" s="13">
        <v>1.9990000000000001</v>
      </c>
      <c r="V981" s="55">
        <f>Table3[[#This Row],[Profit]]/Table3[[#This Row],[Sales]]</f>
        <v>6.25E-2</v>
      </c>
    </row>
    <row r="982" spans="1:22" x14ac:dyDescent="0.2">
      <c r="A982">
        <v>981</v>
      </c>
      <c r="B982" t="s">
        <v>2818</v>
      </c>
      <c r="C982" s="1">
        <v>42890</v>
      </c>
      <c r="D982" s="22">
        <f>MONTH(Table3[[#This Row],[Order Date]])</f>
        <v>6</v>
      </c>
      <c r="E982" t="s">
        <v>2819</v>
      </c>
      <c r="F982" t="s">
        <v>2820</v>
      </c>
      <c r="G982" s="23" t="s">
        <v>64</v>
      </c>
      <c r="H982" s="23" t="s">
        <v>65</v>
      </c>
      <c r="I982" t="s">
        <v>2560</v>
      </c>
      <c r="J982" t="s">
        <v>36</v>
      </c>
      <c r="K982" s="22">
        <v>2</v>
      </c>
      <c r="L982" s="1">
        <v>42896</v>
      </c>
      <c r="M982" s="22">
        <f>Table3[[#This Row],[Ship Date]]-Table3[[#This Row],[Order Date]]</f>
        <v>6</v>
      </c>
      <c r="N982" s="23" t="s">
        <v>45</v>
      </c>
      <c r="O982" s="23" t="s">
        <v>23</v>
      </c>
      <c r="P982" s="23" t="s">
        <v>80</v>
      </c>
      <c r="Q982" s="23" t="s">
        <v>26</v>
      </c>
      <c r="R982" s="23" t="s">
        <v>649</v>
      </c>
      <c r="S982" s="33">
        <v>0.2</v>
      </c>
      <c r="T982" s="13">
        <v>71.983999999999995</v>
      </c>
      <c r="U982" s="13">
        <v>25.194400000000002</v>
      </c>
      <c r="V982" s="55">
        <f>Table3[[#This Row],[Profit]]/Table3[[#This Row],[Sales]]</f>
        <v>0.35000000000000003</v>
      </c>
    </row>
    <row r="983" spans="1:22" x14ac:dyDescent="0.2">
      <c r="A983">
        <v>982</v>
      </c>
      <c r="B983" t="s">
        <v>3121</v>
      </c>
      <c r="C983" s="1">
        <v>42890</v>
      </c>
      <c r="D983" s="22">
        <f>MONTH(Table3[[#This Row],[Order Date]])</f>
        <v>6</v>
      </c>
      <c r="E983" t="s">
        <v>3123</v>
      </c>
      <c r="F983" t="s">
        <v>3124</v>
      </c>
      <c r="G983" s="23" t="s">
        <v>41</v>
      </c>
      <c r="H983" s="23" t="s">
        <v>82</v>
      </c>
      <c r="I983" t="s">
        <v>3122</v>
      </c>
      <c r="J983" t="s">
        <v>22</v>
      </c>
      <c r="K983" s="22">
        <v>2</v>
      </c>
      <c r="L983" s="1">
        <v>42894</v>
      </c>
      <c r="M983" s="22">
        <f>Table3[[#This Row],[Ship Date]]-Table3[[#This Row],[Order Date]]</f>
        <v>4</v>
      </c>
      <c r="N983" s="23" t="s">
        <v>45</v>
      </c>
      <c r="O983" s="23" t="s">
        <v>23</v>
      </c>
      <c r="P983" s="23" t="s">
        <v>320</v>
      </c>
      <c r="Q983" s="23" t="s">
        <v>26</v>
      </c>
      <c r="R983" s="23" t="s">
        <v>2271</v>
      </c>
      <c r="S983" s="33">
        <v>0</v>
      </c>
      <c r="T983" s="13">
        <v>12.48</v>
      </c>
      <c r="U983" s="13">
        <v>5.6159999999999997</v>
      </c>
      <c r="V983" s="55">
        <f>Table3[[#This Row],[Profit]]/Table3[[#This Row],[Sales]]</f>
        <v>0.44999999999999996</v>
      </c>
    </row>
    <row r="984" spans="1:22" x14ac:dyDescent="0.2">
      <c r="A984">
        <v>983</v>
      </c>
      <c r="B984" t="s">
        <v>5456</v>
      </c>
      <c r="C984" s="1">
        <v>42890</v>
      </c>
      <c r="D984" s="22">
        <f>MONTH(Table3[[#This Row],[Order Date]])</f>
        <v>6</v>
      </c>
      <c r="E984" t="s">
        <v>2846</v>
      </c>
      <c r="F984" t="s">
        <v>2847</v>
      </c>
      <c r="G984" s="23" t="s">
        <v>41</v>
      </c>
      <c r="H984" s="23" t="s">
        <v>61</v>
      </c>
      <c r="I984" t="s">
        <v>4353</v>
      </c>
      <c r="J984" t="s">
        <v>22</v>
      </c>
      <c r="K984" s="22">
        <v>3</v>
      </c>
      <c r="L984" s="1">
        <v>42896</v>
      </c>
      <c r="M984" s="22">
        <f>Table3[[#This Row],[Ship Date]]-Table3[[#This Row],[Order Date]]</f>
        <v>6</v>
      </c>
      <c r="N984" s="23" t="s">
        <v>45</v>
      </c>
      <c r="O984" s="23" t="s">
        <v>23</v>
      </c>
      <c r="P984" s="23" t="s">
        <v>204</v>
      </c>
      <c r="Q984" s="23" t="s">
        <v>95</v>
      </c>
      <c r="R984" s="23" t="s">
        <v>5457</v>
      </c>
      <c r="S984" s="33">
        <v>0</v>
      </c>
      <c r="T984" s="13">
        <v>8.64</v>
      </c>
      <c r="U984" s="13">
        <v>2.5055999999999998</v>
      </c>
      <c r="V984" s="55">
        <f>Table3[[#This Row],[Profit]]/Table3[[#This Row],[Sales]]</f>
        <v>0.28999999999999998</v>
      </c>
    </row>
    <row r="985" spans="1:22" x14ac:dyDescent="0.2">
      <c r="A985">
        <v>984</v>
      </c>
      <c r="B985" t="s">
        <v>5720</v>
      </c>
      <c r="C985" s="1">
        <v>42890</v>
      </c>
      <c r="D985" s="22">
        <f>MONTH(Table3[[#This Row],[Order Date]])</f>
        <v>6</v>
      </c>
      <c r="E985" t="s">
        <v>901</v>
      </c>
      <c r="F985" t="s">
        <v>902</v>
      </c>
      <c r="G985" s="23" t="s">
        <v>41</v>
      </c>
      <c r="H985" s="23" t="s">
        <v>68</v>
      </c>
      <c r="I985" t="s">
        <v>4857</v>
      </c>
      <c r="J985" t="s">
        <v>36</v>
      </c>
      <c r="K985" s="22">
        <v>7</v>
      </c>
      <c r="L985" s="1">
        <v>42894</v>
      </c>
      <c r="M985" s="22">
        <f>Table3[[#This Row],[Ship Date]]-Table3[[#This Row],[Order Date]]</f>
        <v>4</v>
      </c>
      <c r="N985" s="23" t="s">
        <v>45</v>
      </c>
      <c r="O985" s="23" t="s">
        <v>23</v>
      </c>
      <c r="P985" s="23" t="s">
        <v>94</v>
      </c>
      <c r="Q985" s="23" t="s">
        <v>95</v>
      </c>
      <c r="R985" s="23" t="s">
        <v>5721</v>
      </c>
      <c r="S985" s="33">
        <v>0.8</v>
      </c>
      <c r="T985" s="13">
        <v>6.37</v>
      </c>
      <c r="U985" s="13">
        <v>-9.5549999999999997</v>
      </c>
      <c r="V985" s="55">
        <f>Table3[[#This Row],[Profit]]/Table3[[#This Row],[Sales]]</f>
        <v>-1.5</v>
      </c>
    </row>
    <row r="986" spans="1:22" x14ac:dyDescent="0.2">
      <c r="A986">
        <v>985</v>
      </c>
      <c r="B986" t="s">
        <v>7780</v>
      </c>
      <c r="C986" s="1">
        <v>42890</v>
      </c>
      <c r="D986" s="22">
        <f>MONTH(Table3[[#This Row],[Order Date]])</f>
        <v>6</v>
      </c>
      <c r="E986" t="s">
        <v>3818</v>
      </c>
      <c r="F986" t="s">
        <v>3819</v>
      </c>
      <c r="G986" s="23" t="s">
        <v>41</v>
      </c>
      <c r="H986" s="23" t="s">
        <v>68</v>
      </c>
      <c r="I986" t="s">
        <v>2781</v>
      </c>
      <c r="J986" t="s">
        <v>92</v>
      </c>
      <c r="K986" s="22">
        <v>7</v>
      </c>
      <c r="L986" s="1">
        <v>42890</v>
      </c>
      <c r="M986" s="22">
        <f>Table3[[#This Row],[Ship Date]]-Table3[[#This Row],[Order Date]]</f>
        <v>0</v>
      </c>
      <c r="N986" s="23" t="s">
        <v>1141</v>
      </c>
      <c r="O986" s="23" t="s">
        <v>23</v>
      </c>
      <c r="P986" s="23" t="s">
        <v>1510</v>
      </c>
      <c r="Q986" s="23" t="s">
        <v>26</v>
      </c>
      <c r="R986" s="23" t="s">
        <v>2875</v>
      </c>
      <c r="S986" s="33">
        <v>0</v>
      </c>
      <c r="T986" s="13">
        <v>108.08</v>
      </c>
      <c r="U986" s="13">
        <v>54.04</v>
      </c>
      <c r="V986" s="55">
        <f>Table3[[#This Row],[Profit]]/Table3[[#This Row],[Sales]]</f>
        <v>0.5</v>
      </c>
    </row>
    <row r="987" spans="1:22" x14ac:dyDescent="0.2">
      <c r="A987">
        <v>986</v>
      </c>
      <c r="B987" t="s">
        <v>7780</v>
      </c>
      <c r="C987" s="1">
        <v>42890</v>
      </c>
      <c r="D987" s="22">
        <f>MONTH(Table3[[#This Row],[Order Date]])</f>
        <v>6</v>
      </c>
      <c r="E987" t="s">
        <v>4767</v>
      </c>
      <c r="F987" t="s">
        <v>4768</v>
      </c>
      <c r="G987" s="23" t="s">
        <v>41</v>
      </c>
      <c r="H987" s="23" t="s">
        <v>68</v>
      </c>
      <c r="I987" t="s">
        <v>2781</v>
      </c>
      <c r="J987" t="s">
        <v>92</v>
      </c>
      <c r="K987" s="22">
        <v>3</v>
      </c>
      <c r="L987" s="1">
        <v>42890</v>
      </c>
      <c r="M987" s="22">
        <f>Table3[[#This Row],[Ship Date]]-Table3[[#This Row],[Order Date]]</f>
        <v>0</v>
      </c>
      <c r="N987" s="23" t="s">
        <v>1141</v>
      </c>
      <c r="O987" s="23" t="s">
        <v>23</v>
      </c>
      <c r="P987" s="23" t="s">
        <v>1510</v>
      </c>
      <c r="Q987" s="23" t="s">
        <v>26</v>
      </c>
      <c r="R987" s="23" t="s">
        <v>2875</v>
      </c>
      <c r="S987" s="33">
        <v>0</v>
      </c>
      <c r="T987" s="13">
        <v>9.5399999999999991</v>
      </c>
      <c r="U987" s="13">
        <v>4.3883999999999999</v>
      </c>
      <c r="V987" s="55">
        <f>Table3[[#This Row],[Profit]]/Table3[[#This Row],[Sales]]</f>
        <v>0.46</v>
      </c>
    </row>
    <row r="988" spans="1:22" x14ac:dyDescent="0.2">
      <c r="A988">
        <v>987</v>
      </c>
      <c r="B988" t="s">
        <v>9299</v>
      </c>
      <c r="C988" s="1">
        <v>42890</v>
      </c>
      <c r="D988" s="22">
        <f>MONTH(Table3[[#This Row],[Order Date]])</f>
        <v>6</v>
      </c>
      <c r="E988" t="s">
        <v>4759</v>
      </c>
      <c r="F988" t="s">
        <v>4760</v>
      </c>
      <c r="G988" s="23" t="s">
        <v>28</v>
      </c>
      <c r="H988" s="23" t="s">
        <v>58</v>
      </c>
      <c r="I988" t="s">
        <v>1471</v>
      </c>
      <c r="J988" t="s">
        <v>22</v>
      </c>
      <c r="K988" s="22">
        <v>6</v>
      </c>
      <c r="L988" s="1">
        <v>42893</v>
      </c>
      <c r="M988" s="22">
        <f>Table3[[#This Row],[Ship Date]]-Table3[[#This Row],[Order Date]]</f>
        <v>3</v>
      </c>
      <c r="N988" s="23" t="s">
        <v>20</v>
      </c>
      <c r="O988" s="23" t="s">
        <v>23</v>
      </c>
      <c r="P988" s="23" t="s">
        <v>94</v>
      </c>
      <c r="Q988" s="23" t="s">
        <v>95</v>
      </c>
      <c r="R988" s="23" t="s">
        <v>5258</v>
      </c>
      <c r="S988" s="33">
        <v>0.6</v>
      </c>
      <c r="T988" s="13">
        <v>30.335999999999999</v>
      </c>
      <c r="U988" s="13">
        <v>-17.443200000000001</v>
      </c>
      <c r="V988" s="55">
        <f>Table3[[#This Row],[Profit]]/Table3[[#This Row],[Sales]]</f>
        <v>-0.57500000000000007</v>
      </c>
    </row>
    <row r="989" spans="1:22" x14ac:dyDescent="0.2">
      <c r="A989">
        <v>988</v>
      </c>
      <c r="B989" t="s">
        <v>6333</v>
      </c>
      <c r="C989" s="1">
        <v>42891</v>
      </c>
      <c r="D989" s="22">
        <f>MONTH(Table3[[#This Row],[Order Date]])</f>
        <v>6</v>
      </c>
      <c r="E989" t="s">
        <v>6334</v>
      </c>
      <c r="F989" t="s">
        <v>6335</v>
      </c>
      <c r="G989" s="23" t="s">
        <v>64</v>
      </c>
      <c r="H989" s="23" t="s">
        <v>65</v>
      </c>
      <c r="I989" t="s">
        <v>3378</v>
      </c>
      <c r="J989" t="s">
        <v>22</v>
      </c>
      <c r="K989" s="22">
        <v>3</v>
      </c>
      <c r="L989" s="1">
        <v>42892</v>
      </c>
      <c r="M989" s="22">
        <f>Table3[[#This Row],[Ship Date]]-Table3[[#This Row],[Order Date]]</f>
        <v>1</v>
      </c>
      <c r="N989" s="23" t="s">
        <v>169</v>
      </c>
      <c r="O989" s="23" t="s">
        <v>23</v>
      </c>
      <c r="P989" s="23" t="s">
        <v>94</v>
      </c>
      <c r="Q989" s="23" t="s">
        <v>95</v>
      </c>
      <c r="R989" s="23" t="s">
        <v>5742</v>
      </c>
      <c r="S989" s="33">
        <v>0.2</v>
      </c>
      <c r="T989" s="13">
        <v>470.37599999999998</v>
      </c>
      <c r="U989" s="13">
        <v>52.917299999999997</v>
      </c>
      <c r="V989" s="55">
        <f>Table3[[#This Row],[Profit]]/Table3[[#This Row],[Sales]]</f>
        <v>0.1125</v>
      </c>
    </row>
    <row r="990" spans="1:22" x14ac:dyDescent="0.2">
      <c r="A990">
        <v>989</v>
      </c>
      <c r="B990" t="s">
        <v>9296</v>
      </c>
      <c r="C990" s="1">
        <v>42891</v>
      </c>
      <c r="D990" s="22">
        <f>MONTH(Table3[[#This Row],[Order Date]])</f>
        <v>6</v>
      </c>
      <c r="E990" t="s">
        <v>4669</v>
      </c>
      <c r="F990" t="s">
        <v>4670</v>
      </c>
      <c r="G990" s="23" t="s">
        <v>41</v>
      </c>
      <c r="H990" s="23" t="s">
        <v>82</v>
      </c>
      <c r="I990" t="s">
        <v>2725</v>
      </c>
      <c r="J990" t="s">
        <v>36</v>
      </c>
      <c r="K990" s="22">
        <v>4</v>
      </c>
      <c r="L990" s="1">
        <v>42895</v>
      </c>
      <c r="M990" s="22">
        <f>Table3[[#This Row],[Ship Date]]-Table3[[#This Row],[Order Date]]</f>
        <v>4</v>
      </c>
      <c r="N990" s="23" t="s">
        <v>45</v>
      </c>
      <c r="O990" s="23" t="s">
        <v>23</v>
      </c>
      <c r="P990" s="23" t="s">
        <v>48</v>
      </c>
      <c r="Q990" s="23" t="s">
        <v>26</v>
      </c>
      <c r="R990" s="23" t="s">
        <v>5389</v>
      </c>
      <c r="S990" s="33">
        <v>0.2</v>
      </c>
      <c r="T990" s="13">
        <v>20.736000000000001</v>
      </c>
      <c r="U990" s="13">
        <v>7.2576000000000001</v>
      </c>
      <c r="V990" s="55">
        <f>Table3[[#This Row],[Profit]]/Table3[[#This Row],[Sales]]</f>
        <v>0.35</v>
      </c>
    </row>
    <row r="991" spans="1:22" x14ac:dyDescent="0.2">
      <c r="A991">
        <v>990</v>
      </c>
      <c r="B991" t="s">
        <v>6277</v>
      </c>
      <c r="C991" s="1">
        <v>42892</v>
      </c>
      <c r="D991" s="22">
        <f>MONTH(Table3[[#This Row],[Order Date]])</f>
        <v>6</v>
      </c>
      <c r="E991" t="s">
        <v>6278</v>
      </c>
      <c r="F991" t="s">
        <v>6279</v>
      </c>
      <c r="G991" s="23" t="s">
        <v>28</v>
      </c>
      <c r="H991" s="23" t="s">
        <v>58</v>
      </c>
      <c r="I991" t="s">
        <v>5686</v>
      </c>
      <c r="J991" t="s">
        <v>92</v>
      </c>
      <c r="K991" s="22">
        <v>1</v>
      </c>
      <c r="L991" s="1">
        <v>42896</v>
      </c>
      <c r="M991" s="22">
        <f>Table3[[#This Row],[Ship Date]]-Table3[[#This Row],[Order Date]]</f>
        <v>4</v>
      </c>
      <c r="N991" s="23" t="s">
        <v>45</v>
      </c>
      <c r="O991" s="23" t="s">
        <v>23</v>
      </c>
      <c r="P991" s="23" t="s">
        <v>38</v>
      </c>
      <c r="Q991" s="23" t="s">
        <v>39</v>
      </c>
      <c r="R991" s="23" t="s">
        <v>114</v>
      </c>
      <c r="S991" s="33">
        <v>0</v>
      </c>
      <c r="T991" s="13">
        <v>4.95</v>
      </c>
      <c r="U991" s="13">
        <v>2.1779999999999999</v>
      </c>
      <c r="V991" s="55">
        <f>Table3[[#This Row],[Profit]]/Table3[[#This Row],[Sales]]</f>
        <v>0.43999999999999995</v>
      </c>
    </row>
    <row r="992" spans="1:22" x14ac:dyDescent="0.2">
      <c r="A992">
        <v>991</v>
      </c>
      <c r="B992" t="s">
        <v>6277</v>
      </c>
      <c r="C992" s="1">
        <v>42892</v>
      </c>
      <c r="D992" s="22">
        <f>MONTH(Table3[[#This Row],[Order Date]])</f>
        <v>6</v>
      </c>
      <c r="E992" t="s">
        <v>5717</v>
      </c>
      <c r="F992" t="s">
        <v>5718</v>
      </c>
      <c r="G992" s="23" t="s">
        <v>41</v>
      </c>
      <c r="H992" s="23" t="s">
        <v>53</v>
      </c>
      <c r="I992" t="s">
        <v>5686</v>
      </c>
      <c r="J992" t="s">
        <v>92</v>
      </c>
      <c r="K992" s="22">
        <v>5</v>
      </c>
      <c r="L992" s="1">
        <v>42896</v>
      </c>
      <c r="M992" s="22">
        <f>Table3[[#This Row],[Ship Date]]-Table3[[#This Row],[Order Date]]</f>
        <v>4</v>
      </c>
      <c r="N992" s="23" t="s">
        <v>45</v>
      </c>
      <c r="O992" s="23" t="s">
        <v>23</v>
      </c>
      <c r="P992" s="23" t="s">
        <v>38</v>
      </c>
      <c r="Q992" s="23" t="s">
        <v>39</v>
      </c>
      <c r="R992" s="23" t="s">
        <v>114</v>
      </c>
      <c r="S992" s="33">
        <v>0</v>
      </c>
      <c r="T992" s="13">
        <v>26.4</v>
      </c>
      <c r="U992" s="13">
        <v>0</v>
      </c>
      <c r="V992" s="55">
        <f>Table3[[#This Row],[Profit]]/Table3[[#This Row],[Sales]]</f>
        <v>0</v>
      </c>
    </row>
    <row r="993" spans="1:22" x14ac:dyDescent="0.2">
      <c r="A993">
        <v>992</v>
      </c>
      <c r="B993" t="s">
        <v>859</v>
      </c>
      <c r="C993" s="1">
        <v>42894</v>
      </c>
      <c r="D993" s="22">
        <f>MONTH(Table3[[#This Row],[Order Date]])</f>
        <v>6</v>
      </c>
      <c r="E993" t="s">
        <v>861</v>
      </c>
      <c r="F993" t="s">
        <v>862</v>
      </c>
      <c r="G993" s="23" t="s">
        <v>41</v>
      </c>
      <c r="H993" s="23" t="s">
        <v>71</v>
      </c>
      <c r="I993" t="s">
        <v>860</v>
      </c>
      <c r="J993" t="s">
        <v>36</v>
      </c>
      <c r="K993" s="22">
        <v>2</v>
      </c>
      <c r="L993" s="1">
        <v>42898</v>
      </c>
      <c r="M993" s="22">
        <f>Table3[[#This Row],[Ship Date]]-Table3[[#This Row],[Order Date]]</f>
        <v>4</v>
      </c>
      <c r="N993" s="23" t="s">
        <v>45</v>
      </c>
      <c r="O993" s="23" t="s">
        <v>23</v>
      </c>
      <c r="P993" s="23" t="s">
        <v>94</v>
      </c>
      <c r="Q993" s="23" t="s">
        <v>95</v>
      </c>
      <c r="R993" s="23" t="s">
        <v>533</v>
      </c>
      <c r="S993" s="33">
        <v>0.8</v>
      </c>
      <c r="T993" s="13">
        <v>1.6240000000000001</v>
      </c>
      <c r="U993" s="13">
        <v>-4.4660000000000002</v>
      </c>
      <c r="V993" s="55">
        <f>Table3[[#This Row],[Profit]]/Table3[[#This Row],[Sales]]</f>
        <v>-2.75</v>
      </c>
    </row>
    <row r="994" spans="1:22" x14ac:dyDescent="0.2">
      <c r="A994">
        <v>993</v>
      </c>
      <c r="B994" t="s">
        <v>1912</v>
      </c>
      <c r="C994" s="1">
        <v>42894</v>
      </c>
      <c r="D994" s="22">
        <f>MONTH(Table3[[#This Row],[Order Date]])</f>
        <v>6</v>
      </c>
      <c r="E994" t="s">
        <v>1914</v>
      </c>
      <c r="F994" t="s">
        <v>1915</v>
      </c>
      <c r="G994" s="23" t="s">
        <v>41</v>
      </c>
      <c r="H994" s="23" t="s">
        <v>513</v>
      </c>
      <c r="I994" t="s">
        <v>1913</v>
      </c>
      <c r="J994" t="s">
        <v>36</v>
      </c>
      <c r="K994" s="22">
        <v>3</v>
      </c>
      <c r="L994" s="1">
        <v>42896</v>
      </c>
      <c r="M994" s="22">
        <f>Table3[[#This Row],[Ship Date]]-Table3[[#This Row],[Order Date]]</f>
        <v>2</v>
      </c>
      <c r="N994" s="23" t="s">
        <v>20</v>
      </c>
      <c r="O994" s="23" t="s">
        <v>23</v>
      </c>
      <c r="P994" s="23" t="s">
        <v>94</v>
      </c>
      <c r="Q994" s="23" t="s">
        <v>95</v>
      </c>
      <c r="R994" s="23" t="s">
        <v>718</v>
      </c>
      <c r="S994" s="33">
        <v>0.2</v>
      </c>
      <c r="T994" s="13">
        <v>23.76</v>
      </c>
      <c r="U994" s="13">
        <v>2.0790000000000002</v>
      </c>
      <c r="V994" s="55">
        <f>Table3[[#This Row],[Profit]]/Table3[[#This Row],[Sales]]</f>
        <v>8.7500000000000008E-2</v>
      </c>
    </row>
    <row r="995" spans="1:22" x14ac:dyDescent="0.2">
      <c r="A995">
        <v>994</v>
      </c>
      <c r="B995" t="s">
        <v>1912</v>
      </c>
      <c r="C995" s="1">
        <v>42894</v>
      </c>
      <c r="D995" s="22">
        <f>MONTH(Table3[[#This Row],[Order Date]])</f>
        <v>6</v>
      </c>
      <c r="E995" t="s">
        <v>930</v>
      </c>
      <c r="F995" t="s">
        <v>167</v>
      </c>
      <c r="G995" s="23" t="s">
        <v>41</v>
      </c>
      <c r="H995" s="23" t="s">
        <v>82</v>
      </c>
      <c r="I995" t="s">
        <v>1913</v>
      </c>
      <c r="J995" t="s">
        <v>36</v>
      </c>
      <c r="K995" s="22">
        <v>3</v>
      </c>
      <c r="L995" s="1">
        <v>42896</v>
      </c>
      <c r="M995" s="22">
        <f>Table3[[#This Row],[Ship Date]]-Table3[[#This Row],[Order Date]]</f>
        <v>2</v>
      </c>
      <c r="N995" s="23" t="s">
        <v>20</v>
      </c>
      <c r="O995" s="23" t="s">
        <v>23</v>
      </c>
      <c r="P995" s="23" t="s">
        <v>94</v>
      </c>
      <c r="Q995" s="23" t="s">
        <v>95</v>
      </c>
      <c r="R995" s="23" t="s">
        <v>718</v>
      </c>
      <c r="S995" s="33">
        <v>0.2</v>
      </c>
      <c r="T995" s="13">
        <v>85.055999999999997</v>
      </c>
      <c r="U995" s="13">
        <v>28.706399999999999</v>
      </c>
      <c r="V995" s="55">
        <f>Table3[[#This Row],[Profit]]/Table3[[#This Row],[Sales]]</f>
        <v>0.33749999999999997</v>
      </c>
    </row>
    <row r="996" spans="1:22" x14ac:dyDescent="0.2">
      <c r="A996">
        <v>995</v>
      </c>
      <c r="B996" t="s">
        <v>1912</v>
      </c>
      <c r="C996" s="1">
        <v>42894</v>
      </c>
      <c r="D996" s="22">
        <f>MONTH(Table3[[#This Row],[Order Date]])</f>
        <v>6</v>
      </c>
      <c r="E996" t="s">
        <v>1916</v>
      </c>
      <c r="F996" t="s">
        <v>1917</v>
      </c>
      <c r="G996" s="23" t="s">
        <v>64</v>
      </c>
      <c r="H996" s="23" t="s">
        <v>65</v>
      </c>
      <c r="I996" t="s">
        <v>1913</v>
      </c>
      <c r="J996" t="s">
        <v>36</v>
      </c>
      <c r="K996" s="22">
        <v>3</v>
      </c>
      <c r="L996" s="1">
        <v>42896</v>
      </c>
      <c r="M996" s="22">
        <f>Table3[[#This Row],[Ship Date]]-Table3[[#This Row],[Order Date]]</f>
        <v>2</v>
      </c>
      <c r="N996" s="23" t="s">
        <v>20</v>
      </c>
      <c r="O996" s="23" t="s">
        <v>23</v>
      </c>
      <c r="P996" s="23" t="s">
        <v>94</v>
      </c>
      <c r="Q996" s="23" t="s">
        <v>95</v>
      </c>
      <c r="R996" s="23" t="s">
        <v>718</v>
      </c>
      <c r="S996" s="33">
        <v>0.2</v>
      </c>
      <c r="T996" s="13">
        <v>381.57600000000002</v>
      </c>
      <c r="U996" s="13">
        <v>28.618200000000002</v>
      </c>
      <c r="V996" s="55">
        <f>Table3[[#This Row],[Profit]]/Table3[[#This Row],[Sales]]</f>
        <v>7.4999999999999997E-2</v>
      </c>
    </row>
    <row r="997" spans="1:22" x14ac:dyDescent="0.2">
      <c r="A997">
        <v>996</v>
      </c>
      <c r="B997" t="s">
        <v>7049</v>
      </c>
      <c r="C997" s="1">
        <v>42894</v>
      </c>
      <c r="D997" s="22">
        <f>MONTH(Table3[[#This Row],[Order Date]])</f>
        <v>6</v>
      </c>
      <c r="E997" t="s">
        <v>5691</v>
      </c>
      <c r="F997" t="s">
        <v>5692</v>
      </c>
      <c r="G997" s="23" t="s">
        <v>41</v>
      </c>
      <c r="H997" s="23" t="s">
        <v>68</v>
      </c>
      <c r="I997" t="s">
        <v>7050</v>
      </c>
      <c r="J997" t="s">
        <v>22</v>
      </c>
      <c r="K997" s="22">
        <v>2</v>
      </c>
      <c r="L997" s="1">
        <v>42900</v>
      </c>
      <c r="M997" s="22">
        <f>Table3[[#This Row],[Ship Date]]-Table3[[#This Row],[Order Date]]</f>
        <v>6</v>
      </c>
      <c r="N997" s="23" t="s">
        <v>45</v>
      </c>
      <c r="O997" s="23" t="s">
        <v>23</v>
      </c>
      <c r="P997" s="23" t="s">
        <v>660</v>
      </c>
      <c r="Q997" s="23" t="s">
        <v>133</v>
      </c>
      <c r="R997" s="23" t="s">
        <v>2466</v>
      </c>
      <c r="S997" s="33">
        <v>0</v>
      </c>
      <c r="T997" s="13">
        <v>10.36</v>
      </c>
      <c r="U997" s="13">
        <v>5.0763999999999996</v>
      </c>
      <c r="V997" s="55">
        <f>Table3[[#This Row],[Profit]]/Table3[[#This Row],[Sales]]</f>
        <v>0.49</v>
      </c>
    </row>
    <row r="998" spans="1:22" x14ac:dyDescent="0.2">
      <c r="A998">
        <v>997</v>
      </c>
      <c r="B998" t="s">
        <v>8736</v>
      </c>
      <c r="C998" s="1">
        <v>42894</v>
      </c>
      <c r="D998" s="22">
        <f>MONTH(Table3[[#This Row],[Order Date]])</f>
        <v>6</v>
      </c>
      <c r="E998" t="s">
        <v>1181</v>
      </c>
      <c r="F998" t="s">
        <v>1182</v>
      </c>
      <c r="G998" s="23" t="s">
        <v>41</v>
      </c>
      <c r="H998" s="23" t="s">
        <v>68</v>
      </c>
      <c r="I998" t="s">
        <v>4442</v>
      </c>
      <c r="J998" t="s">
        <v>22</v>
      </c>
      <c r="K998" s="22">
        <v>4</v>
      </c>
      <c r="L998" s="1">
        <v>42899</v>
      </c>
      <c r="M998" s="22">
        <f>Table3[[#This Row],[Ship Date]]-Table3[[#This Row],[Order Date]]</f>
        <v>5</v>
      </c>
      <c r="N998" s="23" t="s">
        <v>45</v>
      </c>
      <c r="O998" s="23" t="s">
        <v>23</v>
      </c>
      <c r="P998" s="23" t="s">
        <v>189</v>
      </c>
      <c r="Q998" s="23" t="s">
        <v>95</v>
      </c>
      <c r="R998" s="23" t="s">
        <v>3784</v>
      </c>
      <c r="S998" s="33">
        <v>0.8</v>
      </c>
      <c r="T998" s="13">
        <v>12.176</v>
      </c>
      <c r="U998" s="13">
        <v>-18.872800000000002</v>
      </c>
      <c r="V998" s="55">
        <f>Table3[[#This Row],[Profit]]/Table3[[#This Row],[Sales]]</f>
        <v>-1.55</v>
      </c>
    </row>
    <row r="999" spans="1:22" x14ac:dyDescent="0.2">
      <c r="A999">
        <v>998</v>
      </c>
      <c r="B999" t="s">
        <v>8902</v>
      </c>
      <c r="C999" s="1">
        <v>42894</v>
      </c>
      <c r="D999" s="22">
        <f>MONTH(Table3[[#This Row],[Order Date]])</f>
        <v>6</v>
      </c>
      <c r="E999" t="s">
        <v>148</v>
      </c>
      <c r="F999" t="s">
        <v>149</v>
      </c>
      <c r="G999" s="23" t="s">
        <v>28</v>
      </c>
      <c r="H999" s="23" t="s">
        <v>29</v>
      </c>
      <c r="I999" t="s">
        <v>535</v>
      </c>
      <c r="J999" t="s">
        <v>92</v>
      </c>
      <c r="K999" s="22">
        <v>2</v>
      </c>
      <c r="L999" s="1">
        <v>42896</v>
      </c>
      <c r="M999" s="22">
        <f>Table3[[#This Row],[Ship Date]]-Table3[[#This Row],[Order Date]]</f>
        <v>2</v>
      </c>
      <c r="N999" s="23" t="s">
        <v>169</v>
      </c>
      <c r="O999" s="23" t="s">
        <v>23</v>
      </c>
      <c r="P999" s="23" t="s">
        <v>38</v>
      </c>
      <c r="Q999" s="23" t="s">
        <v>39</v>
      </c>
      <c r="R999" s="23" t="s">
        <v>37</v>
      </c>
      <c r="S999" s="33">
        <v>0.15</v>
      </c>
      <c r="T999" s="13">
        <v>1497.6659999999999</v>
      </c>
      <c r="U999" s="13">
        <v>140.95679999999999</v>
      </c>
      <c r="V999" s="55">
        <f>Table3[[#This Row],[Profit]]/Table3[[#This Row],[Sales]]</f>
        <v>9.4117647058823528E-2</v>
      </c>
    </row>
    <row r="1000" spans="1:22" x14ac:dyDescent="0.2">
      <c r="A1000">
        <v>999</v>
      </c>
      <c r="B1000" t="s">
        <v>8902</v>
      </c>
      <c r="C1000" s="1">
        <v>42894</v>
      </c>
      <c r="D1000" s="22">
        <f>MONTH(Table3[[#This Row],[Order Date]])</f>
        <v>6</v>
      </c>
      <c r="E1000" t="s">
        <v>2918</v>
      </c>
      <c r="F1000" t="s">
        <v>2919</v>
      </c>
      <c r="G1000" s="23" t="s">
        <v>64</v>
      </c>
      <c r="H1000" s="23" t="s">
        <v>65</v>
      </c>
      <c r="I1000" t="s">
        <v>535</v>
      </c>
      <c r="J1000" t="s">
        <v>92</v>
      </c>
      <c r="K1000" s="22">
        <v>2</v>
      </c>
      <c r="L1000" s="1">
        <v>42896</v>
      </c>
      <c r="M1000" s="22">
        <f>Table3[[#This Row],[Ship Date]]-Table3[[#This Row],[Order Date]]</f>
        <v>2</v>
      </c>
      <c r="N1000" s="23" t="s">
        <v>169</v>
      </c>
      <c r="O1000" s="23" t="s">
        <v>23</v>
      </c>
      <c r="P1000" s="23" t="s">
        <v>38</v>
      </c>
      <c r="Q1000" s="23" t="s">
        <v>39</v>
      </c>
      <c r="R1000" s="23" t="s">
        <v>37</v>
      </c>
      <c r="S1000" s="33">
        <v>0.2</v>
      </c>
      <c r="T1000" s="13">
        <v>17.52</v>
      </c>
      <c r="U1000" s="13">
        <v>-3.504</v>
      </c>
      <c r="V1000" s="55">
        <f>Table3[[#This Row],[Profit]]/Table3[[#This Row],[Sales]]</f>
        <v>-0.2</v>
      </c>
    </row>
    <row r="1001" spans="1:22" x14ac:dyDescent="0.2">
      <c r="A1001">
        <v>1000</v>
      </c>
      <c r="B1001" t="s">
        <v>9964</v>
      </c>
      <c r="C1001" s="1">
        <v>42894</v>
      </c>
      <c r="D1001" s="22">
        <f>MONTH(Table3[[#This Row],[Order Date]])</f>
        <v>6</v>
      </c>
      <c r="E1001" t="s">
        <v>3867</v>
      </c>
      <c r="F1001" t="s">
        <v>3868</v>
      </c>
      <c r="G1001" s="23" t="s">
        <v>64</v>
      </c>
      <c r="H1001" s="23" t="s">
        <v>144</v>
      </c>
      <c r="I1001" t="s">
        <v>2783</v>
      </c>
      <c r="J1001" t="s">
        <v>22</v>
      </c>
      <c r="K1001" s="22">
        <v>7</v>
      </c>
      <c r="L1001" s="1">
        <v>42899</v>
      </c>
      <c r="M1001" s="22">
        <f>Table3[[#This Row],[Ship Date]]-Table3[[#This Row],[Order Date]]</f>
        <v>5</v>
      </c>
      <c r="N1001" s="23" t="s">
        <v>45</v>
      </c>
      <c r="O1001" s="23" t="s">
        <v>23</v>
      </c>
      <c r="P1001" s="23" t="s">
        <v>277</v>
      </c>
      <c r="Q1001" s="23" t="s">
        <v>39</v>
      </c>
      <c r="R1001" s="23" t="s">
        <v>3477</v>
      </c>
      <c r="S1001" s="33">
        <v>0.2</v>
      </c>
      <c r="T1001" s="13">
        <v>89.543999999999997</v>
      </c>
      <c r="U1001" s="13">
        <v>12.3123</v>
      </c>
      <c r="V1001" s="55">
        <f>Table3[[#This Row],[Profit]]/Table3[[#This Row],[Sales]]</f>
        <v>0.13750000000000001</v>
      </c>
    </row>
    <row r="1002" spans="1:22" x14ac:dyDescent="0.2">
      <c r="A1002">
        <v>1001</v>
      </c>
      <c r="B1002" t="s">
        <v>9964</v>
      </c>
      <c r="C1002" s="1">
        <v>42894</v>
      </c>
      <c r="D1002" s="22">
        <f>MONTH(Table3[[#This Row],[Order Date]])</f>
        <v>6</v>
      </c>
      <c r="E1002" t="s">
        <v>780</v>
      </c>
      <c r="F1002" t="s">
        <v>781</v>
      </c>
      <c r="G1002" s="23" t="s">
        <v>41</v>
      </c>
      <c r="H1002" s="23" t="s">
        <v>53</v>
      </c>
      <c r="I1002" t="s">
        <v>2783</v>
      </c>
      <c r="J1002" t="s">
        <v>22</v>
      </c>
      <c r="K1002" s="22">
        <v>2</v>
      </c>
      <c r="L1002" s="1">
        <v>42899</v>
      </c>
      <c r="M1002" s="22">
        <f>Table3[[#This Row],[Ship Date]]-Table3[[#This Row],[Order Date]]</f>
        <v>5</v>
      </c>
      <c r="N1002" s="23" t="s">
        <v>45</v>
      </c>
      <c r="O1002" s="23" t="s">
        <v>23</v>
      </c>
      <c r="P1002" s="23" t="s">
        <v>277</v>
      </c>
      <c r="Q1002" s="23" t="s">
        <v>39</v>
      </c>
      <c r="R1002" s="23" t="s">
        <v>3477</v>
      </c>
      <c r="S1002" s="33">
        <v>0.2</v>
      </c>
      <c r="T1002" s="13">
        <v>35.167999999999999</v>
      </c>
      <c r="U1002" s="13">
        <v>-8.3523999999999994</v>
      </c>
      <c r="V1002" s="55">
        <f>Table3[[#This Row],[Profit]]/Table3[[#This Row],[Sales]]</f>
        <v>-0.23749999999999999</v>
      </c>
    </row>
    <row r="1003" spans="1:22" x14ac:dyDescent="0.2">
      <c r="A1003">
        <v>1002</v>
      </c>
      <c r="B1003" t="s">
        <v>9964</v>
      </c>
      <c r="C1003" s="1">
        <v>42894</v>
      </c>
      <c r="D1003" s="22">
        <f>MONTH(Table3[[#This Row],[Order Date]])</f>
        <v>6</v>
      </c>
      <c r="E1003" t="s">
        <v>938</v>
      </c>
      <c r="F1003" t="s">
        <v>939</v>
      </c>
      <c r="G1003" s="23" t="s">
        <v>41</v>
      </c>
      <c r="H1003" s="23" t="s">
        <v>68</v>
      </c>
      <c r="I1003" t="s">
        <v>2783</v>
      </c>
      <c r="J1003" t="s">
        <v>22</v>
      </c>
      <c r="K1003" s="22">
        <v>2</v>
      </c>
      <c r="L1003" s="1">
        <v>42899</v>
      </c>
      <c r="M1003" s="22">
        <f>Table3[[#This Row],[Ship Date]]-Table3[[#This Row],[Order Date]]</f>
        <v>5</v>
      </c>
      <c r="N1003" s="23" t="s">
        <v>45</v>
      </c>
      <c r="O1003" s="23" t="s">
        <v>23</v>
      </c>
      <c r="P1003" s="23" t="s">
        <v>277</v>
      </c>
      <c r="Q1003" s="23" t="s">
        <v>39</v>
      </c>
      <c r="R1003" s="23" t="s">
        <v>3477</v>
      </c>
      <c r="S1003" s="33">
        <v>0.7</v>
      </c>
      <c r="T1003" s="13">
        <v>72.587999999999994</v>
      </c>
      <c r="U1003" s="13">
        <v>-48.392000000000003</v>
      </c>
      <c r="V1003" s="55">
        <f>Table3[[#This Row],[Profit]]/Table3[[#This Row],[Sales]]</f>
        <v>-0.66666666666666674</v>
      </c>
    </row>
    <row r="1004" spans="1:22" x14ac:dyDescent="0.2">
      <c r="A1004">
        <v>1003</v>
      </c>
      <c r="B1004" t="s">
        <v>1923</v>
      </c>
      <c r="C1004" s="1">
        <v>42895</v>
      </c>
      <c r="D1004" s="22">
        <f>MONTH(Table3[[#This Row],[Order Date]])</f>
        <v>6</v>
      </c>
      <c r="E1004" t="s">
        <v>1924</v>
      </c>
      <c r="F1004" t="s">
        <v>1925</v>
      </c>
      <c r="G1004" s="23" t="s">
        <v>28</v>
      </c>
      <c r="H1004" s="23" t="s">
        <v>58</v>
      </c>
      <c r="I1004" t="s">
        <v>1823</v>
      </c>
      <c r="J1004" t="s">
        <v>92</v>
      </c>
      <c r="K1004" s="22">
        <v>3</v>
      </c>
      <c r="L1004" s="1">
        <v>42899</v>
      </c>
      <c r="M1004" s="22">
        <f>Table3[[#This Row],[Ship Date]]-Table3[[#This Row],[Order Date]]</f>
        <v>4</v>
      </c>
      <c r="N1004" s="23" t="s">
        <v>45</v>
      </c>
      <c r="O1004" s="23" t="s">
        <v>23</v>
      </c>
      <c r="P1004" s="23" t="s">
        <v>189</v>
      </c>
      <c r="Q1004" s="23" t="s">
        <v>95</v>
      </c>
      <c r="R1004" s="23" t="s">
        <v>271</v>
      </c>
      <c r="S1004" s="33">
        <v>0.6</v>
      </c>
      <c r="T1004" s="13">
        <v>23.975999999999999</v>
      </c>
      <c r="U1004" s="13">
        <v>-14.3856</v>
      </c>
      <c r="V1004" s="55">
        <f>Table3[[#This Row],[Profit]]/Table3[[#This Row],[Sales]]</f>
        <v>-0.6</v>
      </c>
    </row>
    <row r="1005" spans="1:22" x14ac:dyDescent="0.2">
      <c r="A1005">
        <v>1004</v>
      </c>
      <c r="B1005" t="s">
        <v>1923</v>
      </c>
      <c r="C1005" s="1">
        <v>42895</v>
      </c>
      <c r="D1005" s="22">
        <f>MONTH(Table3[[#This Row],[Order Date]])</f>
        <v>6</v>
      </c>
      <c r="E1005" t="s">
        <v>1926</v>
      </c>
      <c r="F1005" t="s">
        <v>1927</v>
      </c>
      <c r="G1005" s="23" t="s">
        <v>28</v>
      </c>
      <c r="H1005" s="23" t="s">
        <v>50</v>
      </c>
      <c r="I1005" t="s">
        <v>1823</v>
      </c>
      <c r="J1005" t="s">
        <v>92</v>
      </c>
      <c r="K1005" s="22">
        <v>1</v>
      </c>
      <c r="L1005" s="1">
        <v>42899</v>
      </c>
      <c r="M1005" s="22">
        <f>Table3[[#This Row],[Ship Date]]-Table3[[#This Row],[Order Date]]</f>
        <v>4</v>
      </c>
      <c r="N1005" s="23" t="s">
        <v>45</v>
      </c>
      <c r="O1005" s="23" t="s">
        <v>23</v>
      </c>
      <c r="P1005" s="23" t="s">
        <v>189</v>
      </c>
      <c r="Q1005" s="23" t="s">
        <v>95</v>
      </c>
      <c r="R1005" s="23" t="s">
        <v>271</v>
      </c>
      <c r="S1005" s="33">
        <v>0.5</v>
      </c>
      <c r="T1005" s="13">
        <v>108.925</v>
      </c>
      <c r="U1005" s="13">
        <v>-71.890500000000003</v>
      </c>
      <c r="V1005" s="55">
        <f>Table3[[#This Row],[Profit]]/Table3[[#This Row],[Sales]]</f>
        <v>-0.66</v>
      </c>
    </row>
    <row r="1006" spans="1:22" x14ac:dyDescent="0.2">
      <c r="A1006">
        <v>1005</v>
      </c>
      <c r="B1006" t="s">
        <v>1923</v>
      </c>
      <c r="C1006" s="1">
        <v>42895</v>
      </c>
      <c r="D1006" s="22">
        <f>MONTH(Table3[[#This Row],[Order Date]])</f>
        <v>6</v>
      </c>
      <c r="E1006" t="s">
        <v>495</v>
      </c>
      <c r="F1006" t="s">
        <v>1928</v>
      </c>
      <c r="G1006" s="23" t="s">
        <v>41</v>
      </c>
      <c r="H1006" s="23" t="s">
        <v>82</v>
      </c>
      <c r="I1006" t="s">
        <v>1823</v>
      </c>
      <c r="J1006" t="s">
        <v>92</v>
      </c>
      <c r="K1006" s="22">
        <v>8</v>
      </c>
      <c r="L1006" s="1">
        <v>42899</v>
      </c>
      <c r="M1006" s="22">
        <f>Table3[[#This Row],[Ship Date]]-Table3[[#This Row],[Order Date]]</f>
        <v>4</v>
      </c>
      <c r="N1006" s="23" t="s">
        <v>45</v>
      </c>
      <c r="O1006" s="23" t="s">
        <v>23</v>
      </c>
      <c r="P1006" s="23" t="s">
        <v>189</v>
      </c>
      <c r="Q1006" s="23" t="s">
        <v>95</v>
      </c>
      <c r="R1006" s="23" t="s">
        <v>271</v>
      </c>
      <c r="S1006" s="33">
        <v>0.2</v>
      </c>
      <c r="T1006" s="13">
        <v>36.351999999999997</v>
      </c>
      <c r="U1006" s="13">
        <v>11.36</v>
      </c>
      <c r="V1006" s="55">
        <f>Table3[[#This Row],[Profit]]/Table3[[#This Row],[Sales]]</f>
        <v>0.3125</v>
      </c>
    </row>
    <row r="1007" spans="1:22" x14ac:dyDescent="0.2">
      <c r="A1007">
        <v>1006</v>
      </c>
      <c r="B1007" t="s">
        <v>7417</v>
      </c>
      <c r="C1007" s="1">
        <v>42895</v>
      </c>
      <c r="D1007" s="22">
        <f>MONTH(Table3[[#This Row],[Order Date]])</f>
        <v>6</v>
      </c>
      <c r="E1007" t="s">
        <v>2527</v>
      </c>
      <c r="F1007" t="s">
        <v>2528</v>
      </c>
      <c r="G1007" s="23" t="s">
        <v>41</v>
      </c>
      <c r="H1007" s="23" t="s">
        <v>53</v>
      </c>
      <c r="I1007" t="s">
        <v>4114</v>
      </c>
      <c r="J1007" t="s">
        <v>36</v>
      </c>
      <c r="K1007" s="22">
        <v>5</v>
      </c>
      <c r="L1007" s="1">
        <v>42896</v>
      </c>
      <c r="M1007" s="22">
        <f>Table3[[#This Row],[Ship Date]]-Table3[[#This Row],[Order Date]]</f>
        <v>1</v>
      </c>
      <c r="N1007" s="23" t="s">
        <v>169</v>
      </c>
      <c r="O1007" s="23" t="s">
        <v>23</v>
      </c>
      <c r="P1007" s="23" t="s">
        <v>94</v>
      </c>
      <c r="Q1007" s="23" t="s">
        <v>95</v>
      </c>
      <c r="R1007" s="23" t="s">
        <v>718</v>
      </c>
      <c r="S1007" s="33">
        <v>0.2</v>
      </c>
      <c r="T1007" s="13">
        <v>720.76</v>
      </c>
      <c r="U1007" s="13">
        <v>54.057000000000002</v>
      </c>
      <c r="V1007" s="55">
        <f>Table3[[#This Row],[Profit]]/Table3[[#This Row],[Sales]]</f>
        <v>7.4999999999999997E-2</v>
      </c>
    </row>
    <row r="1008" spans="1:22" x14ac:dyDescent="0.2">
      <c r="A1008">
        <v>1007</v>
      </c>
      <c r="B1008" t="s">
        <v>9076</v>
      </c>
      <c r="C1008" s="1">
        <v>42895</v>
      </c>
      <c r="D1008" s="22">
        <f>MONTH(Table3[[#This Row],[Order Date]])</f>
        <v>6</v>
      </c>
      <c r="E1008" t="s">
        <v>166</v>
      </c>
      <c r="F1008" t="s">
        <v>167</v>
      </c>
      <c r="G1008" s="23" t="s">
        <v>41</v>
      </c>
      <c r="H1008" s="23" t="s">
        <v>82</v>
      </c>
      <c r="I1008" t="s">
        <v>1244</v>
      </c>
      <c r="J1008" t="s">
        <v>22</v>
      </c>
      <c r="K1008" s="22">
        <v>4</v>
      </c>
      <c r="L1008" s="1">
        <v>42900</v>
      </c>
      <c r="M1008" s="22">
        <f>Table3[[#This Row],[Ship Date]]-Table3[[#This Row],[Order Date]]</f>
        <v>5</v>
      </c>
      <c r="N1008" s="23" t="s">
        <v>45</v>
      </c>
      <c r="O1008" s="23" t="s">
        <v>23</v>
      </c>
      <c r="P1008" s="23" t="s">
        <v>285</v>
      </c>
      <c r="Q1008" s="23" t="s">
        <v>26</v>
      </c>
      <c r="R1008" s="23" t="s">
        <v>1744</v>
      </c>
      <c r="S1008" s="33">
        <v>0</v>
      </c>
      <c r="T1008" s="13">
        <v>49.12</v>
      </c>
      <c r="U1008" s="13">
        <v>23.086400000000001</v>
      </c>
      <c r="V1008" s="55">
        <f>Table3[[#This Row],[Profit]]/Table3[[#This Row],[Sales]]</f>
        <v>0.47000000000000003</v>
      </c>
    </row>
    <row r="1009" spans="1:22" x14ac:dyDescent="0.2">
      <c r="A1009">
        <v>1008</v>
      </c>
      <c r="B1009" t="s">
        <v>1474</v>
      </c>
      <c r="C1009" s="1">
        <v>42896</v>
      </c>
      <c r="D1009" s="22">
        <f>MONTH(Table3[[#This Row],[Order Date]])</f>
        <v>6</v>
      </c>
      <c r="E1009" t="s">
        <v>1476</v>
      </c>
      <c r="F1009" t="s">
        <v>1477</v>
      </c>
      <c r="G1009" s="23" t="s">
        <v>41</v>
      </c>
      <c r="H1009" s="23" t="s">
        <v>42</v>
      </c>
      <c r="I1009" t="s">
        <v>1475</v>
      </c>
      <c r="J1009" t="s">
        <v>92</v>
      </c>
      <c r="K1009" s="22">
        <v>2</v>
      </c>
      <c r="L1009" s="1">
        <v>42899</v>
      </c>
      <c r="M1009" s="22">
        <f>Table3[[#This Row],[Ship Date]]-Table3[[#This Row],[Order Date]]</f>
        <v>3</v>
      </c>
      <c r="N1009" s="23" t="s">
        <v>169</v>
      </c>
      <c r="O1009" s="23" t="s">
        <v>23</v>
      </c>
      <c r="P1009" s="23" t="s">
        <v>38</v>
      </c>
      <c r="Q1009" s="23" t="s">
        <v>39</v>
      </c>
      <c r="R1009" s="23" t="s">
        <v>37</v>
      </c>
      <c r="S1009" s="33">
        <v>0</v>
      </c>
      <c r="T1009" s="13">
        <v>29.6</v>
      </c>
      <c r="U1009" s="13">
        <v>14.8</v>
      </c>
      <c r="V1009" s="55">
        <f>Table3[[#This Row],[Profit]]/Table3[[#This Row],[Sales]]</f>
        <v>0.5</v>
      </c>
    </row>
    <row r="1010" spans="1:22" x14ac:dyDescent="0.2">
      <c r="A1010">
        <v>1009</v>
      </c>
      <c r="B1010" t="s">
        <v>1474</v>
      </c>
      <c r="C1010" s="1">
        <v>42896</v>
      </c>
      <c r="D1010" s="22">
        <f>MONTH(Table3[[#This Row],[Order Date]])</f>
        <v>6</v>
      </c>
      <c r="E1010" t="s">
        <v>1478</v>
      </c>
      <c r="F1010" t="s">
        <v>1479</v>
      </c>
      <c r="G1010" s="23" t="s">
        <v>28</v>
      </c>
      <c r="H1010" s="23" t="s">
        <v>29</v>
      </c>
      <c r="I1010" t="s">
        <v>1475</v>
      </c>
      <c r="J1010" t="s">
        <v>92</v>
      </c>
      <c r="K1010" s="22">
        <v>5</v>
      </c>
      <c r="L1010" s="1">
        <v>42899</v>
      </c>
      <c r="M1010" s="22">
        <f>Table3[[#This Row],[Ship Date]]-Table3[[#This Row],[Order Date]]</f>
        <v>3</v>
      </c>
      <c r="N1010" s="23" t="s">
        <v>169</v>
      </c>
      <c r="O1010" s="23" t="s">
        <v>23</v>
      </c>
      <c r="P1010" s="23" t="s">
        <v>38</v>
      </c>
      <c r="Q1010" s="23" t="s">
        <v>39</v>
      </c>
      <c r="R1010" s="23" t="s">
        <v>37</v>
      </c>
      <c r="S1010" s="33">
        <v>0.15</v>
      </c>
      <c r="T1010" s="13">
        <v>514.16499999999996</v>
      </c>
      <c r="U1010" s="13">
        <v>-30.245000000000001</v>
      </c>
      <c r="V1010" s="55">
        <f>Table3[[#This Row],[Profit]]/Table3[[#This Row],[Sales]]</f>
        <v>-5.8823529411764712E-2</v>
      </c>
    </row>
    <row r="1011" spans="1:22" x14ac:dyDescent="0.2">
      <c r="A1011">
        <v>1010</v>
      </c>
      <c r="B1011" t="s">
        <v>1474</v>
      </c>
      <c r="C1011" s="1">
        <v>42896</v>
      </c>
      <c r="D1011" s="22">
        <f>MONTH(Table3[[#This Row],[Order Date]])</f>
        <v>6</v>
      </c>
      <c r="E1011" t="s">
        <v>1480</v>
      </c>
      <c r="F1011" t="s">
        <v>1481</v>
      </c>
      <c r="G1011" s="23" t="s">
        <v>64</v>
      </c>
      <c r="H1011" s="23" t="s">
        <v>65</v>
      </c>
      <c r="I1011" t="s">
        <v>1475</v>
      </c>
      <c r="J1011" t="s">
        <v>92</v>
      </c>
      <c r="K1011" s="22">
        <v>5</v>
      </c>
      <c r="L1011" s="1">
        <v>42899</v>
      </c>
      <c r="M1011" s="22">
        <f>Table3[[#This Row],[Ship Date]]-Table3[[#This Row],[Order Date]]</f>
        <v>3</v>
      </c>
      <c r="N1011" s="23" t="s">
        <v>169</v>
      </c>
      <c r="O1011" s="23" t="s">
        <v>23</v>
      </c>
      <c r="P1011" s="23" t="s">
        <v>38</v>
      </c>
      <c r="Q1011" s="23" t="s">
        <v>39</v>
      </c>
      <c r="R1011" s="23" t="s">
        <v>37</v>
      </c>
      <c r="S1011" s="33">
        <v>0.2</v>
      </c>
      <c r="T1011" s="13">
        <v>279.95999999999998</v>
      </c>
      <c r="U1011" s="13">
        <v>17.497499999999999</v>
      </c>
      <c r="V1011" s="55">
        <f>Table3[[#This Row],[Profit]]/Table3[[#This Row],[Sales]]</f>
        <v>6.25E-2</v>
      </c>
    </row>
    <row r="1012" spans="1:22" x14ac:dyDescent="0.2">
      <c r="A1012">
        <v>1011</v>
      </c>
      <c r="B1012" t="s">
        <v>1870</v>
      </c>
      <c r="C1012" s="1">
        <v>42896</v>
      </c>
      <c r="D1012" s="22">
        <f>MONTH(Table3[[#This Row],[Order Date]])</f>
        <v>6</v>
      </c>
      <c r="E1012" t="s">
        <v>800</v>
      </c>
      <c r="F1012" t="s">
        <v>1581</v>
      </c>
      <c r="G1012" s="23" t="s">
        <v>64</v>
      </c>
      <c r="H1012" s="23" t="s">
        <v>144</v>
      </c>
      <c r="I1012" t="s">
        <v>1871</v>
      </c>
      <c r="J1012" t="s">
        <v>22</v>
      </c>
      <c r="K1012" s="22">
        <v>4</v>
      </c>
      <c r="L1012" s="1">
        <v>42901</v>
      </c>
      <c r="M1012" s="22">
        <f>Table3[[#This Row],[Ship Date]]-Table3[[#This Row],[Order Date]]</f>
        <v>5</v>
      </c>
      <c r="N1012" s="23" t="s">
        <v>45</v>
      </c>
      <c r="O1012" s="23" t="s">
        <v>23</v>
      </c>
      <c r="P1012" s="23" t="s">
        <v>212</v>
      </c>
      <c r="Q1012" s="23" t="s">
        <v>95</v>
      </c>
      <c r="R1012" s="23" t="s">
        <v>1872</v>
      </c>
      <c r="S1012" s="33">
        <v>0</v>
      </c>
      <c r="T1012" s="13">
        <v>132.52000000000001</v>
      </c>
      <c r="U1012" s="13">
        <v>54.333199999999998</v>
      </c>
      <c r="V1012" s="55">
        <f>Table3[[#This Row],[Profit]]/Table3[[#This Row],[Sales]]</f>
        <v>0.41</v>
      </c>
    </row>
    <row r="1013" spans="1:22" x14ac:dyDescent="0.2">
      <c r="A1013">
        <v>1012</v>
      </c>
      <c r="B1013" t="s">
        <v>4701</v>
      </c>
      <c r="C1013" s="1">
        <v>42896</v>
      </c>
      <c r="D1013" s="22">
        <f>MONTH(Table3[[#This Row],[Order Date]])</f>
        <v>6</v>
      </c>
      <c r="E1013" t="s">
        <v>2878</v>
      </c>
      <c r="F1013" t="s">
        <v>2879</v>
      </c>
      <c r="G1013" s="23" t="s">
        <v>41</v>
      </c>
      <c r="H1013" s="23" t="s">
        <v>61</v>
      </c>
      <c r="I1013" t="s">
        <v>4442</v>
      </c>
      <c r="J1013" t="s">
        <v>22</v>
      </c>
      <c r="K1013" s="22">
        <v>5</v>
      </c>
      <c r="L1013" s="1">
        <v>42899</v>
      </c>
      <c r="M1013" s="22">
        <f>Table3[[#This Row],[Ship Date]]-Table3[[#This Row],[Order Date]]</f>
        <v>3</v>
      </c>
      <c r="N1013" s="23" t="s">
        <v>169</v>
      </c>
      <c r="O1013" s="23" t="s">
        <v>23</v>
      </c>
      <c r="P1013" s="23" t="s">
        <v>38</v>
      </c>
      <c r="Q1013" s="23" t="s">
        <v>39</v>
      </c>
      <c r="R1013" s="23" t="s">
        <v>37</v>
      </c>
      <c r="S1013" s="33">
        <v>0</v>
      </c>
      <c r="T1013" s="13">
        <v>16.399999999999999</v>
      </c>
      <c r="U1013" s="13">
        <v>4.7560000000000002</v>
      </c>
      <c r="V1013" s="55">
        <f>Table3[[#This Row],[Profit]]/Table3[[#This Row],[Sales]]</f>
        <v>0.29000000000000004</v>
      </c>
    </row>
    <row r="1014" spans="1:22" x14ac:dyDescent="0.2">
      <c r="A1014">
        <v>1013</v>
      </c>
      <c r="B1014" t="s">
        <v>5902</v>
      </c>
      <c r="C1014" s="1">
        <v>42896</v>
      </c>
      <c r="D1014" s="22">
        <f>MONTH(Table3[[#This Row],[Order Date]])</f>
        <v>6</v>
      </c>
      <c r="E1014" t="s">
        <v>4744</v>
      </c>
      <c r="F1014" t="s">
        <v>4745</v>
      </c>
      <c r="G1014" s="23" t="s">
        <v>41</v>
      </c>
      <c r="H1014" s="23" t="s">
        <v>82</v>
      </c>
      <c r="I1014" t="s">
        <v>3612</v>
      </c>
      <c r="J1014" t="s">
        <v>22</v>
      </c>
      <c r="K1014" s="22">
        <v>6</v>
      </c>
      <c r="L1014" s="1">
        <v>42896</v>
      </c>
      <c r="M1014" s="22">
        <f>Table3[[#This Row],[Ship Date]]-Table3[[#This Row],[Order Date]]</f>
        <v>0</v>
      </c>
      <c r="N1014" s="23" t="s">
        <v>1141</v>
      </c>
      <c r="O1014" s="23" t="s">
        <v>23</v>
      </c>
      <c r="P1014" s="23" t="s">
        <v>132</v>
      </c>
      <c r="Q1014" s="23" t="s">
        <v>133</v>
      </c>
      <c r="R1014" s="23" t="s">
        <v>131</v>
      </c>
      <c r="S1014" s="33">
        <v>0.2</v>
      </c>
      <c r="T1014" s="13">
        <v>40.031999999999996</v>
      </c>
      <c r="U1014" s="13">
        <v>15.012</v>
      </c>
      <c r="V1014" s="55">
        <f>Table3[[#This Row],[Profit]]/Table3[[#This Row],[Sales]]</f>
        <v>0.37500000000000006</v>
      </c>
    </row>
    <row r="1015" spans="1:22" x14ac:dyDescent="0.2">
      <c r="A1015">
        <v>1014</v>
      </c>
      <c r="B1015" t="s">
        <v>6821</v>
      </c>
      <c r="C1015" s="1">
        <v>42896</v>
      </c>
      <c r="D1015" s="22">
        <f>MONTH(Table3[[#This Row],[Order Date]])</f>
        <v>6</v>
      </c>
      <c r="E1015" t="s">
        <v>6822</v>
      </c>
      <c r="F1015" t="s">
        <v>6823</v>
      </c>
      <c r="G1015" s="23" t="s">
        <v>41</v>
      </c>
      <c r="H1015" s="23" t="s">
        <v>53</v>
      </c>
      <c r="I1015" t="s">
        <v>4058</v>
      </c>
      <c r="J1015" t="s">
        <v>36</v>
      </c>
      <c r="K1015" s="22">
        <v>8</v>
      </c>
      <c r="L1015" s="1">
        <v>42900</v>
      </c>
      <c r="M1015" s="22">
        <f>Table3[[#This Row],[Ship Date]]-Table3[[#This Row],[Order Date]]</f>
        <v>4</v>
      </c>
      <c r="N1015" s="23" t="s">
        <v>45</v>
      </c>
      <c r="O1015" s="23" t="s">
        <v>23</v>
      </c>
      <c r="P1015" s="23" t="s">
        <v>48</v>
      </c>
      <c r="Q1015" s="23" t="s">
        <v>26</v>
      </c>
      <c r="R1015" s="23" t="s">
        <v>1345</v>
      </c>
      <c r="S1015" s="33">
        <v>0.2</v>
      </c>
      <c r="T1015" s="13">
        <v>1347.52</v>
      </c>
      <c r="U1015" s="13">
        <v>84.22</v>
      </c>
      <c r="V1015" s="55">
        <f>Table3[[#This Row],[Profit]]/Table3[[#This Row],[Sales]]</f>
        <v>6.25E-2</v>
      </c>
    </row>
    <row r="1016" spans="1:22" x14ac:dyDescent="0.2">
      <c r="A1016">
        <v>1015</v>
      </c>
      <c r="B1016" t="s">
        <v>7313</v>
      </c>
      <c r="C1016" s="1">
        <v>42896</v>
      </c>
      <c r="D1016" s="22">
        <f>MONTH(Table3[[#This Row],[Order Date]])</f>
        <v>6</v>
      </c>
      <c r="E1016" t="s">
        <v>257</v>
      </c>
      <c r="F1016" t="s">
        <v>258</v>
      </c>
      <c r="G1016" s="23" t="s">
        <v>41</v>
      </c>
      <c r="H1016" s="23" t="s">
        <v>61</v>
      </c>
      <c r="I1016" t="s">
        <v>187</v>
      </c>
      <c r="J1016" t="s">
        <v>36</v>
      </c>
      <c r="K1016" s="22">
        <v>5</v>
      </c>
      <c r="L1016" s="1">
        <v>42900</v>
      </c>
      <c r="M1016" s="22">
        <f>Table3[[#This Row],[Ship Date]]-Table3[[#This Row],[Order Date]]</f>
        <v>4</v>
      </c>
      <c r="N1016" s="23" t="s">
        <v>45</v>
      </c>
      <c r="O1016" s="23" t="s">
        <v>23</v>
      </c>
      <c r="P1016" s="23" t="s">
        <v>238</v>
      </c>
      <c r="Q1016" s="23" t="s">
        <v>133</v>
      </c>
      <c r="R1016" s="23" t="s">
        <v>237</v>
      </c>
      <c r="S1016" s="33">
        <v>0</v>
      </c>
      <c r="T1016" s="13">
        <v>8.4</v>
      </c>
      <c r="U1016" s="13">
        <v>4.2</v>
      </c>
      <c r="V1016" s="55">
        <f>Table3[[#This Row],[Profit]]/Table3[[#This Row],[Sales]]</f>
        <v>0.5</v>
      </c>
    </row>
    <row r="1017" spans="1:22" x14ac:dyDescent="0.2">
      <c r="A1017">
        <v>1016</v>
      </c>
      <c r="B1017" t="s">
        <v>7421</v>
      </c>
      <c r="C1017" s="1">
        <v>42896</v>
      </c>
      <c r="D1017" s="22">
        <f>MONTH(Table3[[#This Row],[Order Date]])</f>
        <v>6</v>
      </c>
      <c r="E1017" t="s">
        <v>2352</v>
      </c>
      <c r="F1017" t="s">
        <v>2353</v>
      </c>
      <c r="G1017" s="23" t="s">
        <v>64</v>
      </c>
      <c r="H1017" s="23" t="s">
        <v>65</v>
      </c>
      <c r="I1017" t="s">
        <v>1655</v>
      </c>
      <c r="J1017" t="s">
        <v>22</v>
      </c>
      <c r="K1017" s="22">
        <v>3</v>
      </c>
      <c r="L1017" s="1">
        <v>42901</v>
      </c>
      <c r="M1017" s="22">
        <f>Table3[[#This Row],[Ship Date]]-Table3[[#This Row],[Order Date]]</f>
        <v>5</v>
      </c>
      <c r="N1017" s="23" t="s">
        <v>45</v>
      </c>
      <c r="O1017" s="23" t="s">
        <v>23</v>
      </c>
      <c r="P1017" s="23" t="s">
        <v>87</v>
      </c>
      <c r="Q1017" s="23" t="s">
        <v>39</v>
      </c>
      <c r="R1017" s="23" t="s">
        <v>86</v>
      </c>
      <c r="S1017" s="33">
        <v>0.2</v>
      </c>
      <c r="T1017" s="13">
        <v>88.775999999999996</v>
      </c>
      <c r="U1017" s="13">
        <v>7.7679</v>
      </c>
      <c r="V1017" s="55">
        <f>Table3[[#This Row],[Profit]]/Table3[[#This Row],[Sales]]</f>
        <v>8.7500000000000008E-2</v>
      </c>
    </row>
    <row r="1018" spans="1:22" x14ac:dyDescent="0.2">
      <c r="A1018">
        <v>1017</v>
      </c>
      <c r="B1018" t="s">
        <v>7421</v>
      </c>
      <c r="C1018" s="1">
        <v>42896</v>
      </c>
      <c r="D1018" s="22">
        <f>MONTH(Table3[[#This Row],[Order Date]])</f>
        <v>6</v>
      </c>
      <c r="E1018" t="s">
        <v>946</v>
      </c>
      <c r="F1018" t="s">
        <v>947</v>
      </c>
      <c r="G1018" s="23" t="s">
        <v>41</v>
      </c>
      <c r="H1018" s="23" t="s">
        <v>42</v>
      </c>
      <c r="I1018" t="s">
        <v>1655</v>
      </c>
      <c r="J1018" t="s">
        <v>22</v>
      </c>
      <c r="K1018" s="22">
        <v>4</v>
      </c>
      <c r="L1018" s="1">
        <v>42901</v>
      </c>
      <c r="M1018" s="22">
        <f>Table3[[#This Row],[Ship Date]]-Table3[[#This Row],[Order Date]]</f>
        <v>5</v>
      </c>
      <c r="N1018" s="23" t="s">
        <v>45</v>
      </c>
      <c r="O1018" s="23" t="s">
        <v>23</v>
      </c>
      <c r="P1018" s="23" t="s">
        <v>87</v>
      </c>
      <c r="Q1018" s="23" t="s">
        <v>39</v>
      </c>
      <c r="R1018" s="23" t="s">
        <v>86</v>
      </c>
      <c r="S1018" s="33">
        <v>0</v>
      </c>
      <c r="T1018" s="13">
        <v>11.56</v>
      </c>
      <c r="U1018" s="13">
        <v>5.4332000000000003</v>
      </c>
      <c r="V1018" s="55">
        <f>Table3[[#This Row],[Profit]]/Table3[[#This Row],[Sales]]</f>
        <v>0.47000000000000003</v>
      </c>
    </row>
    <row r="1019" spans="1:22" x14ac:dyDescent="0.2">
      <c r="A1019">
        <v>1018</v>
      </c>
      <c r="B1019" t="s">
        <v>7421</v>
      </c>
      <c r="C1019" s="1">
        <v>42896</v>
      </c>
      <c r="D1019" s="22">
        <f>MONTH(Table3[[#This Row],[Order Date]])</f>
        <v>6</v>
      </c>
      <c r="E1019" t="s">
        <v>841</v>
      </c>
      <c r="F1019" t="s">
        <v>1542</v>
      </c>
      <c r="G1019" s="23" t="s">
        <v>41</v>
      </c>
      <c r="H1019" s="23" t="s">
        <v>53</v>
      </c>
      <c r="I1019" t="s">
        <v>1655</v>
      </c>
      <c r="J1019" t="s">
        <v>22</v>
      </c>
      <c r="K1019" s="22">
        <v>1</v>
      </c>
      <c r="L1019" s="1">
        <v>42901</v>
      </c>
      <c r="M1019" s="22">
        <f>Table3[[#This Row],[Ship Date]]-Table3[[#This Row],[Order Date]]</f>
        <v>5</v>
      </c>
      <c r="N1019" s="23" t="s">
        <v>45</v>
      </c>
      <c r="O1019" s="23" t="s">
        <v>23</v>
      </c>
      <c r="P1019" s="23" t="s">
        <v>87</v>
      </c>
      <c r="Q1019" s="23" t="s">
        <v>39</v>
      </c>
      <c r="R1019" s="23" t="s">
        <v>86</v>
      </c>
      <c r="S1019" s="33">
        <v>0</v>
      </c>
      <c r="T1019" s="13">
        <v>15.58</v>
      </c>
      <c r="U1019" s="13">
        <v>3.895</v>
      </c>
      <c r="V1019" s="55">
        <f>Table3[[#This Row],[Profit]]/Table3[[#This Row],[Sales]]</f>
        <v>0.25</v>
      </c>
    </row>
    <row r="1020" spans="1:22" x14ac:dyDescent="0.2">
      <c r="A1020">
        <v>1019</v>
      </c>
      <c r="B1020" t="s">
        <v>8601</v>
      </c>
      <c r="C1020" s="1">
        <v>42896</v>
      </c>
      <c r="D1020" s="22">
        <f>MONTH(Table3[[#This Row],[Order Date]])</f>
        <v>6</v>
      </c>
      <c r="E1020" t="s">
        <v>7097</v>
      </c>
      <c r="F1020" t="s">
        <v>7098</v>
      </c>
      <c r="G1020" s="23" t="s">
        <v>41</v>
      </c>
      <c r="H1020" s="23" t="s">
        <v>61</v>
      </c>
      <c r="I1020" t="s">
        <v>3231</v>
      </c>
      <c r="J1020" t="s">
        <v>36</v>
      </c>
      <c r="K1020" s="22">
        <v>7</v>
      </c>
      <c r="L1020" s="1">
        <v>42899</v>
      </c>
      <c r="M1020" s="22">
        <f>Table3[[#This Row],[Ship Date]]-Table3[[#This Row],[Order Date]]</f>
        <v>3</v>
      </c>
      <c r="N1020" s="23" t="s">
        <v>20</v>
      </c>
      <c r="O1020" s="23" t="s">
        <v>23</v>
      </c>
      <c r="P1020" s="23" t="s">
        <v>38</v>
      </c>
      <c r="Q1020" s="23" t="s">
        <v>39</v>
      </c>
      <c r="R1020" s="23" t="s">
        <v>4808</v>
      </c>
      <c r="S1020" s="33">
        <v>0</v>
      </c>
      <c r="T1020" s="13">
        <v>14.7</v>
      </c>
      <c r="U1020" s="13">
        <v>4.1159999999999997</v>
      </c>
      <c r="V1020" s="55">
        <f>Table3[[#This Row],[Profit]]/Table3[[#This Row],[Sales]]</f>
        <v>0.27999999999999997</v>
      </c>
    </row>
    <row r="1021" spans="1:22" x14ac:dyDescent="0.2">
      <c r="A1021">
        <v>1020</v>
      </c>
      <c r="B1021" t="s">
        <v>8633</v>
      </c>
      <c r="C1021" s="1">
        <v>42896</v>
      </c>
      <c r="D1021" s="22">
        <f>MONTH(Table3[[#This Row],[Order Date]])</f>
        <v>6</v>
      </c>
      <c r="E1021" t="s">
        <v>4313</v>
      </c>
      <c r="F1021" t="s">
        <v>4314</v>
      </c>
      <c r="G1021" s="23" t="s">
        <v>41</v>
      </c>
      <c r="H1021" s="23" t="s">
        <v>240</v>
      </c>
      <c r="I1021" t="s">
        <v>1167</v>
      </c>
      <c r="J1021" t="s">
        <v>36</v>
      </c>
      <c r="K1021" s="22">
        <v>3</v>
      </c>
      <c r="L1021" s="1">
        <v>42900</v>
      </c>
      <c r="M1021" s="22">
        <f>Table3[[#This Row],[Ship Date]]-Table3[[#This Row],[Order Date]]</f>
        <v>4</v>
      </c>
      <c r="N1021" s="23" t="s">
        <v>20</v>
      </c>
      <c r="O1021" s="23" t="s">
        <v>23</v>
      </c>
      <c r="P1021" s="23" t="s">
        <v>238</v>
      </c>
      <c r="Q1021" s="23" t="s">
        <v>133</v>
      </c>
      <c r="R1021" s="23" t="s">
        <v>237</v>
      </c>
      <c r="S1021" s="33">
        <v>0</v>
      </c>
      <c r="T1021" s="13">
        <v>14.13</v>
      </c>
      <c r="U1021" s="13">
        <v>0.70650000000000002</v>
      </c>
      <c r="V1021" s="55">
        <f>Table3[[#This Row],[Profit]]/Table3[[#This Row],[Sales]]</f>
        <v>4.9999999999999996E-2</v>
      </c>
    </row>
    <row r="1022" spans="1:22" x14ac:dyDescent="0.2">
      <c r="A1022">
        <v>1021</v>
      </c>
      <c r="B1022" t="s">
        <v>3668</v>
      </c>
      <c r="C1022" s="1">
        <v>42897</v>
      </c>
      <c r="D1022" s="22">
        <f>MONTH(Table3[[#This Row],[Order Date]])</f>
        <v>6</v>
      </c>
      <c r="E1022" t="s">
        <v>1532</v>
      </c>
      <c r="F1022" t="s">
        <v>1533</v>
      </c>
      <c r="G1022" s="23" t="s">
        <v>41</v>
      </c>
      <c r="H1022" s="23" t="s">
        <v>82</v>
      </c>
      <c r="I1022" t="s">
        <v>1733</v>
      </c>
      <c r="J1022" t="s">
        <v>22</v>
      </c>
      <c r="K1022" s="22">
        <v>3</v>
      </c>
      <c r="L1022" s="1">
        <v>42897</v>
      </c>
      <c r="M1022" s="22">
        <f>Table3[[#This Row],[Ship Date]]-Table3[[#This Row],[Order Date]]</f>
        <v>0</v>
      </c>
      <c r="N1022" s="23" t="s">
        <v>1141</v>
      </c>
      <c r="O1022" s="23" t="s">
        <v>23</v>
      </c>
      <c r="P1022" s="23" t="s">
        <v>38</v>
      </c>
      <c r="Q1022" s="23" t="s">
        <v>39</v>
      </c>
      <c r="R1022" s="23" t="s">
        <v>37</v>
      </c>
      <c r="S1022" s="33">
        <v>0</v>
      </c>
      <c r="T1022" s="13">
        <v>122.97</v>
      </c>
      <c r="U1022" s="13">
        <v>60.255299999999998</v>
      </c>
      <c r="V1022" s="55">
        <f>Table3[[#This Row],[Profit]]/Table3[[#This Row],[Sales]]</f>
        <v>0.49</v>
      </c>
    </row>
    <row r="1023" spans="1:22" x14ac:dyDescent="0.2">
      <c r="A1023">
        <v>1022</v>
      </c>
      <c r="B1023" t="s">
        <v>4720</v>
      </c>
      <c r="C1023" s="1">
        <v>42897</v>
      </c>
      <c r="D1023" s="22">
        <f>MONTH(Table3[[#This Row],[Order Date]])</f>
        <v>6</v>
      </c>
      <c r="E1023" t="s">
        <v>2249</v>
      </c>
      <c r="F1023" t="s">
        <v>2250</v>
      </c>
      <c r="G1023" s="23" t="s">
        <v>28</v>
      </c>
      <c r="H1023" s="23" t="s">
        <v>32</v>
      </c>
      <c r="I1023" t="s">
        <v>4721</v>
      </c>
      <c r="J1023" t="s">
        <v>92</v>
      </c>
      <c r="K1023" s="22">
        <v>1</v>
      </c>
      <c r="L1023" s="1">
        <v>42898</v>
      </c>
      <c r="M1023" s="22">
        <f>Table3[[#This Row],[Ship Date]]-Table3[[#This Row],[Order Date]]</f>
        <v>1</v>
      </c>
      <c r="N1023" s="23" t="s">
        <v>169</v>
      </c>
      <c r="O1023" s="23" t="s">
        <v>23</v>
      </c>
      <c r="P1023" s="23" t="s">
        <v>277</v>
      </c>
      <c r="Q1023" s="23" t="s">
        <v>39</v>
      </c>
      <c r="R1023" s="23" t="s">
        <v>1223</v>
      </c>
      <c r="S1023" s="33">
        <v>0.2</v>
      </c>
      <c r="T1023" s="13">
        <v>280.79199999999997</v>
      </c>
      <c r="U1023" s="13">
        <v>35.098999999999997</v>
      </c>
      <c r="V1023" s="55">
        <f>Table3[[#This Row],[Profit]]/Table3[[#This Row],[Sales]]</f>
        <v>0.125</v>
      </c>
    </row>
    <row r="1024" spans="1:22" x14ac:dyDescent="0.2">
      <c r="A1024">
        <v>1023</v>
      </c>
      <c r="B1024" t="s">
        <v>4720</v>
      </c>
      <c r="C1024" s="1">
        <v>42897</v>
      </c>
      <c r="D1024" s="22">
        <f>MONTH(Table3[[#This Row],[Order Date]])</f>
        <v>6</v>
      </c>
      <c r="E1024" t="s">
        <v>329</v>
      </c>
      <c r="F1024" t="s">
        <v>330</v>
      </c>
      <c r="G1024" s="23" t="s">
        <v>41</v>
      </c>
      <c r="H1024" s="23" t="s">
        <v>53</v>
      </c>
      <c r="I1024" t="s">
        <v>4721</v>
      </c>
      <c r="J1024" t="s">
        <v>92</v>
      </c>
      <c r="K1024" s="22">
        <v>4</v>
      </c>
      <c r="L1024" s="1">
        <v>42898</v>
      </c>
      <c r="M1024" s="22">
        <f>Table3[[#This Row],[Ship Date]]-Table3[[#This Row],[Order Date]]</f>
        <v>1</v>
      </c>
      <c r="N1024" s="23" t="s">
        <v>169</v>
      </c>
      <c r="O1024" s="23" t="s">
        <v>23</v>
      </c>
      <c r="P1024" s="23" t="s">
        <v>277</v>
      </c>
      <c r="Q1024" s="23" t="s">
        <v>39</v>
      </c>
      <c r="R1024" s="23" t="s">
        <v>1223</v>
      </c>
      <c r="S1024" s="33">
        <v>0.2</v>
      </c>
      <c r="T1024" s="13">
        <v>68.447999999999993</v>
      </c>
      <c r="U1024" s="13">
        <v>7.7004000000000001</v>
      </c>
      <c r="V1024" s="55">
        <f>Table3[[#This Row],[Profit]]/Table3[[#This Row],[Sales]]</f>
        <v>0.11250000000000002</v>
      </c>
    </row>
    <row r="1025" spans="1:22" x14ac:dyDescent="0.2">
      <c r="A1025">
        <v>1024</v>
      </c>
      <c r="B1025" t="s">
        <v>4720</v>
      </c>
      <c r="C1025" s="1">
        <v>42897</v>
      </c>
      <c r="D1025" s="22">
        <f>MONTH(Table3[[#This Row],[Order Date]])</f>
        <v>6</v>
      </c>
      <c r="E1025" t="s">
        <v>2281</v>
      </c>
      <c r="F1025" t="s">
        <v>2282</v>
      </c>
      <c r="G1025" s="23" t="s">
        <v>41</v>
      </c>
      <c r="H1025" s="23" t="s">
        <v>61</v>
      </c>
      <c r="I1025" t="s">
        <v>4721</v>
      </c>
      <c r="J1025" t="s">
        <v>92</v>
      </c>
      <c r="K1025" s="22">
        <v>5</v>
      </c>
      <c r="L1025" s="1">
        <v>42898</v>
      </c>
      <c r="M1025" s="22">
        <f>Table3[[#This Row],[Ship Date]]-Table3[[#This Row],[Order Date]]</f>
        <v>1</v>
      </c>
      <c r="N1025" s="23" t="s">
        <v>169</v>
      </c>
      <c r="O1025" s="23" t="s">
        <v>23</v>
      </c>
      <c r="P1025" s="23" t="s">
        <v>277</v>
      </c>
      <c r="Q1025" s="23" t="s">
        <v>39</v>
      </c>
      <c r="R1025" s="23" t="s">
        <v>1223</v>
      </c>
      <c r="S1025" s="33">
        <v>0.2</v>
      </c>
      <c r="T1025" s="13">
        <v>88.04</v>
      </c>
      <c r="U1025" s="13">
        <v>6.6029999999999998</v>
      </c>
      <c r="V1025" s="55">
        <f>Table3[[#This Row],[Profit]]/Table3[[#This Row],[Sales]]</f>
        <v>7.4999999999999997E-2</v>
      </c>
    </row>
    <row r="1026" spans="1:22" x14ac:dyDescent="0.2">
      <c r="A1026">
        <v>1025</v>
      </c>
      <c r="B1026" t="s">
        <v>4720</v>
      </c>
      <c r="C1026" s="1">
        <v>42897</v>
      </c>
      <c r="D1026" s="22">
        <f>MONTH(Table3[[#This Row],[Order Date]])</f>
        <v>6</v>
      </c>
      <c r="E1026" t="s">
        <v>3644</v>
      </c>
      <c r="F1026" t="s">
        <v>3645</v>
      </c>
      <c r="G1026" s="23" t="s">
        <v>41</v>
      </c>
      <c r="H1026" s="23" t="s">
        <v>61</v>
      </c>
      <c r="I1026" t="s">
        <v>4721</v>
      </c>
      <c r="J1026" t="s">
        <v>92</v>
      </c>
      <c r="K1026" s="22">
        <v>1</v>
      </c>
      <c r="L1026" s="1">
        <v>42898</v>
      </c>
      <c r="M1026" s="22">
        <f>Table3[[#This Row],[Ship Date]]-Table3[[#This Row],[Order Date]]</f>
        <v>1</v>
      </c>
      <c r="N1026" s="23" t="s">
        <v>169</v>
      </c>
      <c r="O1026" s="23" t="s">
        <v>23</v>
      </c>
      <c r="P1026" s="23" t="s">
        <v>277</v>
      </c>
      <c r="Q1026" s="23" t="s">
        <v>39</v>
      </c>
      <c r="R1026" s="23" t="s">
        <v>1223</v>
      </c>
      <c r="S1026" s="33">
        <v>0.2</v>
      </c>
      <c r="T1026" s="13">
        <v>15.872</v>
      </c>
      <c r="U1026" s="13">
        <v>1.984</v>
      </c>
      <c r="V1026" s="55">
        <f>Table3[[#This Row],[Profit]]/Table3[[#This Row],[Sales]]</f>
        <v>0.125</v>
      </c>
    </row>
    <row r="1027" spans="1:22" x14ac:dyDescent="0.2">
      <c r="A1027">
        <v>1026</v>
      </c>
      <c r="B1027" t="s">
        <v>4720</v>
      </c>
      <c r="C1027" s="1">
        <v>42897</v>
      </c>
      <c r="D1027" s="22">
        <f>MONTH(Table3[[#This Row],[Order Date]])</f>
        <v>6</v>
      </c>
      <c r="E1027" t="s">
        <v>1495</v>
      </c>
      <c r="F1027" t="s">
        <v>1496</v>
      </c>
      <c r="G1027" s="23" t="s">
        <v>41</v>
      </c>
      <c r="H1027" s="23" t="s">
        <v>53</v>
      </c>
      <c r="I1027" t="s">
        <v>4721</v>
      </c>
      <c r="J1027" t="s">
        <v>92</v>
      </c>
      <c r="K1027" s="22">
        <v>3</v>
      </c>
      <c r="L1027" s="1">
        <v>42898</v>
      </c>
      <c r="M1027" s="22">
        <f>Table3[[#This Row],[Ship Date]]-Table3[[#This Row],[Order Date]]</f>
        <v>1</v>
      </c>
      <c r="N1027" s="23" t="s">
        <v>169</v>
      </c>
      <c r="O1027" s="23" t="s">
        <v>23</v>
      </c>
      <c r="P1027" s="23" t="s">
        <v>277</v>
      </c>
      <c r="Q1027" s="23" t="s">
        <v>39</v>
      </c>
      <c r="R1027" s="23" t="s">
        <v>1223</v>
      </c>
      <c r="S1027" s="33">
        <v>0.2</v>
      </c>
      <c r="T1027" s="13">
        <v>215.59200000000001</v>
      </c>
      <c r="U1027" s="13">
        <v>-48.508200000000002</v>
      </c>
      <c r="V1027" s="55">
        <f>Table3[[#This Row],[Profit]]/Table3[[#This Row],[Sales]]</f>
        <v>-0.22500000000000001</v>
      </c>
    </row>
    <row r="1028" spans="1:22" x14ac:dyDescent="0.2">
      <c r="A1028">
        <v>1027</v>
      </c>
      <c r="B1028" t="s">
        <v>5938</v>
      </c>
      <c r="C1028" s="1">
        <v>42897</v>
      </c>
      <c r="D1028" s="22">
        <f>MONTH(Table3[[#This Row],[Order Date]])</f>
        <v>6</v>
      </c>
      <c r="E1028" t="s">
        <v>2986</v>
      </c>
      <c r="F1028" t="s">
        <v>2987</v>
      </c>
      <c r="G1028" s="23" t="s">
        <v>41</v>
      </c>
      <c r="H1028" s="23" t="s">
        <v>61</v>
      </c>
      <c r="I1028" t="s">
        <v>4736</v>
      </c>
      <c r="J1028" t="s">
        <v>92</v>
      </c>
      <c r="K1028" s="22">
        <v>2</v>
      </c>
      <c r="L1028" s="1">
        <v>42901</v>
      </c>
      <c r="M1028" s="22">
        <f>Table3[[#This Row],[Ship Date]]-Table3[[#This Row],[Order Date]]</f>
        <v>4</v>
      </c>
      <c r="N1028" s="23" t="s">
        <v>45</v>
      </c>
      <c r="O1028" s="23" t="s">
        <v>23</v>
      </c>
      <c r="P1028" s="23" t="s">
        <v>320</v>
      </c>
      <c r="Q1028" s="23" t="s">
        <v>26</v>
      </c>
      <c r="R1028" s="23" t="s">
        <v>1380</v>
      </c>
      <c r="S1028" s="33">
        <v>0</v>
      </c>
      <c r="T1028" s="13">
        <v>3.76</v>
      </c>
      <c r="U1028" s="13">
        <v>1.0904</v>
      </c>
      <c r="V1028" s="55">
        <f>Table3[[#This Row],[Profit]]/Table3[[#This Row],[Sales]]</f>
        <v>0.29000000000000004</v>
      </c>
    </row>
    <row r="1029" spans="1:22" x14ac:dyDescent="0.2">
      <c r="A1029">
        <v>1028</v>
      </c>
      <c r="B1029" t="s">
        <v>6589</v>
      </c>
      <c r="C1029" s="1">
        <v>42897</v>
      </c>
      <c r="D1029" s="22">
        <f>MONTH(Table3[[#This Row],[Order Date]])</f>
        <v>6</v>
      </c>
      <c r="E1029" t="s">
        <v>971</v>
      </c>
      <c r="F1029" t="s">
        <v>972</v>
      </c>
      <c r="G1029" s="23" t="s">
        <v>41</v>
      </c>
      <c r="H1029" s="23" t="s">
        <v>82</v>
      </c>
      <c r="I1029" t="s">
        <v>3570</v>
      </c>
      <c r="J1029" t="s">
        <v>22</v>
      </c>
      <c r="K1029" s="22">
        <v>2</v>
      </c>
      <c r="L1029" s="1">
        <v>42899</v>
      </c>
      <c r="M1029" s="22">
        <f>Table3[[#This Row],[Ship Date]]-Table3[[#This Row],[Order Date]]</f>
        <v>2</v>
      </c>
      <c r="N1029" s="23" t="s">
        <v>20</v>
      </c>
      <c r="O1029" s="23" t="s">
        <v>23</v>
      </c>
      <c r="P1029" s="23" t="s">
        <v>87</v>
      </c>
      <c r="Q1029" s="23" t="s">
        <v>39</v>
      </c>
      <c r="R1029" s="23" t="s">
        <v>86</v>
      </c>
      <c r="S1029" s="33">
        <v>0</v>
      </c>
      <c r="T1029" s="13">
        <v>37.94</v>
      </c>
      <c r="U1029" s="13">
        <v>18.211200000000002</v>
      </c>
      <c r="V1029" s="55">
        <f>Table3[[#This Row],[Profit]]/Table3[[#This Row],[Sales]]</f>
        <v>0.48000000000000009</v>
      </c>
    </row>
    <row r="1030" spans="1:22" x14ac:dyDescent="0.2">
      <c r="A1030">
        <v>1029</v>
      </c>
      <c r="B1030" t="s">
        <v>6589</v>
      </c>
      <c r="C1030" s="1">
        <v>42897</v>
      </c>
      <c r="D1030" s="22">
        <f>MONTH(Table3[[#This Row],[Order Date]])</f>
        <v>6</v>
      </c>
      <c r="E1030" t="s">
        <v>2524</v>
      </c>
      <c r="F1030" t="s">
        <v>2525</v>
      </c>
      <c r="G1030" s="23" t="s">
        <v>41</v>
      </c>
      <c r="H1030" s="23" t="s">
        <v>68</v>
      </c>
      <c r="I1030" t="s">
        <v>3570</v>
      </c>
      <c r="J1030" t="s">
        <v>22</v>
      </c>
      <c r="K1030" s="22">
        <v>6</v>
      </c>
      <c r="L1030" s="1">
        <v>42899</v>
      </c>
      <c r="M1030" s="22">
        <f>Table3[[#This Row],[Ship Date]]-Table3[[#This Row],[Order Date]]</f>
        <v>2</v>
      </c>
      <c r="N1030" s="23" t="s">
        <v>20</v>
      </c>
      <c r="O1030" s="23" t="s">
        <v>23</v>
      </c>
      <c r="P1030" s="23" t="s">
        <v>87</v>
      </c>
      <c r="Q1030" s="23" t="s">
        <v>39</v>
      </c>
      <c r="R1030" s="23" t="s">
        <v>86</v>
      </c>
      <c r="S1030" s="33">
        <v>0.2</v>
      </c>
      <c r="T1030" s="13">
        <v>18.288</v>
      </c>
      <c r="U1030" s="13">
        <v>6.6294000000000004</v>
      </c>
      <c r="V1030" s="55">
        <f>Table3[[#This Row],[Profit]]/Table3[[#This Row],[Sales]]</f>
        <v>0.36250000000000004</v>
      </c>
    </row>
    <row r="1031" spans="1:22" x14ac:dyDescent="0.2">
      <c r="A1031">
        <v>1030</v>
      </c>
      <c r="B1031" t="s">
        <v>6589</v>
      </c>
      <c r="C1031" s="1">
        <v>42897</v>
      </c>
      <c r="D1031" s="22">
        <f>MONTH(Table3[[#This Row],[Order Date]])</f>
        <v>6</v>
      </c>
      <c r="E1031" t="s">
        <v>6590</v>
      </c>
      <c r="F1031" t="s">
        <v>6591</v>
      </c>
      <c r="G1031" s="23" t="s">
        <v>64</v>
      </c>
      <c r="H1031" s="23" t="s">
        <v>602</v>
      </c>
      <c r="I1031" t="s">
        <v>3570</v>
      </c>
      <c r="J1031" t="s">
        <v>22</v>
      </c>
      <c r="K1031" s="22">
        <v>5</v>
      </c>
      <c r="L1031" s="1">
        <v>42899</v>
      </c>
      <c r="M1031" s="22">
        <f>Table3[[#This Row],[Ship Date]]-Table3[[#This Row],[Order Date]]</f>
        <v>2</v>
      </c>
      <c r="N1031" s="23" t="s">
        <v>20</v>
      </c>
      <c r="O1031" s="23" t="s">
        <v>23</v>
      </c>
      <c r="P1031" s="23" t="s">
        <v>87</v>
      </c>
      <c r="Q1031" s="23" t="s">
        <v>39</v>
      </c>
      <c r="R1031" s="23" t="s">
        <v>86</v>
      </c>
      <c r="S1031" s="33">
        <v>0.2</v>
      </c>
      <c r="T1031" s="13">
        <v>385.8</v>
      </c>
      <c r="U1031" s="13">
        <v>130.20750000000001</v>
      </c>
      <c r="V1031" s="55">
        <f>Table3[[#This Row],[Profit]]/Table3[[#This Row],[Sales]]</f>
        <v>0.33750000000000002</v>
      </c>
    </row>
    <row r="1032" spans="1:22" x14ac:dyDescent="0.2">
      <c r="A1032">
        <v>1031</v>
      </c>
      <c r="B1032" t="s">
        <v>6589</v>
      </c>
      <c r="C1032" s="1">
        <v>42897</v>
      </c>
      <c r="D1032" s="22">
        <f>MONTH(Table3[[#This Row],[Order Date]])</f>
        <v>6</v>
      </c>
      <c r="E1032" t="s">
        <v>847</v>
      </c>
      <c r="F1032" t="s">
        <v>848</v>
      </c>
      <c r="G1032" s="23" t="s">
        <v>41</v>
      </c>
      <c r="H1032" s="23" t="s">
        <v>53</v>
      </c>
      <c r="I1032" t="s">
        <v>3570</v>
      </c>
      <c r="J1032" t="s">
        <v>22</v>
      </c>
      <c r="K1032" s="22">
        <v>2</v>
      </c>
      <c r="L1032" s="1">
        <v>42899</v>
      </c>
      <c r="M1032" s="22">
        <f>Table3[[#This Row],[Ship Date]]-Table3[[#This Row],[Order Date]]</f>
        <v>2</v>
      </c>
      <c r="N1032" s="23" t="s">
        <v>20</v>
      </c>
      <c r="O1032" s="23" t="s">
        <v>23</v>
      </c>
      <c r="P1032" s="23" t="s">
        <v>87</v>
      </c>
      <c r="Q1032" s="23" t="s">
        <v>39</v>
      </c>
      <c r="R1032" s="23" t="s">
        <v>86</v>
      </c>
      <c r="S1032" s="33">
        <v>0</v>
      </c>
      <c r="T1032" s="13">
        <v>102.96</v>
      </c>
      <c r="U1032" s="13">
        <v>1.0296000000000001</v>
      </c>
      <c r="V1032" s="55">
        <f>Table3[[#This Row],[Profit]]/Table3[[#This Row],[Sales]]</f>
        <v>1.0000000000000002E-2</v>
      </c>
    </row>
    <row r="1033" spans="1:22" x14ac:dyDescent="0.2">
      <c r="A1033">
        <v>1032</v>
      </c>
      <c r="B1033" t="s">
        <v>6589</v>
      </c>
      <c r="C1033" s="1">
        <v>42897</v>
      </c>
      <c r="D1033" s="22">
        <f>MONTH(Table3[[#This Row],[Order Date]])</f>
        <v>6</v>
      </c>
      <c r="E1033" t="s">
        <v>2299</v>
      </c>
      <c r="F1033" t="s">
        <v>2300</v>
      </c>
      <c r="G1033" s="23" t="s">
        <v>28</v>
      </c>
      <c r="H1033" s="23" t="s">
        <v>29</v>
      </c>
      <c r="I1033" t="s">
        <v>3570</v>
      </c>
      <c r="J1033" t="s">
        <v>22</v>
      </c>
      <c r="K1033" s="22">
        <v>3</v>
      </c>
      <c r="L1033" s="1">
        <v>42899</v>
      </c>
      <c r="M1033" s="22">
        <f>Table3[[#This Row],[Ship Date]]-Table3[[#This Row],[Order Date]]</f>
        <v>2</v>
      </c>
      <c r="N1033" s="23" t="s">
        <v>20</v>
      </c>
      <c r="O1033" s="23" t="s">
        <v>23</v>
      </c>
      <c r="P1033" s="23" t="s">
        <v>87</v>
      </c>
      <c r="Q1033" s="23" t="s">
        <v>39</v>
      </c>
      <c r="R1033" s="23" t="s">
        <v>86</v>
      </c>
      <c r="S1033" s="33">
        <v>0</v>
      </c>
      <c r="T1033" s="13">
        <v>174.42</v>
      </c>
      <c r="U1033" s="13">
        <v>41.860799999999998</v>
      </c>
      <c r="V1033" s="55">
        <f>Table3[[#This Row],[Profit]]/Table3[[#This Row],[Sales]]</f>
        <v>0.24</v>
      </c>
    </row>
    <row r="1034" spans="1:22" x14ac:dyDescent="0.2">
      <c r="A1034">
        <v>1033</v>
      </c>
      <c r="B1034" t="s">
        <v>9189</v>
      </c>
      <c r="C1034" s="1">
        <v>42897</v>
      </c>
      <c r="D1034" s="22">
        <f>MONTH(Table3[[#This Row],[Order Date]])</f>
        <v>6</v>
      </c>
      <c r="E1034" t="s">
        <v>1934</v>
      </c>
      <c r="F1034" t="s">
        <v>1935</v>
      </c>
      <c r="G1034" s="23" t="s">
        <v>41</v>
      </c>
      <c r="H1034" s="23" t="s">
        <v>71</v>
      </c>
      <c r="I1034" t="s">
        <v>113</v>
      </c>
      <c r="J1034" t="s">
        <v>22</v>
      </c>
      <c r="K1034" s="22">
        <v>3</v>
      </c>
      <c r="L1034" s="1">
        <v>42900</v>
      </c>
      <c r="M1034" s="22">
        <f>Table3[[#This Row],[Ship Date]]-Table3[[#This Row],[Order Date]]</f>
        <v>3</v>
      </c>
      <c r="N1034" s="23" t="s">
        <v>169</v>
      </c>
      <c r="O1034" s="23" t="s">
        <v>23</v>
      </c>
      <c r="P1034" s="23" t="s">
        <v>38</v>
      </c>
      <c r="Q1034" s="23" t="s">
        <v>39</v>
      </c>
      <c r="R1034" s="23" t="s">
        <v>37</v>
      </c>
      <c r="S1034" s="33">
        <v>0</v>
      </c>
      <c r="T1034" s="13">
        <v>61.44</v>
      </c>
      <c r="U1034" s="13">
        <v>16.588799999999999</v>
      </c>
      <c r="V1034" s="55">
        <f>Table3[[#This Row],[Profit]]/Table3[[#This Row],[Sales]]</f>
        <v>0.27</v>
      </c>
    </row>
    <row r="1035" spans="1:22" x14ac:dyDescent="0.2">
      <c r="A1035">
        <v>1034</v>
      </c>
      <c r="B1035" t="s">
        <v>9532</v>
      </c>
      <c r="C1035" s="1">
        <v>42897</v>
      </c>
      <c r="D1035" s="22">
        <f>MONTH(Table3[[#This Row],[Order Date]])</f>
        <v>6</v>
      </c>
      <c r="E1035" t="s">
        <v>159</v>
      </c>
      <c r="F1035" t="s">
        <v>160</v>
      </c>
      <c r="G1035" s="23" t="s">
        <v>41</v>
      </c>
      <c r="H1035" s="23" t="s">
        <v>68</v>
      </c>
      <c r="I1035" t="s">
        <v>1743</v>
      </c>
      <c r="J1035" t="s">
        <v>22</v>
      </c>
      <c r="K1035" s="22">
        <v>4</v>
      </c>
      <c r="L1035" s="1">
        <v>42903</v>
      </c>
      <c r="M1035" s="22">
        <f>Table3[[#This Row],[Ship Date]]-Table3[[#This Row],[Order Date]]</f>
        <v>6</v>
      </c>
      <c r="N1035" s="23" t="s">
        <v>45</v>
      </c>
      <c r="O1035" s="23" t="s">
        <v>23</v>
      </c>
      <c r="P1035" s="23" t="s">
        <v>80</v>
      </c>
      <c r="Q1035" s="23" t="s">
        <v>26</v>
      </c>
      <c r="R1035" s="23" t="s">
        <v>5975</v>
      </c>
      <c r="S1035" s="33">
        <v>0.7</v>
      </c>
      <c r="T1035" s="13">
        <v>4.5720000000000001</v>
      </c>
      <c r="U1035" s="13">
        <v>-3.81</v>
      </c>
      <c r="V1035" s="55">
        <f>Table3[[#This Row],[Profit]]/Table3[[#This Row],[Sales]]</f>
        <v>-0.83333333333333337</v>
      </c>
    </row>
    <row r="1036" spans="1:22" x14ac:dyDescent="0.2">
      <c r="A1036">
        <v>1035</v>
      </c>
      <c r="B1036" t="s">
        <v>3453</v>
      </c>
      <c r="C1036" s="1">
        <v>42898</v>
      </c>
      <c r="D1036" s="22">
        <f>MONTH(Table3[[#This Row],[Order Date]])</f>
        <v>6</v>
      </c>
      <c r="E1036" t="s">
        <v>3455</v>
      </c>
      <c r="F1036" t="s">
        <v>3456</v>
      </c>
      <c r="G1036" s="23" t="s">
        <v>41</v>
      </c>
      <c r="H1036" s="23" t="s">
        <v>68</v>
      </c>
      <c r="I1036" t="s">
        <v>3454</v>
      </c>
      <c r="J1036" t="s">
        <v>92</v>
      </c>
      <c r="K1036" s="22">
        <v>3</v>
      </c>
      <c r="L1036" s="1">
        <v>42905</v>
      </c>
      <c r="M1036" s="22">
        <f>Table3[[#This Row],[Ship Date]]-Table3[[#This Row],[Order Date]]</f>
        <v>7</v>
      </c>
      <c r="N1036" s="23" t="s">
        <v>45</v>
      </c>
      <c r="O1036" s="23" t="s">
        <v>23</v>
      </c>
      <c r="P1036" s="23" t="s">
        <v>1125</v>
      </c>
      <c r="Q1036" s="23" t="s">
        <v>26</v>
      </c>
      <c r="R1036" s="23" t="s">
        <v>440</v>
      </c>
      <c r="S1036" s="33">
        <v>0</v>
      </c>
      <c r="T1036" s="13">
        <v>91.2</v>
      </c>
      <c r="U1036" s="13">
        <v>41.951999999999998</v>
      </c>
      <c r="V1036" s="55">
        <f>Table3[[#This Row],[Profit]]/Table3[[#This Row],[Sales]]</f>
        <v>0.45999999999999996</v>
      </c>
    </row>
    <row r="1037" spans="1:22" x14ac:dyDescent="0.2">
      <c r="A1037">
        <v>1036</v>
      </c>
      <c r="B1037" t="s">
        <v>3453</v>
      </c>
      <c r="C1037" s="1">
        <v>42898</v>
      </c>
      <c r="D1037" s="22">
        <f>MONTH(Table3[[#This Row],[Order Date]])</f>
        <v>6</v>
      </c>
      <c r="E1037" t="s">
        <v>3457</v>
      </c>
      <c r="F1037" t="s">
        <v>3458</v>
      </c>
      <c r="G1037" s="23" t="s">
        <v>28</v>
      </c>
      <c r="H1037" s="23" t="s">
        <v>50</v>
      </c>
      <c r="I1037" t="s">
        <v>3454</v>
      </c>
      <c r="J1037" t="s">
        <v>92</v>
      </c>
      <c r="K1037" s="22">
        <v>3</v>
      </c>
      <c r="L1037" s="1">
        <v>42905</v>
      </c>
      <c r="M1037" s="22">
        <f>Table3[[#This Row],[Ship Date]]-Table3[[#This Row],[Order Date]]</f>
        <v>7</v>
      </c>
      <c r="N1037" s="23" t="s">
        <v>45</v>
      </c>
      <c r="O1037" s="23" t="s">
        <v>23</v>
      </c>
      <c r="P1037" s="23" t="s">
        <v>1125</v>
      </c>
      <c r="Q1037" s="23" t="s">
        <v>26</v>
      </c>
      <c r="R1037" s="23" t="s">
        <v>440</v>
      </c>
      <c r="S1037" s="33">
        <v>0</v>
      </c>
      <c r="T1037" s="13">
        <v>452.94</v>
      </c>
      <c r="U1037" s="13">
        <v>67.941000000000003</v>
      </c>
      <c r="V1037" s="55">
        <f>Table3[[#This Row],[Profit]]/Table3[[#This Row],[Sales]]</f>
        <v>0.15</v>
      </c>
    </row>
    <row r="1038" spans="1:22" x14ac:dyDescent="0.2">
      <c r="A1038">
        <v>1037</v>
      </c>
      <c r="B1038" t="s">
        <v>5122</v>
      </c>
      <c r="C1038" s="1">
        <v>42898</v>
      </c>
      <c r="D1038" s="22">
        <f>MONTH(Table3[[#This Row],[Order Date]])</f>
        <v>6</v>
      </c>
      <c r="E1038" t="s">
        <v>5124</v>
      </c>
      <c r="F1038" t="s">
        <v>5125</v>
      </c>
      <c r="G1038" s="23" t="s">
        <v>41</v>
      </c>
      <c r="H1038" s="23" t="s">
        <v>82</v>
      </c>
      <c r="I1038" t="s">
        <v>5123</v>
      </c>
      <c r="J1038" t="s">
        <v>22</v>
      </c>
      <c r="K1038" s="22">
        <v>4</v>
      </c>
      <c r="L1038" s="1">
        <v>42904</v>
      </c>
      <c r="M1038" s="22">
        <f>Table3[[#This Row],[Ship Date]]-Table3[[#This Row],[Order Date]]</f>
        <v>6</v>
      </c>
      <c r="N1038" s="23" t="s">
        <v>45</v>
      </c>
      <c r="O1038" s="23" t="s">
        <v>23</v>
      </c>
      <c r="P1038" s="23" t="s">
        <v>238</v>
      </c>
      <c r="Q1038" s="23" t="s">
        <v>133</v>
      </c>
      <c r="R1038" s="23" t="s">
        <v>237</v>
      </c>
      <c r="S1038" s="33">
        <v>0</v>
      </c>
      <c r="T1038" s="13">
        <v>19.04</v>
      </c>
      <c r="U1038" s="13">
        <v>9.3295999999999992</v>
      </c>
      <c r="V1038" s="55">
        <f>Table3[[#This Row],[Profit]]/Table3[[#This Row],[Sales]]</f>
        <v>0.49</v>
      </c>
    </row>
    <row r="1039" spans="1:22" x14ac:dyDescent="0.2">
      <c r="A1039">
        <v>1038</v>
      </c>
      <c r="B1039" t="s">
        <v>5122</v>
      </c>
      <c r="C1039" s="1">
        <v>42898</v>
      </c>
      <c r="D1039" s="22">
        <f>MONTH(Table3[[#This Row],[Order Date]])</f>
        <v>6</v>
      </c>
      <c r="E1039" t="s">
        <v>1780</v>
      </c>
      <c r="F1039" t="s">
        <v>1781</v>
      </c>
      <c r="G1039" s="23" t="s">
        <v>41</v>
      </c>
      <c r="H1039" s="23" t="s">
        <v>68</v>
      </c>
      <c r="I1039" t="s">
        <v>5123</v>
      </c>
      <c r="J1039" t="s">
        <v>22</v>
      </c>
      <c r="K1039" s="22">
        <v>3</v>
      </c>
      <c r="L1039" s="1">
        <v>42904</v>
      </c>
      <c r="M1039" s="22">
        <f>Table3[[#This Row],[Ship Date]]-Table3[[#This Row],[Order Date]]</f>
        <v>6</v>
      </c>
      <c r="N1039" s="23" t="s">
        <v>45</v>
      </c>
      <c r="O1039" s="23" t="s">
        <v>23</v>
      </c>
      <c r="P1039" s="23" t="s">
        <v>238</v>
      </c>
      <c r="Q1039" s="23" t="s">
        <v>133</v>
      </c>
      <c r="R1039" s="23" t="s">
        <v>237</v>
      </c>
      <c r="S1039" s="33">
        <v>0.2</v>
      </c>
      <c r="T1039" s="13">
        <v>13.128</v>
      </c>
      <c r="U1039" s="13">
        <v>4.2666000000000004</v>
      </c>
      <c r="V1039" s="55">
        <f>Table3[[#This Row],[Profit]]/Table3[[#This Row],[Sales]]</f>
        <v>0.32500000000000001</v>
      </c>
    </row>
    <row r="1040" spans="1:22" x14ac:dyDescent="0.2">
      <c r="A1040">
        <v>1039</v>
      </c>
      <c r="B1040" t="s">
        <v>5122</v>
      </c>
      <c r="C1040" s="1">
        <v>42898</v>
      </c>
      <c r="D1040" s="22">
        <f>MONTH(Table3[[#This Row],[Order Date]])</f>
        <v>6</v>
      </c>
      <c r="E1040" t="s">
        <v>5126</v>
      </c>
      <c r="F1040" t="s">
        <v>5127</v>
      </c>
      <c r="G1040" s="23" t="s">
        <v>41</v>
      </c>
      <c r="H1040" s="23" t="s">
        <v>61</v>
      </c>
      <c r="I1040" t="s">
        <v>5123</v>
      </c>
      <c r="J1040" t="s">
        <v>22</v>
      </c>
      <c r="K1040" s="22">
        <v>3</v>
      </c>
      <c r="L1040" s="1">
        <v>42904</v>
      </c>
      <c r="M1040" s="22">
        <f>Table3[[#This Row],[Ship Date]]-Table3[[#This Row],[Order Date]]</f>
        <v>6</v>
      </c>
      <c r="N1040" s="23" t="s">
        <v>45</v>
      </c>
      <c r="O1040" s="23" t="s">
        <v>23</v>
      </c>
      <c r="P1040" s="23" t="s">
        <v>238</v>
      </c>
      <c r="Q1040" s="23" t="s">
        <v>133</v>
      </c>
      <c r="R1040" s="23" t="s">
        <v>237</v>
      </c>
      <c r="S1040" s="33">
        <v>0</v>
      </c>
      <c r="T1040" s="13">
        <v>64.14</v>
      </c>
      <c r="U1040" s="13">
        <v>16.676400000000001</v>
      </c>
      <c r="V1040" s="55">
        <f>Table3[[#This Row],[Profit]]/Table3[[#This Row],[Sales]]</f>
        <v>0.26</v>
      </c>
    </row>
    <row r="1041" spans="1:22" x14ac:dyDescent="0.2">
      <c r="A1041">
        <v>1040</v>
      </c>
      <c r="B1041" t="s">
        <v>5122</v>
      </c>
      <c r="C1041" s="1">
        <v>42898</v>
      </c>
      <c r="D1041" s="22">
        <f>MONTH(Table3[[#This Row],[Order Date]])</f>
        <v>6</v>
      </c>
      <c r="E1041" t="s">
        <v>1600</v>
      </c>
      <c r="F1041" t="s">
        <v>1601</v>
      </c>
      <c r="G1041" s="23" t="s">
        <v>28</v>
      </c>
      <c r="H1041" s="23" t="s">
        <v>32</v>
      </c>
      <c r="I1041" t="s">
        <v>5123</v>
      </c>
      <c r="J1041" t="s">
        <v>22</v>
      </c>
      <c r="K1041" s="22">
        <v>4</v>
      </c>
      <c r="L1041" s="1">
        <v>42904</v>
      </c>
      <c r="M1041" s="22">
        <f>Table3[[#This Row],[Ship Date]]-Table3[[#This Row],[Order Date]]</f>
        <v>6</v>
      </c>
      <c r="N1041" s="23" t="s">
        <v>45</v>
      </c>
      <c r="O1041" s="23" t="s">
        <v>23</v>
      </c>
      <c r="P1041" s="23" t="s">
        <v>238</v>
      </c>
      <c r="Q1041" s="23" t="s">
        <v>133</v>
      </c>
      <c r="R1041" s="23" t="s">
        <v>237</v>
      </c>
      <c r="S1041" s="33">
        <v>0.1</v>
      </c>
      <c r="T1041" s="13">
        <v>858.24</v>
      </c>
      <c r="U1041" s="13">
        <v>143.04</v>
      </c>
      <c r="V1041" s="55">
        <f>Table3[[#This Row],[Profit]]/Table3[[#This Row],[Sales]]</f>
        <v>0.16666666666666666</v>
      </c>
    </row>
    <row r="1042" spans="1:22" x14ac:dyDescent="0.2">
      <c r="A1042">
        <v>1041</v>
      </c>
      <c r="B1042" t="s">
        <v>5393</v>
      </c>
      <c r="C1042" s="1">
        <v>42898</v>
      </c>
      <c r="D1042" s="22">
        <f>MONTH(Table3[[#This Row],[Order Date]])</f>
        <v>6</v>
      </c>
      <c r="E1042" t="s">
        <v>5394</v>
      </c>
      <c r="F1042" t="s">
        <v>5395</v>
      </c>
      <c r="G1042" s="23" t="s">
        <v>28</v>
      </c>
      <c r="H1042" s="23" t="s">
        <v>58</v>
      </c>
      <c r="I1042" t="s">
        <v>500</v>
      </c>
      <c r="J1042" t="s">
        <v>22</v>
      </c>
      <c r="K1042" s="22">
        <v>2</v>
      </c>
      <c r="L1042" s="1">
        <v>42905</v>
      </c>
      <c r="M1042" s="22">
        <f>Table3[[#This Row],[Ship Date]]-Table3[[#This Row],[Order Date]]</f>
        <v>7</v>
      </c>
      <c r="N1042" s="23" t="s">
        <v>45</v>
      </c>
      <c r="O1042" s="23" t="s">
        <v>23</v>
      </c>
      <c r="P1042" s="23" t="s">
        <v>48</v>
      </c>
      <c r="Q1042" s="23" t="s">
        <v>26</v>
      </c>
      <c r="R1042" s="23" t="s">
        <v>1018</v>
      </c>
      <c r="S1042" s="33">
        <v>0.2</v>
      </c>
      <c r="T1042" s="13">
        <v>17.088000000000001</v>
      </c>
      <c r="U1042" s="13">
        <v>1.0680000000000001</v>
      </c>
      <c r="V1042" s="55">
        <f>Table3[[#This Row],[Profit]]/Table3[[#This Row],[Sales]]</f>
        <v>6.25E-2</v>
      </c>
    </row>
    <row r="1043" spans="1:22" x14ac:dyDescent="0.2">
      <c r="A1043">
        <v>1042</v>
      </c>
      <c r="B1043" t="s">
        <v>7526</v>
      </c>
      <c r="C1043" s="1">
        <v>42898</v>
      </c>
      <c r="D1043" s="22">
        <f>MONTH(Table3[[#This Row],[Order Date]])</f>
        <v>6</v>
      </c>
      <c r="E1043" t="s">
        <v>874</v>
      </c>
      <c r="F1043" t="s">
        <v>875</v>
      </c>
      <c r="G1043" s="23" t="s">
        <v>64</v>
      </c>
      <c r="H1043" s="23" t="s">
        <v>144</v>
      </c>
      <c r="I1043" t="s">
        <v>5155</v>
      </c>
      <c r="J1043" t="s">
        <v>22</v>
      </c>
      <c r="K1043" s="22">
        <v>2</v>
      </c>
      <c r="L1043" s="1">
        <v>42902</v>
      </c>
      <c r="M1043" s="22">
        <f>Table3[[#This Row],[Ship Date]]-Table3[[#This Row],[Order Date]]</f>
        <v>4</v>
      </c>
      <c r="N1043" s="23" t="s">
        <v>45</v>
      </c>
      <c r="O1043" s="23" t="s">
        <v>23</v>
      </c>
      <c r="P1043" s="23" t="s">
        <v>441</v>
      </c>
      <c r="Q1043" s="23" t="s">
        <v>133</v>
      </c>
      <c r="R1043" s="23" t="s">
        <v>4594</v>
      </c>
      <c r="S1043" s="33">
        <v>0.2</v>
      </c>
      <c r="T1043" s="13">
        <v>63.92</v>
      </c>
      <c r="U1043" s="13">
        <v>19.175999999999998</v>
      </c>
      <c r="V1043" s="55">
        <f>Table3[[#This Row],[Profit]]/Table3[[#This Row],[Sales]]</f>
        <v>0.3</v>
      </c>
    </row>
    <row r="1044" spans="1:22" x14ac:dyDescent="0.2">
      <c r="A1044">
        <v>1043</v>
      </c>
      <c r="B1044" t="s">
        <v>9684</v>
      </c>
      <c r="C1044" s="1">
        <v>42898</v>
      </c>
      <c r="D1044" s="22">
        <f>MONTH(Table3[[#This Row],[Order Date]])</f>
        <v>6</v>
      </c>
      <c r="E1044" t="s">
        <v>3434</v>
      </c>
      <c r="F1044" t="s">
        <v>3435</v>
      </c>
      <c r="G1044" s="23" t="s">
        <v>64</v>
      </c>
      <c r="H1044" s="23" t="s">
        <v>65</v>
      </c>
      <c r="I1044" t="s">
        <v>7593</v>
      </c>
      <c r="J1044" t="s">
        <v>22</v>
      </c>
      <c r="K1044" s="22">
        <v>3</v>
      </c>
      <c r="L1044" s="1">
        <v>42900</v>
      </c>
      <c r="M1044" s="22">
        <f>Table3[[#This Row],[Ship Date]]-Table3[[#This Row],[Order Date]]</f>
        <v>2</v>
      </c>
      <c r="N1044" s="23" t="s">
        <v>20</v>
      </c>
      <c r="O1044" s="23" t="s">
        <v>23</v>
      </c>
      <c r="P1044" s="23" t="s">
        <v>87</v>
      </c>
      <c r="Q1044" s="23" t="s">
        <v>39</v>
      </c>
      <c r="R1044" s="23" t="s">
        <v>3755</v>
      </c>
      <c r="S1044" s="33">
        <v>0.2</v>
      </c>
      <c r="T1044" s="13">
        <v>71.975999999999999</v>
      </c>
      <c r="U1044" s="13">
        <v>8.9969999999999999</v>
      </c>
      <c r="V1044" s="55">
        <f>Table3[[#This Row],[Profit]]/Table3[[#This Row],[Sales]]</f>
        <v>0.125</v>
      </c>
    </row>
    <row r="1045" spans="1:22" x14ac:dyDescent="0.2">
      <c r="A1045">
        <v>1044</v>
      </c>
      <c r="B1045" t="s">
        <v>9684</v>
      </c>
      <c r="C1045" s="1">
        <v>42898</v>
      </c>
      <c r="D1045" s="22">
        <f>MONTH(Table3[[#This Row],[Order Date]])</f>
        <v>6</v>
      </c>
      <c r="E1045" t="s">
        <v>3415</v>
      </c>
      <c r="F1045" t="s">
        <v>3416</v>
      </c>
      <c r="G1045" s="23" t="s">
        <v>41</v>
      </c>
      <c r="H1045" s="23" t="s">
        <v>82</v>
      </c>
      <c r="I1045" t="s">
        <v>7593</v>
      </c>
      <c r="J1045" t="s">
        <v>22</v>
      </c>
      <c r="K1045" s="22">
        <v>3</v>
      </c>
      <c r="L1045" s="1">
        <v>42900</v>
      </c>
      <c r="M1045" s="22">
        <f>Table3[[#This Row],[Ship Date]]-Table3[[#This Row],[Order Date]]</f>
        <v>2</v>
      </c>
      <c r="N1045" s="23" t="s">
        <v>20</v>
      </c>
      <c r="O1045" s="23" t="s">
        <v>23</v>
      </c>
      <c r="P1045" s="23" t="s">
        <v>87</v>
      </c>
      <c r="Q1045" s="23" t="s">
        <v>39</v>
      </c>
      <c r="R1045" s="23" t="s">
        <v>3755</v>
      </c>
      <c r="S1045" s="33">
        <v>0</v>
      </c>
      <c r="T1045" s="13">
        <v>19.440000000000001</v>
      </c>
      <c r="U1045" s="13">
        <v>9.3312000000000008</v>
      </c>
      <c r="V1045" s="55">
        <f>Table3[[#This Row],[Profit]]/Table3[[#This Row],[Sales]]</f>
        <v>0.48000000000000004</v>
      </c>
    </row>
    <row r="1046" spans="1:22" x14ac:dyDescent="0.2">
      <c r="A1046">
        <v>1045</v>
      </c>
      <c r="B1046" t="s">
        <v>9899</v>
      </c>
      <c r="C1046" s="1">
        <v>42898</v>
      </c>
      <c r="D1046" s="22">
        <f>MONTH(Table3[[#This Row],[Order Date]])</f>
        <v>6</v>
      </c>
      <c r="E1046" t="s">
        <v>4489</v>
      </c>
      <c r="F1046" t="s">
        <v>4490</v>
      </c>
      <c r="G1046" s="23" t="s">
        <v>28</v>
      </c>
      <c r="H1046" s="23" t="s">
        <v>58</v>
      </c>
      <c r="I1046" t="s">
        <v>480</v>
      </c>
      <c r="J1046" t="s">
        <v>22</v>
      </c>
      <c r="K1046" s="22">
        <v>3</v>
      </c>
      <c r="L1046" s="1">
        <v>42900</v>
      </c>
      <c r="M1046" s="22">
        <f>Table3[[#This Row],[Ship Date]]-Table3[[#This Row],[Order Date]]</f>
        <v>2</v>
      </c>
      <c r="N1046" s="23" t="s">
        <v>20</v>
      </c>
      <c r="O1046" s="23" t="s">
        <v>23</v>
      </c>
      <c r="P1046" s="23" t="s">
        <v>189</v>
      </c>
      <c r="Q1046" s="23" t="s">
        <v>95</v>
      </c>
      <c r="R1046" s="23" t="s">
        <v>271</v>
      </c>
      <c r="S1046" s="33">
        <v>0.6</v>
      </c>
      <c r="T1046" s="13">
        <v>8.8559999999999999</v>
      </c>
      <c r="U1046" s="13">
        <v>-6.8634000000000004</v>
      </c>
      <c r="V1046" s="55">
        <f>Table3[[#This Row],[Profit]]/Table3[[#This Row],[Sales]]</f>
        <v>-0.77500000000000002</v>
      </c>
    </row>
    <row r="1047" spans="1:22" x14ac:dyDescent="0.2">
      <c r="A1047">
        <v>1046</v>
      </c>
      <c r="B1047" t="s">
        <v>3431</v>
      </c>
      <c r="C1047" s="1">
        <v>42899</v>
      </c>
      <c r="D1047" s="22">
        <f>MONTH(Table3[[#This Row],[Order Date]])</f>
        <v>6</v>
      </c>
      <c r="E1047" t="s">
        <v>847</v>
      </c>
      <c r="F1047" t="s">
        <v>848</v>
      </c>
      <c r="G1047" s="23" t="s">
        <v>41</v>
      </c>
      <c r="H1047" s="23" t="s">
        <v>53</v>
      </c>
      <c r="I1047" t="s">
        <v>1325</v>
      </c>
      <c r="J1047" t="s">
        <v>92</v>
      </c>
      <c r="K1047" s="22">
        <v>4</v>
      </c>
      <c r="L1047" s="1">
        <v>42902</v>
      </c>
      <c r="M1047" s="22">
        <f>Table3[[#This Row],[Ship Date]]-Table3[[#This Row],[Order Date]]</f>
        <v>3</v>
      </c>
      <c r="N1047" s="23" t="s">
        <v>169</v>
      </c>
      <c r="O1047" s="23" t="s">
        <v>23</v>
      </c>
      <c r="P1047" s="23" t="s">
        <v>189</v>
      </c>
      <c r="Q1047" s="23" t="s">
        <v>95</v>
      </c>
      <c r="R1047" s="23" t="s">
        <v>271</v>
      </c>
      <c r="S1047" s="33">
        <v>0.2</v>
      </c>
      <c r="T1047" s="13">
        <v>164.73599999999999</v>
      </c>
      <c r="U1047" s="13">
        <v>-39.1248</v>
      </c>
      <c r="V1047" s="55">
        <f>Table3[[#This Row],[Profit]]/Table3[[#This Row],[Sales]]</f>
        <v>-0.23750000000000002</v>
      </c>
    </row>
    <row r="1048" spans="1:22" x14ac:dyDescent="0.2">
      <c r="A1048">
        <v>1047</v>
      </c>
      <c r="B1048" t="s">
        <v>3431</v>
      </c>
      <c r="C1048" s="1">
        <v>42899</v>
      </c>
      <c r="D1048" s="22">
        <f>MONTH(Table3[[#This Row],[Order Date]])</f>
        <v>6</v>
      </c>
      <c r="E1048" t="s">
        <v>3432</v>
      </c>
      <c r="F1048" t="s">
        <v>3433</v>
      </c>
      <c r="G1048" s="23" t="s">
        <v>28</v>
      </c>
      <c r="H1048" s="23" t="s">
        <v>32</v>
      </c>
      <c r="I1048" t="s">
        <v>1325</v>
      </c>
      <c r="J1048" t="s">
        <v>92</v>
      </c>
      <c r="K1048" s="22">
        <v>7</v>
      </c>
      <c r="L1048" s="1">
        <v>42902</v>
      </c>
      <c r="M1048" s="22">
        <f>Table3[[#This Row],[Ship Date]]-Table3[[#This Row],[Order Date]]</f>
        <v>3</v>
      </c>
      <c r="N1048" s="23" t="s">
        <v>169</v>
      </c>
      <c r="O1048" s="23" t="s">
        <v>23</v>
      </c>
      <c r="P1048" s="23" t="s">
        <v>189</v>
      </c>
      <c r="Q1048" s="23" t="s">
        <v>95</v>
      </c>
      <c r="R1048" s="23" t="s">
        <v>271</v>
      </c>
      <c r="S1048" s="33">
        <v>0.3</v>
      </c>
      <c r="T1048" s="13">
        <v>470.30200000000002</v>
      </c>
      <c r="U1048" s="13">
        <v>-87.341800000000006</v>
      </c>
      <c r="V1048" s="55">
        <f>Table3[[#This Row],[Profit]]/Table3[[#This Row],[Sales]]</f>
        <v>-0.18571428571428572</v>
      </c>
    </row>
    <row r="1049" spans="1:22" x14ac:dyDescent="0.2">
      <c r="A1049">
        <v>1048</v>
      </c>
      <c r="B1049" t="s">
        <v>3431</v>
      </c>
      <c r="C1049" s="1">
        <v>42899</v>
      </c>
      <c r="D1049" s="22">
        <f>MONTH(Table3[[#This Row],[Order Date]])</f>
        <v>6</v>
      </c>
      <c r="E1049" t="s">
        <v>3434</v>
      </c>
      <c r="F1049" t="s">
        <v>3435</v>
      </c>
      <c r="G1049" s="23" t="s">
        <v>64</v>
      </c>
      <c r="H1049" s="23" t="s">
        <v>65</v>
      </c>
      <c r="I1049" t="s">
        <v>1325</v>
      </c>
      <c r="J1049" t="s">
        <v>92</v>
      </c>
      <c r="K1049" s="22">
        <v>2</v>
      </c>
      <c r="L1049" s="1">
        <v>42902</v>
      </c>
      <c r="M1049" s="22">
        <f>Table3[[#This Row],[Ship Date]]-Table3[[#This Row],[Order Date]]</f>
        <v>3</v>
      </c>
      <c r="N1049" s="23" t="s">
        <v>169</v>
      </c>
      <c r="O1049" s="23" t="s">
        <v>23</v>
      </c>
      <c r="P1049" s="23" t="s">
        <v>189</v>
      </c>
      <c r="Q1049" s="23" t="s">
        <v>95</v>
      </c>
      <c r="R1049" s="23" t="s">
        <v>271</v>
      </c>
      <c r="S1049" s="33">
        <v>0.2</v>
      </c>
      <c r="T1049" s="13">
        <v>47.984000000000002</v>
      </c>
      <c r="U1049" s="13">
        <v>5.9980000000000002</v>
      </c>
      <c r="V1049" s="55">
        <f>Table3[[#This Row],[Profit]]/Table3[[#This Row],[Sales]]</f>
        <v>0.125</v>
      </c>
    </row>
    <row r="1050" spans="1:22" x14ac:dyDescent="0.2">
      <c r="A1050">
        <v>1049</v>
      </c>
      <c r="B1050" t="s">
        <v>8603</v>
      </c>
      <c r="C1050" s="1">
        <v>42899</v>
      </c>
      <c r="D1050" s="22">
        <f>MONTH(Table3[[#This Row],[Order Date]])</f>
        <v>6</v>
      </c>
      <c r="E1050" t="s">
        <v>5703</v>
      </c>
      <c r="F1050" t="s">
        <v>5704</v>
      </c>
      <c r="G1050" s="23" t="s">
        <v>41</v>
      </c>
      <c r="H1050" s="23" t="s">
        <v>61</v>
      </c>
      <c r="I1050" t="s">
        <v>346</v>
      </c>
      <c r="J1050" t="s">
        <v>22</v>
      </c>
      <c r="K1050" s="22">
        <v>7</v>
      </c>
      <c r="L1050" s="1">
        <v>42903</v>
      </c>
      <c r="M1050" s="22">
        <f>Table3[[#This Row],[Ship Date]]-Table3[[#This Row],[Order Date]]</f>
        <v>4</v>
      </c>
      <c r="N1050" s="23" t="s">
        <v>45</v>
      </c>
      <c r="O1050" s="23" t="s">
        <v>23</v>
      </c>
      <c r="P1050" s="23" t="s">
        <v>285</v>
      </c>
      <c r="Q1050" s="23" t="s">
        <v>26</v>
      </c>
      <c r="R1050" s="23" t="s">
        <v>284</v>
      </c>
      <c r="S1050" s="33">
        <v>0</v>
      </c>
      <c r="T1050" s="13">
        <v>181.86</v>
      </c>
      <c r="U1050" s="13">
        <v>50.9208</v>
      </c>
      <c r="V1050" s="55">
        <f>Table3[[#This Row],[Profit]]/Table3[[#This Row],[Sales]]</f>
        <v>0.27999999999999997</v>
      </c>
    </row>
    <row r="1051" spans="1:22" x14ac:dyDescent="0.2">
      <c r="A1051">
        <v>1050</v>
      </c>
      <c r="B1051" t="s">
        <v>8849</v>
      </c>
      <c r="C1051" s="1">
        <v>42899</v>
      </c>
      <c r="D1051" s="22">
        <f>MONTH(Table3[[#This Row],[Order Date]])</f>
        <v>6</v>
      </c>
      <c r="E1051" t="s">
        <v>4287</v>
      </c>
      <c r="F1051" t="s">
        <v>4288</v>
      </c>
      <c r="G1051" s="23" t="s">
        <v>28</v>
      </c>
      <c r="H1051" s="23" t="s">
        <v>32</v>
      </c>
      <c r="I1051" t="s">
        <v>549</v>
      </c>
      <c r="J1051" t="s">
        <v>92</v>
      </c>
      <c r="K1051" s="22">
        <v>4</v>
      </c>
      <c r="L1051" s="1">
        <v>42905</v>
      </c>
      <c r="M1051" s="22">
        <f>Table3[[#This Row],[Ship Date]]-Table3[[#This Row],[Order Date]]</f>
        <v>6</v>
      </c>
      <c r="N1051" s="23" t="s">
        <v>45</v>
      </c>
      <c r="O1051" s="23" t="s">
        <v>23</v>
      </c>
      <c r="P1051" s="23" t="s">
        <v>87</v>
      </c>
      <c r="Q1051" s="23" t="s">
        <v>39</v>
      </c>
      <c r="R1051" s="23" t="s">
        <v>86</v>
      </c>
      <c r="S1051" s="33">
        <v>0.2</v>
      </c>
      <c r="T1051" s="13">
        <v>291.13600000000002</v>
      </c>
      <c r="U1051" s="13">
        <v>-25.474399999999999</v>
      </c>
      <c r="V1051" s="55">
        <f>Table3[[#This Row],[Profit]]/Table3[[#This Row],[Sales]]</f>
        <v>-8.7499999999999994E-2</v>
      </c>
    </row>
    <row r="1052" spans="1:22" x14ac:dyDescent="0.2">
      <c r="A1052">
        <v>1051</v>
      </c>
      <c r="B1052" t="s">
        <v>1096</v>
      </c>
      <c r="C1052" s="1">
        <v>42901</v>
      </c>
      <c r="D1052" s="22">
        <f>MONTH(Table3[[#This Row],[Order Date]])</f>
        <v>6</v>
      </c>
      <c r="E1052" t="s">
        <v>493</v>
      </c>
      <c r="F1052" t="s">
        <v>494</v>
      </c>
      <c r="G1052" s="23" t="s">
        <v>64</v>
      </c>
      <c r="H1052" s="23" t="s">
        <v>65</v>
      </c>
      <c r="I1052" t="s">
        <v>1097</v>
      </c>
      <c r="J1052" t="s">
        <v>22</v>
      </c>
      <c r="K1052" s="22">
        <v>3</v>
      </c>
      <c r="L1052" s="1">
        <v>42905</v>
      </c>
      <c r="M1052" s="22">
        <f>Table3[[#This Row],[Ship Date]]-Table3[[#This Row],[Order Date]]</f>
        <v>4</v>
      </c>
      <c r="N1052" s="23" t="s">
        <v>45</v>
      </c>
      <c r="O1052" s="23" t="s">
        <v>23</v>
      </c>
      <c r="P1052" s="23" t="s">
        <v>38</v>
      </c>
      <c r="Q1052" s="23" t="s">
        <v>39</v>
      </c>
      <c r="R1052" s="23" t="s">
        <v>114</v>
      </c>
      <c r="S1052" s="33">
        <v>0.2</v>
      </c>
      <c r="T1052" s="13">
        <v>47.975999999999999</v>
      </c>
      <c r="U1052" s="13">
        <v>4.7976000000000001</v>
      </c>
      <c r="V1052" s="55">
        <f>Table3[[#This Row],[Profit]]/Table3[[#This Row],[Sales]]</f>
        <v>0.1</v>
      </c>
    </row>
    <row r="1053" spans="1:22" x14ac:dyDescent="0.2">
      <c r="A1053">
        <v>1052</v>
      </c>
      <c r="B1053" t="s">
        <v>1929</v>
      </c>
      <c r="C1053" s="1">
        <v>42901</v>
      </c>
      <c r="D1053" s="22">
        <f>MONTH(Table3[[#This Row],[Order Date]])</f>
        <v>6</v>
      </c>
      <c r="E1053" t="s">
        <v>1930</v>
      </c>
      <c r="F1053" t="s">
        <v>1931</v>
      </c>
      <c r="G1053" s="23" t="s">
        <v>41</v>
      </c>
      <c r="H1053" s="23" t="s">
        <v>61</v>
      </c>
      <c r="I1053" t="s">
        <v>1099</v>
      </c>
      <c r="J1053" t="s">
        <v>22</v>
      </c>
      <c r="K1053" s="22">
        <v>5</v>
      </c>
      <c r="L1053" s="1">
        <v>42908</v>
      </c>
      <c r="M1053" s="22">
        <f>Table3[[#This Row],[Ship Date]]-Table3[[#This Row],[Order Date]]</f>
        <v>7</v>
      </c>
      <c r="N1053" s="23" t="s">
        <v>45</v>
      </c>
      <c r="O1053" s="23" t="s">
        <v>23</v>
      </c>
      <c r="P1053" s="23" t="s">
        <v>189</v>
      </c>
      <c r="Q1053" s="23" t="s">
        <v>95</v>
      </c>
      <c r="R1053" s="23" t="s">
        <v>1168</v>
      </c>
      <c r="S1053" s="33">
        <v>0.2</v>
      </c>
      <c r="T1053" s="13">
        <v>19.559999999999999</v>
      </c>
      <c r="U1053" s="13">
        <v>1.7115</v>
      </c>
      <c r="V1053" s="55">
        <f>Table3[[#This Row],[Profit]]/Table3[[#This Row],[Sales]]</f>
        <v>8.7500000000000008E-2</v>
      </c>
    </row>
    <row r="1054" spans="1:22" x14ac:dyDescent="0.2">
      <c r="A1054">
        <v>1053</v>
      </c>
      <c r="B1054" t="s">
        <v>5398</v>
      </c>
      <c r="C1054" s="1">
        <v>42901</v>
      </c>
      <c r="D1054" s="22">
        <f>MONTH(Table3[[#This Row],[Order Date]])</f>
        <v>6</v>
      </c>
      <c r="E1054" t="s">
        <v>1118</v>
      </c>
      <c r="F1054" t="s">
        <v>1119</v>
      </c>
      <c r="G1054" s="23" t="s">
        <v>41</v>
      </c>
      <c r="H1054" s="23" t="s">
        <v>61</v>
      </c>
      <c r="I1054" t="s">
        <v>4333</v>
      </c>
      <c r="J1054" t="s">
        <v>22</v>
      </c>
      <c r="K1054" s="22">
        <v>1</v>
      </c>
      <c r="L1054" s="1">
        <v>42906</v>
      </c>
      <c r="M1054" s="22">
        <f>Table3[[#This Row],[Ship Date]]-Table3[[#This Row],[Order Date]]</f>
        <v>5</v>
      </c>
      <c r="N1054" s="23" t="s">
        <v>45</v>
      </c>
      <c r="O1054" s="23" t="s">
        <v>23</v>
      </c>
      <c r="P1054" s="23" t="s">
        <v>38</v>
      </c>
      <c r="Q1054" s="23" t="s">
        <v>39</v>
      </c>
      <c r="R1054" s="23" t="s">
        <v>37</v>
      </c>
      <c r="S1054" s="33">
        <v>0</v>
      </c>
      <c r="T1054" s="13">
        <v>4.26</v>
      </c>
      <c r="U1054" s="13">
        <v>1.7465999999999999</v>
      </c>
      <c r="V1054" s="55">
        <f>Table3[[#This Row],[Profit]]/Table3[[#This Row],[Sales]]</f>
        <v>0.41000000000000003</v>
      </c>
    </row>
    <row r="1055" spans="1:22" x14ac:dyDescent="0.2">
      <c r="A1055">
        <v>1054</v>
      </c>
      <c r="B1055" t="s">
        <v>7513</v>
      </c>
      <c r="C1055" s="1">
        <v>42901</v>
      </c>
      <c r="D1055" s="22">
        <f>MONTH(Table3[[#This Row],[Order Date]])</f>
        <v>6</v>
      </c>
      <c r="E1055" t="s">
        <v>1984</v>
      </c>
      <c r="F1055" t="s">
        <v>1985</v>
      </c>
      <c r="G1055" s="23" t="s">
        <v>41</v>
      </c>
      <c r="H1055" s="23" t="s">
        <v>42</v>
      </c>
      <c r="I1055" t="s">
        <v>5277</v>
      </c>
      <c r="J1055" t="s">
        <v>92</v>
      </c>
      <c r="K1055" s="22">
        <v>3</v>
      </c>
      <c r="L1055" s="1">
        <v>42904</v>
      </c>
      <c r="M1055" s="22">
        <f>Table3[[#This Row],[Ship Date]]-Table3[[#This Row],[Order Date]]</f>
        <v>3</v>
      </c>
      <c r="N1055" s="23" t="s">
        <v>169</v>
      </c>
      <c r="O1055" s="23" t="s">
        <v>23</v>
      </c>
      <c r="P1055" s="23" t="s">
        <v>204</v>
      </c>
      <c r="Q1055" s="23" t="s">
        <v>95</v>
      </c>
      <c r="R1055" s="23" t="s">
        <v>5682</v>
      </c>
      <c r="S1055" s="33">
        <v>0</v>
      </c>
      <c r="T1055" s="13">
        <v>44.4</v>
      </c>
      <c r="U1055" s="13">
        <v>22.2</v>
      </c>
      <c r="V1055" s="55">
        <f>Table3[[#This Row],[Profit]]/Table3[[#This Row],[Sales]]</f>
        <v>0.5</v>
      </c>
    </row>
    <row r="1056" spans="1:22" x14ac:dyDescent="0.2">
      <c r="A1056">
        <v>1055</v>
      </c>
      <c r="B1056" t="s">
        <v>7513</v>
      </c>
      <c r="C1056" s="1">
        <v>42901</v>
      </c>
      <c r="D1056" s="22">
        <f>MONTH(Table3[[#This Row],[Order Date]])</f>
        <v>6</v>
      </c>
      <c r="E1056" t="s">
        <v>3621</v>
      </c>
      <c r="F1056" t="s">
        <v>3622</v>
      </c>
      <c r="G1056" s="23" t="s">
        <v>41</v>
      </c>
      <c r="H1056" s="23" t="s">
        <v>53</v>
      </c>
      <c r="I1056" t="s">
        <v>5277</v>
      </c>
      <c r="J1056" t="s">
        <v>92</v>
      </c>
      <c r="K1056" s="22">
        <v>5</v>
      </c>
      <c r="L1056" s="1">
        <v>42904</v>
      </c>
      <c r="M1056" s="22">
        <f>Table3[[#This Row],[Ship Date]]-Table3[[#This Row],[Order Date]]</f>
        <v>3</v>
      </c>
      <c r="N1056" s="23" t="s">
        <v>169</v>
      </c>
      <c r="O1056" s="23" t="s">
        <v>23</v>
      </c>
      <c r="P1056" s="23" t="s">
        <v>204</v>
      </c>
      <c r="Q1056" s="23" t="s">
        <v>95</v>
      </c>
      <c r="R1056" s="23" t="s">
        <v>5682</v>
      </c>
      <c r="S1056" s="33">
        <v>0</v>
      </c>
      <c r="T1056" s="13">
        <v>84.55</v>
      </c>
      <c r="U1056" s="13">
        <v>22.828499999999998</v>
      </c>
      <c r="V1056" s="55">
        <f>Table3[[#This Row],[Profit]]/Table3[[#This Row],[Sales]]</f>
        <v>0.26999999999999996</v>
      </c>
    </row>
    <row r="1057" spans="1:22" x14ac:dyDescent="0.2">
      <c r="A1057">
        <v>1056</v>
      </c>
      <c r="B1057" t="s">
        <v>7513</v>
      </c>
      <c r="C1057" s="1">
        <v>42901</v>
      </c>
      <c r="D1057" s="22">
        <f>MONTH(Table3[[#This Row],[Order Date]])</f>
        <v>6</v>
      </c>
      <c r="E1057" t="s">
        <v>6778</v>
      </c>
      <c r="F1057" t="s">
        <v>6779</v>
      </c>
      <c r="G1057" s="23" t="s">
        <v>41</v>
      </c>
      <c r="H1057" s="23" t="s">
        <v>82</v>
      </c>
      <c r="I1057" t="s">
        <v>5277</v>
      </c>
      <c r="J1057" t="s">
        <v>92</v>
      </c>
      <c r="K1057" s="22">
        <v>3</v>
      </c>
      <c r="L1057" s="1">
        <v>42904</v>
      </c>
      <c r="M1057" s="22">
        <f>Table3[[#This Row],[Ship Date]]-Table3[[#This Row],[Order Date]]</f>
        <v>3</v>
      </c>
      <c r="N1057" s="23" t="s">
        <v>169</v>
      </c>
      <c r="O1057" s="23" t="s">
        <v>23</v>
      </c>
      <c r="P1057" s="23" t="s">
        <v>204</v>
      </c>
      <c r="Q1057" s="23" t="s">
        <v>95</v>
      </c>
      <c r="R1057" s="23" t="s">
        <v>5682</v>
      </c>
      <c r="S1057" s="33">
        <v>0</v>
      </c>
      <c r="T1057" s="13">
        <v>17.940000000000001</v>
      </c>
      <c r="U1057" s="13">
        <v>8.7905999999999995</v>
      </c>
      <c r="V1057" s="55">
        <f>Table3[[#This Row],[Profit]]/Table3[[#This Row],[Sales]]</f>
        <v>0.48999999999999994</v>
      </c>
    </row>
    <row r="1058" spans="1:22" x14ac:dyDescent="0.2">
      <c r="A1058">
        <v>1057</v>
      </c>
      <c r="B1058" t="s">
        <v>8504</v>
      </c>
      <c r="C1058" s="1">
        <v>42901</v>
      </c>
      <c r="D1058" s="22">
        <f>MONTH(Table3[[#This Row],[Order Date]])</f>
        <v>6</v>
      </c>
      <c r="E1058" t="s">
        <v>4214</v>
      </c>
      <c r="F1058" t="s">
        <v>4215</v>
      </c>
      <c r="G1058" s="23" t="s">
        <v>64</v>
      </c>
      <c r="H1058" s="23" t="s">
        <v>65</v>
      </c>
      <c r="I1058" t="s">
        <v>893</v>
      </c>
      <c r="J1058" t="s">
        <v>36</v>
      </c>
      <c r="K1058" s="22">
        <v>1</v>
      </c>
      <c r="L1058" s="1">
        <v>42905</v>
      </c>
      <c r="M1058" s="22">
        <f>Table3[[#This Row],[Ship Date]]-Table3[[#This Row],[Order Date]]</f>
        <v>4</v>
      </c>
      <c r="N1058" s="23" t="s">
        <v>20</v>
      </c>
      <c r="O1058" s="23" t="s">
        <v>23</v>
      </c>
      <c r="P1058" s="23" t="s">
        <v>38</v>
      </c>
      <c r="Q1058" s="23" t="s">
        <v>39</v>
      </c>
      <c r="R1058" s="23" t="s">
        <v>37</v>
      </c>
      <c r="S1058" s="33">
        <v>0.2</v>
      </c>
      <c r="T1058" s="13">
        <v>119.96</v>
      </c>
      <c r="U1058" s="13">
        <v>7.4974999999999996</v>
      </c>
      <c r="V1058" s="55">
        <f>Table3[[#This Row],[Profit]]/Table3[[#This Row],[Sales]]</f>
        <v>6.25E-2</v>
      </c>
    </row>
    <row r="1059" spans="1:22" x14ac:dyDescent="0.2">
      <c r="A1059">
        <v>1058</v>
      </c>
      <c r="B1059" t="s">
        <v>9406</v>
      </c>
      <c r="C1059" s="1">
        <v>42901</v>
      </c>
      <c r="D1059" s="22">
        <f>MONTH(Table3[[#This Row],[Order Date]])</f>
        <v>6</v>
      </c>
      <c r="E1059" t="s">
        <v>4614</v>
      </c>
      <c r="F1059" t="s">
        <v>4615</v>
      </c>
      <c r="G1059" s="23" t="s">
        <v>64</v>
      </c>
      <c r="H1059" s="23" t="s">
        <v>65</v>
      </c>
      <c r="I1059" t="s">
        <v>1012</v>
      </c>
      <c r="J1059" t="s">
        <v>36</v>
      </c>
      <c r="K1059" s="22">
        <v>3</v>
      </c>
      <c r="L1059" s="1">
        <v>42906</v>
      </c>
      <c r="M1059" s="22">
        <f>Table3[[#This Row],[Ship Date]]-Table3[[#This Row],[Order Date]]</f>
        <v>5</v>
      </c>
      <c r="N1059" s="23" t="s">
        <v>45</v>
      </c>
      <c r="O1059" s="23" t="s">
        <v>23</v>
      </c>
      <c r="P1059" s="23" t="s">
        <v>299</v>
      </c>
      <c r="Q1059" s="23" t="s">
        <v>26</v>
      </c>
      <c r="R1059" s="23" t="s">
        <v>5035</v>
      </c>
      <c r="S1059" s="33">
        <v>0.2</v>
      </c>
      <c r="T1059" s="13">
        <v>239.976</v>
      </c>
      <c r="U1059" s="13">
        <v>26.997299999999999</v>
      </c>
      <c r="V1059" s="55">
        <f>Table3[[#This Row],[Profit]]/Table3[[#This Row],[Sales]]</f>
        <v>0.1125</v>
      </c>
    </row>
    <row r="1060" spans="1:22" x14ac:dyDescent="0.2">
      <c r="A1060">
        <v>1059</v>
      </c>
      <c r="B1060" t="s">
        <v>9406</v>
      </c>
      <c r="C1060" s="1">
        <v>42901</v>
      </c>
      <c r="D1060" s="22">
        <f>MONTH(Table3[[#This Row],[Order Date]])</f>
        <v>6</v>
      </c>
      <c r="E1060" t="s">
        <v>813</v>
      </c>
      <c r="F1060" t="s">
        <v>814</v>
      </c>
      <c r="G1060" s="23" t="s">
        <v>28</v>
      </c>
      <c r="H1060" s="23" t="s">
        <v>58</v>
      </c>
      <c r="I1060" t="s">
        <v>1012</v>
      </c>
      <c r="J1060" t="s">
        <v>36</v>
      </c>
      <c r="K1060" s="22">
        <v>4</v>
      </c>
      <c r="L1060" s="1">
        <v>42906</v>
      </c>
      <c r="M1060" s="22">
        <f>Table3[[#This Row],[Ship Date]]-Table3[[#This Row],[Order Date]]</f>
        <v>5</v>
      </c>
      <c r="N1060" s="23" t="s">
        <v>45</v>
      </c>
      <c r="O1060" s="23" t="s">
        <v>23</v>
      </c>
      <c r="P1060" s="23" t="s">
        <v>299</v>
      </c>
      <c r="Q1060" s="23" t="s">
        <v>26</v>
      </c>
      <c r="R1060" s="23" t="s">
        <v>5035</v>
      </c>
      <c r="S1060" s="33">
        <v>0.2</v>
      </c>
      <c r="T1060" s="13">
        <v>31.167999999999999</v>
      </c>
      <c r="U1060" s="13">
        <v>9.3504000000000005</v>
      </c>
      <c r="V1060" s="55">
        <f>Table3[[#This Row],[Profit]]/Table3[[#This Row],[Sales]]</f>
        <v>0.30000000000000004</v>
      </c>
    </row>
    <row r="1061" spans="1:22" x14ac:dyDescent="0.2">
      <c r="A1061">
        <v>1060</v>
      </c>
      <c r="B1061" t="s">
        <v>9406</v>
      </c>
      <c r="C1061" s="1">
        <v>42901</v>
      </c>
      <c r="D1061" s="22">
        <f>MONTH(Table3[[#This Row],[Order Date]])</f>
        <v>6</v>
      </c>
      <c r="E1061" t="s">
        <v>5865</v>
      </c>
      <c r="F1061" t="s">
        <v>5866</v>
      </c>
      <c r="G1061" s="23" t="s">
        <v>28</v>
      </c>
      <c r="H1061" s="23" t="s">
        <v>50</v>
      </c>
      <c r="I1061" t="s">
        <v>1012</v>
      </c>
      <c r="J1061" t="s">
        <v>36</v>
      </c>
      <c r="K1061" s="22">
        <v>2</v>
      </c>
      <c r="L1061" s="1">
        <v>42906</v>
      </c>
      <c r="M1061" s="22">
        <f>Table3[[#This Row],[Ship Date]]-Table3[[#This Row],[Order Date]]</f>
        <v>5</v>
      </c>
      <c r="N1061" s="23" t="s">
        <v>45</v>
      </c>
      <c r="O1061" s="23" t="s">
        <v>23</v>
      </c>
      <c r="P1061" s="23" t="s">
        <v>299</v>
      </c>
      <c r="Q1061" s="23" t="s">
        <v>26</v>
      </c>
      <c r="R1061" s="23" t="s">
        <v>5035</v>
      </c>
      <c r="S1061" s="33">
        <v>0.4</v>
      </c>
      <c r="T1061" s="13">
        <v>120.96</v>
      </c>
      <c r="U1061" s="13">
        <v>-28.224</v>
      </c>
      <c r="V1061" s="55">
        <f>Table3[[#This Row],[Profit]]/Table3[[#This Row],[Sales]]</f>
        <v>-0.23333333333333334</v>
      </c>
    </row>
    <row r="1062" spans="1:22" x14ac:dyDescent="0.2">
      <c r="A1062">
        <v>1061</v>
      </c>
      <c r="B1062" t="s">
        <v>9406</v>
      </c>
      <c r="C1062" s="1">
        <v>42901</v>
      </c>
      <c r="D1062" s="22">
        <f>MONTH(Table3[[#This Row],[Order Date]])</f>
        <v>6</v>
      </c>
      <c r="E1062" t="s">
        <v>2598</v>
      </c>
      <c r="F1062" t="s">
        <v>2599</v>
      </c>
      <c r="G1062" s="23" t="s">
        <v>64</v>
      </c>
      <c r="H1062" s="23" t="s">
        <v>65</v>
      </c>
      <c r="I1062" t="s">
        <v>1012</v>
      </c>
      <c r="J1062" t="s">
        <v>36</v>
      </c>
      <c r="K1062" s="22">
        <v>8</v>
      </c>
      <c r="L1062" s="1">
        <v>42906</v>
      </c>
      <c r="M1062" s="22">
        <f>Table3[[#This Row],[Ship Date]]-Table3[[#This Row],[Order Date]]</f>
        <v>5</v>
      </c>
      <c r="N1062" s="23" t="s">
        <v>45</v>
      </c>
      <c r="O1062" s="23" t="s">
        <v>23</v>
      </c>
      <c r="P1062" s="23" t="s">
        <v>299</v>
      </c>
      <c r="Q1062" s="23" t="s">
        <v>26</v>
      </c>
      <c r="R1062" s="23" t="s">
        <v>5035</v>
      </c>
      <c r="S1062" s="33">
        <v>0.2</v>
      </c>
      <c r="T1062" s="13">
        <v>2239.9360000000001</v>
      </c>
      <c r="U1062" s="13">
        <v>223.99359999999999</v>
      </c>
      <c r="V1062" s="55">
        <f>Table3[[#This Row],[Profit]]/Table3[[#This Row],[Sales]]</f>
        <v>9.9999999999999992E-2</v>
      </c>
    </row>
    <row r="1063" spans="1:22" x14ac:dyDescent="0.2">
      <c r="A1063">
        <v>1062</v>
      </c>
      <c r="B1063" t="s">
        <v>9406</v>
      </c>
      <c r="C1063" s="1">
        <v>42901</v>
      </c>
      <c r="D1063" s="22">
        <f>MONTH(Table3[[#This Row],[Order Date]])</f>
        <v>6</v>
      </c>
      <c r="E1063" t="s">
        <v>1261</v>
      </c>
      <c r="F1063" t="s">
        <v>1262</v>
      </c>
      <c r="G1063" s="23" t="s">
        <v>41</v>
      </c>
      <c r="H1063" s="23" t="s">
        <v>71</v>
      </c>
      <c r="I1063" t="s">
        <v>1012</v>
      </c>
      <c r="J1063" t="s">
        <v>36</v>
      </c>
      <c r="K1063" s="22">
        <v>8</v>
      </c>
      <c r="L1063" s="1">
        <v>42906</v>
      </c>
      <c r="M1063" s="22">
        <f>Table3[[#This Row],[Ship Date]]-Table3[[#This Row],[Order Date]]</f>
        <v>5</v>
      </c>
      <c r="N1063" s="23" t="s">
        <v>45</v>
      </c>
      <c r="O1063" s="23" t="s">
        <v>23</v>
      </c>
      <c r="P1063" s="23" t="s">
        <v>299</v>
      </c>
      <c r="Q1063" s="23" t="s">
        <v>26</v>
      </c>
      <c r="R1063" s="23" t="s">
        <v>5035</v>
      </c>
      <c r="S1063" s="33">
        <v>0.2</v>
      </c>
      <c r="T1063" s="13">
        <v>76.608000000000004</v>
      </c>
      <c r="U1063" s="13">
        <v>6.7031999999999998</v>
      </c>
      <c r="V1063" s="55">
        <f>Table3[[#This Row],[Profit]]/Table3[[#This Row],[Sales]]</f>
        <v>8.7499999999999994E-2</v>
      </c>
    </row>
    <row r="1064" spans="1:22" x14ac:dyDescent="0.2">
      <c r="A1064">
        <v>1063</v>
      </c>
      <c r="B1064" t="s">
        <v>9406</v>
      </c>
      <c r="C1064" s="1">
        <v>42901</v>
      </c>
      <c r="D1064" s="22">
        <f>MONTH(Table3[[#This Row],[Order Date]])</f>
        <v>6</v>
      </c>
      <c r="E1064" t="s">
        <v>1774</v>
      </c>
      <c r="F1064" t="s">
        <v>1775</v>
      </c>
      <c r="G1064" s="23" t="s">
        <v>41</v>
      </c>
      <c r="H1064" s="23" t="s">
        <v>53</v>
      </c>
      <c r="I1064" t="s">
        <v>1012</v>
      </c>
      <c r="J1064" t="s">
        <v>36</v>
      </c>
      <c r="K1064" s="22">
        <v>1</v>
      </c>
      <c r="L1064" s="1">
        <v>42906</v>
      </c>
      <c r="M1064" s="22">
        <f>Table3[[#This Row],[Ship Date]]-Table3[[#This Row],[Order Date]]</f>
        <v>5</v>
      </c>
      <c r="N1064" s="23" t="s">
        <v>45</v>
      </c>
      <c r="O1064" s="23" t="s">
        <v>23</v>
      </c>
      <c r="P1064" s="23" t="s">
        <v>299</v>
      </c>
      <c r="Q1064" s="23" t="s">
        <v>26</v>
      </c>
      <c r="R1064" s="23" t="s">
        <v>5035</v>
      </c>
      <c r="S1064" s="33">
        <v>0.2</v>
      </c>
      <c r="T1064" s="13">
        <v>142.77600000000001</v>
      </c>
      <c r="U1064" s="13">
        <v>17.847000000000001</v>
      </c>
      <c r="V1064" s="55">
        <f>Table3[[#This Row],[Profit]]/Table3[[#This Row],[Sales]]</f>
        <v>0.125</v>
      </c>
    </row>
    <row r="1065" spans="1:22" x14ac:dyDescent="0.2">
      <c r="A1065">
        <v>1064</v>
      </c>
      <c r="B1065" t="s">
        <v>9406</v>
      </c>
      <c r="C1065" s="1">
        <v>42901</v>
      </c>
      <c r="D1065" s="22">
        <f>MONTH(Table3[[#This Row],[Order Date]])</f>
        <v>6</v>
      </c>
      <c r="E1065" t="s">
        <v>9407</v>
      </c>
      <c r="F1065" t="s">
        <v>9408</v>
      </c>
      <c r="G1065" s="23" t="s">
        <v>41</v>
      </c>
      <c r="H1065" s="23" t="s">
        <v>82</v>
      </c>
      <c r="I1065" t="s">
        <v>1012</v>
      </c>
      <c r="J1065" t="s">
        <v>36</v>
      </c>
      <c r="K1065" s="22">
        <v>5</v>
      </c>
      <c r="L1065" s="1">
        <v>42906</v>
      </c>
      <c r="M1065" s="22">
        <f>Table3[[#This Row],[Ship Date]]-Table3[[#This Row],[Order Date]]</f>
        <v>5</v>
      </c>
      <c r="N1065" s="23" t="s">
        <v>45</v>
      </c>
      <c r="O1065" s="23" t="s">
        <v>23</v>
      </c>
      <c r="P1065" s="23" t="s">
        <v>299</v>
      </c>
      <c r="Q1065" s="23" t="s">
        <v>26</v>
      </c>
      <c r="R1065" s="23" t="s">
        <v>5035</v>
      </c>
      <c r="S1065" s="33">
        <v>0.2</v>
      </c>
      <c r="T1065" s="13">
        <v>91.36</v>
      </c>
      <c r="U1065" s="13">
        <v>29.692</v>
      </c>
      <c r="V1065" s="55">
        <f>Table3[[#This Row],[Profit]]/Table3[[#This Row],[Sales]]</f>
        <v>0.32500000000000001</v>
      </c>
    </row>
    <row r="1066" spans="1:22" x14ac:dyDescent="0.2">
      <c r="A1066">
        <v>1065</v>
      </c>
      <c r="B1066" t="s">
        <v>9456</v>
      </c>
      <c r="C1066" s="1">
        <v>42901</v>
      </c>
      <c r="D1066" s="22">
        <f>MONTH(Table3[[#This Row],[Order Date]])</f>
        <v>6</v>
      </c>
      <c r="E1066" t="s">
        <v>3480</v>
      </c>
      <c r="F1066" t="s">
        <v>3481</v>
      </c>
      <c r="G1066" s="23" t="s">
        <v>28</v>
      </c>
      <c r="H1066" s="23" t="s">
        <v>32</v>
      </c>
      <c r="I1066" t="s">
        <v>4249</v>
      </c>
      <c r="J1066" t="s">
        <v>22</v>
      </c>
      <c r="K1066" s="22">
        <v>3</v>
      </c>
      <c r="L1066" s="1">
        <v>42905</v>
      </c>
      <c r="M1066" s="22">
        <f>Table3[[#This Row],[Ship Date]]-Table3[[#This Row],[Order Date]]</f>
        <v>4</v>
      </c>
      <c r="N1066" s="23" t="s">
        <v>45</v>
      </c>
      <c r="O1066" s="23" t="s">
        <v>23</v>
      </c>
      <c r="P1066" s="23" t="s">
        <v>80</v>
      </c>
      <c r="Q1066" s="23" t="s">
        <v>26</v>
      </c>
      <c r="R1066" s="23" t="s">
        <v>649</v>
      </c>
      <c r="S1066" s="33">
        <v>0.2</v>
      </c>
      <c r="T1066" s="13">
        <v>698.35199999999998</v>
      </c>
      <c r="U1066" s="13">
        <v>52.376399999999997</v>
      </c>
      <c r="V1066" s="55">
        <f>Table3[[#This Row],[Profit]]/Table3[[#This Row],[Sales]]</f>
        <v>7.4999999999999997E-2</v>
      </c>
    </row>
    <row r="1067" spans="1:22" x14ac:dyDescent="0.2">
      <c r="A1067">
        <v>1066</v>
      </c>
      <c r="B1067" t="s">
        <v>9456</v>
      </c>
      <c r="C1067" s="1">
        <v>42901</v>
      </c>
      <c r="D1067" s="22">
        <f>MONTH(Table3[[#This Row],[Order Date]])</f>
        <v>6</v>
      </c>
      <c r="E1067" t="s">
        <v>4242</v>
      </c>
      <c r="F1067" t="s">
        <v>4243</v>
      </c>
      <c r="G1067" s="23" t="s">
        <v>28</v>
      </c>
      <c r="H1067" s="23" t="s">
        <v>29</v>
      </c>
      <c r="I1067" t="s">
        <v>4249</v>
      </c>
      <c r="J1067" t="s">
        <v>22</v>
      </c>
      <c r="K1067" s="22">
        <v>2</v>
      </c>
      <c r="L1067" s="1">
        <v>42905</v>
      </c>
      <c r="M1067" s="22">
        <f>Table3[[#This Row],[Ship Date]]-Table3[[#This Row],[Order Date]]</f>
        <v>4</v>
      </c>
      <c r="N1067" s="23" t="s">
        <v>45</v>
      </c>
      <c r="O1067" s="23" t="s">
        <v>23</v>
      </c>
      <c r="P1067" s="23" t="s">
        <v>80</v>
      </c>
      <c r="Q1067" s="23" t="s">
        <v>26</v>
      </c>
      <c r="R1067" s="23" t="s">
        <v>649</v>
      </c>
      <c r="S1067" s="33">
        <v>0.2</v>
      </c>
      <c r="T1067" s="13">
        <v>77.727999999999994</v>
      </c>
      <c r="U1067" s="13">
        <v>-3.8864000000000001</v>
      </c>
      <c r="V1067" s="55">
        <f>Table3[[#This Row],[Profit]]/Table3[[#This Row],[Sales]]</f>
        <v>-0.05</v>
      </c>
    </row>
    <row r="1068" spans="1:22" x14ac:dyDescent="0.2">
      <c r="A1068">
        <v>1067</v>
      </c>
      <c r="B1068" t="s">
        <v>876</v>
      </c>
      <c r="C1068" s="1">
        <v>42902</v>
      </c>
      <c r="D1068" s="22">
        <f>MONTH(Table3[[#This Row],[Order Date]])</f>
        <v>6</v>
      </c>
      <c r="E1068" t="s">
        <v>879</v>
      </c>
      <c r="F1068" t="s">
        <v>880</v>
      </c>
      <c r="G1068" s="23" t="s">
        <v>41</v>
      </c>
      <c r="H1068" s="23" t="s">
        <v>61</v>
      </c>
      <c r="I1068" t="s">
        <v>877</v>
      </c>
      <c r="J1068" t="s">
        <v>36</v>
      </c>
      <c r="K1068" s="22">
        <v>3</v>
      </c>
      <c r="L1068" s="1">
        <v>42906</v>
      </c>
      <c r="M1068" s="22">
        <f>Table3[[#This Row],[Ship Date]]-Table3[[#This Row],[Order Date]]</f>
        <v>4</v>
      </c>
      <c r="N1068" s="23" t="s">
        <v>45</v>
      </c>
      <c r="O1068" s="23" t="s">
        <v>23</v>
      </c>
      <c r="P1068" s="23" t="s">
        <v>80</v>
      </c>
      <c r="Q1068" s="23" t="s">
        <v>26</v>
      </c>
      <c r="R1068" s="23" t="s">
        <v>878</v>
      </c>
      <c r="S1068" s="33">
        <v>0.2</v>
      </c>
      <c r="T1068" s="13">
        <v>14.016</v>
      </c>
      <c r="U1068" s="13">
        <v>4.7304000000000004</v>
      </c>
      <c r="V1068" s="55">
        <f>Table3[[#This Row],[Profit]]/Table3[[#This Row],[Sales]]</f>
        <v>0.33750000000000002</v>
      </c>
    </row>
    <row r="1069" spans="1:22" x14ac:dyDescent="0.2">
      <c r="A1069">
        <v>1068</v>
      </c>
      <c r="B1069" t="s">
        <v>2270</v>
      </c>
      <c r="C1069" s="1">
        <v>42902</v>
      </c>
      <c r="D1069" s="22">
        <f>MONTH(Table3[[#This Row],[Order Date]])</f>
        <v>6</v>
      </c>
      <c r="E1069" t="s">
        <v>2272</v>
      </c>
      <c r="F1069" t="s">
        <v>2273</v>
      </c>
      <c r="G1069" s="23" t="s">
        <v>28</v>
      </c>
      <c r="H1069" s="23" t="s">
        <v>32</v>
      </c>
      <c r="I1069" t="s">
        <v>297</v>
      </c>
      <c r="J1069" t="s">
        <v>22</v>
      </c>
      <c r="K1069" s="22">
        <v>2</v>
      </c>
      <c r="L1069" s="1">
        <v>42907</v>
      </c>
      <c r="M1069" s="22">
        <f>Table3[[#This Row],[Ship Date]]-Table3[[#This Row],[Order Date]]</f>
        <v>5</v>
      </c>
      <c r="N1069" s="23" t="s">
        <v>20</v>
      </c>
      <c r="O1069" s="23" t="s">
        <v>23</v>
      </c>
      <c r="P1069" s="23" t="s">
        <v>25</v>
      </c>
      <c r="Q1069" s="23" t="s">
        <v>26</v>
      </c>
      <c r="R1069" s="23" t="s">
        <v>2271</v>
      </c>
      <c r="S1069" s="33">
        <v>0</v>
      </c>
      <c r="T1069" s="13">
        <v>301.95999999999998</v>
      </c>
      <c r="U1069" s="13">
        <v>90.587999999999994</v>
      </c>
      <c r="V1069" s="55">
        <f>Table3[[#This Row],[Profit]]/Table3[[#This Row],[Sales]]</f>
        <v>0.3</v>
      </c>
    </row>
    <row r="1070" spans="1:22" x14ac:dyDescent="0.2">
      <c r="A1070">
        <v>1069</v>
      </c>
      <c r="B1070" t="s">
        <v>2270</v>
      </c>
      <c r="C1070" s="1">
        <v>42902</v>
      </c>
      <c r="D1070" s="22">
        <f>MONTH(Table3[[#This Row],[Order Date]])</f>
        <v>6</v>
      </c>
      <c r="E1070" t="s">
        <v>2274</v>
      </c>
      <c r="F1070" t="s">
        <v>2275</v>
      </c>
      <c r="G1070" s="23" t="s">
        <v>41</v>
      </c>
      <c r="H1070" s="23" t="s">
        <v>71</v>
      </c>
      <c r="I1070" t="s">
        <v>297</v>
      </c>
      <c r="J1070" t="s">
        <v>22</v>
      </c>
      <c r="K1070" s="22">
        <v>3</v>
      </c>
      <c r="L1070" s="1">
        <v>42907</v>
      </c>
      <c r="M1070" s="22">
        <f>Table3[[#This Row],[Ship Date]]-Table3[[#This Row],[Order Date]]</f>
        <v>5</v>
      </c>
      <c r="N1070" s="23" t="s">
        <v>20</v>
      </c>
      <c r="O1070" s="23" t="s">
        <v>23</v>
      </c>
      <c r="P1070" s="23" t="s">
        <v>25</v>
      </c>
      <c r="Q1070" s="23" t="s">
        <v>26</v>
      </c>
      <c r="R1070" s="23" t="s">
        <v>2271</v>
      </c>
      <c r="S1070" s="33">
        <v>0</v>
      </c>
      <c r="T1070" s="13">
        <v>180.66</v>
      </c>
      <c r="U1070" s="13">
        <v>50.584800000000001</v>
      </c>
      <c r="V1070" s="55">
        <f>Table3[[#This Row],[Profit]]/Table3[[#This Row],[Sales]]</f>
        <v>0.28000000000000003</v>
      </c>
    </row>
    <row r="1071" spans="1:22" x14ac:dyDescent="0.2">
      <c r="A1071">
        <v>1070</v>
      </c>
      <c r="B1071" t="s">
        <v>2270</v>
      </c>
      <c r="C1071" s="1">
        <v>42902</v>
      </c>
      <c r="D1071" s="22">
        <f>MONTH(Table3[[#This Row],[Order Date]])</f>
        <v>6</v>
      </c>
      <c r="E1071" t="s">
        <v>2276</v>
      </c>
      <c r="F1071" t="s">
        <v>2277</v>
      </c>
      <c r="G1071" s="23" t="s">
        <v>64</v>
      </c>
      <c r="H1071" s="23" t="s">
        <v>65</v>
      </c>
      <c r="I1071" t="s">
        <v>297</v>
      </c>
      <c r="J1071" t="s">
        <v>22</v>
      </c>
      <c r="K1071" s="22">
        <v>2</v>
      </c>
      <c r="L1071" s="1">
        <v>42907</v>
      </c>
      <c r="M1071" s="22">
        <f>Table3[[#This Row],[Ship Date]]-Table3[[#This Row],[Order Date]]</f>
        <v>5</v>
      </c>
      <c r="N1071" s="23" t="s">
        <v>20</v>
      </c>
      <c r="O1071" s="23" t="s">
        <v>23</v>
      </c>
      <c r="P1071" s="23" t="s">
        <v>25</v>
      </c>
      <c r="Q1071" s="23" t="s">
        <v>26</v>
      </c>
      <c r="R1071" s="23" t="s">
        <v>2271</v>
      </c>
      <c r="S1071" s="33">
        <v>0</v>
      </c>
      <c r="T1071" s="13">
        <v>191.98</v>
      </c>
      <c r="U1071" s="13">
        <v>51.834600000000002</v>
      </c>
      <c r="V1071" s="55">
        <f>Table3[[#This Row],[Profit]]/Table3[[#This Row],[Sales]]</f>
        <v>0.27</v>
      </c>
    </row>
    <row r="1072" spans="1:22" x14ac:dyDescent="0.2">
      <c r="A1072">
        <v>1071</v>
      </c>
      <c r="B1072" t="s">
        <v>2270</v>
      </c>
      <c r="C1072" s="1">
        <v>42902</v>
      </c>
      <c r="D1072" s="22">
        <f>MONTH(Table3[[#This Row],[Order Date]])</f>
        <v>6</v>
      </c>
      <c r="E1072" t="s">
        <v>2278</v>
      </c>
      <c r="F1072" t="s">
        <v>2279</v>
      </c>
      <c r="G1072" s="23" t="s">
        <v>64</v>
      </c>
      <c r="H1072" s="23" t="s">
        <v>65</v>
      </c>
      <c r="I1072" t="s">
        <v>297</v>
      </c>
      <c r="J1072" t="s">
        <v>22</v>
      </c>
      <c r="K1072" s="22">
        <v>1</v>
      </c>
      <c r="L1072" s="1">
        <v>42907</v>
      </c>
      <c r="M1072" s="22">
        <f>Table3[[#This Row],[Ship Date]]-Table3[[#This Row],[Order Date]]</f>
        <v>5</v>
      </c>
      <c r="N1072" s="23" t="s">
        <v>20</v>
      </c>
      <c r="O1072" s="23" t="s">
        <v>23</v>
      </c>
      <c r="P1072" s="23" t="s">
        <v>25</v>
      </c>
      <c r="Q1072" s="23" t="s">
        <v>26</v>
      </c>
      <c r="R1072" s="23" t="s">
        <v>2271</v>
      </c>
      <c r="S1072" s="33">
        <v>0</v>
      </c>
      <c r="T1072" s="13">
        <v>65.989999999999995</v>
      </c>
      <c r="U1072" s="13">
        <v>17.157399999999999</v>
      </c>
      <c r="V1072" s="55">
        <f>Table3[[#This Row],[Profit]]/Table3[[#This Row],[Sales]]</f>
        <v>0.26</v>
      </c>
    </row>
    <row r="1073" spans="1:22" x14ac:dyDescent="0.2">
      <c r="A1073">
        <v>1072</v>
      </c>
      <c r="B1073" t="s">
        <v>4648</v>
      </c>
      <c r="C1073" s="1">
        <v>42902</v>
      </c>
      <c r="D1073" s="22">
        <f>MONTH(Table3[[#This Row],[Order Date]])</f>
        <v>6</v>
      </c>
      <c r="E1073" t="s">
        <v>1316</v>
      </c>
      <c r="F1073" t="s">
        <v>1317</v>
      </c>
      <c r="G1073" s="23" t="s">
        <v>28</v>
      </c>
      <c r="H1073" s="23" t="s">
        <v>32</v>
      </c>
      <c r="I1073" t="s">
        <v>480</v>
      </c>
      <c r="J1073" t="s">
        <v>22</v>
      </c>
      <c r="K1073" s="22">
        <v>7</v>
      </c>
      <c r="L1073" s="1">
        <v>42905</v>
      </c>
      <c r="M1073" s="22">
        <f>Table3[[#This Row],[Ship Date]]-Table3[[#This Row],[Order Date]]</f>
        <v>3</v>
      </c>
      <c r="N1073" s="23" t="s">
        <v>169</v>
      </c>
      <c r="O1073" s="23" t="s">
        <v>23</v>
      </c>
      <c r="P1073" s="23" t="s">
        <v>38</v>
      </c>
      <c r="Q1073" s="23" t="s">
        <v>39</v>
      </c>
      <c r="R1073" s="23" t="s">
        <v>114</v>
      </c>
      <c r="S1073" s="33">
        <v>0.2</v>
      </c>
      <c r="T1073" s="13">
        <v>1212.96</v>
      </c>
      <c r="U1073" s="13">
        <v>90.971999999999994</v>
      </c>
      <c r="V1073" s="55">
        <f>Table3[[#This Row],[Profit]]/Table3[[#This Row],[Sales]]</f>
        <v>7.4999999999999997E-2</v>
      </c>
    </row>
    <row r="1074" spans="1:22" x14ac:dyDescent="0.2">
      <c r="A1074">
        <v>1073</v>
      </c>
      <c r="B1074" t="s">
        <v>4648</v>
      </c>
      <c r="C1074" s="1">
        <v>42902</v>
      </c>
      <c r="D1074" s="22">
        <f>MONTH(Table3[[#This Row],[Order Date]])</f>
        <v>6</v>
      </c>
      <c r="E1074" t="s">
        <v>4649</v>
      </c>
      <c r="F1074" t="s">
        <v>4650</v>
      </c>
      <c r="G1074" s="23" t="s">
        <v>41</v>
      </c>
      <c r="H1074" s="23" t="s">
        <v>82</v>
      </c>
      <c r="I1074" t="s">
        <v>480</v>
      </c>
      <c r="J1074" t="s">
        <v>22</v>
      </c>
      <c r="K1074" s="22">
        <v>2</v>
      </c>
      <c r="L1074" s="1">
        <v>42905</v>
      </c>
      <c r="M1074" s="22">
        <f>Table3[[#This Row],[Ship Date]]-Table3[[#This Row],[Order Date]]</f>
        <v>3</v>
      </c>
      <c r="N1074" s="23" t="s">
        <v>169</v>
      </c>
      <c r="O1074" s="23" t="s">
        <v>23</v>
      </c>
      <c r="P1074" s="23" t="s">
        <v>38</v>
      </c>
      <c r="Q1074" s="23" t="s">
        <v>39</v>
      </c>
      <c r="R1074" s="23" t="s">
        <v>114</v>
      </c>
      <c r="S1074" s="33">
        <v>0</v>
      </c>
      <c r="T1074" s="13">
        <v>18.54</v>
      </c>
      <c r="U1074" s="13">
        <v>8.7138000000000009</v>
      </c>
      <c r="V1074" s="55">
        <f>Table3[[#This Row],[Profit]]/Table3[[#This Row],[Sales]]</f>
        <v>0.47000000000000008</v>
      </c>
    </row>
    <row r="1075" spans="1:22" x14ac:dyDescent="0.2">
      <c r="A1075">
        <v>1074</v>
      </c>
      <c r="B1075" t="s">
        <v>5207</v>
      </c>
      <c r="C1075" s="1">
        <v>42902</v>
      </c>
      <c r="D1075" s="22">
        <f>MONTH(Table3[[#This Row],[Order Date]])</f>
        <v>6</v>
      </c>
      <c r="E1075" t="s">
        <v>3719</v>
      </c>
      <c r="F1075" t="s">
        <v>3720</v>
      </c>
      <c r="G1075" s="23" t="s">
        <v>41</v>
      </c>
      <c r="H1075" s="23" t="s">
        <v>513</v>
      </c>
      <c r="I1075" t="s">
        <v>3245</v>
      </c>
      <c r="J1075" t="s">
        <v>92</v>
      </c>
      <c r="K1075" s="22">
        <v>2</v>
      </c>
      <c r="L1075" s="1">
        <v>42907</v>
      </c>
      <c r="M1075" s="22">
        <f>Table3[[#This Row],[Ship Date]]-Table3[[#This Row],[Order Date]]</f>
        <v>5</v>
      </c>
      <c r="N1075" s="23" t="s">
        <v>45</v>
      </c>
      <c r="O1075" s="23" t="s">
        <v>23</v>
      </c>
      <c r="P1075" s="23" t="s">
        <v>589</v>
      </c>
      <c r="Q1075" s="23" t="s">
        <v>39</v>
      </c>
      <c r="R1075" s="23" t="s">
        <v>588</v>
      </c>
      <c r="S1075" s="33">
        <v>0</v>
      </c>
      <c r="T1075" s="13">
        <v>16.68</v>
      </c>
      <c r="U1075" s="13">
        <v>4.3368000000000002</v>
      </c>
      <c r="V1075" s="55">
        <f>Table3[[#This Row],[Profit]]/Table3[[#This Row],[Sales]]</f>
        <v>0.26</v>
      </c>
    </row>
    <row r="1076" spans="1:22" x14ac:dyDescent="0.2">
      <c r="A1076">
        <v>1075</v>
      </c>
      <c r="B1076" t="s">
        <v>5207</v>
      </c>
      <c r="C1076" s="1">
        <v>42902</v>
      </c>
      <c r="D1076" s="22">
        <f>MONTH(Table3[[#This Row],[Order Date]])</f>
        <v>6</v>
      </c>
      <c r="E1076" t="s">
        <v>5208</v>
      </c>
      <c r="F1076" t="s">
        <v>5209</v>
      </c>
      <c r="G1076" s="23" t="s">
        <v>41</v>
      </c>
      <c r="H1076" s="23" t="s">
        <v>82</v>
      </c>
      <c r="I1076" t="s">
        <v>3245</v>
      </c>
      <c r="J1076" t="s">
        <v>92</v>
      </c>
      <c r="K1076" s="22">
        <v>3</v>
      </c>
      <c r="L1076" s="1">
        <v>42907</v>
      </c>
      <c r="M1076" s="22">
        <f>Table3[[#This Row],[Ship Date]]-Table3[[#This Row],[Order Date]]</f>
        <v>5</v>
      </c>
      <c r="N1076" s="23" t="s">
        <v>45</v>
      </c>
      <c r="O1076" s="23" t="s">
        <v>23</v>
      </c>
      <c r="P1076" s="23" t="s">
        <v>589</v>
      </c>
      <c r="Q1076" s="23" t="s">
        <v>39</v>
      </c>
      <c r="R1076" s="23" t="s">
        <v>588</v>
      </c>
      <c r="S1076" s="33">
        <v>0</v>
      </c>
      <c r="T1076" s="13">
        <v>19.440000000000001</v>
      </c>
      <c r="U1076" s="13">
        <v>9.3312000000000008</v>
      </c>
      <c r="V1076" s="55">
        <f>Table3[[#This Row],[Profit]]/Table3[[#This Row],[Sales]]</f>
        <v>0.48000000000000004</v>
      </c>
    </row>
    <row r="1077" spans="1:22" x14ac:dyDescent="0.2">
      <c r="A1077">
        <v>1076</v>
      </c>
      <c r="B1077" t="s">
        <v>5207</v>
      </c>
      <c r="C1077" s="1">
        <v>42902</v>
      </c>
      <c r="D1077" s="22">
        <f>MONTH(Table3[[#This Row],[Order Date]])</f>
        <v>6</v>
      </c>
      <c r="E1077" t="s">
        <v>5210</v>
      </c>
      <c r="F1077" t="s">
        <v>5211</v>
      </c>
      <c r="G1077" s="23" t="s">
        <v>41</v>
      </c>
      <c r="H1077" s="23" t="s">
        <v>82</v>
      </c>
      <c r="I1077" t="s">
        <v>3245</v>
      </c>
      <c r="J1077" t="s">
        <v>92</v>
      </c>
      <c r="K1077" s="22">
        <v>4</v>
      </c>
      <c r="L1077" s="1">
        <v>42907</v>
      </c>
      <c r="M1077" s="22">
        <f>Table3[[#This Row],[Ship Date]]-Table3[[#This Row],[Order Date]]</f>
        <v>5</v>
      </c>
      <c r="N1077" s="23" t="s">
        <v>45</v>
      </c>
      <c r="O1077" s="23" t="s">
        <v>23</v>
      </c>
      <c r="P1077" s="23" t="s">
        <v>589</v>
      </c>
      <c r="Q1077" s="23" t="s">
        <v>39</v>
      </c>
      <c r="R1077" s="23" t="s">
        <v>588</v>
      </c>
      <c r="S1077" s="33">
        <v>0</v>
      </c>
      <c r="T1077" s="13">
        <v>192.16</v>
      </c>
      <c r="U1077" s="13">
        <v>92.236800000000002</v>
      </c>
      <c r="V1077" s="55">
        <f>Table3[[#This Row],[Profit]]/Table3[[#This Row],[Sales]]</f>
        <v>0.48000000000000004</v>
      </c>
    </row>
    <row r="1078" spans="1:22" x14ac:dyDescent="0.2">
      <c r="A1078">
        <v>1077</v>
      </c>
      <c r="B1078" t="s">
        <v>6838</v>
      </c>
      <c r="C1078" s="1">
        <v>42902</v>
      </c>
      <c r="D1078" s="22">
        <f>MONTH(Table3[[#This Row],[Order Date]])</f>
        <v>6</v>
      </c>
      <c r="E1078" t="s">
        <v>98</v>
      </c>
      <c r="F1078" t="s">
        <v>99</v>
      </c>
      <c r="G1078" s="23" t="s">
        <v>41</v>
      </c>
      <c r="H1078" s="23" t="s">
        <v>68</v>
      </c>
      <c r="I1078" t="s">
        <v>1142</v>
      </c>
      <c r="J1078" t="s">
        <v>36</v>
      </c>
      <c r="K1078" s="22">
        <v>7</v>
      </c>
      <c r="L1078" s="1">
        <v>42907</v>
      </c>
      <c r="M1078" s="22">
        <f>Table3[[#This Row],[Ship Date]]-Table3[[#This Row],[Order Date]]</f>
        <v>5</v>
      </c>
      <c r="N1078" s="23" t="s">
        <v>45</v>
      </c>
      <c r="O1078" s="23" t="s">
        <v>23</v>
      </c>
      <c r="P1078" s="23" t="s">
        <v>189</v>
      </c>
      <c r="Q1078" s="23" t="s">
        <v>95</v>
      </c>
      <c r="R1078" s="23" t="s">
        <v>271</v>
      </c>
      <c r="S1078" s="33">
        <v>0.8</v>
      </c>
      <c r="T1078" s="13">
        <v>5.9359999999999999</v>
      </c>
      <c r="U1078" s="13">
        <v>-8.9039999999999999</v>
      </c>
      <c r="V1078" s="55">
        <f>Table3[[#This Row],[Profit]]/Table3[[#This Row],[Sales]]</f>
        <v>-1.5</v>
      </c>
    </row>
    <row r="1079" spans="1:22" x14ac:dyDescent="0.2">
      <c r="A1079">
        <v>1078</v>
      </c>
      <c r="B1079" t="s">
        <v>8295</v>
      </c>
      <c r="C1079" s="1">
        <v>42902</v>
      </c>
      <c r="D1079" s="22">
        <f>MONTH(Table3[[#This Row],[Order Date]])</f>
        <v>6</v>
      </c>
      <c r="E1079" t="s">
        <v>2023</v>
      </c>
      <c r="F1079" t="s">
        <v>2024</v>
      </c>
      <c r="G1079" s="23" t="s">
        <v>64</v>
      </c>
      <c r="H1079" s="23" t="s">
        <v>144</v>
      </c>
      <c r="I1079" t="s">
        <v>2870</v>
      </c>
      <c r="J1079" t="s">
        <v>22</v>
      </c>
      <c r="K1079" s="22">
        <v>6</v>
      </c>
      <c r="L1079" s="1">
        <v>42904</v>
      </c>
      <c r="M1079" s="22">
        <f>Table3[[#This Row],[Ship Date]]-Table3[[#This Row],[Order Date]]</f>
        <v>2</v>
      </c>
      <c r="N1079" s="23" t="s">
        <v>20</v>
      </c>
      <c r="O1079" s="23" t="s">
        <v>23</v>
      </c>
      <c r="P1079" s="23" t="s">
        <v>441</v>
      </c>
      <c r="Q1079" s="23" t="s">
        <v>133</v>
      </c>
      <c r="R1079" s="23" t="s">
        <v>762</v>
      </c>
      <c r="S1079" s="33">
        <v>0.2</v>
      </c>
      <c r="T1079" s="13">
        <v>479.952</v>
      </c>
      <c r="U1079" s="13">
        <v>107.9892</v>
      </c>
      <c r="V1079" s="55">
        <f>Table3[[#This Row],[Profit]]/Table3[[#This Row],[Sales]]</f>
        <v>0.22500000000000001</v>
      </c>
    </row>
    <row r="1080" spans="1:22" x14ac:dyDescent="0.2">
      <c r="A1080">
        <v>1079</v>
      </c>
      <c r="B1080" t="s">
        <v>8295</v>
      </c>
      <c r="C1080" s="1">
        <v>42902</v>
      </c>
      <c r="D1080" s="22">
        <f>MONTH(Table3[[#This Row],[Order Date]])</f>
        <v>6</v>
      </c>
      <c r="E1080" t="s">
        <v>908</v>
      </c>
      <c r="F1080" t="s">
        <v>909</v>
      </c>
      <c r="G1080" s="23" t="s">
        <v>41</v>
      </c>
      <c r="H1080" s="23" t="s">
        <v>61</v>
      </c>
      <c r="I1080" t="s">
        <v>2870</v>
      </c>
      <c r="J1080" t="s">
        <v>22</v>
      </c>
      <c r="K1080" s="22">
        <v>5</v>
      </c>
      <c r="L1080" s="1">
        <v>42904</v>
      </c>
      <c r="M1080" s="22">
        <f>Table3[[#This Row],[Ship Date]]-Table3[[#This Row],[Order Date]]</f>
        <v>2</v>
      </c>
      <c r="N1080" s="23" t="s">
        <v>20</v>
      </c>
      <c r="O1080" s="23" t="s">
        <v>23</v>
      </c>
      <c r="P1080" s="23" t="s">
        <v>441</v>
      </c>
      <c r="Q1080" s="23" t="s">
        <v>133</v>
      </c>
      <c r="R1080" s="23" t="s">
        <v>762</v>
      </c>
      <c r="S1080" s="33">
        <v>0.2</v>
      </c>
      <c r="T1080" s="13">
        <v>23.92</v>
      </c>
      <c r="U1080" s="13">
        <v>1.794</v>
      </c>
      <c r="V1080" s="55">
        <f>Table3[[#This Row],[Profit]]/Table3[[#This Row],[Sales]]</f>
        <v>7.4999999999999997E-2</v>
      </c>
    </row>
    <row r="1081" spans="1:22" x14ac:dyDescent="0.2">
      <c r="A1081">
        <v>1080</v>
      </c>
      <c r="B1081" t="s">
        <v>381</v>
      </c>
      <c r="C1081" s="1">
        <v>42903</v>
      </c>
      <c r="D1081" s="22">
        <f>MONTH(Table3[[#This Row],[Order Date]])</f>
        <v>6</v>
      </c>
      <c r="E1081" t="s">
        <v>383</v>
      </c>
      <c r="F1081" t="s">
        <v>384</v>
      </c>
      <c r="G1081" s="23" t="s">
        <v>41</v>
      </c>
      <c r="H1081" s="23" t="s">
        <v>68</v>
      </c>
      <c r="I1081" t="s">
        <v>382</v>
      </c>
      <c r="J1081" t="s">
        <v>22</v>
      </c>
      <c r="K1081" s="22">
        <v>3</v>
      </c>
      <c r="L1081" s="1">
        <v>42906</v>
      </c>
      <c r="M1081" s="22">
        <f>Table3[[#This Row],[Ship Date]]-Table3[[#This Row],[Order Date]]</f>
        <v>3</v>
      </c>
      <c r="N1081" s="23" t="s">
        <v>169</v>
      </c>
      <c r="O1081" s="23" t="s">
        <v>23</v>
      </c>
      <c r="P1081" s="23" t="s">
        <v>38</v>
      </c>
      <c r="Q1081" s="23" t="s">
        <v>39</v>
      </c>
      <c r="R1081" s="23" t="s">
        <v>114</v>
      </c>
      <c r="S1081" s="33">
        <v>0.2</v>
      </c>
      <c r="T1081" s="13">
        <v>51.311999999999998</v>
      </c>
      <c r="U1081" s="13">
        <v>17.959199999999999</v>
      </c>
      <c r="V1081" s="55">
        <f>Table3[[#This Row],[Profit]]/Table3[[#This Row],[Sales]]</f>
        <v>0.35</v>
      </c>
    </row>
    <row r="1082" spans="1:22" x14ac:dyDescent="0.2">
      <c r="A1082">
        <v>1081</v>
      </c>
      <c r="B1082" t="s">
        <v>2653</v>
      </c>
      <c r="C1082" s="1">
        <v>42903</v>
      </c>
      <c r="D1082" s="22">
        <f>MONTH(Table3[[#This Row],[Order Date]])</f>
        <v>6</v>
      </c>
      <c r="E1082" t="s">
        <v>152</v>
      </c>
      <c r="F1082" t="s">
        <v>153</v>
      </c>
      <c r="G1082" s="23" t="s">
        <v>28</v>
      </c>
      <c r="H1082" s="23" t="s">
        <v>58</v>
      </c>
      <c r="I1082" t="s">
        <v>475</v>
      </c>
      <c r="J1082" t="s">
        <v>22</v>
      </c>
      <c r="K1082" s="22">
        <v>3</v>
      </c>
      <c r="L1082" s="1">
        <v>42907</v>
      </c>
      <c r="M1082" s="22">
        <f>Table3[[#This Row],[Ship Date]]-Table3[[#This Row],[Order Date]]</f>
        <v>4</v>
      </c>
      <c r="N1082" s="23" t="s">
        <v>20</v>
      </c>
      <c r="O1082" s="23" t="s">
        <v>23</v>
      </c>
      <c r="P1082" s="23" t="s">
        <v>87</v>
      </c>
      <c r="Q1082" s="23" t="s">
        <v>39</v>
      </c>
      <c r="R1082" s="23" t="s">
        <v>2654</v>
      </c>
      <c r="S1082" s="33">
        <v>0</v>
      </c>
      <c r="T1082" s="13">
        <v>155.25</v>
      </c>
      <c r="U1082" s="13">
        <v>46.575000000000003</v>
      </c>
      <c r="V1082" s="55">
        <f>Table3[[#This Row],[Profit]]/Table3[[#This Row],[Sales]]</f>
        <v>0.30000000000000004</v>
      </c>
    </row>
    <row r="1083" spans="1:22" x14ac:dyDescent="0.2">
      <c r="A1083">
        <v>1082</v>
      </c>
      <c r="B1083" t="s">
        <v>2653</v>
      </c>
      <c r="C1083" s="1">
        <v>42903</v>
      </c>
      <c r="D1083" s="22">
        <f>MONTH(Table3[[#This Row],[Order Date]])</f>
        <v>6</v>
      </c>
      <c r="E1083" t="s">
        <v>2655</v>
      </c>
      <c r="F1083" t="s">
        <v>2656</v>
      </c>
      <c r="G1083" s="23" t="s">
        <v>41</v>
      </c>
      <c r="H1083" s="23" t="s">
        <v>53</v>
      </c>
      <c r="I1083" t="s">
        <v>475</v>
      </c>
      <c r="J1083" t="s">
        <v>22</v>
      </c>
      <c r="K1083" s="22">
        <v>1</v>
      </c>
      <c r="L1083" s="1">
        <v>42907</v>
      </c>
      <c r="M1083" s="22">
        <f>Table3[[#This Row],[Ship Date]]-Table3[[#This Row],[Order Date]]</f>
        <v>4</v>
      </c>
      <c r="N1083" s="23" t="s">
        <v>20</v>
      </c>
      <c r="O1083" s="23" t="s">
        <v>23</v>
      </c>
      <c r="P1083" s="23" t="s">
        <v>87</v>
      </c>
      <c r="Q1083" s="23" t="s">
        <v>39</v>
      </c>
      <c r="R1083" s="23" t="s">
        <v>2654</v>
      </c>
      <c r="S1083" s="33">
        <v>0</v>
      </c>
      <c r="T1083" s="13">
        <v>14.03</v>
      </c>
      <c r="U1083" s="13">
        <v>4.0686999999999998</v>
      </c>
      <c r="V1083" s="55">
        <f>Table3[[#This Row],[Profit]]/Table3[[#This Row],[Sales]]</f>
        <v>0.28999999999999998</v>
      </c>
    </row>
    <row r="1084" spans="1:22" x14ac:dyDescent="0.2">
      <c r="A1084">
        <v>1083</v>
      </c>
      <c r="B1084" t="s">
        <v>4964</v>
      </c>
      <c r="C1084" s="1">
        <v>42903</v>
      </c>
      <c r="D1084" s="22">
        <f>MONTH(Table3[[#This Row],[Order Date]])</f>
        <v>6</v>
      </c>
      <c r="E1084" t="s">
        <v>2851</v>
      </c>
      <c r="F1084" t="s">
        <v>2852</v>
      </c>
      <c r="G1084" s="23" t="s">
        <v>41</v>
      </c>
      <c r="H1084" s="23" t="s">
        <v>82</v>
      </c>
      <c r="I1084" t="s">
        <v>4965</v>
      </c>
      <c r="J1084" t="s">
        <v>36</v>
      </c>
      <c r="K1084" s="22">
        <v>2</v>
      </c>
      <c r="L1084" s="1">
        <v>42906</v>
      </c>
      <c r="M1084" s="22">
        <f>Table3[[#This Row],[Ship Date]]-Table3[[#This Row],[Order Date]]</f>
        <v>3</v>
      </c>
      <c r="N1084" s="23" t="s">
        <v>169</v>
      </c>
      <c r="O1084" s="23" t="s">
        <v>23</v>
      </c>
      <c r="P1084" s="23" t="s">
        <v>189</v>
      </c>
      <c r="Q1084" s="23" t="s">
        <v>95</v>
      </c>
      <c r="R1084" s="23" t="s">
        <v>3784</v>
      </c>
      <c r="S1084" s="33">
        <v>0.2</v>
      </c>
      <c r="T1084" s="13">
        <v>12.224</v>
      </c>
      <c r="U1084" s="13">
        <v>4.4311999999999996</v>
      </c>
      <c r="V1084" s="55">
        <f>Table3[[#This Row],[Profit]]/Table3[[#This Row],[Sales]]</f>
        <v>0.36249999999999993</v>
      </c>
    </row>
    <row r="1085" spans="1:22" x14ac:dyDescent="0.2">
      <c r="A1085">
        <v>1084</v>
      </c>
      <c r="B1085" t="s">
        <v>4964</v>
      </c>
      <c r="C1085" s="1">
        <v>42903</v>
      </c>
      <c r="D1085" s="22">
        <f>MONTH(Table3[[#This Row],[Order Date]])</f>
        <v>6</v>
      </c>
      <c r="E1085" t="s">
        <v>2104</v>
      </c>
      <c r="F1085" t="s">
        <v>2105</v>
      </c>
      <c r="G1085" s="23" t="s">
        <v>41</v>
      </c>
      <c r="H1085" s="23" t="s">
        <v>68</v>
      </c>
      <c r="I1085" t="s">
        <v>4965</v>
      </c>
      <c r="J1085" t="s">
        <v>36</v>
      </c>
      <c r="K1085" s="22">
        <v>4</v>
      </c>
      <c r="L1085" s="1">
        <v>42906</v>
      </c>
      <c r="M1085" s="22">
        <f>Table3[[#This Row],[Ship Date]]-Table3[[#This Row],[Order Date]]</f>
        <v>3</v>
      </c>
      <c r="N1085" s="23" t="s">
        <v>169</v>
      </c>
      <c r="O1085" s="23" t="s">
        <v>23</v>
      </c>
      <c r="P1085" s="23" t="s">
        <v>189</v>
      </c>
      <c r="Q1085" s="23" t="s">
        <v>95</v>
      </c>
      <c r="R1085" s="23" t="s">
        <v>3784</v>
      </c>
      <c r="S1085" s="33">
        <v>0.8</v>
      </c>
      <c r="T1085" s="13">
        <v>2.3039999999999998</v>
      </c>
      <c r="U1085" s="13">
        <v>-3.5712000000000002</v>
      </c>
      <c r="V1085" s="55">
        <f>Table3[[#This Row],[Profit]]/Table3[[#This Row],[Sales]]</f>
        <v>-1.5500000000000003</v>
      </c>
    </row>
    <row r="1086" spans="1:22" x14ac:dyDescent="0.2">
      <c r="A1086">
        <v>1085</v>
      </c>
      <c r="B1086" t="s">
        <v>4964</v>
      </c>
      <c r="C1086" s="1">
        <v>42903</v>
      </c>
      <c r="D1086" s="22">
        <f>MONTH(Table3[[#This Row],[Order Date]])</f>
        <v>6</v>
      </c>
      <c r="E1086" t="s">
        <v>2303</v>
      </c>
      <c r="F1086" t="s">
        <v>2304</v>
      </c>
      <c r="G1086" s="23" t="s">
        <v>41</v>
      </c>
      <c r="H1086" s="23" t="s">
        <v>68</v>
      </c>
      <c r="I1086" t="s">
        <v>4965</v>
      </c>
      <c r="J1086" t="s">
        <v>36</v>
      </c>
      <c r="K1086" s="22">
        <v>4</v>
      </c>
      <c r="L1086" s="1">
        <v>42906</v>
      </c>
      <c r="M1086" s="22">
        <f>Table3[[#This Row],[Ship Date]]-Table3[[#This Row],[Order Date]]</f>
        <v>3</v>
      </c>
      <c r="N1086" s="23" t="s">
        <v>169</v>
      </c>
      <c r="O1086" s="23" t="s">
        <v>23</v>
      </c>
      <c r="P1086" s="23" t="s">
        <v>189</v>
      </c>
      <c r="Q1086" s="23" t="s">
        <v>95</v>
      </c>
      <c r="R1086" s="23" t="s">
        <v>3784</v>
      </c>
      <c r="S1086" s="33">
        <v>0.8</v>
      </c>
      <c r="T1086" s="13">
        <v>9.36</v>
      </c>
      <c r="U1086" s="13">
        <v>-16.38</v>
      </c>
      <c r="V1086" s="55">
        <f>Table3[[#This Row],[Profit]]/Table3[[#This Row],[Sales]]</f>
        <v>-1.75</v>
      </c>
    </row>
    <row r="1087" spans="1:22" x14ac:dyDescent="0.2">
      <c r="A1087">
        <v>1086</v>
      </c>
      <c r="B1087" t="s">
        <v>8212</v>
      </c>
      <c r="C1087" s="1">
        <v>42903</v>
      </c>
      <c r="D1087" s="22">
        <f>MONTH(Table3[[#This Row],[Order Date]])</f>
        <v>6</v>
      </c>
      <c r="E1087" t="s">
        <v>3039</v>
      </c>
      <c r="F1087" t="s">
        <v>3040</v>
      </c>
      <c r="G1087" s="23" t="s">
        <v>41</v>
      </c>
      <c r="H1087" s="23" t="s">
        <v>53</v>
      </c>
      <c r="I1087" t="s">
        <v>2638</v>
      </c>
      <c r="J1087" t="s">
        <v>22</v>
      </c>
      <c r="K1087" s="22">
        <v>3</v>
      </c>
      <c r="L1087" s="1">
        <v>42906</v>
      </c>
      <c r="M1087" s="22">
        <f>Table3[[#This Row],[Ship Date]]-Table3[[#This Row],[Order Date]]</f>
        <v>3</v>
      </c>
      <c r="N1087" s="23" t="s">
        <v>169</v>
      </c>
      <c r="O1087" s="23" t="s">
        <v>23</v>
      </c>
      <c r="P1087" s="23" t="s">
        <v>405</v>
      </c>
      <c r="Q1087" s="23" t="s">
        <v>39</v>
      </c>
      <c r="R1087" s="23" t="s">
        <v>8213</v>
      </c>
      <c r="S1087" s="33">
        <v>0.2</v>
      </c>
      <c r="T1087" s="13">
        <v>146.352</v>
      </c>
      <c r="U1087" s="13">
        <v>-32.929200000000002</v>
      </c>
      <c r="V1087" s="55">
        <f>Table3[[#This Row],[Profit]]/Table3[[#This Row],[Sales]]</f>
        <v>-0.22500000000000001</v>
      </c>
    </row>
    <row r="1088" spans="1:22" x14ac:dyDescent="0.2">
      <c r="A1088">
        <v>1087</v>
      </c>
      <c r="B1088" t="s">
        <v>8956</v>
      </c>
      <c r="C1088" s="1">
        <v>42903</v>
      </c>
      <c r="D1088" s="22">
        <f>MONTH(Table3[[#This Row],[Order Date]])</f>
        <v>6</v>
      </c>
      <c r="E1088" t="s">
        <v>8957</v>
      </c>
      <c r="F1088" t="s">
        <v>8958</v>
      </c>
      <c r="G1088" s="23" t="s">
        <v>64</v>
      </c>
      <c r="H1088" s="23" t="s">
        <v>602</v>
      </c>
      <c r="I1088" t="s">
        <v>1892</v>
      </c>
      <c r="J1088" t="s">
        <v>92</v>
      </c>
      <c r="K1088" s="22">
        <v>5</v>
      </c>
      <c r="L1088" s="1">
        <v>42907</v>
      </c>
      <c r="M1088" s="22">
        <f>Table3[[#This Row],[Ship Date]]-Table3[[#This Row],[Order Date]]</f>
        <v>4</v>
      </c>
      <c r="N1088" s="23" t="s">
        <v>45</v>
      </c>
      <c r="O1088" s="23" t="s">
        <v>23</v>
      </c>
      <c r="P1088" s="23" t="s">
        <v>238</v>
      </c>
      <c r="Q1088" s="23" t="s">
        <v>133</v>
      </c>
      <c r="R1088" s="23" t="s">
        <v>237</v>
      </c>
      <c r="S1088" s="33">
        <v>0</v>
      </c>
      <c r="T1088" s="13">
        <v>3404.5</v>
      </c>
      <c r="U1088" s="13">
        <v>1668.2049999999999</v>
      </c>
      <c r="V1088" s="55">
        <f>Table3[[#This Row],[Profit]]/Table3[[#This Row],[Sales]]</f>
        <v>0.49</v>
      </c>
    </row>
    <row r="1089" spans="1:22" x14ac:dyDescent="0.2">
      <c r="A1089">
        <v>1088</v>
      </c>
      <c r="B1089" t="s">
        <v>8956</v>
      </c>
      <c r="C1089" s="1">
        <v>42903</v>
      </c>
      <c r="D1089" s="22">
        <f>MONTH(Table3[[#This Row],[Order Date]])</f>
        <v>6</v>
      </c>
      <c r="E1089" t="s">
        <v>7453</v>
      </c>
      <c r="F1089" t="s">
        <v>7454</v>
      </c>
      <c r="G1089" s="23" t="s">
        <v>64</v>
      </c>
      <c r="H1089" s="23" t="s">
        <v>144</v>
      </c>
      <c r="I1089" t="s">
        <v>1892</v>
      </c>
      <c r="J1089" t="s">
        <v>92</v>
      </c>
      <c r="K1089" s="22">
        <v>3</v>
      </c>
      <c r="L1089" s="1">
        <v>42907</v>
      </c>
      <c r="M1089" s="22">
        <f>Table3[[#This Row],[Ship Date]]-Table3[[#This Row],[Order Date]]</f>
        <v>4</v>
      </c>
      <c r="N1089" s="23" t="s">
        <v>45</v>
      </c>
      <c r="O1089" s="23" t="s">
        <v>23</v>
      </c>
      <c r="P1089" s="23" t="s">
        <v>238</v>
      </c>
      <c r="Q1089" s="23" t="s">
        <v>133</v>
      </c>
      <c r="R1089" s="23" t="s">
        <v>237</v>
      </c>
      <c r="S1089" s="33">
        <v>0</v>
      </c>
      <c r="T1089" s="13">
        <v>101.34</v>
      </c>
      <c r="U1089" s="13">
        <v>8.1072000000000006</v>
      </c>
      <c r="V1089" s="55">
        <f>Table3[[#This Row],[Profit]]/Table3[[#This Row],[Sales]]</f>
        <v>0.08</v>
      </c>
    </row>
    <row r="1090" spans="1:22" x14ac:dyDescent="0.2">
      <c r="A1090">
        <v>1089</v>
      </c>
      <c r="B1090" t="s">
        <v>6800</v>
      </c>
      <c r="C1090" s="1">
        <v>42904</v>
      </c>
      <c r="D1090" s="22">
        <f>MONTH(Table3[[#This Row],[Order Date]])</f>
        <v>6</v>
      </c>
      <c r="E1090" t="s">
        <v>1966</v>
      </c>
      <c r="F1090" t="s">
        <v>1967</v>
      </c>
      <c r="G1090" s="23" t="s">
        <v>28</v>
      </c>
      <c r="H1090" s="23" t="s">
        <v>29</v>
      </c>
      <c r="I1090" t="s">
        <v>852</v>
      </c>
      <c r="J1090" t="s">
        <v>22</v>
      </c>
      <c r="K1090" s="22">
        <v>9</v>
      </c>
      <c r="L1090" s="1">
        <v>42909</v>
      </c>
      <c r="M1090" s="22">
        <f>Table3[[#This Row],[Ship Date]]-Table3[[#This Row],[Order Date]]</f>
        <v>5</v>
      </c>
      <c r="N1090" s="23" t="s">
        <v>45</v>
      </c>
      <c r="O1090" s="23" t="s">
        <v>23</v>
      </c>
      <c r="P1090" s="23" t="s">
        <v>38</v>
      </c>
      <c r="Q1090" s="23" t="s">
        <v>39</v>
      </c>
      <c r="R1090" s="23" t="s">
        <v>37</v>
      </c>
      <c r="S1090" s="33">
        <v>0.15</v>
      </c>
      <c r="T1090" s="13">
        <v>917.92349999999999</v>
      </c>
      <c r="U1090" s="13">
        <v>75.593699999999998</v>
      </c>
      <c r="V1090" s="55">
        <f>Table3[[#This Row],[Profit]]/Table3[[#This Row],[Sales]]</f>
        <v>8.2352941176470587E-2</v>
      </c>
    </row>
    <row r="1091" spans="1:22" x14ac:dyDescent="0.2">
      <c r="A1091">
        <v>1090</v>
      </c>
      <c r="B1091" t="s">
        <v>6800</v>
      </c>
      <c r="C1091" s="1">
        <v>42904</v>
      </c>
      <c r="D1091" s="22">
        <f>MONTH(Table3[[#This Row],[Order Date]])</f>
        <v>6</v>
      </c>
      <c r="E1091" t="s">
        <v>1153</v>
      </c>
      <c r="F1091" t="s">
        <v>1154</v>
      </c>
      <c r="G1091" s="23" t="s">
        <v>41</v>
      </c>
      <c r="H1091" s="23" t="s">
        <v>82</v>
      </c>
      <c r="I1091" t="s">
        <v>852</v>
      </c>
      <c r="J1091" t="s">
        <v>22</v>
      </c>
      <c r="K1091" s="22">
        <v>6</v>
      </c>
      <c r="L1091" s="1">
        <v>42909</v>
      </c>
      <c r="M1091" s="22">
        <f>Table3[[#This Row],[Ship Date]]-Table3[[#This Row],[Order Date]]</f>
        <v>5</v>
      </c>
      <c r="N1091" s="23" t="s">
        <v>45</v>
      </c>
      <c r="O1091" s="23" t="s">
        <v>23</v>
      </c>
      <c r="P1091" s="23" t="s">
        <v>38</v>
      </c>
      <c r="Q1091" s="23" t="s">
        <v>39</v>
      </c>
      <c r="R1091" s="23" t="s">
        <v>37</v>
      </c>
      <c r="S1091" s="33">
        <v>0</v>
      </c>
      <c r="T1091" s="13">
        <v>38.880000000000003</v>
      </c>
      <c r="U1091" s="13">
        <v>19.051200000000001</v>
      </c>
      <c r="V1091" s="55">
        <f>Table3[[#This Row],[Profit]]/Table3[[#This Row],[Sales]]</f>
        <v>0.49</v>
      </c>
    </row>
    <row r="1092" spans="1:22" x14ac:dyDescent="0.2">
      <c r="A1092">
        <v>1091</v>
      </c>
      <c r="B1092" t="s">
        <v>8050</v>
      </c>
      <c r="C1092" s="1">
        <v>42904</v>
      </c>
      <c r="D1092" s="22">
        <f>MONTH(Table3[[#This Row],[Order Date]])</f>
        <v>6</v>
      </c>
      <c r="E1092" t="s">
        <v>3826</v>
      </c>
      <c r="F1092" t="s">
        <v>3827</v>
      </c>
      <c r="G1092" s="23" t="s">
        <v>41</v>
      </c>
      <c r="H1092" s="23" t="s">
        <v>82</v>
      </c>
      <c r="I1092" t="s">
        <v>565</v>
      </c>
      <c r="J1092" t="s">
        <v>92</v>
      </c>
      <c r="K1092" s="22">
        <v>3</v>
      </c>
      <c r="L1092" s="1">
        <v>42906</v>
      </c>
      <c r="M1092" s="22">
        <f>Table3[[#This Row],[Ship Date]]-Table3[[#This Row],[Order Date]]</f>
        <v>2</v>
      </c>
      <c r="N1092" s="23" t="s">
        <v>20</v>
      </c>
      <c r="O1092" s="23" t="s">
        <v>23</v>
      </c>
      <c r="P1092" s="23" t="s">
        <v>94</v>
      </c>
      <c r="Q1092" s="23" t="s">
        <v>95</v>
      </c>
      <c r="R1092" s="23" t="s">
        <v>5317</v>
      </c>
      <c r="S1092" s="33">
        <v>0.2</v>
      </c>
      <c r="T1092" s="13">
        <v>74.352000000000004</v>
      </c>
      <c r="U1092" s="13">
        <v>23.234999999999999</v>
      </c>
      <c r="V1092" s="55">
        <f>Table3[[#This Row],[Profit]]/Table3[[#This Row],[Sales]]</f>
        <v>0.3125</v>
      </c>
    </row>
    <row r="1093" spans="1:22" x14ac:dyDescent="0.2">
      <c r="A1093">
        <v>1092</v>
      </c>
      <c r="B1093" t="s">
        <v>1893</v>
      </c>
      <c r="C1093" s="1">
        <v>42905</v>
      </c>
      <c r="D1093" s="22">
        <f>MONTH(Table3[[#This Row],[Order Date]])</f>
        <v>6</v>
      </c>
      <c r="E1093" t="s">
        <v>265</v>
      </c>
      <c r="F1093" t="s">
        <v>266</v>
      </c>
      <c r="G1093" s="23" t="s">
        <v>41</v>
      </c>
      <c r="H1093" s="23" t="s">
        <v>82</v>
      </c>
      <c r="I1093" t="s">
        <v>1172</v>
      </c>
      <c r="J1093" t="s">
        <v>36</v>
      </c>
      <c r="K1093" s="22">
        <v>2</v>
      </c>
      <c r="L1093" s="1">
        <v>42909</v>
      </c>
      <c r="M1093" s="22">
        <f>Table3[[#This Row],[Ship Date]]-Table3[[#This Row],[Order Date]]</f>
        <v>4</v>
      </c>
      <c r="N1093" s="23" t="s">
        <v>45</v>
      </c>
      <c r="O1093" s="23" t="s">
        <v>23</v>
      </c>
      <c r="P1093" s="23" t="s">
        <v>238</v>
      </c>
      <c r="Q1093" s="23" t="s">
        <v>133</v>
      </c>
      <c r="R1093" s="23" t="s">
        <v>237</v>
      </c>
      <c r="S1093" s="33">
        <v>0</v>
      </c>
      <c r="T1093" s="13">
        <v>97.82</v>
      </c>
      <c r="U1093" s="13">
        <v>45.9754</v>
      </c>
      <c r="V1093" s="55">
        <f>Table3[[#This Row],[Profit]]/Table3[[#This Row],[Sales]]</f>
        <v>0.47000000000000003</v>
      </c>
    </row>
    <row r="1094" spans="1:22" x14ac:dyDescent="0.2">
      <c r="A1094">
        <v>1093</v>
      </c>
      <c r="B1094" t="s">
        <v>1893</v>
      </c>
      <c r="C1094" s="1">
        <v>42905</v>
      </c>
      <c r="D1094" s="22">
        <f>MONTH(Table3[[#This Row],[Order Date]])</f>
        <v>6</v>
      </c>
      <c r="E1094" t="s">
        <v>1894</v>
      </c>
      <c r="F1094" t="s">
        <v>1895</v>
      </c>
      <c r="G1094" s="23" t="s">
        <v>64</v>
      </c>
      <c r="H1094" s="23" t="s">
        <v>144</v>
      </c>
      <c r="I1094" t="s">
        <v>1172</v>
      </c>
      <c r="J1094" t="s">
        <v>36</v>
      </c>
      <c r="K1094" s="22">
        <v>8</v>
      </c>
      <c r="L1094" s="1">
        <v>42909</v>
      </c>
      <c r="M1094" s="22">
        <f>Table3[[#This Row],[Ship Date]]-Table3[[#This Row],[Order Date]]</f>
        <v>4</v>
      </c>
      <c r="N1094" s="23" t="s">
        <v>45</v>
      </c>
      <c r="O1094" s="23" t="s">
        <v>23</v>
      </c>
      <c r="P1094" s="23" t="s">
        <v>238</v>
      </c>
      <c r="Q1094" s="23" t="s">
        <v>133</v>
      </c>
      <c r="R1094" s="23" t="s">
        <v>237</v>
      </c>
      <c r="S1094" s="33">
        <v>0</v>
      </c>
      <c r="T1094" s="13">
        <v>103.12</v>
      </c>
      <c r="U1094" s="13">
        <v>10.311999999999999</v>
      </c>
      <c r="V1094" s="55">
        <f>Table3[[#This Row],[Profit]]/Table3[[#This Row],[Sales]]</f>
        <v>9.9999999999999992E-2</v>
      </c>
    </row>
    <row r="1095" spans="1:22" x14ac:dyDescent="0.2">
      <c r="A1095">
        <v>1094</v>
      </c>
      <c r="B1095" t="s">
        <v>4933</v>
      </c>
      <c r="C1095" s="1">
        <v>42905</v>
      </c>
      <c r="D1095" s="22">
        <f>MONTH(Table3[[#This Row],[Order Date]])</f>
        <v>6</v>
      </c>
      <c r="E1095" t="s">
        <v>4934</v>
      </c>
      <c r="F1095" t="s">
        <v>4935</v>
      </c>
      <c r="G1095" s="23" t="s">
        <v>41</v>
      </c>
      <c r="H1095" s="23" t="s">
        <v>513</v>
      </c>
      <c r="I1095" t="s">
        <v>2783</v>
      </c>
      <c r="J1095" t="s">
        <v>22</v>
      </c>
      <c r="K1095" s="22">
        <v>1</v>
      </c>
      <c r="L1095" s="1">
        <v>42911</v>
      </c>
      <c r="M1095" s="22">
        <f>Table3[[#This Row],[Ship Date]]-Table3[[#This Row],[Order Date]]</f>
        <v>6</v>
      </c>
      <c r="N1095" s="23" t="s">
        <v>45</v>
      </c>
      <c r="O1095" s="23" t="s">
        <v>23</v>
      </c>
      <c r="P1095" s="23" t="s">
        <v>94</v>
      </c>
      <c r="Q1095" s="23" t="s">
        <v>95</v>
      </c>
      <c r="R1095" s="23" t="s">
        <v>718</v>
      </c>
      <c r="S1095" s="33">
        <v>0.2</v>
      </c>
      <c r="T1095" s="13">
        <v>11.183999999999999</v>
      </c>
      <c r="U1095" s="13">
        <v>0.83879999999999999</v>
      </c>
      <c r="V1095" s="55">
        <f>Table3[[#This Row],[Profit]]/Table3[[#This Row],[Sales]]</f>
        <v>7.4999999999999997E-2</v>
      </c>
    </row>
    <row r="1096" spans="1:22" x14ac:dyDescent="0.2">
      <c r="A1096">
        <v>1095</v>
      </c>
      <c r="B1096" t="s">
        <v>4933</v>
      </c>
      <c r="C1096" s="1">
        <v>42905</v>
      </c>
      <c r="D1096" s="22">
        <f>MONTH(Table3[[#This Row],[Order Date]])</f>
        <v>6</v>
      </c>
      <c r="E1096" t="s">
        <v>338</v>
      </c>
      <c r="F1096" t="s">
        <v>339</v>
      </c>
      <c r="G1096" s="23" t="s">
        <v>41</v>
      </c>
      <c r="H1096" s="23" t="s">
        <v>53</v>
      </c>
      <c r="I1096" t="s">
        <v>2783</v>
      </c>
      <c r="J1096" t="s">
        <v>22</v>
      </c>
      <c r="K1096" s="22">
        <v>2</v>
      </c>
      <c r="L1096" s="1">
        <v>42911</v>
      </c>
      <c r="M1096" s="22">
        <f>Table3[[#This Row],[Ship Date]]-Table3[[#This Row],[Order Date]]</f>
        <v>6</v>
      </c>
      <c r="N1096" s="23" t="s">
        <v>45</v>
      </c>
      <c r="O1096" s="23" t="s">
        <v>23</v>
      </c>
      <c r="P1096" s="23" t="s">
        <v>94</v>
      </c>
      <c r="Q1096" s="23" t="s">
        <v>95</v>
      </c>
      <c r="R1096" s="23" t="s">
        <v>718</v>
      </c>
      <c r="S1096" s="33">
        <v>0.2</v>
      </c>
      <c r="T1096" s="13">
        <v>153.584</v>
      </c>
      <c r="U1096" s="13">
        <v>-32.636600000000001</v>
      </c>
      <c r="V1096" s="55">
        <f>Table3[[#This Row],[Profit]]/Table3[[#This Row],[Sales]]</f>
        <v>-0.21249999999999999</v>
      </c>
    </row>
    <row r="1097" spans="1:22" x14ac:dyDescent="0.2">
      <c r="A1097">
        <v>1096</v>
      </c>
      <c r="B1097" t="s">
        <v>6483</v>
      </c>
      <c r="C1097" s="1">
        <v>42905</v>
      </c>
      <c r="D1097" s="22">
        <f>MONTH(Table3[[#This Row],[Order Date]])</f>
        <v>6</v>
      </c>
      <c r="E1097" t="s">
        <v>6484</v>
      </c>
      <c r="F1097" t="s">
        <v>6485</v>
      </c>
      <c r="G1097" s="23" t="s">
        <v>41</v>
      </c>
      <c r="H1097" s="23" t="s">
        <v>71</v>
      </c>
      <c r="I1097" t="s">
        <v>1743</v>
      </c>
      <c r="J1097" t="s">
        <v>22</v>
      </c>
      <c r="K1097" s="22">
        <v>1</v>
      </c>
      <c r="L1097" s="1">
        <v>42909</v>
      </c>
      <c r="M1097" s="22">
        <f>Table3[[#This Row],[Ship Date]]-Table3[[#This Row],[Order Date]]</f>
        <v>4</v>
      </c>
      <c r="N1097" s="23" t="s">
        <v>45</v>
      </c>
      <c r="O1097" s="23" t="s">
        <v>23</v>
      </c>
      <c r="P1097" s="23" t="s">
        <v>94</v>
      </c>
      <c r="Q1097" s="23" t="s">
        <v>95</v>
      </c>
      <c r="R1097" s="23" t="s">
        <v>165</v>
      </c>
      <c r="S1097" s="33">
        <v>0.8</v>
      </c>
      <c r="T1097" s="13">
        <v>2.2639999999999998</v>
      </c>
      <c r="U1097" s="13">
        <v>-5.2072000000000003</v>
      </c>
      <c r="V1097" s="55">
        <f>Table3[[#This Row],[Profit]]/Table3[[#This Row],[Sales]]</f>
        <v>-2.3000000000000003</v>
      </c>
    </row>
    <row r="1098" spans="1:22" x14ac:dyDescent="0.2">
      <c r="A1098">
        <v>1097</v>
      </c>
      <c r="B1098" t="s">
        <v>6483</v>
      </c>
      <c r="C1098" s="1">
        <v>42905</v>
      </c>
      <c r="D1098" s="22">
        <f>MONTH(Table3[[#This Row],[Order Date]])</f>
        <v>6</v>
      </c>
      <c r="E1098" t="s">
        <v>3904</v>
      </c>
      <c r="F1098" t="s">
        <v>3905</v>
      </c>
      <c r="G1098" s="23" t="s">
        <v>41</v>
      </c>
      <c r="H1098" s="23" t="s">
        <v>71</v>
      </c>
      <c r="I1098" t="s">
        <v>1743</v>
      </c>
      <c r="J1098" t="s">
        <v>22</v>
      </c>
      <c r="K1098" s="22">
        <v>1</v>
      </c>
      <c r="L1098" s="1">
        <v>42909</v>
      </c>
      <c r="M1098" s="22">
        <f>Table3[[#This Row],[Ship Date]]-Table3[[#This Row],[Order Date]]</f>
        <v>4</v>
      </c>
      <c r="N1098" s="23" t="s">
        <v>45</v>
      </c>
      <c r="O1098" s="23" t="s">
        <v>23</v>
      </c>
      <c r="P1098" s="23" t="s">
        <v>94</v>
      </c>
      <c r="Q1098" s="23" t="s">
        <v>95</v>
      </c>
      <c r="R1098" s="23" t="s">
        <v>165</v>
      </c>
      <c r="S1098" s="33">
        <v>0.8</v>
      </c>
      <c r="T1098" s="13">
        <v>0.44400000000000001</v>
      </c>
      <c r="U1098" s="13">
        <v>-1.1100000000000001</v>
      </c>
      <c r="V1098" s="55">
        <f>Table3[[#This Row],[Profit]]/Table3[[#This Row],[Sales]]</f>
        <v>-2.5</v>
      </c>
    </row>
    <row r="1099" spans="1:22" x14ac:dyDescent="0.2">
      <c r="A1099">
        <v>1098</v>
      </c>
      <c r="B1099" t="s">
        <v>6483</v>
      </c>
      <c r="C1099" s="1">
        <v>42905</v>
      </c>
      <c r="D1099" s="22">
        <f>MONTH(Table3[[#This Row],[Order Date]])</f>
        <v>6</v>
      </c>
      <c r="E1099" t="s">
        <v>4542</v>
      </c>
      <c r="F1099" t="s">
        <v>4543</v>
      </c>
      <c r="G1099" s="23" t="s">
        <v>41</v>
      </c>
      <c r="H1099" s="23" t="s">
        <v>82</v>
      </c>
      <c r="I1099" t="s">
        <v>1743</v>
      </c>
      <c r="J1099" t="s">
        <v>22</v>
      </c>
      <c r="K1099" s="22">
        <v>8</v>
      </c>
      <c r="L1099" s="1">
        <v>42909</v>
      </c>
      <c r="M1099" s="22">
        <f>Table3[[#This Row],[Ship Date]]-Table3[[#This Row],[Order Date]]</f>
        <v>4</v>
      </c>
      <c r="N1099" s="23" t="s">
        <v>45</v>
      </c>
      <c r="O1099" s="23" t="s">
        <v>23</v>
      </c>
      <c r="P1099" s="23" t="s">
        <v>94</v>
      </c>
      <c r="Q1099" s="23" t="s">
        <v>95</v>
      </c>
      <c r="R1099" s="23" t="s">
        <v>165</v>
      </c>
      <c r="S1099" s="33">
        <v>0.2</v>
      </c>
      <c r="T1099" s="13">
        <v>146.17599999999999</v>
      </c>
      <c r="U1099" s="13">
        <v>47.507199999999997</v>
      </c>
      <c r="V1099" s="55">
        <f>Table3[[#This Row],[Profit]]/Table3[[#This Row],[Sales]]</f>
        <v>0.32500000000000001</v>
      </c>
    </row>
    <row r="1100" spans="1:22" x14ac:dyDescent="0.2">
      <c r="A1100">
        <v>1099</v>
      </c>
      <c r="B1100" t="s">
        <v>8514</v>
      </c>
      <c r="C1100" s="1">
        <v>42905</v>
      </c>
      <c r="D1100" s="22">
        <f>MONTH(Table3[[#This Row],[Order Date]])</f>
        <v>6</v>
      </c>
      <c r="E1100" t="s">
        <v>1132</v>
      </c>
      <c r="F1100" t="s">
        <v>1133</v>
      </c>
      <c r="G1100" s="23" t="s">
        <v>28</v>
      </c>
      <c r="H1100" s="23" t="s">
        <v>32</v>
      </c>
      <c r="I1100" t="s">
        <v>4080</v>
      </c>
      <c r="J1100" t="s">
        <v>36</v>
      </c>
      <c r="K1100" s="22">
        <v>6</v>
      </c>
      <c r="L1100" s="1">
        <v>42907</v>
      </c>
      <c r="M1100" s="22">
        <f>Table3[[#This Row],[Ship Date]]-Table3[[#This Row],[Order Date]]</f>
        <v>2</v>
      </c>
      <c r="N1100" s="23" t="s">
        <v>20</v>
      </c>
      <c r="O1100" s="23" t="s">
        <v>23</v>
      </c>
      <c r="P1100" s="23" t="s">
        <v>441</v>
      </c>
      <c r="Q1100" s="23" t="s">
        <v>133</v>
      </c>
      <c r="R1100" s="23" t="s">
        <v>536</v>
      </c>
      <c r="S1100" s="33">
        <v>0.3</v>
      </c>
      <c r="T1100" s="13">
        <v>760.11599999999999</v>
      </c>
      <c r="U1100" s="13">
        <v>-43.435200000000002</v>
      </c>
      <c r="V1100" s="55">
        <f>Table3[[#This Row],[Profit]]/Table3[[#This Row],[Sales]]</f>
        <v>-5.7142857142857148E-2</v>
      </c>
    </row>
    <row r="1101" spans="1:22" x14ac:dyDescent="0.2">
      <c r="A1101">
        <v>1100</v>
      </c>
      <c r="B1101" t="s">
        <v>8514</v>
      </c>
      <c r="C1101" s="1">
        <v>42905</v>
      </c>
      <c r="D1101" s="22">
        <f>MONTH(Table3[[#This Row],[Order Date]])</f>
        <v>6</v>
      </c>
      <c r="E1101" t="s">
        <v>5028</v>
      </c>
      <c r="F1101" t="s">
        <v>5029</v>
      </c>
      <c r="G1101" s="23" t="s">
        <v>28</v>
      </c>
      <c r="H1101" s="23" t="s">
        <v>58</v>
      </c>
      <c r="I1101" t="s">
        <v>4080</v>
      </c>
      <c r="J1101" t="s">
        <v>36</v>
      </c>
      <c r="K1101" s="22">
        <v>3</v>
      </c>
      <c r="L1101" s="1">
        <v>42907</v>
      </c>
      <c r="M1101" s="22">
        <f>Table3[[#This Row],[Ship Date]]-Table3[[#This Row],[Order Date]]</f>
        <v>2</v>
      </c>
      <c r="N1101" s="23" t="s">
        <v>20</v>
      </c>
      <c r="O1101" s="23" t="s">
        <v>23</v>
      </c>
      <c r="P1101" s="23" t="s">
        <v>441</v>
      </c>
      <c r="Q1101" s="23" t="s">
        <v>133</v>
      </c>
      <c r="R1101" s="23" t="s">
        <v>536</v>
      </c>
      <c r="S1101" s="33">
        <v>0.2</v>
      </c>
      <c r="T1101" s="13">
        <v>38.783999999999999</v>
      </c>
      <c r="U1101" s="13">
        <v>7.2720000000000002</v>
      </c>
      <c r="V1101" s="55">
        <f>Table3[[#This Row],[Profit]]/Table3[[#This Row],[Sales]]</f>
        <v>0.1875</v>
      </c>
    </row>
    <row r="1102" spans="1:22" x14ac:dyDescent="0.2">
      <c r="A1102">
        <v>1101</v>
      </c>
      <c r="B1102" t="s">
        <v>8514</v>
      </c>
      <c r="C1102" s="1">
        <v>42905</v>
      </c>
      <c r="D1102" s="22">
        <f>MONTH(Table3[[#This Row],[Order Date]])</f>
        <v>6</v>
      </c>
      <c r="E1102" t="s">
        <v>6419</v>
      </c>
      <c r="F1102" t="s">
        <v>6420</v>
      </c>
      <c r="G1102" s="23" t="s">
        <v>64</v>
      </c>
      <c r="H1102" s="23" t="s">
        <v>144</v>
      </c>
      <c r="I1102" t="s">
        <v>4080</v>
      </c>
      <c r="J1102" t="s">
        <v>36</v>
      </c>
      <c r="K1102" s="22">
        <v>9</v>
      </c>
      <c r="L1102" s="1">
        <v>42907</v>
      </c>
      <c r="M1102" s="22">
        <f>Table3[[#This Row],[Ship Date]]-Table3[[#This Row],[Order Date]]</f>
        <v>2</v>
      </c>
      <c r="N1102" s="23" t="s">
        <v>20</v>
      </c>
      <c r="O1102" s="23" t="s">
        <v>23</v>
      </c>
      <c r="P1102" s="23" t="s">
        <v>441</v>
      </c>
      <c r="Q1102" s="23" t="s">
        <v>133</v>
      </c>
      <c r="R1102" s="23" t="s">
        <v>536</v>
      </c>
      <c r="S1102" s="33">
        <v>0.2</v>
      </c>
      <c r="T1102" s="13">
        <v>122.328</v>
      </c>
      <c r="U1102" s="13">
        <v>1.5290999999999999</v>
      </c>
      <c r="V1102" s="55">
        <f>Table3[[#This Row],[Profit]]/Table3[[#This Row],[Sales]]</f>
        <v>1.2499999999999999E-2</v>
      </c>
    </row>
    <row r="1103" spans="1:22" x14ac:dyDescent="0.2">
      <c r="A1103">
        <v>1102</v>
      </c>
      <c r="B1103" t="s">
        <v>9748</v>
      </c>
      <c r="C1103" s="1">
        <v>42905</v>
      </c>
      <c r="D1103" s="22">
        <f>MONTH(Table3[[#This Row],[Order Date]])</f>
        <v>6</v>
      </c>
      <c r="E1103" t="s">
        <v>5282</v>
      </c>
      <c r="F1103" t="s">
        <v>5283</v>
      </c>
      <c r="G1103" s="23" t="s">
        <v>41</v>
      </c>
      <c r="H1103" s="23" t="s">
        <v>68</v>
      </c>
      <c r="I1103" t="s">
        <v>3617</v>
      </c>
      <c r="J1103" t="s">
        <v>92</v>
      </c>
      <c r="K1103" s="22">
        <v>3</v>
      </c>
      <c r="L1103" s="1">
        <v>42912</v>
      </c>
      <c r="M1103" s="22">
        <f>Table3[[#This Row],[Ship Date]]-Table3[[#This Row],[Order Date]]</f>
        <v>7</v>
      </c>
      <c r="N1103" s="23" t="s">
        <v>45</v>
      </c>
      <c r="O1103" s="23" t="s">
        <v>23</v>
      </c>
      <c r="P1103" s="23" t="s">
        <v>94</v>
      </c>
      <c r="Q1103" s="23" t="s">
        <v>95</v>
      </c>
      <c r="R1103" s="23" t="s">
        <v>718</v>
      </c>
      <c r="S1103" s="33">
        <v>0.8</v>
      </c>
      <c r="T1103" s="13">
        <v>6.8879999999999999</v>
      </c>
      <c r="U1103" s="13">
        <v>-11.020799999999999</v>
      </c>
      <c r="V1103" s="55">
        <f>Table3[[#This Row],[Profit]]/Table3[[#This Row],[Sales]]</f>
        <v>-1.5999999999999999</v>
      </c>
    </row>
    <row r="1104" spans="1:22" x14ac:dyDescent="0.2">
      <c r="A1104">
        <v>1103</v>
      </c>
      <c r="B1104" t="s">
        <v>9748</v>
      </c>
      <c r="C1104" s="1">
        <v>42905</v>
      </c>
      <c r="D1104" s="22">
        <f>MONTH(Table3[[#This Row],[Order Date]])</f>
        <v>6</v>
      </c>
      <c r="E1104" t="s">
        <v>1926</v>
      </c>
      <c r="F1104" t="s">
        <v>1927</v>
      </c>
      <c r="G1104" s="23" t="s">
        <v>28</v>
      </c>
      <c r="H1104" s="23" t="s">
        <v>50</v>
      </c>
      <c r="I1104" t="s">
        <v>3617</v>
      </c>
      <c r="J1104" t="s">
        <v>92</v>
      </c>
      <c r="K1104" s="22">
        <v>3</v>
      </c>
      <c r="L1104" s="1">
        <v>42912</v>
      </c>
      <c r="M1104" s="22">
        <f>Table3[[#This Row],[Ship Date]]-Table3[[#This Row],[Order Date]]</f>
        <v>7</v>
      </c>
      <c r="N1104" s="23" t="s">
        <v>45</v>
      </c>
      <c r="O1104" s="23" t="s">
        <v>23</v>
      </c>
      <c r="P1104" s="23" t="s">
        <v>94</v>
      </c>
      <c r="Q1104" s="23" t="s">
        <v>95</v>
      </c>
      <c r="R1104" s="23" t="s">
        <v>718</v>
      </c>
      <c r="S1104" s="33">
        <v>0.3</v>
      </c>
      <c r="T1104" s="13">
        <v>457.48500000000001</v>
      </c>
      <c r="U1104" s="13">
        <v>-84.961500000000001</v>
      </c>
      <c r="V1104" s="55">
        <f>Table3[[#This Row],[Profit]]/Table3[[#This Row],[Sales]]</f>
        <v>-0.18571428571428572</v>
      </c>
    </row>
    <row r="1105" spans="1:22" x14ac:dyDescent="0.2">
      <c r="A1105">
        <v>1104</v>
      </c>
      <c r="B1105" t="s">
        <v>10063</v>
      </c>
      <c r="C1105" s="1">
        <v>42905</v>
      </c>
      <c r="D1105" s="22">
        <f>MONTH(Table3[[#This Row],[Order Date]])</f>
        <v>6</v>
      </c>
      <c r="E1105" t="s">
        <v>1907</v>
      </c>
      <c r="F1105" t="s">
        <v>1908</v>
      </c>
      <c r="G1105" s="23" t="s">
        <v>41</v>
      </c>
      <c r="H1105" s="23" t="s">
        <v>53</v>
      </c>
      <c r="I1105" t="s">
        <v>357</v>
      </c>
      <c r="J1105" t="s">
        <v>36</v>
      </c>
      <c r="K1105" s="22">
        <v>2</v>
      </c>
      <c r="L1105" s="1">
        <v>42912</v>
      </c>
      <c r="M1105" s="22">
        <f>Table3[[#This Row],[Ship Date]]-Table3[[#This Row],[Order Date]]</f>
        <v>7</v>
      </c>
      <c r="N1105" s="23" t="s">
        <v>45</v>
      </c>
      <c r="O1105" s="23" t="s">
        <v>23</v>
      </c>
      <c r="P1105" s="23" t="s">
        <v>238</v>
      </c>
      <c r="Q1105" s="23" t="s">
        <v>133</v>
      </c>
      <c r="R1105" s="23" t="s">
        <v>237</v>
      </c>
      <c r="S1105" s="33">
        <v>0</v>
      </c>
      <c r="T1105" s="13">
        <v>129.30000000000001</v>
      </c>
      <c r="U1105" s="13">
        <v>6.4649999999999999</v>
      </c>
      <c r="V1105" s="55">
        <f>Table3[[#This Row],[Profit]]/Table3[[#This Row],[Sales]]</f>
        <v>4.9999999999999996E-2</v>
      </c>
    </row>
    <row r="1106" spans="1:22" x14ac:dyDescent="0.2">
      <c r="A1106">
        <v>1105</v>
      </c>
      <c r="B1106" t="s">
        <v>10063</v>
      </c>
      <c r="C1106" s="1">
        <v>42905</v>
      </c>
      <c r="D1106" s="22">
        <f>MONTH(Table3[[#This Row],[Order Date]])</f>
        <v>6</v>
      </c>
      <c r="E1106" t="s">
        <v>1857</v>
      </c>
      <c r="F1106" t="s">
        <v>1858</v>
      </c>
      <c r="G1106" s="23" t="s">
        <v>41</v>
      </c>
      <c r="H1106" s="23" t="s">
        <v>68</v>
      </c>
      <c r="I1106" t="s">
        <v>357</v>
      </c>
      <c r="J1106" t="s">
        <v>36</v>
      </c>
      <c r="K1106" s="22">
        <v>3</v>
      </c>
      <c r="L1106" s="1">
        <v>42912</v>
      </c>
      <c r="M1106" s="22">
        <f>Table3[[#This Row],[Ship Date]]-Table3[[#This Row],[Order Date]]</f>
        <v>7</v>
      </c>
      <c r="N1106" s="23" t="s">
        <v>45</v>
      </c>
      <c r="O1106" s="23" t="s">
        <v>23</v>
      </c>
      <c r="P1106" s="23" t="s">
        <v>238</v>
      </c>
      <c r="Q1106" s="23" t="s">
        <v>133</v>
      </c>
      <c r="R1106" s="23" t="s">
        <v>237</v>
      </c>
      <c r="S1106" s="33">
        <v>0.2</v>
      </c>
      <c r="T1106" s="13">
        <v>11.568</v>
      </c>
      <c r="U1106" s="13">
        <v>3.7595999999999998</v>
      </c>
      <c r="V1106" s="55">
        <f>Table3[[#This Row],[Profit]]/Table3[[#This Row],[Sales]]</f>
        <v>0.32500000000000001</v>
      </c>
    </row>
    <row r="1107" spans="1:22" x14ac:dyDescent="0.2">
      <c r="A1107">
        <v>1106</v>
      </c>
      <c r="B1107" t="s">
        <v>10074</v>
      </c>
      <c r="C1107" s="1">
        <v>42905</v>
      </c>
      <c r="D1107" s="22">
        <f>MONTH(Table3[[#This Row],[Order Date]])</f>
        <v>6</v>
      </c>
      <c r="E1107" t="s">
        <v>6306</v>
      </c>
      <c r="F1107" t="s">
        <v>6307</v>
      </c>
      <c r="G1107" s="23" t="s">
        <v>28</v>
      </c>
      <c r="H1107" s="23" t="s">
        <v>58</v>
      </c>
      <c r="I1107" t="s">
        <v>5272</v>
      </c>
      <c r="J1107" t="s">
        <v>22</v>
      </c>
      <c r="K1107" s="22">
        <v>4</v>
      </c>
      <c r="L1107" s="1">
        <v>42909</v>
      </c>
      <c r="M1107" s="22">
        <f>Table3[[#This Row],[Ship Date]]-Table3[[#This Row],[Order Date]]</f>
        <v>4</v>
      </c>
      <c r="N1107" s="23" t="s">
        <v>45</v>
      </c>
      <c r="O1107" s="23" t="s">
        <v>23</v>
      </c>
      <c r="P1107" s="23" t="s">
        <v>38</v>
      </c>
      <c r="Q1107" s="23" t="s">
        <v>39</v>
      </c>
      <c r="R1107" s="23" t="s">
        <v>114</v>
      </c>
      <c r="S1107" s="33">
        <v>0</v>
      </c>
      <c r="T1107" s="13">
        <v>50.32</v>
      </c>
      <c r="U1107" s="13">
        <v>21.134399999999999</v>
      </c>
      <c r="V1107" s="55">
        <f>Table3[[#This Row],[Profit]]/Table3[[#This Row],[Sales]]</f>
        <v>0.42</v>
      </c>
    </row>
    <row r="1108" spans="1:22" x14ac:dyDescent="0.2">
      <c r="A1108">
        <v>1107</v>
      </c>
      <c r="B1108" t="s">
        <v>10074</v>
      </c>
      <c r="C1108" s="1">
        <v>42905</v>
      </c>
      <c r="D1108" s="22">
        <f>MONTH(Table3[[#This Row],[Order Date]])</f>
        <v>6</v>
      </c>
      <c r="E1108" t="s">
        <v>5657</v>
      </c>
      <c r="F1108" t="s">
        <v>5658</v>
      </c>
      <c r="G1108" s="23" t="s">
        <v>41</v>
      </c>
      <c r="H1108" s="23" t="s">
        <v>82</v>
      </c>
      <c r="I1108" t="s">
        <v>5272</v>
      </c>
      <c r="J1108" t="s">
        <v>22</v>
      </c>
      <c r="K1108" s="22">
        <v>2</v>
      </c>
      <c r="L1108" s="1">
        <v>42909</v>
      </c>
      <c r="M1108" s="22">
        <f>Table3[[#This Row],[Ship Date]]-Table3[[#This Row],[Order Date]]</f>
        <v>4</v>
      </c>
      <c r="N1108" s="23" t="s">
        <v>45</v>
      </c>
      <c r="O1108" s="23" t="s">
        <v>23</v>
      </c>
      <c r="P1108" s="23" t="s">
        <v>38</v>
      </c>
      <c r="Q1108" s="23" t="s">
        <v>39</v>
      </c>
      <c r="R1108" s="23" t="s">
        <v>114</v>
      </c>
      <c r="S1108" s="33">
        <v>0</v>
      </c>
      <c r="T1108" s="13">
        <v>24.56</v>
      </c>
      <c r="U1108" s="13">
        <v>11.543200000000001</v>
      </c>
      <c r="V1108" s="55">
        <f>Table3[[#This Row],[Profit]]/Table3[[#This Row],[Sales]]</f>
        <v>0.47000000000000003</v>
      </c>
    </row>
    <row r="1109" spans="1:22" x14ac:dyDescent="0.2">
      <c r="A1109">
        <v>1108</v>
      </c>
      <c r="B1109" t="s">
        <v>2255</v>
      </c>
      <c r="C1109" s="1">
        <v>42906</v>
      </c>
      <c r="D1109" s="22">
        <f>MONTH(Table3[[#This Row],[Order Date]])</f>
        <v>6</v>
      </c>
      <c r="E1109" t="s">
        <v>2257</v>
      </c>
      <c r="F1109" t="s">
        <v>2258</v>
      </c>
      <c r="G1109" s="23" t="s">
        <v>64</v>
      </c>
      <c r="H1109" s="23" t="s">
        <v>144</v>
      </c>
      <c r="I1109" t="s">
        <v>2256</v>
      </c>
      <c r="J1109" t="s">
        <v>22</v>
      </c>
      <c r="K1109" s="22">
        <v>3</v>
      </c>
      <c r="L1109" s="1">
        <v>42913</v>
      </c>
      <c r="M1109" s="22">
        <f>Table3[[#This Row],[Ship Date]]-Table3[[#This Row],[Order Date]]</f>
        <v>7</v>
      </c>
      <c r="N1109" s="23" t="s">
        <v>45</v>
      </c>
      <c r="O1109" s="23" t="s">
        <v>23</v>
      </c>
      <c r="P1109" s="23" t="s">
        <v>695</v>
      </c>
      <c r="Q1109" s="23" t="s">
        <v>133</v>
      </c>
      <c r="R1109" s="23" t="s">
        <v>966</v>
      </c>
      <c r="S1109" s="33">
        <v>0</v>
      </c>
      <c r="T1109" s="13">
        <v>239.97</v>
      </c>
      <c r="U1109" s="13">
        <v>71.991</v>
      </c>
      <c r="V1109" s="55">
        <f>Table3[[#This Row],[Profit]]/Table3[[#This Row],[Sales]]</f>
        <v>0.3</v>
      </c>
    </row>
    <row r="1110" spans="1:22" x14ac:dyDescent="0.2">
      <c r="A1110">
        <v>1109</v>
      </c>
      <c r="B1110" t="s">
        <v>2255</v>
      </c>
      <c r="C1110" s="1">
        <v>42906</v>
      </c>
      <c r="D1110" s="22">
        <f>MONTH(Table3[[#This Row],[Order Date]])</f>
        <v>6</v>
      </c>
      <c r="E1110" t="s">
        <v>2081</v>
      </c>
      <c r="F1110" t="s">
        <v>2082</v>
      </c>
      <c r="G1110" s="23" t="s">
        <v>41</v>
      </c>
      <c r="H1110" s="23" t="s">
        <v>42</v>
      </c>
      <c r="I1110" t="s">
        <v>2256</v>
      </c>
      <c r="J1110" t="s">
        <v>22</v>
      </c>
      <c r="K1110" s="22">
        <v>2</v>
      </c>
      <c r="L1110" s="1">
        <v>42913</v>
      </c>
      <c r="M1110" s="22">
        <f>Table3[[#This Row],[Ship Date]]-Table3[[#This Row],[Order Date]]</f>
        <v>7</v>
      </c>
      <c r="N1110" s="23" t="s">
        <v>45</v>
      </c>
      <c r="O1110" s="23" t="s">
        <v>23</v>
      </c>
      <c r="P1110" s="23" t="s">
        <v>695</v>
      </c>
      <c r="Q1110" s="23" t="s">
        <v>133</v>
      </c>
      <c r="R1110" s="23" t="s">
        <v>966</v>
      </c>
      <c r="S1110" s="33">
        <v>0</v>
      </c>
      <c r="T1110" s="13">
        <v>9.82</v>
      </c>
      <c r="U1110" s="13">
        <v>4.8117999999999999</v>
      </c>
      <c r="V1110" s="55">
        <f>Table3[[#This Row],[Profit]]/Table3[[#This Row],[Sales]]</f>
        <v>0.49</v>
      </c>
    </row>
    <row r="1111" spans="1:22" x14ac:dyDescent="0.2">
      <c r="A1111">
        <v>1110</v>
      </c>
      <c r="B1111" t="s">
        <v>2410</v>
      </c>
      <c r="C1111" s="1">
        <v>42906</v>
      </c>
      <c r="D1111" s="22">
        <f>MONTH(Table3[[#This Row],[Order Date]])</f>
        <v>6</v>
      </c>
      <c r="E1111" t="s">
        <v>2411</v>
      </c>
      <c r="F1111" t="s">
        <v>2412</v>
      </c>
      <c r="G1111" s="23" t="s">
        <v>64</v>
      </c>
      <c r="H1111" s="23" t="s">
        <v>144</v>
      </c>
      <c r="I1111" t="s">
        <v>1459</v>
      </c>
      <c r="J1111" t="s">
        <v>22</v>
      </c>
      <c r="K1111" s="22">
        <v>5</v>
      </c>
      <c r="L1111" s="1">
        <v>42912</v>
      </c>
      <c r="M1111" s="22">
        <f>Table3[[#This Row],[Ship Date]]-Table3[[#This Row],[Order Date]]</f>
        <v>6</v>
      </c>
      <c r="N1111" s="23" t="s">
        <v>45</v>
      </c>
      <c r="O1111" s="23" t="s">
        <v>23</v>
      </c>
      <c r="P1111" s="23" t="s">
        <v>238</v>
      </c>
      <c r="Q1111" s="23" t="s">
        <v>133</v>
      </c>
      <c r="R1111" s="23" t="s">
        <v>1326</v>
      </c>
      <c r="S1111" s="33">
        <v>0</v>
      </c>
      <c r="T1111" s="13">
        <v>149.94999999999999</v>
      </c>
      <c r="U1111" s="13">
        <v>14.994999999999999</v>
      </c>
      <c r="V1111" s="55">
        <f>Table3[[#This Row],[Profit]]/Table3[[#This Row],[Sales]]</f>
        <v>0.1</v>
      </c>
    </row>
    <row r="1112" spans="1:22" x14ac:dyDescent="0.2">
      <c r="A1112">
        <v>1111</v>
      </c>
      <c r="B1112" t="s">
        <v>2410</v>
      </c>
      <c r="C1112" s="1">
        <v>42906</v>
      </c>
      <c r="D1112" s="22">
        <f>MONTH(Table3[[#This Row],[Order Date]])</f>
        <v>6</v>
      </c>
      <c r="E1112" t="s">
        <v>1414</v>
      </c>
      <c r="F1112" t="s">
        <v>1415</v>
      </c>
      <c r="G1112" s="23" t="s">
        <v>41</v>
      </c>
      <c r="H1112" s="23" t="s">
        <v>68</v>
      </c>
      <c r="I1112" t="s">
        <v>1459</v>
      </c>
      <c r="J1112" t="s">
        <v>22</v>
      </c>
      <c r="K1112" s="22">
        <v>3</v>
      </c>
      <c r="L1112" s="1">
        <v>42912</v>
      </c>
      <c r="M1112" s="22">
        <f>Table3[[#This Row],[Ship Date]]-Table3[[#This Row],[Order Date]]</f>
        <v>6</v>
      </c>
      <c r="N1112" s="23" t="s">
        <v>45</v>
      </c>
      <c r="O1112" s="23" t="s">
        <v>23</v>
      </c>
      <c r="P1112" s="23" t="s">
        <v>238</v>
      </c>
      <c r="Q1112" s="23" t="s">
        <v>133</v>
      </c>
      <c r="R1112" s="23" t="s">
        <v>1326</v>
      </c>
      <c r="S1112" s="33">
        <v>0.2</v>
      </c>
      <c r="T1112" s="13">
        <v>51.311999999999998</v>
      </c>
      <c r="U1112" s="13">
        <v>18.6006</v>
      </c>
      <c r="V1112" s="55">
        <f>Table3[[#This Row],[Profit]]/Table3[[#This Row],[Sales]]</f>
        <v>0.36250000000000004</v>
      </c>
    </row>
    <row r="1113" spans="1:22" x14ac:dyDescent="0.2">
      <c r="A1113">
        <v>1112</v>
      </c>
      <c r="B1113" t="s">
        <v>3412</v>
      </c>
      <c r="C1113" s="1">
        <v>42906</v>
      </c>
      <c r="D1113" s="22">
        <f>MONTH(Table3[[#This Row],[Order Date]])</f>
        <v>6</v>
      </c>
      <c r="E1113" t="s">
        <v>3415</v>
      </c>
      <c r="F1113" t="s">
        <v>3416</v>
      </c>
      <c r="G1113" s="23" t="s">
        <v>41</v>
      </c>
      <c r="H1113" s="23" t="s">
        <v>82</v>
      </c>
      <c r="I1113" t="s">
        <v>3413</v>
      </c>
      <c r="J1113" t="s">
        <v>22</v>
      </c>
      <c r="K1113" s="22">
        <v>6</v>
      </c>
      <c r="L1113" s="1">
        <v>42913</v>
      </c>
      <c r="M1113" s="22">
        <f>Table3[[#This Row],[Ship Date]]-Table3[[#This Row],[Order Date]]</f>
        <v>7</v>
      </c>
      <c r="N1113" s="23" t="s">
        <v>45</v>
      </c>
      <c r="O1113" s="23" t="s">
        <v>23</v>
      </c>
      <c r="P1113" s="23" t="s">
        <v>441</v>
      </c>
      <c r="Q1113" s="23" t="s">
        <v>133</v>
      </c>
      <c r="R1113" s="23" t="s">
        <v>3414</v>
      </c>
      <c r="S1113" s="33">
        <v>0.2</v>
      </c>
      <c r="T1113" s="13">
        <v>31.103999999999999</v>
      </c>
      <c r="U1113" s="13">
        <v>10.8864</v>
      </c>
      <c r="V1113" s="55">
        <f>Table3[[#This Row],[Profit]]/Table3[[#This Row],[Sales]]</f>
        <v>0.35000000000000003</v>
      </c>
    </row>
    <row r="1114" spans="1:22" x14ac:dyDescent="0.2">
      <c r="A1114">
        <v>1113</v>
      </c>
      <c r="B1114" t="s">
        <v>3412</v>
      </c>
      <c r="C1114" s="1">
        <v>42906</v>
      </c>
      <c r="D1114" s="22">
        <f>MONTH(Table3[[#This Row],[Order Date]])</f>
        <v>6</v>
      </c>
      <c r="E1114" t="s">
        <v>3279</v>
      </c>
      <c r="F1114" t="s">
        <v>3280</v>
      </c>
      <c r="G1114" s="23" t="s">
        <v>41</v>
      </c>
      <c r="H1114" s="23" t="s">
        <v>61</v>
      </c>
      <c r="I1114" t="s">
        <v>3413</v>
      </c>
      <c r="J1114" t="s">
        <v>22</v>
      </c>
      <c r="K1114" s="22">
        <v>2</v>
      </c>
      <c r="L1114" s="1">
        <v>42913</v>
      </c>
      <c r="M1114" s="22">
        <f>Table3[[#This Row],[Ship Date]]-Table3[[#This Row],[Order Date]]</f>
        <v>7</v>
      </c>
      <c r="N1114" s="23" t="s">
        <v>45</v>
      </c>
      <c r="O1114" s="23" t="s">
        <v>23</v>
      </c>
      <c r="P1114" s="23" t="s">
        <v>441</v>
      </c>
      <c r="Q1114" s="23" t="s">
        <v>133</v>
      </c>
      <c r="R1114" s="23" t="s">
        <v>3414</v>
      </c>
      <c r="S1114" s="33">
        <v>0.2</v>
      </c>
      <c r="T1114" s="13">
        <v>5.2480000000000002</v>
      </c>
      <c r="U1114" s="13">
        <v>0.59040000000000004</v>
      </c>
      <c r="V1114" s="55">
        <f>Table3[[#This Row],[Profit]]/Table3[[#This Row],[Sales]]</f>
        <v>0.1125</v>
      </c>
    </row>
    <row r="1115" spans="1:22" x14ac:dyDescent="0.2">
      <c r="A1115">
        <v>1114</v>
      </c>
      <c r="B1115" t="s">
        <v>7368</v>
      </c>
      <c r="C1115" s="1">
        <v>42906</v>
      </c>
      <c r="D1115" s="22">
        <f>MONTH(Table3[[#This Row],[Order Date]])</f>
        <v>6</v>
      </c>
      <c r="E1115" t="s">
        <v>5284</v>
      </c>
      <c r="F1115" t="s">
        <v>5285</v>
      </c>
      <c r="G1115" s="23" t="s">
        <v>41</v>
      </c>
      <c r="H1115" s="23" t="s">
        <v>53</v>
      </c>
      <c r="I1115" t="s">
        <v>2236</v>
      </c>
      <c r="J1115" t="s">
        <v>22</v>
      </c>
      <c r="K1115" s="22">
        <v>1</v>
      </c>
      <c r="L1115" s="1">
        <v>42909</v>
      </c>
      <c r="M1115" s="22">
        <f>Table3[[#This Row],[Ship Date]]-Table3[[#This Row],[Order Date]]</f>
        <v>3</v>
      </c>
      <c r="N1115" s="23" t="s">
        <v>169</v>
      </c>
      <c r="O1115" s="23" t="s">
        <v>23</v>
      </c>
      <c r="P1115" s="23" t="s">
        <v>48</v>
      </c>
      <c r="Q1115" s="23" t="s">
        <v>26</v>
      </c>
      <c r="R1115" s="23" t="s">
        <v>1253</v>
      </c>
      <c r="S1115" s="33">
        <v>0.2</v>
      </c>
      <c r="T1115" s="13">
        <v>4.4640000000000004</v>
      </c>
      <c r="U1115" s="13">
        <v>0.33479999999999999</v>
      </c>
      <c r="V1115" s="55">
        <f>Table3[[#This Row],[Profit]]/Table3[[#This Row],[Sales]]</f>
        <v>7.4999999999999983E-2</v>
      </c>
    </row>
    <row r="1116" spans="1:22" x14ac:dyDescent="0.2">
      <c r="A1116">
        <v>1115</v>
      </c>
      <c r="B1116" t="s">
        <v>9992</v>
      </c>
      <c r="C1116" s="1">
        <v>42906</v>
      </c>
      <c r="D1116" s="22">
        <f>MONTH(Table3[[#This Row],[Order Date]])</f>
        <v>6</v>
      </c>
      <c r="E1116" t="s">
        <v>5606</v>
      </c>
      <c r="F1116" t="s">
        <v>5607</v>
      </c>
      <c r="G1116" s="23" t="s">
        <v>41</v>
      </c>
      <c r="H1116" s="23" t="s">
        <v>82</v>
      </c>
      <c r="I1116" t="s">
        <v>346</v>
      </c>
      <c r="J1116" t="s">
        <v>22</v>
      </c>
      <c r="K1116" s="22">
        <v>5</v>
      </c>
      <c r="L1116" s="1">
        <v>42913</v>
      </c>
      <c r="M1116" s="22">
        <f>Table3[[#This Row],[Ship Date]]-Table3[[#This Row],[Order Date]]</f>
        <v>7</v>
      </c>
      <c r="N1116" s="23" t="s">
        <v>45</v>
      </c>
      <c r="O1116" s="23" t="s">
        <v>23</v>
      </c>
      <c r="P1116" s="23" t="s">
        <v>285</v>
      </c>
      <c r="Q1116" s="23" t="s">
        <v>26</v>
      </c>
      <c r="R1116" s="23" t="s">
        <v>1294</v>
      </c>
      <c r="S1116" s="33">
        <v>0</v>
      </c>
      <c r="T1116" s="13">
        <v>32.4</v>
      </c>
      <c r="U1116" s="13">
        <v>15.552</v>
      </c>
      <c r="V1116" s="55">
        <f>Table3[[#This Row],[Profit]]/Table3[[#This Row],[Sales]]</f>
        <v>0.48</v>
      </c>
    </row>
    <row r="1117" spans="1:22" x14ac:dyDescent="0.2">
      <c r="A1117">
        <v>1116</v>
      </c>
      <c r="B1117" t="s">
        <v>9992</v>
      </c>
      <c r="C1117" s="1">
        <v>42906</v>
      </c>
      <c r="D1117" s="22">
        <f>MONTH(Table3[[#This Row],[Order Date]])</f>
        <v>6</v>
      </c>
      <c r="E1117" t="s">
        <v>5243</v>
      </c>
      <c r="F1117" t="s">
        <v>5244</v>
      </c>
      <c r="G1117" s="23" t="s">
        <v>64</v>
      </c>
      <c r="H1117" s="23" t="s">
        <v>65</v>
      </c>
      <c r="I1117" t="s">
        <v>346</v>
      </c>
      <c r="J1117" t="s">
        <v>22</v>
      </c>
      <c r="K1117" s="22">
        <v>4</v>
      </c>
      <c r="L1117" s="1">
        <v>42913</v>
      </c>
      <c r="M1117" s="22">
        <f>Table3[[#This Row],[Ship Date]]-Table3[[#This Row],[Order Date]]</f>
        <v>7</v>
      </c>
      <c r="N1117" s="23" t="s">
        <v>45</v>
      </c>
      <c r="O1117" s="23" t="s">
        <v>23</v>
      </c>
      <c r="P1117" s="23" t="s">
        <v>285</v>
      </c>
      <c r="Q1117" s="23" t="s">
        <v>26</v>
      </c>
      <c r="R1117" s="23" t="s">
        <v>1294</v>
      </c>
      <c r="S1117" s="33">
        <v>0</v>
      </c>
      <c r="T1117" s="13">
        <v>503.96</v>
      </c>
      <c r="U1117" s="13">
        <v>125.99</v>
      </c>
      <c r="V1117" s="55">
        <f>Table3[[#This Row],[Profit]]/Table3[[#This Row],[Sales]]</f>
        <v>0.25</v>
      </c>
    </row>
    <row r="1118" spans="1:22" x14ac:dyDescent="0.2">
      <c r="A1118">
        <v>1117</v>
      </c>
      <c r="B1118" t="s">
        <v>3767</v>
      </c>
      <c r="C1118" s="1">
        <v>42907</v>
      </c>
      <c r="D1118" s="22">
        <f>MONTH(Table3[[#This Row],[Order Date]])</f>
        <v>6</v>
      </c>
      <c r="E1118" t="s">
        <v>3768</v>
      </c>
      <c r="F1118" t="s">
        <v>3769</v>
      </c>
      <c r="G1118" s="23" t="s">
        <v>28</v>
      </c>
      <c r="H1118" s="23" t="s">
        <v>58</v>
      </c>
      <c r="I1118" t="s">
        <v>1773</v>
      </c>
      <c r="J1118" t="s">
        <v>22</v>
      </c>
      <c r="K1118" s="22">
        <v>5</v>
      </c>
      <c r="L1118" s="1">
        <v>42911</v>
      </c>
      <c r="M1118" s="22">
        <f>Table3[[#This Row],[Ship Date]]-Table3[[#This Row],[Order Date]]</f>
        <v>4</v>
      </c>
      <c r="N1118" s="23" t="s">
        <v>20</v>
      </c>
      <c r="O1118" s="23" t="s">
        <v>23</v>
      </c>
      <c r="P1118" s="23" t="s">
        <v>441</v>
      </c>
      <c r="Q1118" s="23" t="s">
        <v>133</v>
      </c>
      <c r="R1118" s="23" t="s">
        <v>1920</v>
      </c>
      <c r="S1118" s="33">
        <v>0.2</v>
      </c>
      <c r="T1118" s="13">
        <v>17.920000000000002</v>
      </c>
      <c r="U1118" s="13">
        <v>2.464</v>
      </c>
      <c r="V1118" s="55">
        <f>Table3[[#This Row],[Profit]]/Table3[[#This Row],[Sales]]</f>
        <v>0.13749999999999998</v>
      </c>
    </row>
    <row r="1119" spans="1:22" x14ac:dyDescent="0.2">
      <c r="A1119">
        <v>1118</v>
      </c>
      <c r="B1119" t="s">
        <v>3767</v>
      </c>
      <c r="C1119" s="1">
        <v>42907</v>
      </c>
      <c r="D1119" s="22">
        <f>MONTH(Table3[[#This Row],[Order Date]])</f>
        <v>6</v>
      </c>
      <c r="E1119" t="s">
        <v>2441</v>
      </c>
      <c r="F1119" t="s">
        <v>2442</v>
      </c>
      <c r="G1119" s="23" t="s">
        <v>41</v>
      </c>
      <c r="H1119" s="23" t="s">
        <v>68</v>
      </c>
      <c r="I1119" t="s">
        <v>1773</v>
      </c>
      <c r="J1119" t="s">
        <v>22</v>
      </c>
      <c r="K1119" s="22">
        <v>6</v>
      </c>
      <c r="L1119" s="1">
        <v>42911</v>
      </c>
      <c r="M1119" s="22">
        <f>Table3[[#This Row],[Ship Date]]-Table3[[#This Row],[Order Date]]</f>
        <v>4</v>
      </c>
      <c r="N1119" s="23" t="s">
        <v>20</v>
      </c>
      <c r="O1119" s="23" t="s">
        <v>23</v>
      </c>
      <c r="P1119" s="23" t="s">
        <v>441</v>
      </c>
      <c r="Q1119" s="23" t="s">
        <v>133</v>
      </c>
      <c r="R1119" s="23" t="s">
        <v>1920</v>
      </c>
      <c r="S1119" s="33">
        <v>0.7</v>
      </c>
      <c r="T1119" s="13">
        <v>41.256</v>
      </c>
      <c r="U1119" s="13">
        <v>-34.380000000000003</v>
      </c>
      <c r="V1119" s="55">
        <f>Table3[[#This Row],[Profit]]/Table3[[#This Row],[Sales]]</f>
        <v>-0.83333333333333337</v>
      </c>
    </row>
    <row r="1120" spans="1:22" x14ac:dyDescent="0.2">
      <c r="A1120">
        <v>1119</v>
      </c>
      <c r="B1120" t="s">
        <v>8946</v>
      </c>
      <c r="C1120" s="1">
        <v>42907</v>
      </c>
      <c r="D1120" s="22">
        <f>MONTH(Table3[[#This Row],[Order Date]])</f>
        <v>6</v>
      </c>
      <c r="E1120" t="s">
        <v>369</v>
      </c>
      <c r="F1120" t="s">
        <v>370</v>
      </c>
      <c r="G1120" s="23" t="s">
        <v>41</v>
      </c>
      <c r="H1120" s="23" t="s">
        <v>68</v>
      </c>
      <c r="I1120" t="s">
        <v>1905</v>
      </c>
      <c r="J1120" t="s">
        <v>92</v>
      </c>
      <c r="K1120" s="22">
        <v>5</v>
      </c>
      <c r="L1120" s="1">
        <v>42911</v>
      </c>
      <c r="M1120" s="22">
        <f>Table3[[#This Row],[Ship Date]]-Table3[[#This Row],[Order Date]]</f>
        <v>4</v>
      </c>
      <c r="N1120" s="23" t="s">
        <v>45</v>
      </c>
      <c r="O1120" s="23" t="s">
        <v>23</v>
      </c>
      <c r="P1120" s="23" t="s">
        <v>8947</v>
      </c>
      <c r="Q1120" s="23" t="s">
        <v>133</v>
      </c>
      <c r="R1120" s="23" t="s">
        <v>5069</v>
      </c>
      <c r="S1120" s="33">
        <v>0</v>
      </c>
      <c r="T1120" s="13">
        <v>82.4</v>
      </c>
      <c r="U1120" s="13">
        <v>40.375999999999998</v>
      </c>
      <c r="V1120" s="55">
        <f>Table3[[#This Row],[Profit]]/Table3[[#This Row],[Sales]]</f>
        <v>0.48999999999999994</v>
      </c>
    </row>
    <row r="1121" spans="1:22" x14ac:dyDescent="0.2">
      <c r="A1121">
        <v>1120</v>
      </c>
      <c r="B1121" t="s">
        <v>8946</v>
      </c>
      <c r="C1121" s="1">
        <v>42907</v>
      </c>
      <c r="D1121" s="22">
        <f>MONTH(Table3[[#This Row],[Order Date]])</f>
        <v>6</v>
      </c>
      <c r="E1121" t="s">
        <v>2563</v>
      </c>
      <c r="F1121" t="s">
        <v>2564</v>
      </c>
      <c r="G1121" s="23" t="s">
        <v>41</v>
      </c>
      <c r="H1121" s="23" t="s">
        <v>68</v>
      </c>
      <c r="I1121" t="s">
        <v>1905</v>
      </c>
      <c r="J1121" t="s">
        <v>92</v>
      </c>
      <c r="K1121" s="22">
        <v>2</v>
      </c>
      <c r="L1121" s="1">
        <v>42911</v>
      </c>
      <c r="M1121" s="22">
        <f>Table3[[#This Row],[Ship Date]]-Table3[[#This Row],[Order Date]]</f>
        <v>4</v>
      </c>
      <c r="N1121" s="23" t="s">
        <v>45</v>
      </c>
      <c r="O1121" s="23" t="s">
        <v>23</v>
      </c>
      <c r="P1121" s="23" t="s">
        <v>8947</v>
      </c>
      <c r="Q1121" s="23" t="s">
        <v>133</v>
      </c>
      <c r="R1121" s="23" t="s">
        <v>5069</v>
      </c>
      <c r="S1121" s="33">
        <v>0</v>
      </c>
      <c r="T1121" s="13">
        <v>6.24</v>
      </c>
      <c r="U1121" s="13">
        <v>3.0575999999999999</v>
      </c>
      <c r="V1121" s="55">
        <f>Table3[[#This Row],[Profit]]/Table3[[#This Row],[Sales]]</f>
        <v>0.48999999999999994</v>
      </c>
    </row>
    <row r="1122" spans="1:22" x14ac:dyDescent="0.2">
      <c r="A1122">
        <v>1121</v>
      </c>
      <c r="B1122" t="s">
        <v>8946</v>
      </c>
      <c r="C1122" s="1">
        <v>42907</v>
      </c>
      <c r="D1122" s="22">
        <f>MONTH(Table3[[#This Row],[Order Date]])</f>
        <v>6</v>
      </c>
      <c r="E1122" t="s">
        <v>1106</v>
      </c>
      <c r="F1122" t="s">
        <v>1275</v>
      </c>
      <c r="G1122" s="23" t="s">
        <v>41</v>
      </c>
      <c r="H1122" s="23" t="s">
        <v>82</v>
      </c>
      <c r="I1122" t="s">
        <v>1905</v>
      </c>
      <c r="J1122" t="s">
        <v>92</v>
      </c>
      <c r="K1122" s="22">
        <v>8</v>
      </c>
      <c r="L1122" s="1">
        <v>42911</v>
      </c>
      <c r="M1122" s="22">
        <f>Table3[[#This Row],[Ship Date]]-Table3[[#This Row],[Order Date]]</f>
        <v>4</v>
      </c>
      <c r="N1122" s="23" t="s">
        <v>45</v>
      </c>
      <c r="O1122" s="23" t="s">
        <v>23</v>
      </c>
      <c r="P1122" s="23" t="s">
        <v>8947</v>
      </c>
      <c r="Q1122" s="23" t="s">
        <v>133</v>
      </c>
      <c r="R1122" s="23" t="s">
        <v>5069</v>
      </c>
      <c r="S1122" s="33">
        <v>0</v>
      </c>
      <c r="T1122" s="13">
        <v>447.84</v>
      </c>
      <c r="U1122" s="13">
        <v>219.44159999999999</v>
      </c>
      <c r="V1122" s="55">
        <f>Table3[[#This Row],[Profit]]/Table3[[#This Row],[Sales]]</f>
        <v>0.49</v>
      </c>
    </row>
    <row r="1123" spans="1:22" x14ac:dyDescent="0.2">
      <c r="A1123">
        <v>1122</v>
      </c>
      <c r="B1123" t="s">
        <v>4961</v>
      </c>
      <c r="C1123" s="1">
        <v>42908</v>
      </c>
      <c r="D1123" s="22">
        <f>MONTH(Table3[[#This Row],[Order Date]])</f>
        <v>6</v>
      </c>
      <c r="E1123" t="s">
        <v>4962</v>
      </c>
      <c r="F1123" t="s">
        <v>4963</v>
      </c>
      <c r="G1123" s="23" t="s">
        <v>41</v>
      </c>
      <c r="H1123" s="23" t="s">
        <v>155</v>
      </c>
      <c r="I1123" t="s">
        <v>3122</v>
      </c>
      <c r="J1123" t="s">
        <v>22</v>
      </c>
      <c r="K1123" s="22">
        <v>3</v>
      </c>
      <c r="L1123" s="1">
        <v>42909</v>
      </c>
      <c r="M1123" s="22">
        <f>Table3[[#This Row],[Ship Date]]-Table3[[#This Row],[Order Date]]</f>
        <v>1</v>
      </c>
      <c r="N1123" s="23" t="s">
        <v>169</v>
      </c>
      <c r="O1123" s="23" t="s">
        <v>23</v>
      </c>
      <c r="P1123" s="23" t="s">
        <v>48</v>
      </c>
      <c r="Q1123" s="23" t="s">
        <v>26</v>
      </c>
      <c r="R1123" s="23" t="s">
        <v>1253</v>
      </c>
      <c r="S1123" s="33">
        <v>0.2</v>
      </c>
      <c r="T1123" s="13">
        <v>37.607999999999997</v>
      </c>
      <c r="U1123" s="13">
        <v>12.6927</v>
      </c>
      <c r="V1123" s="55">
        <f>Table3[[#This Row],[Profit]]/Table3[[#This Row],[Sales]]</f>
        <v>0.33750000000000002</v>
      </c>
    </row>
    <row r="1124" spans="1:22" x14ac:dyDescent="0.2">
      <c r="A1124">
        <v>1123</v>
      </c>
      <c r="B1124" t="s">
        <v>5281</v>
      </c>
      <c r="C1124" s="1">
        <v>42908</v>
      </c>
      <c r="D1124" s="22">
        <f>MONTH(Table3[[#This Row],[Order Date]])</f>
        <v>6</v>
      </c>
      <c r="E1124" t="s">
        <v>5282</v>
      </c>
      <c r="F1124" t="s">
        <v>5283</v>
      </c>
      <c r="G1124" s="23" t="s">
        <v>41</v>
      </c>
      <c r="H1124" s="23" t="s">
        <v>68</v>
      </c>
      <c r="I1124" t="s">
        <v>3573</v>
      </c>
      <c r="J1124" t="s">
        <v>92</v>
      </c>
      <c r="K1124" s="22">
        <v>3</v>
      </c>
      <c r="L1124" s="1">
        <v>42914</v>
      </c>
      <c r="M1124" s="22">
        <f>Table3[[#This Row],[Ship Date]]-Table3[[#This Row],[Order Date]]</f>
        <v>6</v>
      </c>
      <c r="N1124" s="23" t="s">
        <v>45</v>
      </c>
      <c r="O1124" s="23" t="s">
        <v>23</v>
      </c>
      <c r="P1124" s="23" t="s">
        <v>132</v>
      </c>
      <c r="Q1124" s="23" t="s">
        <v>133</v>
      </c>
      <c r="R1124" s="23" t="s">
        <v>131</v>
      </c>
      <c r="S1124" s="33">
        <v>0.7</v>
      </c>
      <c r="T1124" s="13">
        <v>10.332000000000001</v>
      </c>
      <c r="U1124" s="13">
        <v>-7.5768000000000004</v>
      </c>
      <c r="V1124" s="55">
        <f>Table3[[#This Row],[Profit]]/Table3[[#This Row],[Sales]]</f>
        <v>-0.73333333333333328</v>
      </c>
    </row>
    <row r="1125" spans="1:22" x14ac:dyDescent="0.2">
      <c r="A1125">
        <v>1124</v>
      </c>
      <c r="B1125" t="s">
        <v>5281</v>
      </c>
      <c r="C1125" s="1">
        <v>42908</v>
      </c>
      <c r="D1125" s="22">
        <f>MONTH(Table3[[#This Row],[Order Date]])</f>
        <v>6</v>
      </c>
      <c r="E1125" t="s">
        <v>1224</v>
      </c>
      <c r="F1125" t="s">
        <v>1225</v>
      </c>
      <c r="G1125" s="23" t="s">
        <v>41</v>
      </c>
      <c r="H1125" s="23" t="s">
        <v>68</v>
      </c>
      <c r="I1125" t="s">
        <v>3573</v>
      </c>
      <c r="J1125" t="s">
        <v>92</v>
      </c>
      <c r="K1125" s="22">
        <v>5</v>
      </c>
      <c r="L1125" s="1">
        <v>42914</v>
      </c>
      <c r="M1125" s="22">
        <f>Table3[[#This Row],[Ship Date]]-Table3[[#This Row],[Order Date]]</f>
        <v>6</v>
      </c>
      <c r="N1125" s="23" t="s">
        <v>45</v>
      </c>
      <c r="O1125" s="23" t="s">
        <v>23</v>
      </c>
      <c r="P1125" s="23" t="s">
        <v>132</v>
      </c>
      <c r="Q1125" s="23" t="s">
        <v>133</v>
      </c>
      <c r="R1125" s="23" t="s">
        <v>131</v>
      </c>
      <c r="S1125" s="33">
        <v>0.7</v>
      </c>
      <c r="T1125" s="13">
        <v>31.155000000000001</v>
      </c>
      <c r="U1125" s="13">
        <v>-23.8855</v>
      </c>
      <c r="V1125" s="55">
        <f>Table3[[#This Row],[Profit]]/Table3[[#This Row],[Sales]]</f>
        <v>-0.76666666666666661</v>
      </c>
    </row>
    <row r="1126" spans="1:22" x14ac:dyDescent="0.2">
      <c r="A1126">
        <v>1125</v>
      </c>
      <c r="B1126" t="s">
        <v>5281</v>
      </c>
      <c r="C1126" s="1">
        <v>42908</v>
      </c>
      <c r="D1126" s="22">
        <f>MONTH(Table3[[#This Row],[Order Date]])</f>
        <v>6</v>
      </c>
      <c r="E1126" t="s">
        <v>5284</v>
      </c>
      <c r="F1126" t="s">
        <v>5285</v>
      </c>
      <c r="G1126" s="23" t="s">
        <v>41</v>
      </c>
      <c r="H1126" s="23" t="s">
        <v>53</v>
      </c>
      <c r="I1126" t="s">
        <v>3573</v>
      </c>
      <c r="J1126" t="s">
        <v>92</v>
      </c>
      <c r="K1126" s="22">
        <v>2</v>
      </c>
      <c r="L1126" s="1">
        <v>42914</v>
      </c>
      <c r="M1126" s="22">
        <f>Table3[[#This Row],[Ship Date]]-Table3[[#This Row],[Order Date]]</f>
        <v>6</v>
      </c>
      <c r="N1126" s="23" t="s">
        <v>45</v>
      </c>
      <c r="O1126" s="23" t="s">
        <v>23</v>
      </c>
      <c r="P1126" s="23" t="s">
        <v>132</v>
      </c>
      <c r="Q1126" s="23" t="s">
        <v>133</v>
      </c>
      <c r="R1126" s="23" t="s">
        <v>131</v>
      </c>
      <c r="S1126" s="33">
        <v>0.2</v>
      </c>
      <c r="T1126" s="13">
        <v>8.9280000000000008</v>
      </c>
      <c r="U1126" s="13">
        <v>0.66959999999999997</v>
      </c>
      <c r="V1126" s="55">
        <f>Table3[[#This Row],[Profit]]/Table3[[#This Row],[Sales]]</f>
        <v>7.4999999999999983E-2</v>
      </c>
    </row>
    <row r="1127" spans="1:22" x14ac:dyDescent="0.2">
      <c r="A1127">
        <v>1126</v>
      </c>
      <c r="B1127" t="s">
        <v>8617</v>
      </c>
      <c r="C1127" s="1">
        <v>42908</v>
      </c>
      <c r="D1127" s="22">
        <f>MONTH(Table3[[#This Row],[Order Date]])</f>
        <v>6</v>
      </c>
      <c r="E1127" t="s">
        <v>3027</v>
      </c>
      <c r="F1127" t="s">
        <v>3028</v>
      </c>
      <c r="G1127" s="23" t="s">
        <v>41</v>
      </c>
      <c r="H1127" s="23" t="s">
        <v>68</v>
      </c>
      <c r="I1127" t="s">
        <v>2187</v>
      </c>
      <c r="J1127" t="s">
        <v>22</v>
      </c>
      <c r="K1127" s="22">
        <v>3</v>
      </c>
      <c r="L1127" s="1">
        <v>42915</v>
      </c>
      <c r="M1127" s="22">
        <f>Table3[[#This Row],[Ship Date]]-Table3[[#This Row],[Order Date]]</f>
        <v>7</v>
      </c>
      <c r="N1127" s="23" t="s">
        <v>45</v>
      </c>
      <c r="O1127" s="23" t="s">
        <v>23</v>
      </c>
      <c r="P1127" s="23" t="s">
        <v>189</v>
      </c>
      <c r="Q1127" s="23" t="s">
        <v>95</v>
      </c>
      <c r="R1127" s="23" t="s">
        <v>271</v>
      </c>
      <c r="S1127" s="33">
        <v>0.8</v>
      </c>
      <c r="T1127" s="13">
        <v>3.036</v>
      </c>
      <c r="U1127" s="13">
        <v>-5.0094000000000003</v>
      </c>
      <c r="V1127" s="55">
        <f>Table3[[#This Row],[Profit]]/Table3[[#This Row],[Sales]]</f>
        <v>-1.6500000000000001</v>
      </c>
    </row>
    <row r="1128" spans="1:22" x14ac:dyDescent="0.2">
      <c r="A1128">
        <v>1127</v>
      </c>
      <c r="B1128" t="s">
        <v>9600</v>
      </c>
      <c r="C1128" s="1">
        <v>42908</v>
      </c>
      <c r="D1128" s="22">
        <f>MONTH(Table3[[#This Row],[Order Date]])</f>
        <v>6</v>
      </c>
      <c r="E1128" t="s">
        <v>31</v>
      </c>
      <c r="F1128" t="s">
        <v>33</v>
      </c>
      <c r="G1128" s="23" t="s">
        <v>28</v>
      </c>
      <c r="H1128" s="23" t="s">
        <v>32</v>
      </c>
      <c r="I1128" t="s">
        <v>391</v>
      </c>
      <c r="J1128" t="s">
        <v>92</v>
      </c>
      <c r="K1128" s="22">
        <v>2</v>
      </c>
      <c r="L1128" s="1">
        <v>42912</v>
      </c>
      <c r="M1128" s="22">
        <f>Table3[[#This Row],[Ship Date]]-Table3[[#This Row],[Order Date]]</f>
        <v>4</v>
      </c>
      <c r="N1128" s="23" t="s">
        <v>45</v>
      </c>
      <c r="O1128" s="23" t="s">
        <v>23</v>
      </c>
      <c r="P1128" s="23" t="s">
        <v>212</v>
      </c>
      <c r="Q1128" s="23" t="s">
        <v>95</v>
      </c>
      <c r="R1128" s="23" t="s">
        <v>775</v>
      </c>
      <c r="S1128" s="33">
        <v>0</v>
      </c>
      <c r="T1128" s="13">
        <v>487.96</v>
      </c>
      <c r="U1128" s="13">
        <v>146.38800000000001</v>
      </c>
      <c r="V1128" s="55">
        <f>Table3[[#This Row],[Profit]]/Table3[[#This Row],[Sales]]</f>
        <v>0.30000000000000004</v>
      </c>
    </row>
    <row r="1129" spans="1:22" x14ac:dyDescent="0.2">
      <c r="A1129">
        <v>1128</v>
      </c>
      <c r="B1129" t="s">
        <v>704</v>
      </c>
      <c r="C1129" s="1">
        <v>42910</v>
      </c>
      <c r="D1129" s="22">
        <f>MONTH(Table3[[#This Row],[Order Date]])</f>
        <v>6</v>
      </c>
      <c r="E1129" t="s">
        <v>707</v>
      </c>
      <c r="F1129" t="s">
        <v>708</v>
      </c>
      <c r="G1129" s="23" t="s">
        <v>41</v>
      </c>
      <c r="H1129" s="23" t="s">
        <v>82</v>
      </c>
      <c r="I1129" t="s">
        <v>705</v>
      </c>
      <c r="J1129" t="s">
        <v>22</v>
      </c>
      <c r="K1129" s="22">
        <v>3</v>
      </c>
      <c r="L1129" s="1">
        <v>42915</v>
      </c>
      <c r="M1129" s="22">
        <f>Table3[[#This Row],[Ship Date]]-Table3[[#This Row],[Order Date]]</f>
        <v>5</v>
      </c>
      <c r="N1129" s="23" t="s">
        <v>45</v>
      </c>
      <c r="O1129" s="23" t="s">
        <v>23</v>
      </c>
      <c r="P1129" s="23" t="s">
        <v>441</v>
      </c>
      <c r="Q1129" s="23" t="s">
        <v>133</v>
      </c>
      <c r="R1129" s="23" t="s">
        <v>706</v>
      </c>
      <c r="S1129" s="33">
        <v>0.2</v>
      </c>
      <c r="T1129" s="13">
        <v>21.744</v>
      </c>
      <c r="U1129" s="13">
        <v>6.7949999999999999</v>
      </c>
      <c r="V1129" s="55">
        <f>Table3[[#This Row],[Profit]]/Table3[[#This Row],[Sales]]</f>
        <v>0.3125</v>
      </c>
    </row>
    <row r="1130" spans="1:22" x14ac:dyDescent="0.2">
      <c r="A1130">
        <v>1129</v>
      </c>
      <c r="B1130" t="s">
        <v>1284</v>
      </c>
      <c r="C1130" s="1">
        <v>42910</v>
      </c>
      <c r="D1130" s="22">
        <f>MONTH(Table3[[#This Row],[Order Date]])</f>
        <v>6</v>
      </c>
      <c r="E1130" t="s">
        <v>1287</v>
      </c>
      <c r="F1130" t="s">
        <v>1288</v>
      </c>
      <c r="G1130" s="23" t="s">
        <v>41</v>
      </c>
      <c r="H1130" s="23" t="s">
        <v>61</v>
      </c>
      <c r="I1130" t="s">
        <v>1285</v>
      </c>
      <c r="J1130" t="s">
        <v>22</v>
      </c>
      <c r="K1130" s="22">
        <v>8</v>
      </c>
      <c r="L1130" s="1">
        <v>42914</v>
      </c>
      <c r="M1130" s="22">
        <f>Table3[[#This Row],[Ship Date]]-Table3[[#This Row],[Order Date]]</f>
        <v>4</v>
      </c>
      <c r="N1130" s="23" t="s">
        <v>45</v>
      </c>
      <c r="O1130" s="23" t="s">
        <v>23</v>
      </c>
      <c r="P1130" s="23" t="s">
        <v>38</v>
      </c>
      <c r="Q1130" s="23" t="s">
        <v>39</v>
      </c>
      <c r="R1130" s="23" t="s">
        <v>1286</v>
      </c>
      <c r="S1130" s="33">
        <v>0</v>
      </c>
      <c r="T1130" s="13">
        <v>95.92</v>
      </c>
      <c r="U1130" s="13">
        <v>25.898399999999999</v>
      </c>
      <c r="V1130" s="55">
        <f>Table3[[#This Row],[Profit]]/Table3[[#This Row],[Sales]]</f>
        <v>0.26999999999999996</v>
      </c>
    </row>
    <row r="1131" spans="1:22" x14ac:dyDescent="0.2">
      <c r="A1131">
        <v>1130</v>
      </c>
      <c r="B1131" t="s">
        <v>3562</v>
      </c>
      <c r="C1131" s="1">
        <v>42910</v>
      </c>
      <c r="D1131" s="22">
        <f>MONTH(Table3[[#This Row],[Order Date]])</f>
        <v>6</v>
      </c>
      <c r="E1131" t="s">
        <v>993</v>
      </c>
      <c r="F1131" t="s">
        <v>994</v>
      </c>
      <c r="G1131" s="23" t="s">
        <v>41</v>
      </c>
      <c r="H1131" s="23" t="s">
        <v>61</v>
      </c>
      <c r="I1131" t="s">
        <v>3462</v>
      </c>
      <c r="J1131" t="s">
        <v>36</v>
      </c>
      <c r="K1131" s="22">
        <v>8</v>
      </c>
      <c r="L1131" s="1">
        <v>42917</v>
      </c>
      <c r="M1131" s="22">
        <f>Table3[[#This Row],[Ship Date]]-Table3[[#This Row],[Order Date]]</f>
        <v>7</v>
      </c>
      <c r="N1131" s="23" t="s">
        <v>45</v>
      </c>
      <c r="O1131" s="23" t="s">
        <v>23</v>
      </c>
      <c r="P1131" s="23" t="s">
        <v>38</v>
      </c>
      <c r="Q1131" s="23" t="s">
        <v>39</v>
      </c>
      <c r="R1131" s="23" t="s">
        <v>3563</v>
      </c>
      <c r="S1131" s="33">
        <v>0</v>
      </c>
      <c r="T1131" s="13">
        <v>385.6</v>
      </c>
      <c r="U1131" s="13">
        <v>111.824</v>
      </c>
      <c r="V1131" s="55">
        <f>Table3[[#This Row],[Profit]]/Table3[[#This Row],[Sales]]</f>
        <v>0.28999999999999998</v>
      </c>
    </row>
    <row r="1132" spans="1:22" x14ac:dyDescent="0.2">
      <c r="A1132">
        <v>1131</v>
      </c>
      <c r="B1132" t="s">
        <v>3562</v>
      </c>
      <c r="C1132" s="1">
        <v>42910</v>
      </c>
      <c r="D1132" s="22">
        <f>MONTH(Table3[[#This Row],[Order Date]])</f>
        <v>6</v>
      </c>
      <c r="E1132" t="s">
        <v>680</v>
      </c>
      <c r="F1132" t="s">
        <v>681</v>
      </c>
      <c r="G1132" s="23" t="s">
        <v>41</v>
      </c>
      <c r="H1132" s="23" t="s">
        <v>61</v>
      </c>
      <c r="I1132" t="s">
        <v>3462</v>
      </c>
      <c r="J1132" t="s">
        <v>36</v>
      </c>
      <c r="K1132" s="22">
        <v>9</v>
      </c>
      <c r="L1132" s="1">
        <v>42917</v>
      </c>
      <c r="M1132" s="22">
        <f>Table3[[#This Row],[Ship Date]]-Table3[[#This Row],[Order Date]]</f>
        <v>7</v>
      </c>
      <c r="N1132" s="23" t="s">
        <v>45</v>
      </c>
      <c r="O1132" s="23" t="s">
        <v>23</v>
      </c>
      <c r="P1132" s="23" t="s">
        <v>38</v>
      </c>
      <c r="Q1132" s="23" t="s">
        <v>39</v>
      </c>
      <c r="R1132" s="23" t="s">
        <v>3563</v>
      </c>
      <c r="S1132" s="33">
        <v>0</v>
      </c>
      <c r="T1132" s="13">
        <v>35.82</v>
      </c>
      <c r="U1132" s="13">
        <v>11.820600000000001</v>
      </c>
      <c r="V1132" s="55">
        <f>Table3[[#This Row],[Profit]]/Table3[[#This Row],[Sales]]</f>
        <v>0.33</v>
      </c>
    </row>
    <row r="1133" spans="1:22" x14ac:dyDescent="0.2">
      <c r="A1133">
        <v>1132</v>
      </c>
      <c r="B1133" t="s">
        <v>6448</v>
      </c>
      <c r="C1133" s="1">
        <v>42910</v>
      </c>
      <c r="D1133" s="22">
        <f>MONTH(Table3[[#This Row],[Order Date]])</f>
        <v>6</v>
      </c>
      <c r="E1133" t="s">
        <v>2535</v>
      </c>
      <c r="F1133" t="s">
        <v>2536</v>
      </c>
      <c r="G1133" s="23" t="s">
        <v>28</v>
      </c>
      <c r="H1133" s="23" t="s">
        <v>58</v>
      </c>
      <c r="I1133" t="s">
        <v>5272</v>
      </c>
      <c r="J1133" t="s">
        <v>22</v>
      </c>
      <c r="K1133" s="22">
        <v>3</v>
      </c>
      <c r="L1133" s="1">
        <v>42912</v>
      </c>
      <c r="M1133" s="22">
        <f>Table3[[#This Row],[Ship Date]]-Table3[[#This Row],[Order Date]]</f>
        <v>2</v>
      </c>
      <c r="N1133" s="23" t="s">
        <v>20</v>
      </c>
      <c r="O1133" s="23" t="s">
        <v>23</v>
      </c>
      <c r="P1133" s="23" t="s">
        <v>238</v>
      </c>
      <c r="Q1133" s="23" t="s">
        <v>133</v>
      </c>
      <c r="R1133" s="23" t="s">
        <v>237</v>
      </c>
      <c r="S1133" s="33">
        <v>0</v>
      </c>
      <c r="T1133" s="13">
        <v>276.69</v>
      </c>
      <c r="U1133" s="13">
        <v>49.804200000000002</v>
      </c>
      <c r="V1133" s="55">
        <f>Table3[[#This Row],[Profit]]/Table3[[#This Row],[Sales]]</f>
        <v>0.18</v>
      </c>
    </row>
    <row r="1134" spans="1:22" x14ac:dyDescent="0.2">
      <c r="A1134">
        <v>1133</v>
      </c>
      <c r="B1134" t="s">
        <v>6448</v>
      </c>
      <c r="C1134" s="1">
        <v>42910</v>
      </c>
      <c r="D1134" s="22">
        <f>MONTH(Table3[[#This Row],[Order Date]])</f>
        <v>6</v>
      </c>
      <c r="E1134" t="s">
        <v>957</v>
      </c>
      <c r="F1134" t="s">
        <v>958</v>
      </c>
      <c r="G1134" s="23" t="s">
        <v>28</v>
      </c>
      <c r="H1134" s="23" t="s">
        <v>32</v>
      </c>
      <c r="I1134" t="s">
        <v>5272</v>
      </c>
      <c r="J1134" t="s">
        <v>22</v>
      </c>
      <c r="K1134" s="22">
        <v>2</v>
      </c>
      <c r="L1134" s="1">
        <v>42912</v>
      </c>
      <c r="M1134" s="22">
        <f>Table3[[#This Row],[Ship Date]]-Table3[[#This Row],[Order Date]]</f>
        <v>2</v>
      </c>
      <c r="N1134" s="23" t="s">
        <v>20</v>
      </c>
      <c r="O1134" s="23" t="s">
        <v>23</v>
      </c>
      <c r="P1134" s="23" t="s">
        <v>238</v>
      </c>
      <c r="Q1134" s="23" t="s">
        <v>133</v>
      </c>
      <c r="R1134" s="23" t="s">
        <v>237</v>
      </c>
      <c r="S1134" s="33">
        <v>0.1</v>
      </c>
      <c r="T1134" s="13">
        <v>172.76400000000001</v>
      </c>
      <c r="U1134" s="13">
        <v>32.633200000000002</v>
      </c>
      <c r="V1134" s="55">
        <f>Table3[[#This Row],[Profit]]/Table3[[#This Row],[Sales]]</f>
        <v>0.18888888888888888</v>
      </c>
    </row>
    <row r="1135" spans="1:22" x14ac:dyDescent="0.2">
      <c r="A1135">
        <v>1134</v>
      </c>
      <c r="B1135" t="s">
        <v>6471</v>
      </c>
      <c r="C1135" s="1">
        <v>42910</v>
      </c>
      <c r="D1135" s="22">
        <f>MONTH(Table3[[#This Row],[Order Date]])</f>
        <v>6</v>
      </c>
      <c r="E1135" t="s">
        <v>1947</v>
      </c>
      <c r="F1135" t="s">
        <v>1948</v>
      </c>
      <c r="G1135" s="23" t="s">
        <v>41</v>
      </c>
      <c r="H1135" s="23" t="s">
        <v>68</v>
      </c>
      <c r="I1135" t="s">
        <v>5102</v>
      </c>
      <c r="J1135" t="s">
        <v>36</v>
      </c>
      <c r="K1135" s="22">
        <v>3</v>
      </c>
      <c r="L1135" s="1">
        <v>42916</v>
      </c>
      <c r="M1135" s="22">
        <f>Table3[[#This Row],[Ship Date]]-Table3[[#This Row],[Order Date]]</f>
        <v>6</v>
      </c>
      <c r="N1135" s="23" t="s">
        <v>45</v>
      </c>
      <c r="O1135" s="23" t="s">
        <v>23</v>
      </c>
      <c r="P1135" s="23" t="s">
        <v>189</v>
      </c>
      <c r="Q1135" s="23" t="s">
        <v>95</v>
      </c>
      <c r="R1135" s="23" t="s">
        <v>319</v>
      </c>
      <c r="S1135" s="33">
        <v>0.8</v>
      </c>
      <c r="T1135" s="13">
        <v>182.994</v>
      </c>
      <c r="U1135" s="13">
        <v>-320.23950000000002</v>
      </c>
      <c r="V1135" s="55">
        <f>Table3[[#This Row],[Profit]]/Table3[[#This Row],[Sales]]</f>
        <v>-1.7500000000000002</v>
      </c>
    </row>
    <row r="1136" spans="1:22" x14ac:dyDescent="0.2">
      <c r="A1136">
        <v>1135</v>
      </c>
      <c r="B1136" t="s">
        <v>6471</v>
      </c>
      <c r="C1136" s="1">
        <v>42910</v>
      </c>
      <c r="D1136" s="22">
        <f>MONTH(Table3[[#This Row],[Order Date]])</f>
        <v>6</v>
      </c>
      <c r="E1136" t="s">
        <v>5433</v>
      </c>
      <c r="F1136" t="s">
        <v>5434</v>
      </c>
      <c r="G1136" s="23" t="s">
        <v>41</v>
      </c>
      <c r="H1136" s="23" t="s">
        <v>82</v>
      </c>
      <c r="I1136" t="s">
        <v>5102</v>
      </c>
      <c r="J1136" t="s">
        <v>36</v>
      </c>
      <c r="K1136" s="22">
        <v>3</v>
      </c>
      <c r="L1136" s="1">
        <v>42916</v>
      </c>
      <c r="M1136" s="22">
        <f>Table3[[#This Row],[Ship Date]]-Table3[[#This Row],[Order Date]]</f>
        <v>6</v>
      </c>
      <c r="N1136" s="23" t="s">
        <v>45</v>
      </c>
      <c r="O1136" s="23" t="s">
        <v>23</v>
      </c>
      <c r="P1136" s="23" t="s">
        <v>189</v>
      </c>
      <c r="Q1136" s="23" t="s">
        <v>95</v>
      </c>
      <c r="R1136" s="23" t="s">
        <v>319</v>
      </c>
      <c r="S1136" s="33">
        <v>0.2</v>
      </c>
      <c r="T1136" s="13">
        <v>10.272</v>
      </c>
      <c r="U1136" s="13">
        <v>3.21</v>
      </c>
      <c r="V1136" s="55">
        <f>Table3[[#This Row],[Profit]]/Table3[[#This Row],[Sales]]</f>
        <v>0.3125</v>
      </c>
    </row>
    <row r="1137" spans="1:22" x14ac:dyDescent="0.2">
      <c r="A1137">
        <v>1136</v>
      </c>
      <c r="B1137" t="s">
        <v>6935</v>
      </c>
      <c r="C1137" s="1">
        <v>42910</v>
      </c>
      <c r="D1137" s="22">
        <f>MONTH(Table3[[#This Row],[Order Date]])</f>
        <v>6</v>
      </c>
      <c r="E1137" t="s">
        <v>6204</v>
      </c>
      <c r="F1137" t="s">
        <v>6205</v>
      </c>
      <c r="G1137" s="23" t="s">
        <v>41</v>
      </c>
      <c r="H1137" s="23" t="s">
        <v>240</v>
      </c>
      <c r="I1137" t="s">
        <v>3047</v>
      </c>
      <c r="J1137" t="s">
        <v>22</v>
      </c>
      <c r="K1137" s="22">
        <v>1</v>
      </c>
      <c r="L1137" s="1">
        <v>42912</v>
      </c>
      <c r="M1137" s="22">
        <f>Table3[[#This Row],[Ship Date]]-Table3[[#This Row],[Order Date]]</f>
        <v>2</v>
      </c>
      <c r="N1137" s="23" t="s">
        <v>20</v>
      </c>
      <c r="O1137" s="23" t="s">
        <v>23</v>
      </c>
      <c r="P1137" s="23" t="s">
        <v>38</v>
      </c>
      <c r="Q1137" s="23" t="s">
        <v>39</v>
      </c>
      <c r="R1137" s="23" t="s">
        <v>114</v>
      </c>
      <c r="S1137" s="33">
        <v>0</v>
      </c>
      <c r="T1137" s="13">
        <v>2.88</v>
      </c>
      <c r="U1137" s="13">
        <v>1.3535999999999999</v>
      </c>
      <c r="V1137" s="55">
        <f>Table3[[#This Row],[Profit]]/Table3[[#This Row],[Sales]]</f>
        <v>0.47</v>
      </c>
    </row>
    <row r="1138" spans="1:22" x14ac:dyDescent="0.2">
      <c r="A1138">
        <v>1137</v>
      </c>
      <c r="B1138" t="s">
        <v>10116</v>
      </c>
      <c r="C1138" s="1">
        <v>42910</v>
      </c>
      <c r="D1138" s="22">
        <f>MONTH(Table3[[#This Row],[Order Date]])</f>
        <v>6</v>
      </c>
      <c r="E1138" t="s">
        <v>546</v>
      </c>
      <c r="F1138" t="s">
        <v>547</v>
      </c>
      <c r="G1138" s="23" t="s">
        <v>41</v>
      </c>
      <c r="H1138" s="23" t="s">
        <v>68</v>
      </c>
      <c r="I1138" t="s">
        <v>4957</v>
      </c>
      <c r="J1138" t="s">
        <v>22</v>
      </c>
      <c r="K1138" s="22">
        <v>3</v>
      </c>
      <c r="L1138" s="1">
        <v>42914</v>
      </c>
      <c r="M1138" s="22">
        <f>Table3[[#This Row],[Ship Date]]-Table3[[#This Row],[Order Date]]</f>
        <v>4</v>
      </c>
      <c r="N1138" s="23" t="s">
        <v>45</v>
      </c>
      <c r="O1138" s="23" t="s">
        <v>23</v>
      </c>
      <c r="P1138" s="23" t="s">
        <v>1235</v>
      </c>
      <c r="Q1138" s="23" t="s">
        <v>133</v>
      </c>
      <c r="R1138" s="23" t="s">
        <v>6573</v>
      </c>
      <c r="S1138" s="33">
        <v>0</v>
      </c>
      <c r="T1138" s="13">
        <v>102.93</v>
      </c>
      <c r="U1138" s="13">
        <v>48.377099999999999</v>
      </c>
      <c r="V1138" s="55">
        <f>Table3[[#This Row],[Profit]]/Table3[[#This Row],[Sales]]</f>
        <v>0.47</v>
      </c>
    </row>
    <row r="1139" spans="1:22" x14ac:dyDescent="0.2">
      <c r="A1139">
        <v>1138</v>
      </c>
      <c r="B1139" t="s">
        <v>4310</v>
      </c>
      <c r="C1139" s="1">
        <v>42911</v>
      </c>
      <c r="D1139" s="22">
        <f>MONTH(Table3[[#This Row],[Order Date]])</f>
        <v>6</v>
      </c>
      <c r="E1139" t="s">
        <v>1476</v>
      </c>
      <c r="F1139" t="s">
        <v>1477</v>
      </c>
      <c r="G1139" s="23" t="s">
        <v>41</v>
      </c>
      <c r="H1139" s="23" t="s">
        <v>42</v>
      </c>
      <c r="I1139" t="s">
        <v>3956</v>
      </c>
      <c r="J1139" t="s">
        <v>92</v>
      </c>
      <c r="K1139" s="22">
        <v>6</v>
      </c>
      <c r="L1139" s="1">
        <v>42918</v>
      </c>
      <c r="M1139" s="22">
        <f>Table3[[#This Row],[Ship Date]]-Table3[[#This Row],[Order Date]]</f>
        <v>7</v>
      </c>
      <c r="N1139" s="23" t="s">
        <v>45</v>
      </c>
      <c r="O1139" s="23" t="s">
        <v>23</v>
      </c>
      <c r="P1139" s="23" t="s">
        <v>374</v>
      </c>
      <c r="Q1139" s="23" t="s">
        <v>39</v>
      </c>
      <c r="R1139" s="23" t="s">
        <v>284</v>
      </c>
      <c r="S1139" s="33">
        <v>0.2</v>
      </c>
      <c r="T1139" s="13">
        <v>71.040000000000006</v>
      </c>
      <c r="U1139" s="13">
        <v>26.64</v>
      </c>
      <c r="V1139" s="55">
        <f>Table3[[#This Row],[Profit]]/Table3[[#This Row],[Sales]]</f>
        <v>0.375</v>
      </c>
    </row>
    <row r="1140" spans="1:22" x14ac:dyDescent="0.2">
      <c r="A1140">
        <v>1139</v>
      </c>
      <c r="B1140" t="s">
        <v>4310</v>
      </c>
      <c r="C1140" s="1">
        <v>42911</v>
      </c>
      <c r="D1140" s="22">
        <f>MONTH(Table3[[#This Row],[Order Date]])</f>
        <v>6</v>
      </c>
      <c r="E1140" t="s">
        <v>4311</v>
      </c>
      <c r="F1140" t="s">
        <v>4312</v>
      </c>
      <c r="G1140" s="23" t="s">
        <v>41</v>
      </c>
      <c r="H1140" s="23" t="s">
        <v>61</v>
      </c>
      <c r="I1140" t="s">
        <v>3956</v>
      </c>
      <c r="J1140" t="s">
        <v>92</v>
      </c>
      <c r="K1140" s="22">
        <v>2</v>
      </c>
      <c r="L1140" s="1">
        <v>42918</v>
      </c>
      <c r="M1140" s="22">
        <f>Table3[[#This Row],[Ship Date]]-Table3[[#This Row],[Order Date]]</f>
        <v>7</v>
      </c>
      <c r="N1140" s="23" t="s">
        <v>45</v>
      </c>
      <c r="O1140" s="23" t="s">
        <v>23</v>
      </c>
      <c r="P1140" s="23" t="s">
        <v>374</v>
      </c>
      <c r="Q1140" s="23" t="s">
        <v>39</v>
      </c>
      <c r="R1140" s="23" t="s">
        <v>284</v>
      </c>
      <c r="S1140" s="33">
        <v>0.2</v>
      </c>
      <c r="T1140" s="13">
        <v>5.3440000000000003</v>
      </c>
      <c r="U1140" s="13">
        <v>0.73480000000000001</v>
      </c>
      <c r="V1140" s="55">
        <f>Table3[[#This Row],[Profit]]/Table3[[#This Row],[Sales]]</f>
        <v>0.13749999999999998</v>
      </c>
    </row>
    <row r="1141" spans="1:22" x14ac:dyDescent="0.2">
      <c r="A1141">
        <v>1140</v>
      </c>
      <c r="B1141" t="s">
        <v>4310</v>
      </c>
      <c r="C1141" s="1">
        <v>42911</v>
      </c>
      <c r="D1141" s="22">
        <f>MONTH(Table3[[#This Row],[Order Date]])</f>
        <v>6</v>
      </c>
      <c r="E1141" t="s">
        <v>4313</v>
      </c>
      <c r="F1141" t="s">
        <v>4314</v>
      </c>
      <c r="G1141" s="23" t="s">
        <v>41</v>
      </c>
      <c r="H1141" s="23" t="s">
        <v>240</v>
      </c>
      <c r="I1141" t="s">
        <v>3956</v>
      </c>
      <c r="J1141" t="s">
        <v>92</v>
      </c>
      <c r="K1141" s="22">
        <v>3</v>
      </c>
      <c r="L1141" s="1">
        <v>42918</v>
      </c>
      <c r="M1141" s="22">
        <f>Table3[[#This Row],[Ship Date]]-Table3[[#This Row],[Order Date]]</f>
        <v>7</v>
      </c>
      <c r="N1141" s="23" t="s">
        <v>45</v>
      </c>
      <c r="O1141" s="23" t="s">
        <v>23</v>
      </c>
      <c r="P1141" s="23" t="s">
        <v>374</v>
      </c>
      <c r="Q1141" s="23" t="s">
        <v>39</v>
      </c>
      <c r="R1141" s="23" t="s">
        <v>284</v>
      </c>
      <c r="S1141" s="33">
        <v>0.2</v>
      </c>
      <c r="T1141" s="13">
        <v>11.304</v>
      </c>
      <c r="U1141" s="13">
        <v>-2.1194999999999999</v>
      </c>
      <c r="V1141" s="55">
        <f>Table3[[#This Row],[Profit]]/Table3[[#This Row],[Sales]]</f>
        <v>-0.1875</v>
      </c>
    </row>
    <row r="1142" spans="1:22" x14ac:dyDescent="0.2">
      <c r="A1142">
        <v>1141</v>
      </c>
      <c r="B1142" t="s">
        <v>6632</v>
      </c>
      <c r="C1142" s="1">
        <v>42911</v>
      </c>
      <c r="D1142" s="22">
        <f>MONTH(Table3[[#This Row],[Order Date]])</f>
        <v>6</v>
      </c>
      <c r="E1142" t="s">
        <v>1926</v>
      </c>
      <c r="F1142" t="s">
        <v>1927</v>
      </c>
      <c r="G1142" s="23" t="s">
        <v>28</v>
      </c>
      <c r="H1142" s="23" t="s">
        <v>50</v>
      </c>
      <c r="I1142" t="s">
        <v>4337</v>
      </c>
      <c r="J1142" t="s">
        <v>22</v>
      </c>
      <c r="K1142" s="22">
        <v>4</v>
      </c>
      <c r="L1142" s="1">
        <v>42915</v>
      </c>
      <c r="M1142" s="22">
        <f>Table3[[#This Row],[Ship Date]]-Table3[[#This Row],[Order Date]]</f>
        <v>4</v>
      </c>
      <c r="N1142" s="23" t="s">
        <v>20</v>
      </c>
      <c r="O1142" s="23" t="s">
        <v>23</v>
      </c>
      <c r="P1142" s="23" t="s">
        <v>87</v>
      </c>
      <c r="Q1142" s="23" t="s">
        <v>39</v>
      </c>
      <c r="R1142" s="23" t="s">
        <v>86</v>
      </c>
      <c r="S1142" s="33">
        <v>0</v>
      </c>
      <c r="T1142" s="13">
        <v>871.4</v>
      </c>
      <c r="U1142" s="13">
        <v>148.13800000000001</v>
      </c>
      <c r="V1142" s="55">
        <f>Table3[[#This Row],[Profit]]/Table3[[#This Row],[Sales]]</f>
        <v>0.17</v>
      </c>
    </row>
    <row r="1143" spans="1:22" x14ac:dyDescent="0.2">
      <c r="A1143">
        <v>1142</v>
      </c>
      <c r="B1143" t="s">
        <v>8709</v>
      </c>
      <c r="C1143" s="1">
        <v>42911</v>
      </c>
      <c r="D1143" s="22">
        <f>MONTH(Table3[[#This Row],[Order Date]])</f>
        <v>6</v>
      </c>
      <c r="E1143" t="s">
        <v>3147</v>
      </c>
      <c r="F1143" t="s">
        <v>3148</v>
      </c>
      <c r="G1143" s="23" t="s">
        <v>64</v>
      </c>
      <c r="H1143" s="23" t="s">
        <v>65</v>
      </c>
      <c r="I1143" t="s">
        <v>1834</v>
      </c>
      <c r="J1143" t="s">
        <v>22</v>
      </c>
      <c r="K1143" s="22">
        <v>2</v>
      </c>
      <c r="L1143" s="1">
        <v>42917</v>
      </c>
      <c r="M1143" s="22">
        <f>Table3[[#This Row],[Ship Date]]-Table3[[#This Row],[Order Date]]</f>
        <v>6</v>
      </c>
      <c r="N1143" s="23" t="s">
        <v>45</v>
      </c>
      <c r="O1143" s="23" t="s">
        <v>23</v>
      </c>
      <c r="P1143" s="23" t="s">
        <v>189</v>
      </c>
      <c r="Q1143" s="23" t="s">
        <v>95</v>
      </c>
      <c r="R1143" s="23" t="s">
        <v>5628</v>
      </c>
      <c r="S1143" s="33">
        <v>0.2</v>
      </c>
      <c r="T1143" s="13">
        <v>148.47999999999999</v>
      </c>
      <c r="U1143" s="13">
        <v>16.704000000000001</v>
      </c>
      <c r="V1143" s="55">
        <f>Table3[[#This Row],[Profit]]/Table3[[#This Row],[Sales]]</f>
        <v>0.11250000000000002</v>
      </c>
    </row>
    <row r="1144" spans="1:22" x14ac:dyDescent="0.2">
      <c r="A1144">
        <v>1143</v>
      </c>
      <c r="B1144" t="s">
        <v>9925</v>
      </c>
      <c r="C1144" s="1">
        <v>42911</v>
      </c>
      <c r="D1144" s="22">
        <f>MONTH(Table3[[#This Row],[Order Date]])</f>
        <v>6</v>
      </c>
      <c r="E1144" t="s">
        <v>4452</v>
      </c>
      <c r="F1144" t="s">
        <v>4453</v>
      </c>
      <c r="G1144" s="23" t="s">
        <v>28</v>
      </c>
      <c r="H1144" s="23" t="s">
        <v>29</v>
      </c>
      <c r="I1144" t="s">
        <v>7593</v>
      </c>
      <c r="J1144" t="s">
        <v>22</v>
      </c>
      <c r="K1144" s="22">
        <v>1</v>
      </c>
      <c r="L1144" s="1">
        <v>42913</v>
      </c>
      <c r="M1144" s="22">
        <f>Table3[[#This Row],[Ship Date]]-Table3[[#This Row],[Order Date]]</f>
        <v>2</v>
      </c>
      <c r="N1144" s="23" t="s">
        <v>20</v>
      </c>
      <c r="O1144" s="23" t="s">
        <v>23</v>
      </c>
      <c r="P1144" s="23" t="s">
        <v>238</v>
      </c>
      <c r="Q1144" s="23" t="s">
        <v>133</v>
      </c>
      <c r="R1144" s="23" t="s">
        <v>237</v>
      </c>
      <c r="S1144" s="33">
        <v>0.2</v>
      </c>
      <c r="T1144" s="13">
        <v>400.78399999999999</v>
      </c>
      <c r="U1144" s="13">
        <v>-5.0098000000000003</v>
      </c>
      <c r="V1144" s="55">
        <f>Table3[[#This Row],[Profit]]/Table3[[#This Row],[Sales]]</f>
        <v>-1.2500000000000001E-2</v>
      </c>
    </row>
    <row r="1145" spans="1:22" x14ac:dyDescent="0.2">
      <c r="A1145">
        <v>1144</v>
      </c>
      <c r="B1145" t="s">
        <v>2403</v>
      </c>
      <c r="C1145" s="1">
        <v>42912</v>
      </c>
      <c r="D1145" s="22">
        <f>MONTH(Table3[[#This Row],[Order Date]])</f>
        <v>6</v>
      </c>
      <c r="E1145" t="s">
        <v>2404</v>
      </c>
      <c r="F1145" t="s">
        <v>2405</v>
      </c>
      <c r="G1145" s="23" t="s">
        <v>41</v>
      </c>
      <c r="H1145" s="23" t="s">
        <v>53</v>
      </c>
      <c r="I1145" t="s">
        <v>1674</v>
      </c>
      <c r="J1145" t="s">
        <v>22</v>
      </c>
      <c r="K1145" s="22">
        <v>12</v>
      </c>
      <c r="L1145" s="1">
        <v>42918</v>
      </c>
      <c r="M1145" s="22">
        <f>Table3[[#This Row],[Ship Date]]-Table3[[#This Row],[Order Date]]</f>
        <v>6</v>
      </c>
      <c r="N1145" s="23" t="s">
        <v>45</v>
      </c>
      <c r="O1145" s="23" t="s">
        <v>23</v>
      </c>
      <c r="P1145" s="23" t="s">
        <v>38</v>
      </c>
      <c r="Q1145" s="23" t="s">
        <v>39</v>
      </c>
      <c r="R1145" s="23" t="s">
        <v>836</v>
      </c>
      <c r="S1145" s="33">
        <v>0</v>
      </c>
      <c r="T1145" s="13">
        <v>83.76</v>
      </c>
      <c r="U1145" s="13">
        <v>1.6752</v>
      </c>
      <c r="V1145" s="55">
        <f>Table3[[#This Row],[Profit]]/Table3[[#This Row],[Sales]]</f>
        <v>0.02</v>
      </c>
    </row>
    <row r="1146" spans="1:22" x14ac:dyDescent="0.2">
      <c r="A1146">
        <v>1145</v>
      </c>
      <c r="B1146" t="s">
        <v>2413</v>
      </c>
      <c r="C1146" s="1">
        <v>42912</v>
      </c>
      <c r="D1146" s="22">
        <f>MONTH(Table3[[#This Row],[Order Date]])</f>
        <v>6</v>
      </c>
      <c r="E1146" t="s">
        <v>2414</v>
      </c>
      <c r="F1146" t="s">
        <v>2415</v>
      </c>
      <c r="G1146" s="23" t="s">
        <v>41</v>
      </c>
      <c r="H1146" s="23" t="s">
        <v>82</v>
      </c>
      <c r="I1146" t="s">
        <v>2012</v>
      </c>
      <c r="J1146" t="s">
        <v>92</v>
      </c>
      <c r="K1146" s="22">
        <v>1</v>
      </c>
      <c r="L1146" s="1">
        <v>42913</v>
      </c>
      <c r="M1146" s="22">
        <f>Table3[[#This Row],[Ship Date]]-Table3[[#This Row],[Order Date]]</f>
        <v>1</v>
      </c>
      <c r="N1146" s="23" t="s">
        <v>169</v>
      </c>
      <c r="O1146" s="23" t="s">
        <v>23</v>
      </c>
      <c r="P1146" s="23" t="s">
        <v>212</v>
      </c>
      <c r="Q1146" s="23" t="s">
        <v>95</v>
      </c>
      <c r="R1146" s="23" t="s">
        <v>775</v>
      </c>
      <c r="S1146" s="33">
        <v>0</v>
      </c>
      <c r="T1146" s="13">
        <v>4.54</v>
      </c>
      <c r="U1146" s="13">
        <v>2.0430000000000001</v>
      </c>
      <c r="V1146" s="55">
        <f>Table3[[#This Row],[Profit]]/Table3[[#This Row],[Sales]]</f>
        <v>0.45</v>
      </c>
    </row>
    <row r="1147" spans="1:22" x14ac:dyDescent="0.2">
      <c r="A1147">
        <v>1146</v>
      </c>
      <c r="B1147" t="s">
        <v>2413</v>
      </c>
      <c r="C1147" s="1">
        <v>42912</v>
      </c>
      <c r="D1147" s="22">
        <f>MONTH(Table3[[#This Row],[Order Date]])</f>
        <v>6</v>
      </c>
      <c r="E1147" t="s">
        <v>2416</v>
      </c>
      <c r="F1147" t="s">
        <v>2417</v>
      </c>
      <c r="G1147" s="23" t="s">
        <v>41</v>
      </c>
      <c r="H1147" s="23" t="s">
        <v>61</v>
      </c>
      <c r="I1147" t="s">
        <v>2012</v>
      </c>
      <c r="J1147" t="s">
        <v>92</v>
      </c>
      <c r="K1147" s="22">
        <v>4</v>
      </c>
      <c r="L1147" s="1">
        <v>42913</v>
      </c>
      <c r="M1147" s="22">
        <f>Table3[[#This Row],[Ship Date]]-Table3[[#This Row],[Order Date]]</f>
        <v>1</v>
      </c>
      <c r="N1147" s="23" t="s">
        <v>169</v>
      </c>
      <c r="O1147" s="23" t="s">
        <v>23</v>
      </c>
      <c r="P1147" s="23" t="s">
        <v>212</v>
      </c>
      <c r="Q1147" s="23" t="s">
        <v>95</v>
      </c>
      <c r="R1147" s="23" t="s">
        <v>775</v>
      </c>
      <c r="S1147" s="33">
        <v>0</v>
      </c>
      <c r="T1147" s="13">
        <v>15.92</v>
      </c>
      <c r="U1147" s="13">
        <v>5.4127999999999998</v>
      </c>
      <c r="V1147" s="55">
        <f>Table3[[#This Row],[Profit]]/Table3[[#This Row],[Sales]]</f>
        <v>0.33999999999999997</v>
      </c>
    </row>
    <row r="1148" spans="1:22" x14ac:dyDescent="0.2">
      <c r="A1148">
        <v>1147</v>
      </c>
      <c r="B1148" t="s">
        <v>2413</v>
      </c>
      <c r="C1148" s="1">
        <v>42912</v>
      </c>
      <c r="D1148" s="22">
        <f>MONTH(Table3[[#This Row],[Order Date]])</f>
        <v>6</v>
      </c>
      <c r="E1148" t="s">
        <v>2418</v>
      </c>
      <c r="F1148" t="s">
        <v>2419</v>
      </c>
      <c r="G1148" s="23" t="s">
        <v>64</v>
      </c>
      <c r="H1148" s="23" t="s">
        <v>65</v>
      </c>
      <c r="I1148" t="s">
        <v>2012</v>
      </c>
      <c r="J1148" t="s">
        <v>92</v>
      </c>
      <c r="K1148" s="22">
        <v>8</v>
      </c>
      <c r="L1148" s="1">
        <v>42913</v>
      </c>
      <c r="M1148" s="22">
        <f>Table3[[#This Row],[Ship Date]]-Table3[[#This Row],[Order Date]]</f>
        <v>1</v>
      </c>
      <c r="N1148" s="23" t="s">
        <v>169</v>
      </c>
      <c r="O1148" s="23" t="s">
        <v>23</v>
      </c>
      <c r="P1148" s="23" t="s">
        <v>212</v>
      </c>
      <c r="Q1148" s="23" t="s">
        <v>95</v>
      </c>
      <c r="R1148" s="23" t="s">
        <v>775</v>
      </c>
      <c r="S1148" s="33">
        <v>0</v>
      </c>
      <c r="T1148" s="13">
        <v>543.91999999999996</v>
      </c>
      <c r="U1148" s="13">
        <v>135.97999999999999</v>
      </c>
      <c r="V1148" s="55">
        <f>Table3[[#This Row],[Profit]]/Table3[[#This Row],[Sales]]</f>
        <v>0.25</v>
      </c>
    </row>
    <row r="1149" spans="1:22" x14ac:dyDescent="0.2">
      <c r="A1149">
        <v>1148</v>
      </c>
      <c r="B1149" t="s">
        <v>4608</v>
      </c>
      <c r="C1149" s="1">
        <v>42912</v>
      </c>
      <c r="D1149" s="22">
        <f>MONTH(Table3[[#This Row],[Order Date]])</f>
        <v>6</v>
      </c>
      <c r="E1149" t="s">
        <v>2738</v>
      </c>
      <c r="F1149" t="s">
        <v>2739</v>
      </c>
      <c r="G1149" s="23" t="s">
        <v>28</v>
      </c>
      <c r="H1149" s="23" t="s">
        <v>58</v>
      </c>
      <c r="I1149" t="s">
        <v>4609</v>
      </c>
      <c r="J1149" t="s">
        <v>22</v>
      </c>
      <c r="K1149" s="22">
        <v>5</v>
      </c>
      <c r="L1149" s="1">
        <v>42917</v>
      </c>
      <c r="M1149" s="22">
        <f>Table3[[#This Row],[Ship Date]]-Table3[[#This Row],[Order Date]]</f>
        <v>5</v>
      </c>
      <c r="N1149" s="23" t="s">
        <v>45</v>
      </c>
      <c r="O1149" s="23" t="s">
        <v>23</v>
      </c>
      <c r="P1149" s="23" t="s">
        <v>226</v>
      </c>
      <c r="Q1149" s="23" t="s">
        <v>95</v>
      </c>
      <c r="R1149" s="23" t="s">
        <v>2898</v>
      </c>
      <c r="S1149" s="33">
        <v>0</v>
      </c>
      <c r="T1149" s="13">
        <v>526.45000000000005</v>
      </c>
      <c r="U1149" s="13">
        <v>31.587</v>
      </c>
      <c r="V1149" s="55">
        <f>Table3[[#This Row],[Profit]]/Table3[[#This Row],[Sales]]</f>
        <v>0.06</v>
      </c>
    </row>
    <row r="1150" spans="1:22" x14ac:dyDescent="0.2">
      <c r="A1150">
        <v>1149</v>
      </c>
      <c r="B1150" t="s">
        <v>6067</v>
      </c>
      <c r="C1150" s="1">
        <v>42912</v>
      </c>
      <c r="D1150" s="22">
        <f>MONTH(Table3[[#This Row],[Order Date]])</f>
        <v>6</v>
      </c>
      <c r="E1150" t="s">
        <v>3010</v>
      </c>
      <c r="F1150" t="s">
        <v>3011</v>
      </c>
      <c r="G1150" s="23" t="s">
        <v>64</v>
      </c>
      <c r="H1150" s="23" t="s">
        <v>144</v>
      </c>
      <c r="I1150" t="s">
        <v>3079</v>
      </c>
      <c r="J1150" t="s">
        <v>22</v>
      </c>
      <c r="K1150" s="22">
        <v>9</v>
      </c>
      <c r="L1150" s="1">
        <v>42916</v>
      </c>
      <c r="M1150" s="22">
        <f>Table3[[#This Row],[Ship Date]]-Table3[[#This Row],[Order Date]]</f>
        <v>4</v>
      </c>
      <c r="N1150" s="23" t="s">
        <v>45</v>
      </c>
      <c r="O1150" s="23" t="s">
        <v>23</v>
      </c>
      <c r="P1150" s="23" t="s">
        <v>405</v>
      </c>
      <c r="Q1150" s="23" t="s">
        <v>39</v>
      </c>
      <c r="R1150" s="23" t="s">
        <v>711</v>
      </c>
      <c r="S1150" s="33">
        <v>0.2</v>
      </c>
      <c r="T1150" s="13">
        <v>431.928</v>
      </c>
      <c r="U1150" s="13">
        <v>64.789199999999994</v>
      </c>
      <c r="V1150" s="55">
        <f>Table3[[#This Row],[Profit]]/Table3[[#This Row],[Sales]]</f>
        <v>0.15</v>
      </c>
    </row>
    <row r="1151" spans="1:22" x14ac:dyDescent="0.2">
      <c r="A1151">
        <v>1150</v>
      </c>
      <c r="B1151" t="s">
        <v>7082</v>
      </c>
      <c r="C1151" s="1">
        <v>42912</v>
      </c>
      <c r="D1151" s="22">
        <f>MONTH(Table3[[#This Row],[Order Date]])</f>
        <v>6</v>
      </c>
      <c r="E1151" t="s">
        <v>1768</v>
      </c>
      <c r="F1151" t="s">
        <v>1769</v>
      </c>
      <c r="G1151" s="23" t="s">
        <v>64</v>
      </c>
      <c r="H1151" s="23" t="s">
        <v>65</v>
      </c>
      <c r="I1151" t="s">
        <v>460</v>
      </c>
      <c r="J1151" t="s">
        <v>22</v>
      </c>
      <c r="K1151" s="22">
        <v>3</v>
      </c>
      <c r="L1151" s="1">
        <v>42916</v>
      </c>
      <c r="M1151" s="22">
        <f>Table3[[#This Row],[Ship Date]]-Table3[[#This Row],[Order Date]]</f>
        <v>4</v>
      </c>
      <c r="N1151" s="23" t="s">
        <v>45</v>
      </c>
      <c r="O1151" s="23" t="s">
        <v>23</v>
      </c>
      <c r="P1151" s="23" t="s">
        <v>238</v>
      </c>
      <c r="Q1151" s="23" t="s">
        <v>133</v>
      </c>
      <c r="R1151" s="23" t="s">
        <v>237</v>
      </c>
      <c r="S1151" s="33">
        <v>0</v>
      </c>
      <c r="T1151" s="13">
        <v>239.97</v>
      </c>
      <c r="U1151" s="13">
        <v>67.191599999999994</v>
      </c>
      <c r="V1151" s="55">
        <f>Table3[[#This Row],[Profit]]/Table3[[#This Row],[Sales]]</f>
        <v>0.27999999999999997</v>
      </c>
    </row>
    <row r="1152" spans="1:22" x14ac:dyDescent="0.2">
      <c r="A1152">
        <v>1151</v>
      </c>
      <c r="B1152" t="s">
        <v>7434</v>
      </c>
      <c r="C1152" s="1">
        <v>42912</v>
      </c>
      <c r="D1152" s="22">
        <f>MONTH(Table3[[#This Row],[Order Date]])</f>
        <v>6</v>
      </c>
      <c r="E1152" t="s">
        <v>923</v>
      </c>
      <c r="F1152" t="s">
        <v>924</v>
      </c>
      <c r="G1152" s="23" t="s">
        <v>64</v>
      </c>
      <c r="H1152" s="23" t="s">
        <v>65</v>
      </c>
      <c r="I1152" t="s">
        <v>3114</v>
      </c>
      <c r="J1152" t="s">
        <v>22</v>
      </c>
      <c r="K1152" s="22">
        <v>3</v>
      </c>
      <c r="L1152" s="1">
        <v>42919</v>
      </c>
      <c r="M1152" s="22">
        <f>Table3[[#This Row],[Ship Date]]-Table3[[#This Row],[Order Date]]</f>
        <v>7</v>
      </c>
      <c r="N1152" s="23" t="s">
        <v>45</v>
      </c>
      <c r="O1152" s="23" t="s">
        <v>23</v>
      </c>
      <c r="P1152" s="23" t="s">
        <v>132</v>
      </c>
      <c r="Q1152" s="23" t="s">
        <v>133</v>
      </c>
      <c r="R1152" s="23" t="s">
        <v>131</v>
      </c>
      <c r="S1152" s="33">
        <v>0.4</v>
      </c>
      <c r="T1152" s="13">
        <v>358.2</v>
      </c>
      <c r="U1152" s="13">
        <v>41.79</v>
      </c>
      <c r="V1152" s="55">
        <f>Table3[[#This Row],[Profit]]/Table3[[#This Row],[Sales]]</f>
        <v>0.11666666666666667</v>
      </c>
    </row>
    <row r="1153" spans="1:22" x14ac:dyDescent="0.2">
      <c r="A1153">
        <v>1152</v>
      </c>
      <c r="B1153" t="s">
        <v>7434</v>
      </c>
      <c r="C1153" s="1">
        <v>42912</v>
      </c>
      <c r="D1153" s="22">
        <f>MONTH(Table3[[#This Row],[Order Date]])</f>
        <v>6</v>
      </c>
      <c r="E1153" t="s">
        <v>5222</v>
      </c>
      <c r="F1153" t="s">
        <v>5223</v>
      </c>
      <c r="G1153" s="23" t="s">
        <v>64</v>
      </c>
      <c r="H1153" s="23" t="s">
        <v>65</v>
      </c>
      <c r="I1153" t="s">
        <v>3114</v>
      </c>
      <c r="J1153" t="s">
        <v>22</v>
      </c>
      <c r="K1153" s="22">
        <v>14</v>
      </c>
      <c r="L1153" s="1">
        <v>42919</v>
      </c>
      <c r="M1153" s="22">
        <f>Table3[[#This Row],[Ship Date]]-Table3[[#This Row],[Order Date]]</f>
        <v>7</v>
      </c>
      <c r="N1153" s="23" t="s">
        <v>45</v>
      </c>
      <c r="O1153" s="23" t="s">
        <v>23</v>
      </c>
      <c r="P1153" s="23" t="s">
        <v>132</v>
      </c>
      <c r="Q1153" s="23" t="s">
        <v>133</v>
      </c>
      <c r="R1153" s="23" t="s">
        <v>131</v>
      </c>
      <c r="S1153" s="33">
        <v>0.4</v>
      </c>
      <c r="T1153" s="13">
        <v>545.91600000000005</v>
      </c>
      <c r="U1153" s="13">
        <v>72.788799999999995</v>
      </c>
      <c r="V1153" s="55">
        <f>Table3[[#This Row],[Profit]]/Table3[[#This Row],[Sales]]</f>
        <v>0.1333333333333333</v>
      </c>
    </row>
    <row r="1154" spans="1:22" x14ac:dyDescent="0.2">
      <c r="A1154">
        <v>1153</v>
      </c>
      <c r="B1154" t="s">
        <v>7618</v>
      </c>
      <c r="C1154" s="1">
        <v>42912</v>
      </c>
      <c r="D1154" s="22">
        <f>MONTH(Table3[[#This Row],[Order Date]])</f>
        <v>6</v>
      </c>
      <c r="E1154" t="s">
        <v>946</v>
      </c>
      <c r="F1154" t="s">
        <v>947</v>
      </c>
      <c r="G1154" s="23" t="s">
        <v>41</v>
      </c>
      <c r="H1154" s="23" t="s">
        <v>42</v>
      </c>
      <c r="I1154" t="s">
        <v>846</v>
      </c>
      <c r="J1154" t="s">
        <v>36</v>
      </c>
      <c r="K1154" s="22">
        <v>6</v>
      </c>
      <c r="L1154" s="1">
        <v>42917</v>
      </c>
      <c r="M1154" s="22">
        <f>Table3[[#This Row],[Ship Date]]-Table3[[#This Row],[Order Date]]</f>
        <v>5</v>
      </c>
      <c r="N1154" s="23" t="s">
        <v>45</v>
      </c>
      <c r="O1154" s="23" t="s">
        <v>23</v>
      </c>
      <c r="P1154" s="23" t="s">
        <v>48</v>
      </c>
      <c r="Q1154" s="23" t="s">
        <v>26</v>
      </c>
      <c r="R1154" s="23" t="s">
        <v>1253</v>
      </c>
      <c r="S1154" s="33">
        <v>0.2</v>
      </c>
      <c r="T1154" s="13">
        <v>13.872</v>
      </c>
      <c r="U1154" s="13">
        <v>4.6818</v>
      </c>
      <c r="V1154" s="55">
        <f>Table3[[#This Row],[Profit]]/Table3[[#This Row],[Sales]]</f>
        <v>0.33750000000000002</v>
      </c>
    </row>
    <row r="1155" spans="1:22" x14ac:dyDescent="0.2">
      <c r="A1155">
        <v>1154</v>
      </c>
      <c r="B1155" t="s">
        <v>7618</v>
      </c>
      <c r="C1155" s="1">
        <v>42912</v>
      </c>
      <c r="D1155" s="22">
        <f>MONTH(Table3[[#This Row],[Order Date]])</f>
        <v>6</v>
      </c>
      <c r="E1155" t="s">
        <v>7619</v>
      </c>
      <c r="F1155" t="s">
        <v>7620</v>
      </c>
      <c r="G1155" s="23" t="s">
        <v>28</v>
      </c>
      <c r="H1155" s="23" t="s">
        <v>32</v>
      </c>
      <c r="I1155" t="s">
        <v>846</v>
      </c>
      <c r="J1155" t="s">
        <v>36</v>
      </c>
      <c r="K1155" s="22">
        <v>3</v>
      </c>
      <c r="L1155" s="1">
        <v>42917</v>
      </c>
      <c r="M1155" s="22">
        <f>Table3[[#This Row],[Ship Date]]-Table3[[#This Row],[Order Date]]</f>
        <v>5</v>
      </c>
      <c r="N1155" s="23" t="s">
        <v>45</v>
      </c>
      <c r="O1155" s="23" t="s">
        <v>23</v>
      </c>
      <c r="P1155" s="23" t="s">
        <v>48</v>
      </c>
      <c r="Q1155" s="23" t="s">
        <v>26</v>
      </c>
      <c r="R1155" s="23" t="s">
        <v>1253</v>
      </c>
      <c r="S1155" s="33">
        <v>0.2</v>
      </c>
      <c r="T1155" s="13">
        <v>273.55200000000002</v>
      </c>
      <c r="U1155" s="13">
        <v>-13.6776</v>
      </c>
      <c r="V1155" s="55">
        <f>Table3[[#This Row],[Profit]]/Table3[[#This Row],[Sales]]</f>
        <v>-4.9999999999999996E-2</v>
      </c>
    </row>
    <row r="1156" spans="1:22" x14ac:dyDescent="0.2">
      <c r="A1156">
        <v>1155</v>
      </c>
      <c r="B1156" t="s">
        <v>8302</v>
      </c>
      <c r="C1156" s="1">
        <v>42912</v>
      </c>
      <c r="D1156" s="22">
        <f>MONTH(Table3[[#This Row],[Order Date]])</f>
        <v>6</v>
      </c>
      <c r="E1156" t="s">
        <v>304</v>
      </c>
      <c r="F1156" t="s">
        <v>305</v>
      </c>
      <c r="G1156" s="23" t="s">
        <v>41</v>
      </c>
      <c r="H1156" s="23" t="s">
        <v>53</v>
      </c>
      <c r="I1156" t="s">
        <v>1194</v>
      </c>
      <c r="J1156" t="s">
        <v>22</v>
      </c>
      <c r="K1156" s="22">
        <v>3</v>
      </c>
      <c r="L1156" s="1">
        <v>42916</v>
      </c>
      <c r="M1156" s="22">
        <f>Table3[[#This Row],[Ship Date]]-Table3[[#This Row],[Order Date]]</f>
        <v>4</v>
      </c>
      <c r="N1156" s="23" t="s">
        <v>45</v>
      </c>
      <c r="O1156" s="23" t="s">
        <v>23</v>
      </c>
      <c r="P1156" s="23" t="s">
        <v>238</v>
      </c>
      <c r="Q1156" s="23" t="s">
        <v>133</v>
      </c>
      <c r="R1156" s="23" t="s">
        <v>237</v>
      </c>
      <c r="S1156" s="33">
        <v>0</v>
      </c>
      <c r="T1156" s="13">
        <v>272.94</v>
      </c>
      <c r="U1156" s="13">
        <v>0</v>
      </c>
      <c r="V1156" s="55">
        <f>Table3[[#This Row],[Profit]]/Table3[[#This Row],[Sales]]</f>
        <v>0</v>
      </c>
    </row>
    <row r="1157" spans="1:22" x14ac:dyDescent="0.2">
      <c r="A1157">
        <v>1156</v>
      </c>
      <c r="B1157" t="s">
        <v>8417</v>
      </c>
      <c r="C1157" s="1">
        <v>42912</v>
      </c>
      <c r="D1157" s="22">
        <f>MONTH(Table3[[#This Row],[Order Date]])</f>
        <v>6</v>
      </c>
      <c r="E1157" t="s">
        <v>2288</v>
      </c>
      <c r="F1157" t="s">
        <v>2289</v>
      </c>
      <c r="G1157" s="23" t="s">
        <v>41</v>
      </c>
      <c r="H1157" s="23" t="s">
        <v>68</v>
      </c>
      <c r="I1157" t="s">
        <v>4773</v>
      </c>
      <c r="J1157" t="s">
        <v>36</v>
      </c>
      <c r="K1157" s="22">
        <v>2</v>
      </c>
      <c r="L1157" s="1">
        <v>42916</v>
      </c>
      <c r="M1157" s="22">
        <f>Table3[[#This Row],[Ship Date]]-Table3[[#This Row],[Order Date]]</f>
        <v>4</v>
      </c>
      <c r="N1157" s="23" t="s">
        <v>45</v>
      </c>
      <c r="O1157" s="23" t="s">
        <v>23</v>
      </c>
      <c r="P1157" s="23" t="s">
        <v>238</v>
      </c>
      <c r="Q1157" s="23" t="s">
        <v>133</v>
      </c>
      <c r="R1157" s="23" t="s">
        <v>237</v>
      </c>
      <c r="S1157" s="33">
        <v>0.2</v>
      </c>
      <c r="T1157" s="13">
        <v>102.36799999999999</v>
      </c>
      <c r="U1157" s="13">
        <v>37.108400000000003</v>
      </c>
      <c r="V1157" s="55">
        <f>Table3[[#This Row],[Profit]]/Table3[[#This Row],[Sales]]</f>
        <v>0.36250000000000004</v>
      </c>
    </row>
    <row r="1158" spans="1:22" x14ac:dyDescent="0.2">
      <c r="A1158">
        <v>1157</v>
      </c>
      <c r="B1158" t="s">
        <v>8417</v>
      </c>
      <c r="C1158" s="1">
        <v>42912</v>
      </c>
      <c r="D1158" s="22">
        <f>MONTH(Table3[[#This Row],[Order Date]])</f>
        <v>6</v>
      </c>
      <c r="E1158" t="s">
        <v>2307</v>
      </c>
      <c r="F1158" t="s">
        <v>2308</v>
      </c>
      <c r="G1158" s="23" t="s">
        <v>41</v>
      </c>
      <c r="H1158" s="23" t="s">
        <v>513</v>
      </c>
      <c r="I1158" t="s">
        <v>4773</v>
      </c>
      <c r="J1158" t="s">
        <v>36</v>
      </c>
      <c r="K1158" s="22">
        <v>5</v>
      </c>
      <c r="L1158" s="1">
        <v>42916</v>
      </c>
      <c r="M1158" s="22">
        <f>Table3[[#This Row],[Ship Date]]-Table3[[#This Row],[Order Date]]</f>
        <v>4</v>
      </c>
      <c r="N1158" s="23" t="s">
        <v>45</v>
      </c>
      <c r="O1158" s="23" t="s">
        <v>23</v>
      </c>
      <c r="P1158" s="23" t="s">
        <v>238</v>
      </c>
      <c r="Q1158" s="23" t="s">
        <v>133</v>
      </c>
      <c r="R1158" s="23" t="s">
        <v>237</v>
      </c>
      <c r="S1158" s="33">
        <v>0</v>
      </c>
      <c r="T1158" s="13">
        <v>28.4</v>
      </c>
      <c r="U1158" s="13">
        <v>8.2360000000000007</v>
      </c>
      <c r="V1158" s="55">
        <f>Table3[[#This Row],[Profit]]/Table3[[#This Row],[Sales]]</f>
        <v>0.29000000000000004</v>
      </c>
    </row>
    <row r="1159" spans="1:22" x14ac:dyDescent="0.2">
      <c r="A1159">
        <v>1158</v>
      </c>
      <c r="B1159" t="s">
        <v>8417</v>
      </c>
      <c r="C1159" s="1">
        <v>42912</v>
      </c>
      <c r="D1159" s="22">
        <f>MONTH(Table3[[#This Row],[Order Date]])</f>
        <v>6</v>
      </c>
      <c r="E1159" t="s">
        <v>1774</v>
      </c>
      <c r="F1159" t="s">
        <v>1775</v>
      </c>
      <c r="G1159" s="23" t="s">
        <v>41</v>
      </c>
      <c r="H1159" s="23" t="s">
        <v>53</v>
      </c>
      <c r="I1159" t="s">
        <v>4773</v>
      </c>
      <c r="J1159" t="s">
        <v>36</v>
      </c>
      <c r="K1159" s="22">
        <v>4</v>
      </c>
      <c r="L1159" s="1">
        <v>42916</v>
      </c>
      <c r="M1159" s="22">
        <f>Table3[[#This Row],[Ship Date]]-Table3[[#This Row],[Order Date]]</f>
        <v>4</v>
      </c>
      <c r="N1159" s="23" t="s">
        <v>45</v>
      </c>
      <c r="O1159" s="23" t="s">
        <v>23</v>
      </c>
      <c r="P1159" s="23" t="s">
        <v>238</v>
      </c>
      <c r="Q1159" s="23" t="s">
        <v>133</v>
      </c>
      <c r="R1159" s="23" t="s">
        <v>237</v>
      </c>
      <c r="S1159" s="33">
        <v>0</v>
      </c>
      <c r="T1159" s="13">
        <v>713.88</v>
      </c>
      <c r="U1159" s="13">
        <v>214.16399999999999</v>
      </c>
      <c r="V1159" s="55">
        <f>Table3[[#This Row],[Profit]]/Table3[[#This Row],[Sales]]</f>
        <v>0.3</v>
      </c>
    </row>
    <row r="1160" spans="1:22" x14ac:dyDescent="0.2">
      <c r="A1160">
        <v>1159</v>
      </c>
      <c r="B1160" t="s">
        <v>8417</v>
      </c>
      <c r="C1160" s="1">
        <v>42912</v>
      </c>
      <c r="D1160" s="22">
        <f>MONTH(Table3[[#This Row],[Order Date]])</f>
        <v>6</v>
      </c>
      <c r="E1160" t="s">
        <v>4596</v>
      </c>
      <c r="F1160" t="s">
        <v>4597</v>
      </c>
      <c r="G1160" s="23" t="s">
        <v>41</v>
      </c>
      <c r="H1160" s="23" t="s">
        <v>82</v>
      </c>
      <c r="I1160" t="s">
        <v>4773</v>
      </c>
      <c r="J1160" t="s">
        <v>36</v>
      </c>
      <c r="K1160" s="22">
        <v>3</v>
      </c>
      <c r="L1160" s="1">
        <v>42916</v>
      </c>
      <c r="M1160" s="22">
        <f>Table3[[#This Row],[Ship Date]]-Table3[[#This Row],[Order Date]]</f>
        <v>4</v>
      </c>
      <c r="N1160" s="23" t="s">
        <v>45</v>
      </c>
      <c r="O1160" s="23" t="s">
        <v>23</v>
      </c>
      <c r="P1160" s="23" t="s">
        <v>238</v>
      </c>
      <c r="Q1160" s="23" t="s">
        <v>133</v>
      </c>
      <c r="R1160" s="23" t="s">
        <v>237</v>
      </c>
      <c r="S1160" s="33">
        <v>0</v>
      </c>
      <c r="T1160" s="13">
        <v>68.52</v>
      </c>
      <c r="U1160" s="13">
        <v>31.519200000000001</v>
      </c>
      <c r="V1160" s="55">
        <f>Table3[[#This Row],[Profit]]/Table3[[#This Row],[Sales]]</f>
        <v>0.46</v>
      </c>
    </row>
    <row r="1161" spans="1:22" x14ac:dyDescent="0.2">
      <c r="A1161">
        <v>1160</v>
      </c>
      <c r="B1161" t="s">
        <v>5483</v>
      </c>
      <c r="C1161" s="1">
        <v>42913</v>
      </c>
      <c r="D1161" s="22">
        <f>MONTH(Table3[[#This Row],[Order Date]])</f>
        <v>6</v>
      </c>
      <c r="E1161" t="s">
        <v>1627</v>
      </c>
      <c r="F1161" t="s">
        <v>1628</v>
      </c>
      <c r="G1161" s="23" t="s">
        <v>28</v>
      </c>
      <c r="H1161" s="23" t="s">
        <v>32</v>
      </c>
      <c r="I1161" t="s">
        <v>5484</v>
      </c>
      <c r="J1161" t="s">
        <v>92</v>
      </c>
      <c r="K1161" s="22">
        <v>3</v>
      </c>
      <c r="L1161" s="1">
        <v>42920</v>
      </c>
      <c r="M1161" s="22">
        <f>Table3[[#This Row],[Ship Date]]-Table3[[#This Row],[Order Date]]</f>
        <v>7</v>
      </c>
      <c r="N1161" s="23" t="s">
        <v>45</v>
      </c>
      <c r="O1161" s="23" t="s">
        <v>23</v>
      </c>
      <c r="P1161" s="23" t="s">
        <v>238</v>
      </c>
      <c r="Q1161" s="23" t="s">
        <v>133</v>
      </c>
      <c r="R1161" s="23" t="s">
        <v>3619</v>
      </c>
      <c r="S1161" s="33">
        <v>0.1</v>
      </c>
      <c r="T1161" s="13">
        <v>191.64599999999999</v>
      </c>
      <c r="U1161" s="13">
        <v>31.940999999999999</v>
      </c>
      <c r="V1161" s="55">
        <f>Table3[[#This Row],[Profit]]/Table3[[#This Row],[Sales]]</f>
        <v>0.16666666666666669</v>
      </c>
    </row>
    <row r="1162" spans="1:22" x14ac:dyDescent="0.2">
      <c r="A1162">
        <v>1161</v>
      </c>
      <c r="B1162" t="s">
        <v>7940</v>
      </c>
      <c r="C1162" s="1">
        <v>42913</v>
      </c>
      <c r="D1162" s="22">
        <f>MONTH(Table3[[#This Row],[Order Date]])</f>
        <v>6</v>
      </c>
      <c r="E1162" t="s">
        <v>3751</v>
      </c>
      <c r="F1162" t="s">
        <v>3752</v>
      </c>
      <c r="G1162" s="23" t="s">
        <v>41</v>
      </c>
      <c r="H1162" s="23" t="s">
        <v>82</v>
      </c>
      <c r="I1162" t="s">
        <v>1662</v>
      </c>
      <c r="J1162" t="s">
        <v>22</v>
      </c>
      <c r="K1162" s="22">
        <v>3</v>
      </c>
      <c r="L1162" s="1">
        <v>42917</v>
      </c>
      <c r="M1162" s="22">
        <f>Table3[[#This Row],[Ship Date]]-Table3[[#This Row],[Order Date]]</f>
        <v>4</v>
      </c>
      <c r="N1162" s="23" t="s">
        <v>45</v>
      </c>
      <c r="O1162" s="23" t="s">
        <v>23</v>
      </c>
      <c r="P1162" s="23" t="s">
        <v>124</v>
      </c>
      <c r="Q1162" s="23" t="s">
        <v>95</v>
      </c>
      <c r="R1162" s="23" t="s">
        <v>2226</v>
      </c>
      <c r="S1162" s="33">
        <v>0</v>
      </c>
      <c r="T1162" s="13">
        <v>20.07</v>
      </c>
      <c r="U1162" s="13">
        <v>9.2322000000000006</v>
      </c>
      <c r="V1162" s="55">
        <f>Table3[[#This Row],[Profit]]/Table3[[#This Row],[Sales]]</f>
        <v>0.46</v>
      </c>
    </row>
    <row r="1163" spans="1:22" x14ac:dyDescent="0.2">
      <c r="A1163">
        <v>1162</v>
      </c>
      <c r="B1163" t="s">
        <v>9424</v>
      </c>
      <c r="C1163" s="1">
        <v>42913</v>
      </c>
      <c r="D1163" s="22">
        <f>MONTH(Table3[[#This Row],[Order Date]])</f>
        <v>6</v>
      </c>
      <c r="E1163" t="s">
        <v>5506</v>
      </c>
      <c r="F1163" t="s">
        <v>5507</v>
      </c>
      <c r="G1163" s="23" t="s">
        <v>41</v>
      </c>
      <c r="H1163" s="23" t="s">
        <v>82</v>
      </c>
      <c r="I1163" t="s">
        <v>3427</v>
      </c>
      <c r="J1163" t="s">
        <v>36</v>
      </c>
      <c r="K1163" s="22">
        <v>3</v>
      </c>
      <c r="L1163" s="1">
        <v>42915</v>
      </c>
      <c r="M1163" s="22">
        <f>Table3[[#This Row],[Ship Date]]-Table3[[#This Row],[Order Date]]</f>
        <v>2</v>
      </c>
      <c r="N1163" s="23" t="s">
        <v>20</v>
      </c>
      <c r="O1163" s="23" t="s">
        <v>23</v>
      </c>
      <c r="P1163" s="23" t="s">
        <v>87</v>
      </c>
      <c r="Q1163" s="23" t="s">
        <v>39</v>
      </c>
      <c r="R1163" s="23" t="s">
        <v>86</v>
      </c>
      <c r="S1163" s="33">
        <v>0</v>
      </c>
      <c r="T1163" s="13">
        <v>19.440000000000001</v>
      </c>
      <c r="U1163" s="13">
        <v>9.3312000000000008</v>
      </c>
      <c r="V1163" s="55">
        <f>Table3[[#This Row],[Profit]]/Table3[[#This Row],[Sales]]</f>
        <v>0.48000000000000004</v>
      </c>
    </row>
    <row r="1164" spans="1:22" x14ac:dyDescent="0.2">
      <c r="A1164">
        <v>1163</v>
      </c>
      <c r="B1164" t="s">
        <v>9424</v>
      </c>
      <c r="C1164" s="1">
        <v>42913</v>
      </c>
      <c r="D1164" s="22">
        <f>MONTH(Table3[[#This Row],[Order Date]])</f>
        <v>6</v>
      </c>
      <c r="E1164" t="s">
        <v>1548</v>
      </c>
      <c r="F1164" t="s">
        <v>1549</v>
      </c>
      <c r="G1164" s="23" t="s">
        <v>28</v>
      </c>
      <c r="H1164" s="23" t="s">
        <v>58</v>
      </c>
      <c r="I1164" t="s">
        <v>3427</v>
      </c>
      <c r="J1164" t="s">
        <v>36</v>
      </c>
      <c r="K1164" s="22">
        <v>3</v>
      </c>
      <c r="L1164" s="1">
        <v>42915</v>
      </c>
      <c r="M1164" s="22">
        <f>Table3[[#This Row],[Ship Date]]-Table3[[#This Row],[Order Date]]</f>
        <v>2</v>
      </c>
      <c r="N1164" s="23" t="s">
        <v>20</v>
      </c>
      <c r="O1164" s="23" t="s">
        <v>23</v>
      </c>
      <c r="P1164" s="23" t="s">
        <v>87</v>
      </c>
      <c r="Q1164" s="23" t="s">
        <v>39</v>
      </c>
      <c r="R1164" s="23" t="s">
        <v>86</v>
      </c>
      <c r="S1164" s="33">
        <v>0</v>
      </c>
      <c r="T1164" s="13">
        <v>126.3</v>
      </c>
      <c r="U1164" s="13">
        <v>40.415999999999997</v>
      </c>
      <c r="V1164" s="55">
        <f>Table3[[#This Row],[Profit]]/Table3[[#This Row],[Sales]]</f>
        <v>0.32</v>
      </c>
    </row>
    <row r="1165" spans="1:22" x14ac:dyDescent="0.2">
      <c r="A1165">
        <v>1164</v>
      </c>
      <c r="B1165" t="s">
        <v>9424</v>
      </c>
      <c r="C1165" s="1">
        <v>42913</v>
      </c>
      <c r="D1165" s="22">
        <f>MONTH(Table3[[#This Row],[Order Date]])</f>
        <v>6</v>
      </c>
      <c r="E1165" t="s">
        <v>800</v>
      </c>
      <c r="F1165" t="s">
        <v>801</v>
      </c>
      <c r="G1165" s="23" t="s">
        <v>64</v>
      </c>
      <c r="H1165" s="23" t="s">
        <v>144</v>
      </c>
      <c r="I1165" t="s">
        <v>3427</v>
      </c>
      <c r="J1165" t="s">
        <v>36</v>
      </c>
      <c r="K1165" s="22">
        <v>5</v>
      </c>
      <c r="L1165" s="1">
        <v>42915</v>
      </c>
      <c r="M1165" s="22">
        <f>Table3[[#This Row],[Ship Date]]-Table3[[#This Row],[Order Date]]</f>
        <v>2</v>
      </c>
      <c r="N1165" s="23" t="s">
        <v>20</v>
      </c>
      <c r="O1165" s="23" t="s">
        <v>23</v>
      </c>
      <c r="P1165" s="23" t="s">
        <v>87</v>
      </c>
      <c r="Q1165" s="23" t="s">
        <v>39</v>
      </c>
      <c r="R1165" s="23" t="s">
        <v>86</v>
      </c>
      <c r="S1165" s="33">
        <v>0</v>
      </c>
      <c r="T1165" s="13">
        <v>1287.45</v>
      </c>
      <c r="U1165" s="13">
        <v>244.6155</v>
      </c>
      <c r="V1165" s="55">
        <f>Table3[[#This Row],[Profit]]/Table3[[#This Row],[Sales]]</f>
        <v>0.19</v>
      </c>
    </row>
    <row r="1166" spans="1:22" x14ac:dyDescent="0.2">
      <c r="A1166">
        <v>1165</v>
      </c>
      <c r="B1166" t="s">
        <v>1665</v>
      </c>
      <c r="C1166" s="1">
        <v>42915</v>
      </c>
      <c r="D1166" s="22">
        <f>MONTH(Table3[[#This Row],[Order Date]])</f>
        <v>6</v>
      </c>
      <c r="E1166" t="s">
        <v>1667</v>
      </c>
      <c r="F1166" t="s">
        <v>1668</v>
      </c>
      <c r="G1166" s="23" t="s">
        <v>41</v>
      </c>
      <c r="H1166" s="23" t="s">
        <v>53</v>
      </c>
      <c r="I1166" t="s">
        <v>1201</v>
      </c>
      <c r="J1166" t="s">
        <v>36</v>
      </c>
      <c r="K1166" s="22">
        <v>2</v>
      </c>
      <c r="L1166" s="1">
        <v>42919</v>
      </c>
      <c r="M1166" s="22">
        <f>Table3[[#This Row],[Ship Date]]-Table3[[#This Row],[Order Date]]</f>
        <v>4</v>
      </c>
      <c r="N1166" s="23" t="s">
        <v>20</v>
      </c>
      <c r="O1166" s="23" t="s">
        <v>23</v>
      </c>
      <c r="P1166" s="23" t="s">
        <v>38</v>
      </c>
      <c r="Q1166" s="23" t="s">
        <v>39</v>
      </c>
      <c r="R1166" s="23" t="s">
        <v>1666</v>
      </c>
      <c r="S1166" s="33">
        <v>0</v>
      </c>
      <c r="T1166" s="13">
        <v>1295.78</v>
      </c>
      <c r="U1166" s="13">
        <v>310.98719999999997</v>
      </c>
      <c r="V1166" s="55">
        <f>Table3[[#This Row],[Profit]]/Table3[[#This Row],[Sales]]</f>
        <v>0.24</v>
      </c>
    </row>
    <row r="1167" spans="1:22" x14ac:dyDescent="0.2">
      <c r="A1167">
        <v>1166</v>
      </c>
      <c r="B1167" t="s">
        <v>2939</v>
      </c>
      <c r="C1167" s="1">
        <v>42915</v>
      </c>
      <c r="D1167" s="22">
        <f>MONTH(Table3[[#This Row],[Order Date]])</f>
        <v>6</v>
      </c>
      <c r="E1167" t="s">
        <v>2210</v>
      </c>
      <c r="F1167" t="s">
        <v>2941</v>
      </c>
      <c r="G1167" s="23" t="s">
        <v>41</v>
      </c>
      <c r="H1167" s="23" t="s">
        <v>71</v>
      </c>
      <c r="I1167" t="s">
        <v>2940</v>
      </c>
      <c r="J1167" t="s">
        <v>22</v>
      </c>
      <c r="K1167" s="22">
        <v>3</v>
      </c>
      <c r="L1167" s="1">
        <v>42920</v>
      </c>
      <c r="M1167" s="22">
        <f>Table3[[#This Row],[Ship Date]]-Table3[[#This Row],[Order Date]]</f>
        <v>5</v>
      </c>
      <c r="N1167" s="23" t="s">
        <v>45</v>
      </c>
      <c r="O1167" s="23" t="s">
        <v>23</v>
      </c>
      <c r="P1167" s="23" t="s">
        <v>204</v>
      </c>
      <c r="Q1167" s="23" t="s">
        <v>95</v>
      </c>
      <c r="R1167" s="23" t="s">
        <v>364</v>
      </c>
      <c r="S1167" s="33">
        <v>0</v>
      </c>
      <c r="T1167" s="13">
        <v>362.94</v>
      </c>
      <c r="U1167" s="13">
        <v>90.734999999999999</v>
      </c>
      <c r="V1167" s="55">
        <f>Table3[[#This Row],[Profit]]/Table3[[#This Row],[Sales]]</f>
        <v>0.25</v>
      </c>
    </row>
    <row r="1168" spans="1:22" x14ac:dyDescent="0.2">
      <c r="A1168">
        <v>1167</v>
      </c>
      <c r="B1168" t="s">
        <v>2939</v>
      </c>
      <c r="C1168" s="1">
        <v>42915</v>
      </c>
      <c r="D1168" s="22">
        <f>MONTH(Table3[[#This Row],[Order Date]])</f>
        <v>6</v>
      </c>
      <c r="E1168" t="s">
        <v>290</v>
      </c>
      <c r="F1168" t="s">
        <v>291</v>
      </c>
      <c r="G1168" s="23" t="s">
        <v>41</v>
      </c>
      <c r="H1168" s="23" t="s">
        <v>68</v>
      </c>
      <c r="I1168" t="s">
        <v>2940</v>
      </c>
      <c r="J1168" t="s">
        <v>22</v>
      </c>
      <c r="K1168" s="22">
        <v>2</v>
      </c>
      <c r="L1168" s="1">
        <v>42920</v>
      </c>
      <c r="M1168" s="22">
        <f>Table3[[#This Row],[Ship Date]]-Table3[[#This Row],[Order Date]]</f>
        <v>5</v>
      </c>
      <c r="N1168" s="23" t="s">
        <v>45</v>
      </c>
      <c r="O1168" s="23" t="s">
        <v>23</v>
      </c>
      <c r="P1168" s="23" t="s">
        <v>204</v>
      </c>
      <c r="Q1168" s="23" t="s">
        <v>95</v>
      </c>
      <c r="R1168" s="23" t="s">
        <v>364</v>
      </c>
      <c r="S1168" s="33">
        <v>0</v>
      </c>
      <c r="T1168" s="13">
        <v>11.54</v>
      </c>
      <c r="U1168" s="13">
        <v>5.77</v>
      </c>
      <c r="V1168" s="55">
        <f>Table3[[#This Row],[Profit]]/Table3[[#This Row],[Sales]]</f>
        <v>0.5</v>
      </c>
    </row>
    <row r="1169" spans="1:22" x14ac:dyDescent="0.2">
      <c r="A1169">
        <v>1168</v>
      </c>
      <c r="B1169" t="s">
        <v>5176</v>
      </c>
      <c r="C1169" s="1">
        <v>42915</v>
      </c>
      <c r="D1169" s="22">
        <f>MONTH(Table3[[#This Row],[Order Date]])</f>
        <v>6</v>
      </c>
      <c r="E1169" t="s">
        <v>4770</v>
      </c>
      <c r="F1169" t="s">
        <v>4771</v>
      </c>
      <c r="G1169" s="23" t="s">
        <v>41</v>
      </c>
      <c r="H1169" s="23" t="s">
        <v>68</v>
      </c>
      <c r="I1169" t="s">
        <v>4353</v>
      </c>
      <c r="J1169" t="s">
        <v>22</v>
      </c>
      <c r="K1169" s="22">
        <v>9</v>
      </c>
      <c r="L1169" s="1">
        <v>42922</v>
      </c>
      <c r="M1169" s="22">
        <f>Table3[[#This Row],[Ship Date]]-Table3[[#This Row],[Order Date]]</f>
        <v>7</v>
      </c>
      <c r="N1169" s="23" t="s">
        <v>45</v>
      </c>
      <c r="O1169" s="23" t="s">
        <v>23</v>
      </c>
      <c r="P1169" s="23" t="s">
        <v>38</v>
      </c>
      <c r="Q1169" s="23" t="s">
        <v>39</v>
      </c>
      <c r="R1169" s="23" t="s">
        <v>37</v>
      </c>
      <c r="S1169" s="33">
        <v>0.2</v>
      </c>
      <c r="T1169" s="13">
        <v>312.55200000000002</v>
      </c>
      <c r="U1169" s="13">
        <v>101.57940000000001</v>
      </c>
      <c r="V1169" s="55">
        <f>Table3[[#This Row],[Profit]]/Table3[[#This Row],[Sales]]</f>
        <v>0.32500000000000001</v>
      </c>
    </row>
    <row r="1170" spans="1:22" x14ac:dyDescent="0.2">
      <c r="A1170">
        <v>1169</v>
      </c>
      <c r="B1170" t="s">
        <v>6043</v>
      </c>
      <c r="C1170" s="1">
        <v>42915</v>
      </c>
      <c r="D1170" s="22">
        <f>MONTH(Table3[[#This Row],[Order Date]])</f>
        <v>6</v>
      </c>
      <c r="E1170" t="s">
        <v>2214</v>
      </c>
      <c r="F1170" t="s">
        <v>2215</v>
      </c>
      <c r="G1170" s="23" t="s">
        <v>41</v>
      </c>
      <c r="H1170" s="23" t="s">
        <v>82</v>
      </c>
      <c r="I1170" t="s">
        <v>6044</v>
      </c>
      <c r="J1170" t="s">
        <v>36</v>
      </c>
      <c r="K1170" s="22">
        <v>1</v>
      </c>
      <c r="L1170" s="1">
        <v>42920</v>
      </c>
      <c r="M1170" s="22">
        <f>Table3[[#This Row],[Ship Date]]-Table3[[#This Row],[Order Date]]</f>
        <v>5</v>
      </c>
      <c r="N1170" s="23" t="s">
        <v>45</v>
      </c>
      <c r="O1170" s="23" t="s">
        <v>23</v>
      </c>
      <c r="P1170" s="23" t="s">
        <v>94</v>
      </c>
      <c r="Q1170" s="23" t="s">
        <v>95</v>
      </c>
      <c r="R1170" s="23" t="s">
        <v>4444</v>
      </c>
      <c r="S1170" s="33">
        <v>0.2</v>
      </c>
      <c r="T1170" s="13">
        <v>5.1840000000000002</v>
      </c>
      <c r="U1170" s="13">
        <v>1.8144</v>
      </c>
      <c r="V1170" s="55">
        <f>Table3[[#This Row],[Profit]]/Table3[[#This Row],[Sales]]</f>
        <v>0.35</v>
      </c>
    </row>
    <row r="1171" spans="1:22" x14ac:dyDescent="0.2">
      <c r="A1171">
        <v>1170</v>
      </c>
      <c r="B1171" t="s">
        <v>6963</v>
      </c>
      <c r="C1171" s="1">
        <v>42915</v>
      </c>
      <c r="D1171" s="22">
        <f>MONTH(Table3[[#This Row],[Order Date]])</f>
        <v>6</v>
      </c>
      <c r="E1171" t="s">
        <v>4218</v>
      </c>
      <c r="F1171" t="s">
        <v>4219</v>
      </c>
      <c r="G1171" s="23" t="s">
        <v>41</v>
      </c>
      <c r="H1171" s="23" t="s">
        <v>68</v>
      </c>
      <c r="I1171" t="s">
        <v>4484</v>
      </c>
      <c r="J1171" t="s">
        <v>22</v>
      </c>
      <c r="K1171" s="22">
        <v>5</v>
      </c>
      <c r="L1171" s="1">
        <v>42916</v>
      </c>
      <c r="M1171" s="22">
        <f>Table3[[#This Row],[Ship Date]]-Table3[[#This Row],[Order Date]]</f>
        <v>1</v>
      </c>
      <c r="N1171" s="23" t="s">
        <v>169</v>
      </c>
      <c r="O1171" s="23" t="s">
        <v>23</v>
      </c>
      <c r="P1171" s="23" t="s">
        <v>38</v>
      </c>
      <c r="Q1171" s="23" t="s">
        <v>39</v>
      </c>
      <c r="R1171" s="23" t="s">
        <v>37</v>
      </c>
      <c r="S1171" s="33">
        <v>0.2</v>
      </c>
      <c r="T1171" s="13">
        <v>895.92</v>
      </c>
      <c r="U1171" s="13">
        <v>302.37299999999999</v>
      </c>
      <c r="V1171" s="55">
        <f>Table3[[#This Row],[Profit]]/Table3[[#This Row],[Sales]]</f>
        <v>0.33750000000000002</v>
      </c>
    </row>
    <row r="1172" spans="1:22" x14ac:dyDescent="0.2">
      <c r="A1172">
        <v>1171</v>
      </c>
      <c r="B1172" t="s">
        <v>6963</v>
      </c>
      <c r="C1172" s="1">
        <v>42915</v>
      </c>
      <c r="D1172" s="22">
        <f>MONTH(Table3[[#This Row],[Order Date]])</f>
        <v>6</v>
      </c>
      <c r="E1172" t="s">
        <v>484</v>
      </c>
      <c r="F1172" t="s">
        <v>485</v>
      </c>
      <c r="G1172" s="23" t="s">
        <v>41</v>
      </c>
      <c r="H1172" s="23" t="s">
        <v>53</v>
      </c>
      <c r="I1172" t="s">
        <v>4484</v>
      </c>
      <c r="J1172" t="s">
        <v>22</v>
      </c>
      <c r="K1172" s="22">
        <v>3</v>
      </c>
      <c r="L1172" s="1">
        <v>42916</v>
      </c>
      <c r="M1172" s="22">
        <f>Table3[[#This Row],[Ship Date]]-Table3[[#This Row],[Order Date]]</f>
        <v>1</v>
      </c>
      <c r="N1172" s="23" t="s">
        <v>169</v>
      </c>
      <c r="O1172" s="23" t="s">
        <v>23</v>
      </c>
      <c r="P1172" s="23" t="s">
        <v>38</v>
      </c>
      <c r="Q1172" s="23" t="s">
        <v>39</v>
      </c>
      <c r="R1172" s="23" t="s">
        <v>37</v>
      </c>
      <c r="S1172" s="33">
        <v>0</v>
      </c>
      <c r="T1172" s="13">
        <v>130.71</v>
      </c>
      <c r="U1172" s="13">
        <v>39.213000000000001</v>
      </c>
      <c r="V1172" s="55">
        <f>Table3[[#This Row],[Profit]]/Table3[[#This Row],[Sales]]</f>
        <v>0.3</v>
      </c>
    </row>
    <row r="1173" spans="1:22" x14ac:dyDescent="0.2">
      <c r="A1173">
        <v>1172</v>
      </c>
      <c r="B1173" t="s">
        <v>6963</v>
      </c>
      <c r="C1173" s="1">
        <v>42915</v>
      </c>
      <c r="D1173" s="22">
        <f>MONTH(Table3[[#This Row],[Order Date]])</f>
        <v>6</v>
      </c>
      <c r="E1173" t="s">
        <v>2794</v>
      </c>
      <c r="F1173" t="s">
        <v>2795</v>
      </c>
      <c r="G1173" s="23" t="s">
        <v>41</v>
      </c>
      <c r="H1173" s="23" t="s">
        <v>61</v>
      </c>
      <c r="I1173" t="s">
        <v>4484</v>
      </c>
      <c r="J1173" t="s">
        <v>22</v>
      </c>
      <c r="K1173" s="22">
        <v>2</v>
      </c>
      <c r="L1173" s="1">
        <v>42916</v>
      </c>
      <c r="M1173" s="22">
        <f>Table3[[#This Row],[Ship Date]]-Table3[[#This Row],[Order Date]]</f>
        <v>1</v>
      </c>
      <c r="N1173" s="23" t="s">
        <v>169</v>
      </c>
      <c r="O1173" s="23" t="s">
        <v>23</v>
      </c>
      <c r="P1173" s="23" t="s">
        <v>38</v>
      </c>
      <c r="Q1173" s="23" t="s">
        <v>39</v>
      </c>
      <c r="R1173" s="23" t="s">
        <v>37</v>
      </c>
      <c r="S1173" s="33">
        <v>0</v>
      </c>
      <c r="T1173" s="13">
        <v>11.68</v>
      </c>
      <c r="U1173" s="13">
        <v>3.0367999999999999</v>
      </c>
      <c r="V1173" s="55">
        <f>Table3[[#This Row],[Profit]]/Table3[[#This Row],[Sales]]</f>
        <v>0.26</v>
      </c>
    </row>
    <row r="1174" spans="1:22" x14ac:dyDescent="0.2">
      <c r="A1174">
        <v>1173</v>
      </c>
      <c r="B1174" t="s">
        <v>6963</v>
      </c>
      <c r="C1174" s="1">
        <v>42915</v>
      </c>
      <c r="D1174" s="22">
        <f>MONTH(Table3[[#This Row],[Order Date]])</f>
        <v>6</v>
      </c>
      <c r="E1174" t="s">
        <v>4245</v>
      </c>
      <c r="F1174" t="s">
        <v>4246</v>
      </c>
      <c r="G1174" s="23" t="s">
        <v>64</v>
      </c>
      <c r="H1174" s="23" t="s">
        <v>144</v>
      </c>
      <c r="I1174" t="s">
        <v>4484</v>
      </c>
      <c r="J1174" t="s">
        <v>22</v>
      </c>
      <c r="K1174" s="22">
        <v>3</v>
      </c>
      <c r="L1174" s="1">
        <v>42916</v>
      </c>
      <c r="M1174" s="22">
        <f>Table3[[#This Row],[Ship Date]]-Table3[[#This Row],[Order Date]]</f>
        <v>1</v>
      </c>
      <c r="N1174" s="23" t="s">
        <v>169</v>
      </c>
      <c r="O1174" s="23" t="s">
        <v>23</v>
      </c>
      <c r="P1174" s="23" t="s">
        <v>38</v>
      </c>
      <c r="Q1174" s="23" t="s">
        <v>39</v>
      </c>
      <c r="R1174" s="23" t="s">
        <v>37</v>
      </c>
      <c r="S1174" s="33">
        <v>0</v>
      </c>
      <c r="T1174" s="13">
        <v>62.31</v>
      </c>
      <c r="U1174" s="13">
        <v>22.4316</v>
      </c>
      <c r="V1174" s="55">
        <f>Table3[[#This Row],[Profit]]/Table3[[#This Row],[Sales]]</f>
        <v>0.36</v>
      </c>
    </row>
    <row r="1175" spans="1:22" x14ac:dyDescent="0.2">
      <c r="A1175">
        <v>1174</v>
      </c>
      <c r="B1175" t="s">
        <v>7684</v>
      </c>
      <c r="C1175" s="1">
        <v>42915</v>
      </c>
      <c r="D1175" s="22">
        <f>MONTH(Table3[[#This Row],[Order Date]])</f>
        <v>6</v>
      </c>
      <c r="E1175" t="s">
        <v>5879</v>
      </c>
      <c r="F1175" t="s">
        <v>5880</v>
      </c>
      <c r="G1175" s="23" t="s">
        <v>28</v>
      </c>
      <c r="H1175" s="23" t="s">
        <v>29</v>
      </c>
      <c r="I1175" t="s">
        <v>846</v>
      </c>
      <c r="J1175" t="s">
        <v>36</v>
      </c>
      <c r="K1175" s="22">
        <v>9</v>
      </c>
      <c r="L1175" s="1">
        <v>42918</v>
      </c>
      <c r="M1175" s="22">
        <f>Table3[[#This Row],[Ship Date]]-Table3[[#This Row],[Order Date]]</f>
        <v>3</v>
      </c>
      <c r="N1175" s="23" t="s">
        <v>169</v>
      </c>
      <c r="O1175" s="23" t="s">
        <v>23</v>
      </c>
      <c r="P1175" s="23" t="s">
        <v>660</v>
      </c>
      <c r="Q1175" s="23" t="s">
        <v>133</v>
      </c>
      <c r="R1175" s="23" t="s">
        <v>7685</v>
      </c>
      <c r="S1175" s="33">
        <v>0</v>
      </c>
      <c r="T1175" s="13">
        <v>638.82000000000005</v>
      </c>
      <c r="U1175" s="13">
        <v>185.2578</v>
      </c>
      <c r="V1175" s="55">
        <f>Table3[[#This Row],[Profit]]/Table3[[#This Row],[Sales]]</f>
        <v>0.28999999999999998</v>
      </c>
    </row>
    <row r="1176" spans="1:22" x14ac:dyDescent="0.2">
      <c r="A1176">
        <v>1175</v>
      </c>
      <c r="B1176" t="s">
        <v>7684</v>
      </c>
      <c r="C1176" s="1">
        <v>42915</v>
      </c>
      <c r="D1176" s="22">
        <f>MONTH(Table3[[#This Row],[Order Date]])</f>
        <v>6</v>
      </c>
      <c r="E1176" t="s">
        <v>2336</v>
      </c>
      <c r="F1176" t="s">
        <v>2337</v>
      </c>
      <c r="G1176" s="23" t="s">
        <v>41</v>
      </c>
      <c r="H1176" s="23" t="s">
        <v>513</v>
      </c>
      <c r="I1176" t="s">
        <v>846</v>
      </c>
      <c r="J1176" t="s">
        <v>36</v>
      </c>
      <c r="K1176" s="22">
        <v>3</v>
      </c>
      <c r="L1176" s="1">
        <v>42918</v>
      </c>
      <c r="M1176" s="22">
        <f>Table3[[#This Row],[Ship Date]]-Table3[[#This Row],[Order Date]]</f>
        <v>3</v>
      </c>
      <c r="N1176" s="23" t="s">
        <v>169</v>
      </c>
      <c r="O1176" s="23" t="s">
        <v>23</v>
      </c>
      <c r="P1176" s="23" t="s">
        <v>660</v>
      </c>
      <c r="Q1176" s="23" t="s">
        <v>133</v>
      </c>
      <c r="R1176" s="23" t="s">
        <v>7685</v>
      </c>
      <c r="S1176" s="33">
        <v>0</v>
      </c>
      <c r="T1176" s="13">
        <v>30.69</v>
      </c>
      <c r="U1176" s="13">
        <v>7.9794</v>
      </c>
      <c r="V1176" s="55">
        <f>Table3[[#This Row],[Profit]]/Table3[[#This Row],[Sales]]</f>
        <v>0.26</v>
      </c>
    </row>
    <row r="1177" spans="1:22" x14ac:dyDescent="0.2">
      <c r="A1177">
        <v>1176</v>
      </c>
      <c r="B1177" t="s">
        <v>7684</v>
      </c>
      <c r="C1177" s="1">
        <v>42915</v>
      </c>
      <c r="D1177" s="22">
        <f>MONTH(Table3[[#This Row],[Order Date]])</f>
        <v>6</v>
      </c>
      <c r="E1177" t="s">
        <v>3387</v>
      </c>
      <c r="F1177" t="s">
        <v>3388</v>
      </c>
      <c r="G1177" s="23" t="s">
        <v>28</v>
      </c>
      <c r="H1177" s="23" t="s">
        <v>58</v>
      </c>
      <c r="I1177" t="s">
        <v>846</v>
      </c>
      <c r="J1177" t="s">
        <v>36</v>
      </c>
      <c r="K1177" s="22">
        <v>2</v>
      </c>
      <c r="L1177" s="1">
        <v>42918</v>
      </c>
      <c r="M1177" s="22">
        <f>Table3[[#This Row],[Ship Date]]-Table3[[#This Row],[Order Date]]</f>
        <v>3</v>
      </c>
      <c r="N1177" s="23" t="s">
        <v>169</v>
      </c>
      <c r="O1177" s="23" t="s">
        <v>23</v>
      </c>
      <c r="P1177" s="23" t="s">
        <v>660</v>
      </c>
      <c r="Q1177" s="23" t="s">
        <v>133</v>
      </c>
      <c r="R1177" s="23" t="s">
        <v>7685</v>
      </c>
      <c r="S1177" s="33">
        <v>0</v>
      </c>
      <c r="T1177" s="13">
        <v>25.16</v>
      </c>
      <c r="U1177" s="13">
        <v>8.5543999999999993</v>
      </c>
      <c r="V1177" s="55">
        <f>Table3[[#This Row],[Profit]]/Table3[[#This Row],[Sales]]</f>
        <v>0.33999999999999997</v>
      </c>
    </row>
    <row r="1178" spans="1:22" x14ac:dyDescent="0.2">
      <c r="A1178">
        <v>1177</v>
      </c>
      <c r="B1178" t="s">
        <v>9953</v>
      </c>
      <c r="C1178" s="1">
        <v>42915</v>
      </c>
      <c r="D1178" s="22">
        <f>MONTH(Table3[[#This Row],[Order Date]])</f>
        <v>6</v>
      </c>
      <c r="E1178" t="s">
        <v>2233</v>
      </c>
      <c r="F1178" t="s">
        <v>2234</v>
      </c>
      <c r="G1178" s="23" t="s">
        <v>41</v>
      </c>
      <c r="H1178" s="23" t="s">
        <v>71</v>
      </c>
      <c r="I1178" t="s">
        <v>1850</v>
      </c>
      <c r="J1178" t="s">
        <v>22</v>
      </c>
      <c r="K1178" s="22">
        <v>2</v>
      </c>
      <c r="L1178" s="1">
        <v>42916</v>
      </c>
      <c r="M1178" s="22">
        <f>Table3[[#This Row],[Ship Date]]-Table3[[#This Row],[Order Date]]</f>
        <v>1</v>
      </c>
      <c r="N1178" s="23" t="s">
        <v>169</v>
      </c>
      <c r="O1178" s="23" t="s">
        <v>23</v>
      </c>
      <c r="P1178" s="23" t="s">
        <v>94</v>
      </c>
      <c r="Q1178" s="23" t="s">
        <v>95</v>
      </c>
      <c r="R1178" s="23" t="s">
        <v>718</v>
      </c>
      <c r="S1178" s="33">
        <v>0.8</v>
      </c>
      <c r="T1178" s="13">
        <v>21.391999999999999</v>
      </c>
      <c r="U1178" s="13">
        <v>-54.549599999999998</v>
      </c>
      <c r="V1178" s="55">
        <f>Table3[[#This Row],[Profit]]/Table3[[#This Row],[Sales]]</f>
        <v>-2.5499999999999998</v>
      </c>
    </row>
    <row r="1179" spans="1:22" x14ac:dyDescent="0.2">
      <c r="A1179">
        <v>1178</v>
      </c>
      <c r="B1179" t="s">
        <v>9953</v>
      </c>
      <c r="C1179" s="1">
        <v>42915</v>
      </c>
      <c r="D1179" s="22">
        <f>MONTH(Table3[[#This Row],[Order Date]])</f>
        <v>6</v>
      </c>
      <c r="E1179" t="s">
        <v>4304</v>
      </c>
      <c r="F1179" t="s">
        <v>4305</v>
      </c>
      <c r="G1179" s="23" t="s">
        <v>28</v>
      </c>
      <c r="H1179" s="23" t="s">
        <v>50</v>
      </c>
      <c r="I1179" t="s">
        <v>1850</v>
      </c>
      <c r="J1179" t="s">
        <v>22</v>
      </c>
      <c r="K1179" s="22">
        <v>3</v>
      </c>
      <c r="L1179" s="1">
        <v>42916</v>
      </c>
      <c r="M1179" s="22">
        <f>Table3[[#This Row],[Ship Date]]-Table3[[#This Row],[Order Date]]</f>
        <v>1</v>
      </c>
      <c r="N1179" s="23" t="s">
        <v>169</v>
      </c>
      <c r="O1179" s="23" t="s">
        <v>23</v>
      </c>
      <c r="P1179" s="23" t="s">
        <v>94</v>
      </c>
      <c r="Q1179" s="23" t="s">
        <v>95</v>
      </c>
      <c r="R1179" s="23" t="s">
        <v>718</v>
      </c>
      <c r="S1179" s="33">
        <v>0.3</v>
      </c>
      <c r="T1179" s="13">
        <v>307.31400000000002</v>
      </c>
      <c r="U1179" s="13">
        <v>-39.511800000000001</v>
      </c>
      <c r="V1179" s="55">
        <f>Table3[[#This Row],[Profit]]/Table3[[#This Row],[Sales]]</f>
        <v>-0.12857142857142856</v>
      </c>
    </row>
    <row r="1180" spans="1:22" x14ac:dyDescent="0.2">
      <c r="A1180">
        <v>1179</v>
      </c>
      <c r="B1180" t="s">
        <v>9953</v>
      </c>
      <c r="C1180" s="1">
        <v>42915</v>
      </c>
      <c r="D1180" s="22">
        <f>MONTH(Table3[[#This Row],[Order Date]])</f>
        <v>6</v>
      </c>
      <c r="E1180" t="s">
        <v>4841</v>
      </c>
      <c r="F1180" t="s">
        <v>4842</v>
      </c>
      <c r="G1180" s="23" t="s">
        <v>28</v>
      </c>
      <c r="H1180" s="23" t="s">
        <v>29</v>
      </c>
      <c r="I1180" t="s">
        <v>1850</v>
      </c>
      <c r="J1180" t="s">
        <v>22</v>
      </c>
      <c r="K1180" s="22">
        <v>3</v>
      </c>
      <c r="L1180" s="1">
        <v>42916</v>
      </c>
      <c r="M1180" s="22">
        <f>Table3[[#This Row],[Ship Date]]-Table3[[#This Row],[Order Date]]</f>
        <v>1</v>
      </c>
      <c r="N1180" s="23" t="s">
        <v>169</v>
      </c>
      <c r="O1180" s="23" t="s">
        <v>23</v>
      </c>
      <c r="P1180" s="23" t="s">
        <v>94</v>
      </c>
      <c r="Q1180" s="23" t="s">
        <v>95</v>
      </c>
      <c r="R1180" s="23" t="s">
        <v>718</v>
      </c>
      <c r="S1180" s="33">
        <v>0.32</v>
      </c>
      <c r="T1180" s="13">
        <v>409.99919999999997</v>
      </c>
      <c r="U1180" s="13">
        <v>-96.470399999999998</v>
      </c>
      <c r="V1180" s="55">
        <f>Table3[[#This Row],[Profit]]/Table3[[#This Row],[Sales]]</f>
        <v>-0.23529411764705882</v>
      </c>
    </row>
    <row r="1181" spans="1:22" x14ac:dyDescent="0.2">
      <c r="A1181">
        <v>1180</v>
      </c>
      <c r="B1181" t="s">
        <v>1226</v>
      </c>
      <c r="C1181" s="1">
        <v>42916</v>
      </c>
      <c r="D1181" s="22">
        <f>MONTH(Table3[[#This Row],[Order Date]])</f>
        <v>6</v>
      </c>
      <c r="E1181" t="s">
        <v>1230</v>
      </c>
      <c r="F1181" t="s">
        <v>1231</v>
      </c>
      <c r="G1181" s="23" t="s">
        <v>41</v>
      </c>
      <c r="H1181" s="23" t="s">
        <v>68</v>
      </c>
      <c r="I1181" t="s">
        <v>1227</v>
      </c>
      <c r="J1181" t="s">
        <v>92</v>
      </c>
      <c r="K1181" s="22">
        <v>3</v>
      </c>
      <c r="L1181" s="1">
        <v>42921</v>
      </c>
      <c r="M1181" s="22">
        <f>Table3[[#This Row],[Ship Date]]-Table3[[#This Row],[Order Date]]</f>
        <v>5</v>
      </c>
      <c r="N1181" s="23" t="s">
        <v>45</v>
      </c>
      <c r="O1181" s="23" t="s">
        <v>23</v>
      </c>
      <c r="P1181" s="23" t="s">
        <v>1229</v>
      </c>
      <c r="Q1181" s="23" t="s">
        <v>39</v>
      </c>
      <c r="R1181" s="23" t="s">
        <v>1228</v>
      </c>
      <c r="S1181" s="33">
        <v>0.2</v>
      </c>
      <c r="T1181" s="13">
        <v>75.792000000000002</v>
      </c>
      <c r="U1181" s="13">
        <v>25.579799999999999</v>
      </c>
      <c r="V1181" s="55">
        <f>Table3[[#This Row],[Profit]]/Table3[[#This Row],[Sales]]</f>
        <v>0.33749999999999997</v>
      </c>
    </row>
    <row r="1182" spans="1:22" x14ac:dyDescent="0.2">
      <c r="A1182">
        <v>1181</v>
      </c>
      <c r="B1182" t="s">
        <v>3653</v>
      </c>
      <c r="C1182" s="1">
        <v>42916</v>
      </c>
      <c r="D1182" s="22">
        <f>MONTH(Table3[[#This Row],[Order Date]])</f>
        <v>6</v>
      </c>
      <c r="E1182" t="s">
        <v>49</v>
      </c>
      <c r="F1182" t="s">
        <v>51</v>
      </c>
      <c r="G1182" s="23" t="s">
        <v>28</v>
      </c>
      <c r="H1182" s="23" t="s">
        <v>50</v>
      </c>
      <c r="I1182" t="s">
        <v>3654</v>
      </c>
      <c r="J1182" t="s">
        <v>22</v>
      </c>
      <c r="K1182" s="22">
        <v>5</v>
      </c>
      <c r="L1182" s="1">
        <v>42916</v>
      </c>
      <c r="M1182" s="22">
        <f>Table3[[#This Row],[Ship Date]]-Table3[[#This Row],[Order Date]]</f>
        <v>0</v>
      </c>
      <c r="N1182" s="23" t="s">
        <v>1141</v>
      </c>
      <c r="O1182" s="23" t="s">
        <v>23</v>
      </c>
      <c r="P1182" s="23" t="s">
        <v>238</v>
      </c>
      <c r="Q1182" s="23" t="s">
        <v>133</v>
      </c>
      <c r="R1182" s="23" t="s">
        <v>237</v>
      </c>
      <c r="S1182" s="33">
        <v>0.4</v>
      </c>
      <c r="T1182" s="13">
        <v>1044.6300000000001</v>
      </c>
      <c r="U1182" s="13">
        <v>-295.9785</v>
      </c>
      <c r="V1182" s="55">
        <f>Table3[[#This Row],[Profit]]/Table3[[#This Row],[Sales]]</f>
        <v>-0.28333333333333333</v>
      </c>
    </row>
    <row r="1183" spans="1:22" x14ac:dyDescent="0.2">
      <c r="A1183">
        <v>1182</v>
      </c>
      <c r="B1183" t="s">
        <v>5064</v>
      </c>
      <c r="C1183" s="1">
        <v>42916</v>
      </c>
      <c r="D1183" s="22">
        <f>MONTH(Table3[[#This Row],[Order Date]])</f>
        <v>6</v>
      </c>
      <c r="E1183" t="s">
        <v>2894</v>
      </c>
      <c r="F1183" t="s">
        <v>2895</v>
      </c>
      <c r="G1183" s="23" t="s">
        <v>41</v>
      </c>
      <c r="H1183" s="23" t="s">
        <v>53</v>
      </c>
      <c r="I1183" t="s">
        <v>1965</v>
      </c>
      <c r="J1183" t="s">
        <v>22</v>
      </c>
      <c r="K1183" s="22">
        <v>7</v>
      </c>
      <c r="L1183" s="1">
        <v>42922</v>
      </c>
      <c r="M1183" s="22">
        <f>Table3[[#This Row],[Ship Date]]-Table3[[#This Row],[Order Date]]</f>
        <v>6</v>
      </c>
      <c r="N1183" s="23" t="s">
        <v>45</v>
      </c>
      <c r="O1183" s="23" t="s">
        <v>23</v>
      </c>
      <c r="P1183" s="23" t="s">
        <v>238</v>
      </c>
      <c r="Q1183" s="23" t="s">
        <v>133</v>
      </c>
      <c r="R1183" s="23" t="s">
        <v>237</v>
      </c>
      <c r="S1183" s="33">
        <v>0</v>
      </c>
      <c r="T1183" s="13">
        <v>248.57</v>
      </c>
      <c r="U1183" s="13">
        <v>67.113900000000001</v>
      </c>
      <c r="V1183" s="55">
        <f>Table3[[#This Row],[Profit]]/Table3[[#This Row],[Sales]]</f>
        <v>0.27</v>
      </c>
    </row>
    <row r="1184" spans="1:22" x14ac:dyDescent="0.2">
      <c r="A1184">
        <v>1183</v>
      </c>
      <c r="B1184" t="s">
        <v>5064</v>
      </c>
      <c r="C1184" s="1">
        <v>42916</v>
      </c>
      <c r="D1184" s="22">
        <f>MONTH(Table3[[#This Row],[Order Date]])</f>
        <v>6</v>
      </c>
      <c r="E1184" t="s">
        <v>5065</v>
      </c>
      <c r="F1184" t="s">
        <v>5066</v>
      </c>
      <c r="G1184" s="23" t="s">
        <v>28</v>
      </c>
      <c r="H1184" s="23" t="s">
        <v>58</v>
      </c>
      <c r="I1184" t="s">
        <v>1965</v>
      </c>
      <c r="J1184" t="s">
        <v>22</v>
      </c>
      <c r="K1184" s="22">
        <v>1</v>
      </c>
      <c r="L1184" s="1">
        <v>42922</v>
      </c>
      <c r="M1184" s="22">
        <f>Table3[[#This Row],[Ship Date]]-Table3[[#This Row],[Order Date]]</f>
        <v>6</v>
      </c>
      <c r="N1184" s="23" t="s">
        <v>45</v>
      </c>
      <c r="O1184" s="23" t="s">
        <v>23</v>
      </c>
      <c r="P1184" s="23" t="s">
        <v>238</v>
      </c>
      <c r="Q1184" s="23" t="s">
        <v>133</v>
      </c>
      <c r="R1184" s="23" t="s">
        <v>237</v>
      </c>
      <c r="S1184" s="33">
        <v>0</v>
      </c>
      <c r="T1184" s="13">
        <v>22.23</v>
      </c>
      <c r="U1184" s="13">
        <v>9.7812000000000001</v>
      </c>
      <c r="V1184" s="55">
        <f>Table3[[#This Row],[Profit]]/Table3[[#This Row],[Sales]]</f>
        <v>0.44</v>
      </c>
    </row>
    <row r="1185" spans="1:22" x14ac:dyDescent="0.2">
      <c r="A1185">
        <v>1184</v>
      </c>
      <c r="B1185" t="s">
        <v>7281</v>
      </c>
      <c r="C1185" s="1">
        <v>42916</v>
      </c>
      <c r="D1185" s="22">
        <f>MONTH(Table3[[#This Row],[Order Date]])</f>
        <v>6</v>
      </c>
      <c r="E1185" t="s">
        <v>7191</v>
      </c>
      <c r="F1185" t="s">
        <v>7192</v>
      </c>
      <c r="G1185" s="23" t="s">
        <v>64</v>
      </c>
      <c r="H1185" s="23" t="s">
        <v>65</v>
      </c>
      <c r="I1185" t="s">
        <v>5686</v>
      </c>
      <c r="J1185" t="s">
        <v>92</v>
      </c>
      <c r="K1185" s="22">
        <v>2</v>
      </c>
      <c r="L1185" s="1">
        <v>42920</v>
      </c>
      <c r="M1185" s="22">
        <f>Table3[[#This Row],[Ship Date]]-Table3[[#This Row],[Order Date]]</f>
        <v>4</v>
      </c>
      <c r="N1185" s="23" t="s">
        <v>20</v>
      </c>
      <c r="O1185" s="23" t="s">
        <v>23</v>
      </c>
      <c r="P1185" s="23" t="s">
        <v>189</v>
      </c>
      <c r="Q1185" s="23" t="s">
        <v>95</v>
      </c>
      <c r="R1185" s="23" t="s">
        <v>271</v>
      </c>
      <c r="S1185" s="33">
        <v>0.2</v>
      </c>
      <c r="T1185" s="13">
        <v>1001.5839999999999</v>
      </c>
      <c r="U1185" s="13">
        <v>125.19799999999999</v>
      </c>
      <c r="V1185" s="55">
        <f>Table3[[#This Row],[Profit]]/Table3[[#This Row],[Sales]]</f>
        <v>0.125</v>
      </c>
    </row>
    <row r="1186" spans="1:22" x14ac:dyDescent="0.2">
      <c r="A1186">
        <v>1185</v>
      </c>
      <c r="B1186" t="s">
        <v>7281</v>
      </c>
      <c r="C1186" s="1">
        <v>42916</v>
      </c>
      <c r="D1186" s="22">
        <f>MONTH(Table3[[#This Row],[Order Date]])</f>
        <v>6</v>
      </c>
      <c r="E1186" t="s">
        <v>6537</v>
      </c>
      <c r="F1186" t="s">
        <v>6538</v>
      </c>
      <c r="G1186" s="23" t="s">
        <v>28</v>
      </c>
      <c r="H1186" s="23" t="s">
        <v>32</v>
      </c>
      <c r="I1186" t="s">
        <v>5686</v>
      </c>
      <c r="J1186" t="s">
        <v>92</v>
      </c>
      <c r="K1186" s="22">
        <v>3</v>
      </c>
      <c r="L1186" s="1">
        <v>42920</v>
      </c>
      <c r="M1186" s="22">
        <f>Table3[[#This Row],[Ship Date]]-Table3[[#This Row],[Order Date]]</f>
        <v>4</v>
      </c>
      <c r="N1186" s="23" t="s">
        <v>20</v>
      </c>
      <c r="O1186" s="23" t="s">
        <v>23</v>
      </c>
      <c r="P1186" s="23" t="s">
        <v>189</v>
      </c>
      <c r="Q1186" s="23" t="s">
        <v>95</v>
      </c>
      <c r="R1186" s="23" t="s">
        <v>271</v>
      </c>
      <c r="S1186" s="33">
        <v>0.3</v>
      </c>
      <c r="T1186" s="13">
        <v>569.05799999999999</v>
      </c>
      <c r="U1186" s="13">
        <v>-178.8468</v>
      </c>
      <c r="V1186" s="55">
        <f>Table3[[#This Row],[Profit]]/Table3[[#This Row],[Sales]]</f>
        <v>-0.31428571428571428</v>
      </c>
    </row>
    <row r="1187" spans="1:22" x14ac:dyDescent="0.2">
      <c r="A1187">
        <v>1186</v>
      </c>
      <c r="B1187" t="s">
        <v>7281</v>
      </c>
      <c r="C1187" s="1">
        <v>42916</v>
      </c>
      <c r="D1187" s="22">
        <f>MONTH(Table3[[#This Row],[Order Date]])</f>
        <v>6</v>
      </c>
      <c r="E1187" t="s">
        <v>367</v>
      </c>
      <c r="F1187" t="s">
        <v>368</v>
      </c>
      <c r="G1187" s="23" t="s">
        <v>28</v>
      </c>
      <c r="H1187" s="23" t="s">
        <v>58</v>
      </c>
      <c r="I1187" t="s">
        <v>5686</v>
      </c>
      <c r="J1187" t="s">
        <v>92</v>
      </c>
      <c r="K1187" s="22">
        <v>2</v>
      </c>
      <c r="L1187" s="1">
        <v>42920</v>
      </c>
      <c r="M1187" s="22">
        <f>Table3[[#This Row],[Ship Date]]-Table3[[#This Row],[Order Date]]</f>
        <v>4</v>
      </c>
      <c r="N1187" s="23" t="s">
        <v>20</v>
      </c>
      <c r="O1187" s="23" t="s">
        <v>23</v>
      </c>
      <c r="P1187" s="23" t="s">
        <v>189</v>
      </c>
      <c r="Q1187" s="23" t="s">
        <v>95</v>
      </c>
      <c r="R1187" s="23" t="s">
        <v>271</v>
      </c>
      <c r="S1187" s="33">
        <v>0.6</v>
      </c>
      <c r="T1187" s="13">
        <v>14.224</v>
      </c>
      <c r="U1187" s="13">
        <v>-10.3124</v>
      </c>
      <c r="V1187" s="55">
        <f>Table3[[#This Row],[Profit]]/Table3[[#This Row],[Sales]]</f>
        <v>-0.72499999999999998</v>
      </c>
    </row>
    <row r="1188" spans="1:22" x14ac:dyDescent="0.2">
      <c r="A1188">
        <v>1187</v>
      </c>
      <c r="B1188" t="s">
        <v>7613</v>
      </c>
      <c r="C1188" s="1">
        <v>42916</v>
      </c>
      <c r="D1188" s="22">
        <f>MONTH(Table3[[#This Row],[Order Date]])</f>
        <v>6</v>
      </c>
      <c r="E1188" t="s">
        <v>3957</v>
      </c>
      <c r="F1188" t="s">
        <v>3958</v>
      </c>
      <c r="G1188" s="23" t="s">
        <v>28</v>
      </c>
      <c r="H1188" s="23" t="s">
        <v>58</v>
      </c>
      <c r="I1188" t="s">
        <v>35</v>
      </c>
      <c r="J1188" t="s">
        <v>36</v>
      </c>
      <c r="K1188" s="22">
        <v>2</v>
      </c>
      <c r="L1188" s="1">
        <v>42920</v>
      </c>
      <c r="M1188" s="22">
        <f>Table3[[#This Row],[Ship Date]]-Table3[[#This Row],[Order Date]]</f>
        <v>4</v>
      </c>
      <c r="N1188" s="23" t="s">
        <v>45</v>
      </c>
      <c r="O1188" s="23" t="s">
        <v>23</v>
      </c>
      <c r="P1188" s="23" t="s">
        <v>299</v>
      </c>
      <c r="Q1188" s="23" t="s">
        <v>26</v>
      </c>
      <c r="R1188" s="23" t="s">
        <v>298</v>
      </c>
      <c r="S1188" s="33">
        <v>0.2</v>
      </c>
      <c r="T1188" s="13">
        <v>19.52</v>
      </c>
      <c r="U1188" s="13">
        <v>5.3680000000000003</v>
      </c>
      <c r="V1188" s="55">
        <f>Table3[[#This Row],[Profit]]/Table3[[#This Row],[Sales]]</f>
        <v>0.27500000000000002</v>
      </c>
    </row>
    <row r="1189" spans="1:22" x14ac:dyDescent="0.2">
      <c r="A1189">
        <v>1188</v>
      </c>
      <c r="B1189" t="s">
        <v>9015</v>
      </c>
      <c r="C1189" s="1">
        <v>42916</v>
      </c>
      <c r="D1189" s="22">
        <f>MONTH(Table3[[#This Row],[Order Date]])</f>
        <v>6</v>
      </c>
      <c r="E1189" t="s">
        <v>3899</v>
      </c>
      <c r="F1189" t="s">
        <v>3900</v>
      </c>
      <c r="G1189" s="23" t="s">
        <v>28</v>
      </c>
      <c r="H1189" s="23" t="s">
        <v>29</v>
      </c>
      <c r="I1189" t="s">
        <v>4141</v>
      </c>
      <c r="J1189" t="s">
        <v>22</v>
      </c>
      <c r="K1189" s="22">
        <v>3</v>
      </c>
      <c r="L1189" s="1">
        <v>42918</v>
      </c>
      <c r="M1189" s="22">
        <f>Table3[[#This Row],[Ship Date]]-Table3[[#This Row],[Order Date]]</f>
        <v>2</v>
      </c>
      <c r="N1189" s="23" t="s">
        <v>20</v>
      </c>
      <c r="O1189" s="23" t="s">
        <v>23</v>
      </c>
      <c r="P1189" s="23" t="s">
        <v>38</v>
      </c>
      <c r="Q1189" s="23" t="s">
        <v>39</v>
      </c>
      <c r="R1189" s="23" t="s">
        <v>37</v>
      </c>
      <c r="S1189" s="33">
        <v>0.15</v>
      </c>
      <c r="T1189" s="13">
        <v>435.99900000000002</v>
      </c>
      <c r="U1189" s="13">
        <v>5.1294000000000004</v>
      </c>
      <c r="V1189" s="55">
        <f>Table3[[#This Row],[Profit]]/Table3[[#This Row],[Sales]]</f>
        <v>1.1764705882352941E-2</v>
      </c>
    </row>
    <row r="1190" spans="1:22" x14ac:dyDescent="0.2">
      <c r="A1190">
        <v>1189</v>
      </c>
      <c r="B1190" t="s">
        <v>9061</v>
      </c>
      <c r="C1190" s="1">
        <v>42916</v>
      </c>
      <c r="D1190" s="22">
        <f>MONTH(Table3[[#This Row],[Order Date]])</f>
        <v>6</v>
      </c>
      <c r="E1190" t="s">
        <v>3975</v>
      </c>
      <c r="F1190" t="s">
        <v>3976</v>
      </c>
      <c r="G1190" s="23" t="s">
        <v>41</v>
      </c>
      <c r="H1190" s="23" t="s">
        <v>82</v>
      </c>
      <c r="I1190" t="s">
        <v>4993</v>
      </c>
      <c r="J1190" t="s">
        <v>22</v>
      </c>
      <c r="K1190" s="22">
        <v>5</v>
      </c>
      <c r="L1190" s="1">
        <v>42921</v>
      </c>
      <c r="M1190" s="22">
        <f>Table3[[#This Row],[Ship Date]]-Table3[[#This Row],[Order Date]]</f>
        <v>5</v>
      </c>
      <c r="N1190" s="23" t="s">
        <v>45</v>
      </c>
      <c r="O1190" s="23" t="s">
        <v>23</v>
      </c>
      <c r="P1190" s="23" t="s">
        <v>38</v>
      </c>
      <c r="Q1190" s="23" t="s">
        <v>39</v>
      </c>
      <c r="R1190" s="23" t="s">
        <v>37</v>
      </c>
      <c r="S1190" s="33">
        <v>0</v>
      </c>
      <c r="T1190" s="13">
        <v>204.95</v>
      </c>
      <c r="U1190" s="13">
        <v>100.4255</v>
      </c>
      <c r="V1190" s="55">
        <f>Table3[[#This Row],[Profit]]/Table3[[#This Row],[Sales]]</f>
        <v>0.49000000000000005</v>
      </c>
    </row>
    <row r="1191" spans="1:22" x14ac:dyDescent="0.2">
      <c r="A1191">
        <v>1190</v>
      </c>
      <c r="B1191" t="s">
        <v>9147</v>
      </c>
      <c r="C1191" s="1">
        <v>42916</v>
      </c>
      <c r="D1191" s="22">
        <f>MONTH(Table3[[#This Row],[Order Date]])</f>
        <v>6</v>
      </c>
      <c r="E1191" t="s">
        <v>5430</v>
      </c>
      <c r="F1191" t="s">
        <v>5431</v>
      </c>
      <c r="G1191" s="23" t="s">
        <v>41</v>
      </c>
      <c r="H1191" s="23" t="s">
        <v>53</v>
      </c>
      <c r="I1191" t="s">
        <v>4058</v>
      </c>
      <c r="J1191" t="s">
        <v>36</v>
      </c>
      <c r="K1191" s="22">
        <v>7</v>
      </c>
      <c r="L1191" s="1">
        <v>42920</v>
      </c>
      <c r="M1191" s="22">
        <f>Table3[[#This Row],[Ship Date]]-Table3[[#This Row],[Order Date]]</f>
        <v>4</v>
      </c>
      <c r="N1191" s="23" t="s">
        <v>45</v>
      </c>
      <c r="O1191" s="23" t="s">
        <v>23</v>
      </c>
      <c r="P1191" s="23" t="s">
        <v>238</v>
      </c>
      <c r="Q1191" s="23" t="s">
        <v>133</v>
      </c>
      <c r="R1191" s="23" t="s">
        <v>2020</v>
      </c>
      <c r="S1191" s="33">
        <v>0</v>
      </c>
      <c r="T1191" s="13">
        <v>1085.42</v>
      </c>
      <c r="U1191" s="13">
        <v>282.20920000000001</v>
      </c>
      <c r="V1191" s="55">
        <f>Table3[[#This Row],[Profit]]/Table3[[#This Row],[Sales]]</f>
        <v>0.26</v>
      </c>
    </row>
    <row r="1192" spans="1:22" x14ac:dyDescent="0.2">
      <c r="A1192">
        <v>1191</v>
      </c>
      <c r="B1192" t="s">
        <v>5903</v>
      </c>
      <c r="C1192" s="1">
        <v>42917</v>
      </c>
      <c r="D1192" s="22">
        <f>MONTH(Table3[[#This Row],[Order Date]])</f>
        <v>7</v>
      </c>
      <c r="E1192" t="s">
        <v>5352</v>
      </c>
      <c r="F1192" t="s">
        <v>5353</v>
      </c>
      <c r="G1192" s="23" t="s">
        <v>41</v>
      </c>
      <c r="H1192" s="23" t="s">
        <v>53</v>
      </c>
      <c r="I1192" t="s">
        <v>4524</v>
      </c>
      <c r="J1192" t="s">
        <v>92</v>
      </c>
      <c r="K1192" s="22">
        <v>4</v>
      </c>
      <c r="L1192" s="1">
        <v>42924</v>
      </c>
      <c r="M1192" s="22">
        <f>Table3[[#This Row],[Ship Date]]-Table3[[#This Row],[Order Date]]</f>
        <v>7</v>
      </c>
      <c r="N1192" s="23" t="s">
        <v>45</v>
      </c>
      <c r="O1192" s="23" t="s">
        <v>23</v>
      </c>
      <c r="P1192" s="23" t="s">
        <v>226</v>
      </c>
      <c r="Q1192" s="23" t="s">
        <v>95</v>
      </c>
      <c r="R1192" s="23" t="s">
        <v>3859</v>
      </c>
      <c r="S1192" s="33">
        <v>0</v>
      </c>
      <c r="T1192" s="13">
        <v>443.92</v>
      </c>
      <c r="U1192" s="13">
        <v>13.317600000000001</v>
      </c>
      <c r="V1192" s="55">
        <f>Table3[[#This Row],[Profit]]/Table3[[#This Row],[Sales]]</f>
        <v>0.03</v>
      </c>
    </row>
    <row r="1193" spans="1:22" x14ac:dyDescent="0.2">
      <c r="A1193">
        <v>1192</v>
      </c>
      <c r="B1193" t="s">
        <v>5903</v>
      </c>
      <c r="C1193" s="1">
        <v>42917</v>
      </c>
      <c r="D1193" s="22">
        <f>MONTH(Table3[[#This Row],[Order Date]])</f>
        <v>7</v>
      </c>
      <c r="E1193" t="s">
        <v>88</v>
      </c>
      <c r="F1193" t="s">
        <v>89</v>
      </c>
      <c r="G1193" s="23" t="s">
        <v>41</v>
      </c>
      <c r="H1193" s="23" t="s">
        <v>68</v>
      </c>
      <c r="I1193" t="s">
        <v>4524</v>
      </c>
      <c r="J1193" t="s">
        <v>92</v>
      </c>
      <c r="K1193" s="22">
        <v>1</v>
      </c>
      <c r="L1193" s="1">
        <v>42924</v>
      </c>
      <c r="M1193" s="22">
        <f>Table3[[#This Row],[Ship Date]]-Table3[[#This Row],[Order Date]]</f>
        <v>7</v>
      </c>
      <c r="N1193" s="23" t="s">
        <v>45</v>
      </c>
      <c r="O1193" s="23" t="s">
        <v>23</v>
      </c>
      <c r="P1193" s="23" t="s">
        <v>226</v>
      </c>
      <c r="Q1193" s="23" t="s">
        <v>95</v>
      </c>
      <c r="R1193" s="23" t="s">
        <v>3859</v>
      </c>
      <c r="S1193" s="33">
        <v>0</v>
      </c>
      <c r="T1193" s="13">
        <v>169.99</v>
      </c>
      <c r="U1193" s="13">
        <v>78.195400000000006</v>
      </c>
      <c r="V1193" s="55">
        <f>Table3[[#This Row],[Profit]]/Table3[[#This Row],[Sales]]</f>
        <v>0.46</v>
      </c>
    </row>
    <row r="1194" spans="1:22" x14ac:dyDescent="0.2">
      <c r="A1194">
        <v>1193</v>
      </c>
      <c r="B1194" t="s">
        <v>5903</v>
      </c>
      <c r="C1194" s="1">
        <v>42917</v>
      </c>
      <c r="D1194" s="22">
        <f>MONTH(Table3[[#This Row],[Order Date]])</f>
        <v>7</v>
      </c>
      <c r="E1194" t="s">
        <v>1679</v>
      </c>
      <c r="F1194" t="s">
        <v>1680</v>
      </c>
      <c r="G1194" s="23" t="s">
        <v>41</v>
      </c>
      <c r="H1194" s="23" t="s">
        <v>82</v>
      </c>
      <c r="I1194" t="s">
        <v>4524</v>
      </c>
      <c r="J1194" t="s">
        <v>92</v>
      </c>
      <c r="K1194" s="22">
        <v>4</v>
      </c>
      <c r="L1194" s="1">
        <v>42924</v>
      </c>
      <c r="M1194" s="22">
        <f>Table3[[#This Row],[Ship Date]]-Table3[[#This Row],[Order Date]]</f>
        <v>7</v>
      </c>
      <c r="N1194" s="23" t="s">
        <v>45</v>
      </c>
      <c r="O1194" s="23" t="s">
        <v>23</v>
      </c>
      <c r="P1194" s="23" t="s">
        <v>226</v>
      </c>
      <c r="Q1194" s="23" t="s">
        <v>95</v>
      </c>
      <c r="R1194" s="23" t="s">
        <v>3859</v>
      </c>
      <c r="S1194" s="33">
        <v>0</v>
      </c>
      <c r="T1194" s="13">
        <v>25.92</v>
      </c>
      <c r="U1194" s="13">
        <v>12.441599999999999</v>
      </c>
      <c r="V1194" s="55">
        <f>Table3[[#This Row],[Profit]]/Table3[[#This Row],[Sales]]</f>
        <v>0.47999999999999993</v>
      </c>
    </row>
    <row r="1195" spans="1:22" x14ac:dyDescent="0.2">
      <c r="A1195">
        <v>1194</v>
      </c>
      <c r="B1195" t="s">
        <v>8829</v>
      </c>
      <c r="C1195" s="1">
        <v>42918</v>
      </c>
      <c r="D1195" s="22">
        <f>MONTH(Table3[[#This Row],[Order Date]])</f>
        <v>7</v>
      </c>
      <c r="E1195" t="s">
        <v>1532</v>
      </c>
      <c r="F1195" t="s">
        <v>1533</v>
      </c>
      <c r="G1195" s="23" t="s">
        <v>41</v>
      </c>
      <c r="H1195" s="23" t="s">
        <v>82</v>
      </c>
      <c r="I1195" t="s">
        <v>4438</v>
      </c>
      <c r="J1195" t="s">
        <v>92</v>
      </c>
      <c r="K1195" s="22">
        <v>5</v>
      </c>
      <c r="L1195" s="1">
        <v>42921</v>
      </c>
      <c r="M1195" s="22">
        <f>Table3[[#This Row],[Ship Date]]-Table3[[#This Row],[Order Date]]</f>
        <v>3</v>
      </c>
      <c r="N1195" s="23" t="s">
        <v>169</v>
      </c>
      <c r="O1195" s="23" t="s">
        <v>23</v>
      </c>
      <c r="P1195" s="23" t="s">
        <v>94</v>
      </c>
      <c r="Q1195" s="23" t="s">
        <v>95</v>
      </c>
      <c r="R1195" s="23" t="s">
        <v>165</v>
      </c>
      <c r="S1195" s="33">
        <v>0.2</v>
      </c>
      <c r="T1195" s="13">
        <v>163.96</v>
      </c>
      <c r="U1195" s="13">
        <v>59.435499999999998</v>
      </c>
      <c r="V1195" s="55">
        <f>Table3[[#This Row],[Profit]]/Table3[[#This Row],[Sales]]</f>
        <v>0.36249999999999999</v>
      </c>
    </row>
    <row r="1196" spans="1:22" x14ac:dyDescent="0.2">
      <c r="A1196">
        <v>1195</v>
      </c>
      <c r="B1196" t="s">
        <v>8829</v>
      </c>
      <c r="C1196" s="1">
        <v>42918</v>
      </c>
      <c r="D1196" s="22">
        <f>MONTH(Table3[[#This Row],[Order Date]])</f>
        <v>7</v>
      </c>
      <c r="E1196" t="s">
        <v>5714</v>
      </c>
      <c r="F1196" t="s">
        <v>5715</v>
      </c>
      <c r="G1196" s="23" t="s">
        <v>41</v>
      </c>
      <c r="H1196" s="23" t="s">
        <v>68</v>
      </c>
      <c r="I1196" t="s">
        <v>4438</v>
      </c>
      <c r="J1196" t="s">
        <v>92</v>
      </c>
      <c r="K1196" s="22">
        <v>4</v>
      </c>
      <c r="L1196" s="1">
        <v>42921</v>
      </c>
      <c r="M1196" s="22">
        <f>Table3[[#This Row],[Ship Date]]-Table3[[#This Row],[Order Date]]</f>
        <v>3</v>
      </c>
      <c r="N1196" s="23" t="s">
        <v>169</v>
      </c>
      <c r="O1196" s="23" t="s">
        <v>23</v>
      </c>
      <c r="P1196" s="23" t="s">
        <v>94</v>
      </c>
      <c r="Q1196" s="23" t="s">
        <v>95</v>
      </c>
      <c r="R1196" s="23" t="s">
        <v>165</v>
      </c>
      <c r="S1196" s="33">
        <v>0.8</v>
      </c>
      <c r="T1196" s="13">
        <v>5.2320000000000002</v>
      </c>
      <c r="U1196" s="13">
        <v>-8.1096000000000004</v>
      </c>
      <c r="V1196" s="55">
        <f>Table3[[#This Row],[Profit]]/Table3[[#This Row],[Sales]]</f>
        <v>-1.55</v>
      </c>
    </row>
    <row r="1197" spans="1:22" x14ac:dyDescent="0.2">
      <c r="A1197">
        <v>1196</v>
      </c>
      <c r="B1197" t="s">
        <v>3189</v>
      </c>
      <c r="C1197" s="1">
        <v>42919</v>
      </c>
      <c r="D1197" s="22">
        <f>MONTH(Table3[[#This Row],[Order Date]])</f>
        <v>7</v>
      </c>
      <c r="E1197" t="s">
        <v>3191</v>
      </c>
      <c r="F1197" t="s">
        <v>3192</v>
      </c>
      <c r="G1197" s="23" t="s">
        <v>28</v>
      </c>
      <c r="H1197" s="23" t="s">
        <v>58</v>
      </c>
      <c r="I1197" t="s">
        <v>3190</v>
      </c>
      <c r="J1197" t="s">
        <v>22</v>
      </c>
      <c r="K1197" s="22">
        <v>1</v>
      </c>
      <c r="L1197" s="1">
        <v>42923</v>
      </c>
      <c r="M1197" s="22">
        <f>Table3[[#This Row],[Ship Date]]-Table3[[#This Row],[Order Date]]</f>
        <v>4</v>
      </c>
      <c r="N1197" s="23" t="s">
        <v>45</v>
      </c>
      <c r="O1197" s="23" t="s">
        <v>23</v>
      </c>
      <c r="P1197" s="23" t="s">
        <v>1125</v>
      </c>
      <c r="Q1197" s="23" t="s">
        <v>26</v>
      </c>
      <c r="R1197" s="23" t="s">
        <v>440</v>
      </c>
      <c r="S1197" s="33">
        <v>0</v>
      </c>
      <c r="T1197" s="13">
        <v>23.99</v>
      </c>
      <c r="U1197" s="13">
        <v>5.5176999999999996</v>
      </c>
      <c r="V1197" s="55">
        <f>Table3[[#This Row],[Profit]]/Table3[[#This Row],[Sales]]</f>
        <v>0.23</v>
      </c>
    </row>
    <row r="1198" spans="1:22" x14ac:dyDescent="0.2">
      <c r="A1198">
        <v>1197</v>
      </c>
      <c r="B1198" t="s">
        <v>3189</v>
      </c>
      <c r="C1198" s="1">
        <v>42919</v>
      </c>
      <c r="D1198" s="22">
        <f>MONTH(Table3[[#This Row],[Order Date]])</f>
        <v>7</v>
      </c>
      <c r="E1198" t="s">
        <v>2276</v>
      </c>
      <c r="F1198" t="s">
        <v>2277</v>
      </c>
      <c r="G1198" s="23" t="s">
        <v>64</v>
      </c>
      <c r="H1198" s="23" t="s">
        <v>65</v>
      </c>
      <c r="I1198" t="s">
        <v>3190</v>
      </c>
      <c r="J1198" t="s">
        <v>22</v>
      </c>
      <c r="K1198" s="22">
        <v>3</v>
      </c>
      <c r="L1198" s="1">
        <v>42923</v>
      </c>
      <c r="M1198" s="22">
        <f>Table3[[#This Row],[Ship Date]]-Table3[[#This Row],[Order Date]]</f>
        <v>4</v>
      </c>
      <c r="N1198" s="23" t="s">
        <v>45</v>
      </c>
      <c r="O1198" s="23" t="s">
        <v>23</v>
      </c>
      <c r="P1198" s="23" t="s">
        <v>1125</v>
      </c>
      <c r="Q1198" s="23" t="s">
        <v>26</v>
      </c>
      <c r="R1198" s="23" t="s">
        <v>440</v>
      </c>
      <c r="S1198" s="33">
        <v>0</v>
      </c>
      <c r="T1198" s="13">
        <v>287.97000000000003</v>
      </c>
      <c r="U1198" s="13">
        <v>77.751900000000006</v>
      </c>
      <c r="V1198" s="55">
        <f>Table3[[#This Row],[Profit]]/Table3[[#This Row],[Sales]]</f>
        <v>0.27</v>
      </c>
    </row>
    <row r="1199" spans="1:22" x14ac:dyDescent="0.2">
      <c r="A1199">
        <v>1198</v>
      </c>
      <c r="B1199" t="s">
        <v>3353</v>
      </c>
      <c r="C1199" s="1">
        <v>42919</v>
      </c>
      <c r="D1199" s="22">
        <f>MONTH(Table3[[#This Row],[Order Date]])</f>
        <v>7</v>
      </c>
      <c r="E1199" t="s">
        <v>680</v>
      </c>
      <c r="F1199" t="s">
        <v>681</v>
      </c>
      <c r="G1199" s="23" t="s">
        <v>41</v>
      </c>
      <c r="H1199" s="23" t="s">
        <v>61</v>
      </c>
      <c r="I1199" t="s">
        <v>3354</v>
      </c>
      <c r="J1199" t="s">
        <v>36</v>
      </c>
      <c r="K1199" s="22">
        <v>3</v>
      </c>
      <c r="L1199" s="1">
        <v>42920</v>
      </c>
      <c r="M1199" s="22">
        <f>Table3[[#This Row],[Ship Date]]-Table3[[#This Row],[Order Date]]</f>
        <v>1</v>
      </c>
      <c r="N1199" s="23" t="s">
        <v>169</v>
      </c>
      <c r="O1199" s="23" t="s">
        <v>23</v>
      </c>
      <c r="P1199" s="23" t="s">
        <v>80</v>
      </c>
      <c r="Q1199" s="23" t="s">
        <v>26</v>
      </c>
      <c r="R1199" s="23" t="s">
        <v>1957</v>
      </c>
      <c r="S1199" s="33">
        <v>0.2</v>
      </c>
      <c r="T1199" s="13">
        <v>9.5519999999999996</v>
      </c>
      <c r="U1199" s="13">
        <v>1.5522</v>
      </c>
      <c r="V1199" s="55">
        <f>Table3[[#This Row],[Profit]]/Table3[[#This Row],[Sales]]</f>
        <v>0.16250000000000001</v>
      </c>
    </row>
    <row r="1200" spans="1:22" x14ac:dyDescent="0.2">
      <c r="A1200">
        <v>1199</v>
      </c>
      <c r="B1200" t="s">
        <v>3834</v>
      </c>
      <c r="C1200" s="1">
        <v>42919</v>
      </c>
      <c r="D1200" s="22">
        <f>MONTH(Table3[[#This Row],[Order Date]])</f>
        <v>7</v>
      </c>
      <c r="E1200" t="s">
        <v>280</v>
      </c>
      <c r="F1200" t="s">
        <v>281</v>
      </c>
      <c r="G1200" s="23" t="s">
        <v>64</v>
      </c>
      <c r="H1200" s="23" t="s">
        <v>65</v>
      </c>
      <c r="I1200" t="s">
        <v>2626</v>
      </c>
      <c r="J1200" t="s">
        <v>22</v>
      </c>
      <c r="K1200" s="22">
        <v>4</v>
      </c>
      <c r="L1200" s="1">
        <v>42923</v>
      </c>
      <c r="M1200" s="22">
        <f>Table3[[#This Row],[Ship Date]]-Table3[[#This Row],[Order Date]]</f>
        <v>4</v>
      </c>
      <c r="N1200" s="23" t="s">
        <v>45</v>
      </c>
      <c r="O1200" s="23" t="s">
        <v>23</v>
      </c>
      <c r="P1200" s="23" t="s">
        <v>94</v>
      </c>
      <c r="Q1200" s="23" t="s">
        <v>95</v>
      </c>
      <c r="R1200" s="23" t="s">
        <v>3835</v>
      </c>
      <c r="S1200" s="33">
        <v>0.2</v>
      </c>
      <c r="T1200" s="13">
        <v>167.96799999999999</v>
      </c>
      <c r="U1200" s="13">
        <v>62.988</v>
      </c>
      <c r="V1200" s="55">
        <f>Table3[[#This Row],[Profit]]/Table3[[#This Row],[Sales]]</f>
        <v>0.375</v>
      </c>
    </row>
    <row r="1201" spans="1:22" x14ac:dyDescent="0.2">
      <c r="A1201">
        <v>1200</v>
      </c>
      <c r="B1201" t="s">
        <v>4202</v>
      </c>
      <c r="C1201" s="1">
        <v>42919</v>
      </c>
      <c r="D1201" s="22">
        <f>MONTH(Table3[[#This Row],[Order Date]])</f>
        <v>7</v>
      </c>
      <c r="E1201" t="s">
        <v>4203</v>
      </c>
      <c r="F1201" t="s">
        <v>4204</v>
      </c>
      <c r="G1201" s="23" t="s">
        <v>41</v>
      </c>
      <c r="H1201" s="23" t="s">
        <v>82</v>
      </c>
      <c r="I1201" t="s">
        <v>2897</v>
      </c>
      <c r="J1201" t="s">
        <v>36</v>
      </c>
      <c r="K1201" s="22">
        <v>7</v>
      </c>
      <c r="L1201" s="1">
        <v>42922</v>
      </c>
      <c r="M1201" s="22">
        <f>Table3[[#This Row],[Ship Date]]-Table3[[#This Row],[Order Date]]</f>
        <v>3</v>
      </c>
      <c r="N1201" s="23" t="s">
        <v>20</v>
      </c>
      <c r="O1201" s="23" t="s">
        <v>23</v>
      </c>
      <c r="P1201" s="23" t="s">
        <v>94</v>
      </c>
      <c r="Q1201" s="23" t="s">
        <v>95</v>
      </c>
      <c r="R1201" s="23" t="s">
        <v>165</v>
      </c>
      <c r="S1201" s="33">
        <v>0.2</v>
      </c>
      <c r="T1201" s="13">
        <v>273.89600000000002</v>
      </c>
      <c r="U1201" s="13">
        <v>92.439899999999994</v>
      </c>
      <c r="V1201" s="55">
        <f>Table3[[#This Row],[Profit]]/Table3[[#This Row],[Sales]]</f>
        <v>0.33749999999999997</v>
      </c>
    </row>
    <row r="1202" spans="1:22" x14ac:dyDescent="0.2">
      <c r="A1202">
        <v>1201</v>
      </c>
      <c r="B1202" t="s">
        <v>4202</v>
      </c>
      <c r="C1202" s="1">
        <v>42919</v>
      </c>
      <c r="D1202" s="22">
        <f>MONTH(Table3[[#This Row],[Order Date]])</f>
        <v>7</v>
      </c>
      <c r="E1202" t="s">
        <v>4205</v>
      </c>
      <c r="F1202" t="s">
        <v>4206</v>
      </c>
      <c r="G1202" s="23" t="s">
        <v>64</v>
      </c>
      <c r="H1202" s="23" t="s">
        <v>602</v>
      </c>
      <c r="I1202" t="s">
        <v>2897</v>
      </c>
      <c r="J1202" t="s">
        <v>36</v>
      </c>
      <c r="K1202" s="22">
        <v>3</v>
      </c>
      <c r="L1202" s="1">
        <v>42922</v>
      </c>
      <c r="M1202" s="22">
        <f>Table3[[#This Row],[Ship Date]]-Table3[[#This Row],[Order Date]]</f>
        <v>3</v>
      </c>
      <c r="N1202" s="23" t="s">
        <v>20</v>
      </c>
      <c r="O1202" s="23" t="s">
        <v>23</v>
      </c>
      <c r="P1202" s="23" t="s">
        <v>94</v>
      </c>
      <c r="Q1202" s="23" t="s">
        <v>95</v>
      </c>
      <c r="R1202" s="23" t="s">
        <v>165</v>
      </c>
      <c r="S1202" s="33">
        <v>0.4</v>
      </c>
      <c r="T1202" s="13">
        <v>597.13199999999995</v>
      </c>
      <c r="U1202" s="13">
        <v>49.761000000000003</v>
      </c>
      <c r="V1202" s="55">
        <f>Table3[[#This Row],[Profit]]/Table3[[#This Row],[Sales]]</f>
        <v>8.3333333333333343E-2</v>
      </c>
    </row>
    <row r="1203" spans="1:22" x14ac:dyDescent="0.2">
      <c r="A1203">
        <v>1202</v>
      </c>
      <c r="B1203" t="s">
        <v>4888</v>
      </c>
      <c r="C1203" s="1">
        <v>42919</v>
      </c>
      <c r="D1203" s="22">
        <f>MONTH(Table3[[#This Row],[Order Date]])</f>
        <v>7</v>
      </c>
      <c r="E1203" t="s">
        <v>302</v>
      </c>
      <c r="F1203" t="s">
        <v>303</v>
      </c>
      <c r="G1203" s="23" t="s">
        <v>28</v>
      </c>
      <c r="H1203" s="23" t="s">
        <v>58</v>
      </c>
      <c r="I1203" t="s">
        <v>1810</v>
      </c>
      <c r="J1203" t="s">
        <v>22</v>
      </c>
      <c r="K1203" s="22">
        <v>9</v>
      </c>
      <c r="L1203" s="1">
        <v>42926</v>
      </c>
      <c r="M1203" s="22">
        <f>Table3[[#This Row],[Ship Date]]-Table3[[#This Row],[Order Date]]</f>
        <v>7</v>
      </c>
      <c r="N1203" s="23" t="s">
        <v>45</v>
      </c>
      <c r="O1203" s="23" t="s">
        <v>23</v>
      </c>
      <c r="P1203" s="23" t="s">
        <v>589</v>
      </c>
      <c r="Q1203" s="23" t="s">
        <v>39</v>
      </c>
      <c r="R1203" s="23" t="s">
        <v>2510</v>
      </c>
      <c r="S1203" s="33">
        <v>0</v>
      </c>
      <c r="T1203" s="13">
        <v>545.85</v>
      </c>
      <c r="U1203" s="13">
        <v>114.6285</v>
      </c>
      <c r="V1203" s="55">
        <f>Table3[[#This Row],[Profit]]/Table3[[#This Row],[Sales]]</f>
        <v>0.21</v>
      </c>
    </row>
    <row r="1204" spans="1:22" x14ac:dyDescent="0.2">
      <c r="A1204">
        <v>1203</v>
      </c>
      <c r="B1204" t="s">
        <v>5921</v>
      </c>
      <c r="C1204" s="1">
        <v>42919</v>
      </c>
      <c r="D1204" s="22">
        <f>MONTH(Table3[[#This Row],[Order Date]])</f>
        <v>7</v>
      </c>
      <c r="E1204" t="s">
        <v>5922</v>
      </c>
      <c r="F1204" t="s">
        <v>5923</v>
      </c>
      <c r="G1204" s="23" t="s">
        <v>41</v>
      </c>
      <c r="H1204" s="23" t="s">
        <v>82</v>
      </c>
      <c r="I1204" t="s">
        <v>3315</v>
      </c>
      <c r="J1204" t="s">
        <v>92</v>
      </c>
      <c r="K1204" s="22">
        <v>4</v>
      </c>
      <c r="L1204" s="1">
        <v>42922</v>
      </c>
      <c r="M1204" s="22">
        <f>Table3[[#This Row],[Ship Date]]-Table3[[#This Row],[Order Date]]</f>
        <v>3</v>
      </c>
      <c r="N1204" s="23" t="s">
        <v>20</v>
      </c>
      <c r="O1204" s="23" t="s">
        <v>23</v>
      </c>
      <c r="P1204" s="23" t="s">
        <v>441</v>
      </c>
      <c r="Q1204" s="23" t="s">
        <v>133</v>
      </c>
      <c r="R1204" s="23" t="s">
        <v>2174</v>
      </c>
      <c r="S1204" s="33">
        <v>0.2</v>
      </c>
      <c r="T1204" s="13">
        <v>32.896000000000001</v>
      </c>
      <c r="U1204" s="13">
        <v>11.102399999999999</v>
      </c>
      <c r="V1204" s="55">
        <f>Table3[[#This Row],[Profit]]/Table3[[#This Row],[Sales]]</f>
        <v>0.33749999999999997</v>
      </c>
    </row>
    <row r="1205" spans="1:22" x14ac:dyDescent="0.2">
      <c r="A1205">
        <v>1204</v>
      </c>
      <c r="B1205" t="s">
        <v>5921</v>
      </c>
      <c r="C1205" s="1">
        <v>42919</v>
      </c>
      <c r="D1205" s="22">
        <f>MONTH(Table3[[#This Row],[Order Date]])</f>
        <v>7</v>
      </c>
      <c r="E1205" t="s">
        <v>1269</v>
      </c>
      <c r="F1205" t="s">
        <v>1270</v>
      </c>
      <c r="G1205" s="23" t="s">
        <v>28</v>
      </c>
      <c r="H1205" s="23" t="s">
        <v>50</v>
      </c>
      <c r="I1205" t="s">
        <v>3315</v>
      </c>
      <c r="J1205" t="s">
        <v>92</v>
      </c>
      <c r="K1205" s="22">
        <v>2</v>
      </c>
      <c r="L1205" s="1">
        <v>42922</v>
      </c>
      <c r="M1205" s="22">
        <f>Table3[[#This Row],[Ship Date]]-Table3[[#This Row],[Order Date]]</f>
        <v>3</v>
      </c>
      <c r="N1205" s="23" t="s">
        <v>20</v>
      </c>
      <c r="O1205" s="23" t="s">
        <v>23</v>
      </c>
      <c r="P1205" s="23" t="s">
        <v>441</v>
      </c>
      <c r="Q1205" s="23" t="s">
        <v>133</v>
      </c>
      <c r="R1205" s="23" t="s">
        <v>2174</v>
      </c>
      <c r="S1205" s="33">
        <v>0.4</v>
      </c>
      <c r="T1205" s="13">
        <v>215.148</v>
      </c>
      <c r="U1205" s="13">
        <v>-103.98820000000001</v>
      </c>
      <c r="V1205" s="55">
        <f>Table3[[#This Row],[Profit]]/Table3[[#This Row],[Sales]]</f>
        <v>-0.48333333333333339</v>
      </c>
    </row>
    <row r="1206" spans="1:22" x14ac:dyDescent="0.2">
      <c r="A1206">
        <v>1205</v>
      </c>
      <c r="B1206" t="s">
        <v>5921</v>
      </c>
      <c r="C1206" s="1">
        <v>42919</v>
      </c>
      <c r="D1206" s="22">
        <f>MONTH(Table3[[#This Row],[Order Date]])</f>
        <v>7</v>
      </c>
      <c r="E1206" t="s">
        <v>5188</v>
      </c>
      <c r="F1206" t="s">
        <v>5189</v>
      </c>
      <c r="G1206" s="23" t="s">
        <v>41</v>
      </c>
      <c r="H1206" s="23" t="s">
        <v>82</v>
      </c>
      <c r="I1206" t="s">
        <v>3315</v>
      </c>
      <c r="J1206" t="s">
        <v>92</v>
      </c>
      <c r="K1206" s="22">
        <v>6</v>
      </c>
      <c r="L1206" s="1">
        <v>42922</v>
      </c>
      <c r="M1206" s="22">
        <f>Table3[[#This Row],[Ship Date]]-Table3[[#This Row],[Order Date]]</f>
        <v>3</v>
      </c>
      <c r="N1206" s="23" t="s">
        <v>20</v>
      </c>
      <c r="O1206" s="23" t="s">
        <v>23</v>
      </c>
      <c r="P1206" s="23" t="s">
        <v>441</v>
      </c>
      <c r="Q1206" s="23" t="s">
        <v>133</v>
      </c>
      <c r="R1206" s="23" t="s">
        <v>2174</v>
      </c>
      <c r="S1206" s="33">
        <v>0.2</v>
      </c>
      <c r="T1206" s="13">
        <v>30.96</v>
      </c>
      <c r="U1206" s="13">
        <v>11.223000000000001</v>
      </c>
      <c r="V1206" s="55">
        <f>Table3[[#This Row],[Profit]]/Table3[[#This Row],[Sales]]</f>
        <v>0.36249999999999999</v>
      </c>
    </row>
    <row r="1207" spans="1:22" x14ac:dyDescent="0.2">
      <c r="A1207">
        <v>1206</v>
      </c>
      <c r="B1207" t="s">
        <v>6041</v>
      </c>
      <c r="C1207" s="1">
        <v>42919</v>
      </c>
      <c r="D1207" s="22">
        <f>MONTH(Table3[[#This Row],[Order Date]])</f>
        <v>7</v>
      </c>
      <c r="E1207" t="s">
        <v>897</v>
      </c>
      <c r="F1207" t="s">
        <v>898</v>
      </c>
      <c r="G1207" s="23" t="s">
        <v>64</v>
      </c>
      <c r="H1207" s="23" t="s">
        <v>144</v>
      </c>
      <c r="I1207" t="s">
        <v>638</v>
      </c>
      <c r="J1207" t="s">
        <v>92</v>
      </c>
      <c r="K1207" s="22">
        <v>2</v>
      </c>
      <c r="L1207" s="1">
        <v>42919</v>
      </c>
      <c r="M1207" s="22">
        <f>Table3[[#This Row],[Ship Date]]-Table3[[#This Row],[Order Date]]</f>
        <v>0</v>
      </c>
      <c r="N1207" s="23" t="s">
        <v>1141</v>
      </c>
      <c r="O1207" s="23" t="s">
        <v>23</v>
      </c>
      <c r="P1207" s="23" t="s">
        <v>87</v>
      </c>
      <c r="Q1207" s="23" t="s">
        <v>39</v>
      </c>
      <c r="R1207" s="23" t="s">
        <v>86</v>
      </c>
      <c r="S1207" s="33">
        <v>0</v>
      </c>
      <c r="T1207" s="13">
        <v>59.98</v>
      </c>
      <c r="U1207" s="13">
        <v>26.391200000000001</v>
      </c>
      <c r="V1207" s="55">
        <f>Table3[[#This Row],[Profit]]/Table3[[#This Row],[Sales]]</f>
        <v>0.44000000000000006</v>
      </c>
    </row>
    <row r="1208" spans="1:22" x14ac:dyDescent="0.2">
      <c r="A1208">
        <v>1207</v>
      </c>
      <c r="B1208" t="s">
        <v>6041</v>
      </c>
      <c r="C1208" s="1">
        <v>42919</v>
      </c>
      <c r="D1208" s="22">
        <f>MONTH(Table3[[#This Row],[Order Date]])</f>
        <v>7</v>
      </c>
      <c r="E1208" t="s">
        <v>769</v>
      </c>
      <c r="F1208" t="s">
        <v>6042</v>
      </c>
      <c r="G1208" s="23" t="s">
        <v>64</v>
      </c>
      <c r="H1208" s="23" t="s">
        <v>602</v>
      </c>
      <c r="I1208" t="s">
        <v>638</v>
      </c>
      <c r="J1208" t="s">
        <v>92</v>
      </c>
      <c r="K1208" s="22">
        <v>6</v>
      </c>
      <c r="L1208" s="1">
        <v>42919</v>
      </c>
      <c r="M1208" s="22">
        <f>Table3[[#This Row],[Ship Date]]-Table3[[#This Row],[Order Date]]</f>
        <v>0</v>
      </c>
      <c r="N1208" s="23" t="s">
        <v>1141</v>
      </c>
      <c r="O1208" s="23" t="s">
        <v>23</v>
      </c>
      <c r="P1208" s="23" t="s">
        <v>87</v>
      </c>
      <c r="Q1208" s="23" t="s">
        <v>39</v>
      </c>
      <c r="R1208" s="23" t="s">
        <v>86</v>
      </c>
      <c r="S1208" s="33">
        <v>0.2</v>
      </c>
      <c r="T1208" s="13">
        <v>2395.1999999999998</v>
      </c>
      <c r="U1208" s="13">
        <v>209.58</v>
      </c>
      <c r="V1208" s="55">
        <f>Table3[[#This Row],[Profit]]/Table3[[#This Row],[Sales]]</f>
        <v>8.7500000000000008E-2</v>
      </c>
    </row>
    <row r="1209" spans="1:22" x14ac:dyDescent="0.2">
      <c r="A1209">
        <v>1208</v>
      </c>
      <c r="B1209" t="s">
        <v>6041</v>
      </c>
      <c r="C1209" s="1">
        <v>42919</v>
      </c>
      <c r="D1209" s="22">
        <f>MONTH(Table3[[#This Row],[Order Date]])</f>
        <v>7</v>
      </c>
      <c r="E1209" t="s">
        <v>2382</v>
      </c>
      <c r="F1209" t="s">
        <v>3762</v>
      </c>
      <c r="G1209" s="23" t="s">
        <v>64</v>
      </c>
      <c r="H1209" s="23" t="s">
        <v>144</v>
      </c>
      <c r="I1209" t="s">
        <v>638</v>
      </c>
      <c r="J1209" t="s">
        <v>92</v>
      </c>
      <c r="K1209" s="22">
        <v>4</v>
      </c>
      <c r="L1209" s="1">
        <v>42919</v>
      </c>
      <c r="M1209" s="22">
        <f>Table3[[#This Row],[Ship Date]]-Table3[[#This Row],[Order Date]]</f>
        <v>0</v>
      </c>
      <c r="N1209" s="23" t="s">
        <v>1141</v>
      </c>
      <c r="O1209" s="23" t="s">
        <v>23</v>
      </c>
      <c r="P1209" s="23" t="s">
        <v>87</v>
      </c>
      <c r="Q1209" s="23" t="s">
        <v>39</v>
      </c>
      <c r="R1209" s="23" t="s">
        <v>86</v>
      </c>
      <c r="S1209" s="33">
        <v>0</v>
      </c>
      <c r="T1209" s="13">
        <v>1687.8</v>
      </c>
      <c r="U1209" s="13">
        <v>742.63199999999995</v>
      </c>
      <c r="V1209" s="55">
        <f>Table3[[#This Row],[Profit]]/Table3[[#This Row],[Sales]]</f>
        <v>0.44</v>
      </c>
    </row>
    <row r="1210" spans="1:22" x14ac:dyDescent="0.2">
      <c r="A1210">
        <v>1209</v>
      </c>
      <c r="B1210" t="s">
        <v>6041</v>
      </c>
      <c r="C1210" s="1">
        <v>42919</v>
      </c>
      <c r="D1210" s="22">
        <f>MONTH(Table3[[#This Row],[Order Date]])</f>
        <v>7</v>
      </c>
      <c r="E1210" t="s">
        <v>1092</v>
      </c>
      <c r="F1210" t="s">
        <v>1093</v>
      </c>
      <c r="G1210" s="23" t="s">
        <v>64</v>
      </c>
      <c r="H1210" s="23" t="s">
        <v>65</v>
      </c>
      <c r="I1210" t="s">
        <v>638</v>
      </c>
      <c r="J1210" t="s">
        <v>92</v>
      </c>
      <c r="K1210" s="22">
        <v>1</v>
      </c>
      <c r="L1210" s="1">
        <v>42919</v>
      </c>
      <c r="M1210" s="22">
        <f>Table3[[#This Row],[Ship Date]]-Table3[[#This Row],[Order Date]]</f>
        <v>0</v>
      </c>
      <c r="N1210" s="23" t="s">
        <v>1141</v>
      </c>
      <c r="O1210" s="23" t="s">
        <v>23</v>
      </c>
      <c r="P1210" s="23" t="s">
        <v>87</v>
      </c>
      <c r="Q1210" s="23" t="s">
        <v>39</v>
      </c>
      <c r="R1210" s="23" t="s">
        <v>86</v>
      </c>
      <c r="S1210" s="33">
        <v>0.2</v>
      </c>
      <c r="T1210" s="13">
        <v>7.992</v>
      </c>
      <c r="U1210" s="13">
        <v>2.6972999999999998</v>
      </c>
      <c r="V1210" s="55">
        <f>Table3[[#This Row],[Profit]]/Table3[[#This Row],[Sales]]</f>
        <v>0.33749999999999997</v>
      </c>
    </row>
    <row r="1211" spans="1:22" x14ac:dyDescent="0.2">
      <c r="A1211">
        <v>1210</v>
      </c>
      <c r="B1211" t="s">
        <v>6121</v>
      </c>
      <c r="C1211" s="1">
        <v>42919</v>
      </c>
      <c r="D1211" s="22">
        <f>MONTH(Table3[[#This Row],[Order Date]])</f>
        <v>7</v>
      </c>
      <c r="E1211" t="s">
        <v>3921</v>
      </c>
      <c r="F1211" t="s">
        <v>3922</v>
      </c>
      <c r="G1211" s="23" t="s">
        <v>64</v>
      </c>
      <c r="H1211" s="23" t="s">
        <v>144</v>
      </c>
      <c r="I1211" t="s">
        <v>664</v>
      </c>
      <c r="J1211" t="s">
        <v>92</v>
      </c>
      <c r="K1211" s="22">
        <v>10</v>
      </c>
      <c r="L1211" s="1">
        <v>42925</v>
      </c>
      <c r="M1211" s="22">
        <f>Table3[[#This Row],[Ship Date]]-Table3[[#This Row],[Order Date]]</f>
        <v>6</v>
      </c>
      <c r="N1211" s="23" t="s">
        <v>45</v>
      </c>
      <c r="O1211" s="23" t="s">
        <v>23</v>
      </c>
      <c r="P1211" s="23" t="s">
        <v>1101</v>
      </c>
      <c r="Q1211" s="23" t="s">
        <v>133</v>
      </c>
      <c r="R1211" s="23" t="s">
        <v>1168</v>
      </c>
      <c r="S1211" s="33">
        <v>0</v>
      </c>
      <c r="T1211" s="13">
        <v>258.89999999999998</v>
      </c>
      <c r="U1211" s="13">
        <v>93.203999999999994</v>
      </c>
      <c r="V1211" s="55">
        <f>Table3[[#This Row],[Profit]]/Table3[[#This Row],[Sales]]</f>
        <v>0.36</v>
      </c>
    </row>
    <row r="1212" spans="1:22" x14ac:dyDescent="0.2">
      <c r="A1212">
        <v>1211</v>
      </c>
      <c r="B1212" t="s">
        <v>6121</v>
      </c>
      <c r="C1212" s="1">
        <v>42919</v>
      </c>
      <c r="D1212" s="22">
        <f>MONTH(Table3[[#This Row],[Order Date]])</f>
        <v>7</v>
      </c>
      <c r="E1212" t="s">
        <v>1106</v>
      </c>
      <c r="F1212" t="s">
        <v>1107</v>
      </c>
      <c r="G1212" s="23" t="s">
        <v>41</v>
      </c>
      <c r="H1212" s="23" t="s">
        <v>82</v>
      </c>
      <c r="I1212" t="s">
        <v>664</v>
      </c>
      <c r="J1212" t="s">
        <v>92</v>
      </c>
      <c r="K1212" s="22">
        <v>2</v>
      </c>
      <c r="L1212" s="1">
        <v>42925</v>
      </c>
      <c r="M1212" s="22">
        <f>Table3[[#This Row],[Ship Date]]-Table3[[#This Row],[Order Date]]</f>
        <v>6</v>
      </c>
      <c r="N1212" s="23" t="s">
        <v>45</v>
      </c>
      <c r="O1212" s="23" t="s">
        <v>23</v>
      </c>
      <c r="P1212" s="23" t="s">
        <v>1101</v>
      </c>
      <c r="Q1212" s="23" t="s">
        <v>133</v>
      </c>
      <c r="R1212" s="23" t="s">
        <v>1168</v>
      </c>
      <c r="S1212" s="33">
        <v>0</v>
      </c>
      <c r="T1212" s="13">
        <v>24.56</v>
      </c>
      <c r="U1212" s="13">
        <v>11.543200000000001</v>
      </c>
      <c r="V1212" s="55">
        <f>Table3[[#This Row],[Profit]]/Table3[[#This Row],[Sales]]</f>
        <v>0.47000000000000003</v>
      </c>
    </row>
    <row r="1213" spans="1:22" x14ac:dyDescent="0.2">
      <c r="A1213">
        <v>1212</v>
      </c>
      <c r="B1213" t="s">
        <v>6654</v>
      </c>
      <c r="C1213" s="1">
        <v>42919</v>
      </c>
      <c r="D1213" s="22">
        <f>MONTH(Table3[[#This Row],[Order Date]])</f>
        <v>7</v>
      </c>
      <c r="E1213" t="s">
        <v>6423</v>
      </c>
      <c r="F1213" t="s">
        <v>6424</v>
      </c>
      <c r="G1213" s="23" t="s">
        <v>28</v>
      </c>
      <c r="H1213" s="23" t="s">
        <v>58</v>
      </c>
      <c r="I1213" t="s">
        <v>705</v>
      </c>
      <c r="J1213" t="s">
        <v>22</v>
      </c>
      <c r="K1213" s="22">
        <v>3</v>
      </c>
      <c r="L1213" s="1">
        <v>42926</v>
      </c>
      <c r="M1213" s="22">
        <f>Table3[[#This Row],[Ship Date]]-Table3[[#This Row],[Order Date]]</f>
        <v>7</v>
      </c>
      <c r="N1213" s="23" t="s">
        <v>45</v>
      </c>
      <c r="O1213" s="23" t="s">
        <v>23</v>
      </c>
      <c r="P1213" s="23" t="s">
        <v>38</v>
      </c>
      <c r="Q1213" s="23" t="s">
        <v>39</v>
      </c>
      <c r="R1213" s="23" t="s">
        <v>6655</v>
      </c>
      <c r="S1213" s="33">
        <v>0</v>
      </c>
      <c r="T1213" s="13">
        <v>129.38999999999999</v>
      </c>
      <c r="U1213" s="13">
        <v>54.343800000000002</v>
      </c>
      <c r="V1213" s="55">
        <f>Table3[[#This Row],[Profit]]/Table3[[#This Row],[Sales]]</f>
        <v>0.42000000000000004</v>
      </c>
    </row>
    <row r="1214" spans="1:22" x14ac:dyDescent="0.2">
      <c r="A1214">
        <v>1213</v>
      </c>
      <c r="B1214" t="s">
        <v>7947</v>
      </c>
      <c r="C1214" s="1">
        <v>42919</v>
      </c>
      <c r="D1214" s="22">
        <f>MONTH(Table3[[#This Row],[Order Date]])</f>
        <v>7</v>
      </c>
      <c r="E1214" t="s">
        <v>780</v>
      </c>
      <c r="F1214" t="s">
        <v>781</v>
      </c>
      <c r="G1214" s="23" t="s">
        <v>41</v>
      </c>
      <c r="H1214" s="23" t="s">
        <v>53</v>
      </c>
      <c r="I1214" t="s">
        <v>2626</v>
      </c>
      <c r="J1214" t="s">
        <v>22</v>
      </c>
      <c r="K1214" s="22">
        <v>4</v>
      </c>
      <c r="L1214" s="1">
        <v>42924</v>
      </c>
      <c r="M1214" s="22">
        <f>Table3[[#This Row],[Ship Date]]-Table3[[#This Row],[Order Date]]</f>
        <v>5</v>
      </c>
      <c r="N1214" s="23" t="s">
        <v>45</v>
      </c>
      <c r="O1214" s="23" t="s">
        <v>23</v>
      </c>
      <c r="P1214" s="23" t="s">
        <v>38</v>
      </c>
      <c r="Q1214" s="23" t="s">
        <v>39</v>
      </c>
      <c r="R1214" s="23" t="s">
        <v>37</v>
      </c>
      <c r="S1214" s="33">
        <v>0</v>
      </c>
      <c r="T1214" s="13">
        <v>87.92</v>
      </c>
      <c r="U1214" s="13">
        <v>0.87919999999999998</v>
      </c>
      <c r="V1214" s="55">
        <f>Table3[[#This Row],[Profit]]/Table3[[#This Row],[Sales]]</f>
        <v>0.01</v>
      </c>
    </row>
    <row r="1215" spans="1:22" x14ac:dyDescent="0.2">
      <c r="A1215">
        <v>1214</v>
      </c>
      <c r="B1215" t="s">
        <v>8934</v>
      </c>
      <c r="C1215" s="1">
        <v>42919</v>
      </c>
      <c r="D1215" s="22">
        <f>MONTH(Table3[[#This Row],[Order Date]])</f>
        <v>7</v>
      </c>
      <c r="E1215" t="s">
        <v>219</v>
      </c>
      <c r="F1215" t="s">
        <v>220</v>
      </c>
      <c r="G1215" s="23" t="s">
        <v>64</v>
      </c>
      <c r="H1215" s="23" t="s">
        <v>144</v>
      </c>
      <c r="I1215" t="s">
        <v>5290</v>
      </c>
      <c r="J1215" t="s">
        <v>22</v>
      </c>
      <c r="K1215" s="22">
        <v>2</v>
      </c>
      <c r="L1215" s="1">
        <v>42925</v>
      </c>
      <c r="M1215" s="22">
        <f>Table3[[#This Row],[Ship Date]]-Table3[[#This Row],[Order Date]]</f>
        <v>6</v>
      </c>
      <c r="N1215" s="23" t="s">
        <v>45</v>
      </c>
      <c r="O1215" s="23" t="s">
        <v>23</v>
      </c>
      <c r="P1215" s="23" t="s">
        <v>80</v>
      </c>
      <c r="Q1215" s="23" t="s">
        <v>26</v>
      </c>
      <c r="R1215" s="23" t="s">
        <v>1345</v>
      </c>
      <c r="S1215" s="33">
        <v>0.2</v>
      </c>
      <c r="T1215" s="13">
        <v>24</v>
      </c>
      <c r="U1215" s="13">
        <v>-2.7</v>
      </c>
      <c r="V1215" s="55">
        <f>Table3[[#This Row],[Profit]]/Table3[[#This Row],[Sales]]</f>
        <v>-0.1125</v>
      </c>
    </row>
    <row r="1216" spans="1:22" x14ac:dyDescent="0.2">
      <c r="A1216">
        <v>1215</v>
      </c>
      <c r="B1216" t="s">
        <v>9334</v>
      </c>
      <c r="C1216" s="1">
        <v>42919</v>
      </c>
      <c r="D1216" s="22">
        <f>MONTH(Table3[[#This Row],[Order Date]])</f>
        <v>7</v>
      </c>
      <c r="E1216" t="s">
        <v>2557</v>
      </c>
      <c r="F1216" t="s">
        <v>2558</v>
      </c>
      <c r="G1216" s="23" t="s">
        <v>28</v>
      </c>
      <c r="H1216" s="23" t="s">
        <v>58</v>
      </c>
      <c r="I1216" t="s">
        <v>5837</v>
      </c>
      <c r="J1216" t="s">
        <v>22</v>
      </c>
      <c r="K1216" s="22">
        <v>1</v>
      </c>
      <c r="L1216" s="1">
        <v>42920</v>
      </c>
      <c r="M1216" s="22">
        <f>Table3[[#This Row],[Ship Date]]-Table3[[#This Row],[Order Date]]</f>
        <v>1</v>
      </c>
      <c r="N1216" s="23" t="s">
        <v>169</v>
      </c>
      <c r="O1216" s="23" t="s">
        <v>23</v>
      </c>
      <c r="P1216" s="23" t="s">
        <v>2373</v>
      </c>
      <c r="Q1216" s="23" t="s">
        <v>133</v>
      </c>
      <c r="R1216" s="23" t="s">
        <v>79</v>
      </c>
      <c r="S1216" s="33">
        <v>0</v>
      </c>
      <c r="T1216" s="13">
        <v>102.3</v>
      </c>
      <c r="U1216" s="13">
        <v>26.597999999999999</v>
      </c>
      <c r="V1216" s="55">
        <f>Table3[[#This Row],[Profit]]/Table3[[#This Row],[Sales]]</f>
        <v>0.26</v>
      </c>
    </row>
    <row r="1217" spans="1:22" x14ac:dyDescent="0.2">
      <c r="A1217">
        <v>1216</v>
      </c>
      <c r="B1217" t="s">
        <v>6599</v>
      </c>
      <c r="C1217" s="1">
        <v>42921</v>
      </c>
      <c r="D1217" s="22">
        <f>MONTH(Table3[[#This Row],[Order Date]])</f>
        <v>7</v>
      </c>
      <c r="E1217" t="s">
        <v>2535</v>
      </c>
      <c r="F1217" t="s">
        <v>2536</v>
      </c>
      <c r="G1217" s="23" t="s">
        <v>28</v>
      </c>
      <c r="H1217" s="23" t="s">
        <v>58</v>
      </c>
      <c r="I1217" t="s">
        <v>2361</v>
      </c>
      <c r="J1217" t="s">
        <v>36</v>
      </c>
      <c r="K1217" s="22">
        <v>9</v>
      </c>
      <c r="L1217" s="1">
        <v>42926</v>
      </c>
      <c r="M1217" s="22">
        <f>Table3[[#This Row],[Ship Date]]-Table3[[#This Row],[Order Date]]</f>
        <v>5</v>
      </c>
      <c r="N1217" s="23" t="s">
        <v>45</v>
      </c>
      <c r="O1217" s="23" t="s">
        <v>23</v>
      </c>
      <c r="P1217" s="23" t="s">
        <v>94</v>
      </c>
      <c r="Q1217" s="23" t="s">
        <v>95</v>
      </c>
      <c r="R1217" s="23" t="s">
        <v>718</v>
      </c>
      <c r="S1217" s="33">
        <v>0.6</v>
      </c>
      <c r="T1217" s="13">
        <v>332.02800000000002</v>
      </c>
      <c r="U1217" s="13">
        <v>-348.62939999999998</v>
      </c>
      <c r="V1217" s="55">
        <f>Table3[[#This Row],[Profit]]/Table3[[#This Row],[Sales]]</f>
        <v>-1.0499999999999998</v>
      </c>
    </row>
    <row r="1218" spans="1:22" x14ac:dyDescent="0.2">
      <c r="A1218">
        <v>1217</v>
      </c>
      <c r="B1218" t="s">
        <v>6599</v>
      </c>
      <c r="C1218" s="1">
        <v>42921</v>
      </c>
      <c r="D1218" s="22">
        <f>MONTH(Table3[[#This Row],[Order Date]])</f>
        <v>7</v>
      </c>
      <c r="E1218" t="s">
        <v>2949</v>
      </c>
      <c r="F1218" t="s">
        <v>2950</v>
      </c>
      <c r="G1218" s="23" t="s">
        <v>41</v>
      </c>
      <c r="H1218" s="23" t="s">
        <v>68</v>
      </c>
      <c r="I1218" t="s">
        <v>2361</v>
      </c>
      <c r="J1218" t="s">
        <v>36</v>
      </c>
      <c r="K1218" s="22">
        <v>9</v>
      </c>
      <c r="L1218" s="1">
        <v>42926</v>
      </c>
      <c r="M1218" s="22">
        <f>Table3[[#This Row],[Ship Date]]-Table3[[#This Row],[Order Date]]</f>
        <v>5</v>
      </c>
      <c r="N1218" s="23" t="s">
        <v>45</v>
      </c>
      <c r="O1218" s="23" t="s">
        <v>23</v>
      </c>
      <c r="P1218" s="23" t="s">
        <v>94</v>
      </c>
      <c r="Q1218" s="23" t="s">
        <v>95</v>
      </c>
      <c r="R1218" s="23" t="s">
        <v>718</v>
      </c>
      <c r="S1218" s="33">
        <v>0.8</v>
      </c>
      <c r="T1218" s="13">
        <v>11.394</v>
      </c>
      <c r="U1218" s="13">
        <v>-17.660699999999999</v>
      </c>
      <c r="V1218" s="55">
        <f>Table3[[#This Row],[Profit]]/Table3[[#This Row],[Sales]]</f>
        <v>-1.5499999999999998</v>
      </c>
    </row>
    <row r="1219" spans="1:22" x14ac:dyDescent="0.2">
      <c r="A1219">
        <v>1218</v>
      </c>
      <c r="B1219" t="s">
        <v>6599</v>
      </c>
      <c r="C1219" s="1">
        <v>42921</v>
      </c>
      <c r="D1219" s="22">
        <f>MONTH(Table3[[#This Row],[Order Date]])</f>
        <v>7</v>
      </c>
      <c r="E1219" t="s">
        <v>6600</v>
      </c>
      <c r="F1219" t="s">
        <v>6601</v>
      </c>
      <c r="G1219" s="23" t="s">
        <v>41</v>
      </c>
      <c r="H1219" s="23" t="s">
        <v>82</v>
      </c>
      <c r="I1219" t="s">
        <v>2361</v>
      </c>
      <c r="J1219" t="s">
        <v>36</v>
      </c>
      <c r="K1219" s="22">
        <v>3</v>
      </c>
      <c r="L1219" s="1">
        <v>42926</v>
      </c>
      <c r="M1219" s="22">
        <f>Table3[[#This Row],[Ship Date]]-Table3[[#This Row],[Order Date]]</f>
        <v>5</v>
      </c>
      <c r="N1219" s="23" t="s">
        <v>45</v>
      </c>
      <c r="O1219" s="23" t="s">
        <v>23</v>
      </c>
      <c r="P1219" s="23" t="s">
        <v>94</v>
      </c>
      <c r="Q1219" s="23" t="s">
        <v>95</v>
      </c>
      <c r="R1219" s="23" t="s">
        <v>718</v>
      </c>
      <c r="S1219" s="33">
        <v>0.2</v>
      </c>
      <c r="T1219" s="13">
        <v>15.552</v>
      </c>
      <c r="U1219" s="13">
        <v>5.6375999999999999</v>
      </c>
      <c r="V1219" s="55">
        <f>Table3[[#This Row],[Profit]]/Table3[[#This Row],[Sales]]</f>
        <v>0.36249999999999999</v>
      </c>
    </row>
    <row r="1220" spans="1:22" x14ac:dyDescent="0.2">
      <c r="A1220">
        <v>1219</v>
      </c>
      <c r="B1220" t="s">
        <v>6599</v>
      </c>
      <c r="C1220" s="1">
        <v>42921</v>
      </c>
      <c r="D1220" s="22">
        <f>MONTH(Table3[[#This Row],[Order Date]])</f>
        <v>7</v>
      </c>
      <c r="E1220" t="s">
        <v>2501</v>
      </c>
      <c r="F1220" t="s">
        <v>6101</v>
      </c>
      <c r="G1220" s="23" t="s">
        <v>41</v>
      </c>
      <c r="H1220" s="23" t="s">
        <v>82</v>
      </c>
      <c r="I1220" t="s">
        <v>2361</v>
      </c>
      <c r="J1220" t="s">
        <v>36</v>
      </c>
      <c r="K1220" s="22">
        <v>6</v>
      </c>
      <c r="L1220" s="1">
        <v>42926</v>
      </c>
      <c r="M1220" s="22">
        <f>Table3[[#This Row],[Ship Date]]-Table3[[#This Row],[Order Date]]</f>
        <v>5</v>
      </c>
      <c r="N1220" s="23" t="s">
        <v>45</v>
      </c>
      <c r="O1220" s="23" t="s">
        <v>23</v>
      </c>
      <c r="P1220" s="23" t="s">
        <v>94</v>
      </c>
      <c r="Q1220" s="23" t="s">
        <v>95</v>
      </c>
      <c r="R1220" s="23" t="s">
        <v>718</v>
      </c>
      <c r="S1220" s="33">
        <v>0.2</v>
      </c>
      <c r="T1220" s="13">
        <v>31.103999999999999</v>
      </c>
      <c r="U1220" s="13">
        <v>11.2752</v>
      </c>
      <c r="V1220" s="55">
        <f>Table3[[#This Row],[Profit]]/Table3[[#This Row],[Sales]]</f>
        <v>0.36249999999999999</v>
      </c>
    </row>
    <row r="1221" spans="1:22" x14ac:dyDescent="0.2">
      <c r="A1221">
        <v>1220</v>
      </c>
      <c r="B1221" t="s">
        <v>6599</v>
      </c>
      <c r="C1221" s="1">
        <v>42921</v>
      </c>
      <c r="D1221" s="22">
        <f>MONTH(Table3[[#This Row],[Order Date]])</f>
        <v>7</v>
      </c>
      <c r="E1221" t="s">
        <v>1230</v>
      </c>
      <c r="F1221" t="s">
        <v>1231</v>
      </c>
      <c r="G1221" s="23" t="s">
        <v>41</v>
      </c>
      <c r="H1221" s="23" t="s">
        <v>68</v>
      </c>
      <c r="I1221" t="s">
        <v>2361</v>
      </c>
      <c r="J1221" t="s">
        <v>36</v>
      </c>
      <c r="K1221" s="22">
        <v>1</v>
      </c>
      <c r="L1221" s="1">
        <v>42926</v>
      </c>
      <c r="M1221" s="22">
        <f>Table3[[#This Row],[Ship Date]]-Table3[[#This Row],[Order Date]]</f>
        <v>5</v>
      </c>
      <c r="N1221" s="23" t="s">
        <v>45</v>
      </c>
      <c r="O1221" s="23" t="s">
        <v>23</v>
      </c>
      <c r="P1221" s="23" t="s">
        <v>94</v>
      </c>
      <c r="Q1221" s="23" t="s">
        <v>95</v>
      </c>
      <c r="R1221" s="23" t="s">
        <v>718</v>
      </c>
      <c r="S1221" s="33">
        <v>0.8</v>
      </c>
      <c r="T1221" s="13">
        <v>6.3159999999999998</v>
      </c>
      <c r="U1221" s="13">
        <v>-10.4214</v>
      </c>
      <c r="V1221" s="55">
        <f>Table3[[#This Row],[Profit]]/Table3[[#This Row],[Sales]]</f>
        <v>-1.6500000000000001</v>
      </c>
    </row>
    <row r="1222" spans="1:22" x14ac:dyDescent="0.2">
      <c r="A1222">
        <v>1221</v>
      </c>
      <c r="B1222" t="s">
        <v>9919</v>
      </c>
      <c r="C1222" s="1">
        <v>42921</v>
      </c>
      <c r="D1222" s="22">
        <f>MONTH(Table3[[#This Row],[Order Date]])</f>
        <v>7</v>
      </c>
      <c r="E1222" t="s">
        <v>493</v>
      </c>
      <c r="F1222" t="s">
        <v>494</v>
      </c>
      <c r="G1222" s="23" t="s">
        <v>64</v>
      </c>
      <c r="H1222" s="23" t="s">
        <v>65</v>
      </c>
      <c r="I1222" t="s">
        <v>3402</v>
      </c>
      <c r="J1222" t="s">
        <v>36</v>
      </c>
      <c r="K1222" s="22">
        <v>4</v>
      </c>
      <c r="L1222" s="1">
        <v>42923</v>
      </c>
      <c r="M1222" s="22">
        <f>Table3[[#This Row],[Ship Date]]-Table3[[#This Row],[Order Date]]</f>
        <v>2</v>
      </c>
      <c r="N1222" s="23" t="s">
        <v>169</v>
      </c>
      <c r="O1222" s="23" t="s">
        <v>23</v>
      </c>
      <c r="P1222" s="23" t="s">
        <v>124</v>
      </c>
      <c r="Q1222" s="23" t="s">
        <v>95</v>
      </c>
      <c r="R1222" s="23" t="s">
        <v>123</v>
      </c>
      <c r="S1222" s="33">
        <v>0</v>
      </c>
      <c r="T1222" s="13">
        <v>79.959999999999994</v>
      </c>
      <c r="U1222" s="13">
        <v>22.3888</v>
      </c>
      <c r="V1222" s="55">
        <f>Table3[[#This Row],[Profit]]/Table3[[#This Row],[Sales]]</f>
        <v>0.28000000000000003</v>
      </c>
    </row>
    <row r="1223" spans="1:22" x14ac:dyDescent="0.2">
      <c r="A1223">
        <v>1222</v>
      </c>
      <c r="B1223" t="s">
        <v>698</v>
      </c>
      <c r="C1223" s="1">
        <v>42922</v>
      </c>
      <c r="D1223" s="22">
        <f>MONTH(Table3[[#This Row],[Order Date]])</f>
        <v>7</v>
      </c>
      <c r="E1223" t="s">
        <v>700</v>
      </c>
      <c r="F1223" t="s">
        <v>701</v>
      </c>
      <c r="G1223" s="23" t="s">
        <v>41</v>
      </c>
      <c r="H1223" s="23" t="s">
        <v>68</v>
      </c>
      <c r="I1223" t="s">
        <v>699</v>
      </c>
      <c r="J1223" t="s">
        <v>36</v>
      </c>
      <c r="K1223" s="22">
        <v>2</v>
      </c>
      <c r="L1223" s="1">
        <v>42929</v>
      </c>
      <c r="M1223" s="22">
        <f>Table3[[#This Row],[Ship Date]]-Table3[[#This Row],[Order Date]]</f>
        <v>7</v>
      </c>
      <c r="N1223" s="23" t="s">
        <v>45</v>
      </c>
      <c r="O1223" s="23" t="s">
        <v>23</v>
      </c>
      <c r="P1223" s="23" t="s">
        <v>132</v>
      </c>
      <c r="Q1223" s="23" t="s">
        <v>133</v>
      </c>
      <c r="R1223" s="23" t="s">
        <v>131</v>
      </c>
      <c r="S1223" s="33">
        <v>0.7</v>
      </c>
      <c r="T1223" s="13">
        <v>2.9460000000000002</v>
      </c>
      <c r="U1223" s="13">
        <v>-2.2585999999999999</v>
      </c>
      <c r="V1223" s="55">
        <f>Table3[[#This Row],[Profit]]/Table3[[#This Row],[Sales]]</f>
        <v>-0.76666666666666661</v>
      </c>
    </row>
    <row r="1224" spans="1:22" x14ac:dyDescent="0.2">
      <c r="A1224">
        <v>1223</v>
      </c>
      <c r="B1224" t="s">
        <v>698</v>
      </c>
      <c r="C1224" s="1">
        <v>42922</v>
      </c>
      <c r="D1224" s="22">
        <f>MONTH(Table3[[#This Row],[Order Date]])</f>
        <v>7</v>
      </c>
      <c r="E1224" t="s">
        <v>702</v>
      </c>
      <c r="F1224" t="s">
        <v>703</v>
      </c>
      <c r="G1224" s="23" t="s">
        <v>41</v>
      </c>
      <c r="H1224" s="23" t="s">
        <v>82</v>
      </c>
      <c r="I1224" t="s">
        <v>699</v>
      </c>
      <c r="J1224" t="s">
        <v>36</v>
      </c>
      <c r="K1224" s="22">
        <v>3</v>
      </c>
      <c r="L1224" s="1">
        <v>42929</v>
      </c>
      <c r="M1224" s="22">
        <f>Table3[[#This Row],[Ship Date]]-Table3[[#This Row],[Order Date]]</f>
        <v>7</v>
      </c>
      <c r="N1224" s="23" t="s">
        <v>45</v>
      </c>
      <c r="O1224" s="23" t="s">
        <v>23</v>
      </c>
      <c r="P1224" s="23" t="s">
        <v>132</v>
      </c>
      <c r="Q1224" s="23" t="s">
        <v>133</v>
      </c>
      <c r="R1224" s="23" t="s">
        <v>131</v>
      </c>
      <c r="S1224" s="33">
        <v>0.2</v>
      </c>
      <c r="T1224" s="13">
        <v>16.056000000000001</v>
      </c>
      <c r="U1224" s="13">
        <v>5.8202999999999996</v>
      </c>
      <c r="V1224" s="55">
        <f>Table3[[#This Row],[Profit]]/Table3[[#This Row],[Sales]]</f>
        <v>0.36249999999999993</v>
      </c>
    </row>
    <row r="1225" spans="1:22" x14ac:dyDescent="0.2">
      <c r="A1225">
        <v>1224</v>
      </c>
      <c r="B1225" t="s">
        <v>7865</v>
      </c>
      <c r="C1225" s="1">
        <v>42922</v>
      </c>
      <c r="D1225" s="22">
        <f>MONTH(Table3[[#This Row],[Order Date]])</f>
        <v>7</v>
      </c>
      <c r="E1225" t="s">
        <v>4186</v>
      </c>
      <c r="F1225" t="s">
        <v>4187</v>
      </c>
      <c r="G1225" s="23" t="s">
        <v>28</v>
      </c>
      <c r="H1225" s="23" t="s">
        <v>32</v>
      </c>
      <c r="I1225" t="s">
        <v>6575</v>
      </c>
      <c r="J1225" t="s">
        <v>22</v>
      </c>
      <c r="K1225" s="22">
        <v>1</v>
      </c>
      <c r="L1225" s="1">
        <v>42922</v>
      </c>
      <c r="M1225" s="22">
        <f>Table3[[#This Row],[Ship Date]]-Table3[[#This Row],[Order Date]]</f>
        <v>0</v>
      </c>
      <c r="N1225" s="23" t="s">
        <v>1141</v>
      </c>
      <c r="O1225" s="23" t="s">
        <v>23</v>
      </c>
      <c r="P1225" s="23" t="s">
        <v>48</v>
      </c>
      <c r="Q1225" s="23" t="s">
        <v>26</v>
      </c>
      <c r="R1225" s="23" t="s">
        <v>1253</v>
      </c>
      <c r="S1225" s="33">
        <v>0.2</v>
      </c>
      <c r="T1225" s="13">
        <v>239.24</v>
      </c>
      <c r="U1225" s="13">
        <v>23.923999999999999</v>
      </c>
      <c r="V1225" s="55">
        <f>Table3[[#This Row],[Profit]]/Table3[[#This Row],[Sales]]</f>
        <v>9.9999999999999992E-2</v>
      </c>
    </row>
    <row r="1226" spans="1:22" x14ac:dyDescent="0.2">
      <c r="A1226">
        <v>1225</v>
      </c>
      <c r="B1226" t="s">
        <v>8293</v>
      </c>
      <c r="C1226" s="1">
        <v>42922</v>
      </c>
      <c r="D1226" s="22">
        <f>MONTH(Table3[[#This Row],[Order Date]])</f>
        <v>7</v>
      </c>
      <c r="E1226" t="s">
        <v>272</v>
      </c>
      <c r="F1226" t="s">
        <v>488</v>
      </c>
      <c r="G1226" s="23" t="s">
        <v>28</v>
      </c>
      <c r="H1226" s="23" t="s">
        <v>32</v>
      </c>
      <c r="I1226" t="s">
        <v>1051</v>
      </c>
      <c r="J1226" t="s">
        <v>22</v>
      </c>
      <c r="K1226" s="22">
        <v>3</v>
      </c>
      <c r="L1226" s="1">
        <v>42927</v>
      </c>
      <c r="M1226" s="22">
        <f>Table3[[#This Row],[Ship Date]]-Table3[[#This Row],[Order Date]]</f>
        <v>5</v>
      </c>
      <c r="N1226" s="23" t="s">
        <v>45</v>
      </c>
      <c r="O1226" s="23" t="s">
        <v>23</v>
      </c>
      <c r="P1226" s="23" t="s">
        <v>38</v>
      </c>
      <c r="Q1226" s="23" t="s">
        <v>39</v>
      </c>
      <c r="R1226" s="23" t="s">
        <v>37</v>
      </c>
      <c r="S1226" s="33">
        <v>0.2</v>
      </c>
      <c r="T1226" s="13">
        <v>122.136</v>
      </c>
      <c r="U1226" s="13">
        <v>-13.7403</v>
      </c>
      <c r="V1226" s="55">
        <f>Table3[[#This Row],[Profit]]/Table3[[#This Row],[Sales]]</f>
        <v>-0.1125</v>
      </c>
    </row>
    <row r="1227" spans="1:22" x14ac:dyDescent="0.2">
      <c r="A1227">
        <v>1226</v>
      </c>
      <c r="B1227" t="s">
        <v>3112</v>
      </c>
      <c r="C1227" s="1">
        <v>42923</v>
      </c>
      <c r="D1227" s="22">
        <f>MONTH(Table3[[#This Row],[Order Date]])</f>
        <v>7</v>
      </c>
      <c r="E1227" t="s">
        <v>141</v>
      </c>
      <c r="F1227" t="s">
        <v>142</v>
      </c>
      <c r="G1227" s="23" t="s">
        <v>41</v>
      </c>
      <c r="H1227" s="23" t="s">
        <v>68</v>
      </c>
      <c r="I1227" t="s">
        <v>2870</v>
      </c>
      <c r="J1227" t="s">
        <v>22</v>
      </c>
      <c r="K1227" s="22">
        <v>3</v>
      </c>
      <c r="L1227" s="1">
        <v>42925</v>
      </c>
      <c r="M1227" s="22">
        <f>Table3[[#This Row],[Ship Date]]-Table3[[#This Row],[Order Date]]</f>
        <v>2</v>
      </c>
      <c r="N1227" s="23" t="s">
        <v>20</v>
      </c>
      <c r="O1227" s="23" t="s">
        <v>23</v>
      </c>
      <c r="P1227" s="23" t="s">
        <v>238</v>
      </c>
      <c r="Q1227" s="23" t="s">
        <v>133</v>
      </c>
      <c r="R1227" s="23" t="s">
        <v>1037</v>
      </c>
      <c r="S1227" s="33">
        <v>0.2</v>
      </c>
      <c r="T1227" s="13">
        <v>17.472000000000001</v>
      </c>
      <c r="U1227" s="13">
        <v>6.3335999999999997</v>
      </c>
      <c r="V1227" s="55">
        <f>Table3[[#This Row],[Profit]]/Table3[[#This Row],[Sales]]</f>
        <v>0.36249999999999993</v>
      </c>
    </row>
    <row r="1228" spans="1:22" x14ac:dyDescent="0.2">
      <c r="A1228">
        <v>1227</v>
      </c>
      <c r="B1228" t="s">
        <v>4799</v>
      </c>
      <c r="C1228" s="1">
        <v>42923</v>
      </c>
      <c r="D1228" s="22">
        <f>MONTH(Table3[[#This Row],[Order Date]])</f>
        <v>7</v>
      </c>
      <c r="E1228" t="s">
        <v>2491</v>
      </c>
      <c r="F1228" t="s">
        <v>2492</v>
      </c>
      <c r="G1228" s="23" t="s">
        <v>64</v>
      </c>
      <c r="H1228" s="23" t="s">
        <v>144</v>
      </c>
      <c r="I1228" t="s">
        <v>1307</v>
      </c>
      <c r="J1228" t="s">
        <v>36</v>
      </c>
      <c r="K1228" s="22">
        <v>4</v>
      </c>
      <c r="L1228" s="1">
        <v>42925</v>
      </c>
      <c r="M1228" s="22">
        <f>Table3[[#This Row],[Ship Date]]-Table3[[#This Row],[Order Date]]</f>
        <v>2</v>
      </c>
      <c r="N1228" s="23" t="s">
        <v>20</v>
      </c>
      <c r="O1228" s="23" t="s">
        <v>23</v>
      </c>
      <c r="P1228" s="23" t="s">
        <v>1235</v>
      </c>
      <c r="Q1228" s="23" t="s">
        <v>133</v>
      </c>
      <c r="R1228" s="23" t="s">
        <v>1234</v>
      </c>
      <c r="S1228" s="33">
        <v>0</v>
      </c>
      <c r="T1228" s="13">
        <v>252</v>
      </c>
      <c r="U1228" s="13">
        <v>93.24</v>
      </c>
      <c r="V1228" s="55">
        <f>Table3[[#This Row],[Profit]]/Table3[[#This Row],[Sales]]</f>
        <v>0.37</v>
      </c>
    </row>
    <row r="1229" spans="1:22" x14ac:dyDescent="0.2">
      <c r="A1229">
        <v>1228</v>
      </c>
      <c r="B1229" t="s">
        <v>7814</v>
      </c>
      <c r="C1229" s="1">
        <v>42923</v>
      </c>
      <c r="D1229" s="22">
        <f>MONTH(Table3[[#This Row],[Order Date]])</f>
        <v>7</v>
      </c>
      <c r="E1229" t="s">
        <v>2299</v>
      </c>
      <c r="F1229" t="s">
        <v>2300</v>
      </c>
      <c r="G1229" s="23" t="s">
        <v>28</v>
      </c>
      <c r="H1229" s="23" t="s">
        <v>29</v>
      </c>
      <c r="I1229" t="s">
        <v>1607</v>
      </c>
      <c r="J1229" t="s">
        <v>22</v>
      </c>
      <c r="K1229" s="22">
        <v>3</v>
      </c>
      <c r="L1229" s="1">
        <v>42925</v>
      </c>
      <c r="M1229" s="22">
        <f>Table3[[#This Row],[Ship Date]]-Table3[[#This Row],[Order Date]]</f>
        <v>2</v>
      </c>
      <c r="N1229" s="23" t="s">
        <v>169</v>
      </c>
      <c r="O1229" s="23" t="s">
        <v>23</v>
      </c>
      <c r="P1229" s="23" t="s">
        <v>132</v>
      </c>
      <c r="Q1229" s="23" t="s">
        <v>133</v>
      </c>
      <c r="R1229" s="23" t="s">
        <v>131</v>
      </c>
      <c r="S1229" s="33">
        <v>0.5</v>
      </c>
      <c r="T1229" s="13">
        <v>87.21</v>
      </c>
      <c r="U1229" s="13">
        <v>-45.349200000000003</v>
      </c>
      <c r="V1229" s="55">
        <f>Table3[[#This Row],[Profit]]/Table3[[#This Row],[Sales]]</f>
        <v>-0.52000000000000013</v>
      </c>
    </row>
    <row r="1230" spans="1:22" x14ac:dyDescent="0.2">
      <c r="A1230">
        <v>1229</v>
      </c>
      <c r="B1230" t="s">
        <v>7814</v>
      </c>
      <c r="C1230" s="1">
        <v>42923</v>
      </c>
      <c r="D1230" s="22">
        <f>MONTH(Table3[[#This Row],[Order Date]])</f>
        <v>7</v>
      </c>
      <c r="E1230" t="s">
        <v>933</v>
      </c>
      <c r="F1230" t="s">
        <v>934</v>
      </c>
      <c r="G1230" s="23" t="s">
        <v>41</v>
      </c>
      <c r="H1230" s="23" t="s">
        <v>82</v>
      </c>
      <c r="I1230" t="s">
        <v>1607</v>
      </c>
      <c r="J1230" t="s">
        <v>22</v>
      </c>
      <c r="K1230" s="22">
        <v>3</v>
      </c>
      <c r="L1230" s="1">
        <v>42925</v>
      </c>
      <c r="M1230" s="22">
        <f>Table3[[#This Row],[Ship Date]]-Table3[[#This Row],[Order Date]]</f>
        <v>2</v>
      </c>
      <c r="N1230" s="23" t="s">
        <v>169</v>
      </c>
      <c r="O1230" s="23" t="s">
        <v>23</v>
      </c>
      <c r="P1230" s="23" t="s">
        <v>132</v>
      </c>
      <c r="Q1230" s="23" t="s">
        <v>133</v>
      </c>
      <c r="R1230" s="23" t="s">
        <v>131</v>
      </c>
      <c r="S1230" s="33">
        <v>0.2</v>
      </c>
      <c r="T1230" s="13">
        <v>15.552</v>
      </c>
      <c r="U1230" s="13">
        <v>5.4432</v>
      </c>
      <c r="V1230" s="55">
        <f>Table3[[#This Row],[Profit]]/Table3[[#This Row],[Sales]]</f>
        <v>0.35000000000000003</v>
      </c>
    </row>
    <row r="1231" spans="1:22" x14ac:dyDescent="0.2">
      <c r="A1231">
        <v>1230</v>
      </c>
      <c r="B1231" t="s">
        <v>7814</v>
      </c>
      <c r="C1231" s="1">
        <v>42923</v>
      </c>
      <c r="D1231" s="22">
        <f>MONTH(Table3[[#This Row],[Order Date]])</f>
        <v>7</v>
      </c>
      <c r="E1231" t="s">
        <v>1484</v>
      </c>
      <c r="F1231" t="s">
        <v>1485</v>
      </c>
      <c r="G1231" s="23" t="s">
        <v>64</v>
      </c>
      <c r="H1231" s="23" t="s">
        <v>65</v>
      </c>
      <c r="I1231" t="s">
        <v>1607</v>
      </c>
      <c r="J1231" t="s">
        <v>22</v>
      </c>
      <c r="K1231" s="22">
        <v>2</v>
      </c>
      <c r="L1231" s="1">
        <v>42925</v>
      </c>
      <c r="M1231" s="22">
        <f>Table3[[#This Row],[Ship Date]]-Table3[[#This Row],[Order Date]]</f>
        <v>2</v>
      </c>
      <c r="N1231" s="23" t="s">
        <v>169</v>
      </c>
      <c r="O1231" s="23" t="s">
        <v>23</v>
      </c>
      <c r="P1231" s="23" t="s">
        <v>132</v>
      </c>
      <c r="Q1231" s="23" t="s">
        <v>133</v>
      </c>
      <c r="R1231" s="23" t="s">
        <v>131</v>
      </c>
      <c r="S1231" s="33">
        <v>0.4</v>
      </c>
      <c r="T1231" s="13">
        <v>683.98800000000006</v>
      </c>
      <c r="U1231" s="13">
        <v>-113.998</v>
      </c>
      <c r="V1231" s="55">
        <f>Table3[[#This Row],[Profit]]/Table3[[#This Row],[Sales]]</f>
        <v>-0.16666666666666666</v>
      </c>
    </row>
    <row r="1232" spans="1:22" x14ac:dyDescent="0.2">
      <c r="A1232">
        <v>1231</v>
      </c>
      <c r="B1232" t="s">
        <v>7814</v>
      </c>
      <c r="C1232" s="1">
        <v>42923</v>
      </c>
      <c r="D1232" s="22">
        <f>MONTH(Table3[[#This Row],[Order Date]])</f>
        <v>7</v>
      </c>
      <c r="E1232" t="s">
        <v>5284</v>
      </c>
      <c r="F1232" t="s">
        <v>5285</v>
      </c>
      <c r="G1232" s="23" t="s">
        <v>41</v>
      </c>
      <c r="H1232" s="23" t="s">
        <v>53</v>
      </c>
      <c r="I1232" t="s">
        <v>1607</v>
      </c>
      <c r="J1232" t="s">
        <v>22</v>
      </c>
      <c r="K1232" s="22">
        <v>3</v>
      </c>
      <c r="L1232" s="1">
        <v>42925</v>
      </c>
      <c r="M1232" s="22">
        <f>Table3[[#This Row],[Ship Date]]-Table3[[#This Row],[Order Date]]</f>
        <v>2</v>
      </c>
      <c r="N1232" s="23" t="s">
        <v>169</v>
      </c>
      <c r="O1232" s="23" t="s">
        <v>23</v>
      </c>
      <c r="P1232" s="23" t="s">
        <v>132</v>
      </c>
      <c r="Q1232" s="23" t="s">
        <v>133</v>
      </c>
      <c r="R1232" s="23" t="s">
        <v>131</v>
      </c>
      <c r="S1232" s="33">
        <v>0.2</v>
      </c>
      <c r="T1232" s="13">
        <v>13.391999999999999</v>
      </c>
      <c r="U1232" s="13">
        <v>1.0044</v>
      </c>
      <c r="V1232" s="55">
        <f>Table3[[#This Row],[Profit]]/Table3[[#This Row],[Sales]]</f>
        <v>7.4999999999999997E-2</v>
      </c>
    </row>
    <row r="1233" spans="1:22" x14ac:dyDescent="0.2">
      <c r="A1233">
        <v>1232</v>
      </c>
      <c r="B1233" t="s">
        <v>7814</v>
      </c>
      <c r="C1233" s="1">
        <v>42923</v>
      </c>
      <c r="D1233" s="22">
        <f>MONTH(Table3[[#This Row],[Order Date]])</f>
        <v>7</v>
      </c>
      <c r="E1233" t="s">
        <v>6997</v>
      </c>
      <c r="F1233" t="s">
        <v>6998</v>
      </c>
      <c r="G1233" s="23" t="s">
        <v>64</v>
      </c>
      <c r="H1233" s="23" t="s">
        <v>144</v>
      </c>
      <c r="I1233" t="s">
        <v>1607</v>
      </c>
      <c r="J1233" t="s">
        <v>22</v>
      </c>
      <c r="K1233" s="22">
        <v>3</v>
      </c>
      <c r="L1233" s="1">
        <v>42925</v>
      </c>
      <c r="M1233" s="22">
        <f>Table3[[#This Row],[Ship Date]]-Table3[[#This Row],[Order Date]]</f>
        <v>2</v>
      </c>
      <c r="N1233" s="23" t="s">
        <v>169</v>
      </c>
      <c r="O1233" s="23" t="s">
        <v>23</v>
      </c>
      <c r="P1233" s="23" t="s">
        <v>132</v>
      </c>
      <c r="Q1233" s="23" t="s">
        <v>133</v>
      </c>
      <c r="R1233" s="23" t="s">
        <v>131</v>
      </c>
      <c r="S1233" s="33">
        <v>0.2</v>
      </c>
      <c r="T1233" s="13">
        <v>16.776</v>
      </c>
      <c r="U1233" s="13">
        <v>4.8231000000000002</v>
      </c>
      <c r="V1233" s="55">
        <f>Table3[[#This Row],[Profit]]/Table3[[#This Row],[Sales]]</f>
        <v>0.28750000000000003</v>
      </c>
    </row>
    <row r="1234" spans="1:22" x14ac:dyDescent="0.2">
      <c r="A1234">
        <v>1233</v>
      </c>
      <c r="B1234" t="s">
        <v>7814</v>
      </c>
      <c r="C1234" s="1">
        <v>42923</v>
      </c>
      <c r="D1234" s="22">
        <f>MONTH(Table3[[#This Row],[Order Date]])</f>
        <v>7</v>
      </c>
      <c r="E1234" t="s">
        <v>2635</v>
      </c>
      <c r="F1234" t="s">
        <v>2636</v>
      </c>
      <c r="G1234" s="23" t="s">
        <v>64</v>
      </c>
      <c r="H1234" s="23" t="s">
        <v>144</v>
      </c>
      <c r="I1234" t="s">
        <v>1607</v>
      </c>
      <c r="J1234" t="s">
        <v>22</v>
      </c>
      <c r="K1234" s="22">
        <v>2</v>
      </c>
      <c r="L1234" s="1">
        <v>42925</v>
      </c>
      <c r="M1234" s="22">
        <f>Table3[[#This Row],[Ship Date]]-Table3[[#This Row],[Order Date]]</f>
        <v>2</v>
      </c>
      <c r="N1234" s="23" t="s">
        <v>169</v>
      </c>
      <c r="O1234" s="23" t="s">
        <v>23</v>
      </c>
      <c r="P1234" s="23" t="s">
        <v>132</v>
      </c>
      <c r="Q1234" s="23" t="s">
        <v>133</v>
      </c>
      <c r="R1234" s="23" t="s">
        <v>131</v>
      </c>
      <c r="S1234" s="33">
        <v>0.2</v>
      </c>
      <c r="T1234" s="13">
        <v>527.91999999999996</v>
      </c>
      <c r="U1234" s="13">
        <v>85.787000000000006</v>
      </c>
      <c r="V1234" s="55">
        <f>Table3[[#This Row],[Profit]]/Table3[[#This Row],[Sales]]</f>
        <v>0.16250000000000003</v>
      </c>
    </row>
    <row r="1235" spans="1:22" x14ac:dyDescent="0.2">
      <c r="A1235">
        <v>1234</v>
      </c>
      <c r="B1235" t="s">
        <v>9285</v>
      </c>
      <c r="C1235" s="1">
        <v>42923</v>
      </c>
      <c r="D1235" s="22">
        <f>MONTH(Table3[[#This Row],[Order Date]])</f>
        <v>7</v>
      </c>
      <c r="E1235" t="s">
        <v>3791</v>
      </c>
      <c r="F1235" t="s">
        <v>3792</v>
      </c>
      <c r="G1235" s="23" t="s">
        <v>41</v>
      </c>
      <c r="H1235" s="23" t="s">
        <v>240</v>
      </c>
      <c r="I1235" t="s">
        <v>1827</v>
      </c>
      <c r="J1235" t="s">
        <v>22</v>
      </c>
      <c r="K1235" s="22">
        <v>3</v>
      </c>
      <c r="L1235" s="1">
        <v>42927</v>
      </c>
      <c r="M1235" s="22">
        <f>Table3[[#This Row],[Ship Date]]-Table3[[#This Row],[Order Date]]</f>
        <v>4</v>
      </c>
      <c r="N1235" s="23" t="s">
        <v>45</v>
      </c>
      <c r="O1235" s="23" t="s">
        <v>23</v>
      </c>
      <c r="P1235" s="23" t="s">
        <v>38</v>
      </c>
      <c r="Q1235" s="23" t="s">
        <v>39</v>
      </c>
      <c r="R1235" s="23" t="s">
        <v>37</v>
      </c>
      <c r="S1235" s="33">
        <v>0</v>
      </c>
      <c r="T1235" s="13">
        <v>5.94</v>
      </c>
      <c r="U1235" s="13">
        <v>0.1188</v>
      </c>
      <c r="V1235" s="55">
        <f>Table3[[#This Row],[Profit]]/Table3[[#This Row],[Sales]]</f>
        <v>0.02</v>
      </c>
    </row>
    <row r="1236" spans="1:22" x14ac:dyDescent="0.2">
      <c r="A1236">
        <v>1235</v>
      </c>
      <c r="B1236" t="s">
        <v>1098</v>
      </c>
      <c r="C1236" s="1">
        <v>42924</v>
      </c>
      <c r="D1236" s="22">
        <f>MONTH(Table3[[#This Row],[Order Date]])</f>
        <v>7</v>
      </c>
      <c r="E1236" t="s">
        <v>690</v>
      </c>
      <c r="F1236" t="s">
        <v>691</v>
      </c>
      <c r="G1236" s="23" t="s">
        <v>41</v>
      </c>
      <c r="H1236" s="23" t="s">
        <v>61</v>
      </c>
      <c r="I1236" t="s">
        <v>1099</v>
      </c>
      <c r="J1236" t="s">
        <v>22</v>
      </c>
      <c r="K1236" s="22">
        <v>3</v>
      </c>
      <c r="L1236" s="1">
        <v>42928</v>
      </c>
      <c r="M1236" s="22">
        <f>Table3[[#This Row],[Ship Date]]-Table3[[#This Row],[Order Date]]</f>
        <v>4</v>
      </c>
      <c r="N1236" s="23" t="s">
        <v>45</v>
      </c>
      <c r="O1236" s="23" t="s">
        <v>23</v>
      </c>
      <c r="P1236" s="23" t="s">
        <v>1101</v>
      </c>
      <c r="Q1236" s="23" t="s">
        <v>133</v>
      </c>
      <c r="R1236" s="23" t="s">
        <v>1100</v>
      </c>
      <c r="S1236" s="33">
        <v>0</v>
      </c>
      <c r="T1236" s="13">
        <v>7.56</v>
      </c>
      <c r="U1236" s="13">
        <v>3.0996000000000001</v>
      </c>
      <c r="V1236" s="55">
        <f>Table3[[#This Row],[Profit]]/Table3[[#This Row],[Sales]]</f>
        <v>0.41000000000000003</v>
      </c>
    </row>
    <row r="1237" spans="1:22" x14ac:dyDescent="0.2">
      <c r="A1237">
        <v>1236</v>
      </c>
      <c r="B1237" t="s">
        <v>1098</v>
      </c>
      <c r="C1237" s="1">
        <v>42924</v>
      </c>
      <c r="D1237" s="22">
        <f>MONTH(Table3[[#This Row],[Order Date]])</f>
        <v>7</v>
      </c>
      <c r="E1237" t="s">
        <v>166</v>
      </c>
      <c r="F1237" t="s">
        <v>167</v>
      </c>
      <c r="G1237" s="23" t="s">
        <v>41</v>
      </c>
      <c r="H1237" s="23" t="s">
        <v>82</v>
      </c>
      <c r="I1237" t="s">
        <v>1099</v>
      </c>
      <c r="J1237" t="s">
        <v>22</v>
      </c>
      <c r="K1237" s="22">
        <v>2</v>
      </c>
      <c r="L1237" s="1">
        <v>42928</v>
      </c>
      <c r="M1237" s="22">
        <f>Table3[[#This Row],[Ship Date]]-Table3[[#This Row],[Order Date]]</f>
        <v>4</v>
      </c>
      <c r="N1237" s="23" t="s">
        <v>45</v>
      </c>
      <c r="O1237" s="23" t="s">
        <v>23</v>
      </c>
      <c r="P1237" s="23" t="s">
        <v>1101</v>
      </c>
      <c r="Q1237" s="23" t="s">
        <v>133</v>
      </c>
      <c r="R1237" s="23" t="s">
        <v>1100</v>
      </c>
      <c r="S1237" s="33">
        <v>0</v>
      </c>
      <c r="T1237" s="13">
        <v>24.56</v>
      </c>
      <c r="U1237" s="13">
        <v>11.543200000000001</v>
      </c>
      <c r="V1237" s="55">
        <f>Table3[[#This Row],[Profit]]/Table3[[#This Row],[Sales]]</f>
        <v>0.47000000000000003</v>
      </c>
    </row>
    <row r="1238" spans="1:22" x14ac:dyDescent="0.2">
      <c r="A1238">
        <v>1237</v>
      </c>
      <c r="B1238" t="s">
        <v>1098</v>
      </c>
      <c r="C1238" s="1">
        <v>42924</v>
      </c>
      <c r="D1238" s="22">
        <f>MONTH(Table3[[#This Row],[Order Date]])</f>
        <v>7</v>
      </c>
      <c r="E1238" t="s">
        <v>1102</v>
      </c>
      <c r="F1238" t="s">
        <v>1103</v>
      </c>
      <c r="G1238" s="23" t="s">
        <v>41</v>
      </c>
      <c r="H1238" s="23" t="s">
        <v>61</v>
      </c>
      <c r="I1238" t="s">
        <v>1099</v>
      </c>
      <c r="J1238" t="s">
        <v>22</v>
      </c>
      <c r="K1238" s="22">
        <v>2</v>
      </c>
      <c r="L1238" s="1">
        <v>42928</v>
      </c>
      <c r="M1238" s="22">
        <f>Table3[[#This Row],[Ship Date]]-Table3[[#This Row],[Order Date]]</f>
        <v>4</v>
      </c>
      <c r="N1238" s="23" t="s">
        <v>45</v>
      </c>
      <c r="O1238" s="23" t="s">
        <v>23</v>
      </c>
      <c r="P1238" s="23" t="s">
        <v>1101</v>
      </c>
      <c r="Q1238" s="23" t="s">
        <v>133</v>
      </c>
      <c r="R1238" s="23" t="s">
        <v>1100</v>
      </c>
      <c r="S1238" s="33">
        <v>0</v>
      </c>
      <c r="T1238" s="13">
        <v>12.96</v>
      </c>
      <c r="U1238" s="13">
        <v>4.1471999999999998</v>
      </c>
      <c r="V1238" s="55">
        <f>Table3[[#This Row],[Profit]]/Table3[[#This Row],[Sales]]</f>
        <v>0.31999999999999995</v>
      </c>
    </row>
    <row r="1239" spans="1:22" x14ac:dyDescent="0.2">
      <c r="A1239">
        <v>1238</v>
      </c>
      <c r="B1239" t="s">
        <v>3314</v>
      </c>
      <c r="C1239" s="1">
        <v>42924</v>
      </c>
      <c r="D1239" s="22">
        <f>MONTH(Table3[[#This Row],[Order Date]])</f>
        <v>7</v>
      </c>
      <c r="E1239" t="s">
        <v>1014</v>
      </c>
      <c r="F1239" t="s">
        <v>1015</v>
      </c>
      <c r="G1239" s="23" t="s">
        <v>28</v>
      </c>
      <c r="H1239" s="23" t="s">
        <v>58</v>
      </c>
      <c r="I1239" t="s">
        <v>3315</v>
      </c>
      <c r="J1239" t="s">
        <v>92</v>
      </c>
      <c r="K1239" s="22">
        <v>5</v>
      </c>
      <c r="L1239" s="1">
        <v>42927</v>
      </c>
      <c r="M1239" s="22">
        <f>Table3[[#This Row],[Ship Date]]-Table3[[#This Row],[Order Date]]</f>
        <v>3</v>
      </c>
      <c r="N1239" s="23" t="s">
        <v>169</v>
      </c>
      <c r="O1239" s="23" t="s">
        <v>23</v>
      </c>
      <c r="P1239" s="23" t="s">
        <v>38</v>
      </c>
      <c r="Q1239" s="23" t="s">
        <v>39</v>
      </c>
      <c r="R1239" s="23" t="s">
        <v>3316</v>
      </c>
      <c r="S1239" s="33">
        <v>0</v>
      </c>
      <c r="T1239" s="13">
        <v>145.9</v>
      </c>
      <c r="U1239" s="13">
        <v>62.737000000000002</v>
      </c>
      <c r="V1239" s="55">
        <f>Table3[[#This Row],[Profit]]/Table3[[#This Row],[Sales]]</f>
        <v>0.43</v>
      </c>
    </row>
    <row r="1240" spans="1:22" x14ac:dyDescent="0.2">
      <c r="A1240">
        <v>1239</v>
      </c>
      <c r="B1240" t="s">
        <v>3753</v>
      </c>
      <c r="C1240" s="1">
        <v>42924</v>
      </c>
      <c r="D1240" s="22">
        <f>MONTH(Table3[[#This Row],[Order Date]])</f>
        <v>7</v>
      </c>
      <c r="E1240" t="s">
        <v>3756</v>
      </c>
      <c r="F1240" t="s">
        <v>3757</v>
      </c>
      <c r="G1240" s="23" t="s">
        <v>28</v>
      </c>
      <c r="H1240" s="23" t="s">
        <v>58</v>
      </c>
      <c r="I1240" t="s">
        <v>3754</v>
      </c>
      <c r="J1240" t="s">
        <v>22</v>
      </c>
      <c r="K1240" s="22">
        <v>2</v>
      </c>
      <c r="L1240" s="1">
        <v>42931</v>
      </c>
      <c r="M1240" s="22">
        <f>Table3[[#This Row],[Ship Date]]-Table3[[#This Row],[Order Date]]</f>
        <v>7</v>
      </c>
      <c r="N1240" s="23" t="s">
        <v>45</v>
      </c>
      <c r="O1240" s="23" t="s">
        <v>23</v>
      </c>
      <c r="P1240" s="23" t="s">
        <v>87</v>
      </c>
      <c r="Q1240" s="23" t="s">
        <v>39</v>
      </c>
      <c r="R1240" s="23" t="s">
        <v>3755</v>
      </c>
      <c r="S1240" s="33">
        <v>0</v>
      </c>
      <c r="T1240" s="13">
        <v>198.46</v>
      </c>
      <c r="U1240" s="13">
        <v>99.23</v>
      </c>
      <c r="V1240" s="55">
        <f>Table3[[#This Row],[Profit]]/Table3[[#This Row],[Sales]]</f>
        <v>0.5</v>
      </c>
    </row>
    <row r="1241" spans="1:22" x14ac:dyDescent="0.2">
      <c r="A1241">
        <v>1240</v>
      </c>
      <c r="B1241" t="s">
        <v>3753</v>
      </c>
      <c r="C1241" s="1">
        <v>42924</v>
      </c>
      <c r="D1241" s="22">
        <f>MONTH(Table3[[#This Row],[Order Date]])</f>
        <v>7</v>
      </c>
      <c r="E1241" t="s">
        <v>1740</v>
      </c>
      <c r="F1241" t="s">
        <v>1741</v>
      </c>
      <c r="G1241" s="23" t="s">
        <v>41</v>
      </c>
      <c r="H1241" s="23" t="s">
        <v>42</v>
      </c>
      <c r="I1241" t="s">
        <v>3754</v>
      </c>
      <c r="J1241" t="s">
        <v>22</v>
      </c>
      <c r="K1241" s="22">
        <v>8</v>
      </c>
      <c r="L1241" s="1">
        <v>42931</v>
      </c>
      <c r="M1241" s="22">
        <f>Table3[[#This Row],[Ship Date]]-Table3[[#This Row],[Order Date]]</f>
        <v>7</v>
      </c>
      <c r="N1241" s="23" t="s">
        <v>45</v>
      </c>
      <c r="O1241" s="23" t="s">
        <v>23</v>
      </c>
      <c r="P1241" s="23" t="s">
        <v>87</v>
      </c>
      <c r="Q1241" s="23" t="s">
        <v>39</v>
      </c>
      <c r="R1241" s="23" t="s">
        <v>3755</v>
      </c>
      <c r="S1241" s="33">
        <v>0</v>
      </c>
      <c r="T1241" s="13">
        <v>786.48</v>
      </c>
      <c r="U1241" s="13">
        <v>385.37520000000001</v>
      </c>
      <c r="V1241" s="55">
        <f>Table3[[#This Row],[Profit]]/Table3[[#This Row],[Sales]]</f>
        <v>0.49</v>
      </c>
    </row>
    <row r="1242" spans="1:22" x14ac:dyDescent="0.2">
      <c r="A1242">
        <v>1241</v>
      </c>
      <c r="B1242" t="s">
        <v>3753</v>
      </c>
      <c r="C1242" s="1">
        <v>42924</v>
      </c>
      <c r="D1242" s="22">
        <f>MONTH(Table3[[#This Row],[Order Date]])</f>
        <v>7</v>
      </c>
      <c r="E1242" t="s">
        <v>1703</v>
      </c>
      <c r="F1242" t="s">
        <v>1704</v>
      </c>
      <c r="G1242" s="23" t="s">
        <v>41</v>
      </c>
      <c r="H1242" s="23" t="s">
        <v>68</v>
      </c>
      <c r="I1242" t="s">
        <v>3754</v>
      </c>
      <c r="J1242" t="s">
        <v>22</v>
      </c>
      <c r="K1242" s="22">
        <v>2</v>
      </c>
      <c r="L1242" s="1">
        <v>42931</v>
      </c>
      <c r="M1242" s="22">
        <f>Table3[[#This Row],[Ship Date]]-Table3[[#This Row],[Order Date]]</f>
        <v>7</v>
      </c>
      <c r="N1242" s="23" t="s">
        <v>45</v>
      </c>
      <c r="O1242" s="23" t="s">
        <v>23</v>
      </c>
      <c r="P1242" s="23" t="s">
        <v>87</v>
      </c>
      <c r="Q1242" s="23" t="s">
        <v>39</v>
      </c>
      <c r="R1242" s="23" t="s">
        <v>3755</v>
      </c>
      <c r="S1242" s="33">
        <v>0.2</v>
      </c>
      <c r="T1242" s="13">
        <v>23.167999999999999</v>
      </c>
      <c r="U1242" s="13">
        <v>7.8192000000000004</v>
      </c>
      <c r="V1242" s="55">
        <f>Table3[[#This Row],[Profit]]/Table3[[#This Row],[Sales]]</f>
        <v>0.33750000000000002</v>
      </c>
    </row>
    <row r="1243" spans="1:22" x14ac:dyDescent="0.2">
      <c r="A1243">
        <v>1242</v>
      </c>
      <c r="B1243" t="s">
        <v>3753</v>
      </c>
      <c r="C1243" s="1">
        <v>42924</v>
      </c>
      <c r="D1243" s="22">
        <f>MONTH(Table3[[#This Row],[Order Date]])</f>
        <v>7</v>
      </c>
      <c r="E1243" t="s">
        <v>3758</v>
      </c>
      <c r="F1243" t="s">
        <v>3759</v>
      </c>
      <c r="G1243" s="23" t="s">
        <v>64</v>
      </c>
      <c r="H1243" s="23" t="s">
        <v>144</v>
      </c>
      <c r="I1243" t="s">
        <v>3754</v>
      </c>
      <c r="J1243" t="s">
        <v>22</v>
      </c>
      <c r="K1243" s="22">
        <v>2</v>
      </c>
      <c r="L1243" s="1">
        <v>42931</v>
      </c>
      <c r="M1243" s="22">
        <f>Table3[[#This Row],[Ship Date]]-Table3[[#This Row],[Order Date]]</f>
        <v>7</v>
      </c>
      <c r="N1243" s="23" t="s">
        <v>45</v>
      </c>
      <c r="O1243" s="23" t="s">
        <v>23</v>
      </c>
      <c r="P1243" s="23" t="s">
        <v>87</v>
      </c>
      <c r="Q1243" s="23" t="s">
        <v>39</v>
      </c>
      <c r="R1243" s="23" t="s">
        <v>3755</v>
      </c>
      <c r="S1243" s="33">
        <v>0</v>
      </c>
      <c r="T1243" s="13">
        <v>50</v>
      </c>
      <c r="U1243" s="13">
        <v>10.5</v>
      </c>
      <c r="V1243" s="55">
        <f>Table3[[#This Row],[Profit]]/Table3[[#This Row],[Sales]]</f>
        <v>0.21</v>
      </c>
    </row>
    <row r="1244" spans="1:22" x14ac:dyDescent="0.2">
      <c r="A1244">
        <v>1243</v>
      </c>
      <c r="B1244" t="s">
        <v>5745</v>
      </c>
      <c r="C1244" s="1">
        <v>42924</v>
      </c>
      <c r="D1244" s="22">
        <f>MONTH(Table3[[#This Row],[Order Date]])</f>
        <v>7</v>
      </c>
      <c r="E1244" t="s">
        <v>229</v>
      </c>
      <c r="F1244" t="s">
        <v>230</v>
      </c>
      <c r="G1244" s="23" t="s">
        <v>41</v>
      </c>
      <c r="H1244" s="23" t="s">
        <v>42</v>
      </c>
      <c r="I1244" t="s">
        <v>2650</v>
      </c>
      <c r="J1244" t="s">
        <v>22</v>
      </c>
      <c r="K1244" s="22">
        <v>6</v>
      </c>
      <c r="L1244" s="1">
        <v>42926</v>
      </c>
      <c r="M1244" s="22">
        <f>Table3[[#This Row],[Ship Date]]-Table3[[#This Row],[Order Date]]</f>
        <v>2</v>
      </c>
      <c r="N1244" s="23" t="s">
        <v>169</v>
      </c>
      <c r="O1244" s="23" t="s">
        <v>23</v>
      </c>
      <c r="P1244" s="23" t="s">
        <v>38</v>
      </c>
      <c r="Q1244" s="23" t="s">
        <v>39</v>
      </c>
      <c r="R1244" s="23" t="s">
        <v>5746</v>
      </c>
      <c r="S1244" s="33">
        <v>0</v>
      </c>
      <c r="T1244" s="13">
        <v>75.180000000000007</v>
      </c>
      <c r="U1244" s="13">
        <v>35.334600000000002</v>
      </c>
      <c r="V1244" s="55">
        <f>Table3[[#This Row],[Profit]]/Table3[[#This Row],[Sales]]</f>
        <v>0.47</v>
      </c>
    </row>
    <row r="1245" spans="1:22" x14ac:dyDescent="0.2">
      <c r="A1245">
        <v>1244</v>
      </c>
      <c r="B1245" t="s">
        <v>6836</v>
      </c>
      <c r="C1245" s="1">
        <v>42924</v>
      </c>
      <c r="D1245" s="22">
        <f>MONTH(Table3[[#This Row],[Order Date]])</f>
        <v>7</v>
      </c>
      <c r="E1245" t="s">
        <v>4370</v>
      </c>
      <c r="F1245" t="s">
        <v>4371</v>
      </c>
      <c r="G1245" s="23" t="s">
        <v>28</v>
      </c>
      <c r="H1245" s="23" t="s">
        <v>58</v>
      </c>
      <c r="I1245" t="s">
        <v>5376</v>
      </c>
      <c r="J1245" t="s">
        <v>92</v>
      </c>
      <c r="K1245" s="22">
        <v>3</v>
      </c>
      <c r="L1245" s="1">
        <v>42928</v>
      </c>
      <c r="M1245" s="22">
        <f>Table3[[#This Row],[Ship Date]]-Table3[[#This Row],[Order Date]]</f>
        <v>4</v>
      </c>
      <c r="N1245" s="23" t="s">
        <v>45</v>
      </c>
      <c r="O1245" s="23" t="s">
        <v>23</v>
      </c>
      <c r="P1245" s="23" t="s">
        <v>87</v>
      </c>
      <c r="Q1245" s="23" t="s">
        <v>39</v>
      </c>
      <c r="R1245" s="23" t="s">
        <v>86</v>
      </c>
      <c r="S1245" s="33">
        <v>0</v>
      </c>
      <c r="T1245" s="13">
        <v>15.84</v>
      </c>
      <c r="U1245" s="13">
        <v>4.9104000000000001</v>
      </c>
      <c r="V1245" s="55">
        <f>Table3[[#This Row],[Profit]]/Table3[[#This Row],[Sales]]</f>
        <v>0.31</v>
      </c>
    </row>
    <row r="1246" spans="1:22" x14ac:dyDescent="0.2">
      <c r="A1246">
        <v>1245</v>
      </c>
      <c r="B1246" t="s">
        <v>6836</v>
      </c>
      <c r="C1246" s="1">
        <v>42924</v>
      </c>
      <c r="D1246" s="22">
        <f>MONTH(Table3[[#This Row],[Order Date]])</f>
        <v>7</v>
      </c>
      <c r="E1246" t="s">
        <v>1322</v>
      </c>
      <c r="F1246" t="s">
        <v>1323</v>
      </c>
      <c r="G1246" s="23" t="s">
        <v>41</v>
      </c>
      <c r="H1246" s="23" t="s">
        <v>68</v>
      </c>
      <c r="I1246" t="s">
        <v>5376</v>
      </c>
      <c r="J1246" t="s">
        <v>92</v>
      </c>
      <c r="K1246" s="22">
        <v>3</v>
      </c>
      <c r="L1246" s="1">
        <v>42928</v>
      </c>
      <c r="M1246" s="22">
        <f>Table3[[#This Row],[Ship Date]]-Table3[[#This Row],[Order Date]]</f>
        <v>4</v>
      </c>
      <c r="N1246" s="23" t="s">
        <v>45</v>
      </c>
      <c r="O1246" s="23" t="s">
        <v>23</v>
      </c>
      <c r="P1246" s="23" t="s">
        <v>87</v>
      </c>
      <c r="Q1246" s="23" t="s">
        <v>39</v>
      </c>
      <c r="R1246" s="23" t="s">
        <v>86</v>
      </c>
      <c r="S1246" s="33">
        <v>0.2</v>
      </c>
      <c r="T1246" s="13">
        <v>86.376000000000005</v>
      </c>
      <c r="U1246" s="13">
        <v>30.2316</v>
      </c>
      <c r="V1246" s="55">
        <f>Table3[[#This Row],[Profit]]/Table3[[#This Row],[Sales]]</f>
        <v>0.35</v>
      </c>
    </row>
    <row r="1247" spans="1:22" x14ac:dyDescent="0.2">
      <c r="A1247">
        <v>1246</v>
      </c>
      <c r="B1247" t="s">
        <v>6836</v>
      </c>
      <c r="C1247" s="1">
        <v>42924</v>
      </c>
      <c r="D1247" s="22">
        <f>MONTH(Table3[[#This Row],[Order Date]])</f>
        <v>7</v>
      </c>
      <c r="E1247" t="s">
        <v>1671</v>
      </c>
      <c r="F1247" t="s">
        <v>1672</v>
      </c>
      <c r="G1247" s="23" t="s">
        <v>41</v>
      </c>
      <c r="H1247" s="23" t="s">
        <v>61</v>
      </c>
      <c r="I1247" t="s">
        <v>5376</v>
      </c>
      <c r="J1247" t="s">
        <v>92</v>
      </c>
      <c r="K1247" s="22">
        <v>3</v>
      </c>
      <c r="L1247" s="1">
        <v>42928</v>
      </c>
      <c r="M1247" s="22">
        <f>Table3[[#This Row],[Ship Date]]-Table3[[#This Row],[Order Date]]</f>
        <v>4</v>
      </c>
      <c r="N1247" s="23" t="s">
        <v>45</v>
      </c>
      <c r="O1247" s="23" t="s">
        <v>23</v>
      </c>
      <c r="P1247" s="23" t="s">
        <v>87</v>
      </c>
      <c r="Q1247" s="23" t="s">
        <v>39</v>
      </c>
      <c r="R1247" s="23" t="s">
        <v>86</v>
      </c>
      <c r="S1247" s="33">
        <v>0</v>
      </c>
      <c r="T1247" s="13">
        <v>18.239999999999998</v>
      </c>
      <c r="U1247" s="13">
        <v>6.2016</v>
      </c>
      <c r="V1247" s="55">
        <f>Table3[[#This Row],[Profit]]/Table3[[#This Row],[Sales]]</f>
        <v>0.34</v>
      </c>
    </row>
    <row r="1248" spans="1:22" x14ac:dyDescent="0.2">
      <c r="A1248">
        <v>1247</v>
      </c>
      <c r="B1248" t="s">
        <v>6836</v>
      </c>
      <c r="C1248" s="1">
        <v>42924</v>
      </c>
      <c r="D1248" s="22">
        <f>MONTH(Table3[[#This Row],[Order Date]])</f>
        <v>7</v>
      </c>
      <c r="E1248" t="s">
        <v>1208</v>
      </c>
      <c r="F1248" t="s">
        <v>1209</v>
      </c>
      <c r="G1248" s="23" t="s">
        <v>41</v>
      </c>
      <c r="H1248" s="23" t="s">
        <v>61</v>
      </c>
      <c r="I1248" t="s">
        <v>5376</v>
      </c>
      <c r="J1248" t="s">
        <v>92</v>
      </c>
      <c r="K1248" s="22">
        <v>4</v>
      </c>
      <c r="L1248" s="1">
        <v>42928</v>
      </c>
      <c r="M1248" s="22">
        <f>Table3[[#This Row],[Ship Date]]-Table3[[#This Row],[Order Date]]</f>
        <v>4</v>
      </c>
      <c r="N1248" s="23" t="s">
        <v>45</v>
      </c>
      <c r="O1248" s="23" t="s">
        <v>23</v>
      </c>
      <c r="P1248" s="23" t="s">
        <v>87</v>
      </c>
      <c r="Q1248" s="23" t="s">
        <v>39</v>
      </c>
      <c r="R1248" s="23" t="s">
        <v>86</v>
      </c>
      <c r="S1248" s="33">
        <v>0</v>
      </c>
      <c r="T1248" s="13">
        <v>13.12</v>
      </c>
      <c r="U1248" s="13">
        <v>4.3296000000000001</v>
      </c>
      <c r="V1248" s="55">
        <f>Table3[[#This Row],[Profit]]/Table3[[#This Row],[Sales]]</f>
        <v>0.33</v>
      </c>
    </row>
    <row r="1249" spans="1:22" x14ac:dyDescent="0.2">
      <c r="A1249">
        <v>1248</v>
      </c>
      <c r="B1249" t="s">
        <v>9230</v>
      </c>
      <c r="C1249" s="1">
        <v>42924</v>
      </c>
      <c r="D1249" s="22">
        <f>MONTH(Table3[[#This Row],[Order Date]])</f>
        <v>7</v>
      </c>
      <c r="E1249" t="s">
        <v>5586</v>
      </c>
      <c r="F1249" t="s">
        <v>5587</v>
      </c>
      <c r="G1249" s="23" t="s">
        <v>28</v>
      </c>
      <c r="H1249" s="23" t="s">
        <v>58</v>
      </c>
      <c r="I1249" t="s">
        <v>9094</v>
      </c>
      <c r="J1249" t="s">
        <v>36</v>
      </c>
      <c r="K1249" s="22">
        <v>4</v>
      </c>
      <c r="L1249" s="1">
        <v>42928</v>
      </c>
      <c r="M1249" s="22">
        <f>Table3[[#This Row],[Ship Date]]-Table3[[#This Row],[Order Date]]</f>
        <v>4</v>
      </c>
      <c r="N1249" s="23" t="s">
        <v>45</v>
      </c>
      <c r="O1249" s="23" t="s">
        <v>23</v>
      </c>
      <c r="P1249" s="23" t="s">
        <v>218</v>
      </c>
      <c r="Q1249" s="23" t="s">
        <v>133</v>
      </c>
      <c r="R1249" s="23" t="s">
        <v>536</v>
      </c>
      <c r="S1249" s="33">
        <v>0</v>
      </c>
      <c r="T1249" s="13">
        <v>83.92</v>
      </c>
      <c r="U1249" s="13">
        <v>5.8743999999999996</v>
      </c>
      <c r="V1249" s="55">
        <f>Table3[[#This Row],[Profit]]/Table3[[#This Row],[Sales]]</f>
        <v>6.9999999999999993E-2</v>
      </c>
    </row>
    <row r="1250" spans="1:22" x14ac:dyDescent="0.2">
      <c r="A1250">
        <v>1249</v>
      </c>
      <c r="B1250" t="s">
        <v>9230</v>
      </c>
      <c r="C1250" s="1">
        <v>42924</v>
      </c>
      <c r="D1250" s="22">
        <f>MONTH(Table3[[#This Row],[Order Date]])</f>
        <v>7</v>
      </c>
      <c r="E1250" t="s">
        <v>2479</v>
      </c>
      <c r="F1250" t="s">
        <v>2480</v>
      </c>
      <c r="G1250" s="23" t="s">
        <v>64</v>
      </c>
      <c r="H1250" s="23" t="s">
        <v>144</v>
      </c>
      <c r="I1250" t="s">
        <v>9094</v>
      </c>
      <c r="J1250" t="s">
        <v>36</v>
      </c>
      <c r="K1250" s="22">
        <v>5</v>
      </c>
      <c r="L1250" s="1">
        <v>42928</v>
      </c>
      <c r="M1250" s="22">
        <f>Table3[[#This Row],[Ship Date]]-Table3[[#This Row],[Order Date]]</f>
        <v>4</v>
      </c>
      <c r="N1250" s="23" t="s">
        <v>45</v>
      </c>
      <c r="O1250" s="23" t="s">
        <v>23</v>
      </c>
      <c r="P1250" s="23" t="s">
        <v>218</v>
      </c>
      <c r="Q1250" s="23" t="s">
        <v>133</v>
      </c>
      <c r="R1250" s="23" t="s">
        <v>536</v>
      </c>
      <c r="S1250" s="33">
        <v>0</v>
      </c>
      <c r="T1250" s="13">
        <v>141.9</v>
      </c>
      <c r="U1250" s="13">
        <v>58.179000000000002</v>
      </c>
      <c r="V1250" s="55">
        <f>Table3[[#This Row],[Profit]]/Table3[[#This Row],[Sales]]</f>
        <v>0.41</v>
      </c>
    </row>
    <row r="1251" spans="1:22" x14ac:dyDescent="0.2">
      <c r="A1251">
        <v>1250</v>
      </c>
      <c r="B1251" t="s">
        <v>9230</v>
      </c>
      <c r="C1251" s="1">
        <v>42924</v>
      </c>
      <c r="D1251" s="22">
        <f>MONTH(Table3[[#This Row],[Order Date]])</f>
        <v>7</v>
      </c>
      <c r="E1251" t="s">
        <v>8337</v>
      </c>
      <c r="F1251" t="s">
        <v>8338</v>
      </c>
      <c r="G1251" s="23" t="s">
        <v>28</v>
      </c>
      <c r="H1251" s="23" t="s">
        <v>58</v>
      </c>
      <c r="I1251" t="s">
        <v>9094</v>
      </c>
      <c r="J1251" t="s">
        <v>36</v>
      </c>
      <c r="K1251" s="22">
        <v>2</v>
      </c>
      <c r="L1251" s="1">
        <v>42928</v>
      </c>
      <c r="M1251" s="22">
        <f>Table3[[#This Row],[Ship Date]]-Table3[[#This Row],[Order Date]]</f>
        <v>4</v>
      </c>
      <c r="N1251" s="23" t="s">
        <v>45</v>
      </c>
      <c r="O1251" s="23" t="s">
        <v>23</v>
      </c>
      <c r="P1251" s="23" t="s">
        <v>218</v>
      </c>
      <c r="Q1251" s="23" t="s">
        <v>133</v>
      </c>
      <c r="R1251" s="23" t="s">
        <v>536</v>
      </c>
      <c r="S1251" s="33">
        <v>0</v>
      </c>
      <c r="T1251" s="13">
        <v>39.979999999999997</v>
      </c>
      <c r="U1251" s="13">
        <v>9.1953999999999994</v>
      </c>
      <c r="V1251" s="55">
        <f>Table3[[#This Row],[Profit]]/Table3[[#This Row],[Sales]]</f>
        <v>0.23</v>
      </c>
    </row>
    <row r="1252" spans="1:22" x14ac:dyDescent="0.2">
      <c r="A1252">
        <v>1251</v>
      </c>
      <c r="B1252" t="s">
        <v>9230</v>
      </c>
      <c r="C1252" s="1">
        <v>42924</v>
      </c>
      <c r="D1252" s="22">
        <f>MONTH(Table3[[#This Row],[Order Date]])</f>
        <v>7</v>
      </c>
      <c r="E1252" t="s">
        <v>3574</v>
      </c>
      <c r="F1252" t="s">
        <v>3575</v>
      </c>
      <c r="G1252" s="23" t="s">
        <v>41</v>
      </c>
      <c r="H1252" s="23" t="s">
        <v>61</v>
      </c>
      <c r="I1252" t="s">
        <v>9094</v>
      </c>
      <c r="J1252" t="s">
        <v>36</v>
      </c>
      <c r="K1252" s="22">
        <v>7</v>
      </c>
      <c r="L1252" s="1">
        <v>42928</v>
      </c>
      <c r="M1252" s="22">
        <f>Table3[[#This Row],[Ship Date]]-Table3[[#This Row],[Order Date]]</f>
        <v>4</v>
      </c>
      <c r="N1252" s="23" t="s">
        <v>45</v>
      </c>
      <c r="O1252" s="23" t="s">
        <v>23</v>
      </c>
      <c r="P1252" s="23" t="s">
        <v>218</v>
      </c>
      <c r="Q1252" s="23" t="s">
        <v>133</v>
      </c>
      <c r="R1252" s="23" t="s">
        <v>536</v>
      </c>
      <c r="S1252" s="33">
        <v>0</v>
      </c>
      <c r="T1252" s="13">
        <v>28.91</v>
      </c>
      <c r="U1252" s="13">
        <v>8.673</v>
      </c>
      <c r="V1252" s="55">
        <f>Table3[[#This Row],[Profit]]/Table3[[#This Row],[Sales]]</f>
        <v>0.3</v>
      </c>
    </row>
    <row r="1253" spans="1:22" x14ac:dyDescent="0.2">
      <c r="A1253">
        <v>1252</v>
      </c>
      <c r="B1253" t="s">
        <v>9230</v>
      </c>
      <c r="C1253" s="1">
        <v>42924</v>
      </c>
      <c r="D1253" s="22">
        <f>MONTH(Table3[[#This Row],[Order Date]])</f>
        <v>7</v>
      </c>
      <c r="E1253" t="s">
        <v>7596</v>
      </c>
      <c r="F1253" t="s">
        <v>7597</v>
      </c>
      <c r="G1253" s="23" t="s">
        <v>41</v>
      </c>
      <c r="H1253" s="23" t="s">
        <v>61</v>
      </c>
      <c r="I1253" t="s">
        <v>9094</v>
      </c>
      <c r="J1253" t="s">
        <v>36</v>
      </c>
      <c r="K1253" s="22">
        <v>5</v>
      </c>
      <c r="L1253" s="1">
        <v>42928</v>
      </c>
      <c r="M1253" s="22">
        <f>Table3[[#This Row],[Ship Date]]-Table3[[#This Row],[Order Date]]</f>
        <v>4</v>
      </c>
      <c r="N1253" s="23" t="s">
        <v>45</v>
      </c>
      <c r="O1253" s="23" t="s">
        <v>23</v>
      </c>
      <c r="P1253" s="23" t="s">
        <v>218</v>
      </c>
      <c r="Q1253" s="23" t="s">
        <v>133</v>
      </c>
      <c r="R1253" s="23" t="s">
        <v>536</v>
      </c>
      <c r="S1253" s="33">
        <v>0</v>
      </c>
      <c r="T1253" s="13">
        <v>174.95</v>
      </c>
      <c r="U1253" s="13">
        <v>45.487000000000002</v>
      </c>
      <c r="V1253" s="55">
        <f>Table3[[#This Row],[Profit]]/Table3[[#This Row],[Sales]]</f>
        <v>0.26</v>
      </c>
    </row>
    <row r="1254" spans="1:22" x14ac:dyDescent="0.2">
      <c r="A1254">
        <v>1253</v>
      </c>
      <c r="B1254" t="s">
        <v>9896</v>
      </c>
      <c r="C1254" s="1">
        <v>42924</v>
      </c>
      <c r="D1254" s="22">
        <f>MONTH(Table3[[#This Row],[Order Date]])</f>
        <v>7</v>
      </c>
      <c r="E1254" t="s">
        <v>2807</v>
      </c>
      <c r="F1254" t="s">
        <v>167</v>
      </c>
      <c r="G1254" s="23" t="s">
        <v>41</v>
      </c>
      <c r="H1254" s="23" t="s">
        <v>82</v>
      </c>
      <c r="I1254" t="s">
        <v>2045</v>
      </c>
      <c r="J1254" t="s">
        <v>92</v>
      </c>
      <c r="K1254" s="22">
        <v>2</v>
      </c>
      <c r="L1254" s="1">
        <v>42928</v>
      </c>
      <c r="M1254" s="22">
        <f>Table3[[#This Row],[Ship Date]]-Table3[[#This Row],[Order Date]]</f>
        <v>4</v>
      </c>
      <c r="N1254" s="23" t="s">
        <v>45</v>
      </c>
      <c r="O1254" s="23" t="s">
        <v>23</v>
      </c>
      <c r="P1254" s="23" t="s">
        <v>87</v>
      </c>
      <c r="Q1254" s="23" t="s">
        <v>39</v>
      </c>
      <c r="R1254" s="23" t="s">
        <v>86</v>
      </c>
      <c r="S1254" s="33">
        <v>0</v>
      </c>
      <c r="T1254" s="13">
        <v>52.76</v>
      </c>
      <c r="U1254" s="13">
        <v>24.269600000000001</v>
      </c>
      <c r="V1254" s="55">
        <f>Table3[[#This Row],[Profit]]/Table3[[#This Row],[Sales]]</f>
        <v>0.46</v>
      </c>
    </row>
    <row r="1255" spans="1:22" x14ac:dyDescent="0.2">
      <c r="A1255">
        <v>1254</v>
      </c>
      <c r="B1255" t="s">
        <v>2584</v>
      </c>
      <c r="C1255" s="1">
        <v>42925</v>
      </c>
      <c r="D1255" s="22">
        <f>MONTH(Table3[[#This Row],[Order Date]])</f>
        <v>7</v>
      </c>
      <c r="E1255" t="s">
        <v>2585</v>
      </c>
      <c r="F1255" t="s">
        <v>2586</v>
      </c>
      <c r="G1255" s="23" t="s">
        <v>41</v>
      </c>
      <c r="H1255" s="23" t="s">
        <v>68</v>
      </c>
      <c r="I1255" t="s">
        <v>1099</v>
      </c>
      <c r="J1255" t="s">
        <v>22</v>
      </c>
      <c r="K1255" s="22">
        <v>2</v>
      </c>
      <c r="L1255" s="1">
        <v>42931</v>
      </c>
      <c r="M1255" s="22">
        <f>Table3[[#This Row],[Ship Date]]-Table3[[#This Row],[Order Date]]</f>
        <v>6</v>
      </c>
      <c r="N1255" s="23" t="s">
        <v>45</v>
      </c>
      <c r="O1255" s="23" t="s">
        <v>23</v>
      </c>
      <c r="P1255" s="23" t="s">
        <v>374</v>
      </c>
      <c r="Q1255" s="23" t="s">
        <v>39</v>
      </c>
      <c r="R1255" s="23" t="s">
        <v>373</v>
      </c>
      <c r="S1255" s="33">
        <v>0.7</v>
      </c>
      <c r="T1255" s="13">
        <v>1.08</v>
      </c>
      <c r="U1255" s="13">
        <v>-0.79200000000000004</v>
      </c>
      <c r="V1255" s="55">
        <f>Table3[[#This Row],[Profit]]/Table3[[#This Row],[Sales]]</f>
        <v>-0.73333333333333328</v>
      </c>
    </row>
    <row r="1256" spans="1:22" x14ac:dyDescent="0.2">
      <c r="A1256">
        <v>1255</v>
      </c>
      <c r="B1256" t="s">
        <v>2724</v>
      </c>
      <c r="C1256" s="1">
        <v>42925</v>
      </c>
      <c r="D1256" s="22">
        <f>MONTH(Table3[[#This Row],[Order Date]])</f>
        <v>7</v>
      </c>
      <c r="E1256" t="s">
        <v>2726</v>
      </c>
      <c r="F1256" t="s">
        <v>2727</v>
      </c>
      <c r="G1256" s="23" t="s">
        <v>41</v>
      </c>
      <c r="H1256" s="23" t="s">
        <v>61</v>
      </c>
      <c r="I1256" t="s">
        <v>2725</v>
      </c>
      <c r="J1256" t="s">
        <v>36</v>
      </c>
      <c r="K1256" s="22">
        <v>5</v>
      </c>
      <c r="L1256" s="1">
        <v>42928</v>
      </c>
      <c r="M1256" s="22">
        <f>Table3[[#This Row],[Ship Date]]-Table3[[#This Row],[Order Date]]</f>
        <v>3</v>
      </c>
      <c r="N1256" s="23" t="s">
        <v>169</v>
      </c>
      <c r="O1256" s="23" t="s">
        <v>23</v>
      </c>
      <c r="P1256" s="23" t="s">
        <v>189</v>
      </c>
      <c r="Q1256" s="23" t="s">
        <v>95</v>
      </c>
      <c r="R1256" s="23" t="s">
        <v>271</v>
      </c>
      <c r="S1256" s="33">
        <v>0.2</v>
      </c>
      <c r="T1256" s="13">
        <v>8.84</v>
      </c>
      <c r="U1256" s="13">
        <v>2.9834999999999998</v>
      </c>
      <c r="V1256" s="55">
        <f>Table3[[#This Row],[Profit]]/Table3[[#This Row],[Sales]]</f>
        <v>0.33749999999999997</v>
      </c>
    </row>
    <row r="1257" spans="1:22" x14ac:dyDescent="0.2">
      <c r="A1257">
        <v>1256</v>
      </c>
      <c r="B1257" t="s">
        <v>2724</v>
      </c>
      <c r="C1257" s="1">
        <v>42925</v>
      </c>
      <c r="D1257" s="22">
        <f>MONTH(Table3[[#This Row],[Order Date]])</f>
        <v>7</v>
      </c>
      <c r="E1257" t="s">
        <v>2728</v>
      </c>
      <c r="F1257" t="s">
        <v>2729</v>
      </c>
      <c r="G1257" s="23" t="s">
        <v>41</v>
      </c>
      <c r="H1257" s="23" t="s">
        <v>71</v>
      </c>
      <c r="I1257" t="s">
        <v>2725</v>
      </c>
      <c r="J1257" t="s">
        <v>36</v>
      </c>
      <c r="K1257" s="22">
        <v>9</v>
      </c>
      <c r="L1257" s="1">
        <v>42928</v>
      </c>
      <c r="M1257" s="22">
        <f>Table3[[#This Row],[Ship Date]]-Table3[[#This Row],[Order Date]]</f>
        <v>3</v>
      </c>
      <c r="N1257" s="23" t="s">
        <v>169</v>
      </c>
      <c r="O1257" s="23" t="s">
        <v>23</v>
      </c>
      <c r="P1257" s="23" t="s">
        <v>189</v>
      </c>
      <c r="Q1257" s="23" t="s">
        <v>95</v>
      </c>
      <c r="R1257" s="23" t="s">
        <v>271</v>
      </c>
      <c r="S1257" s="33">
        <v>0.8</v>
      </c>
      <c r="T1257" s="13">
        <v>58.463999999999999</v>
      </c>
      <c r="U1257" s="13">
        <v>-146.16</v>
      </c>
      <c r="V1257" s="55">
        <f>Table3[[#This Row],[Profit]]/Table3[[#This Row],[Sales]]</f>
        <v>-2.5</v>
      </c>
    </row>
    <row r="1258" spans="1:22" x14ac:dyDescent="0.2">
      <c r="A1258">
        <v>1257</v>
      </c>
      <c r="B1258" t="s">
        <v>4610</v>
      </c>
      <c r="C1258" s="1">
        <v>42925</v>
      </c>
      <c r="D1258" s="22">
        <f>MONTH(Table3[[#This Row],[Order Date]])</f>
        <v>7</v>
      </c>
      <c r="E1258" t="s">
        <v>4611</v>
      </c>
      <c r="F1258" t="s">
        <v>4612</v>
      </c>
      <c r="G1258" s="23" t="s">
        <v>41</v>
      </c>
      <c r="H1258" s="23" t="s">
        <v>53</v>
      </c>
      <c r="I1258" t="s">
        <v>4530</v>
      </c>
      <c r="J1258" t="s">
        <v>22</v>
      </c>
      <c r="K1258" s="22">
        <v>5</v>
      </c>
      <c r="L1258" s="1">
        <v>42930</v>
      </c>
      <c r="M1258" s="22">
        <f>Table3[[#This Row],[Ship Date]]-Table3[[#This Row],[Order Date]]</f>
        <v>5</v>
      </c>
      <c r="N1258" s="23" t="s">
        <v>45</v>
      </c>
      <c r="O1258" s="23" t="s">
        <v>23</v>
      </c>
      <c r="P1258" s="23" t="s">
        <v>189</v>
      </c>
      <c r="Q1258" s="23" t="s">
        <v>95</v>
      </c>
      <c r="R1258" s="23" t="s">
        <v>271</v>
      </c>
      <c r="S1258" s="33">
        <v>0.2</v>
      </c>
      <c r="T1258" s="13">
        <v>228.92</v>
      </c>
      <c r="U1258" s="13">
        <v>14.307499999999999</v>
      </c>
      <c r="V1258" s="55">
        <f>Table3[[#This Row],[Profit]]/Table3[[#This Row],[Sales]]</f>
        <v>6.25E-2</v>
      </c>
    </row>
    <row r="1259" spans="1:22" x14ac:dyDescent="0.2">
      <c r="A1259">
        <v>1258</v>
      </c>
      <c r="B1259" t="s">
        <v>5051</v>
      </c>
      <c r="C1259" s="1">
        <v>42925</v>
      </c>
      <c r="D1259" s="22">
        <f>MONTH(Table3[[#This Row],[Order Date]])</f>
        <v>7</v>
      </c>
      <c r="E1259" t="s">
        <v>2738</v>
      </c>
      <c r="F1259" t="s">
        <v>2739</v>
      </c>
      <c r="G1259" s="23" t="s">
        <v>28</v>
      </c>
      <c r="H1259" s="23" t="s">
        <v>58</v>
      </c>
      <c r="I1259" t="s">
        <v>4661</v>
      </c>
      <c r="J1259" t="s">
        <v>92</v>
      </c>
      <c r="K1259" s="22">
        <v>5</v>
      </c>
      <c r="L1259" s="1">
        <v>42930</v>
      </c>
      <c r="M1259" s="22">
        <f>Table3[[#This Row],[Ship Date]]-Table3[[#This Row],[Order Date]]</f>
        <v>5</v>
      </c>
      <c r="N1259" s="23" t="s">
        <v>45</v>
      </c>
      <c r="O1259" s="23" t="s">
        <v>23</v>
      </c>
      <c r="P1259" s="23" t="s">
        <v>226</v>
      </c>
      <c r="Q1259" s="23" t="s">
        <v>95</v>
      </c>
      <c r="R1259" s="23" t="s">
        <v>3766</v>
      </c>
      <c r="S1259" s="33">
        <v>0</v>
      </c>
      <c r="T1259" s="13">
        <v>526.45000000000005</v>
      </c>
      <c r="U1259" s="13">
        <v>31.587</v>
      </c>
      <c r="V1259" s="55">
        <f>Table3[[#This Row],[Profit]]/Table3[[#This Row],[Sales]]</f>
        <v>0.06</v>
      </c>
    </row>
    <row r="1260" spans="1:22" x14ac:dyDescent="0.2">
      <c r="A1260">
        <v>1259</v>
      </c>
      <c r="B1260" t="s">
        <v>7939</v>
      </c>
      <c r="C1260" s="1">
        <v>42925</v>
      </c>
      <c r="D1260" s="22">
        <f>MONTH(Table3[[#This Row],[Order Date]])</f>
        <v>7</v>
      </c>
      <c r="E1260" t="s">
        <v>7770</v>
      </c>
      <c r="F1260" t="s">
        <v>7771</v>
      </c>
      <c r="G1260" s="23" t="s">
        <v>41</v>
      </c>
      <c r="H1260" s="23" t="s">
        <v>82</v>
      </c>
      <c r="I1260" t="s">
        <v>3257</v>
      </c>
      <c r="J1260" t="s">
        <v>22</v>
      </c>
      <c r="K1260" s="22">
        <v>5</v>
      </c>
      <c r="L1260" s="1">
        <v>42931</v>
      </c>
      <c r="M1260" s="22">
        <f>Table3[[#This Row],[Ship Date]]-Table3[[#This Row],[Order Date]]</f>
        <v>6</v>
      </c>
      <c r="N1260" s="23" t="s">
        <v>45</v>
      </c>
      <c r="O1260" s="23" t="s">
        <v>23</v>
      </c>
      <c r="P1260" s="23" t="s">
        <v>660</v>
      </c>
      <c r="Q1260" s="23" t="s">
        <v>133</v>
      </c>
      <c r="R1260" s="23" t="s">
        <v>1143</v>
      </c>
      <c r="S1260" s="33">
        <v>0</v>
      </c>
      <c r="T1260" s="13">
        <v>274.8</v>
      </c>
      <c r="U1260" s="13">
        <v>134.65199999999999</v>
      </c>
      <c r="V1260" s="55">
        <f>Table3[[#This Row],[Profit]]/Table3[[#This Row],[Sales]]</f>
        <v>0.48999999999999994</v>
      </c>
    </row>
    <row r="1261" spans="1:22" x14ac:dyDescent="0.2">
      <c r="A1261">
        <v>1260</v>
      </c>
      <c r="B1261" t="s">
        <v>7939</v>
      </c>
      <c r="C1261" s="1">
        <v>42925</v>
      </c>
      <c r="D1261" s="22">
        <f>MONTH(Table3[[#This Row],[Order Date]])</f>
        <v>7</v>
      </c>
      <c r="E1261" t="s">
        <v>4124</v>
      </c>
      <c r="F1261" t="s">
        <v>4125</v>
      </c>
      <c r="G1261" s="23" t="s">
        <v>41</v>
      </c>
      <c r="H1261" s="23" t="s">
        <v>53</v>
      </c>
      <c r="I1261" t="s">
        <v>3257</v>
      </c>
      <c r="J1261" t="s">
        <v>22</v>
      </c>
      <c r="K1261" s="22">
        <v>4</v>
      </c>
      <c r="L1261" s="1">
        <v>42931</v>
      </c>
      <c r="M1261" s="22">
        <f>Table3[[#This Row],[Ship Date]]-Table3[[#This Row],[Order Date]]</f>
        <v>6</v>
      </c>
      <c r="N1261" s="23" t="s">
        <v>45</v>
      </c>
      <c r="O1261" s="23" t="s">
        <v>23</v>
      </c>
      <c r="P1261" s="23" t="s">
        <v>660</v>
      </c>
      <c r="Q1261" s="23" t="s">
        <v>133</v>
      </c>
      <c r="R1261" s="23" t="s">
        <v>1143</v>
      </c>
      <c r="S1261" s="33">
        <v>0</v>
      </c>
      <c r="T1261" s="13">
        <v>195.64</v>
      </c>
      <c r="U1261" s="13">
        <v>3.9127999999999998</v>
      </c>
      <c r="V1261" s="55">
        <f>Table3[[#This Row],[Profit]]/Table3[[#This Row],[Sales]]</f>
        <v>0.02</v>
      </c>
    </row>
    <row r="1262" spans="1:22" x14ac:dyDescent="0.2">
      <c r="A1262">
        <v>1261</v>
      </c>
      <c r="B1262" t="s">
        <v>7939</v>
      </c>
      <c r="C1262" s="1">
        <v>42925</v>
      </c>
      <c r="D1262" s="22">
        <f>MONTH(Table3[[#This Row],[Order Date]])</f>
        <v>7</v>
      </c>
      <c r="E1262" t="s">
        <v>3306</v>
      </c>
      <c r="F1262" t="s">
        <v>3307</v>
      </c>
      <c r="G1262" s="23" t="s">
        <v>64</v>
      </c>
      <c r="H1262" s="23" t="s">
        <v>65</v>
      </c>
      <c r="I1262" t="s">
        <v>3257</v>
      </c>
      <c r="J1262" t="s">
        <v>22</v>
      </c>
      <c r="K1262" s="22">
        <v>2</v>
      </c>
      <c r="L1262" s="1">
        <v>42931</v>
      </c>
      <c r="M1262" s="22">
        <f>Table3[[#This Row],[Ship Date]]-Table3[[#This Row],[Order Date]]</f>
        <v>6</v>
      </c>
      <c r="N1262" s="23" t="s">
        <v>45</v>
      </c>
      <c r="O1262" s="23" t="s">
        <v>23</v>
      </c>
      <c r="P1262" s="23" t="s">
        <v>660</v>
      </c>
      <c r="Q1262" s="23" t="s">
        <v>133</v>
      </c>
      <c r="R1262" s="23" t="s">
        <v>1143</v>
      </c>
      <c r="S1262" s="33">
        <v>0</v>
      </c>
      <c r="T1262" s="13">
        <v>257.98</v>
      </c>
      <c r="U1262" s="13">
        <v>74.8142</v>
      </c>
      <c r="V1262" s="55">
        <f>Table3[[#This Row],[Profit]]/Table3[[#This Row],[Sales]]</f>
        <v>0.28999999999999998</v>
      </c>
    </row>
    <row r="1263" spans="1:22" x14ac:dyDescent="0.2">
      <c r="A1263">
        <v>1262</v>
      </c>
      <c r="B1263" t="s">
        <v>7939</v>
      </c>
      <c r="C1263" s="1">
        <v>42925</v>
      </c>
      <c r="D1263" s="22">
        <f>MONTH(Table3[[#This Row],[Order Date]])</f>
        <v>7</v>
      </c>
      <c r="E1263" t="s">
        <v>6135</v>
      </c>
      <c r="F1263" t="s">
        <v>6136</v>
      </c>
      <c r="G1263" s="23" t="s">
        <v>41</v>
      </c>
      <c r="H1263" s="23" t="s">
        <v>61</v>
      </c>
      <c r="I1263" t="s">
        <v>3257</v>
      </c>
      <c r="J1263" t="s">
        <v>22</v>
      </c>
      <c r="K1263" s="22">
        <v>6</v>
      </c>
      <c r="L1263" s="1">
        <v>42931</v>
      </c>
      <c r="M1263" s="22">
        <f>Table3[[#This Row],[Ship Date]]-Table3[[#This Row],[Order Date]]</f>
        <v>6</v>
      </c>
      <c r="N1263" s="23" t="s">
        <v>45</v>
      </c>
      <c r="O1263" s="23" t="s">
        <v>23</v>
      </c>
      <c r="P1263" s="23" t="s">
        <v>660</v>
      </c>
      <c r="Q1263" s="23" t="s">
        <v>133</v>
      </c>
      <c r="R1263" s="23" t="s">
        <v>1143</v>
      </c>
      <c r="S1263" s="33">
        <v>0</v>
      </c>
      <c r="T1263" s="13">
        <v>119.04</v>
      </c>
      <c r="U1263" s="13">
        <v>48.806399999999996</v>
      </c>
      <c r="V1263" s="55">
        <f>Table3[[#This Row],[Profit]]/Table3[[#This Row],[Sales]]</f>
        <v>0.41</v>
      </c>
    </row>
    <row r="1264" spans="1:22" x14ac:dyDescent="0.2">
      <c r="A1264">
        <v>1263</v>
      </c>
      <c r="B1264" t="s">
        <v>5454</v>
      </c>
      <c r="C1264" s="1">
        <v>42926</v>
      </c>
      <c r="D1264" s="22">
        <f>MONTH(Table3[[#This Row],[Order Date]])</f>
        <v>7</v>
      </c>
      <c r="E1264" t="s">
        <v>5419</v>
      </c>
      <c r="F1264" t="s">
        <v>5420</v>
      </c>
      <c r="G1264" s="23" t="s">
        <v>28</v>
      </c>
      <c r="H1264" s="23" t="s">
        <v>58</v>
      </c>
      <c r="I1264" t="s">
        <v>5455</v>
      </c>
      <c r="J1264" t="s">
        <v>22</v>
      </c>
      <c r="K1264" s="22">
        <v>3</v>
      </c>
      <c r="L1264" s="1">
        <v>42930</v>
      </c>
      <c r="M1264" s="22">
        <f>Table3[[#This Row],[Ship Date]]-Table3[[#This Row],[Order Date]]</f>
        <v>4</v>
      </c>
      <c r="N1264" s="23" t="s">
        <v>20</v>
      </c>
      <c r="O1264" s="23" t="s">
        <v>23</v>
      </c>
      <c r="P1264" s="23" t="s">
        <v>1125</v>
      </c>
      <c r="Q1264" s="23" t="s">
        <v>26</v>
      </c>
      <c r="R1264" s="23" t="s">
        <v>440</v>
      </c>
      <c r="S1264" s="33">
        <v>0</v>
      </c>
      <c r="T1264" s="13">
        <v>18.84</v>
      </c>
      <c r="U1264" s="13">
        <v>7.9127999999999998</v>
      </c>
      <c r="V1264" s="55">
        <f>Table3[[#This Row],[Profit]]/Table3[[#This Row],[Sales]]</f>
        <v>0.42</v>
      </c>
    </row>
    <row r="1265" spans="1:22" x14ac:dyDescent="0.2">
      <c r="A1265">
        <v>1264</v>
      </c>
      <c r="B1265" t="s">
        <v>5643</v>
      </c>
      <c r="C1265" s="1">
        <v>42926</v>
      </c>
      <c r="D1265" s="22">
        <f>MONTH(Table3[[#This Row],[Order Date]])</f>
        <v>7</v>
      </c>
      <c r="E1265" t="s">
        <v>2833</v>
      </c>
      <c r="F1265" t="s">
        <v>2834</v>
      </c>
      <c r="G1265" s="23" t="s">
        <v>41</v>
      </c>
      <c r="H1265" s="23" t="s">
        <v>53</v>
      </c>
      <c r="I1265" t="s">
        <v>3239</v>
      </c>
      <c r="J1265" t="s">
        <v>92</v>
      </c>
      <c r="K1265" s="22">
        <v>6</v>
      </c>
      <c r="L1265" s="1">
        <v>42930</v>
      </c>
      <c r="M1265" s="22">
        <f>Table3[[#This Row],[Ship Date]]-Table3[[#This Row],[Order Date]]</f>
        <v>4</v>
      </c>
      <c r="N1265" s="23" t="s">
        <v>45</v>
      </c>
      <c r="O1265" s="23" t="s">
        <v>23</v>
      </c>
      <c r="P1265" s="23" t="s">
        <v>189</v>
      </c>
      <c r="Q1265" s="23" t="s">
        <v>95</v>
      </c>
      <c r="R1265" s="23" t="s">
        <v>404</v>
      </c>
      <c r="S1265" s="33">
        <v>0.2</v>
      </c>
      <c r="T1265" s="13">
        <v>298.464</v>
      </c>
      <c r="U1265" s="13">
        <v>26.115600000000001</v>
      </c>
      <c r="V1265" s="55">
        <f>Table3[[#This Row],[Profit]]/Table3[[#This Row],[Sales]]</f>
        <v>8.7500000000000008E-2</v>
      </c>
    </row>
    <row r="1266" spans="1:22" x14ac:dyDescent="0.2">
      <c r="A1266">
        <v>1265</v>
      </c>
      <c r="B1266" t="s">
        <v>9014</v>
      </c>
      <c r="C1266" s="1">
        <v>42926</v>
      </c>
      <c r="D1266" s="22">
        <f>MONTH(Table3[[#This Row],[Order Date]])</f>
        <v>7</v>
      </c>
      <c r="E1266" t="s">
        <v>8384</v>
      </c>
      <c r="F1266" t="s">
        <v>8385</v>
      </c>
      <c r="G1266" s="23" t="s">
        <v>41</v>
      </c>
      <c r="H1266" s="23" t="s">
        <v>71</v>
      </c>
      <c r="I1266" t="s">
        <v>5397</v>
      </c>
      <c r="J1266" t="s">
        <v>36</v>
      </c>
      <c r="K1266" s="22">
        <v>3</v>
      </c>
      <c r="L1266" s="1">
        <v>42930</v>
      </c>
      <c r="M1266" s="22">
        <f>Table3[[#This Row],[Ship Date]]-Table3[[#This Row],[Order Date]]</f>
        <v>4</v>
      </c>
      <c r="N1266" s="23" t="s">
        <v>45</v>
      </c>
      <c r="O1266" s="23" t="s">
        <v>23</v>
      </c>
      <c r="P1266" s="23" t="s">
        <v>1125</v>
      </c>
      <c r="Q1266" s="23" t="s">
        <v>26</v>
      </c>
      <c r="R1266" s="23" t="s">
        <v>440</v>
      </c>
      <c r="S1266" s="33">
        <v>0</v>
      </c>
      <c r="T1266" s="13">
        <v>41.91</v>
      </c>
      <c r="U1266" s="13">
        <v>10.896599999999999</v>
      </c>
      <c r="V1266" s="55">
        <f>Table3[[#This Row],[Profit]]/Table3[[#This Row],[Sales]]</f>
        <v>0.26</v>
      </c>
    </row>
    <row r="1267" spans="1:22" x14ac:dyDescent="0.2">
      <c r="A1267">
        <v>1266</v>
      </c>
      <c r="B1267" t="s">
        <v>3487</v>
      </c>
      <c r="C1267" s="1">
        <v>42927</v>
      </c>
      <c r="D1267" s="22">
        <f>MONTH(Table3[[#This Row],[Order Date]])</f>
        <v>7</v>
      </c>
      <c r="E1267" t="s">
        <v>2356</v>
      </c>
      <c r="F1267" t="s">
        <v>2357</v>
      </c>
      <c r="G1267" s="23" t="s">
        <v>41</v>
      </c>
      <c r="H1267" s="23" t="s">
        <v>42</v>
      </c>
      <c r="I1267" t="s">
        <v>3488</v>
      </c>
      <c r="J1267" t="s">
        <v>36</v>
      </c>
      <c r="K1267" s="22">
        <v>3</v>
      </c>
      <c r="L1267" s="1">
        <v>42931</v>
      </c>
      <c r="M1267" s="22">
        <f>Table3[[#This Row],[Ship Date]]-Table3[[#This Row],[Order Date]]</f>
        <v>4</v>
      </c>
      <c r="N1267" s="23" t="s">
        <v>45</v>
      </c>
      <c r="O1267" s="23" t="s">
        <v>23</v>
      </c>
      <c r="P1267" s="23" t="s">
        <v>38</v>
      </c>
      <c r="Q1267" s="23" t="s">
        <v>39</v>
      </c>
      <c r="R1267" s="23" t="s">
        <v>37</v>
      </c>
      <c r="S1267" s="33">
        <v>0</v>
      </c>
      <c r="T1267" s="13">
        <v>8.67</v>
      </c>
      <c r="U1267" s="13">
        <v>4.0749000000000004</v>
      </c>
      <c r="V1267" s="55">
        <f>Table3[[#This Row],[Profit]]/Table3[[#This Row],[Sales]]</f>
        <v>0.47000000000000003</v>
      </c>
    </row>
    <row r="1268" spans="1:22" x14ac:dyDescent="0.2">
      <c r="A1268">
        <v>1267</v>
      </c>
      <c r="B1268" t="s">
        <v>5206</v>
      </c>
      <c r="C1268" s="1">
        <v>42927</v>
      </c>
      <c r="D1268" s="22">
        <f>MONTH(Table3[[#This Row],[Order Date]])</f>
        <v>7</v>
      </c>
      <c r="E1268" t="s">
        <v>665</v>
      </c>
      <c r="F1268" t="s">
        <v>666</v>
      </c>
      <c r="G1268" s="23" t="s">
        <v>64</v>
      </c>
      <c r="H1268" s="23" t="s">
        <v>144</v>
      </c>
      <c r="I1268" t="s">
        <v>4279</v>
      </c>
      <c r="J1268" t="s">
        <v>22</v>
      </c>
      <c r="K1268" s="22">
        <v>6</v>
      </c>
      <c r="L1268" s="1">
        <v>42929</v>
      </c>
      <c r="M1268" s="22">
        <f>Table3[[#This Row],[Ship Date]]-Table3[[#This Row],[Order Date]]</f>
        <v>2</v>
      </c>
      <c r="N1268" s="23" t="s">
        <v>20</v>
      </c>
      <c r="O1268" s="23" t="s">
        <v>23</v>
      </c>
      <c r="P1268" s="23" t="s">
        <v>238</v>
      </c>
      <c r="Q1268" s="23" t="s">
        <v>133</v>
      </c>
      <c r="R1268" s="23" t="s">
        <v>237</v>
      </c>
      <c r="S1268" s="33">
        <v>0</v>
      </c>
      <c r="T1268" s="13">
        <v>132.6</v>
      </c>
      <c r="U1268" s="13">
        <v>17.238</v>
      </c>
      <c r="V1268" s="55">
        <f>Table3[[#This Row],[Profit]]/Table3[[#This Row],[Sales]]</f>
        <v>0.13</v>
      </c>
    </row>
    <row r="1269" spans="1:22" x14ac:dyDescent="0.2">
      <c r="A1269">
        <v>1268</v>
      </c>
      <c r="B1269" t="s">
        <v>7992</v>
      </c>
      <c r="C1269" s="1">
        <v>42927</v>
      </c>
      <c r="D1269" s="22">
        <f>MONTH(Table3[[#This Row],[Order Date]])</f>
        <v>7</v>
      </c>
      <c r="E1269" t="s">
        <v>2672</v>
      </c>
      <c r="F1269" t="s">
        <v>2673</v>
      </c>
      <c r="G1269" s="23" t="s">
        <v>41</v>
      </c>
      <c r="H1269" s="23" t="s">
        <v>61</v>
      </c>
      <c r="I1269" t="s">
        <v>3774</v>
      </c>
      <c r="J1269" t="s">
        <v>22</v>
      </c>
      <c r="K1269" s="22">
        <v>4</v>
      </c>
      <c r="L1269" s="1">
        <v>42933</v>
      </c>
      <c r="M1269" s="22">
        <f>Table3[[#This Row],[Ship Date]]-Table3[[#This Row],[Order Date]]</f>
        <v>6</v>
      </c>
      <c r="N1269" s="23" t="s">
        <v>45</v>
      </c>
      <c r="O1269" s="23" t="s">
        <v>23</v>
      </c>
      <c r="P1269" s="23" t="s">
        <v>433</v>
      </c>
      <c r="Q1269" s="23" t="s">
        <v>95</v>
      </c>
      <c r="R1269" s="23" t="s">
        <v>7993</v>
      </c>
      <c r="S1269" s="33">
        <v>0</v>
      </c>
      <c r="T1269" s="13">
        <v>30.32</v>
      </c>
      <c r="U1269" s="13">
        <v>11.8248</v>
      </c>
      <c r="V1269" s="55">
        <f>Table3[[#This Row],[Profit]]/Table3[[#This Row],[Sales]]</f>
        <v>0.39</v>
      </c>
    </row>
    <row r="1270" spans="1:22" x14ac:dyDescent="0.2">
      <c r="A1270">
        <v>1269</v>
      </c>
      <c r="B1270" t="s">
        <v>9341</v>
      </c>
      <c r="C1270" s="1">
        <v>42927</v>
      </c>
      <c r="D1270" s="22">
        <f>MONTH(Table3[[#This Row],[Order Date]])</f>
        <v>7</v>
      </c>
      <c r="E1270" t="s">
        <v>800</v>
      </c>
      <c r="F1270" t="s">
        <v>801</v>
      </c>
      <c r="G1270" s="23" t="s">
        <v>64</v>
      </c>
      <c r="H1270" s="23" t="s">
        <v>144</v>
      </c>
      <c r="I1270" t="s">
        <v>1599</v>
      </c>
      <c r="J1270" t="s">
        <v>36</v>
      </c>
      <c r="K1270" s="22">
        <v>5</v>
      </c>
      <c r="L1270" s="1">
        <v>42934</v>
      </c>
      <c r="M1270" s="22">
        <f>Table3[[#This Row],[Ship Date]]-Table3[[#This Row],[Order Date]]</f>
        <v>7</v>
      </c>
      <c r="N1270" s="23" t="s">
        <v>45</v>
      </c>
      <c r="O1270" s="23" t="s">
        <v>23</v>
      </c>
      <c r="P1270" s="23" t="s">
        <v>38</v>
      </c>
      <c r="Q1270" s="23" t="s">
        <v>39</v>
      </c>
      <c r="R1270" s="23" t="s">
        <v>37</v>
      </c>
      <c r="S1270" s="33">
        <v>0</v>
      </c>
      <c r="T1270" s="13">
        <v>1287.45</v>
      </c>
      <c r="U1270" s="13">
        <v>244.6155</v>
      </c>
      <c r="V1270" s="55">
        <f>Table3[[#This Row],[Profit]]/Table3[[#This Row],[Sales]]</f>
        <v>0.19</v>
      </c>
    </row>
    <row r="1271" spans="1:22" x14ac:dyDescent="0.2">
      <c r="A1271">
        <v>1270</v>
      </c>
      <c r="B1271" t="s">
        <v>9341</v>
      </c>
      <c r="C1271" s="1">
        <v>42927</v>
      </c>
      <c r="D1271" s="22">
        <f>MONTH(Table3[[#This Row],[Order Date]])</f>
        <v>7</v>
      </c>
      <c r="E1271" t="s">
        <v>2516</v>
      </c>
      <c r="F1271" t="s">
        <v>2517</v>
      </c>
      <c r="G1271" s="23" t="s">
        <v>41</v>
      </c>
      <c r="H1271" s="23" t="s">
        <v>71</v>
      </c>
      <c r="I1271" t="s">
        <v>1599</v>
      </c>
      <c r="J1271" t="s">
        <v>36</v>
      </c>
      <c r="K1271" s="22">
        <v>5</v>
      </c>
      <c r="L1271" s="1">
        <v>42934</v>
      </c>
      <c r="M1271" s="22">
        <f>Table3[[#This Row],[Ship Date]]-Table3[[#This Row],[Order Date]]</f>
        <v>7</v>
      </c>
      <c r="N1271" s="23" t="s">
        <v>45</v>
      </c>
      <c r="O1271" s="23" t="s">
        <v>23</v>
      </c>
      <c r="P1271" s="23" t="s">
        <v>38</v>
      </c>
      <c r="Q1271" s="23" t="s">
        <v>39</v>
      </c>
      <c r="R1271" s="23" t="s">
        <v>37</v>
      </c>
      <c r="S1271" s="33">
        <v>0</v>
      </c>
      <c r="T1271" s="13">
        <v>168.1</v>
      </c>
      <c r="U1271" s="13">
        <v>43.706000000000003</v>
      </c>
      <c r="V1271" s="55">
        <f>Table3[[#This Row],[Profit]]/Table3[[#This Row],[Sales]]</f>
        <v>0.26</v>
      </c>
    </row>
    <row r="1272" spans="1:22" x14ac:dyDescent="0.2">
      <c r="A1272">
        <v>1271</v>
      </c>
      <c r="B1272" t="s">
        <v>9416</v>
      </c>
      <c r="C1272" s="1">
        <v>42927</v>
      </c>
      <c r="D1272" s="22">
        <f>MONTH(Table3[[#This Row],[Order Date]])</f>
        <v>7</v>
      </c>
      <c r="E1272" t="s">
        <v>2095</v>
      </c>
      <c r="F1272" t="s">
        <v>2096</v>
      </c>
      <c r="G1272" s="23" t="s">
        <v>64</v>
      </c>
      <c r="H1272" s="23" t="s">
        <v>65</v>
      </c>
      <c r="I1272" t="s">
        <v>6883</v>
      </c>
      <c r="J1272" t="s">
        <v>36</v>
      </c>
      <c r="K1272" s="22">
        <v>6</v>
      </c>
      <c r="L1272" s="1">
        <v>42932</v>
      </c>
      <c r="M1272" s="22">
        <f>Table3[[#This Row],[Ship Date]]-Table3[[#This Row],[Order Date]]</f>
        <v>5</v>
      </c>
      <c r="N1272" s="23" t="s">
        <v>45</v>
      </c>
      <c r="O1272" s="23" t="s">
        <v>23</v>
      </c>
      <c r="P1272" s="23" t="s">
        <v>38</v>
      </c>
      <c r="Q1272" s="23" t="s">
        <v>39</v>
      </c>
      <c r="R1272" s="23" t="s">
        <v>836</v>
      </c>
      <c r="S1272" s="33">
        <v>0.2</v>
      </c>
      <c r="T1272" s="13">
        <v>71.951999999999998</v>
      </c>
      <c r="U1272" s="13">
        <v>5.3963999999999999</v>
      </c>
      <c r="V1272" s="55">
        <f>Table3[[#This Row],[Profit]]/Table3[[#This Row],[Sales]]</f>
        <v>7.4999999999999997E-2</v>
      </c>
    </row>
    <row r="1273" spans="1:22" x14ac:dyDescent="0.2">
      <c r="A1273">
        <v>1272</v>
      </c>
      <c r="B1273" t="s">
        <v>9416</v>
      </c>
      <c r="C1273" s="1">
        <v>42927</v>
      </c>
      <c r="D1273" s="22">
        <f>MONTH(Table3[[#This Row],[Order Date]])</f>
        <v>7</v>
      </c>
      <c r="E1273" t="s">
        <v>3403</v>
      </c>
      <c r="F1273" t="s">
        <v>3404</v>
      </c>
      <c r="G1273" s="23" t="s">
        <v>41</v>
      </c>
      <c r="H1273" s="23" t="s">
        <v>68</v>
      </c>
      <c r="I1273" t="s">
        <v>6883</v>
      </c>
      <c r="J1273" t="s">
        <v>36</v>
      </c>
      <c r="K1273" s="22">
        <v>5</v>
      </c>
      <c r="L1273" s="1">
        <v>42932</v>
      </c>
      <c r="M1273" s="22">
        <f>Table3[[#This Row],[Ship Date]]-Table3[[#This Row],[Order Date]]</f>
        <v>5</v>
      </c>
      <c r="N1273" s="23" t="s">
        <v>45</v>
      </c>
      <c r="O1273" s="23" t="s">
        <v>23</v>
      </c>
      <c r="P1273" s="23" t="s">
        <v>38</v>
      </c>
      <c r="Q1273" s="23" t="s">
        <v>39</v>
      </c>
      <c r="R1273" s="23" t="s">
        <v>836</v>
      </c>
      <c r="S1273" s="33">
        <v>0.2</v>
      </c>
      <c r="T1273" s="13">
        <v>29.8</v>
      </c>
      <c r="U1273" s="13">
        <v>9.3125</v>
      </c>
      <c r="V1273" s="55">
        <f>Table3[[#This Row],[Profit]]/Table3[[#This Row],[Sales]]</f>
        <v>0.3125</v>
      </c>
    </row>
    <row r="1274" spans="1:22" x14ac:dyDescent="0.2">
      <c r="A1274">
        <v>1273</v>
      </c>
      <c r="B1274" t="s">
        <v>9584</v>
      </c>
      <c r="C1274" s="1">
        <v>42928</v>
      </c>
      <c r="D1274" s="22">
        <f>MONTH(Table3[[#This Row],[Order Date]])</f>
        <v>7</v>
      </c>
      <c r="E1274" t="s">
        <v>5411</v>
      </c>
      <c r="F1274" t="s">
        <v>5412</v>
      </c>
      <c r="G1274" s="23" t="s">
        <v>41</v>
      </c>
      <c r="H1274" s="23" t="s">
        <v>82</v>
      </c>
      <c r="I1274" t="s">
        <v>7013</v>
      </c>
      <c r="J1274" t="s">
        <v>22</v>
      </c>
      <c r="K1274" s="22">
        <v>1</v>
      </c>
      <c r="L1274" s="1">
        <v>42934</v>
      </c>
      <c r="M1274" s="22">
        <f>Table3[[#This Row],[Ship Date]]-Table3[[#This Row],[Order Date]]</f>
        <v>6</v>
      </c>
      <c r="N1274" s="23" t="s">
        <v>45</v>
      </c>
      <c r="O1274" s="23" t="s">
        <v>23</v>
      </c>
      <c r="P1274" s="23" t="s">
        <v>441</v>
      </c>
      <c r="Q1274" s="23" t="s">
        <v>133</v>
      </c>
      <c r="R1274" s="23" t="s">
        <v>659</v>
      </c>
      <c r="S1274" s="33">
        <v>0.2</v>
      </c>
      <c r="T1274" s="13">
        <v>3.8159999999999998</v>
      </c>
      <c r="U1274" s="13">
        <v>1.1924999999999999</v>
      </c>
      <c r="V1274" s="55">
        <f>Table3[[#This Row],[Profit]]/Table3[[#This Row],[Sales]]</f>
        <v>0.3125</v>
      </c>
    </row>
    <row r="1275" spans="1:22" x14ac:dyDescent="0.2">
      <c r="A1275">
        <v>1274</v>
      </c>
      <c r="B1275" t="s">
        <v>7040</v>
      </c>
      <c r="C1275" s="1">
        <v>42929</v>
      </c>
      <c r="D1275" s="22">
        <f>MONTH(Table3[[#This Row],[Order Date]])</f>
        <v>7</v>
      </c>
      <c r="E1275" t="s">
        <v>2694</v>
      </c>
      <c r="F1275" t="s">
        <v>2695</v>
      </c>
      <c r="G1275" s="23" t="s">
        <v>64</v>
      </c>
      <c r="H1275" s="23" t="s">
        <v>65</v>
      </c>
      <c r="I1275" t="s">
        <v>5960</v>
      </c>
      <c r="J1275" t="s">
        <v>22</v>
      </c>
      <c r="K1275" s="22">
        <v>1</v>
      </c>
      <c r="L1275" s="1">
        <v>42933</v>
      </c>
      <c r="M1275" s="22">
        <f>Table3[[#This Row],[Ship Date]]-Table3[[#This Row],[Order Date]]</f>
        <v>4</v>
      </c>
      <c r="N1275" s="23" t="s">
        <v>20</v>
      </c>
      <c r="O1275" s="23" t="s">
        <v>23</v>
      </c>
      <c r="P1275" s="23" t="s">
        <v>132</v>
      </c>
      <c r="Q1275" s="23" t="s">
        <v>133</v>
      </c>
      <c r="R1275" s="23" t="s">
        <v>131</v>
      </c>
      <c r="S1275" s="33">
        <v>0.4</v>
      </c>
      <c r="T1275" s="13">
        <v>39.594000000000001</v>
      </c>
      <c r="U1275" s="13">
        <v>-7.2588999999999997</v>
      </c>
      <c r="V1275" s="55">
        <f>Table3[[#This Row],[Profit]]/Table3[[#This Row],[Sales]]</f>
        <v>-0.18333333333333332</v>
      </c>
    </row>
    <row r="1276" spans="1:22" x14ac:dyDescent="0.2">
      <c r="A1276">
        <v>1275</v>
      </c>
      <c r="B1276" t="s">
        <v>7040</v>
      </c>
      <c r="C1276" s="1">
        <v>42929</v>
      </c>
      <c r="D1276" s="22">
        <f>MONTH(Table3[[#This Row],[Order Date]])</f>
        <v>7</v>
      </c>
      <c r="E1276" t="s">
        <v>4759</v>
      </c>
      <c r="F1276" t="s">
        <v>4760</v>
      </c>
      <c r="G1276" s="23" t="s">
        <v>28</v>
      </c>
      <c r="H1276" s="23" t="s">
        <v>58</v>
      </c>
      <c r="I1276" t="s">
        <v>5960</v>
      </c>
      <c r="J1276" t="s">
        <v>22</v>
      </c>
      <c r="K1276" s="22">
        <v>9</v>
      </c>
      <c r="L1276" s="1">
        <v>42933</v>
      </c>
      <c r="M1276" s="22">
        <f>Table3[[#This Row],[Ship Date]]-Table3[[#This Row],[Order Date]]</f>
        <v>4</v>
      </c>
      <c r="N1276" s="23" t="s">
        <v>20</v>
      </c>
      <c r="O1276" s="23" t="s">
        <v>23</v>
      </c>
      <c r="P1276" s="23" t="s">
        <v>132</v>
      </c>
      <c r="Q1276" s="23" t="s">
        <v>133</v>
      </c>
      <c r="R1276" s="23" t="s">
        <v>131</v>
      </c>
      <c r="S1276" s="33">
        <v>0.2</v>
      </c>
      <c r="T1276" s="13">
        <v>91.007999999999996</v>
      </c>
      <c r="U1276" s="13">
        <v>19.339200000000002</v>
      </c>
      <c r="V1276" s="55">
        <f>Table3[[#This Row],[Profit]]/Table3[[#This Row],[Sales]]</f>
        <v>0.21250000000000002</v>
      </c>
    </row>
    <row r="1277" spans="1:22" x14ac:dyDescent="0.2">
      <c r="A1277">
        <v>1276</v>
      </c>
      <c r="B1277" t="s">
        <v>7837</v>
      </c>
      <c r="C1277" s="1">
        <v>42929</v>
      </c>
      <c r="D1277" s="22">
        <f>MONTH(Table3[[#This Row],[Order Date]])</f>
        <v>7</v>
      </c>
      <c r="E1277" t="s">
        <v>2527</v>
      </c>
      <c r="F1277" t="s">
        <v>2528</v>
      </c>
      <c r="G1277" s="23" t="s">
        <v>41</v>
      </c>
      <c r="H1277" s="23" t="s">
        <v>53</v>
      </c>
      <c r="I1277" t="s">
        <v>5159</v>
      </c>
      <c r="J1277" t="s">
        <v>36</v>
      </c>
      <c r="K1277" s="22">
        <v>2</v>
      </c>
      <c r="L1277" s="1">
        <v>42933</v>
      </c>
      <c r="M1277" s="22">
        <f>Table3[[#This Row],[Ship Date]]-Table3[[#This Row],[Order Date]]</f>
        <v>4</v>
      </c>
      <c r="N1277" s="23" t="s">
        <v>45</v>
      </c>
      <c r="O1277" s="23" t="s">
        <v>23</v>
      </c>
      <c r="P1277" s="23" t="s">
        <v>4001</v>
      </c>
      <c r="Q1277" s="23" t="s">
        <v>95</v>
      </c>
      <c r="R1277" s="23" t="s">
        <v>5805</v>
      </c>
      <c r="S1277" s="33">
        <v>0</v>
      </c>
      <c r="T1277" s="13">
        <v>360.38</v>
      </c>
      <c r="U1277" s="13">
        <v>93.698800000000006</v>
      </c>
      <c r="V1277" s="55">
        <f>Table3[[#This Row],[Profit]]/Table3[[#This Row],[Sales]]</f>
        <v>0.26</v>
      </c>
    </row>
    <row r="1278" spans="1:22" x14ac:dyDescent="0.2">
      <c r="A1278">
        <v>1277</v>
      </c>
      <c r="B1278" t="s">
        <v>7837</v>
      </c>
      <c r="C1278" s="1">
        <v>42929</v>
      </c>
      <c r="D1278" s="22">
        <f>MONTH(Table3[[#This Row],[Order Date]])</f>
        <v>7</v>
      </c>
      <c r="E1278" t="s">
        <v>3410</v>
      </c>
      <c r="F1278" t="s">
        <v>3411</v>
      </c>
      <c r="G1278" s="23" t="s">
        <v>41</v>
      </c>
      <c r="H1278" s="23" t="s">
        <v>82</v>
      </c>
      <c r="I1278" t="s">
        <v>5159</v>
      </c>
      <c r="J1278" t="s">
        <v>36</v>
      </c>
      <c r="K1278" s="22">
        <v>2</v>
      </c>
      <c r="L1278" s="1">
        <v>42933</v>
      </c>
      <c r="M1278" s="22">
        <f>Table3[[#This Row],[Ship Date]]-Table3[[#This Row],[Order Date]]</f>
        <v>4</v>
      </c>
      <c r="N1278" s="23" t="s">
        <v>45</v>
      </c>
      <c r="O1278" s="23" t="s">
        <v>23</v>
      </c>
      <c r="P1278" s="23" t="s">
        <v>4001</v>
      </c>
      <c r="Q1278" s="23" t="s">
        <v>95</v>
      </c>
      <c r="R1278" s="23" t="s">
        <v>5805</v>
      </c>
      <c r="S1278" s="33">
        <v>0</v>
      </c>
      <c r="T1278" s="13">
        <v>13.56</v>
      </c>
      <c r="U1278" s="13">
        <v>6.2375999999999996</v>
      </c>
      <c r="V1278" s="55">
        <f>Table3[[#This Row],[Profit]]/Table3[[#This Row],[Sales]]</f>
        <v>0.45999999999999996</v>
      </c>
    </row>
    <row r="1279" spans="1:22" x14ac:dyDescent="0.2">
      <c r="A1279">
        <v>1278</v>
      </c>
      <c r="B1279" t="s">
        <v>8732</v>
      </c>
      <c r="C1279" s="1">
        <v>42930</v>
      </c>
      <c r="D1279" s="22">
        <f>MONTH(Table3[[#This Row],[Order Date]])</f>
        <v>7</v>
      </c>
      <c r="E1279" t="s">
        <v>2608</v>
      </c>
      <c r="F1279" t="s">
        <v>2609</v>
      </c>
      <c r="G1279" s="23" t="s">
        <v>41</v>
      </c>
      <c r="H1279" s="23" t="s">
        <v>68</v>
      </c>
      <c r="I1279" t="s">
        <v>5165</v>
      </c>
      <c r="J1279" t="s">
        <v>22</v>
      </c>
      <c r="K1279" s="22">
        <v>2</v>
      </c>
      <c r="L1279" s="1">
        <v>42934</v>
      </c>
      <c r="M1279" s="22">
        <f>Table3[[#This Row],[Ship Date]]-Table3[[#This Row],[Order Date]]</f>
        <v>4</v>
      </c>
      <c r="N1279" s="23" t="s">
        <v>45</v>
      </c>
      <c r="O1279" s="23" t="s">
        <v>23</v>
      </c>
      <c r="P1279" s="23" t="s">
        <v>38</v>
      </c>
      <c r="Q1279" s="23" t="s">
        <v>39</v>
      </c>
      <c r="R1279" s="23" t="s">
        <v>3504</v>
      </c>
      <c r="S1279" s="33">
        <v>0.2</v>
      </c>
      <c r="T1279" s="13">
        <v>4.4480000000000004</v>
      </c>
      <c r="U1279" s="13">
        <v>1.4456</v>
      </c>
      <c r="V1279" s="55">
        <f>Table3[[#This Row],[Profit]]/Table3[[#This Row],[Sales]]</f>
        <v>0.32499999999999996</v>
      </c>
    </row>
    <row r="1280" spans="1:22" x14ac:dyDescent="0.2">
      <c r="A1280">
        <v>1279</v>
      </c>
      <c r="B1280" t="s">
        <v>8732</v>
      </c>
      <c r="C1280" s="1">
        <v>42930</v>
      </c>
      <c r="D1280" s="22">
        <f>MONTH(Table3[[#This Row],[Order Date]])</f>
        <v>7</v>
      </c>
      <c r="E1280" t="s">
        <v>2535</v>
      </c>
      <c r="F1280" t="s">
        <v>2536</v>
      </c>
      <c r="G1280" s="23" t="s">
        <v>28</v>
      </c>
      <c r="H1280" s="23" t="s">
        <v>58</v>
      </c>
      <c r="I1280" t="s">
        <v>5165</v>
      </c>
      <c r="J1280" t="s">
        <v>22</v>
      </c>
      <c r="K1280" s="22">
        <v>3</v>
      </c>
      <c r="L1280" s="1">
        <v>42934</v>
      </c>
      <c r="M1280" s="22">
        <f>Table3[[#This Row],[Ship Date]]-Table3[[#This Row],[Order Date]]</f>
        <v>4</v>
      </c>
      <c r="N1280" s="23" t="s">
        <v>45</v>
      </c>
      <c r="O1280" s="23" t="s">
        <v>23</v>
      </c>
      <c r="P1280" s="23" t="s">
        <v>38</v>
      </c>
      <c r="Q1280" s="23" t="s">
        <v>39</v>
      </c>
      <c r="R1280" s="23" t="s">
        <v>3504</v>
      </c>
      <c r="S1280" s="33">
        <v>0</v>
      </c>
      <c r="T1280" s="13">
        <v>276.69</v>
      </c>
      <c r="U1280" s="13">
        <v>49.804200000000002</v>
      </c>
      <c r="V1280" s="55">
        <f>Table3[[#This Row],[Profit]]/Table3[[#This Row],[Sales]]</f>
        <v>0.18</v>
      </c>
    </row>
    <row r="1281" spans="1:22" x14ac:dyDescent="0.2">
      <c r="A1281">
        <v>1280</v>
      </c>
      <c r="B1281" t="s">
        <v>8732</v>
      </c>
      <c r="C1281" s="1">
        <v>42930</v>
      </c>
      <c r="D1281" s="22">
        <f>MONTH(Table3[[#This Row],[Order Date]])</f>
        <v>7</v>
      </c>
      <c r="E1281" t="s">
        <v>1087</v>
      </c>
      <c r="F1281" t="s">
        <v>1088</v>
      </c>
      <c r="G1281" s="23" t="s">
        <v>41</v>
      </c>
      <c r="H1281" s="23" t="s">
        <v>240</v>
      </c>
      <c r="I1281" t="s">
        <v>5165</v>
      </c>
      <c r="J1281" t="s">
        <v>22</v>
      </c>
      <c r="K1281" s="22">
        <v>4</v>
      </c>
      <c r="L1281" s="1">
        <v>42934</v>
      </c>
      <c r="M1281" s="22">
        <f>Table3[[#This Row],[Ship Date]]-Table3[[#This Row],[Order Date]]</f>
        <v>4</v>
      </c>
      <c r="N1281" s="23" t="s">
        <v>45</v>
      </c>
      <c r="O1281" s="23" t="s">
        <v>23</v>
      </c>
      <c r="P1281" s="23" t="s">
        <v>38</v>
      </c>
      <c r="Q1281" s="23" t="s">
        <v>39</v>
      </c>
      <c r="R1281" s="23" t="s">
        <v>3504</v>
      </c>
      <c r="S1281" s="33">
        <v>0</v>
      </c>
      <c r="T1281" s="13">
        <v>4.96</v>
      </c>
      <c r="U1281" s="13">
        <v>2.3311999999999999</v>
      </c>
      <c r="V1281" s="55">
        <f>Table3[[#This Row],[Profit]]/Table3[[#This Row],[Sales]]</f>
        <v>0.47</v>
      </c>
    </row>
    <row r="1282" spans="1:22" x14ac:dyDescent="0.2">
      <c r="A1282">
        <v>1281</v>
      </c>
      <c r="B1282" t="s">
        <v>8732</v>
      </c>
      <c r="C1282" s="1">
        <v>42930</v>
      </c>
      <c r="D1282" s="22">
        <f>MONTH(Table3[[#This Row],[Order Date]])</f>
        <v>7</v>
      </c>
      <c r="E1282" t="s">
        <v>157</v>
      </c>
      <c r="F1282" t="s">
        <v>158</v>
      </c>
      <c r="G1282" s="23" t="s">
        <v>41</v>
      </c>
      <c r="H1282" s="23" t="s">
        <v>61</v>
      </c>
      <c r="I1282" t="s">
        <v>5165</v>
      </c>
      <c r="J1282" t="s">
        <v>22</v>
      </c>
      <c r="K1282" s="22">
        <v>4</v>
      </c>
      <c r="L1282" s="1">
        <v>42934</v>
      </c>
      <c r="M1282" s="22">
        <f>Table3[[#This Row],[Ship Date]]-Table3[[#This Row],[Order Date]]</f>
        <v>4</v>
      </c>
      <c r="N1282" s="23" t="s">
        <v>45</v>
      </c>
      <c r="O1282" s="23" t="s">
        <v>23</v>
      </c>
      <c r="P1282" s="23" t="s">
        <v>38</v>
      </c>
      <c r="Q1282" s="23" t="s">
        <v>39</v>
      </c>
      <c r="R1282" s="23" t="s">
        <v>3504</v>
      </c>
      <c r="S1282" s="33">
        <v>0</v>
      </c>
      <c r="T1282" s="13">
        <v>71.92</v>
      </c>
      <c r="U1282" s="13">
        <v>20.8568</v>
      </c>
      <c r="V1282" s="55">
        <f>Table3[[#This Row],[Profit]]/Table3[[#This Row],[Sales]]</f>
        <v>0.28999999999999998</v>
      </c>
    </row>
    <row r="1283" spans="1:22" x14ac:dyDescent="0.2">
      <c r="A1283">
        <v>1282</v>
      </c>
      <c r="B1283" t="s">
        <v>8732</v>
      </c>
      <c r="C1283" s="1">
        <v>42930</v>
      </c>
      <c r="D1283" s="22">
        <f>MONTH(Table3[[#This Row],[Order Date]])</f>
        <v>7</v>
      </c>
      <c r="E1283" t="s">
        <v>723</v>
      </c>
      <c r="F1283" t="s">
        <v>724</v>
      </c>
      <c r="G1283" s="23" t="s">
        <v>28</v>
      </c>
      <c r="H1283" s="23" t="s">
        <v>58</v>
      </c>
      <c r="I1283" t="s">
        <v>5165</v>
      </c>
      <c r="J1283" t="s">
        <v>22</v>
      </c>
      <c r="K1283" s="22">
        <v>3</v>
      </c>
      <c r="L1283" s="1">
        <v>42934</v>
      </c>
      <c r="M1283" s="22">
        <f>Table3[[#This Row],[Ship Date]]-Table3[[#This Row],[Order Date]]</f>
        <v>4</v>
      </c>
      <c r="N1283" s="23" t="s">
        <v>45</v>
      </c>
      <c r="O1283" s="23" t="s">
        <v>23</v>
      </c>
      <c r="P1283" s="23" t="s">
        <v>38</v>
      </c>
      <c r="Q1283" s="23" t="s">
        <v>39</v>
      </c>
      <c r="R1283" s="23" t="s">
        <v>3504</v>
      </c>
      <c r="S1283" s="33">
        <v>0</v>
      </c>
      <c r="T1283" s="13">
        <v>18.84</v>
      </c>
      <c r="U1283" s="13">
        <v>7.9127999999999998</v>
      </c>
      <c r="V1283" s="55">
        <f>Table3[[#This Row],[Profit]]/Table3[[#This Row],[Sales]]</f>
        <v>0.42</v>
      </c>
    </row>
    <row r="1284" spans="1:22" x14ac:dyDescent="0.2">
      <c r="A1284">
        <v>1283</v>
      </c>
      <c r="B1284" t="s">
        <v>8732</v>
      </c>
      <c r="C1284" s="1">
        <v>42930</v>
      </c>
      <c r="D1284" s="22">
        <f>MONTH(Table3[[#This Row],[Order Date]])</f>
        <v>7</v>
      </c>
      <c r="E1284" t="s">
        <v>1501</v>
      </c>
      <c r="F1284" t="s">
        <v>1502</v>
      </c>
      <c r="G1284" s="23" t="s">
        <v>64</v>
      </c>
      <c r="H1284" s="23" t="s">
        <v>144</v>
      </c>
      <c r="I1284" t="s">
        <v>5165</v>
      </c>
      <c r="J1284" t="s">
        <v>22</v>
      </c>
      <c r="K1284" s="22">
        <v>3</v>
      </c>
      <c r="L1284" s="1">
        <v>42934</v>
      </c>
      <c r="M1284" s="22">
        <f>Table3[[#This Row],[Ship Date]]-Table3[[#This Row],[Order Date]]</f>
        <v>4</v>
      </c>
      <c r="N1284" s="23" t="s">
        <v>45</v>
      </c>
      <c r="O1284" s="23" t="s">
        <v>23</v>
      </c>
      <c r="P1284" s="23" t="s">
        <v>38</v>
      </c>
      <c r="Q1284" s="23" t="s">
        <v>39</v>
      </c>
      <c r="R1284" s="23" t="s">
        <v>3504</v>
      </c>
      <c r="S1284" s="33">
        <v>0</v>
      </c>
      <c r="T1284" s="13">
        <v>140.97</v>
      </c>
      <c r="U1284" s="13">
        <v>19.735800000000001</v>
      </c>
      <c r="V1284" s="55">
        <f>Table3[[#This Row],[Profit]]/Table3[[#This Row],[Sales]]</f>
        <v>0.14000000000000001</v>
      </c>
    </row>
    <row r="1285" spans="1:22" x14ac:dyDescent="0.2">
      <c r="A1285">
        <v>1284</v>
      </c>
      <c r="B1285" t="s">
        <v>8732</v>
      </c>
      <c r="C1285" s="1">
        <v>42930</v>
      </c>
      <c r="D1285" s="22">
        <f>MONTH(Table3[[#This Row],[Order Date]])</f>
        <v>7</v>
      </c>
      <c r="E1285" t="s">
        <v>172</v>
      </c>
      <c r="F1285" t="s">
        <v>173</v>
      </c>
      <c r="G1285" s="23" t="s">
        <v>64</v>
      </c>
      <c r="H1285" s="23" t="s">
        <v>65</v>
      </c>
      <c r="I1285" t="s">
        <v>5165</v>
      </c>
      <c r="J1285" t="s">
        <v>22</v>
      </c>
      <c r="K1285" s="22">
        <v>3</v>
      </c>
      <c r="L1285" s="1">
        <v>42934</v>
      </c>
      <c r="M1285" s="22">
        <f>Table3[[#This Row],[Ship Date]]-Table3[[#This Row],[Order Date]]</f>
        <v>4</v>
      </c>
      <c r="N1285" s="23" t="s">
        <v>45</v>
      </c>
      <c r="O1285" s="23" t="s">
        <v>23</v>
      </c>
      <c r="P1285" s="23" t="s">
        <v>38</v>
      </c>
      <c r="Q1285" s="23" t="s">
        <v>39</v>
      </c>
      <c r="R1285" s="23" t="s">
        <v>3504</v>
      </c>
      <c r="S1285" s="33">
        <v>0.2</v>
      </c>
      <c r="T1285" s="13">
        <v>470.37599999999998</v>
      </c>
      <c r="U1285" s="13">
        <v>52.917299999999997</v>
      </c>
      <c r="V1285" s="55">
        <f>Table3[[#This Row],[Profit]]/Table3[[#This Row],[Sales]]</f>
        <v>0.1125</v>
      </c>
    </row>
    <row r="1286" spans="1:22" x14ac:dyDescent="0.2">
      <c r="A1286">
        <v>1285</v>
      </c>
      <c r="B1286" t="s">
        <v>8738</v>
      </c>
      <c r="C1286" s="1">
        <v>42930</v>
      </c>
      <c r="D1286" s="22">
        <f>MONTH(Table3[[#This Row],[Order Date]])</f>
        <v>7</v>
      </c>
      <c r="E1286" t="s">
        <v>2829</v>
      </c>
      <c r="F1286" t="s">
        <v>2830</v>
      </c>
      <c r="G1286" s="23" t="s">
        <v>41</v>
      </c>
      <c r="H1286" s="23" t="s">
        <v>82</v>
      </c>
      <c r="I1286" t="s">
        <v>1864</v>
      </c>
      <c r="J1286" t="s">
        <v>22</v>
      </c>
      <c r="K1286" s="22">
        <v>2</v>
      </c>
      <c r="L1286" s="1">
        <v>42934</v>
      </c>
      <c r="M1286" s="22">
        <f>Table3[[#This Row],[Ship Date]]-Table3[[#This Row],[Order Date]]</f>
        <v>4</v>
      </c>
      <c r="N1286" s="23" t="s">
        <v>45</v>
      </c>
      <c r="O1286" s="23" t="s">
        <v>23</v>
      </c>
      <c r="P1286" s="23" t="s">
        <v>441</v>
      </c>
      <c r="Q1286" s="23" t="s">
        <v>133</v>
      </c>
      <c r="R1286" s="23" t="s">
        <v>440</v>
      </c>
      <c r="S1286" s="33">
        <v>0.2</v>
      </c>
      <c r="T1286" s="13">
        <v>9.2479999999999993</v>
      </c>
      <c r="U1286" s="13">
        <v>3.3523999999999998</v>
      </c>
      <c r="V1286" s="55">
        <f>Table3[[#This Row],[Profit]]/Table3[[#This Row],[Sales]]</f>
        <v>0.36249999999999999</v>
      </c>
    </row>
    <row r="1287" spans="1:22" x14ac:dyDescent="0.2">
      <c r="A1287">
        <v>1286</v>
      </c>
      <c r="B1287" t="s">
        <v>8738</v>
      </c>
      <c r="C1287" s="1">
        <v>42930</v>
      </c>
      <c r="D1287" s="22">
        <f>MONTH(Table3[[#This Row],[Order Date]])</f>
        <v>7</v>
      </c>
      <c r="E1287" t="s">
        <v>2598</v>
      </c>
      <c r="F1287" t="s">
        <v>2599</v>
      </c>
      <c r="G1287" s="23" t="s">
        <v>64</v>
      </c>
      <c r="H1287" s="23" t="s">
        <v>65</v>
      </c>
      <c r="I1287" t="s">
        <v>1864</v>
      </c>
      <c r="J1287" t="s">
        <v>22</v>
      </c>
      <c r="K1287" s="22">
        <v>9</v>
      </c>
      <c r="L1287" s="1">
        <v>42934</v>
      </c>
      <c r="M1287" s="22">
        <f>Table3[[#This Row],[Ship Date]]-Table3[[#This Row],[Order Date]]</f>
        <v>4</v>
      </c>
      <c r="N1287" s="23" t="s">
        <v>45</v>
      </c>
      <c r="O1287" s="23" t="s">
        <v>23</v>
      </c>
      <c r="P1287" s="23" t="s">
        <v>441</v>
      </c>
      <c r="Q1287" s="23" t="s">
        <v>133</v>
      </c>
      <c r="R1287" s="23" t="s">
        <v>440</v>
      </c>
      <c r="S1287" s="33">
        <v>0.4</v>
      </c>
      <c r="T1287" s="13">
        <v>1889.9459999999999</v>
      </c>
      <c r="U1287" s="13">
        <v>-377.98919999999998</v>
      </c>
      <c r="V1287" s="55">
        <f>Table3[[#This Row],[Profit]]/Table3[[#This Row],[Sales]]</f>
        <v>-0.2</v>
      </c>
    </row>
    <row r="1288" spans="1:22" x14ac:dyDescent="0.2">
      <c r="A1288">
        <v>1287</v>
      </c>
      <c r="B1288" t="s">
        <v>8738</v>
      </c>
      <c r="C1288" s="1">
        <v>42930</v>
      </c>
      <c r="D1288" s="22">
        <f>MONTH(Table3[[#This Row],[Order Date]])</f>
        <v>7</v>
      </c>
      <c r="E1288" t="s">
        <v>643</v>
      </c>
      <c r="F1288" t="s">
        <v>644</v>
      </c>
      <c r="G1288" s="23" t="s">
        <v>41</v>
      </c>
      <c r="H1288" s="23" t="s">
        <v>53</v>
      </c>
      <c r="I1288" t="s">
        <v>1864</v>
      </c>
      <c r="J1288" t="s">
        <v>22</v>
      </c>
      <c r="K1288" s="22">
        <v>5</v>
      </c>
      <c r="L1288" s="1">
        <v>42934</v>
      </c>
      <c r="M1288" s="22">
        <f>Table3[[#This Row],[Ship Date]]-Table3[[#This Row],[Order Date]]</f>
        <v>4</v>
      </c>
      <c r="N1288" s="23" t="s">
        <v>45</v>
      </c>
      <c r="O1288" s="23" t="s">
        <v>23</v>
      </c>
      <c r="P1288" s="23" t="s">
        <v>441</v>
      </c>
      <c r="Q1288" s="23" t="s">
        <v>133</v>
      </c>
      <c r="R1288" s="23" t="s">
        <v>440</v>
      </c>
      <c r="S1288" s="33">
        <v>0.2</v>
      </c>
      <c r="T1288" s="13">
        <v>62.04</v>
      </c>
      <c r="U1288" s="13">
        <v>4.6529999999999996</v>
      </c>
      <c r="V1288" s="55">
        <f>Table3[[#This Row],[Profit]]/Table3[[#This Row],[Sales]]</f>
        <v>7.4999999999999997E-2</v>
      </c>
    </row>
    <row r="1289" spans="1:22" x14ac:dyDescent="0.2">
      <c r="A1289">
        <v>1288</v>
      </c>
      <c r="B1289" t="s">
        <v>8738</v>
      </c>
      <c r="C1289" s="1">
        <v>42930</v>
      </c>
      <c r="D1289" s="22">
        <f>MONTH(Table3[[#This Row],[Order Date]])</f>
        <v>7</v>
      </c>
      <c r="E1289" t="s">
        <v>3756</v>
      </c>
      <c r="F1289" t="s">
        <v>3757</v>
      </c>
      <c r="G1289" s="23" t="s">
        <v>28</v>
      </c>
      <c r="H1289" s="23" t="s">
        <v>58</v>
      </c>
      <c r="I1289" t="s">
        <v>1864</v>
      </c>
      <c r="J1289" t="s">
        <v>22</v>
      </c>
      <c r="K1289" s="22">
        <v>5</v>
      </c>
      <c r="L1289" s="1">
        <v>42934</v>
      </c>
      <c r="M1289" s="22">
        <f>Table3[[#This Row],[Ship Date]]-Table3[[#This Row],[Order Date]]</f>
        <v>4</v>
      </c>
      <c r="N1289" s="23" t="s">
        <v>45</v>
      </c>
      <c r="O1289" s="23" t="s">
        <v>23</v>
      </c>
      <c r="P1289" s="23" t="s">
        <v>441</v>
      </c>
      <c r="Q1289" s="23" t="s">
        <v>133</v>
      </c>
      <c r="R1289" s="23" t="s">
        <v>440</v>
      </c>
      <c r="S1289" s="33">
        <v>0.2</v>
      </c>
      <c r="T1289" s="13">
        <v>396.92</v>
      </c>
      <c r="U1289" s="13">
        <v>148.845</v>
      </c>
      <c r="V1289" s="55">
        <f>Table3[[#This Row],[Profit]]/Table3[[#This Row],[Sales]]</f>
        <v>0.375</v>
      </c>
    </row>
    <row r="1290" spans="1:22" x14ac:dyDescent="0.2">
      <c r="A1290">
        <v>1289</v>
      </c>
      <c r="B1290" t="s">
        <v>8738</v>
      </c>
      <c r="C1290" s="1">
        <v>42930</v>
      </c>
      <c r="D1290" s="22">
        <f>MONTH(Table3[[#This Row],[Order Date]])</f>
        <v>7</v>
      </c>
      <c r="E1290" t="s">
        <v>4941</v>
      </c>
      <c r="F1290" t="s">
        <v>4942</v>
      </c>
      <c r="G1290" s="23" t="s">
        <v>41</v>
      </c>
      <c r="H1290" s="23" t="s">
        <v>53</v>
      </c>
      <c r="I1290" t="s">
        <v>1864</v>
      </c>
      <c r="J1290" t="s">
        <v>22</v>
      </c>
      <c r="K1290" s="22">
        <v>7</v>
      </c>
      <c r="L1290" s="1">
        <v>42934</v>
      </c>
      <c r="M1290" s="22">
        <f>Table3[[#This Row],[Ship Date]]-Table3[[#This Row],[Order Date]]</f>
        <v>4</v>
      </c>
      <c r="N1290" s="23" t="s">
        <v>45</v>
      </c>
      <c r="O1290" s="23" t="s">
        <v>23</v>
      </c>
      <c r="P1290" s="23" t="s">
        <v>441</v>
      </c>
      <c r="Q1290" s="23" t="s">
        <v>133</v>
      </c>
      <c r="R1290" s="23" t="s">
        <v>440</v>
      </c>
      <c r="S1290" s="33">
        <v>0.2</v>
      </c>
      <c r="T1290" s="13">
        <v>239.45599999999999</v>
      </c>
      <c r="U1290" s="13">
        <v>17.959199999999999</v>
      </c>
      <c r="V1290" s="55">
        <f>Table3[[#This Row],[Profit]]/Table3[[#This Row],[Sales]]</f>
        <v>7.4999999999999997E-2</v>
      </c>
    </row>
    <row r="1291" spans="1:22" x14ac:dyDescent="0.2">
      <c r="A1291">
        <v>1290</v>
      </c>
      <c r="B1291" t="s">
        <v>8738</v>
      </c>
      <c r="C1291" s="1">
        <v>42930</v>
      </c>
      <c r="D1291" s="22">
        <f>MONTH(Table3[[#This Row],[Order Date]])</f>
        <v>7</v>
      </c>
      <c r="E1291" t="s">
        <v>1208</v>
      </c>
      <c r="F1291" t="s">
        <v>1209</v>
      </c>
      <c r="G1291" s="23" t="s">
        <v>41</v>
      </c>
      <c r="H1291" s="23" t="s">
        <v>61</v>
      </c>
      <c r="I1291" t="s">
        <v>1864</v>
      </c>
      <c r="J1291" t="s">
        <v>22</v>
      </c>
      <c r="K1291" s="22">
        <v>5</v>
      </c>
      <c r="L1291" s="1">
        <v>42934</v>
      </c>
      <c r="M1291" s="22">
        <f>Table3[[#This Row],[Ship Date]]-Table3[[#This Row],[Order Date]]</f>
        <v>4</v>
      </c>
      <c r="N1291" s="23" t="s">
        <v>45</v>
      </c>
      <c r="O1291" s="23" t="s">
        <v>23</v>
      </c>
      <c r="P1291" s="23" t="s">
        <v>441</v>
      </c>
      <c r="Q1291" s="23" t="s">
        <v>133</v>
      </c>
      <c r="R1291" s="23" t="s">
        <v>440</v>
      </c>
      <c r="S1291" s="33">
        <v>0.2</v>
      </c>
      <c r="T1291" s="13">
        <v>13.12</v>
      </c>
      <c r="U1291" s="13">
        <v>2.1320000000000001</v>
      </c>
      <c r="V1291" s="55">
        <f>Table3[[#This Row],[Profit]]/Table3[[#This Row],[Sales]]</f>
        <v>0.16250000000000001</v>
      </c>
    </row>
    <row r="1292" spans="1:22" x14ac:dyDescent="0.2">
      <c r="A1292">
        <v>1291</v>
      </c>
      <c r="B1292" t="s">
        <v>4420</v>
      </c>
      <c r="C1292" s="1">
        <v>42931</v>
      </c>
      <c r="D1292" s="22">
        <f>MONTH(Table3[[#This Row],[Order Date]])</f>
        <v>7</v>
      </c>
      <c r="E1292" t="s">
        <v>2083</v>
      </c>
      <c r="F1292" t="s">
        <v>2084</v>
      </c>
      <c r="G1292" s="23" t="s">
        <v>41</v>
      </c>
      <c r="H1292" s="23" t="s">
        <v>68</v>
      </c>
      <c r="I1292" t="s">
        <v>4421</v>
      </c>
      <c r="J1292" t="s">
        <v>22</v>
      </c>
      <c r="K1292" s="22">
        <v>3</v>
      </c>
      <c r="L1292" s="1">
        <v>42935</v>
      </c>
      <c r="M1292" s="22">
        <f>Table3[[#This Row],[Ship Date]]-Table3[[#This Row],[Order Date]]</f>
        <v>4</v>
      </c>
      <c r="N1292" s="23" t="s">
        <v>45</v>
      </c>
      <c r="O1292" s="23" t="s">
        <v>23</v>
      </c>
      <c r="P1292" s="23" t="s">
        <v>218</v>
      </c>
      <c r="Q1292" s="23" t="s">
        <v>133</v>
      </c>
      <c r="R1292" s="23" t="s">
        <v>461</v>
      </c>
      <c r="S1292" s="33">
        <v>0</v>
      </c>
      <c r="T1292" s="13">
        <v>26.55</v>
      </c>
      <c r="U1292" s="13">
        <v>13.009499999999999</v>
      </c>
      <c r="V1292" s="55">
        <f>Table3[[#This Row],[Profit]]/Table3[[#This Row],[Sales]]</f>
        <v>0.48999999999999994</v>
      </c>
    </row>
    <row r="1293" spans="1:22" x14ac:dyDescent="0.2">
      <c r="A1293">
        <v>1292</v>
      </c>
      <c r="B1293" t="s">
        <v>4420</v>
      </c>
      <c r="C1293" s="1">
        <v>42931</v>
      </c>
      <c r="D1293" s="22">
        <f>MONTH(Table3[[#This Row],[Order Date]])</f>
        <v>7</v>
      </c>
      <c r="E1293" t="s">
        <v>3934</v>
      </c>
      <c r="F1293" t="s">
        <v>3935</v>
      </c>
      <c r="G1293" s="23" t="s">
        <v>28</v>
      </c>
      <c r="H1293" s="23" t="s">
        <v>50</v>
      </c>
      <c r="I1293" t="s">
        <v>4421</v>
      </c>
      <c r="J1293" t="s">
        <v>22</v>
      </c>
      <c r="K1293" s="22">
        <v>3</v>
      </c>
      <c r="L1293" s="1">
        <v>42935</v>
      </c>
      <c r="M1293" s="22">
        <f>Table3[[#This Row],[Ship Date]]-Table3[[#This Row],[Order Date]]</f>
        <v>4</v>
      </c>
      <c r="N1293" s="23" t="s">
        <v>45</v>
      </c>
      <c r="O1293" s="23" t="s">
        <v>23</v>
      </c>
      <c r="P1293" s="23" t="s">
        <v>218</v>
      </c>
      <c r="Q1293" s="23" t="s">
        <v>133</v>
      </c>
      <c r="R1293" s="23" t="s">
        <v>461</v>
      </c>
      <c r="S1293" s="33">
        <v>0.3</v>
      </c>
      <c r="T1293" s="13">
        <v>310.44299999999998</v>
      </c>
      <c r="U1293" s="13">
        <v>-48.783900000000003</v>
      </c>
      <c r="V1293" s="55">
        <f>Table3[[#This Row],[Profit]]/Table3[[#This Row],[Sales]]</f>
        <v>-0.15714285714285717</v>
      </c>
    </row>
    <row r="1294" spans="1:22" x14ac:dyDescent="0.2">
      <c r="A1294">
        <v>1293</v>
      </c>
      <c r="B1294" t="s">
        <v>7527</v>
      </c>
      <c r="C1294" s="1">
        <v>42931</v>
      </c>
      <c r="D1294" s="22">
        <f>MONTH(Table3[[#This Row],[Order Date]])</f>
        <v>7</v>
      </c>
      <c r="E1294" t="s">
        <v>4426</v>
      </c>
      <c r="F1294" t="s">
        <v>4427</v>
      </c>
      <c r="G1294" s="23" t="s">
        <v>41</v>
      </c>
      <c r="H1294" s="23" t="s">
        <v>61</v>
      </c>
      <c r="I1294" t="s">
        <v>3816</v>
      </c>
      <c r="J1294" t="s">
        <v>22</v>
      </c>
      <c r="K1294" s="22">
        <v>2</v>
      </c>
      <c r="L1294" s="1">
        <v>42934</v>
      </c>
      <c r="M1294" s="22">
        <f>Table3[[#This Row],[Ship Date]]-Table3[[#This Row],[Order Date]]</f>
        <v>3</v>
      </c>
      <c r="N1294" s="23" t="s">
        <v>20</v>
      </c>
      <c r="O1294" s="23" t="s">
        <v>23</v>
      </c>
      <c r="P1294" s="23" t="s">
        <v>238</v>
      </c>
      <c r="Q1294" s="23" t="s">
        <v>133</v>
      </c>
      <c r="R1294" s="23" t="s">
        <v>237</v>
      </c>
      <c r="S1294" s="33">
        <v>0</v>
      </c>
      <c r="T1294" s="13">
        <v>6.56</v>
      </c>
      <c r="U1294" s="13">
        <v>1.9024000000000001</v>
      </c>
      <c r="V1294" s="55">
        <f>Table3[[#This Row],[Profit]]/Table3[[#This Row],[Sales]]</f>
        <v>0.29000000000000004</v>
      </c>
    </row>
    <row r="1295" spans="1:22" x14ac:dyDescent="0.2">
      <c r="A1295">
        <v>1294</v>
      </c>
      <c r="B1295" t="s">
        <v>7527</v>
      </c>
      <c r="C1295" s="1">
        <v>42931</v>
      </c>
      <c r="D1295" s="22">
        <f>MONTH(Table3[[#This Row],[Order Date]])</f>
        <v>7</v>
      </c>
      <c r="E1295" t="s">
        <v>1009</v>
      </c>
      <c r="F1295" t="s">
        <v>1010</v>
      </c>
      <c r="G1295" s="23" t="s">
        <v>41</v>
      </c>
      <c r="H1295" s="23" t="s">
        <v>42</v>
      </c>
      <c r="I1295" t="s">
        <v>3816</v>
      </c>
      <c r="J1295" t="s">
        <v>22</v>
      </c>
      <c r="K1295" s="22">
        <v>3</v>
      </c>
      <c r="L1295" s="1">
        <v>42934</v>
      </c>
      <c r="M1295" s="22">
        <f>Table3[[#This Row],[Ship Date]]-Table3[[#This Row],[Order Date]]</f>
        <v>3</v>
      </c>
      <c r="N1295" s="23" t="s">
        <v>20</v>
      </c>
      <c r="O1295" s="23" t="s">
        <v>23</v>
      </c>
      <c r="P1295" s="23" t="s">
        <v>238</v>
      </c>
      <c r="Q1295" s="23" t="s">
        <v>133</v>
      </c>
      <c r="R1295" s="23" t="s">
        <v>237</v>
      </c>
      <c r="S1295" s="33">
        <v>0</v>
      </c>
      <c r="T1295" s="13">
        <v>7.83</v>
      </c>
      <c r="U1295" s="13">
        <v>3.6017999999999999</v>
      </c>
      <c r="V1295" s="55">
        <f>Table3[[#This Row],[Profit]]/Table3[[#This Row],[Sales]]</f>
        <v>0.45999999999999996</v>
      </c>
    </row>
    <row r="1296" spans="1:22" x14ac:dyDescent="0.2">
      <c r="A1296">
        <v>1295</v>
      </c>
      <c r="B1296" t="s">
        <v>7527</v>
      </c>
      <c r="C1296" s="1">
        <v>42931</v>
      </c>
      <c r="D1296" s="22">
        <f>MONTH(Table3[[#This Row],[Order Date]])</f>
        <v>7</v>
      </c>
      <c r="E1296" t="s">
        <v>1191</v>
      </c>
      <c r="F1296" t="s">
        <v>1192</v>
      </c>
      <c r="G1296" s="23" t="s">
        <v>64</v>
      </c>
      <c r="H1296" s="23" t="s">
        <v>144</v>
      </c>
      <c r="I1296" t="s">
        <v>3816</v>
      </c>
      <c r="J1296" t="s">
        <v>22</v>
      </c>
      <c r="K1296" s="22">
        <v>2</v>
      </c>
      <c r="L1296" s="1">
        <v>42934</v>
      </c>
      <c r="M1296" s="22">
        <f>Table3[[#This Row],[Ship Date]]-Table3[[#This Row],[Order Date]]</f>
        <v>3</v>
      </c>
      <c r="N1296" s="23" t="s">
        <v>20</v>
      </c>
      <c r="O1296" s="23" t="s">
        <v>23</v>
      </c>
      <c r="P1296" s="23" t="s">
        <v>238</v>
      </c>
      <c r="Q1296" s="23" t="s">
        <v>133</v>
      </c>
      <c r="R1296" s="23" t="s">
        <v>237</v>
      </c>
      <c r="S1296" s="33">
        <v>0</v>
      </c>
      <c r="T1296" s="13">
        <v>41.9</v>
      </c>
      <c r="U1296" s="13">
        <v>8.7989999999999995</v>
      </c>
      <c r="V1296" s="55">
        <f>Table3[[#This Row],[Profit]]/Table3[[#This Row],[Sales]]</f>
        <v>0.21</v>
      </c>
    </row>
    <row r="1297" spans="1:22" x14ac:dyDescent="0.2">
      <c r="A1297">
        <v>1296</v>
      </c>
      <c r="B1297" t="s">
        <v>7527</v>
      </c>
      <c r="C1297" s="1">
        <v>42931</v>
      </c>
      <c r="D1297" s="22">
        <f>MONTH(Table3[[#This Row],[Order Date]])</f>
        <v>7</v>
      </c>
      <c r="E1297" t="s">
        <v>4545</v>
      </c>
      <c r="F1297" t="s">
        <v>4546</v>
      </c>
      <c r="G1297" s="23" t="s">
        <v>28</v>
      </c>
      <c r="H1297" s="23" t="s">
        <v>32</v>
      </c>
      <c r="I1297" t="s">
        <v>3816</v>
      </c>
      <c r="J1297" t="s">
        <v>22</v>
      </c>
      <c r="K1297" s="22">
        <v>6</v>
      </c>
      <c r="L1297" s="1">
        <v>42934</v>
      </c>
      <c r="M1297" s="22">
        <f>Table3[[#This Row],[Ship Date]]-Table3[[#This Row],[Order Date]]</f>
        <v>3</v>
      </c>
      <c r="N1297" s="23" t="s">
        <v>20</v>
      </c>
      <c r="O1297" s="23" t="s">
        <v>23</v>
      </c>
      <c r="P1297" s="23" t="s">
        <v>238</v>
      </c>
      <c r="Q1297" s="23" t="s">
        <v>133</v>
      </c>
      <c r="R1297" s="23" t="s">
        <v>237</v>
      </c>
      <c r="S1297" s="33">
        <v>0.1</v>
      </c>
      <c r="T1297" s="13">
        <v>664.14599999999996</v>
      </c>
      <c r="U1297" s="13">
        <v>88.552800000000005</v>
      </c>
      <c r="V1297" s="55">
        <f>Table3[[#This Row],[Profit]]/Table3[[#This Row],[Sales]]</f>
        <v>0.13333333333333336</v>
      </c>
    </row>
    <row r="1298" spans="1:22" x14ac:dyDescent="0.2">
      <c r="A1298">
        <v>1297</v>
      </c>
      <c r="B1298" t="s">
        <v>7527</v>
      </c>
      <c r="C1298" s="1">
        <v>42931</v>
      </c>
      <c r="D1298" s="22">
        <f>MONTH(Table3[[#This Row],[Order Date]])</f>
        <v>7</v>
      </c>
      <c r="E1298" t="s">
        <v>3707</v>
      </c>
      <c r="F1298" t="s">
        <v>3708</v>
      </c>
      <c r="G1298" s="23" t="s">
        <v>41</v>
      </c>
      <c r="H1298" s="23" t="s">
        <v>82</v>
      </c>
      <c r="I1298" t="s">
        <v>3816</v>
      </c>
      <c r="J1298" t="s">
        <v>22</v>
      </c>
      <c r="K1298" s="22">
        <v>2</v>
      </c>
      <c r="L1298" s="1">
        <v>42934</v>
      </c>
      <c r="M1298" s="22">
        <f>Table3[[#This Row],[Ship Date]]-Table3[[#This Row],[Order Date]]</f>
        <v>3</v>
      </c>
      <c r="N1298" s="23" t="s">
        <v>20</v>
      </c>
      <c r="O1298" s="23" t="s">
        <v>23</v>
      </c>
      <c r="P1298" s="23" t="s">
        <v>238</v>
      </c>
      <c r="Q1298" s="23" t="s">
        <v>133</v>
      </c>
      <c r="R1298" s="23" t="s">
        <v>237</v>
      </c>
      <c r="S1298" s="33">
        <v>0</v>
      </c>
      <c r="T1298" s="13">
        <v>8.9600000000000009</v>
      </c>
      <c r="U1298" s="13">
        <v>4.3903999999999996</v>
      </c>
      <c r="V1298" s="55">
        <f>Table3[[#This Row],[Profit]]/Table3[[#This Row],[Sales]]</f>
        <v>0.48999999999999994</v>
      </c>
    </row>
    <row r="1299" spans="1:22" x14ac:dyDescent="0.2">
      <c r="A1299">
        <v>1298</v>
      </c>
      <c r="B1299" t="s">
        <v>8826</v>
      </c>
      <c r="C1299" s="1">
        <v>42931</v>
      </c>
      <c r="D1299" s="22">
        <f>MONTH(Table3[[#This Row],[Order Date]])</f>
        <v>7</v>
      </c>
      <c r="E1299" t="s">
        <v>2798</v>
      </c>
      <c r="F1299" t="s">
        <v>2799</v>
      </c>
      <c r="G1299" s="23" t="s">
        <v>41</v>
      </c>
      <c r="H1299" s="23" t="s">
        <v>71</v>
      </c>
      <c r="I1299" t="s">
        <v>4703</v>
      </c>
      <c r="J1299" t="s">
        <v>36</v>
      </c>
      <c r="K1299" s="22">
        <v>3</v>
      </c>
      <c r="L1299" s="1">
        <v>42933</v>
      </c>
      <c r="M1299" s="22">
        <f>Table3[[#This Row],[Ship Date]]-Table3[[#This Row],[Order Date]]</f>
        <v>2</v>
      </c>
      <c r="N1299" s="23" t="s">
        <v>169</v>
      </c>
      <c r="O1299" s="23" t="s">
        <v>23</v>
      </c>
      <c r="P1299" s="23" t="s">
        <v>285</v>
      </c>
      <c r="Q1299" s="23" t="s">
        <v>26</v>
      </c>
      <c r="R1299" s="23" t="s">
        <v>3838</v>
      </c>
      <c r="S1299" s="33">
        <v>0</v>
      </c>
      <c r="T1299" s="13">
        <v>179.94</v>
      </c>
      <c r="U1299" s="13">
        <v>50.383200000000002</v>
      </c>
      <c r="V1299" s="55">
        <f>Table3[[#This Row],[Profit]]/Table3[[#This Row],[Sales]]</f>
        <v>0.28000000000000003</v>
      </c>
    </row>
    <row r="1300" spans="1:22" x14ac:dyDescent="0.2">
      <c r="A1300">
        <v>1299</v>
      </c>
      <c r="B1300" t="s">
        <v>8826</v>
      </c>
      <c r="C1300" s="1">
        <v>42931</v>
      </c>
      <c r="D1300" s="22">
        <f>MONTH(Table3[[#This Row],[Order Date]])</f>
        <v>7</v>
      </c>
      <c r="E1300" t="s">
        <v>1083</v>
      </c>
      <c r="F1300" t="s">
        <v>1084</v>
      </c>
      <c r="G1300" s="23" t="s">
        <v>28</v>
      </c>
      <c r="H1300" s="23" t="s">
        <v>50</v>
      </c>
      <c r="I1300" t="s">
        <v>4703</v>
      </c>
      <c r="J1300" t="s">
        <v>36</v>
      </c>
      <c r="K1300" s="22">
        <v>3</v>
      </c>
      <c r="L1300" s="1">
        <v>42933</v>
      </c>
      <c r="M1300" s="22">
        <f>Table3[[#This Row],[Ship Date]]-Table3[[#This Row],[Order Date]]</f>
        <v>2</v>
      </c>
      <c r="N1300" s="23" t="s">
        <v>169</v>
      </c>
      <c r="O1300" s="23" t="s">
        <v>23</v>
      </c>
      <c r="P1300" s="23" t="s">
        <v>285</v>
      </c>
      <c r="Q1300" s="23" t="s">
        <v>26</v>
      </c>
      <c r="R1300" s="23" t="s">
        <v>3838</v>
      </c>
      <c r="S1300" s="33">
        <v>0</v>
      </c>
      <c r="T1300" s="13">
        <v>872.94</v>
      </c>
      <c r="U1300" s="13">
        <v>157.1292</v>
      </c>
      <c r="V1300" s="55">
        <f>Table3[[#This Row],[Profit]]/Table3[[#This Row],[Sales]]</f>
        <v>0.18</v>
      </c>
    </row>
    <row r="1301" spans="1:22" x14ac:dyDescent="0.2">
      <c r="A1301">
        <v>1300</v>
      </c>
      <c r="B1301" t="s">
        <v>8826</v>
      </c>
      <c r="C1301" s="1">
        <v>42931</v>
      </c>
      <c r="D1301" s="22">
        <f>MONTH(Table3[[#This Row],[Order Date]])</f>
        <v>7</v>
      </c>
      <c r="E1301" t="s">
        <v>365</v>
      </c>
      <c r="F1301" t="s">
        <v>366</v>
      </c>
      <c r="G1301" s="23" t="s">
        <v>41</v>
      </c>
      <c r="H1301" s="23" t="s">
        <v>82</v>
      </c>
      <c r="I1301" t="s">
        <v>4703</v>
      </c>
      <c r="J1301" t="s">
        <v>36</v>
      </c>
      <c r="K1301" s="22">
        <v>2</v>
      </c>
      <c r="L1301" s="1">
        <v>42933</v>
      </c>
      <c r="M1301" s="22">
        <f>Table3[[#This Row],[Ship Date]]-Table3[[#This Row],[Order Date]]</f>
        <v>2</v>
      </c>
      <c r="N1301" s="23" t="s">
        <v>169</v>
      </c>
      <c r="O1301" s="23" t="s">
        <v>23</v>
      </c>
      <c r="P1301" s="23" t="s">
        <v>285</v>
      </c>
      <c r="Q1301" s="23" t="s">
        <v>26</v>
      </c>
      <c r="R1301" s="23" t="s">
        <v>3838</v>
      </c>
      <c r="S1301" s="33">
        <v>0</v>
      </c>
      <c r="T1301" s="13">
        <v>12.96</v>
      </c>
      <c r="U1301" s="13">
        <v>6.2207999999999997</v>
      </c>
      <c r="V1301" s="55">
        <f>Table3[[#This Row],[Profit]]/Table3[[#This Row],[Sales]]</f>
        <v>0.47999999999999993</v>
      </c>
    </row>
    <row r="1302" spans="1:22" x14ac:dyDescent="0.2">
      <c r="A1302">
        <v>1301</v>
      </c>
      <c r="B1302" t="s">
        <v>129</v>
      </c>
      <c r="C1302" s="1">
        <v>42932</v>
      </c>
      <c r="D1302" s="22">
        <f>MONTH(Table3[[#This Row],[Order Date]])</f>
        <v>7</v>
      </c>
      <c r="E1302" t="s">
        <v>134</v>
      </c>
      <c r="F1302" t="s">
        <v>135</v>
      </c>
      <c r="G1302" s="23" t="s">
        <v>28</v>
      </c>
      <c r="H1302" s="23" t="s">
        <v>32</v>
      </c>
      <c r="I1302" t="s">
        <v>130</v>
      </c>
      <c r="J1302" t="s">
        <v>22</v>
      </c>
      <c r="K1302" s="22">
        <v>2</v>
      </c>
      <c r="L1302" s="1">
        <v>42934</v>
      </c>
      <c r="M1302" s="22">
        <f>Table3[[#This Row],[Ship Date]]-Table3[[#This Row],[Order Date]]</f>
        <v>2</v>
      </c>
      <c r="N1302" s="23" t="s">
        <v>20</v>
      </c>
      <c r="O1302" s="23" t="s">
        <v>23</v>
      </c>
      <c r="P1302" s="23" t="s">
        <v>132</v>
      </c>
      <c r="Q1302" s="23" t="s">
        <v>133</v>
      </c>
      <c r="R1302" s="23" t="s">
        <v>131</v>
      </c>
      <c r="S1302" s="33">
        <v>0.3</v>
      </c>
      <c r="T1302" s="13">
        <v>71.372</v>
      </c>
      <c r="U1302" s="13">
        <v>-1.0196000000000001</v>
      </c>
      <c r="V1302" s="55">
        <f>Table3[[#This Row],[Profit]]/Table3[[#This Row],[Sales]]</f>
        <v>-1.4285714285714287E-2</v>
      </c>
    </row>
    <row r="1303" spans="1:22" x14ac:dyDescent="0.2">
      <c r="A1303">
        <v>1302</v>
      </c>
      <c r="B1303" t="s">
        <v>5047</v>
      </c>
      <c r="C1303" s="1">
        <v>42932</v>
      </c>
      <c r="D1303" s="22">
        <f>MONTH(Table3[[#This Row],[Order Date]])</f>
        <v>7</v>
      </c>
      <c r="E1303" t="s">
        <v>2928</v>
      </c>
      <c r="F1303" t="s">
        <v>2929</v>
      </c>
      <c r="G1303" s="23" t="s">
        <v>41</v>
      </c>
      <c r="H1303" s="23" t="s">
        <v>61</v>
      </c>
      <c r="I1303" t="s">
        <v>693</v>
      </c>
      <c r="J1303" t="s">
        <v>92</v>
      </c>
      <c r="K1303" s="22">
        <v>2</v>
      </c>
      <c r="L1303" s="1">
        <v>42937</v>
      </c>
      <c r="M1303" s="22">
        <f>Table3[[#This Row],[Ship Date]]-Table3[[#This Row],[Order Date]]</f>
        <v>5</v>
      </c>
      <c r="N1303" s="23" t="s">
        <v>45</v>
      </c>
      <c r="O1303" s="23" t="s">
        <v>23</v>
      </c>
      <c r="P1303" s="23" t="s">
        <v>189</v>
      </c>
      <c r="Q1303" s="23" t="s">
        <v>95</v>
      </c>
      <c r="R1303" s="23" t="s">
        <v>5048</v>
      </c>
      <c r="S1303" s="33">
        <v>0.2</v>
      </c>
      <c r="T1303" s="13">
        <v>2.9119999999999999</v>
      </c>
      <c r="U1303" s="13">
        <v>0.91</v>
      </c>
      <c r="V1303" s="55">
        <f>Table3[[#This Row],[Profit]]/Table3[[#This Row],[Sales]]</f>
        <v>0.3125</v>
      </c>
    </row>
    <row r="1304" spans="1:22" x14ac:dyDescent="0.2">
      <c r="A1304">
        <v>1303</v>
      </c>
      <c r="B1304" t="s">
        <v>10064</v>
      </c>
      <c r="C1304" s="1">
        <v>42932</v>
      </c>
      <c r="D1304" s="22">
        <f>MONTH(Table3[[#This Row],[Order Date]])</f>
        <v>7</v>
      </c>
      <c r="E1304" t="s">
        <v>182</v>
      </c>
      <c r="F1304" t="s">
        <v>183</v>
      </c>
      <c r="G1304" s="23" t="s">
        <v>28</v>
      </c>
      <c r="H1304" s="23" t="s">
        <v>32</v>
      </c>
      <c r="I1304" t="s">
        <v>1314</v>
      </c>
      <c r="J1304" t="s">
        <v>22</v>
      </c>
      <c r="K1304" s="22">
        <v>3</v>
      </c>
      <c r="L1304" s="1">
        <v>42939</v>
      </c>
      <c r="M1304" s="22">
        <f>Table3[[#This Row],[Ship Date]]-Table3[[#This Row],[Order Date]]</f>
        <v>7</v>
      </c>
      <c r="N1304" s="23" t="s">
        <v>45</v>
      </c>
      <c r="O1304" s="23" t="s">
        <v>23</v>
      </c>
      <c r="P1304" s="23" t="s">
        <v>80</v>
      </c>
      <c r="Q1304" s="23" t="s">
        <v>26</v>
      </c>
      <c r="R1304" s="23" t="s">
        <v>414</v>
      </c>
      <c r="S1304" s="33">
        <v>0.2</v>
      </c>
      <c r="T1304" s="13">
        <v>242.352</v>
      </c>
      <c r="U1304" s="13">
        <v>15.147</v>
      </c>
      <c r="V1304" s="55">
        <f>Table3[[#This Row],[Profit]]/Table3[[#This Row],[Sales]]</f>
        <v>6.25E-2</v>
      </c>
    </row>
    <row r="1305" spans="1:22" x14ac:dyDescent="0.2">
      <c r="A1305">
        <v>1304</v>
      </c>
      <c r="B1305" t="s">
        <v>4893</v>
      </c>
      <c r="C1305" s="1">
        <v>42933</v>
      </c>
      <c r="D1305" s="22">
        <f>MONTH(Table3[[#This Row],[Order Date]])</f>
        <v>7</v>
      </c>
      <c r="E1305" t="s">
        <v>2153</v>
      </c>
      <c r="F1305" t="s">
        <v>2154</v>
      </c>
      <c r="G1305" s="23" t="s">
        <v>28</v>
      </c>
      <c r="H1305" s="23" t="s">
        <v>58</v>
      </c>
      <c r="I1305" t="s">
        <v>3837</v>
      </c>
      <c r="J1305" t="s">
        <v>22</v>
      </c>
      <c r="K1305" s="22">
        <v>2</v>
      </c>
      <c r="L1305" s="1">
        <v>42938</v>
      </c>
      <c r="M1305" s="22">
        <f>Table3[[#This Row],[Ship Date]]-Table3[[#This Row],[Order Date]]</f>
        <v>5</v>
      </c>
      <c r="N1305" s="23" t="s">
        <v>45</v>
      </c>
      <c r="O1305" s="23" t="s">
        <v>23</v>
      </c>
      <c r="P1305" s="23" t="s">
        <v>48</v>
      </c>
      <c r="Q1305" s="23" t="s">
        <v>26</v>
      </c>
      <c r="R1305" s="23" t="s">
        <v>793</v>
      </c>
      <c r="S1305" s="33">
        <v>0.2</v>
      </c>
      <c r="T1305" s="13">
        <v>7.9039999999999999</v>
      </c>
      <c r="U1305" s="13">
        <v>2.1736</v>
      </c>
      <c r="V1305" s="55">
        <f>Table3[[#This Row],[Profit]]/Table3[[#This Row],[Sales]]</f>
        <v>0.27500000000000002</v>
      </c>
    </row>
    <row r="1306" spans="1:22" x14ac:dyDescent="0.2">
      <c r="A1306">
        <v>1305</v>
      </c>
      <c r="B1306" t="s">
        <v>6827</v>
      </c>
      <c r="C1306" s="1">
        <v>42933</v>
      </c>
      <c r="D1306" s="22">
        <f>MONTH(Table3[[#This Row],[Order Date]])</f>
        <v>7</v>
      </c>
      <c r="E1306" t="s">
        <v>576</v>
      </c>
      <c r="F1306" t="s">
        <v>577</v>
      </c>
      <c r="G1306" s="23" t="s">
        <v>64</v>
      </c>
      <c r="H1306" s="23" t="s">
        <v>65</v>
      </c>
      <c r="I1306" t="s">
        <v>2457</v>
      </c>
      <c r="J1306" t="s">
        <v>92</v>
      </c>
      <c r="K1306" s="22">
        <v>2</v>
      </c>
      <c r="L1306" s="1">
        <v>42939</v>
      </c>
      <c r="M1306" s="22">
        <f>Table3[[#This Row],[Ship Date]]-Table3[[#This Row],[Order Date]]</f>
        <v>6</v>
      </c>
      <c r="N1306" s="23" t="s">
        <v>45</v>
      </c>
      <c r="O1306" s="23" t="s">
        <v>23</v>
      </c>
      <c r="P1306" s="23" t="s">
        <v>238</v>
      </c>
      <c r="Q1306" s="23" t="s">
        <v>133</v>
      </c>
      <c r="R1306" s="23" t="s">
        <v>6828</v>
      </c>
      <c r="S1306" s="33">
        <v>0</v>
      </c>
      <c r="T1306" s="13">
        <v>269.98</v>
      </c>
      <c r="U1306" s="13">
        <v>67.495000000000005</v>
      </c>
      <c r="V1306" s="55">
        <f>Table3[[#This Row],[Profit]]/Table3[[#This Row],[Sales]]</f>
        <v>0.25</v>
      </c>
    </row>
    <row r="1307" spans="1:22" x14ac:dyDescent="0.2">
      <c r="A1307">
        <v>1306</v>
      </c>
      <c r="B1307" t="s">
        <v>6827</v>
      </c>
      <c r="C1307" s="1">
        <v>42933</v>
      </c>
      <c r="D1307" s="22">
        <f>MONTH(Table3[[#This Row],[Order Date]])</f>
        <v>7</v>
      </c>
      <c r="E1307" t="s">
        <v>6829</v>
      </c>
      <c r="F1307" t="s">
        <v>6830</v>
      </c>
      <c r="G1307" s="23" t="s">
        <v>41</v>
      </c>
      <c r="H1307" s="23" t="s">
        <v>82</v>
      </c>
      <c r="I1307" t="s">
        <v>2457</v>
      </c>
      <c r="J1307" t="s">
        <v>92</v>
      </c>
      <c r="K1307" s="22">
        <v>5</v>
      </c>
      <c r="L1307" s="1">
        <v>42939</v>
      </c>
      <c r="M1307" s="22">
        <f>Table3[[#This Row],[Ship Date]]-Table3[[#This Row],[Order Date]]</f>
        <v>6</v>
      </c>
      <c r="N1307" s="23" t="s">
        <v>45</v>
      </c>
      <c r="O1307" s="23" t="s">
        <v>23</v>
      </c>
      <c r="P1307" s="23" t="s">
        <v>238</v>
      </c>
      <c r="Q1307" s="23" t="s">
        <v>133</v>
      </c>
      <c r="R1307" s="23" t="s">
        <v>6828</v>
      </c>
      <c r="S1307" s="33">
        <v>0</v>
      </c>
      <c r="T1307" s="13">
        <v>99.9</v>
      </c>
      <c r="U1307" s="13">
        <v>47.951999999999998</v>
      </c>
      <c r="V1307" s="55">
        <f>Table3[[#This Row],[Profit]]/Table3[[#This Row],[Sales]]</f>
        <v>0.47999999999999993</v>
      </c>
    </row>
    <row r="1308" spans="1:22" x14ac:dyDescent="0.2">
      <c r="A1308">
        <v>1307</v>
      </c>
      <c r="B1308" t="s">
        <v>6827</v>
      </c>
      <c r="C1308" s="1">
        <v>42933</v>
      </c>
      <c r="D1308" s="22">
        <f>MONTH(Table3[[#This Row],[Order Date]])</f>
        <v>7</v>
      </c>
      <c r="E1308" t="s">
        <v>152</v>
      </c>
      <c r="F1308" t="s">
        <v>4812</v>
      </c>
      <c r="G1308" s="23" t="s">
        <v>28</v>
      </c>
      <c r="H1308" s="23" t="s">
        <v>58</v>
      </c>
      <c r="I1308" t="s">
        <v>2457</v>
      </c>
      <c r="J1308" t="s">
        <v>92</v>
      </c>
      <c r="K1308" s="22">
        <v>4</v>
      </c>
      <c r="L1308" s="1">
        <v>42939</v>
      </c>
      <c r="M1308" s="22">
        <f>Table3[[#This Row],[Ship Date]]-Table3[[#This Row],[Order Date]]</f>
        <v>6</v>
      </c>
      <c r="N1308" s="23" t="s">
        <v>45</v>
      </c>
      <c r="O1308" s="23" t="s">
        <v>23</v>
      </c>
      <c r="P1308" s="23" t="s">
        <v>238</v>
      </c>
      <c r="Q1308" s="23" t="s">
        <v>133</v>
      </c>
      <c r="R1308" s="23" t="s">
        <v>6828</v>
      </c>
      <c r="S1308" s="33">
        <v>0</v>
      </c>
      <c r="T1308" s="13">
        <v>39.08</v>
      </c>
      <c r="U1308" s="13">
        <v>14.4596</v>
      </c>
      <c r="V1308" s="55">
        <f>Table3[[#This Row],[Profit]]/Table3[[#This Row],[Sales]]</f>
        <v>0.37</v>
      </c>
    </row>
    <row r="1309" spans="1:22" x14ac:dyDescent="0.2">
      <c r="A1309">
        <v>1308</v>
      </c>
      <c r="B1309" t="s">
        <v>6866</v>
      </c>
      <c r="C1309" s="1">
        <v>42933</v>
      </c>
      <c r="D1309" s="22">
        <f>MONTH(Table3[[#This Row],[Order Date]])</f>
        <v>7</v>
      </c>
      <c r="E1309" t="s">
        <v>2920</v>
      </c>
      <c r="F1309" t="s">
        <v>2921</v>
      </c>
      <c r="G1309" s="23" t="s">
        <v>64</v>
      </c>
      <c r="H1309" s="23" t="s">
        <v>1075</v>
      </c>
      <c r="I1309" t="s">
        <v>3245</v>
      </c>
      <c r="J1309" t="s">
        <v>92</v>
      </c>
      <c r="K1309" s="22">
        <v>2</v>
      </c>
      <c r="L1309" s="1">
        <v>42937</v>
      </c>
      <c r="M1309" s="22">
        <f>Table3[[#This Row],[Ship Date]]-Table3[[#This Row],[Order Date]]</f>
        <v>4</v>
      </c>
      <c r="N1309" s="23" t="s">
        <v>45</v>
      </c>
      <c r="O1309" s="23" t="s">
        <v>23</v>
      </c>
      <c r="P1309" s="23" t="s">
        <v>38</v>
      </c>
      <c r="Q1309" s="23" t="s">
        <v>39</v>
      </c>
      <c r="R1309" s="23" t="s">
        <v>37</v>
      </c>
      <c r="S1309" s="33">
        <v>0.2</v>
      </c>
      <c r="T1309" s="13">
        <v>479.98399999999998</v>
      </c>
      <c r="U1309" s="13">
        <v>89.997</v>
      </c>
      <c r="V1309" s="55">
        <f>Table3[[#This Row],[Profit]]/Table3[[#This Row],[Sales]]</f>
        <v>0.1875</v>
      </c>
    </row>
    <row r="1310" spans="1:22" x14ac:dyDescent="0.2">
      <c r="A1310">
        <v>1309</v>
      </c>
      <c r="B1310" t="s">
        <v>7640</v>
      </c>
      <c r="C1310" s="1">
        <v>42933</v>
      </c>
      <c r="D1310" s="22">
        <f>MONTH(Table3[[#This Row],[Order Date]])</f>
        <v>7</v>
      </c>
      <c r="E1310" t="s">
        <v>5790</v>
      </c>
      <c r="F1310" t="s">
        <v>5791</v>
      </c>
      <c r="G1310" s="23" t="s">
        <v>41</v>
      </c>
      <c r="H1310" s="23" t="s">
        <v>82</v>
      </c>
      <c r="I1310" t="s">
        <v>2139</v>
      </c>
      <c r="J1310" t="s">
        <v>36</v>
      </c>
      <c r="K1310" s="22">
        <v>5</v>
      </c>
      <c r="L1310" s="1">
        <v>42935</v>
      </c>
      <c r="M1310" s="22">
        <f>Table3[[#This Row],[Ship Date]]-Table3[[#This Row],[Order Date]]</f>
        <v>2</v>
      </c>
      <c r="N1310" s="23" t="s">
        <v>20</v>
      </c>
      <c r="O1310" s="23" t="s">
        <v>23</v>
      </c>
      <c r="P1310" s="23" t="s">
        <v>38</v>
      </c>
      <c r="Q1310" s="23" t="s">
        <v>39</v>
      </c>
      <c r="R1310" s="23" t="s">
        <v>5457</v>
      </c>
      <c r="S1310" s="33">
        <v>0</v>
      </c>
      <c r="T1310" s="13">
        <v>32.4</v>
      </c>
      <c r="U1310" s="13">
        <v>15.552</v>
      </c>
      <c r="V1310" s="55">
        <f>Table3[[#This Row],[Profit]]/Table3[[#This Row],[Sales]]</f>
        <v>0.48</v>
      </c>
    </row>
    <row r="1311" spans="1:22" x14ac:dyDescent="0.2">
      <c r="A1311">
        <v>1310</v>
      </c>
      <c r="B1311" t="s">
        <v>7640</v>
      </c>
      <c r="C1311" s="1">
        <v>42933</v>
      </c>
      <c r="D1311" s="22">
        <f>MONTH(Table3[[#This Row],[Order Date]])</f>
        <v>7</v>
      </c>
      <c r="E1311" t="s">
        <v>7641</v>
      </c>
      <c r="F1311" t="s">
        <v>7302</v>
      </c>
      <c r="G1311" s="23" t="s">
        <v>41</v>
      </c>
      <c r="H1311" s="23" t="s">
        <v>155</v>
      </c>
      <c r="I1311" t="s">
        <v>2139</v>
      </c>
      <c r="J1311" t="s">
        <v>36</v>
      </c>
      <c r="K1311" s="22">
        <v>5</v>
      </c>
      <c r="L1311" s="1">
        <v>42935</v>
      </c>
      <c r="M1311" s="22">
        <f>Table3[[#This Row],[Ship Date]]-Table3[[#This Row],[Order Date]]</f>
        <v>2</v>
      </c>
      <c r="N1311" s="23" t="s">
        <v>20</v>
      </c>
      <c r="O1311" s="23" t="s">
        <v>23</v>
      </c>
      <c r="P1311" s="23" t="s">
        <v>38</v>
      </c>
      <c r="Q1311" s="23" t="s">
        <v>39</v>
      </c>
      <c r="R1311" s="23" t="s">
        <v>5457</v>
      </c>
      <c r="S1311" s="33">
        <v>0</v>
      </c>
      <c r="T1311" s="13">
        <v>57.9</v>
      </c>
      <c r="U1311" s="13">
        <v>28.95</v>
      </c>
      <c r="V1311" s="55">
        <f>Table3[[#This Row],[Profit]]/Table3[[#This Row],[Sales]]</f>
        <v>0.5</v>
      </c>
    </row>
    <row r="1312" spans="1:22" x14ac:dyDescent="0.2">
      <c r="A1312">
        <v>1311</v>
      </c>
      <c r="B1312" t="s">
        <v>7640</v>
      </c>
      <c r="C1312" s="1">
        <v>42933</v>
      </c>
      <c r="D1312" s="22">
        <f>MONTH(Table3[[#This Row],[Order Date]])</f>
        <v>7</v>
      </c>
      <c r="E1312" t="s">
        <v>5717</v>
      </c>
      <c r="F1312" t="s">
        <v>5718</v>
      </c>
      <c r="G1312" s="23" t="s">
        <v>41</v>
      </c>
      <c r="H1312" s="23" t="s">
        <v>53</v>
      </c>
      <c r="I1312" t="s">
        <v>2139</v>
      </c>
      <c r="J1312" t="s">
        <v>36</v>
      </c>
      <c r="K1312" s="22">
        <v>2</v>
      </c>
      <c r="L1312" s="1">
        <v>42935</v>
      </c>
      <c r="M1312" s="22">
        <f>Table3[[#This Row],[Ship Date]]-Table3[[#This Row],[Order Date]]</f>
        <v>2</v>
      </c>
      <c r="N1312" s="23" t="s">
        <v>20</v>
      </c>
      <c r="O1312" s="23" t="s">
        <v>23</v>
      </c>
      <c r="P1312" s="23" t="s">
        <v>38</v>
      </c>
      <c r="Q1312" s="23" t="s">
        <v>39</v>
      </c>
      <c r="R1312" s="23" t="s">
        <v>5457</v>
      </c>
      <c r="S1312" s="33">
        <v>0</v>
      </c>
      <c r="T1312" s="13">
        <v>10.56</v>
      </c>
      <c r="U1312" s="13">
        <v>0</v>
      </c>
      <c r="V1312" s="55">
        <f>Table3[[#This Row],[Profit]]/Table3[[#This Row],[Sales]]</f>
        <v>0</v>
      </c>
    </row>
    <row r="1313" spans="1:22" x14ac:dyDescent="0.2">
      <c r="A1313">
        <v>1312</v>
      </c>
      <c r="B1313" t="s">
        <v>7640</v>
      </c>
      <c r="C1313" s="1">
        <v>42933</v>
      </c>
      <c r="D1313" s="22">
        <f>MONTH(Table3[[#This Row],[Order Date]])</f>
        <v>7</v>
      </c>
      <c r="E1313" t="s">
        <v>674</v>
      </c>
      <c r="F1313" t="s">
        <v>675</v>
      </c>
      <c r="G1313" s="23" t="s">
        <v>28</v>
      </c>
      <c r="H1313" s="23" t="s">
        <v>29</v>
      </c>
      <c r="I1313" t="s">
        <v>2139</v>
      </c>
      <c r="J1313" t="s">
        <v>36</v>
      </c>
      <c r="K1313" s="22">
        <v>5</v>
      </c>
      <c r="L1313" s="1">
        <v>42935</v>
      </c>
      <c r="M1313" s="22">
        <f>Table3[[#This Row],[Ship Date]]-Table3[[#This Row],[Order Date]]</f>
        <v>2</v>
      </c>
      <c r="N1313" s="23" t="s">
        <v>20</v>
      </c>
      <c r="O1313" s="23" t="s">
        <v>23</v>
      </c>
      <c r="P1313" s="23" t="s">
        <v>38</v>
      </c>
      <c r="Q1313" s="23" t="s">
        <v>39</v>
      </c>
      <c r="R1313" s="23" t="s">
        <v>5457</v>
      </c>
      <c r="S1313" s="33">
        <v>0.15</v>
      </c>
      <c r="T1313" s="13">
        <v>1194.165</v>
      </c>
      <c r="U1313" s="13">
        <v>210.73500000000001</v>
      </c>
      <c r="V1313" s="55">
        <f>Table3[[#This Row],[Profit]]/Table3[[#This Row],[Sales]]</f>
        <v>0.17647058823529413</v>
      </c>
    </row>
    <row r="1314" spans="1:22" x14ac:dyDescent="0.2">
      <c r="A1314">
        <v>1313</v>
      </c>
      <c r="B1314" t="s">
        <v>6337</v>
      </c>
      <c r="C1314" s="1">
        <v>42934</v>
      </c>
      <c r="D1314" s="22">
        <f>MONTH(Table3[[#This Row],[Order Date]])</f>
        <v>7</v>
      </c>
      <c r="E1314" t="s">
        <v>2934</v>
      </c>
      <c r="F1314" t="s">
        <v>2935</v>
      </c>
      <c r="G1314" s="23" t="s">
        <v>28</v>
      </c>
      <c r="H1314" s="23" t="s">
        <v>50</v>
      </c>
      <c r="I1314" t="s">
        <v>4575</v>
      </c>
      <c r="J1314" t="s">
        <v>22</v>
      </c>
      <c r="K1314" s="22">
        <v>5</v>
      </c>
      <c r="L1314" s="1">
        <v>42939</v>
      </c>
      <c r="M1314" s="22">
        <f>Table3[[#This Row],[Ship Date]]-Table3[[#This Row],[Order Date]]</f>
        <v>5</v>
      </c>
      <c r="N1314" s="23" t="s">
        <v>45</v>
      </c>
      <c r="O1314" s="23" t="s">
        <v>23</v>
      </c>
      <c r="P1314" s="23" t="s">
        <v>277</v>
      </c>
      <c r="Q1314" s="23" t="s">
        <v>39</v>
      </c>
      <c r="R1314" s="23" t="s">
        <v>481</v>
      </c>
      <c r="S1314" s="33">
        <v>0.5</v>
      </c>
      <c r="T1314" s="13">
        <v>801.6</v>
      </c>
      <c r="U1314" s="13">
        <v>-448.89600000000002</v>
      </c>
      <c r="V1314" s="55">
        <f>Table3[[#This Row],[Profit]]/Table3[[#This Row],[Sales]]</f>
        <v>-0.56000000000000005</v>
      </c>
    </row>
    <row r="1315" spans="1:22" x14ac:dyDescent="0.2">
      <c r="A1315">
        <v>1314</v>
      </c>
      <c r="B1315" t="s">
        <v>6337</v>
      </c>
      <c r="C1315" s="1">
        <v>42934</v>
      </c>
      <c r="D1315" s="22">
        <f>MONTH(Table3[[#This Row],[Order Date]])</f>
        <v>7</v>
      </c>
      <c r="E1315" t="s">
        <v>182</v>
      </c>
      <c r="F1315" t="s">
        <v>183</v>
      </c>
      <c r="G1315" s="23" t="s">
        <v>28</v>
      </c>
      <c r="H1315" s="23" t="s">
        <v>32</v>
      </c>
      <c r="I1315" t="s">
        <v>4575</v>
      </c>
      <c r="J1315" t="s">
        <v>22</v>
      </c>
      <c r="K1315" s="22">
        <v>2</v>
      </c>
      <c r="L1315" s="1">
        <v>42939</v>
      </c>
      <c r="M1315" s="22">
        <f>Table3[[#This Row],[Ship Date]]-Table3[[#This Row],[Order Date]]</f>
        <v>5</v>
      </c>
      <c r="N1315" s="23" t="s">
        <v>45</v>
      </c>
      <c r="O1315" s="23" t="s">
        <v>23</v>
      </c>
      <c r="P1315" s="23" t="s">
        <v>277</v>
      </c>
      <c r="Q1315" s="23" t="s">
        <v>39</v>
      </c>
      <c r="R1315" s="23" t="s">
        <v>481</v>
      </c>
      <c r="S1315" s="33">
        <v>0.2</v>
      </c>
      <c r="T1315" s="13">
        <v>161.56800000000001</v>
      </c>
      <c r="U1315" s="13">
        <v>10.098000000000001</v>
      </c>
      <c r="V1315" s="55">
        <f>Table3[[#This Row],[Profit]]/Table3[[#This Row],[Sales]]</f>
        <v>6.25E-2</v>
      </c>
    </row>
    <row r="1316" spans="1:22" x14ac:dyDescent="0.2">
      <c r="A1316">
        <v>1315</v>
      </c>
      <c r="B1316" t="s">
        <v>6337</v>
      </c>
      <c r="C1316" s="1">
        <v>42934</v>
      </c>
      <c r="D1316" s="22">
        <f>MONTH(Table3[[#This Row],[Order Date]])</f>
        <v>7</v>
      </c>
      <c r="E1316" t="s">
        <v>6338</v>
      </c>
      <c r="F1316" t="s">
        <v>6339</v>
      </c>
      <c r="G1316" s="23" t="s">
        <v>41</v>
      </c>
      <c r="H1316" s="23" t="s">
        <v>82</v>
      </c>
      <c r="I1316" t="s">
        <v>4575</v>
      </c>
      <c r="J1316" t="s">
        <v>22</v>
      </c>
      <c r="K1316" s="22">
        <v>2</v>
      </c>
      <c r="L1316" s="1">
        <v>42939</v>
      </c>
      <c r="M1316" s="22">
        <f>Table3[[#This Row],[Ship Date]]-Table3[[#This Row],[Order Date]]</f>
        <v>5</v>
      </c>
      <c r="N1316" s="23" t="s">
        <v>45</v>
      </c>
      <c r="O1316" s="23" t="s">
        <v>23</v>
      </c>
      <c r="P1316" s="23" t="s">
        <v>277</v>
      </c>
      <c r="Q1316" s="23" t="s">
        <v>39</v>
      </c>
      <c r="R1316" s="23" t="s">
        <v>481</v>
      </c>
      <c r="S1316" s="33">
        <v>0.2</v>
      </c>
      <c r="T1316" s="13">
        <v>16.096</v>
      </c>
      <c r="U1316" s="13">
        <v>5.2312000000000003</v>
      </c>
      <c r="V1316" s="55">
        <f>Table3[[#This Row],[Profit]]/Table3[[#This Row],[Sales]]</f>
        <v>0.32500000000000001</v>
      </c>
    </row>
    <row r="1317" spans="1:22" x14ac:dyDescent="0.2">
      <c r="A1317">
        <v>1316</v>
      </c>
      <c r="B1317" t="s">
        <v>6337</v>
      </c>
      <c r="C1317" s="1">
        <v>42934</v>
      </c>
      <c r="D1317" s="22">
        <f>MONTH(Table3[[#This Row],[Order Date]])</f>
        <v>7</v>
      </c>
      <c r="E1317" t="s">
        <v>2916</v>
      </c>
      <c r="F1317" t="s">
        <v>2917</v>
      </c>
      <c r="G1317" s="23" t="s">
        <v>41</v>
      </c>
      <c r="H1317" s="23" t="s">
        <v>68</v>
      </c>
      <c r="I1317" t="s">
        <v>4575</v>
      </c>
      <c r="J1317" t="s">
        <v>22</v>
      </c>
      <c r="K1317" s="22">
        <v>4</v>
      </c>
      <c r="L1317" s="1">
        <v>42939</v>
      </c>
      <c r="M1317" s="22">
        <f>Table3[[#This Row],[Ship Date]]-Table3[[#This Row],[Order Date]]</f>
        <v>5</v>
      </c>
      <c r="N1317" s="23" t="s">
        <v>45</v>
      </c>
      <c r="O1317" s="23" t="s">
        <v>23</v>
      </c>
      <c r="P1317" s="23" t="s">
        <v>277</v>
      </c>
      <c r="Q1317" s="23" t="s">
        <v>39</v>
      </c>
      <c r="R1317" s="23" t="s">
        <v>481</v>
      </c>
      <c r="S1317" s="33">
        <v>0.7</v>
      </c>
      <c r="T1317" s="13">
        <v>7.6559999999999997</v>
      </c>
      <c r="U1317" s="13">
        <v>-6.1247999999999996</v>
      </c>
      <c r="V1317" s="55">
        <f>Table3[[#This Row],[Profit]]/Table3[[#This Row],[Sales]]</f>
        <v>-0.79999999999999993</v>
      </c>
    </row>
    <row r="1318" spans="1:22" x14ac:dyDescent="0.2">
      <c r="A1318">
        <v>1317</v>
      </c>
      <c r="B1318" t="s">
        <v>6337</v>
      </c>
      <c r="C1318" s="1">
        <v>42934</v>
      </c>
      <c r="D1318" s="22">
        <f>MONTH(Table3[[#This Row],[Order Date]])</f>
        <v>7</v>
      </c>
      <c r="E1318" t="s">
        <v>300</v>
      </c>
      <c r="F1318" t="s">
        <v>301</v>
      </c>
      <c r="G1318" s="23" t="s">
        <v>28</v>
      </c>
      <c r="H1318" s="23" t="s">
        <v>32</v>
      </c>
      <c r="I1318" t="s">
        <v>4575</v>
      </c>
      <c r="J1318" t="s">
        <v>22</v>
      </c>
      <c r="K1318" s="22">
        <v>3</v>
      </c>
      <c r="L1318" s="1">
        <v>42939</v>
      </c>
      <c r="M1318" s="22">
        <f>Table3[[#This Row],[Ship Date]]-Table3[[#This Row],[Order Date]]</f>
        <v>5</v>
      </c>
      <c r="N1318" s="23" t="s">
        <v>45</v>
      </c>
      <c r="O1318" s="23" t="s">
        <v>23</v>
      </c>
      <c r="P1318" s="23" t="s">
        <v>277</v>
      </c>
      <c r="Q1318" s="23" t="s">
        <v>39</v>
      </c>
      <c r="R1318" s="23" t="s">
        <v>481</v>
      </c>
      <c r="S1318" s="33">
        <v>0.2</v>
      </c>
      <c r="T1318" s="13">
        <v>311.976</v>
      </c>
      <c r="U1318" s="13">
        <v>-42.896700000000003</v>
      </c>
      <c r="V1318" s="55">
        <f>Table3[[#This Row],[Profit]]/Table3[[#This Row],[Sales]]</f>
        <v>-0.13750000000000001</v>
      </c>
    </row>
    <row r="1319" spans="1:22" x14ac:dyDescent="0.2">
      <c r="A1319">
        <v>1318</v>
      </c>
      <c r="B1319" t="s">
        <v>8480</v>
      </c>
      <c r="C1319" s="1">
        <v>42934</v>
      </c>
      <c r="D1319" s="22">
        <f>MONTH(Table3[[#This Row],[Order Date]])</f>
        <v>7</v>
      </c>
      <c r="E1319" t="s">
        <v>6920</v>
      </c>
      <c r="F1319" t="s">
        <v>6921</v>
      </c>
      <c r="G1319" s="23" t="s">
        <v>64</v>
      </c>
      <c r="H1319" s="23" t="s">
        <v>1075</v>
      </c>
      <c r="I1319" t="s">
        <v>2029</v>
      </c>
      <c r="J1319" t="s">
        <v>22</v>
      </c>
      <c r="K1319" s="22">
        <v>5</v>
      </c>
      <c r="L1319" s="1">
        <v>42939</v>
      </c>
      <c r="M1319" s="22">
        <f>Table3[[#This Row],[Ship Date]]-Table3[[#This Row],[Order Date]]</f>
        <v>5</v>
      </c>
      <c r="N1319" s="23" t="s">
        <v>45</v>
      </c>
      <c r="O1319" s="23" t="s">
        <v>23</v>
      </c>
      <c r="P1319" s="23" t="s">
        <v>132</v>
      </c>
      <c r="Q1319" s="23" t="s">
        <v>133</v>
      </c>
      <c r="R1319" s="23" t="s">
        <v>131</v>
      </c>
      <c r="S1319" s="33">
        <v>0.4</v>
      </c>
      <c r="T1319" s="13">
        <v>599.97</v>
      </c>
      <c r="U1319" s="13">
        <v>69.996499999999997</v>
      </c>
      <c r="V1319" s="55">
        <f>Table3[[#This Row],[Profit]]/Table3[[#This Row],[Sales]]</f>
        <v>0.11666666666666665</v>
      </c>
    </row>
    <row r="1320" spans="1:22" x14ac:dyDescent="0.2">
      <c r="A1320">
        <v>1319</v>
      </c>
      <c r="B1320" t="s">
        <v>8480</v>
      </c>
      <c r="C1320" s="1">
        <v>42934</v>
      </c>
      <c r="D1320" s="22">
        <f>MONTH(Table3[[#This Row],[Order Date]])</f>
        <v>7</v>
      </c>
      <c r="E1320" t="s">
        <v>1627</v>
      </c>
      <c r="F1320" t="s">
        <v>1628</v>
      </c>
      <c r="G1320" s="23" t="s">
        <v>28</v>
      </c>
      <c r="H1320" s="23" t="s">
        <v>32</v>
      </c>
      <c r="I1320" t="s">
        <v>2029</v>
      </c>
      <c r="J1320" t="s">
        <v>22</v>
      </c>
      <c r="K1320" s="22">
        <v>4</v>
      </c>
      <c r="L1320" s="1">
        <v>42939</v>
      </c>
      <c r="M1320" s="22">
        <f>Table3[[#This Row],[Ship Date]]-Table3[[#This Row],[Order Date]]</f>
        <v>5</v>
      </c>
      <c r="N1320" s="23" t="s">
        <v>45</v>
      </c>
      <c r="O1320" s="23" t="s">
        <v>23</v>
      </c>
      <c r="P1320" s="23" t="s">
        <v>132</v>
      </c>
      <c r="Q1320" s="23" t="s">
        <v>133</v>
      </c>
      <c r="R1320" s="23" t="s">
        <v>131</v>
      </c>
      <c r="S1320" s="33">
        <v>0.3</v>
      </c>
      <c r="T1320" s="13">
        <v>198.744</v>
      </c>
      <c r="U1320" s="13">
        <v>-14.196</v>
      </c>
      <c r="V1320" s="55">
        <f>Table3[[#This Row],[Profit]]/Table3[[#This Row],[Sales]]</f>
        <v>-7.1428571428571425E-2</v>
      </c>
    </row>
    <row r="1321" spans="1:22" x14ac:dyDescent="0.2">
      <c r="A1321">
        <v>1320</v>
      </c>
      <c r="B1321" t="s">
        <v>8480</v>
      </c>
      <c r="C1321" s="1">
        <v>42934</v>
      </c>
      <c r="D1321" s="22">
        <f>MONTH(Table3[[#This Row],[Order Date]])</f>
        <v>7</v>
      </c>
      <c r="E1321" t="s">
        <v>4805</v>
      </c>
      <c r="F1321" t="s">
        <v>4806</v>
      </c>
      <c r="G1321" s="23" t="s">
        <v>41</v>
      </c>
      <c r="H1321" s="23" t="s">
        <v>513</v>
      </c>
      <c r="I1321" t="s">
        <v>2029</v>
      </c>
      <c r="J1321" t="s">
        <v>22</v>
      </c>
      <c r="K1321" s="22">
        <v>2</v>
      </c>
      <c r="L1321" s="1">
        <v>42939</v>
      </c>
      <c r="M1321" s="22">
        <f>Table3[[#This Row],[Ship Date]]-Table3[[#This Row],[Order Date]]</f>
        <v>5</v>
      </c>
      <c r="N1321" s="23" t="s">
        <v>45</v>
      </c>
      <c r="O1321" s="23" t="s">
        <v>23</v>
      </c>
      <c r="P1321" s="23" t="s">
        <v>132</v>
      </c>
      <c r="Q1321" s="23" t="s">
        <v>133</v>
      </c>
      <c r="R1321" s="23" t="s">
        <v>131</v>
      </c>
      <c r="S1321" s="33">
        <v>0.2</v>
      </c>
      <c r="T1321" s="13">
        <v>9.1839999999999993</v>
      </c>
      <c r="U1321" s="13">
        <v>1.1479999999999999</v>
      </c>
      <c r="V1321" s="55">
        <f>Table3[[#This Row],[Profit]]/Table3[[#This Row],[Sales]]</f>
        <v>0.125</v>
      </c>
    </row>
    <row r="1322" spans="1:22" x14ac:dyDescent="0.2">
      <c r="A1322">
        <v>1321</v>
      </c>
      <c r="B1322" t="s">
        <v>1724</v>
      </c>
      <c r="C1322" s="1">
        <v>42936</v>
      </c>
      <c r="D1322" s="22">
        <f>MONTH(Table3[[#This Row],[Order Date]])</f>
        <v>7</v>
      </c>
      <c r="E1322" t="s">
        <v>484</v>
      </c>
      <c r="F1322" t="s">
        <v>485</v>
      </c>
      <c r="G1322" s="23" t="s">
        <v>41</v>
      </c>
      <c r="H1322" s="23" t="s">
        <v>53</v>
      </c>
      <c r="I1322" t="s">
        <v>1725</v>
      </c>
      <c r="J1322" t="s">
        <v>22</v>
      </c>
      <c r="K1322" s="22">
        <v>2</v>
      </c>
      <c r="L1322" s="1">
        <v>42942</v>
      </c>
      <c r="M1322" s="22">
        <f>Table3[[#This Row],[Ship Date]]-Table3[[#This Row],[Order Date]]</f>
        <v>6</v>
      </c>
      <c r="N1322" s="23" t="s">
        <v>45</v>
      </c>
      <c r="O1322" s="23" t="s">
        <v>23</v>
      </c>
      <c r="P1322" s="23" t="s">
        <v>189</v>
      </c>
      <c r="Q1322" s="23" t="s">
        <v>95</v>
      </c>
      <c r="R1322" s="23" t="s">
        <v>271</v>
      </c>
      <c r="S1322" s="33">
        <v>0.2</v>
      </c>
      <c r="T1322" s="13">
        <v>69.712000000000003</v>
      </c>
      <c r="U1322" s="13">
        <v>8.7140000000000004</v>
      </c>
      <c r="V1322" s="55">
        <f>Table3[[#This Row],[Profit]]/Table3[[#This Row],[Sales]]</f>
        <v>0.125</v>
      </c>
    </row>
    <row r="1323" spans="1:22" x14ac:dyDescent="0.2">
      <c r="A1323">
        <v>1322</v>
      </c>
      <c r="B1323" t="s">
        <v>1724</v>
      </c>
      <c r="C1323" s="1">
        <v>42936</v>
      </c>
      <c r="D1323" s="22">
        <f>MONTH(Table3[[#This Row],[Order Date]])</f>
        <v>7</v>
      </c>
      <c r="E1323" t="s">
        <v>1726</v>
      </c>
      <c r="F1323" t="s">
        <v>1727</v>
      </c>
      <c r="G1323" s="23" t="s">
        <v>28</v>
      </c>
      <c r="H1323" s="23" t="s">
        <v>58</v>
      </c>
      <c r="I1323" t="s">
        <v>1725</v>
      </c>
      <c r="J1323" t="s">
        <v>22</v>
      </c>
      <c r="K1323" s="22">
        <v>1</v>
      </c>
      <c r="L1323" s="1">
        <v>42942</v>
      </c>
      <c r="M1323" s="22">
        <f>Table3[[#This Row],[Ship Date]]-Table3[[#This Row],[Order Date]]</f>
        <v>6</v>
      </c>
      <c r="N1323" s="23" t="s">
        <v>45</v>
      </c>
      <c r="O1323" s="23" t="s">
        <v>23</v>
      </c>
      <c r="P1323" s="23" t="s">
        <v>189</v>
      </c>
      <c r="Q1323" s="23" t="s">
        <v>95</v>
      </c>
      <c r="R1323" s="23" t="s">
        <v>271</v>
      </c>
      <c r="S1323" s="33">
        <v>0.6</v>
      </c>
      <c r="T1323" s="13">
        <v>8.7919999999999998</v>
      </c>
      <c r="U1323" s="13">
        <v>-5.7148000000000003</v>
      </c>
      <c r="V1323" s="55">
        <f>Table3[[#This Row],[Profit]]/Table3[[#This Row],[Sales]]</f>
        <v>-0.65</v>
      </c>
    </row>
    <row r="1324" spans="1:22" x14ac:dyDescent="0.2">
      <c r="A1324">
        <v>1323</v>
      </c>
      <c r="B1324" t="s">
        <v>4722</v>
      </c>
      <c r="C1324" s="1">
        <v>42936</v>
      </c>
      <c r="D1324" s="22">
        <f>MONTH(Table3[[#This Row],[Order Date]])</f>
        <v>7</v>
      </c>
      <c r="E1324" t="s">
        <v>2309</v>
      </c>
      <c r="F1324" t="s">
        <v>2310</v>
      </c>
      <c r="G1324" s="23" t="s">
        <v>41</v>
      </c>
      <c r="H1324" s="23" t="s">
        <v>42</v>
      </c>
      <c r="I1324" t="s">
        <v>4723</v>
      </c>
      <c r="J1324" t="s">
        <v>36</v>
      </c>
      <c r="K1324" s="22">
        <v>2</v>
      </c>
      <c r="L1324" s="1">
        <v>42941</v>
      </c>
      <c r="M1324" s="22">
        <f>Table3[[#This Row],[Ship Date]]-Table3[[#This Row],[Order Date]]</f>
        <v>5</v>
      </c>
      <c r="N1324" s="23" t="s">
        <v>45</v>
      </c>
      <c r="O1324" s="23" t="s">
        <v>23</v>
      </c>
      <c r="P1324" s="23" t="s">
        <v>4725</v>
      </c>
      <c r="Q1324" s="23" t="s">
        <v>95</v>
      </c>
      <c r="R1324" s="23" t="s">
        <v>4724</v>
      </c>
      <c r="S1324" s="33">
        <v>0</v>
      </c>
      <c r="T1324" s="13">
        <v>14.62</v>
      </c>
      <c r="U1324" s="13">
        <v>6.8714000000000004</v>
      </c>
      <c r="V1324" s="55">
        <f>Table3[[#This Row],[Profit]]/Table3[[#This Row],[Sales]]</f>
        <v>0.47000000000000003</v>
      </c>
    </row>
    <row r="1325" spans="1:22" x14ac:dyDescent="0.2">
      <c r="A1325">
        <v>1324</v>
      </c>
      <c r="B1325" t="s">
        <v>4722</v>
      </c>
      <c r="C1325" s="1">
        <v>42936</v>
      </c>
      <c r="D1325" s="22">
        <f>MONTH(Table3[[#This Row],[Order Date]])</f>
        <v>7</v>
      </c>
      <c r="E1325" t="s">
        <v>321</v>
      </c>
      <c r="F1325" t="s">
        <v>322</v>
      </c>
      <c r="G1325" s="23" t="s">
        <v>41</v>
      </c>
      <c r="H1325" s="23" t="s">
        <v>71</v>
      </c>
      <c r="I1325" t="s">
        <v>4723</v>
      </c>
      <c r="J1325" t="s">
        <v>36</v>
      </c>
      <c r="K1325" s="22">
        <v>2</v>
      </c>
      <c r="L1325" s="1">
        <v>42941</v>
      </c>
      <c r="M1325" s="22">
        <f>Table3[[#This Row],[Ship Date]]-Table3[[#This Row],[Order Date]]</f>
        <v>5</v>
      </c>
      <c r="N1325" s="23" t="s">
        <v>45</v>
      </c>
      <c r="O1325" s="23" t="s">
        <v>23</v>
      </c>
      <c r="P1325" s="23" t="s">
        <v>4725</v>
      </c>
      <c r="Q1325" s="23" t="s">
        <v>95</v>
      </c>
      <c r="R1325" s="23" t="s">
        <v>4724</v>
      </c>
      <c r="S1325" s="33">
        <v>0</v>
      </c>
      <c r="T1325" s="13">
        <v>416.32</v>
      </c>
      <c r="U1325" s="13">
        <v>112.4064</v>
      </c>
      <c r="V1325" s="55">
        <f>Table3[[#This Row],[Profit]]/Table3[[#This Row],[Sales]]</f>
        <v>0.27</v>
      </c>
    </row>
    <row r="1326" spans="1:22" x14ac:dyDescent="0.2">
      <c r="A1326">
        <v>1325</v>
      </c>
      <c r="B1326" t="s">
        <v>4722</v>
      </c>
      <c r="C1326" s="1">
        <v>42936</v>
      </c>
      <c r="D1326" s="22">
        <f>MONTH(Table3[[#This Row],[Order Date]])</f>
        <v>7</v>
      </c>
      <c r="E1326" t="s">
        <v>1648</v>
      </c>
      <c r="F1326" t="s">
        <v>1649</v>
      </c>
      <c r="G1326" s="23" t="s">
        <v>41</v>
      </c>
      <c r="H1326" s="23" t="s">
        <v>68</v>
      </c>
      <c r="I1326" t="s">
        <v>4723</v>
      </c>
      <c r="J1326" t="s">
        <v>36</v>
      </c>
      <c r="K1326" s="22">
        <v>5</v>
      </c>
      <c r="L1326" s="1">
        <v>42941</v>
      </c>
      <c r="M1326" s="22">
        <f>Table3[[#This Row],[Ship Date]]-Table3[[#This Row],[Order Date]]</f>
        <v>5</v>
      </c>
      <c r="N1326" s="23" t="s">
        <v>45</v>
      </c>
      <c r="O1326" s="23" t="s">
        <v>23</v>
      </c>
      <c r="P1326" s="23" t="s">
        <v>4725</v>
      </c>
      <c r="Q1326" s="23" t="s">
        <v>95</v>
      </c>
      <c r="R1326" s="23" t="s">
        <v>4724</v>
      </c>
      <c r="S1326" s="33">
        <v>0</v>
      </c>
      <c r="T1326" s="13">
        <v>43</v>
      </c>
      <c r="U1326" s="13">
        <v>20.21</v>
      </c>
      <c r="V1326" s="55">
        <f>Table3[[#This Row],[Profit]]/Table3[[#This Row],[Sales]]</f>
        <v>0.47000000000000003</v>
      </c>
    </row>
    <row r="1327" spans="1:22" x14ac:dyDescent="0.2">
      <c r="A1327">
        <v>1326</v>
      </c>
      <c r="B1327" t="s">
        <v>4722</v>
      </c>
      <c r="C1327" s="1">
        <v>42936</v>
      </c>
      <c r="D1327" s="22">
        <f>MONTH(Table3[[#This Row],[Order Date]])</f>
        <v>7</v>
      </c>
      <c r="E1327" t="s">
        <v>4368</v>
      </c>
      <c r="F1327" t="s">
        <v>4369</v>
      </c>
      <c r="G1327" s="23" t="s">
        <v>28</v>
      </c>
      <c r="H1327" s="23" t="s">
        <v>32</v>
      </c>
      <c r="I1327" t="s">
        <v>4723</v>
      </c>
      <c r="J1327" t="s">
        <v>36</v>
      </c>
      <c r="K1327" s="22">
        <v>3</v>
      </c>
      <c r="L1327" s="1">
        <v>42941</v>
      </c>
      <c r="M1327" s="22">
        <f>Table3[[#This Row],[Ship Date]]-Table3[[#This Row],[Order Date]]</f>
        <v>5</v>
      </c>
      <c r="N1327" s="23" t="s">
        <v>45</v>
      </c>
      <c r="O1327" s="23" t="s">
        <v>23</v>
      </c>
      <c r="P1327" s="23" t="s">
        <v>4725</v>
      </c>
      <c r="Q1327" s="23" t="s">
        <v>95</v>
      </c>
      <c r="R1327" s="23" t="s">
        <v>4724</v>
      </c>
      <c r="S1327" s="33">
        <v>0</v>
      </c>
      <c r="T1327" s="13">
        <v>182.94</v>
      </c>
      <c r="U1327" s="13">
        <v>27.440999999999999</v>
      </c>
      <c r="V1327" s="55">
        <f>Table3[[#This Row],[Profit]]/Table3[[#This Row],[Sales]]</f>
        <v>0.15</v>
      </c>
    </row>
    <row r="1328" spans="1:22" x14ac:dyDescent="0.2">
      <c r="A1328">
        <v>1327</v>
      </c>
      <c r="B1328" t="s">
        <v>4722</v>
      </c>
      <c r="C1328" s="1">
        <v>42936</v>
      </c>
      <c r="D1328" s="22">
        <f>MONTH(Table3[[#This Row],[Order Date]])</f>
        <v>7</v>
      </c>
      <c r="E1328" t="s">
        <v>2903</v>
      </c>
      <c r="F1328" t="s">
        <v>2904</v>
      </c>
      <c r="G1328" s="23" t="s">
        <v>41</v>
      </c>
      <c r="H1328" s="23" t="s">
        <v>68</v>
      </c>
      <c r="I1328" t="s">
        <v>4723</v>
      </c>
      <c r="J1328" t="s">
        <v>36</v>
      </c>
      <c r="K1328" s="22">
        <v>7</v>
      </c>
      <c r="L1328" s="1">
        <v>42941</v>
      </c>
      <c r="M1328" s="22">
        <f>Table3[[#This Row],[Ship Date]]-Table3[[#This Row],[Order Date]]</f>
        <v>5</v>
      </c>
      <c r="N1328" s="23" t="s">
        <v>45</v>
      </c>
      <c r="O1328" s="23" t="s">
        <v>23</v>
      </c>
      <c r="P1328" s="23" t="s">
        <v>4725</v>
      </c>
      <c r="Q1328" s="23" t="s">
        <v>95</v>
      </c>
      <c r="R1328" s="23" t="s">
        <v>4724</v>
      </c>
      <c r="S1328" s="33">
        <v>0</v>
      </c>
      <c r="T1328" s="13">
        <v>60.83</v>
      </c>
      <c r="U1328" s="13">
        <v>30.414999999999999</v>
      </c>
      <c r="V1328" s="55">
        <f>Table3[[#This Row],[Profit]]/Table3[[#This Row],[Sales]]</f>
        <v>0.5</v>
      </c>
    </row>
    <row r="1329" spans="1:22" x14ac:dyDescent="0.2">
      <c r="A1329">
        <v>1328</v>
      </c>
      <c r="B1329" t="s">
        <v>4722</v>
      </c>
      <c r="C1329" s="1">
        <v>42936</v>
      </c>
      <c r="D1329" s="22">
        <f>MONTH(Table3[[#This Row],[Order Date]])</f>
        <v>7</v>
      </c>
      <c r="E1329" t="s">
        <v>4726</v>
      </c>
      <c r="F1329" t="s">
        <v>4727</v>
      </c>
      <c r="G1329" s="23" t="s">
        <v>64</v>
      </c>
      <c r="H1329" s="23" t="s">
        <v>144</v>
      </c>
      <c r="I1329" t="s">
        <v>4723</v>
      </c>
      <c r="J1329" t="s">
        <v>36</v>
      </c>
      <c r="K1329" s="22">
        <v>3</v>
      </c>
      <c r="L1329" s="1">
        <v>42941</v>
      </c>
      <c r="M1329" s="22">
        <f>Table3[[#This Row],[Ship Date]]-Table3[[#This Row],[Order Date]]</f>
        <v>5</v>
      </c>
      <c r="N1329" s="23" t="s">
        <v>45</v>
      </c>
      <c r="O1329" s="23" t="s">
        <v>23</v>
      </c>
      <c r="P1329" s="23" t="s">
        <v>4725</v>
      </c>
      <c r="Q1329" s="23" t="s">
        <v>95</v>
      </c>
      <c r="R1329" s="23" t="s">
        <v>4724</v>
      </c>
      <c r="S1329" s="33">
        <v>0</v>
      </c>
      <c r="T1329" s="13">
        <v>389.97</v>
      </c>
      <c r="U1329" s="13">
        <v>132.5898</v>
      </c>
      <c r="V1329" s="55">
        <f>Table3[[#This Row],[Profit]]/Table3[[#This Row],[Sales]]</f>
        <v>0.33999999999999997</v>
      </c>
    </row>
    <row r="1330" spans="1:22" x14ac:dyDescent="0.2">
      <c r="A1330">
        <v>1329</v>
      </c>
      <c r="B1330" t="s">
        <v>5681</v>
      </c>
      <c r="C1330" s="1">
        <v>42936</v>
      </c>
      <c r="D1330" s="22">
        <f>MONTH(Table3[[#This Row],[Order Date]])</f>
        <v>7</v>
      </c>
      <c r="E1330" t="s">
        <v>5683</v>
      </c>
      <c r="F1330" t="s">
        <v>5684</v>
      </c>
      <c r="G1330" s="23" t="s">
        <v>41</v>
      </c>
      <c r="H1330" s="23" t="s">
        <v>68</v>
      </c>
      <c r="I1330" t="s">
        <v>3108</v>
      </c>
      <c r="J1330" t="s">
        <v>36</v>
      </c>
      <c r="K1330" s="22">
        <v>2</v>
      </c>
      <c r="L1330" s="1">
        <v>42940</v>
      </c>
      <c r="M1330" s="22">
        <f>Table3[[#This Row],[Ship Date]]-Table3[[#This Row],[Order Date]]</f>
        <v>4</v>
      </c>
      <c r="N1330" s="23" t="s">
        <v>45</v>
      </c>
      <c r="O1330" s="23" t="s">
        <v>23</v>
      </c>
      <c r="P1330" s="23" t="s">
        <v>204</v>
      </c>
      <c r="Q1330" s="23" t="s">
        <v>95</v>
      </c>
      <c r="R1330" s="23" t="s">
        <v>5682</v>
      </c>
      <c r="S1330" s="33">
        <v>0</v>
      </c>
      <c r="T1330" s="13">
        <v>735.98</v>
      </c>
      <c r="U1330" s="13">
        <v>331.19099999999997</v>
      </c>
      <c r="V1330" s="55">
        <f>Table3[[#This Row],[Profit]]/Table3[[#This Row],[Sales]]</f>
        <v>0.44999999999999996</v>
      </c>
    </row>
    <row r="1331" spans="1:22" x14ac:dyDescent="0.2">
      <c r="A1331">
        <v>1330</v>
      </c>
      <c r="B1331" t="s">
        <v>9764</v>
      </c>
      <c r="C1331" s="1">
        <v>42936</v>
      </c>
      <c r="D1331" s="22">
        <f>MONTH(Table3[[#This Row],[Order Date]])</f>
        <v>7</v>
      </c>
      <c r="E1331" t="s">
        <v>1979</v>
      </c>
      <c r="F1331" t="s">
        <v>1980</v>
      </c>
      <c r="G1331" s="23" t="s">
        <v>41</v>
      </c>
      <c r="H1331" s="23" t="s">
        <v>82</v>
      </c>
      <c r="I1331" t="s">
        <v>1887</v>
      </c>
      <c r="J1331" t="s">
        <v>36</v>
      </c>
      <c r="K1331" s="22">
        <v>2</v>
      </c>
      <c r="L1331" s="1">
        <v>42941</v>
      </c>
      <c r="M1331" s="22">
        <f>Table3[[#This Row],[Ship Date]]-Table3[[#This Row],[Order Date]]</f>
        <v>5</v>
      </c>
      <c r="N1331" s="23" t="s">
        <v>45</v>
      </c>
      <c r="O1331" s="23" t="s">
        <v>23</v>
      </c>
      <c r="P1331" s="23" t="s">
        <v>238</v>
      </c>
      <c r="Q1331" s="23" t="s">
        <v>133</v>
      </c>
      <c r="R1331" s="23" t="s">
        <v>237</v>
      </c>
      <c r="S1331" s="33">
        <v>0</v>
      </c>
      <c r="T1331" s="13">
        <v>13.36</v>
      </c>
      <c r="U1331" s="13">
        <v>6.4127999999999998</v>
      </c>
      <c r="V1331" s="55">
        <f>Table3[[#This Row],[Profit]]/Table3[[#This Row],[Sales]]</f>
        <v>0.48</v>
      </c>
    </row>
    <row r="1332" spans="1:22" x14ac:dyDescent="0.2">
      <c r="A1332">
        <v>1331</v>
      </c>
      <c r="B1332" t="s">
        <v>9764</v>
      </c>
      <c r="C1332" s="1">
        <v>42936</v>
      </c>
      <c r="D1332" s="22">
        <f>MONTH(Table3[[#This Row],[Order Date]])</f>
        <v>7</v>
      </c>
      <c r="E1332" t="s">
        <v>9765</v>
      </c>
      <c r="F1332" t="s">
        <v>9766</v>
      </c>
      <c r="G1332" s="23" t="s">
        <v>28</v>
      </c>
      <c r="H1332" s="23" t="s">
        <v>32</v>
      </c>
      <c r="I1332" t="s">
        <v>1887</v>
      </c>
      <c r="J1332" t="s">
        <v>36</v>
      </c>
      <c r="K1332" s="22">
        <v>2</v>
      </c>
      <c r="L1332" s="1">
        <v>42941</v>
      </c>
      <c r="M1332" s="22">
        <f>Table3[[#This Row],[Ship Date]]-Table3[[#This Row],[Order Date]]</f>
        <v>5</v>
      </c>
      <c r="N1332" s="23" t="s">
        <v>45</v>
      </c>
      <c r="O1332" s="23" t="s">
        <v>23</v>
      </c>
      <c r="P1332" s="23" t="s">
        <v>238</v>
      </c>
      <c r="Q1332" s="23" t="s">
        <v>133</v>
      </c>
      <c r="R1332" s="23" t="s">
        <v>237</v>
      </c>
      <c r="S1332" s="33">
        <v>0.1</v>
      </c>
      <c r="T1332" s="13">
        <v>163.76400000000001</v>
      </c>
      <c r="U1332" s="13">
        <v>25.474399999999999</v>
      </c>
      <c r="V1332" s="55">
        <f>Table3[[#This Row],[Profit]]/Table3[[#This Row],[Sales]]</f>
        <v>0.15555555555555553</v>
      </c>
    </row>
    <row r="1333" spans="1:22" x14ac:dyDescent="0.2">
      <c r="A1333">
        <v>1332</v>
      </c>
      <c r="B1333" t="s">
        <v>9764</v>
      </c>
      <c r="C1333" s="1">
        <v>42936</v>
      </c>
      <c r="D1333" s="22">
        <f>MONTH(Table3[[#This Row],[Order Date]])</f>
        <v>7</v>
      </c>
      <c r="E1333" t="s">
        <v>7738</v>
      </c>
      <c r="F1333" t="s">
        <v>7739</v>
      </c>
      <c r="G1333" s="23" t="s">
        <v>28</v>
      </c>
      <c r="H1333" s="23" t="s">
        <v>58</v>
      </c>
      <c r="I1333" t="s">
        <v>1887</v>
      </c>
      <c r="J1333" t="s">
        <v>36</v>
      </c>
      <c r="K1333" s="22">
        <v>4</v>
      </c>
      <c r="L1333" s="1">
        <v>42941</v>
      </c>
      <c r="M1333" s="22">
        <f>Table3[[#This Row],[Ship Date]]-Table3[[#This Row],[Order Date]]</f>
        <v>5</v>
      </c>
      <c r="N1333" s="23" t="s">
        <v>45</v>
      </c>
      <c r="O1333" s="23" t="s">
        <v>23</v>
      </c>
      <c r="P1333" s="23" t="s">
        <v>238</v>
      </c>
      <c r="Q1333" s="23" t="s">
        <v>133</v>
      </c>
      <c r="R1333" s="23" t="s">
        <v>237</v>
      </c>
      <c r="S1333" s="33">
        <v>0</v>
      </c>
      <c r="T1333" s="13">
        <v>183.92</v>
      </c>
      <c r="U1333" s="13">
        <v>31.266400000000001</v>
      </c>
      <c r="V1333" s="55">
        <f>Table3[[#This Row],[Profit]]/Table3[[#This Row],[Sales]]</f>
        <v>0.17</v>
      </c>
    </row>
    <row r="1334" spans="1:22" x14ac:dyDescent="0.2">
      <c r="A1334">
        <v>1333</v>
      </c>
      <c r="B1334" t="s">
        <v>1873</v>
      </c>
      <c r="C1334" s="1">
        <v>42937</v>
      </c>
      <c r="D1334" s="22">
        <f>MONTH(Table3[[#This Row],[Order Date]])</f>
        <v>7</v>
      </c>
      <c r="E1334" t="s">
        <v>1875</v>
      </c>
      <c r="F1334" t="s">
        <v>1876</v>
      </c>
      <c r="G1334" s="23" t="s">
        <v>41</v>
      </c>
      <c r="H1334" s="23" t="s">
        <v>82</v>
      </c>
      <c r="I1334" t="s">
        <v>549</v>
      </c>
      <c r="J1334" t="s">
        <v>92</v>
      </c>
      <c r="K1334" s="22">
        <v>1</v>
      </c>
      <c r="L1334" s="1">
        <v>42941</v>
      </c>
      <c r="M1334" s="22">
        <f>Table3[[#This Row],[Ship Date]]-Table3[[#This Row],[Order Date]]</f>
        <v>4</v>
      </c>
      <c r="N1334" s="23" t="s">
        <v>45</v>
      </c>
      <c r="O1334" s="23" t="s">
        <v>23</v>
      </c>
      <c r="P1334" s="23" t="s">
        <v>695</v>
      </c>
      <c r="Q1334" s="23" t="s">
        <v>133</v>
      </c>
      <c r="R1334" s="23" t="s">
        <v>1874</v>
      </c>
      <c r="S1334" s="33">
        <v>0</v>
      </c>
      <c r="T1334" s="13">
        <v>6.48</v>
      </c>
      <c r="U1334" s="13">
        <v>3.1751999999999998</v>
      </c>
      <c r="V1334" s="55">
        <f>Table3[[#This Row],[Profit]]/Table3[[#This Row],[Sales]]</f>
        <v>0.48999999999999994</v>
      </c>
    </row>
    <row r="1335" spans="1:22" x14ac:dyDescent="0.2">
      <c r="A1335">
        <v>1334</v>
      </c>
      <c r="B1335" t="s">
        <v>6636</v>
      </c>
      <c r="C1335" s="1">
        <v>42937</v>
      </c>
      <c r="D1335" s="22">
        <f>MONTH(Table3[[#This Row],[Order Date]])</f>
        <v>7</v>
      </c>
      <c r="E1335" t="s">
        <v>6081</v>
      </c>
      <c r="F1335" t="s">
        <v>6082</v>
      </c>
      <c r="G1335" s="23" t="s">
        <v>64</v>
      </c>
      <c r="H1335" s="23" t="s">
        <v>65</v>
      </c>
      <c r="I1335" t="s">
        <v>1714</v>
      </c>
      <c r="J1335" t="s">
        <v>22</v>
      </c>
      <c r="K1335" s="22">
        <v>9</v>
      </c>
      <c r="L1335" s="1">
        <v>42937</v>
      </c>
      <c r="M1335" s="22">
        <f>Table3[[#This Row],[Ship Date]]-Table3[[#This Row],[Order Date]]</f>
        <v>0</v>
      </c>
      <c r="N1335" s="23" t="s">
        <v>1141</v>
      </c>
      <c r="O1335" s="23" t="s">
        <v>23</v>
      </c>
      <c r="P1335" s="23" t="s">
        <v>109</v>
      </c>
      <c r="Q1335" s="23" t="s">
        <v>39</v>
      </c>
      <c r="R1335" s="23" t="s">
        <v>3223</v>
      </c>
      <c r="S1335" s="33">
        <v>0.2</v>
      </c>
      <c r="T1335" s="13">
        <v>71.927999999999997</v>
      </c>
      <c r="U1335" s="13">
        <v>6.2937000000000003</v>
      </c>
      <c r="V1335" s="55">
        <f>Table3[[#This Row],[Profit]]/Table3[[#This Row],[Sales]]</f>
        <v>8.7500000000000008E-2</v>
      </c>
    </row>
    <row r="1336" spans="1:22" x14ac:dyDescent="0.2">
      <c r="A1336">
        <v>1335</v>
      </c>
      <c r="B1336" t="s">
        <v>6636</v>
      </c>
      <c r="C1336" s="1">
        <v>42937</v>
      </c>
      <c r="D1336" s="22">
        <f>MONTH(Table3[[#This Row],[Order Date]])</f>
        <v>7</v>
      </c>
      <c r="E1336" t="s">
        <v>3728</v>
      </c>
      <c r="F1336" t="s">
        <v>3729</v>
      </c>
      <c r="G1336" s="23" t="s">
        <v>41</v>
      </c>
      <c r="H1336" s="23" t="s">
        <v>61</v>
      </c>
      <c r="I1336" t="s">
        <v>1714</v>
      </c>
      <c r="J1336" t="s">
        <v>22</v>
      </c>
      <c r="K1336" s="22">
        <v>1</v>
      </c>
      <c r="L1336" s="1">
        <v>42937</v>
      </c>
      <c r="M1336" s="22">
        <f>Table3[[#This Row],[Ship Date]]-Table3[[#This Row],[Order Date]]</f>
        <v>0</v>
      </c>
      <c r="N1336" s="23" t="s">
        <v>1141</v>
      </c>
      <c r="O1336" s="23" t="s">
        <v>23</v>
      </c>
      <c r="P1336" s="23" t="s">
        <v>109</v>
      </c>
      <c r="Q1336" s="23" t="s">
        <v>39</v>
      </c>
      <c r="R1336" s="23" t="s">
        <v>3223</v>
      </c>
      <c r="S1336" s="33">
        <v>0</v>
      </c>
      <c r="T1336" s="13">
        <v>25.99</v>
      </c>
      <c r="U1336" s="13">
        <v>7.5370999999999997</v>
      </c>
      <c r="V1336" s="55">
        <f>Table3[[#This Row],[Profit]]/Table3[[#This Row],[Sales]]</f>
        <v>0.28999999999999998</v>
      </c>
    </row>
    <row r="1337" spans="1:22" x14ac:dyDescent="0.2">
      <c r="A1337">
        <v>1336</v>
      </c>
      <c r="B1337" t="s">
        <v>7185</v>
      </c>
      <c r="C1337" s="1">
        <v>42937</v>
      </c>
      <c r="D1337" s="22">
        <f>MONTH(Table3[[#This Row],[Order Date]])</f>
        <v>7</v>
      </c>
      <c r="E1337" t="s">
        <v>1524</v>
      </c>
      <c r="F1337" t="s">
        <v>1525</v>
      </c>
      <c r="G1337" s="23" t="s">
        <v>41</v>
      </c>
      <c r="H1337" s="23" t="s">
        <v>68</v>
      </c>
      <c r="I1337" t="s">
        <v>5589</v>
      </c>
      <c r="J1337" t="s">
        <v>92</v>
      </c>
      <c r="K1337" s="22">
        <v>3</v>
      </c>
      <c r="L1337" s="1">
        <v>42942</v>
      </c>
      <c r="M1337" s="22">
        <f>Table3[[#This Row],[Ship Date]]-Table3[[#This Row],[Order Date]]</f>
        <v>5</v>
      </c>
      <c r="N1337" s="23" t="s">
        <v>45</v>
      </c>
      <c r="O1337" s="23" t="s">
        <v>23</v>
      </c>
      <c r="P1337" s="23" t="s">
        <v>441</v>
      </c>
      <c r="Q1337" s="23" t="s">
        <v>133</v>
      </c>
      <c r="R1337" s="23" t="s">
        <v>1920</v>
      </c>
      <c r="S1337" s="33">
        <v>0.7</v>
      </c>
      <c r="T1337" s="13">
        <v>33.93</v>
      </c>
      <c r="U1337" s="13">
        <v>-22.62</v>
      </c>
      <c r="V1337" s="55">
        <f>Table3[[#This Row],[Profit]]/Table3[[#This Row],[Sales]]</f>
        <v>-0.66666666666666674</v>
      </c>
    </row>
    <row r="1338" spans="1:22" x14ac:dyDescent="0.2">
      <c r="A1338">
        <v>1337</v>
      </c>
      <c r="B1338" t="s">
        <v>7185</v>
      </c>
      <c r="C1338" s="1">
        <v>42937</v>
      </c>
      <c r="D1338" s="22">
        <f>MONTH(Table3[[#This Row],[Order Date]])</f>
        <v>7</v>
      </c>
      <c r="E1338" t="s">
        <v>7186</v>
      </c>
      <c r="F1338" t="s">
        <v>7187</v>
      </c>
      <c r="G1338" s="23" t="s">
        <v>41</v>
      </c>
      <c r="H1338" s="23" t="s">
        <v>53</v>
      </c>
      <c r="I1338" t="s">
        <v>5589</v>
      </c>
      <c r="J1338" t="s">
        <v>92</v>
      </c>
      <c r="K1338" s="22">
        <v>7</v>
      </c>
      <c r="L1338" s="1">
        <v>42942</v>
      </c>
      <c r="M1338" s="22">
        <f>Table3[[#This Row],[Ship Date]]-Table3[[#This Row],[Order Date]]</f>
        <v>5</v>
      </c>
      <c r="N1338" s="23" t="s">
        <v>45</v>
      </c>
      <c r="O1338" s="23" t="s">
        <v>23</v>
      </c>
      <c r="P1338" s="23" t="s">
        <v>441</v>
      </c>
      <c r="Q1338" s="23" t="s">
        <v>133</v>
      </c>
      <c r="R1338" s="23" t="s">
        <v>1920</v>
      </c>
      <c r="S1338" s="33">
        <v>0.2</v>
      </c>
      <c r="T1338" s="13">
        <v>222.32</v>
      </c>
      <c r="U1338" s="13">
        <v>25.010999999999999</v>
      </c>
      <c r="V1338" s="55">
        <f>Table3[[#This Row],[Profit]]/Table3[[#This Row],[Sales]]</f>
        <v>0.1125</v>
      </c>
    </row>
    <row r="1339" spans="1:22" x14ac:dyDescent="0.2">
      <c r="A1339">
        <v>1338</v>
      </c>
      <c r="B1339" t="s">
        <v>7185</v>
      </c>
      <c r="C1339" s="1">
        <v>42937</v>
      </c>
      <c r="D1339" s="22">
        <f>MONTH(Table3[[#This Row],[Order Date]])</f>
        <v>7</v>
      </c>
      <c r="E1339" t="s">
        <v>7188</v>
      </c>
      <c r="F1339" t="s">
        <v>7189</v>
      </c>
      <c r="G1339" s="23" t="s">
        <v>64</v>
      </c>
      <c r="H1339" s="23" t="s">
        <v>65</v>
      </c>
      <c r="I1339" t="s">
        <v>5589</v>
      </c>
      <c r="J1339" t="s">
        <v>92</v>
      </c>
      <c r="K1339" s="22">
        <v>6</v>
      </c>
      <c r="L1339" s="1">
        <v>42942</v>
      </c>
      <c r="M1339" s="22">
        <f>Table3[[#This Row],[Ship Date]]-Table3[[#This Row],[Order Date]]</f>
        <v>5</v>
      </c>
      <c r="N1339" s="23" t="s">
        <v>45</v>
      </c>
      <c r="O1339" s="23" t="s">
        <v>23</v>
      </c>
      <c r="P1339" s="23" t="s">
        <v>441</v>
      </c>
      <c r="Q1339" s="23" t="s">
        <v>133</v>
      </c>
      <c r="R1339" s="23" t="s">
        <v>1920</v>
      </c>
      <c r="S1339" s="33">
        <v>0.4</v>
      </c>
      <c r="T1339" s="13">
        <v>210.56399999999999</v>
      </c>
      <c r="U1339" s="13">
        <v>-52.640999999999998</v>
      </c>
      <c r="V1339" s="55">
        <f>Table3[[#This Row],[Profit]]/Table3[[#This Row],[Sales]]</f>
        <v>-0.25</v>
      </c>
    </row>
    <row r="1340" spans="1:22" x14ac:dyDescent="0.2">
      <c r="A1340">
        <v>1339</v>
      </c>
      <c r="B1340" t="s">
        <v>8203</v>
      </c>
      <c r="C1340" s="1">
        <v>42937</v>
      </c>
      <c r="D1340" s="22">
        <f>MONTH(Table3[[#This Row],[Order Date]])</f>
        <v>7</v>
      </c>
      <c r="E1340" t="s">
        <v>5088</v>
      </c>
      <c r="F1340" t="s">
        <v>5089</v>
      </c>
      <c r="G1340" s="23" t="s">
        <v>41</v>
      </c>
      <c r="H1340" s="23" t="s">
        <v>61</v>
      </c>
      <c r="I1340" t="s">
        <v>4337</v>
      </c>
      <c r="J1340" t="s">
        <v>22</v>
      </c>
      <c r="K1340" s="22">
        <v>6</v>
      </c>
      <c r="L1340" s="1">
        <v>42943</v>
      </c>
      <c r="M1340" s="22">
        <f>Table3[[#This Row],[Ship Date]]-Table3[[#This Row],[Order Date]]</f>
        <v>6</v>
      </c>
      <c r="N1340" s="23" t="s">
        <v>45</v>
      </c>
      <c r="O1340" s="23" t="s">
        <v>23</v>
      </c>
      <c r="P1340" s="23" t="s">
        <v>285</v>
      </c>
      <c r="Q1340" s="23" t="s">
        <v>26</v>
      </c>
      <c r="R1340" s="23" t="s">
        <v>1744</v>
      </c>
      <c r="S1340" s="33">
        <v>0</v>
      </c>
      <c r="T1340" s="13">
        <v>101.94</v>
      </c>
      <c r="U1340" s="13">
        <v>29.5626</v>
      </c>
      <c r="V1340" s="55">
        <f>Table3[[#This Row],[Profit]]/Table3[[#This Row],[Sales]]</f>
        <v>0.28999999999999998</v>
      </c>
    </row>
    <row r="1341" spans="1:22" x14ac:dyDescent="0.2">
      <c r="A1341">
        <v>1340</v>
      </c>
      <c r="B1341" t="s">
        <v>8203</v>
      </c>
      <c r="C1341" s="1">
        <v>42937</v>
      </c>
      <c r="D1341" s="22">
        <f>MONTH(Table3[[#This Row],[Order Date]])</f>
        <v>7</v>
      </c>
      <c r="E1341" t="s">
        <v>2418</v>
      </c>
      <c r="F1341" t="s">
        <v>2419</v>
      </c>
      <c r="G1341" s="23" t="s">
        <v>64</v>
      </c>
      <c r="H1341" s="23" t="s">
        <v>65</v>
      </c>
      <c r="I1341" t="s">
        <v>4337</v>
      </c>
      <c r="J1341" t="s">
        <v>22</v>
      </c>
      <c r="K1341" s="22">
        <v>4</v>
      </c>
      <c r="L1341" s="1">
        <v>42943</v>
      </c>
      <c r="M1341" s="22">
        <f>Table3[[#This Row],[Ship Date]]-Table3[[#This Row],[Order Date]]</f>
        <v>6</v>
      </c>
      <c r="N1341" s="23" t="s">
        <v>45</v>
      </c>
      <c r="O1341" s="23" t="s">
        <v>23</v>
      </c>
      <c r="P1341" s="23" t="s">
        <v>285</v>
      </c>
      <c r="Q1341" s="23" t="s">
        <v>26</v>
      </c>
      <c r="R1341" s="23" t="s">
        <v>1744</v>
      </c>
      <c r="S1341" s="33">
        <v>0</v>
      </c>
      <c r="T1341" s="13">
        <v>271.95999999999998</v>
      </c>
      <c r="U1341" s="13">
        <v>67.989999999999995</v>
      </c>
      <c r="V1341" s="55">
        <f>Table3[[#This Row],[Profit]]/Table3[[#This Row],[Sales]]</f>
        <v>0.25</v>
      </c>
    </row>
    <row r="1342" spans="1:22" x14ac:dyDescent="0.2">
      <c r="A1342">
        <v>1341</v>
      </c>
      <c r="B1342" t="s">
        <v>8203</v>
      </c>
      <c r="C1342" s="1">
        <v>42937</v>
      </c>
      <c r="D1342" s="22">
        <f>MONTH(Table3[[#This Row],[Order Date]])</f>
        <v>7</v>
      </c>
      <c r="E1342" t="s">
        <v>899</v>
      </c>
      <c r="F1342" t="s">
        <v>900</v>
      </c>
      <c r="G1342" s="23" t="s">
        <v>28</v>
      </c>
      <c r="H1342" s="23" t="s">
        <v>58</v>
      </c>
      <c r="I1342" t="s">
        <v>4337</v>
      </c>
      <c r="J1342" t="s">
        <v>22</v>
      </c>
      <c r="K1342" s="22">
        <v>5</v>
      </c>
      <c r="L1342" s="1">
        <v>42943</v>
      </c>
      <c r="M1342" s="22">
        <f>Table3[[#This Row],[Ship Date]]-Table3[[#This Row],[Order Date]]</f>
        <v>6</v>
      </c>
      <c r="N1342" s="23" t="s">
        <v>45</v>
      </c>
      <c r="O1342" s="23" t="s">
        <v>23</v>
      </c>
      <c r="P1342" s="23" t="s">
        <v>285</v>
      </c>
      <c r="Q1342" s="23" t="s">
        <v>26</v>
      </c>
      <c r="R1342" s="23" t="s">
        <v>1744</v>
      </c>
      <c r="S1342" s="33">
        <v>0</v>
      </c>
      <c r="T1342" s="13">
        <v>8.8000000000000007</v>
      </c>
      <c r="U1342" s="13">
        <v>3.8719999999999999</v>
      </c>
      <c r="V1342" s="55">
        <f>Table3[[#This Row],[Profit]]/Table3[[#This Row],[Sales]]</f>
        <v>0.43999999999999995</v>
      </c>
    </row>
    <row r="1343" spans="1:22" x14ac:dyDescent="0.2">
      <c r="A1343">
        <v>1342</v>
      </c>
      <c r="B1343" t="s">
        <v>8203</v>
      </c>
      <c r="C1343" s="1">
        <v>42937</v>
      </c>
      <c r="D1343" s="22">
        <f>MONTH(Table3[[#This Row],[Order Date]])</f>
        <v>7</v>
      </c>
      <c r="E1343" t="s">
        <v>3279</v>
      </c>
      <c r="F1343" t="s">
        <v>3280</v>
      </c>
      <c r="G1343" s="23" t="s">
        <v>41</v>
      </c>
      <c r="H1343" s="23" t="s">
        <v>61</v>
      </c>
      <c r="I1343" t="s">
        <v>4337</v>
      </c>
      <c r="J1343" t="s">
        <v>22</v>
      </c>
      <c r="K1343" s="22">
        <v>6</v>
      </c>
      <c r="L1343" s="1">
        <v>42943</v>
      </c>
      <c r="M1343" s="22">
        <f>Table3[[#This Row],[Ship Date]]-Table3[[#This Row],[Order Date]]</f>
        <v>6</v>
      </c>
      <c r="N1343" s="23" t="s">
        <v>45</v>
      </c>
      <c r="O1343" s="23" t="s">
        <v>23</v>
      </c>
      <c r="P1343" s="23" t="s">
        <v>285</v>
      </c>
      <c r="Q1343" s="23" t="s">
        <v>26</v>
      </c>
      <c r="R1343" s="23" t="s">
        <v>1744</v>
      </c>
      <c r="S1343" s="33">
        <v>0</v>
      </c>
      <c r="T1343" s="13">
        <v>19.68</v>
      </c>
      <c r="U1343" s="13">
        <v>5.7072000000000003</v>
      </c>
      <c r="V1343" s="55">
        <f>Table3[[#This Row],[Profit]]/Table3[[#This Row],[Sales]]</f>
        <v>0.29000000000000004</v>
      </c>
    </row>
    <row r="1344" spans="1:22" x14ac:dyDescent="0.2">
      <c r="A1344">
        <v>1343</v>
      </c>
      <c r="B1344" t="s">
        <v>8203</v>
      </c>
      <c r="C1344" s="1">
        <v>42937</v>
      </c>
      <c r="D1344" s="22">
        <f>MONTH(Table3[[#This Row],[Order Date]])</f>
        <v>7</v>
      </c>
      <c r="E1344" t="s">
        <v>2450</v>
      </c>
      <c r="F1344" t="s">
        <v>2451</v>
      </c>
      <c r="G1344" s="23" t="s">
        <v>28</v>
      </c>
      <c r="H1344" s="23" t="s">
        <v>29</v>
      </c>
      <c r="I1344" t="s">
        <v>4337</v>
      </c>
      <c r="J1344" t="s">
        <v>22</v>
      </c>
      <c r="K1344" s="22">
        <v>3</v>
      </c>
      <c r="L1344" s="1">
        <v>42943</v>
      </c>
      <c r="M1344" s="22">
        <f>Table3[[#This Row],[Ship Date]]-Table3[[#This Row],[Order Date]]</f>
        <v>6</v>
      </c>
      <c r="N1344" s="23" t="s">
        <v>45</v>
      </c>
      <c r="O1344" s="23" t="s">
        <v>23</v>
      </c>
      <c r="P1344" s="23" t="s">
        <v>285</v>
      </c>
      <c r="Q1344" s="23" t="s">
        <v>26</v>
      </c>
      <c r="R1344" s="23" t="s">
        <v>1744</v>
      </c>
      <c r="S1344" s="33">
        <v>0</v>
      </c>
      <c r="T1344" s="13">
        <v>302.94</v>
      </c>
      <c r="U1344" s="13">
        <v>69.676199999999994</v>
      </c>
      <c r="V1344" s="55">
        <f>Table3[[#This Row],[Profit]]/Table3[[#This Row],[Sales]]</f>
        <v>0.22999999999999998</v>
      </c>
    </row>
    <row r="1345" spans="1:22" x14ac:dyDescent="0.2">
      <c r="A1345">
        <v>1344</v>
      </c>
      <c r="B1345" t="s">
        <v>8203</v>
      </c>
      <c r="C1345" s="1">
        <v>42937</v>
      </c>
      <c r="D1345" s="22">
        <f>MONTH(Table3[[#This Row],[Order Date]])</f>
        <v>7</v>
      </c>
      <c r="E1345" t="s">
        <v>2026</v>
      </c>
      <c r="F1345" t="s">
        <v>2027</v>
      </c>
      <c r="G1345" s="23" t="s">
        <v>41</v>
      </c>
      <c r="H1345" s="23" t="s">
        <v>68</v>
      </c>
      <c r="I1345" t="s">
        <v>4337</v>
      </c>
      <c r="J1345" t="s">
        <v>22</v>
      </c>
      <c r="K1345" s="22">
        <v>3</v>
      </c>
      <c r="L1345" s="1">
        <v>42943</v>
      </c>
      <c r="M1345" s="22">
        <f>Table3[[#This Row],[Ship Date]]-Table3[[#This Row],[Order Date]]</f>
        <v>6</v>
      </c>
      <c r="N1345" s="23" t="s">
        <v>45</v>
      </c>
      <c r="O1345" s="23" t="s">
        <v>23</v>
      </c>
      <c r="P1345" s="23" t="s">
        <v>285</v>
      </c>
      <c r="Q1345" s="23" t="s">
        <v>26</v>
      </c>
      <c r="R1345" s="23" t="s">
        <v>1744</v>
      </c>
      <c r="S1345" s="33">
        <v>0</v>
      </c>
      <c r="T1345" s="13">
        <v>14.94</v>
      </c>
      <c r="U1345" s="13">
        <v>7.1711999999999998</v>
      </c>
      <c r="V1345" s="55">
        <f>Table3[[#This Row],[Profit]]/Table3[[#This Row],[Sales]]</f>
        <v>0.48</v>
      </c>
    </row>
    <row r="1346" spans="1:22" x14ac:dyDescent="0.2">
      <c r="A1346">
        <v>1345</v>
      </c>
      <c r="B1346" t="s">
        <v>8203</v>
      </c>
      <c r="C1346" s="1">
        <v>42937</v>
      </c>
      <c r="D1346" s="22">
        <f>MONTH(Table3[[#This Row],[Order Date]])</f>
        <v>7</v>
      </c>
      <c r="E1346" t="s">
        <v>1422</v>
      </c>
      <c r="F1346" t="s">
        <v>1423</v>
      </c>
      <c r="G1346" s="23" t="s">
        <v>41</v>
      </c>
      <c r="H1346" s="23" t="s">
        <v>513</v>
      </c>
      <c r="I1346" t="s">
        <v>4337</v>
      </c>
      <c r="J1346" t="s">
        <v>22</v>
      </c>
      <c r="K1346" s="22">
        <v>2</v>
      </c>
      <c r="L1346" s="1">
        <v>42943</v>
      </c>
      <c r="M1346" s="22">
        <f>Table3[[#This Row],[Ship Date]]-Table3[[#This Row],[Order Date]]</f>
        <v>6</v>
      </c>
      <c r="N1346" s="23" t="s">
        <v>45</v>
      </c>
      <c r="O1346" s="23" t="s">
        <v>23</v>
      </c>
      <c r="P1346" s="23" t="s">
        <v>285</v>
      </c>
      <c r="Q1346" s="23" t="s">
        <v>26</v>
      </c>
      <c r="R1346" s="23" t="s">
        <v>1744</v>
      </c>
      <c r="S1346" s="33">
        <v>0</v>
      </c>
      <c r="T1346" s="13">
        <v>231.72</v>
      </c>
      <c r="U1346" s="13">
        <v>11.586</v>
      </c>
      <c r="V1346" s="55">
        <f>Table3[[#This Row],[Profit]]/Table3[[#This Row],[Sales]]</f>
        <v>0.05</v>
      </c>
    </row>
    <row r="1347" spans="1:22" x14ac:dyDescent="0.2">
      <c r="A1347">
        <v>1346</v>
      </c>
      <c r="B1347" t="s">
        <v>8266</v>
      </c>
      <c r="C1347" s="1">
        <v>42937</v>
      </c>
      <c r="D1347" s="22">
        <f>MONTH(Table3[[#This Row],[Order Date]])</f>
        <v>7</v>
      </c>
      <c r="E1347" t="s">
        <v>8267</v>
      </c>
      <c r="F1347" t="s">
        <v>8268</v>
      </c>
      <c r="G1347" s="23" t="s">
        <v>41</v>
      </c>
      <c r="H1347" s="23" t="s">
        <v>82</v>
      </c>
      <c r="I1347" t="s">
        <v>3837</v>
      </c>
      <c r="J1347" t="s">
        <v>22</v>
      </c>
      <c r="K1347" s="22">
        <v>2</v>
      </c>
      <c r="L1347" s="1">
        <v>42941</v>
      </c>
      <c r="M1347" s="22">
        <f>Table3[[#This Row],[Ship Date]]-Table3[[#This Row],[Order Date]]</f>
        <v>4</v>
      </c>
      <c r="N1347" s="23" t="s">
        <v>45</v>
      </c>
      <c r="O1347" s="23" t="s">
        <v>23</v>
      </c>
      <c r="P1347" s="23" t="s">
        <v>38</v>
      </c>
      <c r="Q1347" s="23" t="s">
        <v>39</v>
      </c>
      <c r="R1347" s="23" t="s">
        <v>836</v>
      </c>
      <c r="S1347" s="33">
        <v>0</v>
      </c>
      <c r="T1347" s="13">
        <v>16.34</v>
      </c>
      <c r="U1347" s="13">
        <v>7.6798000000000002</v>
      </c>
      <c r="V1347" s="55">
        <f>Table3[[#This Row],[Profit]]/Table3[[#This Row],[Sales]]</f>
        <v>0.47000000000000003</v>
      </c>
    </row>
    <row r="1348" spans="1:22" x14ac:dyDescent="0.2">
      <c r="A1348">
        <v>1347</v>
      </c>
      <c r="B1348" t="s">
        <v>8266</v>
      </c>
      <c r="C1348" s="1">
        <v>42937</v>
      </c>
      <c r="D1348" s="22">
        <f>MONTH(Table3[[#This Row],[Order Date]])</f>
        <v>7</v>
      </c>
      <c r="E1348" t="s">
        <v>4082</v>
      </c>
      <c r="F1348" t="s">
        <v>4083</v>
      </c>
      <c r="G1348" s="23" t="s">
        <v>28</v>
      </c>
      <c r="H1348" s="23" t="s">
        <v>32</v>
      </c>
      <c r="I1348" t="s">
        <v>3837</v>
      </c>
      <c r="J1348" t="s">
        <v>22</v>
      </c>
      <c r="K1348" s="22">
        <v>2</v>
      </c>
      <c r="L1348" s="1">
        <v>42941</v>
      </c>
      <c r="M1348" s="22">
        <f>Table3[[#This Row],[Ship Date]]-Table3[[#This Row],[Order Date]]</f>
        <v>4</v>
      </c>
      <c r="N1348" s="23" t="s">
        <v>45</v>
      </c>
      <c r="O1348" s="23" t="s">
        <v>23</v>
      </c>
      <c r="P1348" s="23" t="s">
        <v>38</v>
      </c>
      <c r="Q1348" s="23" t="s">
        <v>39</v>
      </c>
      <c r="R1348" s="23" t="s">
        <v>836</v>
      </c>
      <c r="S1348" s="33">
        <v>0.2</v>
      </c>
      <c r="T1348" s="13">
        <v>225.29599999999999</v>
      </c>
      <c r="U1348" s="13">
        <v>22.529599999999999</v>
      </c>
      <c r="V1348" s="55">
        <f>Table3[[#This Row],[Profit]]/Table3[[#This Row],[Sales]]</f>
        <v>9.9999999999999992E-2</v>
      </c>
    </row>
    <row r="1349" spans="1:22" x14ac:dyDescent="0.2">
      <c r="A1349">
        <v>1348</v>
      </c>
      <c r="B1349" t="s">
        <v>8266</v>
      </c>
      <c r="C1349" s="1">
        <v>42937</v>
      </c>
      <c r="D1349" s="22">
        <f>MONTH(Table3[[#This Row],[Order Date]])</f>
        <v>7</v>
      </c>
      <c r="E1349" t="s">
        <v>1060</v>
      </c>
      <c r="F1349" t="s">
        <v>1061</v>
      </c>
      <c r="G1349" s="23" t="s">
        <v>41</v>
      </c>
      <c r="H1349" s="23" t="s">
        <v>68</v>
      </c>
      <c r="I1349" t="s">
        <v>3837</v>
      </c>
      <c r="J1349" t="s">
        <v>22</v>
      </c>
      <c r="K1349" s="22">
        <v>3</v>
      </c>
      <c r="L1349" s="1">
        <v>42941</v>
      </c>
      <c r="M1349" s="22">
        <f>Table3[[#This Row],[Ship Date]]-Table3[[#This Row],[Order Date]]</f>
        <v>4</v>
      </c>
      <c r="N1349" s="23" t="s">
        <v>45</v>
      </c>
      <c r="O1349" s="23" t="s">
        <v>23</v>
      </c>
      <c r="P1349" s="23" t="s">
        <v>38</v>
      </c>
      <c r="Q1349" s="23" t="s">
        <v>39</v>
      </c>
      <c r="R1349" s="23" t="s">
        <v>836</v>
      </c>
      <c r="S1349" s="33">
        <v>0.2</v>
      </c>
      <c r="T1349" s="13">
        <v>50.351999999999997</v>
      </c>
      <c r="U1349" s="13">
        <v>17.623200000000001</v>
      </c>
      <c r="V1349" s="55">
        <f>Table3[[#This Row],[Profit]]/Table3[[#This Row],[Sales]]</f>
        <v>0.35000000000000003</v>
      </c>
    </row>
    <row r="1350" spans="1:22" x14ac:dyDescent="0.2">
      <c r="A1350">
        <v>1349</v>
      </c>
      <c r="B1350" t="s">
        <v>8345</v>
      </c>
      <c r="C1350" s="1">
        <v>42937</v>
      </c>
      <c r="D1350" s="22">
        <f>MONTH(Table3[[#This Row],[Order Date]])</f>
        <v>7</v>
      </c>
      <c r="E1350" t="s">
        <v>4699</v>
      </c>
      <c r="F1350" t="s">
        <v>4700</v>
      </c>
      <c r="G1350" s="23" t="s">
        <v>41</v>
      </c>
      <c r="H1350" s="23" t="s">
        <v>71</v>
      </c>
      <c r="I1350" t="s">
        <v>7013</v>
      </c>
      <c r="J1350" t="s">
        <v>22</v>
      </c>
      <c r="K1350" s="22">
        <v>4</v>
      </c>
      <c r="L1350" s="1">
        <v>42943</v>
      </c>
      <c r="M1350" s="22">
        <f>Table3[[#This Row],[Ship Date]]-Table3[[#This Row],[Order Date]]</f>
        <v>6</v>
      </c>
      <c r="N1350" s="23" t="s">
        <v>45</v>
      </c>
      <c r="O1350" s="23" t="s">
        <v>23</v>
      </c>
      <c r="P1350" s="23" t="s">
        <v>238</v>
      </c>
      <c r="Q1350" s="23" t="s">
        <v>133</v>
      </c>
      <c r="R1350" s="23" t="s">
        <v>237</v>
      </c>
      <c r="S1350" s="33">
        <v>0</v>
      </c>
      <c r="T1350" s="13">
        <v>17.48</v>
      </c>
      <c r="U1350" s="13">
        <v>4.5448000000000004</v>
      </c>
      <c r="V1350" s="55">
        <f>Table3[[#This Row],[Profit]]/Table3[[#This Row],[Sales]]</f>
        <v>0.26</v>
      </c>
    </row>
    <row r="1351" spans="1:22" x14ac:dyDescent="0.2">
      <c r="A1351">
        <v>1350</v>
      </c>
      <c r="B1351" t="s">
        <v>8500</v>
      </c>
      <c r="C1351" s="1">
        <v>42937</v>
      </c>
      <c r="D1351" s="22">
        <f>MONTH(Table3[[#This Row],[Order Date]])</f>
        <v>7</v>
      </c>
      <c r="E1351" t="s">
        <v>4588</v>
      </c>
      <c r="F1351" t="s">
        <v>4589</v>
      </c>
      <c r="G1351" s="23" t="s">
        <v>41</v>
      </c>
      <c r="H1351" s="23" t="s">
        <v>61</v>
      </c>
      <c r="I1351" t="s">
        <v>1887</v>
      </c>
      <c r="J1351" t="s">
        <v>36</v>
      </c>
      <c r="K1351" s="22">
        <v>2</v>
      </c>
      <c r="L1351" s="1">
        <v>42941</v>
      </c>
      <c r="M1351" s="22">
        <f>Table3[[#This Row],[Ship Date]]-Table3[[#This Row],[Order Date]]</f>
        <v>4</v>
      </c>
      <c r="N1351" s="23" t="s">
        <v>20</v>
      </c>
      <c r="O1351" s="23" t="s">
        <v>23</v>
      </c>
      <c r="P1351" s="23" t="s">
        <v>38</v>
      </c>
      <c r="Q1351" s="23" t="s">
        <v>39</v>
      </c>
      <c r="R1351" s="23" t="s">
        <v>79</v>
      </c>
      <c r="S1351" s="33">
        <v>0</v>
      </c>
      <c r="T1351" s="13">
        <v>3.52</v>
      </c>
      <c r="U1351" s="13">
        <v>1.6896</v>
      </c>
      <c r="V1351" s="55">
        <f>Table3[[#This Row],[Profit]]/Table3[[#This Row],[Sales]]</f>
        <v>0.48</v>
      </c>
    </row>
    <row r="1352" spans="1:22" x14ac:dyDescent="0.2">
      <c r="A1352">
        <v>1351</v>
      </c>
      <c r="B1352" t="s">
        <v>8500</v>
      </c>
      <c r="C1352" s="1">
        <v>42937</v>
      </c>
      <c r="D1352" s="22">
        <f>MONTH(Table3[[#This Row],[Order Date]])</f>
        <v>7</v>
      </c>
      <c r="E1352" t="s">
        <v>3262</v>
      </c>
      <c r="F1352" t="s">
        <v>3263</v>
      </c>
      <c r="G1352" s="23" t="s">
        <v>64</v>
      </c>
      <c r="H1352" s="23" t="s">
        <v>65</v>
      </c>
      <c r="I1352" t="s">
        <v>1887</v>
      </c>
      <c r="J1352" t="s">
        <v>36</v>
      </c>
      <c r="K1352" s="22">
        <v>9</v>
      </c>
      <c r="L1352" s="1">
        <v>42941</v>
      </c>
      <c r="M1352" s="22">
        <f>Table3[[#This Row],[Ship Date]]-Table3[[#This Row],[Order Date]]</f>
        <v>4</v>
      </c>
      <c r="N1352" s="23" t="s">
        <v>20</v>
      </c>
      <c r="O1352" s="23" t="s">
        <v>23</v>
      </c>
      <c r="P1352" s="23" t="s">
        <v>38</v>
      </c>
      <c r="Q1352" s="23" t="s">
        <v>39</v>
      </c>
      <c r="R1352" s="23" t="s">
        <v>79</v>
      </c>
      <c r="S1352" s="33">
        <v>0.2</v>
      </c>
      <c r="T1352" s="13">
        <v>1626.192</v>
      </c>
      <c r="U1352" s="13">
        <v>121.9644</v>
      </c>
      <c r="V1352" s="55">
        <f>Table3[[#This Row],[Profit]]/Table3[[#This Row],[Sales]]</f>
        <v>7.4999999999999997E-2</v>
      </c>
    </row>
    <row r="1353" spans="1:22" x14ac:dyDescent="0.2">
      <c r="A1353">
        <v>1352</v>
      </c>
      <c r="B1353" t="s">
        <v>8919</v>
      </c>
      <c r="C1353" s="1">
        <v>42937</v>
      </c>
      <c r="D1353" s="22">
        <f>MONTH(Table3[[#This Row],[Order Date]])</f>
        <v>7</v>
      </c>
      <c r="E1353" t="s">
        <v>3358</v>
      </c>
      <c r="F1353" t="s">
        <v>3359</v>
      </c>
      <c r="G1353" s="23" t="s">
        <v>28</v>
      </c>
      <c r="H1353" s="23" t="s">
        <v>50</v>
      </c>
      <c r="I1353" t="s">
        <v>3160</v>
      </c>
      <c r="J1353" t="s">
        <v>22</v>
      </c>
      <c r="K1353" s="22">
        <v>4</v>
      </c>
      <c r="L1353" s="1">
        <v>42941</v>
      </c>
      <c r="M1353" s="22">
        <f>Table3[[#This Row],[Ship Date]]-Table3[[#This Row],[Order Date]]</f>
        <v>4</v>
      </c>
      <c r="N1353" s="23" t="s">
        <v>45</v>
      </c>
      <c r="O1353" s="23" t="s">
        <v>23</v>
      </c>
      <c r="P1353" s="23" t="s">
        <v>94</v>
      </c>
      <c r="Q1353" s="23" t="s">
        <v>95</v>
      </c>
      <c r="R1353" s="23" t="s">
        <v>5544</v>
      </c>
      <c r="S1353" s="33">
        <v>0.3</v>
      </c>
      <c r="T1353" s="13">
        <v>124.404</v>
      </c>
      <c r="U1353" s="13">
        <v>-21.3264</v>
      </c>
      <c r="V1353" s="55">
        <f>Table3[[#This Row],[Profit]]/Table3[[#This Row],[Sales]]</f>
        <v>-0.17142857142857143</v>
      </c>
    </row>
    <row r="1354" spans="1:22" x14ac:dyDescent="0.2">
      <c r="A1354">
        <v>1353</v>
      </c>
      <c r="B1354" t="s">
        <v>9175</v>
      </c>
      <c r="C1354" s="1">
        <v>42937</v>
      </c>
      <c r="D1354" s="22">
        <f>MONTH(Table3[[#This Row],[Order Date]])</f>
        <v>7</v>
      </c>
      <c r="E1354" t="s">
        <v>661</v>
      </c>
      <c r="F1354" t="s">
        <v>662</v>
      </c>
      <c r="G1354" s="23" t="s">
        <v>41</v>
      </c>
      <c r="H1354" s="23" t="s">
        <v>68</v>
      </c>
      <c r="I1354" t="s">
        <v>953</v>
      </c>
      <c r="J1354" t="s">
        <v>36</v>
      </c>
      <c r="K1354" s="22">
        <v>4</v>
      </c>
      <c r="L1354" s="1">
        <v>42940</v>
      </c>
      <c r="M1354" s="22">
        <f>Table3[[#This Row],[Ship Date]]-Table3[[#This Row],[Order Date]]</f>
        <v>3</v>
      </c>
      <c r="N1354" s="23" t="s">
        <v>20</v>
      </c>
      <c r="O1354" s="23" t="s">
        <v>23</v>
      </c>
      <c r="P1354" s="23" t="s">
        <v>189</v>
      </c>
      <c r="Q1354" s="23" t="s">
        <v>95</v>
      </c>
      <c r="R1354" s="23" t="s">
        <v>404</v>
      </c>
      <c r="S1354" s="33">
        <v>0.8</v>
      </c>
      <c r="T1354" s="13">
        <v>2.8639999999999999</v>
      </c>
      <c r="U1354" s="13">
        <v>-4.5823999999999998</v>
      </c>
      <c r="V1354" s="55">
        <f>Table3[[#This Row],[Profit]]/Table3[[#This Row],[Sales]]</f>
        <v>-1.6</v>
      </c>
    </row>
    <row r="1355" spans="1:22" x14ac:dyDescent="0.2">
      <c r="A1355">
        <v>1354</v>
      </c>
      <c r="B1355" t="s">
        <v>9175</v>
      </c>
      <c r="C1355" s="1">
        <v>42937</v>
      </c>
      <c r="D1355" s="22">
        <f>MONTH(Table3[[#This Row],[Order Date]])</f>
        <v>7</v>
      </c>
      <c r="E1355" t="s">
        <v>3794</v>
      </c>
      <c r="F1355" t="s">
        <v>3795</v>
      </c>
      <c r="G1355" s="23" t="s">
        <v>41</v>
      </c>
      <c r="H1355" s="23" t="s">
        <v>68</v>
      </c>
      <c r="I1355" t="s">
        <v>953</v>
      </c>
      <c r="J1355" t="s">
        <v>36</v>
      </c>
      <c r="K1355" s="22">
        <v>7</v>
      </c>
      <c r="L1355" s="1">
        <v>42940</v>
      </c>
      <c r="M1355" s="22">
        <f>Table3[[#This Row],[Ship Date]]-Table3[[#This Row],[Order Date]]</f>
        <v>3</v>
      </c>
      <c r="N1355" s="23" t="s">
        <v>20</v>
      </c>
      <c r="O1355" s="23" t="s">
        <v>23</v>
      </c>
      <c r="P1355" s="23" t="s">
        <v>189</v>
      </c>
      <c r="Q1355" s="23" t="s">
        <v>95</v>
      </c>
      <c r="R1355" s="23" t="s">
        <v>404</v>
      </c>
      <c r="S1355" s="33">
        <v>0.8</v>
      </c>
      <c r="T1355" s="13">
        <v>94.191999999999993</v>
      </c>
      <c r="U1355" s="13">
        <v>-164.83600000000001</v>
      </c>
      <c r="V1355" s="55">
        <f>Table3[[#This Row],[Profit]]/Table3[[#This Row],[Sales]]</f>
        <v>-1.7500000000000002</v>
      </c>
    </row>
    <row r="1356" spans="1:22" x14ac:dyDescent="0.2">
      <c r="A1356">
        <v>1355</v>
      </c>
      <c r="B1356" t="s">
        <v>10058</v>
      </c>
      <c r="C1356" s="1">
        <v>42937</v>
      </c>
      <c r="D1356" s="22">
        <f>MONTH(Table3[[#This Row],[Order Date]])</f>
        <v>7</v>
      </c>
      <c r="E1356" t="s">
        <v>3808</v>
      </c>
      <c r="F1356" t="s">
        <v>3809</v>
      </c>
      <c r="G1356" s="23" t="s">
        <v>41</v>
      </c>
      <c r="H1356" s="23" t="s">
        <v>68</v>
      </c>
      <c r="I1356" t="s">
        <v>5690</v>
      </c>
      <c r="J1356" t="s">
        <v>22</v>
      </c>
      <c r="K1356" s="22">
        <v>2</v>
      </c>
      <c r="L1356" s="1">
        <v>42942</v>
      </c>
      <c r="M1356" s="22">
        <f>Table3[[#This Row],[Ship Date]]-Table3[[#This Row],[Order Date]]</f>
        <v>5</v>
      </c>
      <c r="N1356" s="23" t="s">
        <v>45</v>
      </c>
      <c r="O1356" s="23" t="s">
        <v>23</v>
      </c>
      <c r="P1356" s="23" t="s">
        <v>189</v>
      </c>
      <c r="Q1356" s="23" t="s">
        <v>95</v>
      </c>
      <c r="R1356" s="23" t="s">
        <v>271</v>
      </c>
      <c r="S1356" s="33">
        <v>0.8</v>
      </c>
      <c r="T1356" s="13">
        <v>2.1120000000000001</v>
      </c>
      <c r="U1356" s="13">
        <v>-3.3792</v>
      </c>
      <c r="V1356" s="55">
        <f>Table3[[#This Row],[Profit]]/Table3[[#This Row],[Sales]]</f>
        <v>-1.5999999999999999</v>
      </c>
    </row>
    <row r="1357" spans="1:22" x14ac:dyDescent="0.2">
      <c r="A1357">
        <v>1356</v>
      </c>
      <c r="B1357" t="s">
        <v>5727</v>
      </c>
      <c r="C1357" s="1">
        <v>42938</v>
      </c>
      <c r="D1357" s="22">
        <f>MONTH(Table3[[#This Row],[Order Date]])</f>
        <v>7</v>
      </c>
      <c r="E1357" t="s">
        <v>1092</v>
      </c>
      <c r="F1357" t="s">
        <v>1093</v>
      </c>
      <c r="G1357" s="23" t="s">
        <v>64</v>
      </c>
      <c r="H1357" s="23" t="s">
        <v>65</v>
      </c>
      <c r="I1357" t="s">
        <v>699</v>
      </c>
      <c r="J1357" t="s">
        <v>36</v>
      </c>
      <c r="K1357" s="22">
        <v>3</v>
      </c>
      <c r="L1357" s="1">
        <v>42944</v>
      </c>
      <c r="M1357" s="22">
        <f>Table3[[#This Row],[Ship Date]]-Table3[[#This Row],[Order Date]]</f>
        <v>6</v>
      </c>
      <c r="N1357" s="23" t="s">
        <v>45</v>
      </c>
      <c r="O1357" s="23" t="s">
        <v>23</v>
      </c>
      <c r="P1357" s="23" t="s">
        <v>238</v>
      </c>
      <c r="Q1357" s="23" t="s">
        <v>133</v>
      </c>
      <c r="R1357" s="23" t="s">
        <v>237</v>
      </c>
      <c r="S1357" s="33">
        <v>0</v>
      </c>
      <c r="T1357" s="13">
        <v>29.97</v>
      </c>
      <c r="U1357" s="13">
        <v>14.085900000000001</v>
      </c>
      <c r="V1357" s="55">
        <f>Table3[[#This Row],[Profit]]/Table3[[#This Row],[Sales]]</f>
        <v>0.47000000000000003</v>
      </c>
    </row>
    <row r="1358" spans="1:22" x14ac:dyDescent="0.2">
      <c r="A1358">
        <v>1357</v>
      </c>
      <c r="B1358" t="s">
        <v>9062</v>
      </c>
      <c r="C1358" s="1">
        <v>42938</v>
      </c>
      <c r="D1358" s="22">
        <f>MONTH(Table3[[#This Row],[Order Date]])</f>
        <v>7</v>
      </c>
      <c r="E1358" t="s">
        <v>1707</v>
      </c>
      <c r="F1358" t="s">
        <v>1708</v>
      </c>
      <c r="G1358" s="23" t="s">
        <v>28</v>
      </c>
      <c r="H1358" s="23" t="s">
        <v>32</v>
      </c>
      <c r="I1358" t="s">
        <v>3841</v>
      </c>
      <c r="J1358" t="s">
        <v>22</v>
      </c>
      <c r="K1358" s="22">
        <v>4</v>
      </c>
      <c r="L1358" s="1">
        <v>42943</v>
      </c>
      <c r="M1358" s="22">
        <f>Table3[[#This Row],[Ship Date]]-Table3[[#This Row],[Order Date]]</f>
        <v>5</v>
      </c>
      <c r="N1358" s="23" t="s">
        <v>45</v>
      </c>
      <c r="O1358" s="23" t="s">
        <v>23</v>
      </c>
      <c r="P1358" s="23" t="s">
        <v>189</v>
      </c>
      <c r="Q1358" s="23" t="s">
        <v>95</v>
      </c>
      <c r="R1358" s="23" t="s">
        <v>271</v>
      </c>
      <c r="S1358" s="33">
        <v>0.3</v>
      </c>
      <c r="T1358" s="13">
        <v>526.34400000000005</v>
      </c>
      <c r="U1358" s="13">
        <v>-75.191999999999993</v>
      </c>
      <c r="V1358" s="55">
        <f>Table3[[#This Row],[Profit]]/Table3[[#This Row],[Sales]]</f>
        <v>-0.14285714285714282</v>
      </c>
    </row>
    <row r="1359" spans="1:22" x14ac:dyDescent="0.2">
      <c r="A1359">
        <v>1358</v>
      </c>
      <c r="B1359" t="s">
        <v>2117</v>
      </c>
      <c r="C1359" s="1">
        <v>42939</v>
      </c>
      <c r="D1359" s="22">
        <f>MONTH(Table3[[#This Row],[Order Date]])</f>
        <v>7</v>
      </c>
      <c r="E1359" t="s">
        <v>1780</v>
      </c>
      <c r="F1359" t="s">
        <v>1781</v>
      </c>
      <c r="G1359" s="23" t="s">
        <v>41</v>
      </c>
      <c r="H1359" s="23" t="s">
        <v>68</v>
      </c>
      <c r="I1359" t="s">
        <v>2118</v>
      </c>
      <c r="J1359" t="s">
        <v>36</v>
      </c>
      <c r="K1359" s="22">
        <v>3</v>
      </c>
      <c r="L1359" s="1">
        <v>42944</v>
      </c>
      <c r="M1359" s="22">
        <f>Table3[[#This Row],[Ship Date]]-Table3[[#This Row],[Order Date]]</f>
        <v>5</v>
      </c>
      <c r="N1359" s="23" t="s">
        <v>45</v>
      </c>
      <c r="O1359" s="23" t="s">
        <v>23</v>
      </c>
      <c r="P1359" s="23" t="s">
        <v>238</v>
      </c>
      <c r="Q1359" s="23" t="s">
        <v>133</v>
      </c>
      <c r="R1359" s="23" t="s">
        <v>237</v>
      </c>
      <c r="S1359" s="33">
        <v>0.2</v>
      </c>
      <c r="T1359" s="13">
        <v>13.128</v>
      </c>
      <c r="U1359" s="13">
        <v>4.2666000000000004</v>
      </c>
      <c r="V1359" s="55">
        <f>Table3[[#This Row],[Profit]]/Table3[[#This Row],[Sales]]</f>
        <v>0.32500000000000001</v>
      </c>
    </row>
    <row r="1360" spans="1:22" x14ac:dyDescent="0.2">
      <c r="A1360">
        <v>1359</v>
      </c>
      <c r="B1360" t="s">
        <v>6715</v>
      </c>
      <c r="C1360" s="1">
        <v>42939</v>
      </c>
      <c r="D1360" s="22">
        <f>MONTH(Table3[[#This Row],[Order Date]])</f>
        <v>7</v>
      </c>
      <c r="E1360" t="s">
        <v>879</v>
      </c>
      <c r="F1360" t="s">
        <v>880</v>
      </c>
      <c r="G1360" s="23" t="s">
        <v>41</v>
      </c>
      <c r="H1360" s="23" t="s">
        <v>61</v>
      </c>
      <c r="I1360" t="s">
        <v>216</v>
      </c>
      <c r="J1360" t="s">
        <v>22</v>
      </c>
      <c r="K1360" s="22">
        <v>2</v>
      </c>
      <c r="L1360" s="1">
        <v>42941</v>
      </c>
      <c r="M1360" s="22">
        <f>Table3[[#This Row],[Ship Date]]-Table3[[#This Row],[Order Date]]</f>
        <v>2</v>
      </c>
      <c r="N1360" s="23" t="s">
        <v>20</v>
      </c>
      <c r="O1360" s="23" t="s">
        <v>23</v>
      </c>
      <c r="P1360" s="23" t="s">
        <v>226</v>
      </c>
      <c r="Q1360" s="23" t="s">
        <v>95</v>
      </c>
      <c r="R1360" s="23" t="s">
        <v>6716</v>
      </c>
      <c r="S1360" s="33">
        <v>0</v>
      </c>
      <c r="T1360" s="13">
        <v>11.68</v>
      </c>
      <c r="U1360" s="13">
        <v>5.4896000000000003</v>
      </c>
      <c r="V1360" s="55">
        <f>Table3[[#This Row],[Profit]]/Table3[[#This Row],[Sales]]</f>
        <v>0.47000000000000003</v>
      </c>
    </row>
    <row r="1361" spans="1:22" x14ac:dyDescent="0.2">
      <c r="A1361">
        <v>1360</v>
      </c>
      <c r="B1361" t="s">
        <v>6715</v>
      </c>
      <c r="C1361" s="1">
        <v>42939</v>
      </c>
      <c r="D1361" s="22">
        <f>MONTH(Table3[[#This Row],[Order Date]])</f>
        <v>7</v>
      </c>
      <c r="E1361" t="s">
        <v>4994</v>
      </c>
      <c r="F1361" t="s">
        <v>6092</v>
      </c>
      <c r="G1361" s="23" t="s">
        <v>64</v>
      </c>
      <c r="H1361" s="23" t="s">
        <v>144</v>
      </c>
      <c r="I1361" t="s">
        <v>216</v>
      </c>
      <c r="J1361" t="s">
        <v>22</v>
      </c>
      <c r="K1361" s="22">
        <v>5</v>
      </c>
      <c r="L1361" s="1">
        <v>42941</v>
      </c>
      <c r="M1361" s="22">
        <f>Table3[[#This Row],[Ship Date]]-Table3[[#This Row],[Order Date]]</f>
        <v>2</v>
      </c>
      <c r="N1361" s="23" t="s">
        <v>20</v>
      </c>
      <c r="O1361" s="23" t="s">
        <v>23</v>
      </c>
      <c r="P1361" s="23" t="s">
        <v>226</v>
      </c>
      <c r="Q1361" s="23" t="s">
        <v>95</v>
      </c>
      <c r="R1361" s="23" t="s">
        <v>6716</v>
      </c>
      <c r="S1361" s="33">
        <v>0</v>
      </c>
      <c r="T1361" s="13">
        <v>159.75</v>
      </c>
      <c r="U1361" s="13">
        <v>11.182499999999999</v>
      </c>
      <c r="V1361" s="55">
        <f>Table3[[#This Row],[Profit]]/Table3[[#This Row],[Sales]]</f>
        <v>6.9999999999999993E-2</v>
      </c>
    </row>
    <row r="1362" spans="1:22" x14ac:dyDescent="0.2">
      <c r="A1362">
        <v>1361</v>
      </c>
      <c r="B1362" t="s">
        <v>8017</v>
      </c>
      <c r="C1362" s="1">
        <v>42939</v>
      </c>
      <c r="D1362" s="22">
        <f>MONTH(Table3[[#This Row],[Order Date]])</f>
        <v>7</v>
      </c>
      <c r="E1362" t="s">
        <v>1128</v>
      </c>
      <c r="F1362" t="s">
        <v>1129</v>
      </c>
      <c r="G1362" s="23" t="s">
        <v>41</v>
      </c>
      <c r="H1362" s="23" t="s">
        <v>42</v>
      </c>
      <c r="I1362" t="s">
        <v>7183</v>
      </c>
      <c r="J1362" t="s">
        <v>36</v>
      </c>
      <c r="K1362" s="22">
        <v>4</v>
      </c>
      <c r="L1362" s="1">
        <v>42943</v>
      </c>
      <c r="M1362" s="22">
        <f>Table3[[#This Row],[Ship Date]]-Table3[[#This Row],[Order Date]]</f>
        <v>4</v>
      </c>
      <c r="N1362" s="23" t="s">
        <v>45</v>
      </c>
      <c r="O1362" s="23" t="s">
        <v>23</v>
      </c>
      <c r="P1362" s="23" t="s">
        <v>238</v>
      </c>
      <c r="Q1362" s="23" t="s">
        <v>133</v>
      </c>
      <c r="R1362" s="23" t="s">
        <v>1037</v>
      </c>
      <c r="S1362" s="33">
        <v>0</v>
      </c>
      <c r="T1362" s="13">
        <v>41.4</v>
      </c>
      <c r="U1362" s="13">
        <v>19.872</v>
      </c>
      <c r="V1362" s="55">
        <f>Table3[[#This Row],[Profit]]/Table3[[#This Row],[Sales]]</f>
        <v>0.48000000000000004</v>
      </c>
    </row>
    <row r="1363" spans="1:22" x14ac:dyDescent="0.2">
      <c r="A1363">
        <v>1362</v>
      </c>
      <c r="B1363" t="s">
        <v>8945</v>
      </c>
      <c r="C1363" s="1">
        <v>42939</v>
      </c>
      <c r="D1363" s="22">
        <f>MONTH(Table3[[#This Row],[Order Date]])</f>
        <v>7</v>
      </c>
      <c r="E1363" t="s">
        <v>1144</v>
      </c>
      <c r="F1363" t="s">
        <v>1145</v>
      </c>
      <c r="G1363" s="23" t="s">
        <v>41</v>
      </c>
      <c r="H1363" s="23" t="s">
        <v>68</v>
      </c>
      <c r="I1363" t="s">
        <v>1028</v>
      </c>
      <c r="J1363" t="s">
        <v>92</v>
      </c>
      <c r="K1363" s="22">
        <v>3</v>
      </c>
      <c r="L1363" s="1">
        <v>42946</v>
      </c>
      <c r="M1363" s="22">
        <f>Table3[[#This Row],[Ship Date]]-Table3[[#This Row],[Order Date]]</f>
        <v>7</v>
      </c>
      <c r="N1363" s="23" t="s">
        <v>45</v>
      </c>
      <c r="O1363" s="23" t="s">
        <v>23</v>
      </c>
      <c r="P1363" s="23" t="s">
        <v>238</v>
      </c>
      <c r="Q1363" s="23" t="s">
        <v>133</v>
      </c>
      <c r="R1363" s="23" t="s">
        <v>237</v>
      </c>
      <c r="S1363" s="33">
        <v>0.2</v>
      </c>
      <c r="T1363" s="13">
        <v>13.92</v>
      </c>
      <c r="U1363" s="13">
        <v>4.3499999999999996</v>
      </c>
      <c r="V1363" s="55">
        <f>Table3[[#This Row],[Profit]]/Table3[[#This Row],[Sales]]</f>
        <v>0.3125</v>
      </c>
    </row>
    <row r="1364" spans="1:22" x14ac:dyDescent="0.2">
      <c r="A1364">
        <v>1363</v>
      </c>
      <c r="B1364" t="s">
        <v>9101</v>
      </c>
      <c r="C1364" s="1">
        <v>42939</v>
      </c>
      <c r="D1364" s="22">
        <f>MONTH(Table3[[#This Row],[Order Date]])</f>
        <v>7</v>
      </c>
      <c r="E1364" t="s">
        <v>3294</v>
      </c>
      <c r="F1364" t="s">
        <v>3295</v>
      </c>
      <c r="G1364" s="23" t="s">
        <v>41</v>
      </c>
      <c r="H1364" s="23" t="s">
        <v>82</v>
      </c>
      <c r="I1364" t="s">
        <v>1522</v>
      </c>
      <c r="J1364" t="s">
        <v>36</v>
      </c>
      <c r="K1364" s="22">
        <v>3</v>
      </c>
      <c r="L1364" s="1">
        <v>42943</v>
      </c>
      <c r="M1364" s="22">
        <f>Table3[[#This Row],[Ship Date]]-Table3[[#This Row],[Order Date]]</f>
        <v>4</v>
      </c>
      <c r="N1364" s="23" t="s">
        <v>45</v>
      </c>
      <c r="O1364" s="23" t="s">
        <v>23</v>
      </c>
      <c r="P1364" s="23" t="s">
        <v>189</v>
      </c>
      <c r="Q1364" s="23" t="s">
        <v>95</v>
      </c>
      <c r="R1364" s="23" t="s">
        <v>271</v>
      </c>
      <c r="S1364" s="33">
        <v>0.2</v>
      </c>
      <c r="T1364" s="13">
        <v>63.311999999999998</v>
      </c>
      <c r="U1364" s="13">
        <v>20.5764</v>
      </c>
      <c r="V1364" s="55">
        <f>Table3[[#This Row],[Profit]]/Table3[[#This Row],[Sales]]</f>
        <v>0.32500000000000001</v>
      </c>
    </row>
    <row r="1365" spans="1:22" x14ac:dyDescent="0.2">
      <c r="A1365">
        <v>1364</v>
      </c>
      <c r="B1365" t="s">
        <v>9371</v>
      </c>
      <c r="C1365" s="1">
        <v>42939</v>
      </c>
      <c r="D1365" s="22">
        <f>MONTH(Table3[[#This Row],[Order Date]])</f>
        <v>7</v>
      </c>
      <c r="E1365" t="s">
        <v>3897</v>
      </c>
      <c r="F1365" t="s">
        <v>3898</v>
      </c>
      <c r="G1365" s="23" t="s">
        <v>64</v>
      </c>
      <c r="H1365" s="23" t="s">
        <v>144</v>
      </c>
      <c r="I1365" t="s">
        <v>1351</v>
      </c>
      <c r="J1365" t="s">
        <v>92</v>
      </c>
      <c r="K1365" s="22">
        <v>5</v>
      </c>
      <c r="L1365" s="1">
        <v>42940</v>
      </c>
      <c r="M1365" s="22">
        <f>Table3[[#This Row],[Ship Date]]-Table3[[#This Row],[Order Date]]</f>
        <v>1</v>
      </c>
      <c r="N1365" s="23" t="s">
        <v>169</v>
      </c>
      <c r="O1365" s="23" t="s">
        <v>23</v>
      </c>
      <c r="P1365" s="23" t="s">
        <v>103</v>
      </c>
      <c r="Q1365" s="23" t="s">
        <v>95</v>
      </c>
      <c r="R1365" s="23" t="s">
        <v>3987</v>
      </c>
      <c r="S1365" s="33">
        <v>0</v>
      </c>
      <c r="T1365" s="13">
        <v>399.95</v>
      </c>
      <c r="U1365" s="13">
        <v>143.982</v>
      </c>
      <c r="V1365" s="55">
        <f>Table3[[#This Row],[Profit]]/Table3[[#This Row],[Sales]]</f>
        <v>0.36</v>
      </c>
    </row>
    <row r="1366" spans="1:22" x14ac:dyDescent="0.2">
      <c r="A1366">
        <v>1365</v>
      </c>
      <c r="B1366" t="s">
        <v>9716</v>
      </c>
      <c r="C1366" s="1">
        <v>42939</v>
      </c>
      <c r="D1366" s="22">
        <f>MONTH(Table3[[#This Row],[Order Date]])</f>
        <v>7</v>
      </c>
      <c r="E1366" t="s">
        <v>2949</v>
      </c>
      <c r="F1366" t="s">
        <v>2950</v>
      </c>
      <c r="G1366" s="23" t="s">
        <v>41</v>
      </c>
      <c r="H1366" s="23" t="s">
        <v>68</v>
      </c>
      <c r="I1366" t="s">
        <v>147</v>
      </c>
      <c r="J1366" t="s">
        <v>22</v>
      </c>
      <c r="K1366" s="22">
        <v>3</v>
      </c>
      <c r="L1366" s="1">
        <v>42942</v>
      </c>
      <c r="M1366" s="22">
        <f>Table3[[#This Row],[Ship Date]]-Table3[[#This Row],[Order Date]]</f>
        <v>3</v>
      </c>
      <c r="N1366" s="23" t="s">
        <v>169</v>
      </c>
      <c r="O1366" s="23" t="s">
        <v>23</v>
      </c>
      <c r="P1366" s="23" t="s">
        <v>38</v>
      </c>
      <c r="Q1366" s="23" t="s">
        <v>39</v>
      </c>
      <c r="R1366" s="23" t="s">
        <v>37</v>
      </c>
      <c r="S1366" s="33">
        <v>0.2</v>
      </c>
      <c r="T1366" s="13">
        <v>15.192</v>
      </c>
      <c r="U1366" s="13">
        <v>5.5071000000000003</v>
      </c>
      <c r="V1366" s="55">
        <f>Table3[[#This Row],[Profit]]/Table3[[#This Row],[Sales]]</f>
        <v>0.36250000000000004</v>
      </c>
    </row>
    <row r="1367" spans="1:22" x14ac:dyDescent="0.2">
      <c r="A1367">
        <v>1366</v>
      </c>
      <c r="B1367" t="s">
        <v>9716</v>
      </c>
      <c r="C1367" s="1">
        <v>42939</v>
      </c>
      <c r="D1367" s="22">
        <f>MONTH(Table3[[#This Row],[Order Date]])</f>
        <v>7</v>
      </c>
      <c r="E1367" t="s">
        <v>3780</v>
      </c>
      <c r="F1367" t="s">
        <v>3781</v>
      </c>
      <c r="G1367" s="23" t="s">
        <v>41</v>
      </c>
      <c r="H1367" s="23" t="s">
        <v>82</v>
      </c>
      <c r="I1367" t="s">
        <v>147</v>
      </c>
      <c r="J1367" t="s">
        <v>22</v>
      </c>
      <c r="K1367" s="22">
        <v>9</v>
      </c>
      <c r="L1367" s="1">
        <v>42942</v>
      </c>
      <c r="M1367" s="22">
        <f>Table3[[#This Row],[Ship Date]]-Table3[[#This Row],[Order Date]]</f>
        <v>3</v>
      </c>
      <c r="N1367" s="23" t="s">
        <v>169</v>
      </c>
      <c r="O1367" s="23" t="s">
        <v>23</v>
      </c>
      <c r="P1367" s="23" t="s">
        <v>38</v>
      </c>
      <c r="Q1367" s="23" t="s">
        <v>39</v>
      </c>
      <c r="R1367" s="23" t="s">
        <v>37</v>
      </c>
      <c r="S1367" s="33">
        <v>0</v>
      </c>
      <c r="T1367" s="13">
        <v>58.32</v>
      </c>
      <c r="U1367" s="13">
        <v>27.993600000000001</v>
      </c>
      <c r="V1367" s="55">
        <f>Table3[[#This Row],[Profit]]/Table3[[#This Row],[Sales]]</f>
        <v>0.48</v>
      </c>
    </row>
    <row r="1368" spans="1:22" x14ac:dyDescent="0.2">
      <c r="A1368">
        <v>1367</v>
      </c>
      <c r="B1368" t="s">
        <v>9930</v>
      </c>
      <c r="C1368" s="1">
        <v>42939</v>
      </c>
      <c r="D1368" s="22">
        <f>MONTH(Table3[[#This Row],[Order Date]])</f>
        <v>7</v>
      </c>
      <c r="E1368" t="s">
        <v>434</v>
      </c>
      <c r="F1368" t="s">
        <v>435</v>
      </c>
      <c r="G1368" s="23" t="s">
        <v>41</v>
      </c>
      <c r="H1368" s="23" t="s">
        <v>61</v>
      </c>
      <c r="I1368" t="s">
        <v>4881</v>
      </c>
      <c r="J1368" t="s">
        <v>22</v>
      </c>
      <c r="K1368" s="22">
        <v>4</v>
      </c>
      <c r="L1368" s="1">
        <v>42944</v>
      </c>
      <c r="M1368" s="22">
        <f>Table3[[#This Row],[Ship Date]]-Table3[[#This Row],[Order Date]]</f>
        <v>5</v>
      </c>
      <c r="N1368" s="23" t="s">
        <v>45</v>
      </c>
      <c r="O1368" s="23" t="s">
        <v>23</v>
      </c>
      <c r="P1368" s="23" t="s">
        <v>189</v>
      </c>
      <c r="Q1368" s="23" t="s">
        <v>95</v>
      </c>
      <c r="R1368" s="23" t="s">
        <v>5069</v>
      </c>
      <c r="S1368" s="33">
        <v>0.2</v>
      </c>
      <c r="T1368" s="13">
        <v>121.536</v>
      </c>
      <c r="U1368" s="13">
        <v>15.192</v>
      </c>
      <c r="V1368" s="55">
        <f>Table3[[#This Row],[Profit]]/Table3[[#This Row],[Sales]]</f>
        <v>0.125</v>
      </c>
    </row>
    <row r="1369" spans="1:22" x14ac:dyDescent="0.2">
      <c r="A1369">
        <v>1368</v>
      </c>
      <c r="B1369" t="s">
        <v>8382</v>
      </c>
      <c r="C1369" s="1">
        <v>42940</v>
      </c>
      <c r="D1369" s="22">
        <f>MONTH(Table3[[#This Row],[Order Date]])</f>
        <v>7</v>
      </c>
      <c r="E1369" t="s">
        <v>1074</v>
      </c>
      <c r="F1369" t="s">
        <v>1076</v>
      </c>
      <c r="G1369" s="23" t="s">
        <v>64</v>
      </c>
      <c r="H1369" s="23" t="s">
        <v>1075</v>
      </c>
      <c r="I1369" t="s">
        <v>2992</v>
      </c>
      <c r="J1369" t="s">
        <v>36</v>
      </c>
      <c r="K1369" s="22">
        <v>5</v>
      </c>
      <c r="L1369" s="1">
        <v>42940</v>
      </c>
      <c r="M1369" s="22">
        <f>Table3[[#This Row],[Ship Date]]-Table3[[#This Row],[Order Date]]</f>
        <v>0</v>
      </c>
      <c r="N1369" s="23" t="s">
        <v>1141</v>
      </c>
      <c r="O1369" s="23" t="s">
        <v>23</v>
      </c>
      <c r="P1369" s="23" t="s">
        <v>38</v>
      </c>
      <c r="Q1369" s="23" t="s">
        <v>39</v>
      </c>
      <c r="R1369" s="23" t="s">
        <v>1286</v>
      </c>
      <c r="S1369" s="33">
        <v>0.2</v>
      </c>
      <c r="T1369" s="13">
        <v>2399.96</v>
      </c>
      <c r="U1369" s="13">
        <v>839.98599999999999</v>
      </c>
      <c r="V1369" s="55">
        <f>Table3[[#This Row],[Profit]]/Table3[[#This Row],[Sales]]</f>
        <v>0.35</v>
      </c>
    </row>
    <row r="1370" spans="1:22" x14ac:dyDescent="0.2">
      <c r="A1370">
        <v>1369</v>
      </c>
      <c r="B1370" t="s">
        <v>5381</v>
      </c>
      <c r="C1370" s="1">
        <v>42941</v>
      </c>
      <c r="D1370" s="22">
        <f>MONTH(Table3[[#This Row],[Order Date]])</f>
        <v>7</v>
      </c>
      <c r="E1370" t="s">
        <v>5098</v>
      </c>
      <c r="F1370" t="s">
        <v>5099</v>
      </c>
      <c r="G1370" s="23" t="s">
        <v>41</v>
      </c>
      <c r="H1370" s="23" t="s">
        <v>42</v>
      </c>
      <c r="I1370" t="s">
        <v>1379</v>
      </c>
      <c r="J1370" t="s">
        <v>22</v>
      </c>
      <c r="K1370" s="22">
        <v>7</v>
      </c>
      <c r="L1370" s="1">
        <v>42947</v>
      </c>
      <c r="M1370" s="22">
        <f>Table3[[#This Row],[Ship Date]]-Table3[[#This Row],[Order Date]]</f>
        <v>6</v>
      </c>
      <c r="N1370" s="23" t="s">
        <v>45</v>
      </c>
      <c r="O1370" s="23" t="s">
        <v>23</v>
      </c>
      <c r="P1370" s="23" t="s">
        <v>4725</v>
      </c>
      <c r="Q1370" s="23" t="s">
        <v>95</v>
      </c>
      <c r="R1370" s="23" t="s">
        <v>4724</v>
      </c>
      <c r="S1370" s="33">
        <v>0</v>
      </c>
      <c r="T1370" s="13">
        <v>20.23</v>
      </c>
      <c r="U1370" s="13">
        <v>9.5081000000000007</v>
      </c>
      <c r="V1370" s="55">
        <f>Table3[[#This Row],[Profit]]/Table3[[#This Row],[Sales]]</f>
        <v>0.47000000000000003</v>
      </c>
    </row>
    <row r="1371" spans="1:22" x14ac:dyDescent="0.2">
      <c r="A1371">
        <v>1370</v>
      </c>
      <c r="B1371" t="s">
        <v>7253</v>
      </c>
      <c r="C1371" s="1">
        <v>42941</v>
      </c>
      <c r="D1371" s="22">
        <f>MONTH(Table3[[#This Row],[Order Date]])</f>
        <v>7</v>
      </c>
      <c r="E1371" t="s">
        <v>7254</v>
      </c>
      <c r="F1371" t="s">
        <v>7255</v>
      </c>
      <c r="G1371" s="23" t="s">
        <v>41</v>
      </c>
      <c r="H1371" s="23" t="s">
        <v>42</v>
      </c>
      <c r="I1371" t="s">
        <v>6489</v>
      </c>
      <c r="J1371" t="s">
        <v>22</v>
      </c>
      <c r="K1371" s="22">
        <v>1</v>
      </c>
      <c r="L1371" s="1">
        <v>42945</v>
      </c>
      <c r="M1371" s="22">
        <f>Table3[[#This Row],[Ship Date]]-Table3[[#This Row],[Order Date]]</f>
        <v>4</v>
      </c>
      <c r="N1371" s="23" t="s">
        <v>45</v>
      </c>
      <c r="O1371" s="23" t="s">
        <v>23</v>
      </c>
      <c r="P1371" s="23" t="s">
        <v>132</v>
      </c>
      <c r="Q1371" s="23" t="s">
        <v>133</v>
      </c>
      <c r="R1371" s="23" t="s">
        <v>131</v>
      </c>
      <c r="S1371" s="33">
        <v>0.2</v>
      </c>
      <c r="T1371" s="13">
        <v>3.3039999999999998</v>
      </c>
      <c r="U1371" s="13">
        <v>1.0738000000000001</v>
      </c>
      <c r="V1371" s="55">
        <f>Table3[[#This Row],[Profit]]/Table3[[#This Row],[Sales]]</f>
        <v>0.32500000000000007</v>
      </c>
    </row>
    <row r="1372" spans="1:22" x14ac:dyDescent="0.2">
      <c r="A1372">
        <v>1371</v>
      </c>
      <c r="B1372" t="s">
        <v>8318</v>
      </c>
      <c r="C1372" s="1">
        <v>42941</v>
      </c>
      <c r="D1372" s="22">
        <f>MONTH(Table3[[#This Row],[Order Date]])</f>
        <v>7</v>
      </c>
      <c r="E1372" t="s">
        <v>1861</v>
      </c>
      <c r="F1372" t="s">
        <v>1862</v>
      </c>
      <c r="G1372" s="23" t="s">
        <v>28</v>
      </c>
      <c r="H1372" s="23" t="s">
        <v>58</v>
      </c>
      <c r="I1372" t="s">
        <v>4141</v>
      </c>
      <c r="J1372" t="s">
        <v>22</v>
      </c>
      <c r="K1372" s="22">
        <v>4</v>
      </c>
      <c r="L1372" s="1">
        <v>42944</v>
      </c>
      <c r="M1372" s="22">
        <f>Table3[[#This Row],[Ship Date]]-Table3[[#This Row],[Order Date]]</f>
        <v>3</v>
      </c>
      <c r="N1372" s="23" t="s">
        <v>20</v>
      </c>
      <c r="O1372" s="23" t="s">
        <v>23</v>
      </c>
      <c r="P1372" s="23" t="s">
        <v>132</v>
      </c>
      <c r="Q1372" s="23" t="s">
        <v>133</v>
      </c>
      <c r="R1372" s="23" t="s">
        <v>131</v>
      </c>
      <c r="S1372" s="33">
        <v>0.2</v>
      </c>
      <c r="T1372" s="13">
        <v>20.096</v>
      </c>
      <c r="U1372" s="13">
        <v>3.0144000000000002</v>
      </c>
      <c r="V1372" s="55">
        <f>Table3[[#This Row],[Profit]]/Table3[[#This Row],[Sales]]</f>
        <v>0.15000000000000002</v>
      </c>
    </row>
    <row r="1373" spans="1:22" x14ac:dyDescent="0.2">
      <c r="A1373">
        <v>1372</v>
      </c>
      <c r="B1373" t="s">
        <v>8318</v>
      </c>
      <c r="C1373" s="1">
        <v>42941</v>
      </c>
      <c r="D1373" s="22">
        <f>MONTH(Table3[[#This Row],[Order Date]])</f>
        <v>7</v>
      </c>
      <c r="E1373" t="s">
        <v>8319</v>
      </c>
      <c r="F1373" t="s">
        <v>8320</v>
      </c>
      <c r="G1373" s="23" t="s">
        <v>41</v>
      </c>
      <c r="H1373" s="23" t="s">
        <v>513</v>
      </c>
      <c r="I1373" t="s">
        <v>4141</v>
      </c>
      <c r="J1373" t="s">
        <v>22</v>
      </c>
      <c r="K1373" s="22">
        <v>3</v>
      </c>
      <c r="L1373" s="1">
        <v>42944</v>
      </c>
      <c r="M1373" s="22">
        <f>Table3[[#This Row],[Ship Date]]-Table3[[#This Row],[Order Date]]</f>
        <v>3</v>
      </c>
      <c r="N1373" s="23" t="s">
        <v>20</v>
      </c>
      <c r="O1373" s="23" t="s">
        <v>23</v>
      </c>
      <c r="P1373" s="23" t="s">
        <v>132</v>
      </c>
      <c r="Q1373" s="23" t="s">
        <v>133</v>
      </c>
      <c r="R1373" s="23" t="s">
        <v>131</v>
      </c>
      <c r="S1373" s="33">
        <v>0.2</v>
      </c>
      <c r="T1373" s="13">
        <v>37.752000000000002</v>
      </c>
      <c r="U1373" s="13">
        <v>4.2470999999999997</v>
      </c>
      <c r="V1373" s="55">
        <f>Table3[[#This Row],[Profit]]/Table3[[#This Row],[Sales]]</f>
        <v>0.11249999999999999</v>
      </c>
    </row>
    <row r="1374" spans="1:22" x14ac:dyDescent="0.2">
      <c r="A1374">
        <v>1373</v>
      </c>
      <c r="B1374" t="s">
        <v>8318</v>
      </c>
      <c r="C1374" s="1">
        <v>42941</v>
      </c>
      <c r="D1374" s="22">
        <f>MONTH(Table3[[#This Row],[Order Date]])</f>
        <v>7</v>
      </c>
      <c r="E1374" t="s">
        <v>7502</v>
      </c>
      <c r="F1374" t="s">
        <v>7503</v>
      </c>
      <c r="G1374" s="23" t="s">
        <v>28</v>
      </c>
      <c r="H1374" s="23" t="s">
        <v>50</v>
      </c>
      <c r="I1374" t="s">
        <v>4141</v>
      </c>
      <c r="J1374" t="s">
        <v>22</v>
      </c>
      <c r="K1374" s="22">
        <v>1</v>
      </c>
      <c r="L1374" s="1">
        <v>42944</v>
      </c>
      <c r="M1374" s="22">
        <f>Table3[[#This Row],[Ship Date]]-Table3[[#This Row],[Order Date]]</f>
        <v>3</v>
      </c>
      <c r="N1374" s="23" t="s">
        <v>20</v>
      </c>
      <c r="O1374" s="23" t="s">
        <v>23</v>
      </c>
      <c r="P1374" s="23" t="s">
        <v>132</v>
      </c>
      <c r="Q1374" s="23" t="s">
        <v>133</v>
      </c>
      <c r="R1374" s="23" t="s">
        <v>131</v>
      </c>
      <c r="S1374" s="33">
        <v>0.4</v>
      </c>
      <c r="T1374" s="13">
        <v>138.58799999999999</v>
      </c>
      <c r="U1374" s="13">
        <v>-34.646999999999998</v>
      </c>
      <c r="V1374" s="55">
        <f>Table3[[#This Row],[Profit]]/Table3[[#This Row],[Sales]]</f>
        <v>-0.25</v>
      </c>
    </row>
    <row r="1375" spans="1:22" x14ac:dyDescent="0.2">
      <c r="A1375">
        <v>1374</v>
      </c>
      <c r="B1375" t="s">
        <v>8318</v>
      </c>
      <c r="C1375" s="1">
        <v>42941</v>
      </c>
      <c r="D1375" s="22">
        <f>MONTH(Table3[[#This Row],[Order Date]])</f>
        <v>7</v>
      </c>
      <c r="E1375" t="s">
        <v>1364</v>
      </c>
      <c r="F1375" t="s">
        <v>1365</v>
      </c>
      <c r="G1375" s="23" t="s">
        <v>41</v>
      </c>
      <c r="H1375" s="23" t="s">
        <v>53</v>
      </c>
      <c r="I1375" t="s">
        <v>4141</v>
      </c>
      <c r="J1375" t="s">
        <v>22</v>
      </c>
      <c r="K1375" s="22">
        <v>5</v>
      </c>
      <c r="L1375" s="1">
        <v>42944</v>
      </c>
      <c r="M1375" s="22">
        <f>Table3[[#This Row],[Ship Date]]-Table3[[#This Row],[Order Date]]</f>
        <v>3</v>
      </c>
      <c r="N1375" s="23" t="s">
        <v>20</v>
      </c>
      <c r="O1375" s="23" t="s">
        <v>23</v>
      </c>
      <c r="P1375" s="23" t="s">
        <v>132</v>
      </c>
      <c r="Q1375" s="23" t="s">
        <v>133</v>
      </c>
      <c r="R1375" s="23" t="s">
        <v>131</v>
      </c>
      <c r="S1375" s="33">
        <v>0.2</v>
      </c>
      <c r="T1375" s="13">
        <v>259.92</v>
      </c>
      <c r="U1375" s="13">
        <v>-25.992000000000001</v>
      </c>
      <c r="V1375" s="55">
        <f>Table3[[#This Row],[Profit]]/Table3[[#This Row],[Sales]]</f>
        <v>-9.9999999999999992E-2</v>
      </c>
    </row>
    <row r="1376" spans="1:22" x14ac:dyDescent="0.2">
      <c r="A1376">
        <v>1375</v>
      </c>
      <c r="B1376" t="s">
        <v>8318</v>
      </c>
      <c r="C1376" s="1">
        <v>42941</v>
      </c>
      <c r="D1376" s="22">
        <f>MONTH(Table3[[#This Row],[Order Date]])</f>
        <v>7</v>
      </c>
      <c r="E1376" t="s">
        <v>933</v>
      </c>
      <c r="F1376" t="s">
        <v>934</v>
      </c>
      <c r="G1376" s="23" t="s">
        <v>41</v>
      </c>
      <c r="H1376" s="23" t="s">
        <v>82</v>
      </c>
      <c r="I1376" t="s">
        <v>4141</v>
      </c>
      <c r="J1376" t="s">
        <v>22</v>
      </c>
      <c r="K1376" s="22">
        <v>4</v>
      </c>
      <c r="L1376" s="1">
        <v>42944</v>
      </c>
      <c r="M1376" s="22">
        <f>Table3[[#This Row],[Ship Date]]-Table3[[#This Row],[Order Date]]</f>
        <v>3</v>
      </c>
      <c r="N1376" s="23" t="s">
        <v>20</v>
      </c>
      <c r="O1376" s="23" t="s">
        <v>23</v>
      </c>
      <c r="P1376" s="23" t="s">
        <v>132</v>
      </c>
      <c r="Q1376" s="23" t="s">
        <v>133</v>
      </c>
      <c r="R1376" s="23" t="s">
        <v>131</v>
      </c>
      <c r="S1376" s="33">
        <v>0.2</v>
      </c>
      <c r="T1376" s="13">
        <v>20.736000000000001</v>
      </c>
      <c r="U1376" s="13">
        <v>7.2576000000000001</v>
      </c>
      <c r="V1376" s="55">
        <f>Table3[[#This Row],[Profit]]/Table3[[#This Row],[Sales]]</f>
        <v>0.35</v>
      </c>
    </row>
    <row r="1377" spans="1:22" x14ac:dyDescent="0.2">
      <c r="A1377">
        <v>1376</v>
      </c>
      <c r="B1377" t="s">
        <v>8967</v>
      </c>
      <c r="C1377" s="1">
        <v>42941</v>
      </c>
      <c r="D1377" s="22">
        <f>MONTH(Table3[[#This Row],[Order Date]])</f>
        <v>7</v>
      </c>
      <c r="E1377" t="s">
        <v>4136</v>
      </c>
      <c r="F1377" t="s">
        <v>4137</v>
      </c>
      <c r="G1377" s="23" t="s">
        <v>28</v>
      </c>
      <c r="H1377" s="23" t="s">
        <v>50</v>
      </c>
      <c r="I1377" t="s">
        <v>7927</v>
      </c>
      <c r="J1377" t="s">
        <v>92</v>
      </c>
      <c r="K1377" s="22">
        <v>6</v>
      </c>
      <c r="L1377" s="1">
        <v>42943</v>
      </c>
      <c r="M1377" s="22">
        <f>Table3[[#This Row],[Ship Date]]-Table3[[#This Row],[Order Date]]</f>
        <v>2</v>
      </c>
      <c r="N1377" s="23" t="s">
        <v>169</v>
      </c>
      <c r="O1377" s="23" t="s">
        <v>23</v>
      </c>
      <c r="P1377" s="23" t="s">
        <v>94</v>
      </c>
      <c r="Q1377" s="23" t="s">
        <v>95</v>
      </c>
      <c r="R1377" s="23" t="s">
        <v>718</v>
      </c>
      <c r="S1377" s="33">
        <v>0.3</v>
      </c>
      <c r="T1377" s="13">
        <v>298.11599999999999</v>
      </c>
      <c r="U1377" s="13">
        <v>-4.2587999999999999</v>
      </c>
      <c r="V1377" s="55">
        <f>Table3[[#This Row],[Profit]]/Table3[[#This Row],[Sales]]</f>
        <v>-1.4285714285714287E-2</v>
      </c>
    </row>
    <row r="1378" spans="1:22" x14ac:dyDescent="0.2">
      <c r="A1378">
        <v>1377</v>
      </c>
      <c r="B1378" t="s">
        <v>9161</v>
      </c>
      <c r="C1378" s="1">
        <v>42942</v>
      </c>
      <c r="D1378" s="22">
        <f>MONTH(Table3[[#This Row],[Order Date]])</f>
        <v>7</v>
      </c>
      <c r="E1378" t="s">
        <v>7468</v>
      </c>
      <c r="F1378" t="s">
        <v>7469</v>
      </c>
      <c r="G1378" s="23" t="s">
        <v>64</v>
      </c>
      <c r="H1378" s="23" t="s">
        <v>144</v>
      </c>
      <c r="I1378" t="s">
        <v>3231</v>
      </c>
      <c r="J1378" t="s">
        <v>36</v>
      </c>
      <c r="K1378" s="22">
        <v>5</v>
      </c>
      <c r="L1378" s="1">
        <v>42948</v>
      </c>
      <c r="M1378" s="22">
        <f>Table3[[#This Row],[Ship Date]]-Table3[[#This Row],[Order Date]]</f>
        <v>6</v>
      </c>
      <c r="N1378" s="23" t="s">
        <v>45</v>
      </c>
      <c r="O1378" s="23" t="s">
        <v>23</v>
      </c>
      <c r="P1378" s="23" t="s">
        <v>38</v>
      </c>
      <c r="Q1378" s="23" t="s">
        <v>39</v>
      </c>
      <c r="R1378" s="23" t="s">
        <v>37</v>
      </c>
      <c r="S1378" s="33">
        <v>0</v>
      </c>
      <c r="T1378" s="13">
        <v>1649.95</v>
      </c>
      <c r="U1378" s="13">
        <v>659.98</v>
      </c>
      <c r="V1378" s="55">
        <f>Table3[[#This Row],[Profit]]/Table3[[#This Row],[Sales]]</f>
        <v>0.4</v>
      </c>
    </row>
    <row r="1379" spans="1:22" x14ac:dyDescent="0.2">
      <c r="A1379">
        <v>1378</v>
      </c>
      <c r="B1379" t="s">
        <v>9161</v>
      </c>
      <c r="C1379" s="1">
        <v>42942</v>
      </c>
      <c r="D1379" s="22">
        <f>MONTH(Table3[[#This Row],[Order Date]])</f>
        <v>7</v>
      </c>
      <c r="E1379" t="s">
        <v>2272</v>
      </c>
      <c r="F1379" t="s">
        <v>2273</v>
      </c>
      <c r="G1379" s="23" t="s">
        <v>28</v>
      </c>
      <c r="H1379" s="23" t="s">
        <v>32</v>
      </c>
      <c r="I1379" t="s">
        <v>3231</v>
      </c>
      <c r="J1379" t="s">
        <v>36</v>
      </c>
      <c r="K1379" s="22">
        <v>3</v>
      </c>
      <c r="L1379" s="1">
        <v>42948</v>
      </c>
      <c r="M1379" s="22">
        <f>Table3[[#This Row],[Ship Date]]-Table3[[#This Row],[Order Date]]</f>
        <v>6</v>
      </c>
      <c r="N1379" s="23" t="s">
        <v>45</v>
      </c>
      <c r="O1379" s="23" t="s">
        <v>23</v>
      </c>
      <c r="P1379" s="23" t="s">
        <v>38</v>
      </c>
      <c r="Q1379" s="23" t="s">
        <v>39</v>
      </c>
      <c r="R1379" s="23" t="s">
        <v>37</v>
      </c>
      <c r="S1379" s="33">
        <v>0.2</v>
      </c>
      <c r="T1379" s="13">
        <v>362.35199999999998</v>
      </c>
      <c r="U1379" s="13">
        <v>45.293999999999997</v>
      </c>
      <c r="V1379" s="55">
        <f>Table3[[#This Row],[Profit]]/Table3[[#This Row],[Sales]]</f>
        <v>0.125</v>
      </c>
    </row>
    <row r="1380" spans="1:22" x14ac:dyDescent="0.2">
      <c r="A1380">
        <v>1379</v>
      </c>
      <c r="B1380" t="s">
        <v>6502</v>
      </c>
      <c r="C1380" s="1">
        <v>42943</v>
      </c>
      <c r="D1380" s="22">
        <f>MONTH(Table3[[#This Row],[Order Date]])</f>
        <v>7</v>
      </c>
      <c r="E1380" t="s">
        <v>2651</v>
      </c>
      <c r="F1380" t="s">
        <v>2652</v>
      </c>
      <c r="G1380" s="23" t="s">
        <v>28</v>
      </c>
      <c r="H1380" s="23" t="s">
        <v>58</v>
      </c>
      <c r="I1380" t="s">
        <v>1591</v>
      </c>
      <c r="J1380" t="s">
        <v>22</v>
      </c>
      <c r="K1380" s="22">
        <v>3</v>
      </c>
      <c r="L1380" s="1">
        <v>42947</v>
      </c>
      <c r="M1380" s="22">
        <f>Table3[[#This Row],[Ship Date]]-Table3[[#This Row],[Order Date]]</f>
        <v>4</v>
      </c>
      <c r="N1380" s="23" t="s">
        <v>20</v>
      </c>
      <c r="O1380" s="23" t="s">
        <v>23</v>
      </c>
      <c r="P1380" s="23" t="s">
        <v>48</v>
      </c>
      <c r="Q1380" s="23" t="s">
        <v>26</v>
      </c>
      <c r="R1380" s="23" t="s">
        <v>1345</v>
      </c>
      <c r="S1380" s="33">
        <v>0.2</v>
      </c>
      <c r="T1380" s="13">
        <v>91.031999999999996</v>
      </c>
      <c r="U1380" s="13">
        <v>-2.2757999999999998</v>
      </c>
      <c r="V1380" s="55">
        <f>Table3[[#This Row],[Profit]]/Table3[[#This Row],[Sales]]</f>
        <v>-2.4999999999999998E-2</v>
      </c>
    </row>
    <row r="1381" spans="1:22" x14ac:dyDescent="0.2">
      <c r="A1381">
        <v>1380</v>
      </c>
      <c r="B1381" t="s">
        <v>7374</v>
      </c>
      <c r="C1381" s="1">
        <v>42943</v>
      </c>
      <c r="D1381" s="22">
        <f>MONTH(Table3[[#This Row],[Order Date]])</f>
        <v>7</v>
      </c>
      <c r="E1381" t="s">
        <v>3260</v>
      </c>
      <c r="F1381" t="s">
        <v>3261</v>
      </c>
      <c r="G1381" s="23" t="s">
        <v>28</v>
      </c>
      <c r="H1381" s="23" t="s">
        <v>58</v>
      </c>
      <c r="I1381" t="s">
        <v>6840</v>
      </c>
      <c r="J1381" t="s">
        <v>22</v>
      </c>
      <c r="K1381" s="22">
        <v>1</v>
      </c>
      <c r="L1381" s="1">
        <v>42947</v>
      </c>
      <c r="M1381" s="22">
        <f>Table3[[#This Row],[Ship Date]]-Table3[[#This Row],[Order Date]]</f>
        <v>4</v>
      </c>
      <c r="N1381" s="23" t="s">
        <v>45</v>
      </c>
      <c r="O1381" s="23" t="s">
        <v>23</v>
      </c>
      <c r="P1381" s="23" t="s">
        <v>238</v>
      </c>
      <c r="Q1381" s="23" t="s">
        <v>133</v>
      </c>
      <c r="R1381" s="23" t="s">
        <v>2806</v>
      </c>
      <c r="S1381" s="33">
        <v>0</v>
      </c>
      <c r="T1381" s="13">
        <v>14.89</v>
      </c>
      <c r="U1381" s="13">
        <v>4.0202999999999998</v>
      </c>
      <c r="V1381" s="55">
        <f>Table3[[#This Row],[Profit]]/Table3[[#This Row],[Sales]]</f>
        <v>0.26999999999999996</v>
      </c>
    </row>
    <row r="1382" spans="1:22" x14ac:dyDescent="0.2">
      <c r="A1382">
        <v>1381</v>
      </c>
      <c r="B1382" t="s">
        <v>7374</v>
      </c>
      <c r="C1382" s="1">
        <v>42943</v>
      </c>
      <c r="D1382" s="22">
        <f>MONTH(Table3[[#This Row],[Order Date]])</f>
        <v>7</v>
      </c>
      <c r="E1382" t="s">
        <v>2418</v>
      </c>
      <c r="F1382" t="s">
        <v>2419</v>
      </c>
      <c r="G1382" s="23" t="s">
        <v>64</v>
      </c>
      <c r="H1382" s="23" t="s">
        <v>65</v>
      </c>
      <c r="I1382" t="s">
        <v>6840</v>
      </c>
      <c r="J1382" t="s">
        <v>22</v>
      </c>
      <c r="K1382" s="22">
        <v>8</v>
      </c>
      <c r="L1382" s="1">
        <v>42947</v>
      </c>
      <c r="M1382" s="22">
        <f>Table3[[#This Row],[Ship Date]]-Table3[[#This Row],[Order Date]]</f>
        <v>4</v>
      </c>
      <c r="N1382" s="23" t="s">
        <v>45</v>
      </c>
      <c r="O1382" s="23" t="s">
        <v>23</v>
      </c>
      <c r="P1382" s="23" t="s">
        <v>238</v>
      </c>
      <c r="Q1382" s="23" t="s">
        <v>133</v>
      </c>
      <c r="R1382" s="23" t="s">
        <v>2806</v>
      </c>
      <c r="S1382" s="33">
        <v>0</v>
      </c>
      <c r="T1382" s="13">
        <v>543.91999999999996</v>
      </c>
      <c r="U1382" s="13">
        <v>135.97999999999999</v>
      </c>
      <c r="V1382" s="55">
        <f>Table3[[#This Row],[Profit]]/Table3[[#This Row],[Sales]]</f>
        <v>0.25</v>
      </c>
    </row>
    <row r="1383" spans="1:22" x14ac:dyDescent="0.2">
      <c r="A1383">
        <v>1382</v>
      </c>
      <c r="B1383" t="s">
        <v>9046</v>
      </c>
      <c r="C1383" s="1">
        <v>42943</v>
      </c>
      <c r="D1383" s="22">
        <f>MONTH(Table3[[#This Row],[Order Date]])</f>
        <v>7</v>
      </c>
      <c r="E1383" t="s">
        <v>2543</v>
      </c>
      <c r="F1383" t="s">
        <v>814</v>
      </c>
      <c r="G1383" s="23" t="s">
        <v>28</v>
      </c>
      <c r="H1383" s="23" t="s">
        <v>58</v>
      </c>
      <c r="I1383" t="s">
        <v>4593</v>
      </c>
      <c r="J1383" t="s">
        <v>22</v>
      </c>
      <c r="K1383" s="22">
        <v>3</v>
      </c>
      <c r="L1383" s="1">
        <v>42948</v>
      </c>
      <c r="M1383" s="22">
        <f>Table3[[#This Row],[Ship Date]]-Table3[[#This Row],[Order Date]]</f>
        <v>5</v>
      </c>
      <c r="N1383" s="23" t="s">
        <v>20</v>
      </c>
      <c r="O1383" s="23" t="s">
        <v>23</v>
      </c>
      <c r="P1383" s="23" t="s">
        <v>87</v>
      </c>
      <c r="Q1383" s="23" t="s">
        <v>39</v>
      </c>
      <c r="R1383" s="23" t="s">
        <v>86</v>
      </c>
      <c r="S1383" s="33">
        <v>0</v>
      </c>
      <c r="T1383" s="13">
        <v>23.88</v>
      </c>
      <c r="U1383" s="13">
        <v>10.507199999999999</v>
      </c>
      <c r="V1383" s="55">
        <f>Table3[[#This Row],[Profit]]/Table3[[#This Row],[Sales]]</f>
        <v>0.44</v>
      </c>
    </row>
    <row r="1384" spans="1:22" x14ac:dyDescent="0.2">
      <c r="A1384">
        <v>1383</v>
      </c>
      <c r="B1384" t="s">
        <v>9046</v>
      </c>
      <c r="C1384" s="1">
        <v>42943</v>
      </c>
      <c r="D1384" s="22">
        <f>MONTH(Table3[[#This Row],[Order Date]])</f>
        <v>7</v>
      </c>
      <c r="E1384" t="s">
        <v>4481</v>
      </c>
      <c r="F1384" t="s">
        <v>4482</v>
      </c>
      <c r="G1384" s="23" t="s">
        <v>41</v>
      </c>
      <c r="H1384" s="23" t="s">
        <v>82</v>
      </c>
      <c r="I1384" t="s">
        <v>4593</v>
      </c>
      <c r="J1384" t="s">
        <v>22</v>
      </c>
      <c r="K1384" s="22">
        <v>4</v>
      </c>
      <c r="L1384" s="1">
        <v>42948</v>
      </c>
      <c r="M1384" s="22">
        <f>Table3[[#This Row],[Ship Date]]-Table3[[#This Row],[Order Date]]</f>
        <v>5</v>
      </c>
      <c r="N1384" s="23" t="s">
        <v>20</v>
      </c>
      <c r="O1384" s="23" t="s">
        <v>23</v>
      </c>
      <c r="P1384" s="23" t="s">
        <v>87</v>
      </c>
      <c r="Q1384" s="23" t="s">
        <v>39</v>
      </c>
      <c r="R1384" s="23" t="s">
        <v>86</v>
      </c>
      <c r="S1384" s="33">
        <v>0</v>
      </c>
      <c r="T1384" s="13">
        <v>26.2</v>
      </c>
      <c r="U1384" s="13">
        <v>12.052</v>
      </c>
      <c r="V1384" s="55">
        <f>Table3[[#This Row],[Profit]]/Table3[[#This Row],[Sales]]</f>
        <v>0.46</v>
      </c>
    </row>
    <row r="1385" spans="1:22" x14ac:dyDescent="0.2">
      <c r="A1385">
        <v>1384</v>
      </c>
      <c r="B1385" t="s">
        <v>9046</v>
      </c>
      <c r="C1385" s="1">
        <v>42943</v>
      </c>
      <c r="D1385" s="22">
        <f>MONTH(Table3[[#This Row],[Order Date]])</f>
        <v>7</v>
      </c>
      <c r="E1385" t="s">
        <v>4669</v>
      </c>
      <c r="F1385" t="s">
        <v>4670</v>
      </c>
      <c r="G1385" s="23" t="s">
        <v>41</v>
      </c>
      <c r="H1385" s="23" t="s">
        <v>82</v>
      </c>
      <c r="I1385" t="s">
        <v>4593</v>
      </c>
      <c r="J1385" t="s">
        <v>22</v>
      </c>
      <c r="K1385" s="22">
        <v>2</v>
      </c>
      <c r="L1385" s="1">
        <v>42948</v>
      </c>
      <c r="M1385" s="22">
        <f>Table3[[#This Row],[Ship Date]]-Table3[[#This Row],[Order Date]]</f>
        <v>5</v>
      </c>
      <c r="N1385" s="23" t="s">
        <v>20</v>
      </c>
      <c r="O1385" s="23" t="s">
        <v>23</v>
      </c>
      <c r="P1385" s="23" t="s">
        <v>87</v>
      </c>
      <c r="Q1385" s="23" t="s">
        <v>39</v>
      </c>
      <c r="R1385" s="23" t="s">
        <v>86</v>
      </c>
      <c r="S1385" s="33">
        <v>0</v>
      </c>
      <c r="T1385" s="13">
        <v>12.96</v>
      </c>
      <c r="U1385" s="13">
        <v>6.2207999999999997</v>
      </c>
      <c r="V1385" s="55">
        <f>Table3[[#This Row],[Profit]]/Table3[[#This Row],[Sales]]</f>
        <v>0.47999999999999993</v>
      </c>
    </row>
    <row r="1386" spans="1:22" x14ac:dyDescent="0.2">
      <c r="A1386">
        <v>1385</v>
      </c>
      <c r="B1386" t="s">
        <v>9046</v>
      </c>
      <c r="C1386" s="1">
        <v>42943</v>
      </c>
      <c r="D1386" s="22">
        <f>MONTH(Table3[[#This Row],[Order Date]])</f>
        <v>7</v>
      </c>
      <c r="E1386" t="s">
        <v>1501</v>
      </c>
      <c r="F1386" t="s">
        <v>1502</v>
      </c>
      <c r="G1386" s="23" t="s">
        <v>64</v>
      </c>
      <c r="H1386" s="23" t="s">
        <v>144</v>
      </c>
      <c r="I1386" t="s">
        <v>4593</v>
      </c>
      <c r="J1386" t="s">
        <v>22</v>
      </c>
      <c r="K1386" s="22">
        <v>5</v>
      </c>
      <c r="L1386" s="1">
        <v>42948</v>
      </c>
      <c r="M1386" s="22">
        <f>Table3[[#This Row],[Ship Date]]-Table3[[#This Row],[Order Date]]</f>
        <v>5</v>
      </c>
      <c r="N1386" s="23" t="s">
        <v>20</v>
      </c>
      <c r="O1386" s="23" t="s">
        <v>23</v>
      </c>
      <c r="P1386" s="23" t="s">
        <v>87</v>
      </c>
      <c r="Q1386" s="23" t="s">
        <v>39</v>
      </c>
      <c r="R1386" s="23" t="s">
        <v>86</v>
      </c>
      <c r="S1386" s="33">
        <v>0</v>
      </c>
      <c r="T1386" s="13">
        <v>234.95</v>
      </c>
      <c r="U1386" s="13">
        <v>32.893000000000001</v>
      </c>
      <c r="V1386" s="55">
        <f>Table3[[#This Row],[Profit]]/Table3[[#This Row],[Sales]]</f>
        <v>0.14000000000000001</v>
      </c>
    </row>
    <row r="1387" spans="1:22" x14ac:dyDescent="0.2">
      <c r="A1387">
        <v>1386</v>
      </c>
      <c r="B1387" t="s">
        <v>10057</v>
      </c>
      <c r="C1387" s="1">
        <v>42943</v>
      </c>
      <c r="D1387" s="22">
        <f>MONTH(Table3[[#This Row],[Order Date]])</f>
        <v>7</v>
      </c>
      <c r="E1387" t="s">
        <v>272</v>
      </c>
      <c r="F1387" t="s">
        <v>273</v>
      </c>
      <c r="G1387" s="23" t="s">
        <v>28</v>
      </c>
      <c r="H1387" s="23" t="s">
        <v>32</v>
      </c>
      <c r="I1387" t="s">
        <v>3937</v>
      </c>
      <c r="J1387" t="s">
        <v>22</v>
      </c>
      <c r="K1387" s="22">
        <v>4</v>
      </c>
      <c r="L1387" s="1">
        <v>42948</v>
      </c>
      <c r="M1387" s="22">
        <f>Table3[[#This Row],[Ship Date]]-Table3[[#This Row],[Order Date]]</f>
        <v>5</v>
      </c>
      <c r="N1387" s="23" t="s">
        <v>20</v>
      </c>
      <c r="O1387" s="23" t="s">
        <v>23</v>
      </c>
      <c r="P1387" s="23" t="s">
        <v>80</v>
      </c>
      <c r="Q1387" s="23" t="s">
        <v>26</v>
      </c>
      <c r="R1387" s="23" t="s">
        <v>4054</v>
      </c>
      <c r="S1387" s="33">
        <v>0.2</v>
      </c>
      <c r="T1387" s="13">
        <v>194.84800000000001</v>
      </c>
      <c r="U1387" s="13">
        <v>12.178000000000001</v>
      </c>
      <c r="V1387" s="55">
        <f>Table3[[#This Row],[Profit]]/Table3[[#This Row],[Sales]]</f>
        <v>6.25E-2</v>
      </c>
    </row>
    <row r="1388" spans="1:22" x14ac:dyDescent="0.2">
      <c r="A1388">
        <v>1387</v>
      </c>
      <c r="B1388" t="s">
        <v>4590</v>
      </c>
      <c r="C1388" s="1">
        <v>42944</v>
      </c>
      <c r="D1388" s="22">
        <f>MONTH(Table3[[#This Row],[Order Date]])</f>
        <v>7</v>
      </c>
      <c r="E1388" t="s">
        <v>2563</v>
      </c>
      <c r="F1388" t="s">
        <v>2564</v>
      </c>
      <c r="G1388" s="23" t="s">
        <v>41</v>
      </c>
      <c r="H1388" s="23" t="s">
        <v>68</v>
      </c>
      <c r="I1388" t="s">
        <v>4591</v>
      </c>
      <c r="J1388" t="s">
        <v>36</v>
      </c>
      <c r="K1388" s="22">
        <v>4</v>
      </c>
      <c r="L1388" s="1">
        <v>42948</v>
      </c>
      <c r="M1388" s="22">
        <f>Table3[[#This Row],[Ship Date]]-Table3[[#This Row],[Order Date]]</f>
        <v>4</v>
      </c>
      <c r="N1388" s="23" t="s">
        <v>45</v>
      </c>
      <c r="O1388" s="23" t="s">
        <v>23</v>
      </c>
      <c r="P1388" s="23" t="s">
        <v>38</v>
      </c>
      <c r="Q1388" s="23" t="s">
        <v>39</v>
      </c>
      <c r="R1388" s="23" t="s">
        <v>114</v>
      </c>
      <c r="S1388" s="33">
        <v>0.2</v>
      </c>
      <c r="T1388" s="13">
        <v>9.984</v>
      </c>
      <c r="U1388" s="13">
        <v>3.6192000000000002</v>
      </c>
      <c r="V1388" s="55">
        <f>Table3[[#This Row],[Profit]]/Table3[[#This Row],[Sales]]</f>
        <v>0.36250000000000004</v>
      </c>
    </row>
    <row r="1389" spans="1:22" x14ac:dyDescent="0.2">
      <c r="A1389">
        <v>1388</v>
      </c>
      <c r="B1389" t="s">
        <v>4590</v>
      </c>
      <c r="C1389" s="1">
        <v>42944</v>
      </c>
      <c r="D1389" s="22">
        <f>MONTH(Table3[[#This Row],[Order Date]])</f>
        <v>7</v>
      </c>
      <c r="E1389" t="s">
        <v>1245</v>
      </c>
      <c r="F1389" t="s">
        <v>1246</v>
      </c>
      <c r="G1389" s="23" t="s">
        <v>41</v>
      </c>
      <c r="H1389" s="23" t="s">
        <v>53</v>
      </c>
      <c r="I1389" t="s">
        <v>4591</v>
      </c>
      <c r="J1389" t="s">
        <v>36</v>
      </c>
      <c r="K1389" s="22">
        <v>1</v>
      </c>
      <c r="L1389" s="1">
        <v>42948</v>
      </c>
      <c r="M1389" s="22">
        <f>Table3[[#This Row],[Ship Date]]-Table3[[#This Row],[Order Date]]</f>
        <v>4</v>
      </c>
      <c r="N1389" s="23" t="s">
        <v>45</v>
      </c>
      <c r="O1389" s="23" t="s">
        <v>23</v>
      </c>
      <c r="P1389" s="23" t="s">
        <v>38</v>
      </c>
      <c r="Q1389" s="23" t="s">
        <v>39</v>
      </c>
      <c r="R1389" s="23" t="s">
        <v>114</v>
      </c>
      <c r="S1389" s="33">
        <v>0</v>
      </c>
      <c r="T1389" s="13">
        <v>14.98</v>
      </c>
      <c r="U1389" s="13">
        <v>4.1943999999999999</v>
      </c>
      <c r="V1389" s="55">
        <f>Table3[[#This Row],[Profit]]/Table3[[#This Row],[Sales]]</f>
        <v>0.27999999999999997</v>
      </c>
    </row>
    <row r="1390" spans="1:22" x14ac:dyDescent="0.2">
      <c r="A1390">
        <v>1389</v>
      </c>
      <c r="B1390" t="s">
        <v>4590</v>
      </c>
      <c r="C1390" s="1">
        <v>42944</v>
      </c>
      <c r="D1390" s="22">
        <f>MONTH(Table3[[#This Row],[Order Date]])</f>
        <v>7</v>
      </c>
      <c r="E1390" t="s">
        <v>3942</v>
      </c>
      <c r="F1390" t="s">
        <v>3943</v>
      </c>
      <c r="G1390" s="23" t="s">
        <v>64</v>
      </c>
      <c r="H1390" s="23" t="s">
        <v>65</v>
      </c>
      <c r="I1390" t="s">
        <v>4591</v>
      </c>
      <c r="J1390" t="s">
        <v>36</v>
      </c>
      <c r="K1390" s="22">
        <v>4</v>
      </c>
      <c r="L1390" s="1">
        <v>42948</v>
      </c>
      <c r="M1390" s="22">
        <f>Table3[[#This Row],[Ship Date]]-Table3[[#This Row],[Order Date]]</f>
        <v>4</v>
      </c>
      <c r="N1390" s="23" t="s">
        <v>45</v>
      </c>
      <c r="O1390" s="23" t="s">
        <v>23</v>
      </c>
      <c r="P1390" s="23" t="s">
        <v>38</v>
      </c>
      <c r="Q1390" s="23" t="s">
        <v>39</v>
      </c>
      <c r="R1390" s="23" t="s">
        <v>114</v>
      </c>
      <c r="S1390" s="33">
        <v>0.2</v>
      </c>
      <c r="T1390" s="13">
        <v>1145.5999999999999</v>
      </c>
      <c r="U1390" s="13">
        <v>100.24</v>
      </c>
      <c r="V1390" s="55">
        <f>Table3[[#This Row],[Profit]]/Table3[[#This Row],[Sales]]</f>
        <v>8.7500000000000008E-2</v>
      </c>
    </row>
    <row r="1391" spans="1:22" x14ac:dyDescent="0.2">
      <c r="A1391">
        <v>1390</v>
      </c>
      <c r="B1391" t="s">
        <v>3917</v>
      </c>
      <c r="C1391" s="1">
        <v>42945</v>
      </c>
      <c r="D1391" s="22">
        <f>MONTH(Table3[[#This Row],[Order Date]])</f>
        <v>7</v>
      </c>
      <c r="E1391" t="s">
        <v>3918</v>
      </c>
      <c r="F1391" t="s">
        <v>3919</v>
      </c>
      <c r="G1391" s="23" t="s">
        <v>41</v>
      </c>
      <c r="H1391" s="23" t="s">
        <v>71</v>
      </c>
      <c r="I1391" t="s">
        <v>1244</v>
      </c>
      <c r="J1391" t="s">
        <v>22</v>
      </c>
      <c r="K1391" s="22">
        <v>2</v>
      </c>
      <c r="L1391" s="1">
        <v>42948</v>
      </c>
      <c r="M1391" s="22">
        <f>Table3[[#This Row],[Ship Date]]-Table3[[#This Row],[Order Date]]</f>
        <v>3</v>
      </c>
      <c r="N1391" s="23" t="s">
        <v>20</v>
      </c>
      <c r="O1391" s="23" t="s">
        <v>23</v>
      </c>
      <c r="P1391" s="23" t="s">
        <v>80</v>
      </c>
      <c r="Q1391" s="23" t="s">
        <v>26</v>
      </c>
      <c r="R1391" s="23" t="s">
        <v>1345</v>
      </c>
      <c r="S1391" s="33">
        <v>0.2</v>
      </c>
      <c r="T1391" s="13">
        <v>34.847999999999999</v>
      </c>
      <c r="U1391" s="13">
        <v>6.5339999999999998</v>
      </c>
      <c r="V1391" s="55">
        <f>Table3[[#This Row],[Profit]]/Table3[[#This Row],[Sales]]</f>
        <v>0.1875</v>
      </c>
    </row>
    <row r="1392" spans="1:22" x14ac:dyDescent="0.2">
      <c r="A1392">
        <v>1391</v>
      </c>
      <c r="B1392" t="s">
        <v>3917</v>
      </c>
      <c r="C1392" s="1">
        <v>42945</v>
      </c>
      <c r="D1392" s="22">
        <f>MONTH(Table3[[#This Row],[Order Date]])</f>
        <v>7</v>
      </c>
      <c r="E1392" t="s">
        <v>3068</v>
      </c>
      <c r="F1392" t="s">
        <v>3069</v>
      </c>
      <c r="G1392" s="23" t="s">
        <v>64</v>
      </c>
      <c r="H1392" s="23" t="s">
        <v>65</v>
      </c>
      <c r="I1392" t="s">
        <v>1244</v>
      </c>
      <c r="J1392" t="s">
        <v>22</v>
      </c>
      <c r="K1392" s="22">
        <v>5</v>
      </c>
      <c r="L1392" s="1">
        <v>42948</v>
      </c>
      <c r="M1392" s="22">
        <f>Table3[[#This Row],[Ship Date]]-Table3[[#This Row],[Order Date]]</f>
        <v>3</v>
      </c>
      <c r="N1392" s="23" t="s">
        <v>20</v>
      </c>
      <c r="O1392" s="23" t="s">
        <v>23</v>
      </c>
      <c r="P1392" s="23" t="s">
        <v>80</v>
      </c>
      <c r="Q1392" s="23" t="s">
        <v>26</v>
      </c>
      <c r="R1392" s="23" t="s">
        <v>1345</v>
      </c>
      <c r="S1392" s="33">
        <v>0.2</v>
      </c>
      <c r="T1392" s="13">
        <v>22</v>
      </c>
      <c r="U1392" s="13">
        <v>1.375</v>
      </c>
      <c r="V1392" s="55">
        <f>Table3[[#This Row],[Profit]]/Table3[[#This Row],[Sales]]</f>
        <v>6.25E-2</v>
      </c>
    </row>
    <row r="1393" spans="1:22" x14ac:dyDescent="0.2">
      <c r="A1393">
        <v>1392</v>
      </c>
      <c r="B1393" t="s">
        <v>3917</v>
      </c>
      <c r="C1393" s="1">
        <v>42945</v>
      </c>
      <c r="D1393" s="22">
        <f>MONTH(Table3[[#This Row],[Order Date]])</f>
        <v>7</v>
      </c>
      <c r="E1393" t="s">
        <v>60</v>
      </c>
      <c r="F1393" t="s">
        <v>62</v>
      </c>
      <c r="G1393" s="23" t="s">
        <v>41</v>
      </c>
      <c r="H1393" s="23" t="s">
        <v>61</v>
      </c>
      <c r="I1393" t="s">
        <v>1244</v>
      </c>
      <c r="J1393" t="s">
        <v>22</v>
      </c>
      <c r="K1393" s="22">
        <v>3</v>
      </c>
      <c r="L1393" s="1">
        <v>42948</v>
      </c>
      <c r="M1393" s="22">
        <f>Table3[[#This Row],[Ship Date]]-Table3[[#This Row],[Order Date]]</f>
        <v>3</v>
      </c>
      <c r="N1393" s="23" t="s">
        <v>20</v>
      </c>
      <c r="O1393" s="23" t="s">
        <v>23</v>
      </c>
      <c r="P1393" s="23" t="s">
        <v>80</v>
      </c>
      <c r="Q1393" s="23" t="s">
        <v>26</v>
      </c>
      <c r="R1393" s="23" t="s">
        <v>1345</v>
      </c>
      <c r="S1393" s="33">
        <v>0.2</v>
      </c>
      <c r="T1393" s="13">
        <v>4.3680000000000003</v>
      </c>
      <c r="U1393" s="13">
        <v>0.38219999999999998</v>
      </c>
      <c r="V1393" s="55">
        <f>Table3[[#This Row],[Profit]]/Table3[[#This Row],[Sales]]</f>
        <v>8.7499999999999994E-2</v>
      </c>
    </row>
    <row r="1394" spans="1:22" x14ac:dyDescent="0.2">
      <c r="A1394">
        <v>1393</v>
      </c>
      <c r="B1394" t="s">
        <v>4087</v>
      </c>
      <c r="C1394" s="1">
        <v>42945</v>
      </c>
      <c r="D1394" s="22">
        <f>MONTH(Table3[[#This Row],[Order Date]])</f>
        <v>7</v>
      </c>
      <c r="E1394" t="s">
        <v>143</v>
      </c>
      <c r="F1394" t="s">
        <v>145</v>
      </c>
      <c r="G1394" s="23" t="s">
        <v>64</v>
      </c>
      <c r="H1394" s="23" t="s">
        <v>144</v>
      </c>
      <c r="I1394" t="s">
        <v>4088</v>
      </c>
      <c r="J1394" t="s">
        <v>22</v>
      </c>
      <c r="K1394" s="22">
        <v>3</v>
      </c>
      <c r="L1394" s="1">
        <v>42949</v>
      </c>
      <c r="M1394" s="22">
        <f>Table3[[#This Row],[Ship Date]]-Table3[[#This Row],[Order Date]]</f>
        <v>4</v>
      </c>
      <c r="N1394" s="23" t="s">
        <v>45</v>
      </c>
      <c r="O1394" s="23" t="s">
        <v>23</v>
      </c>
      <c r="P1394" s="23" t="s">
        <v>87</v>
      </c>
      <c r="Q1394" s="23" t="s">
        <v>39</v>
      </c>
      <c r="R1394" s="23" t="s">
        <v>86</v>
      </c>
      <c r="S1394" s="33">
        <v>0</v>
      </c>
      <c r="T1394" s="13">
        <v>90.57</v>
      </c>
      <c r="U1394" s="13">
        <v>11.774100000000001</v>
      </c>
      <c r="V1394" s="55">
        <f>Table3[[#This Row],[Profit]]/Table3[[#This Row],[Sales]]</f>
        <v>0.13</v>
      </c>
    </row>
    <row r="1395" spans="1:22" x14ac:dyDescent="0.2">
      <c r="A1395">
        <v>1394</v>
      </c>
      <c r="B1395" t="s">
        <v>4603</v>
      </c>
      <c r="C1395" s="1">
        <v>42945</v>
      </c>
      <c r="D1395" s="22">
        <f>MONTH(Table3[[#This Row],[Order Date]])</f>
        <v>7</v>
      </c>
      <c r="E1395" t="s">
        <v>2768</v>
      </c>
      <c r="F1395" t="s">
        <v>2769</v>
      </c>
      <c r="G1395" s="23" t="s">
        <v>41</v>
      </c>
      <c r="H1395" s="23" t="s">
        <v>240</v>
      </c>
      <c r="I1395" t="s">
        <v>1190</v>
      </c>
      <c r="J1395" t="s">
        <v>36</v>
      </c>
      <c r="K1395" s="22">
        <v>2</v>
      </c>
      <c r="L1395" s="1">
        <v>42950</v>
      </c>
      <c r="M1395" s="22">
        <f>Table3[[#This Row],[Ship Date]]-Table3[[#This Row],[Order Date]]</f>
        <v>5</v>
      </c>
      <c r="N1395" s="23" t="s">
        <v>45</v>
      </c>
      <c r="O1395" s="23" t="s">
        <v>23</v>
      </c>
      <c r="P1395" s="23" t="s">
        <v>94</v>
      </c>
      <c r="Q1395" s="23" t="s">
        <v>95</v>
      </c>
      <c r="R1395" s="23" t="s">
        <v>1095</v>
      </c>
      <c r="S1395" s="33">
        <v>0.2</v>
      </c>
      <c r="T1395" s="13">
        <v>2.8959999999999999</v>
      </c>
      <c r="U1395" s="13">
        <v>0.47060000000000002</v>
      </c>
      <c r="V1395" s="55">
        <f>Table3[[#This Row],[Profit]]/Table3[[#This Row],[Sales]]</f>
        <v>0.16250000000000001</v>
      </c>
    </row>
    <row r="1396" spans="1:22" x14ac:dyDescent="0.2">
      <c r="A1396">
        <v>1395</v>
      </c>
      <c r="B1396" t="s">
        <v>4603</v>
      </c>
      <c r="C1396" s="1">
        <v>42945</v>
      </c>
      <c r="D1396" s="22">
        <f>MONTH(Table3[[#This Row],[Order Date]])</f>
        <v>7</v>
      </c>
      <c r="E1396" t="s">
        <v>1697</v>
      </c>
      <c r="F1396" t="s">
        <v>1698</v>
      </c>
      <c r="G1396" s="23" t="s">
        <v>64</v>
      </c>
      <c r="H1396" s="23" t="s">
        <v>65</v>
      </c>
      <c r="I1396" t="s">
        <v>1190</v>
      </c>
      <c r="J1396" t="s">
        <v>36</v>
      </c>
      <c r="K1396" s="22">
        <v>1</v>
      </c>
      <c r="L1396" s="1">
        <v>42950</v>
      </c>
      <c r="M1396" s="22">
        <f>Table3[[#This Row],[Ship Date]]-Table3[[#This Row],[Order Date]]</f>
        <v>5</v>
      </c>
      <c r="N1396" s="23" t="s">
        <v>45</v>
      </c>
      <c r="O1396" s="23" t="s">
        <v>23</v>
      </c>
      <c r="P1396" s="23" t="s">
        <v>94</v>
      </c>
      <c r="Q1396" s="23" t="s">
        <v>95</v>
      </c>
      <c r="R1396" s="23" t="s">
        <v>1095</v>
      </c>
      <c r="S1396" s="33">
        <v>0.2</v>
      </c>
      <c r="T1396" s="13">
        <v>124.792</v>
      </c>
      <c r="U1396" s="13">
        <v>15.599</v>
      </c>
      <c r="V1396" s="55">
        <f>Table3[[#This Row],[Profit]]/Table3[[#This Row],[Sales]]</f>
        <v>0.125</v>
      </c>
    </row>
    <row r="1397" spans="1:22" x14ac:dyDescent="0.2">
      <c r="A1397">
        <v>1396</v>
      </c>
      <c r="B1397" t="s">
        <v>5217</v>
      </c>
      <c r="C1397" s="1">
        <v>42945</v>
      </c>
      <c r="D1397" s="22">
        <f>MONTH(Table3[[#This Row],[Order Date]])</f>
        <v>7</v>
      </c>
      <c r="E1397" t="s">
        <v>608</v>
      </c>
      <c r="F1397" t="s">
        <v>609</v>
      </c>
      <c r="G1397" s="23" t="s">
        <v>41</v>
      </c>
      <c r="H1397" s="23" t="s">
        <v>61</v>
      </c>
      <c r="I1397" t="s">
        <v>2217</v>
      </c>
      <c r="J1397" t="s">
        <v>22</v>
      </c>
      <c r="K1397" s="22">
        <v>9</v>
      </c>
      <c r="L1397" s="1">
        <v>42948</v>
      </c>
      <c r="M1397" s="22">
        <f>Table3[[#This Row],[Ship Date]]-Table3[[#This Row],[Order Date]]</f>
        <v>3</v>
      </c>
      <c r="N1397" s="23" t="s">
        <v>20</v>
      </c>
      <c r="O1397" s="23" t="s">
        <v>23</v>
      </c>
      <c r="P1397" s="23" t="s">
        <v>238</v>
      </c>
      <c r="Q1397" s="23" t="s">
        <v>133</v>
      </c>
      <c r="R1397" s="23" t="s">
        <v>246</v>
      </c>
      <c r="S1397" s="33">
        <v>0</v>
      </c>
      <c r="T1397" s="13">
        <v>60.12</v>
      </c>
      <c r="U1397" s="13">
        <v>22.244399999999999</v>
      </c>
      <c r="V1397" s="55">
        <f>Table3[[#This Row],[Profit]]/Table3[[#This Row],[Sales]]</f>
        <v>0.37</v>
      </c>
    </row>
    <row r="1398" spans="1:22" x14ac:dyDescent="0.2">
      <c r="A1398">
        <v>1397</v>
      </c>
      <c r="B1398" t="s">
        <v>7197</v>
      </c>
      <c r="C1398" s="1">
        <v>42945</v>
      </c>
      <c r="D1398" s="22">
        <f>MONTH(Table3[[#This Row],[Order Date]])</f>
        <v>7</v>
      </c>
      <c r="E1398" t="s">
        <v>6289</v>
      </c>
      <c r="F1398" t="s">
        <v>6290</v>
      </c>
      <c r="G1398" s="23" t="s">
        <v>41</v>
      </c>
      <c r="H1398" s="23" t="s">
        <v>68</v>
      </c>
      <c r="I1398" t="s">
        <v>2098</v>
      </c>
      <c r="J1398" t="s">
        <v>22</v>
      </c>
      <c r="K1398" s="22">
        <v>2</v>
      </c>
      <c r="L1398" s="1">
        <v>42950</v>
      </c>
      <c r="M1398" s="22">
        <f>Table3[[#This Row],[Ship Date]]-Table3[[#This Row],[Order Date]]</f>
        <v>5</v>
      </c>
      <c r="N1398" s="23" t="s">
        <v>45</v>
      </c>
      <c r="O1398" s="23" t="s">
        <v>23</v>
      </c>
      <c r="P1398" s="23" t="s">
        <v>573</v>
      </c>
      <c r="Q1398" s="23" t="s">
        <v>95</v>
      </c>
      <c r="R1398" s="23" t="s">
        <v>4295</v>
      </c>
      <c r="S1398" s="33">
        <v>0</v>
      </c>
      <c r="T1398" s="13">
        <v>33.479999999999997</v>
      </c>
      <c r="U1398" s="13">
        <v>16.405200000000001</v>
      </c>
      <c r="V1398" s="55">
        <f>Table3[[#This Row],[Profit]]/Table3[[#This Row],[Sales]]</f>
        <v>0.49000000000000005</v>
      </c>
    </row>
    <row r="1399" spans="1:22" x14ac:dyDescent="0.2">
      <c r="A1399">
        <v>1398</v>
      </c>
      <c r="B1399" t="s">
        <v>7197</v>
      </c>
      <c r="C1399" s="1">
        <v>42945</v>
      </c>
      <c r="D1399" s="22">
        <f>MONTH(Table3[[#This Row],[Order Date]])</f>
        <v>7</v>
      </c>
      <c r="E1399" t="s">
        <v>1217</v>
      </c>
      <c r="F1399" t="s">
        <v>1218</v>
      </c>
      <c r="G1399" s="23" t="s">
        <v>64</v>
      </c>
      <c r="H1399" s="23" t="s">
        <v>65</v>
      </c>
      <c r="I1399" t="s">
        <v>2098</v>
      </c>
      <c r="J1399" t="s">
        <v>22</v>
      </c>
      <c r="K1399" s="22">
        <v>3</v>
      </c>
      <c r="L1399" s="1">
        <v>42950</v>
      </c>
      <c r="M1399" s="22">
        <f>Table3[[#This Row],[Ship Date]]-Table3[[#This Row],[Order Date]]</f>
        <v>5</v>
      </c>
      <c r="N1399" s="23" t="s">
        <v>45</v>
      </c>
      <c r="O1399" s="23" t="s">
        <v>23</v>
      </c>
      <c r="P1399" s="23" t="s">
        <v>573</v>
      </c>
      <c r="Q1399" s="23" t="s">
        <v>95</v>
      </c>
      <c r="R1399" s="23" t="s">
        <v>4295</v>
      </c>
      <c r="S1399" s="33">
        <v>0</v>
      </c>
      <c r="T1399" s="13">
        <v>461.97</v>
      </c>
      <c r="U1399" s="13">
        <v>133.97130000000001</v>
      </c>
      <c r="V1399" s="55">
        <f>Table3[[#This Row],[Profit]]/Table3[[#This Row],[Sales]]</f>
        <v>0.29000000000000004</v>
      </c>
    </row>
    <row r="1400" spans="1:22" x14ac:dyDescent="0.2">
      <c r="A1400">
        <v>1399</v>
      </c>
      <c r="B1400" t="s">
        <v>7197</v>
      </c>
      <c r="C1400" s="1">
        <v>42945</v>
      </c>
      <c r="D1400" s="22">
        <f>MONTH(Table3[[#This Row],[Order Date]])</f>
        <v>7</v>
      </c>
      <c r="E1400" t="s">
        <v>96</v>
      </c>
      <c r="F1400" t="s">
        <v>97</v>
      </c>
      <c r="G1400" s="23" t="s">
        <v>41</v>
      </c>
      <c r="H1400" s="23" t="s">
        <v>71</v>
      </c>
      <c r="I1400" t="s">
        <v>2098</v>
      </c>
      <c r="J1400" t="s">
        <v>22</v>
      </c>
      <c r="K1400" s="22">
        <v>2</v>
      </c>
      <c r="L1400" s="1">
        <v>42950</v>
      </c>
      <c r="M1400" s="22">
        <f>Table3[[#This Row],[Ship Date]]-Table3[[#This Row],[Order Date]]</f>
        <v>5</v>
      </c>
      <c r="N1400" s="23" t="s">
        <v>45</v>
      </c>
      <c r="O1400" s="23" t="s">
        <v>23</v>
      </c>
      <c r="P1400" s="23" t="s">
        <v>573</v>
      </c>
      <c r="Q1400" s="23" t="s">
        <v>95</v>
      </c>
      <c r="R1400" s="23" t="s">
        <v>4295</v>
      </c>
      <c r="S1400" s="33">
        <v>0</v>
      </c>
      <c r="T1400" s="13">
        <v>137.62</v>
      </c>
      <c r="U1400" s="13">
        <v>60.552799999999998</v>
      </c>
      <c r="V1400" s="55">
        <f>Table3[[#This Row],[Profit]]/Table3[[#This Row],[Sales]]</f>
        <v>0.43999999999999995</v>
      </c>
    </row>
    <row r="1401" spans="1:22" x14ac:dyDescent="0.2">
      <c r="A1401">
        <v>1400</v>
      </c>
      <c r="B1401" t="s">
        <v>7197</v>
      </c>
      <c r="C1401" s="1">
        <v>42945</v>
      </c>
      <c r="D1401" s="22">
        <f>MONTH(Table3[[#This Row],[Order Date]])</f>
        <v>7</v>
      </c>
      <c r="E1401" t="s">
        <v>7198</v>
      </c>
      <c r="F1401" t="s">
        <v>7199</v>
      </c>
      <c r="G1401" s="23" t="s">
        <v>28</v>
      </c>
      <c r="H1401" s="23" t="s">
        <v>32</v>
      </c>
      <c r="I1401" t="s">
        <v>2098</v>
      </c>
      <c r="J1401" t="s">
        <v>22</v>
      </c>
      <c r="K1401" s="22">
        <v>3</v>
      </c>
      <c r="L1401" s="1">
        <v>42950</v>
      </c>
      <c r="M1401" s="22">
        <f>Table3[[#This Row],[Ship Date]]-Table3[[#This Row],[Order Date]]</f>
        <v>5</v>
      </c>
      <c r="N1401" s="23" t="s">
        <v>45</v>
      </c>
      <c r="O1401" s="23" t="s">
        <v>23</v>
      </c>
      <c r="P1401" s="23" t="s">
        <v>573</v>
      </c>
      <c r="Q1401" s="23" t="s">
        <v>95</v>
      </c>
      <c r="R1401" s="23" t="s">
        <v>4295</v>
      </c>
      <c r="S1401" s="33">
        <v>0</v>
      </c>
      <c r="T1401" s="13">
        <v>302.67</v>
      </c>
      <c r="U1401" s="13">
        <v>72.640799999999999</v>
      </c>
      <c r="V1401" s="55">
        <f>Table3[[#This Row],[Profit]]/Table3[[#This Row],[Sales]]</f>
        <v>0.24</v>
      </c>
    </row>
    <row r="1402" spans="1:22" x14ac:dyDescent="0.2">
      <c r="A1402">
        <v>1401</v>
      </c>
      <c r="B1402" t="s">
        <v>8391</v>
      </c>
      <c r="C1402" s="1">
        <v>42945</v>
      </c>
      <c r="D1402" s="22">
        <f>MONTH(Table3[[#This Row],[Order Date]])</f>
        <v>7</v>
      </c>
      <c r="E1402" t="s">
        <v>950</v>
      </c>
      <c r="F1402" t="s">
        <v>951</v>
      </c>
      <c r="G1402" s="23" t="s">
        <v>28</v>
      </c>
      <c r="H1402" s="23" t="s">
        <v>29</v>
      </c>
      <c r="I1402" t="s">
        <v>2650</v>
      </c>
      <c r="J1402" t="s">
        <v>22</v>
      </c>
      <c r="K1402" s="22">
        <v>2</v>
      </c>
      <c r="L1402" s="1">
        <v>42949</v>
      </c>
      <c r="M1402" s="22">
        <f>Table3[[#This Row],[Ship Date]]-Table3[[#This Row],[Order Date]]</f>
        <v>4</v>
      </c>
      <c r="N1402" s="23" t="s">
        <v>45</v>
      </c>
      <c r="O1402" s="23" t="s">
        <v>23</v>
      </c>
      <c r="P1402" s="23" t="s">
        <v>87</v>
      </c>
      <c r="Q1402" s="23" t="s">
        <v>39</v>
      </c>
      <c r="R1402" s="23" t="s">
        <v>86</v>
      </c>
      <c r="S1402" s="33">
        <v>0</v>
      </c>
      <c r="T1402" s="13">
        <v>115.96</v>
      </c>
      <c r="U1402" s="13">
        <v>25.511199999999999</v>
      </c>
      <c r="V1402" s="55">
        <f>Table3[[#This Row],[Profit]]/Table3[[#This Row],[Sales]]</f>
        <v>0.22</v>
      </c>
    </row>
    <row r="1403" spans="1:22" x14ac:dyDescent="0.2">
      <c r="A1403">
        <v>1402</v>
      </c>
      <c r="B1403" t="s">
        <v>1863</v>
      </c>
      <c r="C1403" s="1">
        <v>42946</v>
      </c>
      <c r="D1403" s="22">
        <f>MONTH(Table3[[#This Row],[Order Date]])</f>
        <v>7</v>
      </c>
      <c r="E1403" t="s">
        <v>1866</v>
      </c>
      <c r="F1403" t="s">
        <v>1867</v>
      </c>
      <c r="G1403" s="23" t="s">
        <v>41</v>
      </c>
      <c r="H1403" s="23" t="s">
        <v>53</v>
      </c>
      <c r="I1403" t="s">
        <v>1864</v>
      </c>
      <c r="J1403" t="s">
        <v>22</v>
      </c>
      <c r="K1403" s="22">
        <v>2</v>
      </c>
      <c r="L1403" s="1">
        <v>42950</v>
      </c>
      <c r="M1403" s="22">
        <f>Table3[[#This Row],[Ship Date]]-Table3[[#This Row],[Order Date]]</f>
        <v>4</v>
      </c>
      <c r="N1403" s="23" t="s">
        <v>20</v>
      </c>
      <c r="O1403" s="23" t="s">
        <v>23</v>
      </c>
      <c r="P1403" s="23" t="s">
        <v>38</v>
      </c>
      <c r="Q1403" s="23" t="s">
        <v>39</v>
      </c>
      <c r="R1403" s="23" t="s">
        <v>1865</v>
      </c>
      <c r="S1403" s="33">
        <v>0</v>
      </c>
      <c r="T1403" s="13">
        <v>330.4</v>
      </c>
      <c r="U1403" s="13">
        <v>85.903999999999996</v>
      </c>
      <c r="V1403" s="55">
        <f>Table3[[#This Row],[Profit]]/Table3[[#This Row],[Sales]]</f>
        <v>0.26</v>
      </c>
    </row>
    <row r="1404" spans="1:22" x14ac:dyDescent="0.2">
      <c r="A1404">
        <v>1403</v>
      </c>
      <c r="B1404" t="s">
        <v>1863</v>
      </c>
      <c r="C1404" s="1">
        <v>42946</v>
      </c>
      <c r="D1404" s="22">
        <f>MONTH(Table3[[#This Row],[Order Date]])</f>
        <v>7</v>
      </c>
      <c r="E1404" t="s">
        <v>1868</v>
      </c>
      <c r="F1404" t="s">
        <v>1869</v>
      </c>
      <c r="G1404" s="23" t="s">
        <v>41</v>
      </c>
      <c r="H1404" s="23" t="s">
        <v>42</v>
      </c>
      <c r="I1404" t="s">
        <v>1864</v>
      </c>
      <c r="J1404" t="s">
        <v>22</v>
      </c>
      <c r="K1404" s="22">
        <v>7</v>
      </c>
      <c r="L1404" s="1">
        <v>42950</v>
      </c>
      <c r="M1404" s="22">
        <f>Table3[[#This Row],[Ship Date]]-Table3[[#This Row],[Order Date]]</f>
        <v>4</v>
      </c>
      <c r="N1404" s="23" t="s">
        <v>20</v>
      </c>
      <c r="O1404" s="23" t="s">
        <v>23</v>
      </c>
      <c r="P1404" s="23" t="s">
        <v>38</v>
      </c>
      <c r="Q1404" s="23" t="s">
        <v>39</v>
      </c>
      <c r="R1404" s="23" t="s">
        <v>1865</v>
      </c>
      <c r="S1404" s="33">
        <v>0</v>
      </c>
      <c r="T1404" s="13">
        <v>26.25</v>
      </c>
      <c r="U1404" s="13">
        <v>12.6</v>
      </c>
      <c r="V1404" s="55">
        <f>Table3[[#This Row],[Profit]]/Table3[[#This Row],[Sales]]</f>
        <v>0.48</v>
      </c>
    </row>
    <row r="1405" spans="1:22" x14ac:dyDescent="0.2">
      <c r="A1405">
        <v>1404</v>
      </c>
      <c r="B1405" t="s">
        <v>8808</v>
      </c>
      <c r="C1405" s="1">
        <v>42946</v>
      </c>
      <c r="D1405" s="22">
        <f>MONTH(Table3[[#This Row],[Order Date]])</f>
        <v>7</v>
      </c>
      <c r="E1405" t="s">
        <v>2288</v>
      </c>
      <c r="F1405" t="s">
        <v>2289</v>
      </c>
      <c r="G1405" s="23" t="s">
        <v>41</v>
      </c>
      <c r="H1405" s="23" t="s">
        <v>68</v>
      </c>
      <c r="I1405" t="s">
        <v>5582</v>
      </c>
      <c r="J1405" t="s">
        <v>92</v>
      </c>
      <c r="K1405" s="22">
        <v>4</v>
      </c>
      <c r="L1405" s="1">
        <v>42949</v>
      </c>
      <c r="M1405" s="22">
        <f>Table3[[#This Row],[Ship Date]]-Table3[[#This Row],[Order Date]]</f>
        <v>3</v>
      </c>
      <c r="N1405" s="23" t="s">
        <v>169</v>
      </c>
      <c r="O1405" s="23" t="s">
        <v>23</v>
      </c>
      <c r="P1405" s="23" t="s">
        <v>441</v>
      </c>
      <c r="Q1405" s="23" t="s">
        <v>133</v>
      </c>
      <c r="R1405" s="23" t="s">
        <v>990</v>
      </c>
      <c r="S1405" s="33">
        <v>0.7</v>
      </c>
      <c r="T1405" s="13">
        <v>76.775999999999996</v>
      </c>
      <c r="U1405" s="13">
        <v>-53.743200000000002</v>
      </c>
      <c r="V1405" s="55">
        <f>Table3[[#This Row],[Profit]]/Table3[[#This Row],[Sales]]</f>
        <v>-0.70000000000000007</v>
      </c>
    </row>
    <row r="1406" spans="1:22" x14ac:dyDescent="0.2">
      <c r="A1406">
        <v>1405</v>
      </c>
      <c r="B1406" t="s">
        <v>8857</v>
      </c>
      <c r="C1406" s="1">
        <v>42946</v>
      </c>
      <c r="D1406" s="22">
        <f>MONTH(Table3[[#This Row],[Order Date]])</f>
        <v>7</v>
      </c>
      <c r="E1406" t="s">
        <v>2859</v>
      </c>
      <c r="F1406" t="s">
        <v>2860</v>
      </c>
      <c r="G1406" s="23" t="s">
        <v>64</v>
      </c>
      <c r="H1406" s="23" t="s">
        <v>65</v>
      </c>
      <c r="I1406" t="s">
        <v>2054</v>
      </c>
      <c r="J1406" t="s">
        <v>22</v>
      </c>
      <c r="K1406" s="22">
        <v>5</v>
      </c>
      <c r="L1406" s="1">
        <v>42953</v>
      </c>
      <c r="M1406" s="22">
        <f>Table3[[#This Row],[Ship Date]]-Table3[[#This Row],[Order Date]]</f>
        <v>7</v>
      </c>
      <c r="N1406" s="23" t="s">
        <v>45</v>
      </c>
      <c r="O1406" s="23" t="s">
        <v>23</v>
      </c>
      <c r="P1406" s="23" t="s">
        <v>2408</v>
      </c>
      <c r="Q1406" s="23" t="s">
        <v>133</v>
      </c>
      <c r="R1406" s="23" t="s">
        <v>3967</v>
      </c>
      <c r="S1406" s="33">
        <v>0</v>
      </c>
      <c r="T1406" s="13">
        <v>89.95</v>
      </c>
      <c r="U1406" s="13">
        <v>43.176000000000002</v>
      </c>
      <c r="V1406" s="55">
        <f>Table3[[#This Row],[Profit]]/Table3[[#This Row],[Sales]]</f>
        <v>0.48</v>
      </c>
    </row>
    <row r="1407" spans="1:22" x14ac:dyDescent="0.2">
      <c r="A1407">
        <v>1406</v>
      </c>
      <c r="B1407" t="s">
        <v>4595</v>
      </c>
      <c r="C1407" s="1">
        <v>42947</v>
      </c>
      <c r="D1407" s="22">
        <f>MONTH(Table3[[#This Row],[Order Date]])</f>
        <v>7</v>
      </c>
      <c r="E1407" t="s">
        <v>4596</v>
      </c>
      <c r="F1407" t="s">
        <v>4597</v>
      </c>
      <c r="G1407" s="23" t="s">
        <v>41</v>
      </c>
      <c r="H1407" s="23" t="s">
        <v>82</v>
      </c>
      <c r="I1407" t="s">
        <v>789</v>
      </c>
      <c r="J1407" t="s">
        <v>36</v>
      </c>
      <c r="K1407" s="22">
        <v>3</v>
      </c>
      <c r="L1407" s="1">
        <v>42952</v>
      </c>
      <c r="M1407" s="22">
        <f>Table3[[#This Row],[Ship Date]]-Table3[[#This Row],[Order Date]]</f>
        <v>5</v>
      </c>
      <c r="N1407" s="23" t="s">
        <v>45</v>
      </c>
      <c r="O1407" s="23" t="s">
        <v>23</v>
      </c>
      <c r="P1407" s="23" t="s">
        <v>132</v>
      </c>
      <c r="Q1407" s="23" t="s">
        <v>133</v>
      </c>
      <c r="R1407" s="23" t="s">
        <v>131</v>
      </c>
      <c r="S1407" s="33">
        <v>0.2</v>
      </c>
      <c r="T1407" s="13">
        <v>54.816000000000003</v>
      </c>
      <c r="U1407" s="13">
        <v>17.815200000000001</v>
      </c>
      <c r="V1407" s="55">
        <f>Table3[[#This Row],[Profit]]/Table3[[#This Row],[Sales]]</f>
        <v>0.32500000000000001</v>
      </c>
    </row>
    <row r="1408" spans="1:22" x14ac:dyDescent="0.2">
      <c r="A1408">
        <v>1407</v>
      </c>
      <c r="B1408" t="s">
        <v>6216</v>
      </c>
      <c r="C1408" s="1">
        <v>42947</v>
      </c>
      <c r="D1408" s="22">
        <f>MONTH(Table3[[#This Row],[Order Date]])</f>
        <v>7</v>
      </c>
      <c r="E1408" t="s">
        <v>3921</v>
      </c>
      <c r="F1408" t="s">
        <v>3922</v>
      </c>
      <c r="G1408" s="23" t="s">
        <v>64</v>
      </c>
      <c r="H1408" s="23" t="s">
        <v>144</v>
      </c>
      <c r="I1408" t="s">
        <v>1905</v>
      </c>
      <c r="J1408" t="s">
        <v>92</v>
      </c>
      <c r="K1408" s="22">
        <v>2</v>
      </c>
      <c r="L1408" s="1">
        <v>42951</v>
      </c>
      <c r="M1408" s="22">
        <f>Table3[[#This Row],[Ship Date]]-Table3[[#This Row],[Order Date]]</f>
        <v>4</v>
      </c>
      <c r="N1408" s="23" t="s">
        <v>45</v>
      </c>
      <c r="O1408" s="23" t="s">
        <v>23</v>
      </c>
      <c r="P1408" s="23" t="s">
        <v>48</v>
      </c>
      <c r="Q1408" s="23" t="s">
        <v>26</v>
      </c>
      <c r="R1408" s="23" t="s">
        <v>47</v>
      </c>
      <c r="S1408" s="33">
        <v>0.2</v>
      </c>
      <c r="T1408" s="13">
        <v>41.423999999999999</v>
      </c>
      <c r="U1408" s="13">
        <v>8.2848000000000006</v>
      </c>
      <c r="V1408" s="55">
        <f>Table3[[#This Row],[Profit]]/Table3[[#This Row],[Sales]]</f>
        <v>0.2</v>
      </c>
    </row>
    <row r="1409" spans="1:22" x14ac:dyDescent="0.2">
      <c r="A1409">
        <v>1408</v>
      </c>
      <c r="B1409" t="s">
        <v>7673</v>
      </c>
      <c r="C1409" s="1">
        <v>42947</v>
      </c>
      <c r="D1409" s="22">
        <f>MONTH(Table3[[#This Row],[Order Date]])</f>
        <v>7</v>
      </c>
      <c r="E1409" t="s">
        <v>1782</v>
      </c>
      <c r="F1409" t="s">
        <v>1783</v>
      </c>
      <c r="G1409" s="23" t="s">
        <v>64</v>
      </c>
      <c r="H1409" s="23" t="s">
        <v>65</v>
      </c>
      <c r="I1409" t="s">
        <v>1131</v>
      </c>
      <c r="J1409" t="s">
        <v>22</v>
      </c>
      <c r="K1409" s="22">
        <v>1</v>
      </c>
      <c r="L1409" s="1">
        <v>42947</v>
      </c>
      <c r="M1409" s="22">
        <f>Table3[[#This Row],[Ship Date]]-Table3[[#This Row],[Order Date]]</f>
        <v>0</v>
      </c>
      <c r="N1409" s="23" t="s">
        <v>1141</v>
      </c>
      <c r="O1409" s="23" t="s">
        <v>23</v>
      </c>
      <c r="P1409" s="23" t="s">
        <v>189</v>
      </c>
      <c r="Q1409" s="23" t="s">
        <v>95</v>
      </c>
      <c r="R1409" s="23" t="s">
        <v>271</v>
      </c>
      <c r="S1409" s="33">
        <v>0.2</v>
      </c>
      <c r="T1409" s="13">
        <v>36.792000000000002</v>
      </c>
      <c r="U1409" s="13">
        <v>4.1391</v>
      </c>
      <c r="V1409" s="55">
        <f>Table3[[#This Row],[Profit]]/Table3[[#This Row],[Sales]]</f>
        <v>0.11249999999999999</v>
      </c>
    </row>
    <row r="1410" spans="1:22" x14ac:dyDescent="0.2">
      <c r="A1410">
        <v>1409</v>
      </c>
      <c r="B1410" t="s">
        <v>8136</v>
      </c>
      <c r="C1410" s="1">
        <v>42947</v>
      </c>
      <c r="D1410" s="22">
        <f>MONTH(Table3[[#This Row],[Order Date]])</f>
        <v>7</v>
      </c>
      <c r="E1410" t="s">
        <v>354</v>
      </c>
      <c r="F1410" t="s">
        <v>355</v>
      </c>
      <c r="G1410" s="23" t="s">
        <v>41</v>
      </c>
      <c r="H1410" s="23" t="s">
        <v>53</v>
      </c>
      <c r="I1410" t="s">
        <v>5639</v>
      </c>
      <c r="J1410" t="s">
        <v>22</v>
      </c>
      <c r="K1410" s="22">
        <v>2</v>
      </c>
      <c r="L1410" s="1">
        <v>42950</v>
      </c>
      <c r="M1410" s="22">
        <f>Table3[[#This Row],[Ship Date]]-Table3[[#This Row],[Order Date]]</f>
        <v>3</v>
      </c>
      <c r="N1410" s="23" t="s">
        <v>169</v>
      </c>
      <c r="O1410" s="23" t="s">
        <v>23</v>
      </c>
      <c r="P1410" s="23" t="s">
        <v>38</v>
      </c>
      <c r="Q1410" s="23" t="s">
        <v>39</v>
      </c>
      <c r="R1410" s="23" t="s">
        <v>114</v>
      </c>
      <c r="S1410" s="33">
        <v>0</v>
      </c>
      <c r="T1410" s="13">
        <v>56.56</v>
      </c>
      <c r="U1410" s="13">
        <v>15.2712</v>
      </c>
      <c r="V1410" s="55">
        <f>Table3[[#This Row],[Profit]]/Table3[[#This Row],[Sales]]</f>
        <v>0.27</v>
      </c>
    </row>
    <row r="1411" spans="1:22" x14ac:dyDescent="0.2">
      <c r="A1411">
        <v>1410</v>
      </c>
      <c r="B1411" t="s">
        <v>8136</v>
      </c>
      <c r="C1411" s="1">
        <v>42947</v>
      </c>
      <c r="D1411" s="22">
        <f>MONTH(Table3[[#This Row],[Order Date]])</f>
        <v>7</v>
      </c>
      <c r="E1411" t="s">
        <v>4370</v>
      </c>
      <c r="F1411" t="s">
        <v>4371</v>
      </c>
      <c r="G1411" s="23" t="s">
        <v>28</v>
      </c>
      <c r="H1411" s="23" t="s">
        <v>58</v>
      </c>
      <c r="I1411" t="s">
        <v>5639</v>
      </c>
      <c r="J1411" t="s">
        <v>22</v>
      </c>
      <c r="K1411" s="22">
        <v>7</v>
      </c>
      <c r="L1411" s="1">
        <v>42950</v>
      </c>
      <c r="M1411" s="22">
        <f>Table3[[#This Row],[Ship Date]]-Table3[[#This Row],[Order Date]]</f>
        <v>3</v>
      </c>
      <c r="N1411" s="23" t="s">
        <v>169</v>
      </c>
      <c r="O1411" s="23" t="s">
        <v>23</v>
      </c>
      <c r="P1411" s="23" t="s">
        <v>38</v>
      </c>
      <c r="Q1411" s="23" t="s">
        <v>39</v>
      </c>
      <c r="R1411" s="23" t="s">
        <v>114</v>
      </c>
      <c r="S1411" s="33">
        <v>0</v>
      </c>
      <c r="T1411" s="13">
        <v>36.96</v>
      </c>
      <c r="U1411" s="13">
        <v>11.457599999999999</v>
      </c>
      <c r="V1411" s="55">
        <f>Table3[[#This Row],[Profit]]/Table3[[#This Row],[Sales]]</f>
        <v>0.31</v>
      </c>
    </row>
    <row r="1412" spans="1:22" x14ac:dyDescent="0.2">
      <c r="A1412">
        <v>1411</v>
      </c>
      <c r="B1412" t="s">
        <v>8261</v>
      </c>
      <c r="C1412" s="1">
        <v>42947</v>
      </c>
      <c r="D1412" s="22">
        <f>MONTH(Table3[[#This Row],[Order Date]])</f>
        <v>7</v>
      </c>
      <c r="E1412" t="s">
        <v>857</v>
      </c>
      <c r="F1412" t="s">
        <v>858</v>
      </c>
      <c r="G1412" s="23" t="s">
        <v>41</v>
      </c>
      <c r="H1412" s="23" t="s">
        <v>68</v>
      </c>
      <c r="I1412" t="s">
        <v>4965</v>
      </c>
      <c r="J1412" t="s">
        <v>36</v>
      </c>
      <c r="K1412" s="22">
        <v>4</v>
      </c>
      <c r="L1412" s="1">
        <v>42952</v>
      </c>
      <c r="M1412" s="22">
        <f>Table3[[#This Row],[Ship Date]]-Table3[[#This Row],[Order Date]]</f>
        <v>5</v>
      </c>
      <c r="N1412" s="23" t="s">
        <v>45</v>
      </c>
      <c r="O1412" s="23" t="s">
        <v>23</v>
      </c>
      <c r="P1412" s="23" t="s">
        <v>103</v>
      </c>
      <c r="Q1412" s="23" t="s">
        <v>95</v>
      </c>
      <c r="R1412" s="23" t="s">
        <v>2242</v>
      </c>
      <c r="S1412" s="33">
        <v>0</v>
      </c>
      <c r="T1412" s="13">
        <v>17.52</v>
      </c>
      <c r="U1412" s="13">
        <v>8.4095999999999993</v>
      </c>
      <c r="V1412" s="55">
        <f>Table3[[#This Row],[Profit]]/Table3[[#This Row],[Sales]]</f>
        <v>0.48</v>
      </c>
    </row>
    <row r="1413" spans="1:22" x14ac:dyDescent="0.2">
      <c r="A1413">
        <v>1412</v>
      </c>
      <c r="B1413" t="s">
        <v>8261</v>
      </c>
      <c r="C1413" s="1">
        <v>42947</v>
      </c>
      <c r="D1413" s="22">
        <f>MONTH(Table3[[#This Row],[Order Date]])</f>
        <v>7</v>
      </c>
      <c r="E1413" t="s">
        <v>1410</v>
      </c>
      <c r="F1413" t="s">
        <v>1411</v>
      </c>
      <c r="G1413" s="23" t="s">
        <v>41</v>
      </c>
      <c r="H1413" s="23" t="s">
        <v>71</v>
      </c>
      <c r="I1413" t="s">
        <v>4965</v>
      </c>
      <c r="J1413" t="s">
        <v>36</v>
      </c>
      <c r="K1413" s="22">
        <v>6</v>
      </c>
      <c r="L1413" s="1">
        <v>42952</v>
      </c>
      <c r="M1413" s="22">
        <f>Table3[[#This Row],[Ship Date]]-Table3[[#This Row],[Order Date]]</f>
        <v>5</v>
      </c>
      <c r="N1413" s="23" t="s">
        <v>45</v>
      </c>
      <c r="O1413" s="23" t="s">
        <v>23</v>
      </c>
      <c r="P1413" s="23" t="s">
        <v>103</v>
      </c>
      <c r="Q1413" s="23" t="s">
        <v>95</v>
      </c>
      <c r="R1413" s="23" t="s">
        <v>2242</v>
      </c>
      <c r="S1413" s="33">
        <v>0</v>
      </c>
      <c r="T1413" s="13">
        <v>155.88</v>
      </c>
      <c r="U1413" s="13">
        <v>54.558</v>
      </c>
      <c r="V1413" s="55">
        <f>Table3[[#This Row],[Profit]]/Table3[[#This Row],[Sales]]</f>
        <v>0.35000000000000003</v>
      </c>
    </row>
    <row r="1414" spans="1:22" x14ac:dyDescent="0.2">
      <c r="A1414">
        <v>1413</v>
      </c>
      <c r="B1414" t="s">
        <v>9833</v>
      </c>
      <c r="C1414" s="1">
        <v>42947</v>
      </c>
      <c r="D1414" s="22">
        <f>MONTH(Table3[[#This Row],[Order Date]])</f>
        <v>7</v>
      </c>
      <c r="E1414" t="s">
        <v>4576</v>
      </c>
      <c r="F1414" t="s">
        <v>4577</v>
      </c>
      <c r="G1414" s="23" t="s">
        <v>64</v>
      </c>
      <c r="H1414" s="23" t="s">
        <v>65</v>
      </c>
      <c r="I1414" t="s">
        <v>3062</v>
      </c>
      <c r="J1414" t="s">
        <v>22</v>
      </c>
      <c r="K1414" s="22">
        <v>4</v>
      </c>
      <c r="L1414" s="1">
        <v>42952</v>
      </c>
      <c r="M1414" s="22">
        <f>Table3[[#This Row],[Ship Date]]-Table3[[#This Row],[Order Date]]</f>
        <v>5</v>
      </c>
      <c r="N1414" s="23" t="s">
        <v>45</v>
      </c>
      <c r="O1414" s="23" t="s">
        <v>23</v>
      </c>
      <c r="P1414" s="23" t="s">
        <v>132</v>
      </c>
      <c r="Q1414" s="23" t="s">
        <v>133</v>
      </c>
      <c r="R1414" s="23" t="s">
        <v>131</v>
      </c>
      <c r="S1414" s="33">
        <v>0.4</v>
      </c>
      <c r="T1414" s="13">
        <v>285.57600000000002</v>
      </c>
      <c r="U1414" s="13">
        <v>-57.115200000000002</v>
      </c>
      <c r="V1414" s="55">
        <f>Table3[[#This Row],[Profit]]/Table3[[#This Row],[Sales]]</f>
        <v>-0.19999999999999998</v>
      </c>
    </row>
    <row r="1415" spans="1:22" x14ac:dyDescent="0.2">
      <c r="A1415">
        <v>1414</v>
      </c>
      <c r="B1415" t="s">
        <v>10003</v>
      </c>
      <c r="C1415" s="1">
        <v>42947</v>
      </c>
      <c r="D1415" s="22">
        <f>MONTH(Table3[[#This Row],[Order Date]])</f>
        <v>7</v>
      </c>
      <c r="E1415" t="s">
        <v>392</v>
      </c>
      <c r="F1415" t="s">
        <v>393</v>
      </c>
      <c r="G1415" s="23" t="s">
        <v>41</v>
      </c>
      <c r="H1415" s="23" t="s">
        <v>82</v>
      </c>
      <c r="I1415" t="s">
        <v>5787</v>
      </c>
      <c r="J1415" t="s">
        <v>92</v>
      </c>
      <c r="K1415" s="22">
        <v>1</v>
      </c>
      <c r="L1415" s="1">
        <v>42951</v>
      </c>
      <c r="M1415" s="22">
        <f>Table3[[#This Row],[Ship Date]]-Table3[[#This Row],[Order Date]]</f>
        <v>4</v>
      </c>
      <c r="N1415" s="23" t="s">
        <v>45</v>
      </c>
      <c r="O1415" s="23" t="s">
        <v>23</v>
      </c>
      <c r="P1415" s="23" t="s">
        <v>218</v>
      </c>
      <c r="Q1415" s="23" t="s">
        <v>133</v>
      </c>
      <c r="R1415" s="23" t="s">
        <v>461</v>
      </c>
      <c r="S1415" s="33">
        <v>0</v>
      </c>
      <c r="T1415" s="13">
        <v>11.54</v>
      </c>
      <c r="U1415" s="13">
        <v>5.5392000000000001</v>
      </c>
      <c r="V1415" s="55">
        <f>Table3[[#This Row],[Profit]]/Table3[[#This Row],[Sales]]</f>
        <v>0.48000000000000004</v>
      </c>
    </row>
    <row r="1416" spans="1:22" x14ac:dyDescent="0.2">
      <c r="A1416">
        <v>1415</v>
      </c>
      <c r="B1416" t="s">
        <v>10003</v>
      </c>
      <c r="C1416" s="1">
        <v>42947</v>
      </c>
      <c r="D1416" s="22">
        <f>MONTH(Table3[[#This Row],[Order Date]])</f>
        <v>7</v>
      </c>
      <c r="E1416" t="s">
        <v>88</v>
      </c>
      <c r="F1416" t="s">
        <v>89</v>
      </c>
      <c r="G1416" s="23" t="s">
        <v>41</v>
      </c>
      <c r="H1416" s="23" t="s">
        <v>68</v>
      </c>
      <c r="I1416" t="s">
        <v>5787</v>
      </c>
      <c r="J1416" t="s">
        <v>92</v>
      </c>
      <c r="K1416" s="22">
        <v>5</v>
      </c>
      <c r="L1416" s="1">
        <v>42951</v>
      </c>
      <c r="M1416" s="22">
        <f>Table3[[#This Row],[Ship Date]]-Table3[[#This Row],[Order Date]]</f>
        <v>4</v>
      </c>
      <c r="N1416" s="23" t="s">
        <v>45</v>
      </c>
      <c r="O1416" s="23" t="s">
        <v>23</v>
      </c>
      <c r="P1416" s="23" t="s">
        <v>218</v>
      </c>
      <c r="Q1416" s="23" t="s">
        <v>133</v>
      </c>
      <c r="R1416" s="23" t="s">
        <v>461</v>
      </c>
      <c r="S1416" s="33">
        <v>0</v>
      </c>
      <c r="T1416" s="13">
        <v>849.95</v>
      </c>
      <c r="U1416" s="13">
        <v>390.97699999999998</v>
      </c>
      <c r="V1416" s="55">
        <f>Table3[[#This Row],[Profit]]/Table3[[#This Row],[Sales]]</f>
        <v>0.45999999999999996</v>
      </c>
    </row>
    <row r="1417" spans="1:22" x14ac:dyDescent="0.2">
      <c r="A1417">
        <v>1416</v>
      </c>
      <c r="B1417" t="s">
        <v>10003</v>
      </c>
      <c r="C1417" s="1">
        <v>42947</v>
      </c>
      <c r="D1417" s="22">
        <f>MONTH(Table3[[#This Row],[Order Date]])</f>
        <v>7</v>
      </c>
      <c r="E1417" t="s">
        <v>8486</v>
      </c>
      <c r="F1417" t="s">
        <v>8487</v>
      </c>
      <c r="G1417" s="23" t="s">
        <v>41</v>
      </c>
      <c r="H1417" s="23" t="s">
        <v>68</v>
      </c>
      <c r="I1417" t="s">
        <v>5787</v>
      </c>
      <c r="J1417" t="s">
        <v>92</v>
      </c>
      <c r="K1417" s="22">
        <v>3</v>
      </c>
      <c r="L1417" s="1">
        <v>42951</v>
      </c>
      <c r="M1417" s="22">
        <f>Table3[[#This Row],[Ship Date]]-Table3[[#This Row],[Order Date]]</f>
        <v>4</v>
      </c>
      <c r="N1417" s="23" t="s">
        <v>45</v>
      </c>
      <c r="O1417" s="23" t="s">
        <v>23</v>
      </c>
      <c r="P1417" s="23" t="s">
        <v>218</v>
      </c>
      <c r="Q1417" s="23" t="s">
        <v>133</v>
      </c>
      <c r="R1417" s="23" t="s">
        <v>461</v>
      </c>
      <c r="S1417" s="33">
        <v>0</v>
      </c>
      <c r="T1417" s="13">
        <v>11.01</v>
      </c>
      <c r="U1417" s="13">
        <v>5.3948999999999998</v>
      </c>
      <c r="V1417" s="55">
        <f>Table3[[#This Row],[Profit]]/Table3[[#This Row],[Sales]]</f>
        <v>0.49</v>
      </c>
    </row>
    <row r="1418" spans="1:22" x14ac:dyDescent="0.2">
      <c r="A1418">
        <v>1417</v>
      </c>
      <c r="B1418" t="s">
        <v>2648</v>
      </c>
      <c r="C1418" s="1">
        <v>42948</v>
      </c>
      <c r="D1418" s="22">
        <f>MONTH(Table3[[#This Row],[Order Date]])</f>
        <v>8</v>
      </c>
      <c r="E1418" t="s">
        <v>612</v>
      </c>
      <c r="F1418" t="s">
        <v>613</v>
      </c>
      <c r="G1418" s="23" t="s">
        <v>64</v>
      </c>
      <c r="H1418" s="23" t="s">
        <v>65</v>
      </c>
      <c r="I1418" t="s">
        <v>1827</v>
      </c>
      <c r="J1418" t="s">
        <v>22</v>
      </c>
      <c r="K1418" s="22">
        <v>2</v>
      </c>
      <c r="L1418" s="1">
        <v>42950</v>
      </c>
      <c r="M1418" s="22">
        <f>Table3[[#This Row],[Ship Date]]-Table3[[#This Row],[Order Date]]</f>
        <v>2</v>
      </c>
      <c r="N1418" s="23" t="s">
        <v>169</v>
      </c>
      <c r="O1418" s="23" t="s">
        <v>23</v>
      </c>
      <c r="P1418" s="23" t="s">
        <v>189</v>
      </c>
      <c r="Q1418" s="23" t="s">
        <v>95</v>
      </c>
      <c r="R1418" s="23" t="s">
        <v>271</v>
      </c>
      <c r="S1418" s="33">
        <v>0.2</v>
      </c>
      <c r="T1418" s="13">
        <v>95.983999999999995</v>
      </c>
      <c r="U1418" s="13">
        <v>5.9989999999999997</v>
      </c>
      <c r="V1418" s="55">
        <f>Table3[[#This Row],[Profit]]/Table3[[#This Row],[Sales]]</f>
        <v>6.25E-2</v>
      </c>
    </row>
    <row r="1419" spans="1:22" x14ac:dyDescent="0.2">
      <c r="A1419">
        <v>1418</v>
      </c>
      <c r="B1419" t="s">
        <v>3017</v>
      </c>
      <c r="C1419" s="1">
        <v>42948</v>
      </c>
      <c r="D1419" s="22">
        <f>MONTH(Table3[[#This Row],[Order Date]])</f>
        <v>8</v>
      </c>
      <c r="E1419" t="s">
        <v>2418</v>
      </c>
      <c r="F1419" t="s">
        <v>2419</v>
      </c>
      <c r="G1419" s="23" t="s">
        <v>64</v>
      </c>
      <c r="H1419" s="23" t="s">
        <v>65</v>
      </c>
      <c r="I1419" t="s">
        <v>3018</v>
      </c>
      <c r="J1419" t="s">
        <v>22</v>
      </c>
      <c r="K1419" s="22">
        <v>5</v>
      </c>
      <c r="L1419" s="1">
        <v>42951</v>
      </c>
      <c r="M1419" s="22">
        <f>Table3[[#This Row],[Ship Date]]-Table3[[#This Row],[Order Date]]</f>
        <v>3</v>
      </c>
      <c r="N1419" s="23" t="s">
        <v>169</v>
      </c>
      <c r="O1419" s="23" t="s">
        <v>23</v>
      </c>
      <c r="P1419" s="23" t="s">
        <v>80</v>
      </c>
      <c r="Q1419" s="23" t="s">
        <v>26</v>
      </c>
      <c r="R1419" s="23" t="s">
        <v>414</v>
      </c>
      <c r="S1419" s="33">
        <v>0.2</v>
      </c>
      <c r="T1419" s="13">
        <v>271.95999999999998</v>
      </c>
      <c r="U1419" s="13">
        <v>16.997499999999999</v>
      </c>
      <c r="V1419" s="55">
        <f>Table3[[#This Row],[Profit]]/Table3[[#This Row],[Sales]]</f>
        <v>6.25E-2</v>
      </c>
    </row>
    <row r="1420" spans="1:22" x14ac:dyDescent="0.2">
      <c r="A1420">
        <v>1419</v>
      </c>
      <c r="B1420" t="s">
        <v>4067</v>
      </c>
      <c r="C1420" s="1">
        <v>42948</v>
      </c>
      <c r="D1420" s="22">
        <f>MONTH(Table3[[#This Row],[Order Date]])</f>
        <v>8</v>
      </c>
      <c r="E1420" t="s">
        <v>4068</v>
      </c>
      <c r="F1420" t="s">
        <v>4069</v>
      </c>
      <c r="G1420" s="23" t="s">
        <v>64</v>
      </c>
      <c r="H1420" s="23" t="s">
        <v>602</v>
      </c>
      <c r="I1420" t="s">
        <v>3267</v>
      </c>
      <c r="J1420" t="s">
        <v>36</v>
      </c>
      <c r="K1420" s="22">
        <v>3</v>
      </c>
      <c r="L1420" s="1">
        <v>42954</v>
      </c>
      <c r="M1420" s="22">
        <f>Table3[[#This Row],[Ship Date]]-Table3[[#This Row],[Order Date]]</f>
        <v>6</v>
      </c>
      <c r="N1420" s="23" t="s">
        <v>45</v>
      </c>
      <c r="O1420" s="23" t="s">
        <v>23</v>
      </c>
      <c r="P1420" s="23" t="s">
        <v>94</v>
      </c>
      <c r="Q1420" s="23" t="s">
        <v>95</v>
      </c>
      <c r="R1420" s="23" t="s">
        <v>1095</v>
      </c>
      <c r="S1420" s="33">
        <v>0.4</v>
      </c>
      <c r="T1420" s="13">
        <v>1439.982</v>
      </c>
      <c r="U1420" s="13">
        <v>-263.99669999999998</v>
      </c>
      <c r="V1420" s="55">
        <f>Table3[[#This Row],[Profit]]/Table3[[#This Row],[Sales]]</f>
        <v>-0.18333333333333332</v>
      </c>
    </row>
    <row r="1421" spans="1:22" x14ac:dyDescent="0.2">
      <c r="A1421">
        <v>1420</v>
      </c>
      <c r="B1421" t="s">
        <v>4067</v>
      </c>
      <c r="C1421" s="1">
        <v>42948</v>
      </c>
      <c r="D1421" s="22">
        <f>MONTH(Table3[[#This Row],[Order Date]])</f>
        <v>8</v>
      </c>
      <c r="E1421" t="s">
        <v>4070</v>
      </c>
      <c r="F1421" t="s">
        <v>4071</v>
      </c>
      <c r="G1421" s="23" t="s">
        <v>41</v>
      </c>
      <c r="H1421" s="23" t="s">
        <v>82</v>
      </c>
      <c r="I1421" t="s">
        <v>3267</v>
      </c>
      <c r="J1421" t="s">
        <v>36</v>
      </c>
      <c r="K1421" s="22">
        <v>7</v>
      </c>
      <c r="L1421" s="1">
        <v>42954</v>
      </c>
      <c r="M1421" s="22">
        <f>Table3[[#This Row],[Ship Date]]-Table3[[#This Row],[Order Date]]</f>
        <v>6</v>
      </c>
      <c r="N1421" s="23" t="s">
        <v>45</v>
      </c>
      <c r="O1421" s="23" t="s">
        <v>23</v>
      </c>
      <c r="P1421" s="23" t="s">
        <v>94</v>
      </c>
      <c r="Q1421" s="23" t="s">
        <v>95</v>
      </c>
      <c r="R1421" s="23" t="s">
        <v>1095</v>
      </c>
      <c r="S1421" s="33">
        <v>0.2</v>
      </c>
      <c r="T1421" s="13">
        <v>36.287999999999997</v>
      </c>
      <c r="U1421" s="13">
        <v>12.700799999999999</v>
      </c>
      <c r="V1421" s="55">
        <f>Table3[[#This Row],[Profit]]/Table3[[#This Row],[Sales]]</f>
        <v>0.35000000000000003</v>
      </c>
    </row>
    <row r="1422" spans="1:22" x14ac:dyDescent="0.2">
      <c r="A1422">
        <v>1421</v>
      </c>
      <c r="B1422" t="s">
        <v>4547</v>
      </c>
      <c r="C1422" s="1">
        <v>42948</v>
      </c>
      <c r="D1422" s="22">
        <f>MONTH(Table3[[#This Row],[Order Date]])</f>
        <v>8</v>
      </c>
      <c r="E1422" t="s">
        <v>546</v>
      </c>
      <c r="F1422" t="s">
        <v>547</v>
      </c>
      <c r="G1422" s="23" t="s">
        <v>41</v>
      </c>
      <c r="H1422" s="23" t="s">
        <v>68</v>
      </c>
      <c r="I1422" t="s">
        <v>722</v>
      </c>
      <c r="J1422" t="s">
        <v>36</v>
      </c>
      <c r="K1422" s="22">
        <v>2</v>
      </c>
      <c r="L1422" s="1">
        <v>42951</v>
      </c>
      <c r="M1422" s="22">
        <f>Table3[[#This Row],[Ship Date]]-Table3[[#This Row],[Order Date]]</f>
        <v>3</v>
      </c>
      <c r="N1422" s="23" t="s">
        <v>20</v>
      </c>
      <c r="O1422" s="23" t="s">
        <v>23</v>
      </c>
      <c r="P1422" s="23" t="s">
        <v>38</v>
      </c>
      <c r="Q1422" s="23" t="s">
        <v>39</v>
      </c>
      <c r="R1422" s="23" t="s">
        <v>2325</v>
      </c>
      <c r="S1422" s="33">
        <v>0.2</v>
      </c>
      <c r="T1422" s="13">
        <v>54.896000000000001</v>
      </c>
      <c r="U1422" s="13">
        <v>18.5274</v>
      </c>
      <c r="V1422" s="55">
        <f>Table3[[#This Row],[Profit]]/Table3[[#This Row],[Sales]]</f>
        <v>0.33750000000000002</v>
      </c>
    </row>
    <row r="1423" spans="1:22" x14ac:dyDescent="0.2">
      <c r="A1423">
        <v>1422</v>
      </c>
      <c r="B1423" t="s">
        <v>8392</v>
      </c>
      <c r="C1423" s="1">
        <v>42948</v>
      </c>
      <c r="D1423" s="22">
        <f>MONTH(Table3[[#This Row],[Order Date]])</f>
        <v>8</v>
      </c>
      <c r="E1423" t="s">
        <v>2833</v>
      </c>
      <c r="F1423" t="s">
        <v>2834</v>
      </c>
      <c r="G1423" s="23" t="s">
        <v>41</v>
      </c>
      <c r="H1423" s="23" t="s">
        <v>53</v>
      </c>
      <c r="I1423" t="s">
        <v>583</v>
      </c>
      <c r="J1423" t="s">
        <v>22</v>
      </c>
      <c r="K1423" s="22">
        <v>3</v>
      </c>
      <c r="L1423" s="1">
        <v>42952</v>
      </c>
      <c r="M1423" s="22">
        <f>Table3[[#This Row],[Ship Date]]-Table3[[#This Row],[Order Date]]</f>
        <v>4</v>
      </c>
      <c r="N1423" s="23" t="s">
        <v>20</v>
      </c>
      <c r="O1423" s="23" t="s">
        <v>23</v>
      </c>
      <c r="P1423" s="23" t="s">
        <v>38</v>
      </c>
      <c r="Q1423" s="23" t="s">
        <v>39</v>
      </c>
      <c r="R1423" s="23" t="s">
        <v>114</v>
      </c>
      <c r="S1423" s="33">
        <v>0</v>
      </c>
      <c r="T1423" s="13">
        <v>186.54</v>
      </c>
      <c r="U1423" s="13">
        <v>50.3658</v>
      </c>
      <c r="V1423" s="55">
        <f>Table3[[#This Row],[Profit]]/Table3[[#This Row],[Sales]]</f>
        <v>0.27</v>
      </c>
    </row>
    <row r="1424" spans="1:22" x14ac:dyDescent="0.2">
      <c r="A1424">
        <v>1423</v>
      </c>
      <c r="B1424" t="s">
        <v>4327</v>
      </c>
      <c r="C1424" s="1">
        <v>42950</v>
      </c>
      <c r="D1424" s="22">
        <f>MONTH(Table3[[#This Row],[Order Date]])</f>
        <v>8</v>
      </c>
      <c r="E1424" t="s">
        <v>4328</v>
      </c>
      <c r="F1424" t="s">
        <v>4329</v>
      </c>
      <c r="G1424" s="23" t="s">
        <v>28</v>
      </c>
      <c r="H1424" s="23" t="s">
        <v>29</v>
      </c>
      <c r="I1424" t="s">
        <v>3656</v>
      </c>
      <c r="J1424" t="s">
        <v>22</v>
      </c>
      <c r="K1424" s="22">
        <v>2</v>
      </c>
      <c r="L1424" s="1">
        <v>42951</v>
      </c>
      <c r="M1424" s="22">
        <f>Table3[[#This Row],[Ship Date]]-Table3[[#This Row],[Order Date]]</f>
        <v>1</v>
      </c>
      <c r="N1424" s="23" t="s">
        <v>169</v>
      </c>
      <c r="O1424" s="23" t="s">
        <v>23</v>
      </c>
      <c r="P1424" s="23" t="s">
        <v>189</v>
      </c>
      <c r="Q1424" s="23" t="s">
        <v>95</v>
      </c>
      <c r="R1424" s="23" t="s">
        <v>271</v>
      </c>
      <c r="S1424" s="33">
        <v>0.3</v>
      </c>
      <c r="T1424" s="13">
        <v>183.37200000000001</v>
      </c>
      <c r="U1424" s="13">
        <v>-36.674399999999999</v>
      </c>
      <c r="V1424" s="55">
        <f>Table3[[#This Row],[Profit]]/Table3[[#This Row],[Sales]]</f>
        <v>-0.19999999999999998</v>
      </c>
    </row>
    <row r="1425" spans="1:22" x14ac:dyDescent="0.2">
      <c r="A1425">
        <v>1424</v>
      </c>
      <c r="B1425" t="s">
        <v>6913</v>
      </c>
      <c r="C1425" s="1">
        <v>42950</v>
      </c>
      <c r="D1425" s="22">
        <f>MONTH(Table3[[#This Row],[Order Date]])</f>
        <v>8</v>
      </c>
      <c r="E1425" t="s">
        <v>1675</v>
      </c>
      <c r="F1425" t="s">
        <v>1676</v>
      </c>
      <c r="G1425" s="23" t="s">
        <v>41</v>
      </c>
      <c r="H1425" s="23" t="s">
        <v>42</v>
      </c>
      <c r="I1425" t="s">
        <v>1739</v>
      </c>
      <c r="J1425" t="s">
        <v>22</v>
      </c>
      <c r="K1425" s="22">
        <v>5</v>
      </c>
      <c r="L1425" s="1">
        <v>42955</v>
      </c>
      <c r="M1425" s="22">
        <f>Table3[[#This Row],[Ship Date]]-Table3[[#This Row],[Order Date]]</f>
        <v>5</v>
      </c>
      <c r="N1425" s="23" t="s">
        <v>20</v>
      </c>
      <c r="O1425" s="23" t="s">
        <v>23</v>
      </c>
      <c r="P1425" s="23" t="s">
        <v>38</v>
      </c>
      <c r="Q1425" s="23" t="s">
        <v>39</v>
      </c>
      <c r="R1425" s="23" t="s">
        <v>114</v>
      </c>
      <c r="S1425" s="33">
        <v>0</v>
      </c>
      <c r="T1425" s="13">
        <v>51.75</v>
      </c>
      <c r="U1425" s="13">
        <v>24.84</v>
      </c>
      <c r="V1425" s="55">
        <f>Table3[[#This Row],[Profit]]/Table3[[#This Row],[Sales]]</f>
        <v>0.48</v>
      </c>
    </row>
    <row r="1426" spans="1:22" x14ac:dyDescent="0.2">
      <c r="A1426">
        <v>1425</v>
      </c>
      <c r="B1426" t="s">
        <v>6913</v>
      </c>
      <c r="C1426" s="1">
        <v>42950</v>
      </c>
      <c r="D1426" s="22">
        <f>MONTH(Table3[[#This Row],[Order Date]])</f>
        <v>8</v>
      </c>
      <c r="E1426" t="s">
        <v>1644</v>
      </c>
      <c r="F1426" t="s">
        <v>1645</v>
      </c>
      <c r="G1426" s="23" t="s">
        <v>28</v>
      </c>
      <c r="H1426" s="23" t="s">
        <v>58</v>
      </c>
      <c r="I1426" t="s">
        <v>1739</v>
      </c>
      <c r="J1426" t="s">
        <v>22</v>
      </c>
      <c r="K1426" s="22">
        <v>3</v>
      </c>
      <c r="L1426" s="1">
        <v>42955</v>
      </c>
      <c r="M1426" s="22">
        <f>Table3[[#This Row],[Ship Date]]-Table3[[#This Row],[Order Date]]</f>
        <v>5</v>
      </c>
      <c r="N1426" s="23" t="s">
        <v>20</v>
      </c>
      <c r="O1426" s="23" t="s">
        <v>23</v>
      </c>
      <c r="P1426" s="23" t="s">
        <v>38</v>
      </c>
      <c r="Q1426" s="23" t="s">
        <v>39</v>
      </c>
      <c r="R1426" s="23" t="s">
        <v>114</v>
      </c>
      <c r="S1426" s="33">
        <v>0</v>
      </c>
      <c r="T1426" s="13">
        <v>123.96</v>
      </c>
      <c r="U1426" s="13">
        <v>11.1564</v>
      </c>
      <c r="V1426" s="55">
        <f>Table3[[#This Row],[Profit]]/Table3[[#This Row],[Sales]]</f>
        <v>0.09</v>
      </c>
    </row>
    <row r="1427" spans="1:22" x14ac:dyDescent="0.2">
      <c r="A1427">
        <v>1426</v>
      </c>
      <c r="B1427" t="s">
        <v>8502</v>
      </c>
      <c r="C1427" s="1">
        <v>42950</v>
      </c>
      <c r="D1427" s="22">
        <f>MONTH(Table3[[#This Row],[Order Date]])</f>
        <v>8</v>
      </c>
      <c r="E1427" t="s">
        <v>4673</v>
      </c>
      <c r="F1427" t="s">
        <v>4674</v>
      </c>
      <c r="G1427" s="23" t="s">
        <v>41</v>
      </c>
      <c r="H1427" s="23" t="s">
        <v>53</v>
      </c>
      <c r="I1427" t="s">
        <v>5272</v>
      </c>
      <c r="J1427" t="s">
        <v>22</v>
      </c>
      <c r="K1427" s="22">
        <v>3</v>
      </c>
      <c r="L1427" s="1">
        <v>42953</v>
      </c>
      <c r="M1427" s="22">
        <f>Table3[[#This Row],[Ship Date]]-Table3[[#This Row],[Order Date]]</f>
        <v>3</v>
      </c>
      <c r="N1427" s="23" t="s">
        <v>20</v>
      </c>
      <c r="O1427" s="23" t="s">
        <v>23</v>
      </c>
      <c r="P1427" s="23" t="s">
        <v>38</v>
      </c>
      <c r="Q1427" s="23" t="s">
        <v>39</v>
      </c>
      <c r="R1427" s="23" t="s">
        <v>37</v>
      </c>
      <c r="S1427" s="33">
        <v>0</v>
      </c>
      <c r="T1427" s="13">
        <v>99.87</v>
      </c>
      <c r="U1427" s="13">
        <v>23.968800000000002</v>
      </c>
      <c r="V1427" s="55">
        <f>Table3[[#This Row],[Profit]]/Table3[[#This Row],[Sales]]</f>
        <v>0.24000000000000002</v>
      </c>
    </row>
    <row r="1428" spans="1:22" x14ac:dyDescent="0.2">
      <c r="A1428">
        <v>1427</v>
      </c>
      <c r="B1428" t="s">
        <v>9698</v>
      </c>
      <c r="C1428" s="1">
        <v>42950</v>
      </c>
      <c r="D1428" s="22">
        <f>MONTH(Table3[[#This Row],[Order Date]])</f>
        <v>8</v>
      </c>
      <c r="E1428" t="s">
        <v>4926</v>
      </c>
      <c r="F1428" t="s">
        <v>4927</v>
      </c>
      <c r="G1428" s="23" t="s">
        <v>64</v>
      </c>
      <c r="H1428" s="23" t="s">
        <v>144</v>
      </c>
      <c r="I1428" t="s">
        <v>3378</v>
      </c>
      <c r="J1428" t="s">
        <v>22</v>
      </c>
      <c r="K1428" s="22">
        <v>3</v>
      </c>
      <c r="L1428" s="1">
        <v>42954</v>
      </c>
      <c r="M1428" s="22">
        <f>Table3[[#This Row],[Ship Date]]-Table3[[#This Row],[Order Date]]</f>
        <v>4</v>
      </c>
      <c r="N1428" s="23" t="s">
        <v>45</v>
      </c>
      <c r="O1428" s="23" t="s">
        <v>23</v>
      </c>
      <c r="P1428" s="23" t="s">
        <v>189</v>
      </c>
      <c r="Q1428" s="23" t="s">
        <v>95</v>
      </c>
      <c r="R1428" s="23" t="s">
        <v>476</v>
      </c>
      <c r="S1428" s="33">
        <v>0.2</v>
      </c>
      <c r="T1428" s="13">
        <v>39.816000000000003</v>
      </c>
      <c r="U1428" s="13">
        <v>7.4654999999999996</v>
      </c>
      <c r="V1428" s="55">
        <f>Table3[[#This Row],[Profit]]/Table3[[#This Row],[Sales]]</f>
        <v>0.18749999999999997</v>
      </c>
    </row>
    <row r="1429" spans="1:22" x14ac:dyDescent="0.2">
      <c r="A1429">
        <v>1428</v>
      </c>
      <c r="B1429" t="s">
        <v>9699</v>
      </c>
      <c r="C1429" s="1">
        <v>42950</v>
      </c>
      <c r="D1429" s="22">
        <f>MONTH(Table3[[#This Row],[Order Date]])</f>
        <v>8</v>
      </c>
      <c r="E1429" t="s">
        <v>4378</v>
      </c>
      <c r="F1429" t="s">
        <v>4379</v>
      </c>
      <c r="G1429" s="23" t="s">
        <v>41</v>
      </c>
      <c r="H1429" s="23" t="s">
        <v>53</v>
      </c>
      <c r="I1429" t="s">
        <v>4226</v>
      </c>
      <c r="J1429" t="s">
        <v>36</v>
      </c>
      <c r="K1429" s="22">
        <v>1</v>
      </c>
      <c r="L1429" s="1">
        <v>42955</v>
      </c>
      <c r="M1429" s="22">
        <f>Table3[[#This Row],[Ship Date]]-Table3[[#This Row],[Order Date]]</f>
        <v>5</v>
      </c>
      <c r="N1429" s="23" t="s">
        <v>20</v>
      </c>
      <c r="O1429" s="23" t="s">
        <v>23</v>
      </c>
      <c r="P1429" s="23" t="s">
        <v>87</v>
      </c>
      <c r="Q1429" s="23" t="s">
        <v>39</v>
      </c>
      <c r="R1429" s="23" t="s">
        <v>86</v>
      </c>
      <c r="S1429" s="33">
        <v>0</v>
      </c>
      <c r="T1429" s="13">
        <v>16.059999999999999</v>
      </c>
      <c r="U1429" s="13">
        <v>4.1756000000000002</v>
      </c>
      <c r="V1429" s="55">
        <f>Table3[[#This Row],[Profit]]/Table3[[#This Row],[Sales]]</f>
        <v>0.26</v>
      </c>
    </row>
    <row r="1430" spans="1:22" x14ac:dyDescent="0.2">
      <c r="A1430">
        <v>1429</v>
      </c>
      <c r="B1430" t="s">
        <v>10136</v>
      </c>
      <c r="C1430" s="1">
        <v>42950</v>
      </c>
      <c r="D1430" s="22">
        <f>MONTH(Table3[[#This Row],[Order Date]])</f>
        <v>8</v>
      </c>
      <c r="E1430" t="s">
        <v>2123</v>
      </c>
      <c r="F1430" t="s">
        <v>2124</v>
      </c>
      <c r="G1430" s="23" t="s">
        <v>41</v>
      </c>
      <c r="H1430" s="23" t="s">
        <v>42</v>
      </c>
      <c r="I1430" t="s">
        <v>245</v>
      </c>
      <c r="J1430" t="s">
        <v>22</v>
      </c>
      <c r="K1430" s="22">
        <v>5</v>
      </c>
      <c r="L1430" s="1">
        <v>42953</v>
      </c>
      <c r="M1430" s="22">
        <f>Table3[[#This Row],[Ship Date]]-Table3[[#This Row],[Order Date]]</f>
        <v>3</v>
      </c>
      <c r="N1430" s="23" t="s">
        <v>169</v>
      </c>
      <c r="O1430" s="23" t="s">
        <v>23</v>
      </c>
      <c r="P1430" s="23" t="s">
        <v>441</v>
      </c>
      <c r="Q1430" s="23" t="s">
        <v>133</v>
      </c>
      <c r="R1430" s="23" t="s">
        <v>659</v>
      </c>
      <c r="S1430" s="33">
        <v>0.2</v>
      </c>
      <c r="T1430" s="13">
        <v>16.52</v>
      </c>
      <c r="U1430" s="13">
        <v>5.3689999999999998</v>
      </c>
      <c r="V1430" s="55">
        <f>Table3[[#This Row],[Profit]]/Table3[[#This Row],[Sales]]</f>
        <v>0.32500000000000001</v>
      </c>
    </row>
    <row r="1431" spans="1:22" x14ac:dyDescent="0.2">
      <c r="A1431">
        <v>1430</v>
      </c>
      <c r="B1431" t="s">
        <v>7236</v>
      </c>
      <c r="C1431" s="1">
        <v>42951</v>
      </c>
      <c r="D1431" s="22">
        <f>MONTH(Table3[[#This Row],[Order Date]])</f>
        <v>8</v>
      </c>
      <c r="E1431" t="s">
        <v>5078</v>
      </c>
      <c r="F1431" t="s">
        <v>5079</v>
      </c>
      <c r="G1431" s="23" t="s">
        <v>41</v>
      </c>
      <c r="H1431" s="23" t="s">
        <v>82</v>
      </c>
      <c r="I1431" t="s">
        <v>3303</v>
      </c>
      <c r="J1431" t="s">
        <v>36</v>
      </c>
      <c r="K1431" s="22">
        <v>2</v>
      </c>
      <c r="L1431" s="1">
        <v>42954</v>
      </c>
      <c r="M1431" s="22">
        <f>Table3[[#This Row],[Ship Date]]-Table3[[#This Row],[Order Date]]</f>
        <v>3</v>
      </c>
      <c r="N1431" s="23" t="s">
        <v>169</v>
      </c>
      <c r="O1431" s="23" t="s">
        <v>23</v>
      </c>
      <c r="P1431" s="23" t="s">
        <v>405</v>
      </c>
      <c r="Q1431" s="23" t="s">
        <v>39</v>
      </c>
      <c r="R1431" s="23" t="s">
        <v>7237</v>
      </c>
      <c r="S1431" s="33">
        <v>0.2</v>
      </c>
      <c r="T1431" s="13">
        <v>7.968</v>
      </c>
      <c r="U1431" s="13">
        <v>2.8883999999999999</v>
      </c>
      <c r="V1431" s="55">
        <f>Table3[[#This Row],[Profit]]/Table3[[#This Row],[Sales]]</f>
        <v>0.36249999999999999</v>
      </c>
    </row>
    <row r="1432" spans="1:22" x14ac:dyDescent="0.2">
      <c r="A1432">
        <v>1431</v>
      </c>
      <c r="B1432" t="s">
        <v>7236</v>
      </c>
      <c r="C1432" s="1">
        <v>42951</v>
      </c>
      <c r="D1432" s="22">
        <f>MONTH(Table3[[#This Row],[Order Date]])</f>
        <v>8</v>
      </c>
      <c r="E1432" t="s">
        <v>2055</v>
      </c>
      <c r="F1432" t="s">
        <v>2056</v>
      </c>
      <c r="G1432" s="23" t="s">
        <v>41</v>
      </c>
      <c r="H1432" s="23" t="s">
        <v>155</v>
      </c>
      <c r="I1432" t="s">
        <v>3303</v>
      </c>
      <c r="J1432" t="s">
        <v>36</v>
      </c>
      <c r="K1432" s="22">
        <v>1</v>
      </c>
      <c r="L1432" s="1">
        <v>42954</v>
      </c>
      <c r="M1432" s="22">
        <f>Table3[[#This Row],[Ship Date]]-Table3[[#This Row],[Order Date]]</f>
        <v>3</v>
      </c>
      <c r="N1432" s="23" t="s">
        <v>169</v>
      </c>
      <c r="O1432" s="23" t="s">
        <v>23</v>
      </c>
      <c r="P1432" s="23" t="s">
        <v>405</v>
      </c>
      <c r="Q1432" s="23" t="s">
        <v>39</v>
      </c>
      <c r="R1432" s="23" t="s">
        <v>7237</v>
      </c>
      <c r="S1432" s="33">
        <v>0.2</v>
      </c>
      <c r="T1432" s="13">
        <v>8.7840000000000007</v>
      </c>
      <c r="U1432" s="13">
        <v>3.1842000000000001</v>
      </c>
      <c r="V1432" s="55">
        <f>Table3[[#This Row],[Profit]]/Table3[[#This Row],[Sales]]</f>
        <v>0.36249999999999999</v>
      </c>
    </row>
    <row r="1433" spans="1:22" x14ac:dyDescent="0.2">
      <c r="A1433">
        <v>1432</v>
      </c>
      <c r="B1433" t="s">
        <v>7331</v>
      </c>
      <c r="C1433" s="1">
        <v>42951</v>
      </c>
      <c r="D1433" s="22">
        <f>MONTH(Table3[[#This Row],[Order Date]])</f>
        <v>8</v>
      </c>
      <c r="E1433" t="s">
        <v>1900</v>
      </c>
      <c r="F1433" t="s">
        <v>1901</v>
      </c>
      <c r="G1433" s="23" t="s">
        <v>41</v>
      </c>
      <c r="H1433" s="23" t="s">
        <v>68</v>
      </c>
      <c r="I1433" t="s">
        <v>3303</v>
      </c>
      <c r="J1433" t="s">
        <v>36</v>
      </c>
      <c r="K1433" s="22">
        <v>3</v>
      </c>
      <c r="L1433" s="1">
        <v>42955</v>
      </c>
      <c r="M1433" s="22">
        <f>Table3[[#This Row],[Ship Date]]-Table3[[#This Row],[Order Date]]</f>
        <v>4</v>
      </c>
      <c r="N1433" s="23" t="s">
        <v>45</v>
      </c>
      <c r="O1433" s="23" t="s">
        <v>23</v>
      </c>
      <c r="P1433" s="23" t="s">
        <v>94</v>
      </c>
      <c r="Q1433" s="23" t="s">
        <v>95</v>
      </c>
      <c r="R1433" s="23" t="s">
        <v>3716</v>
      </c>
      <c r="S1433" s="33">
        <v>0.8</v>
      </c>
      <c r="T1433" s="13">
        <v>3.3180000000000001</v>
      </c>
      <c r="U1433" s="13">
        <v>-5.6406000000000001</v>
      </c>
      <c r="V1433" s="55">
        <f>Table3[[#This Row],[Profit]]/Table3[[#This Row],[Sales]]</f>
        <v>-1.7</v>
      </c>
    </row>
    <row r="1434" spans="1:22" x14ac:dyDescent="0.2">
      <c r="A1434">
        <v>1433</v>
      </c>
      <c r="B1434" t="s">
        <v>3426</v>
      </c>
      <c r="C1434" s="1">
        <v>42952</v>
      </c>
      <c r="D1434" s="22">
        <f>MONTH(Table3[[#This Row],[Order Date]])</f>
        <v>8</v>
      </c>
      <c r="E1434" t="s">
        <v>1120</v>
      </c>
      <c r="F1434" t="s">
        <v>1121</v>
      </c>
      <c r="G1434" s="23" t="s">
        <v>41</v>
      </c>
      <c r="H1434" s="23" t="s">
        <v>82</v>
      </c>
      <c r="I1434" t="s">
        <v>3427</v>
      </c>
      <c r="J1434" t="s">
        <v>36</v>
      </c>
      <c r="K1434" s="22">
        <v>2</v>
      </c>
      <c r="L1434" s="1">
        <v>42955</v>
      </c>
      <c r="M1434" s="22">
        <f>Table3[[#This Row],[Ship Date]]-Table3[[#This Row],[Order Date]]</f>
        <v>3</v>
      </c>
      <c r="N1434" s="23" t="s">
        <v>169</v>
      </c>
      <c r="O1434" s="23" t="s">
        <v>23</v>
      </c>
      <c r="P1434" s="23" t="s">
        <v>25</v>
      </c>
      <c r="Q1434" s="23" t="s">
        <v>26</v>
      </c>
      <c r="R1434" s="23" t="s">
        <v>1294</v>
      </c>
      <c r="S1434" s="33">
        <v>0</v>
      </c>
      <c r="T1434" s="13">
        <v>13.76</v>
      </c>
      <c r="U1434" s="13">
        <v>6.3296000000000001</v>
      </c>
      <c r="V1434" s="55">
        <f>Table3[[#This Row],[Profit]]/Table3[[#This Row],[Sales]]</f>
        <v>0.46</v>
      </c>
    </row>
    <row r="1435" spans="1:22" x14ac:dyDescent="0.2">
      <c r="A1435">
        <v>1434</v>
      </c>
      <c r="B1435" t="s">
        <v>7899</v>
      </c>
      <c r="C1435" s="1">
        <v>42952</v>
      </c>
      <c r="D1435" s="22">
        <f>MONTH(Table3[[#This Row],[Order Date]])</f>
        <v>8</v>
      </c>
      <c r="E1435" t="s">
        <v>4349</v>
      </c>
      <c r="F1435" t="s">
        <v>4350</v>
      </c>
      <c r="G1435" s="23" t="s">
        <v>41</v>
      </c>
      <c r="H1435" s="23" t="s">
        <v>53</v>
      </c>
      <c r="I1435" t="s">
        <v>943</v>
      </c>
      <c r="J1435" t="s">
        <v>92</v>
      </c>
      <c r="K1435" s="22">
        <v>9</v>
      </c>
      <c r="L1435" s="1">
        <v>42955</v>
      </c>
      <c r="M1435" s="22">
        <f>Table3[[#This Row],[Ship Date]]-Table3[[#This Row],[Order Date]]</f>
        <v>3</v>
      </c>
      <c r="N1435" s="23" t="s">
        <v>169</v>
      </c>
      <c r="O1435" s="23" t="s">
        <v>23</v>
      </c>
      <c r="P1435" s="23" t="s">
        <v>94</v>
      </c>
      <c r="Q1435" s="23" t="s">
        <v>95</v>
      </c>
      <c r="R1435" s="23" t="s">
        <v>165</v>
      </c>
      <c r="S1435" s="33">
        <v>0.2</v>
      </c>
      <c r="T1435" s="13">
        <v>151.05600000000001</v>
      </c>
      <c r="U1435" s="13">
        <v>7.5528000000000004</v>
      </c>
      <c r="V1435" s="55">
        <f>Table3[[#This Row],[Profit]]/Table3[[#This Row],[Sales]]</f>
        <v>4.9999999999999996E-2</v>
      </c>
    </row>
    <row r="1436" spans="1:22" x14ac:dyDescent="0.2">
      <c r="A1436">
        <v>1435</v>
      </c>
      <c r="B1436" t="s">
        <v>8235</v>
      </c>
      <c r="C1436" s="1">
        <v>42952</v>
      </c>
      <c r="D1436" s="22">
        <f>MONTH(Table3[[#This Row],[Order Date]])</f>
        <v>8</v>
      </c>
      <c r="E1436" t="s">
        <v>1851</v>
      </c>
      <c r="F1436" t="s">
        <v>1852</v>
      </c>
      <c r="G1436" s="23" t="s">
        <v>41</v>
      </c>
      <c r="H1436" s="23" t="s">
        <v>68</v>
      </c>
      <c r="I1436" t="s">
        <v>210</v>
      </c>
      <c r="J1436" t="s">
        <v>22</v>
      </c>
      <c r="K1436" s="22">
        <v>6</v>
      </c>
      <c r="L1436" s="1">
        <v>42956</v>
      </c>
      <c r="M1436" s="22">
        <f>Table3[[#This Row],[Ship Date]]-Table3[[#This Row],[Order Date]]</f>
        <v>4</v>
      </c>
      <c r="N1436" s="23" t="s">
        <v>45</v>
      </c>
      <c r="O1436" s="23" t="s">
        <v>23</v>
      </c>
      <c r="P1436" s="23" t="s">
        <v>226</v>
      </c>
      <c r="Q1436" s="23" t="s">
        <v>95</v>
      </c>
      <c r="R1436" s="23" t="s">
        <v>3859</v>
      </c>
      <c r="S1436" s="33">
        <v>0</v>
      </c>
      <c r="T1436" s="13">
        <v>125.88</v>
      </c>
      <c r="U1436" s="13">
        <v>60.422400000000003</v>
      </c>
      <c r="V1436" s="55">
        <f>Table3[[#This Row],[Profit]]/Table3[[#This Row],[Sales]]</f>
        <v>0.48000000000000004</v>
      </c>
    </row>
    <row r="1437" spans="1:22" x14ac:dyDescent="0.2">
      <c r="A1437">
        <v>1436</v>
      </c>
      <c r="B1437" t="s">
        <v>8235</v>
      </c>
      <c r="C1437" s="1">
        <v>42952</v>
      </c>
      <c r="D1437" s="22">
        <f>MONTH(Table3[[#This Row],[Order Date]])</f>
        <v>8</v>
      </c>
      <c r="E1437" t="s">
        <v>2348</v>
      </c>
      <c r="F1437" t="s">
        <v>2349</v>
      </c>
      <c r="G1437" s="23" t="s">
        <v>64</v>
      </c>
      <c r="H1437" s="23" t="s">
        <v>144</v>
      </c>
      <c r="I1437" t="s">
        <v>210</v>
      </c>
      <c r="J1437" t="s">
        <v>22</v>
      </c>
      <c r="K1437" s="22">
        <v>2</v>
      </c>
      <c r="L1437" s="1">
        <v>42956</v>
      </c>
      <c r="M1437" s="22">
        <f>Table3[[#This Row],[Ship Date]]-Table3[[#This Row],[Order Date]]</f>
        <v>4</v>
      </c>
      <c r="N1437" s="23" t="s">
        <v>45</v>
      </c>
      <c r="O1437" s="23" t="s">
        <v>23</v>
      </c>
      <c r="P1437" s="23" t="s">
        <v>226</v>
      </c>
      <c r="Q1437" s="23" t="s">
        <v>95</v>
      </c>
      <c r="R1437" s="23" t="s">
        <v>3859</v>
      </c>
      <c r="S1437" s="33">
        <v>0</v>
      </c>
      <c r="T1437" s="13">
        <v>79.78</v>
      </c>
      <c r="U1437" s="13">
        <v>29.518599999999999</v>
      </c>
      <c r="V1437" s="55">
        <f>Table3[[#This Row],[Profit]]/Table3[[#This Row],[Sales]]</f>
        <v>0.37</v>
      </c>
    </row>
    <row r="1438" spans="1:22" x14ac:dyDescent="0.2">
      <c r="A1438">
        <v>1437</v>
      </c>
      <c r="B1438" t="s">
        <v>8235</v>
      </c>
      <c r="C1438" s="1">
        <v>42952</v>
      </c>
      <c r="D1438" s="22">
        <f>MONTH(Table3[[#This Row],[Order Date]])</f>
        <v>8</v>
      </c>
      <c r="E1438" t="s">
        <v>7695</v>
      </c>
      <c r="F1438" t="s">
        <v>7696</v>
      </c>
      <c r="G1438" s="23" t="s">
        <v>41</v>
      </c>
      <c r="H1438" s="23" t="s">
        <v>42</v>
      </c>
      <c r="I1438" t="s">
        <v>210</v>
      </c>
      <c r="J1438" t="s">
        <v>22</v>
      </c>
      <c r="K1438" s="22">
        <v>9</v>
      </c>
      <c r="L1438" s="1">
        <v>42956</v>
      </c>
      <c r="M1438" s="22">
        <f>Table3[[#This Row],[Ship Date]]-Table3[[#This Row],[Order Date]]</f>
        <v>4</v>
      </c>
      <c r="N1438" s="23" t="s">
        <v>45</v>
      </c>
      <c r="O1438" s="23" t="s">
        <v>23</v>
      </c>
      <c r="P1438" s="23" t="s">
        <v>226</v>
      </c>
      <c r="Q1438" s="23" t="s">
        <v>95</v>
      </c>
      <c r="R1438" s="23" t="s">
        <v>3859</v>
      </c>
      <c r="S1438" s="33">
        <v>0</v>
      </c>
      <c r="T1438" s="13">
        <v>133.19999999999999</v>
      </c>
      <c r="U1438" s="13">
        <v>66.599999999999994</v>
      </c>
      <c r="V1438" s="55">
        <f>Table3[[#This Row],[Profit]]/Table3[[#This Row],[Sales]]</f>
        <v>0.5</v>
      </c>
    </row>
    <row r="1439" spans="1:22" x14ac:dyDescent="0.2">
      <c r="A1439">
        <v>1438</v>
      </c>
      <c r="B1439" t="s">
        <v>4241</v>
      </c>
      <c r="C1439" s="1">
        <v>42953</v>
      </c>
      <c r="D1439" s="22">
        <f>MONTH(Table3[[#This Row],[Order Date]])</f>
        <v>8</v>
      </c>
      <c r="E1439" t="s">
        <v>4242</v>
      </c>
      <c r="F1439" t="s">
        <v>4243</v>
      </c>
      <c r="G1439" s="23" t="s">
        <v>28</v>
      </c>
      <c r="H1439" s="23" t="s">
        <v>29</v>
      </c>
      <c r="I1439" t="s">
        <v>2029</v>
      </c>
      <c r="J1439" t="s">
        <v>22</v>
      </c>
      <c r="K1439" s="22">
        <v>3</v>
      </c>
      <c r="L1439" s="1">
        <v>42957</v>
      </c>
      <c r="M1439" s="22">
        <f>Table3[[#This Row],[Ship Date]]-Table3[[#This Row],[Order Date]]</f>
        <v>4</v>
      </c>
      <c r="N1439" s="23" t="s">
        <v>20</v>
      </c>
      <c r="O1439" s="23" t="s">
        <v>23</v>
      </c>
      <c r="P1439" s="23" t="s">
        <v>650</v>
      </c>
      <c r="Q1439" s="23" t="s">
        <v>26</v>
      </c>
      <c r="R1439" s="23" t="s">
        <v>3766</v>
      </c>
      <c r="S1439" s="33">
        <v>0</v>
      </c>
      <c r="T1439" s="13">
        <v>145.74</v>
      </c>
      <c r="U1439" s="13">
        <v>23.3184</v>
      </c>
      <c r="V1439" s="55">
        <f>Table3[[#This Row],[Profit]]/Table3[[#This Row],[Sales]]</f>
        <v>0.16</v>
      </c>
    </row>
    <row r="1440" spans="1:22" x14ac:dyDescent="0.2">
      <c r="A1440">
        <v>1439</v>
      </c>
      <c r="B1440" t="s">
        <v>4241</v>
      </c>
      <c r="C1440" s="1">
        <v>42953</v>
      </c>
      <c r="D1440" s="22">
        <f>MONTH(Table3[[#This Row],[Order Date]])</f>
        <v>8</v>
      </c>
      <c r="E1440" t="s">
        <v>231</v>
      </c>
      <c r="F1440" t="s">
        <v>232</v>
      </c>
      <c r="G1440" s="23" t="s">
        <v>28</v>
      </c>
      <c r="H1440" s="23" t="s">
        <v>58</v>
      </c>
      <c r="I1440" t="s">
        <v>2029</v>
      </c>
      <c r="J1440" t="s">
        <v>22</v>
      </c>
      <c r="K1440" s="22">
        <v>5</v>
      </c>
      <c r="L1440" s="1">
        <v>42957</v>
      </c>
      <c r="M1440" s="22">
        <f>Table3[[#This Row],[Ship Date]]-Table3[[#This Row],[Order Date]]</f>
        <v>4</v>
      </c>
      <c r="N1440" s="23" t="s">
        <v>20</v>
      </c>
      <c r="O1440" s="23" t="s">
        <v>23</v>
      </c>
      <c r="P1440" s="23" t="s">
        <v>650</v>
      </c>
      <c r="Q1440" s="23" t="s">
        <v>26</v>
      </c>
      <c r="R1440" s="23" t="s">
        <v>3766</v>
      </c>
      <c r="S1440" s="33">
        <v>0</v>
      </c>
      <c r="T1440" s="13">
        <v>15.4</v>
      </c>
      <c r="U1440" s="13">
        <v>7.3920000000000003</v>
      </c>
      <c r="V1440" s="55">
        <f>Table3[[#This Row],[Profit]]/Table3[[#This Row],[Sales]]</f>
        <v>0.48000000000000004</v>
      </c>
    </row>
    <row r="1441" spans="1:22" x14ac:dyDescent="0.2">
      <c r="A1441">
        <v>1440</v>
      </c>
      <c r="B1441" t="s">
        <v>7546</v>
      </c>
      <c r="C1441" s="1">
        <v>42953</v>
      </c>
      <c r="D1441" s="22">
        <f>MONTH(Table3[[#This Row],[Order Date]])</f>
        <v>8</v>
      </c>
      <c r="E1441" t="s">
        <v>7000</v>
      </c>
      <c r="F1441" t="s">
        <v>7001</v>
      </c>
      <c r="G1441" s="23" t="s">
        <v>41</v>
      </c>
      <c r="H1441" s="23" t="s">
        <v>82</v>
      </c>
      <c r="I1441" t="s">
        <v>3166</v>
      </c>
      <c r="J1441" t="s">
        <v>36</v>
      </c>
      <c r="K1441" s="22">
        <v>3</v>
      </c>
      <c r="L1441" s="1">
        <v>42958</v>
      </c>
      <c r="M1441" s="22">
        <f>Table3[[#This Row],[Ship Date]]-Table3[[#This Row],[Order Date]]</f>
        <v>5</v>
      </c>
      <c r="N1441" s="23" t="s">
        <v>45</v>
      </c>
      <c r="O1441" s="23" t="s">
        <v>23</v>
      </c>
      <c r="P1441" s="23" t="s">
        <v>94</v>
      </c>
      <c r="Q1441" s="23" t="s">
        <v>95</v>
      </c>
      <c r="R1441" s="23" t="s">
        <v>7547</v>
      </c>
      <c r="S1441" s="33">
        <v>0.2</v>
      </c>
      <c r="T1441" s="13">
        <v>115.29600000000001</v>
      </c>
      <c r="U1441" s="13">
        <v>40.3536</v>
      </c>
      <c r="V1441" s="55">
        <f>Table3[[#This Row],[Profit]]/Table3[[#This Row],[Sales]]</f>
        <v>0.35</v>
      </c>
    </row>
    <row r="1442" spans="1:22" x14ac:dyDescent="0.2">
      <c r="A1442">
        <v>1441</v>
      </c>
      <c r="B1442" t="s">
        <v>8104</v>
      </c>
      <c r="C1442" s="1">
        <v>42953</v>
      </c>
      <c r="D1442" s="22">
        <f>MONTH(Table3[[#This Row],[Order Date]])</f>
        <v>8</v>
      </c>
      <c r="E1442" t="s">
        <v>5174</v>
      </c>
      <c r="F1442" t="s">
        <v>5175</v>
      </c>
      <c r="G1442" s="23" t="s">
        <v>64</v>
      </c>
      <c r="H1442" s="23" t="s">
        <v>65</v>
      </c>
      <c r="I1442" t="s">
        <v>353</v>
      </c>
      <c r="J1442" t="s">
        <v>92</v>
      </c>
      <c r="K1442" s="22">
        <v>5</v>
      </c>
      <c r="L1442" s="1">
        <v>42959</v>
      </c>
      <c r="M1442" s="22">
        <f>Table3[[#This Row],[Ship Date]]-Table3[[#This Row],[Order Date]]</f>
        <v>6</v>
      </c>
      <c r="N1442" s="23" t="s">
        <v>45</v>
      </c>
      <c r="O1442" s="23" t="s">
        <v>23</v>
      </c>
      <c r="P1442" s="23" t="s">
        <v>2373</v>
      </c>
      <c r="Q1442" s="23" t="s">
        <v>133</v>
      </c>
      <c r="R1442" s="23" t="s">
        <v>79</v>
      </c>
      <c r="S1442" s="33">
        <v>0</v>
      </c>
      <c r="T1442" s="13">
        <v>824.95</v>
      </c>
      <c r="U1442" s="13">
        <v>247.48500000000001</v>
      </c>
      <c r="V1442" s="55">
        <f>Table3[[#This Row],[Profit]]/Table3[[#This Row],[Sales]]</f>
        <v>0.3</v>
      </c>
    </row>
    <row r="1443" spans="1:22" x14ac:dyDescent="0.2">
      <c r="A1443">
        <v>1442</v>
      </c>
      <c r="B1443" t="s">
        <v>8104</v>
      </c>
      <c r="C1443" s="1">
        <v>42953</v>
      </c>
      <c r="D1443" s="22">
        <f>MONTH(Table3[[#This Row],[Order Date]])</f>
        <v>8</v>
      </c>
      <c r="E1443" t="s">
        <v>3631</v>
      </c>
      <c r="F1443" t="s">
        <v>3632</v>
      </c>
      <c r="G1443" s="23" t="s">
        <v>41</v>
      </c>
      <c r="H1443" s="23" t="s">
        <v>42</v>
      </c>
      <c r="I1443" t="s">
        <v>353</v>
      </c>
      <c r="J1443" t="s">
        <v>92</v>
      </c>
      <c r="K1443" s="22">
        <v>8</v>
      </c>
      <c r="L1443" s="1">
        <v>42959</v>
      </c>
      <c r="M1443" s="22">
        <f>Table3[[#This Row],[Ship Date]]-Table3[[#This Row],[Order Date]]</f>
        <v>6</v>
      </c>
      <c r="N1443" s="23" t="s">
        <v>45</v>
      </c>
      <c r="O1443" s="23" t="s">
        <v>23</v>
      </c>
      <c r="P1443" s="23" t="s">
        <v>2373</v>
      </c>
      <c r="Q1443" s="23" t="s">
        <v>133</v>
      </c>
      <c r="R1443" s="23" t="s">
        <v>79</v>
      </c>
      <c r="S1443" s="33">
        <v>0</v>
      </c>
      <c r="T1443" s="13">
        <v>24.64</v>
      </c>
      <c r="U1443" s="13">
        <v>11.827199999999999</v>
      </c>
      <c r="V1443" s="55">
        <f>Table3[[#This Row],[Profit]]/Table3[[#This Row],[Sales]]</f>
        <v>0.48</v>
      </c>
    </row>
    <row r="1444" spans="1:22" x14ac:dyDescent="0.2">
      <c r="A1444">
        <v>1443</v>
      </c>
      <c r="B1444" t="s">
        <v>8104</v>
      </c>
      <c r="C1444" s="1">
        <v>42953</v>
      </c>
      <c r="D1444" s="22">
        <f>MONTH(Table3[[#This Row],[Order Date]])</f>
        <v>8</v>
      </c>
      <c r="E1444" t="s">
        <v>434</v>
      </c>
      <c r="F1444" t="s">
        <v>435</v>
      </c>
      <c r="G1444" s="23" t="s">
        <v>41</v>
      </c>
      <c r="H1444" s="23" t="s">
        <v>61</v>
      </c>
      <c r="I1444" t="s">
        <v>353</v>
      </c>
      <c r="J1444" t="s">
        <v>92</v>
      </c>
      <c r="K1444" s="22">
        <v>6</v>
      </c>
      <c r="L1444" s="1">
        <v>42959</v>
      </c>
      <c r="M1444" s="22">
        <f>Table3[[#This Row],[Ship Date]]-Table3[[#This Row],[Order Date]]</f>
        <v>6</v>
      </c>
      <c r="N1444" s="23" t="s">
        <v>45</v>
      </c>
      <c r="O1444" s="23" t="s">
        <v>23</v>
      </c>
      <c r="P1444" s="23" t="s">
        <v>2373</v>
      </c>
      <c r="Q1444" s="23" t="s">
        <v>133</v>
      </c>
      <c r="R1444" s="23" t="s">
        <v>79</v>
      </c>
      <c r="S1444" s="33">
        <v>0</v>
      </c>
      <c r="T1444" s="13">
        <v>227.88</v>
      </c>
      <c r="U1444" s="13">
        <v>68.364000000000004</v>
      </c>
      <c r="V1444" s="55">
        <f>Table3[[#This Row],[Profit]]/Table3[[#This Row],[Sales]]</f>
        <v>0.30000000000000004</v>
      </c>
    </row>
    <row r="1445" spans="1:22" x14ac:dyDescent="0.2">
      <c r="A1445">
        <v>1444</v>
      </c>
      <c r="B1445" t="s">
        <v>8686</v>
      </c>
      <c r="C1445" s="1">
        <v>42953</v>
      </c>
      <c r="D1445" s="22">
        <f>MONTH(Table3[[#This Row],[Order Date]])</f>
        <v>8</v>
      </c>
      <c r="E1445" t="s">
        <v>1241</v>
      </c>
      <c r="F1445" t="s">
        <v>1242</v>
      </c>
      <c r="G1445" s="23" t="s">
        <v>41</v>
      </c>
      <c r="H1445" s="23" t="s">
        <v>513</v>
      </c>
      <c r="I1445" t="s">
        <v>996</v>
      </c>
      <c r="J1445" t="s">
        <v>22</v>
      </c>
      <c r="K1445" s="22">
        <v>4</v>
      </c>
      <c r="L1445" s="1">
        <v>42957</v>
      </c>
      <c r="M1445" s="22">
        <f>Table3[[#This Row],[Ship Date]]-Table3[[#This Row],[Order Date]]</f>
        <v>4</v>
      </c>
      <c r="N1445" s="23" t="s">
        <v>45</v>
      </c>
      <c r="O1445" s="23" t="s">
        <v>23</v>
      </c>
      <c r="P1445" s="23" t="s">
        <v>238</v>
      </c>
      <c r="Q1445" s="23" t="s">
        <v>133</v>
      </c>
      <c r="R1445" s="23" t="s">
        <v>237</v>
      </c>
      <c r="S1445" s="33">
        <v>0</v>
      </c>
      <c r="T1445" s="13">
        <v>70.12</v>
      </c>
      <c r="U1445" s="13">
        <v>21.036000000000001</v>
      </c>
      <c r="V1445" s="55">
        <f>Table3[[#This Row],[Profit]]/Table3[[#This Row],[Sales]]</f>
        <v>0.3</v>
      </c>
    </row>
    <row r="1446" spans="1:22" x14ac:dyDescent="0.2">
      <c r="A1446">
        <v>1445</v>
      </c>
      <c r="B1446" t="s">
        <v>5255</v>
      </c>
      <c r="C1446" s="1">
        <v>42954</v>
      </c>
      <c r="D1446" s="22">
        <f>MONTH(Table3[[#This Row],[Order Date]])</f>
        <v>8</v>
      </c>
      <c r="E1446" t="s">
        <v>1412</v>
      </c>
      <c r="F1446" t="s">
        <v>1413</v>
      </c>
      <c r="G1446" s="23" t="s">
        <v>64</v>
      </c>
      <c r="H1446" s="23" t="s">
        <v>144</v>
      </c>
      <c r="I1446" t="s">
        <v>1834</v>
      </c>
      <c r="J1446" t="s">
        <v>22</v>
      </c>
      <c r="K1446" s="22">
        <v>1</v>
      </c>
      <c r="L1446" s="1">
        <v>42958</v>
      </c>
      <c r="M1446" s="22">
        <f>Table3[[#This Row],[Ship Date]]-Table3[[#This Row],[Order Date]]</f>
        <v>4</v>
      </c>
      <c r="N1446" s="23" t="s">
        <v>20</v>
      </c>
      <c r="O1446" s="23" t="s">
        <v>23</v>
      </c>
      <c r="P1446" s="23" t="s">
        <v>80</v>
      </c>
      <c r="Q1446" s="23" t="s">
        <v>26</v>
      </c>
      <c r="R1446" s="23" t="s">
        <v>1345</v>
      </c>
      <c r="S1446" s="33">
        <v>0.2</v>
      </c>
      <c r="T1446" s="13">
        <v>79.992000000000004</v>
      </c>
      <c r="U1446" s="13">
        <v>21.997800000000002</v>
      </c>
      <c r="V1446" s="55">
        <f>Table3[[#This Row],[Profit]]/Table3[[#This Row],[Sales]]</f>
        <v>0.27500000000000002</v>
      </c>
    </row>
    <row r="1447" spans="1:22" x14ac:dyDescent="0.2">
      <c r="A1447">
        <v>1446</v>
      </c>
      <c r="B1447" t="s">
        <v>6045</v>
      </c>
      <c r="C1447" s="1">
        <v>42954</v>
      </c>
      <c r="D1447" s="22">
        <f>MONTH(Table3[[#This Row],[Order Date]])</f>
        <v>8</v>
      </c>
      <c r="E1447" t="s">
        <v>879</v>
      </c>
      <c r="F1447" t="s">
        <v>880</v>
      </c>
      <c r="G1447" s="23" t="s">
        <v>41</v>
      </c>
      <c r="H1447" s="23" t="s">
        <v>61</v>
      </c>
      <c r="I1447" t="s">
        <v>3937</v>
      </c>
      <c r="J1447" t="s">
        <v>22</v>
      </c>
      <c r="K1447" s="22">
        <v>2</v>
      </c>
      <c r="L1447" s="1">
        <v>42959</v>
      </c>
      <c r="M1447" s="22">
        <f>Table3[[#This Row],[Ship Date]]-Table3[[#This Row],[Order Date]]</f>
        <v>5</v>
      </c>
      <c r="N1447" s="23" t="s">
        <v>45</v>
      </c>
      <c r="O1447" s="23" t="s">
        <v>23</v>
      </c>
      <c r="P1447" s="23" t="s">
        <v>238</v>
      </c>
      <c r="Q1447" s="23" t="s">
        <v>133</v>
      </c>
      <c r="R1447" s="23" t="s">
        <v>1037</v>
      </c>
      <c r="S1447" s="33">
        <v>0</v>
      </c>
      <c r="T1447" s="13">
        <v>11.68</v>
      </c>
      <c r="U1447" s="13">
        <v>5.4896000000000003</v>
      </c>
      <c r="V1447" s="55">
        <f>Table3[[#This Row],[Profit]]/Table3[[#This Row],[Sales]]</f>
        <v>0.47000000000000003</v>
      </c>
    </row>
    <row r="1448" spans="1:22" x14ac:dyDescent="0.2">
      <c r="A1448">
        <v>1447</v>
      </c>
      <c r="B1448" t="s">
        <v>6045</v>
      </c>
      <c r="C1448" s="1">
        <v>42954</v>
      </c>
      <c r="D1448" s="22">
        <f>MONTH(Table3[[#This Row],[Order Date]])</f>
        <v>8</v>
      </c>
      <c r="E1448" t="s">
        <v>6046</v>
      </c>
      <c r="F1448" t="s">
        <v>2673</v>
      </c>
      <c r="G1448" s="23" t="s">
        <v>41</v>
      </c>
      <c r="H1448" s="23" t="s">
        <v>61</v>
      </c>
      <c r="I1448" t="s">
        <v>3937</v>
      </c>
      <c r="J1448" t="s">
        <v>22</v>
      </c>
      <c r="K1448" s="22">
        <v>10</v>
      </c>
      <c r="L1448" s="1">
        <v>42959</v>
      </c>
      <c r="M1448" s="22">
        <f>Table3[[#This Row],[Ship Date]]-Table3[[#This Row],[Order Date]]</f>
        <v>5</v>
      </c>
      <c r="N1448" s="23" t="s">
        <v>45</v>
      </c>
      <c r="O1448" s="23" t="s">
        <v>23</v>
      </c>
      <c r="P1448" s="23" t="s">
        <v>238</v>
      </c>
      <c r="Q1448" s="23" t="s">
        <v>133</v>
      </c>
      <c r="R1448" s="23" t="s">
        <v>1037</v>
      </c>
      <c r="S1448" s="33">
        <v>0</v>
      </c>
      <c r="T1448" s="13">
        <v>104.8</v>
      </c>
      <c r="U1448" s="13">
        <v>26.2</v>
      </c>
      <c r="V1448" s="55">
        <f>Table3[[#This Row],[Profit]]/Table3[[#This Row],[Sales]]</f>
        <v>0.25</v>
      </c>
    </row>
    <row r="1449" spans="1:22" x14ac:dyDescent="0.2">
      <c r="A1449">
        <v>1448</v>
      </c>
      <c r="B1449" t="s">
        <v>6487</v>
      </c>
      <c r="C1449" s="1">
        <v>42954</v>
      </c>
      <c r="D1449" s="22">
        <f>MONTH(Table3[[#This Row],[Order Date]])</f>
        <v>8</v>
      </c>
      <c r="E1449" t="s">
        <v>3035</v>
      </c>
      <c r="F1449" t="s">
        <v>3036</v>
      </c>
      <c r="G1449" s="23" t="s">
        <v>64</v>
      </c>
      <c r="H1449" s="23" t="s">
        <v>65</v>
      </c>
      <c r="I1449" t="s">
        <v>1997</v>
      </c>
      <c r="J1449" t="s">
        <v>22</v>
      </c>
      <c r="K1449" s="22">
        <v>5</v>
      </c>
      <c r="L1449" s="1">
        <v>42960</v>
      </c>
      <c r="M1449" s="22">
        <f>Table3[[#This Row],[Ship Date]]-Table3[[#This Row],[Order Date]]</f>
        <v>6</v>
      </c>
      <c r="N1449" s="23" t="s">
        <v>45</v>
      </c>
      <c r="O1449" s="23" t="s">
        <v>23</v>
      </c>
      <c r="P1449" s="23" t="s">
        <v>38</v>
      </c>
      <c r="Q1449" s="23" t="s">
        <v>39</v>
      </c>
      <c r="R1449" s="23" t="s">
        <v>836</v>
      </c>
      <c r="S1449" s="33">
        <v>0.2</v>
      </c>
      <c r="T1449" s="13">
        <v>159.96</v>
      </c>
      <c r="U1449" s="13">
        <v>17.9955</v>
      </c>
      <c r="V1449" s="55">
        <f>Table3[[#This Row],[Profit]]/Table3[[#This Row],[Sales]]</f>
        <v>0.11249999999999999</v>
      </c>
    </row>
    <row r="1450" spans="1:22" x14ac:dyDescent="0.2">
      <c r="A1450">
        <v>1449</v>
      </c>
      <c r="B1450" t="s">
        <v>6487</v>
      </c>
      <c r="C1450" s="1">
        <v>42954</v>
      </c>
      <c r="D1450" s="22">
        <f>MONTH(Table3[[#This Row],[Order Date]])</f>
        <v>8</v>
      </c>
      <c r="E1450" t="s">
        <v>1648</v>
      </c>
      <c r="F1450" t="s">
        <v>1649</v>
      </c>
      <c r="G1450" s="23" t="s">
        <v>41</v>
      </c>
      <c r="H1450" s="23" t="s">
        <v>68</v>
      </c>
      <c r="I1450" t="s">
        <v>1997</v>
      </c>
      <c r="J1450" t="s">
        <v>22</v>
      </c>
      <c r="K1450" s="22">
        <v>2</v>
      </c>
      <c r="L1450" s="1">
        <v>42960</v>
      </c>
      <c r="M1450" s="22">
        <f>Table3[[#This Row],[Ship Date]]-Table3[[#This Row],[Order Date]]</f>
        <v>6</v>
      </c>
      <c r="N1450" s="23" t="s">
        <v>45</v>
      </c>
      <c r="O1450" s="23" t="s">
        <v>23</v>
      </c>
      <c r="P1450" s="23" t="s">
        <v>38</v>
      </c>
      <c r="Q1450" s="23" t="s">
        <v>39</v>
      </c>
      <c r="R1450" s="23" t="s">
        <v>836</v>
      </c>
      <c r="S1450" s="33">
        <v>0.2</v>
      </c>
      <c r="T1450" s="13">
        <v>13.76</v>
      </c>
      <c r="U1450" s="13">
        <v>4.6440000000000001</v>
      </c>
      <c r="V1450" s="55">
        <f>Table3[[#This Row],[Profit]]/Table3[[#This Row],[Sales]]</f>
        <v>0.33750000000000002</v>
      </c>
    </row>
    <row r="1451" spans="1:22" x14ac:dyDescent="0.2">
      <c r="A1451">
        <v>1450</v>
      </c>
      <c r="B1451" t="s">
        <v>6626</v>
      </c>
      <c r="C1451" s="1">
        <v>42954</v>
      </c>
      <c r="D1451" s="22">
        <f>MONTH(Table3[[#This Row],[Order Date]])</f>
        <v>8</v>
      </c>
      <c r="E1451" t="s">
        <v>3867</v>
      </c>
      <c r="F1451" t="s">
        <v>3868</v>
      </c>
      <c r="G1451" s="23" t="s">
        <v>64</v>
      </c>
      <c r="H1451" s="23" t="s">
        <v>144</v>
      </c>
      <c r="I1451" t="s">
        <v>5763</v>
      </c>
      <c r="J1451" t="s">
        <v>22</v>
      </c>
      <c r="K1451" s="22">
        <v>4</v>
      </c>
      <c r="L1451" s="1">
        <v>42958</v>
      </c>
      <c r="M1451" s="22">
        <f>Table3[[#This Row],[Ship Date]]-Table3[[#This Row],[Order Date]]</f>
        <v>4</v>
      </c>
      <c r="N1451" s="23" t="s">
        <v>45</v>
      </c>
      <c r="O1451" s="23" t="s">
        <v>23</v>
      </c>
      <c r="P1451" s="23" t="s">
        <v>204</v>
      </c>
      <c r="Q1451" s="23" t="s">
        <v>95</v>
      </c>
      <c r="R1451" s="23" t="s">
        <v>4423</v>
      </c>
      <c r="S1451" s="33">
        <v>0</v>
      </c>
      <c r="T1451" s="13">
        <v>63.96</v>
      </c>
      <c r="U1451" s="13">
        <v>19.8276</v>
      </c>
      <c r="V1451" s="55">
        <f>Table3[[#This Row],[Profit]]/Table3[[#This Row],[Sales]]</f>
        <v>0.31</v>
      </c>
    </row>
    <row r="1452" spans="1:22" x14ac:dyDescent="0.2">
      <c r="A1452">
        <v>1451</v>
      </c>
      <c r="B1452" t="s">
        <v>6775</v>
      </c>
      <c r="C1452" s="1">
        <v>42954</v>
      </c>
      <c r="D1452" s="22">
        <f>MONTH(Table3[[#This Row],[Order Date]])</f>
        <v>8</v>
      </c>
      <c r="E1452" t="s">
        <v>4203</v>
      </c>
      <c r="F1452" t="s">
        <v>4204</v>
      </c>
      <c r="G1452" s="23" t="s">
        <v>41</v>
      </c>
      <c r="H1452" s="23" t="s">
        <v>82</v>
      </c>
      <c r="I1452" t="s">
        <v>3220</v>
      </c>
      <c r="J1452" t="s">
        <v>22</v>
      </c>
      <c r="K1452" s="22">
        <v>5</v>
      </c>
      <c r="L1452" s="1">
        <v>42959</v>
      </c>
      <c r="M1452" s="22">
        <f>Table3[[#This Row],[Ship Date]]-Table3[[#This Row],[Order Date]]</f>
        <v>5</v>
      </c>
      <c r="N1452" s="23" t="s">
        <v>45</v>
      </c>
      <c r="O1452" s="23" t="s">
        <v>23</v>
      </c>
      <c r="P1452" s="23" t="s">
        <v>38</v>
      </c>
      <c r="Q1452" s="23" t="s">
        <v>39</v>
      </c>
      <c r="R1452" s="23" t="s">
        <v>557</v>
      </c>
      <c r="S1452" s="33">
        <v>0</v>
      </c>
      <c r="T1452" s="13">
        <v>244.55</v>
      </c>
      <c r="U1452" s="13">
        <v>114.9385</v>
      </c>
      <c r="V1452" s="55">
        <f>Table3[[#This Row],[Profit]]/Table3[[#This Row],[Sales]]</f>
        <v>0.47</v>
      </c>
    </row>
    <row r="1453" spans="1:22" x14ac:dyDescent="0.2">
      <c r="A1453">
        <v>1452</v>
      </c>
      <c r="B1453" t="s">
        <v>8803</v>
      </c>
      <c r="C1453" s="1">
        <v>42954</v>
      </c>
      <c r="D1453" s="22">
        <f>MONTH(Table3[[#This Row],[Order Date]])</f>
        <v>8</v>
      </c>
      <c r="E1453" t="s">
        <v>406</v>
      </c>
      <c r="F1453" t="s">
        <v>407</v>
      </c>
      <c r="G1453" s="23" t="s">
        <v>64</v>
      </c>
      <c r="H1453" s="23" t="s">
        <v>144</v>
      </c>
      <c r="I1453" t="s">
        <v>1767</v>
      </c>
      <c r="J1453" t="s">
        <v>22</v>
      </c>
      <c r="K1453" s="22">
        <v>3</v>
      </c>
      <c r="L1453" s="1">
        <v>42955</v>
      </c>
      <c r="M1453" s="22">
        <f>Table3[[#This Row],[Ship Date]]-Table3[[#This Row],[Order Date]]</f>
        <v>1</v>
      </c>
      <c r="N1453" s="23" t="s">
        <v>169</v>
      </c>
      <c r="O1453" s="23" t="s">
        <v>23</v>
      </c>
      <c r="P1453" s="23" t="s">
        <v>94</v>
      </c>
      <c r="Q1453" s="23" t="s">
        <v>95</v>
      </c>
      <c r="R1453" s="23" t="s">
        <v>718</v>
      </c>
      <c r="S1453" s="33">
        <v>0.2</v>
      </c>
      <c r="T1453" s="13">
        <v>119.44799999999999</v>
      </c>
      <c r="U1453" s="13">
        <v>-13.437900000000001</v>
      </c>
      <c r="V1453" s="55">
        <f>Table3[[#This Row],[Profit]]/Table3[[#This Row],[Sales]]</f>
        <v>-0.11250000000000002</v>
      </c>
    </row>
    <row r="1454" spans="1:22" x14ac:dyDescent="0.2">
      <c r="A1454">
        <v>1453</v>
      </c>
      <c r="B1454" t="s">
        <v>8803</v>
      </c>
      <c r="C1454" s="1">
        <v>42954</v>
      </c>
      <c r="D1454" s="22">
        <f>MONTH(Table3[[#This Row],[Order Date]])</f>
        <v>8</v>
      </c>
      <c r="E1454" t="s">
        <v>855</v>
      </c>
      <c r="F1454" t="s">
        <v>856</v>
      </c>
      <c r="G1454" s="23" t="s">
        <v>41</v>
      </c>
      <c r="H1454" s="23" t="s">
        <v>53</v>
      </c>
      <c r="I1454" t="s">
        <v>1767</v>
      </c>
      <c r="J1454" t="s">
        <v>22</v>
      </c>
      <c r="K1454" s="22">
        <v>2</v>
      </c>
      <c r="L1454" s="1">
        <v>42955</v>
      </c>
      <c r="M1454" s="22">
        <f>Table3[[#This Row],[Ship Date]]-Table3[[#This Row],[Order Date]]</f>
        <v>1</v>
      </c>
      <c r="N1454" s="23" t="s">
        <v>169</v>
      </c>
      <c r="O1454" s="23" t="s">
        <v>23</v>
      </c>
      <c r="P1454" s="23" t="s">
        <v>94</v>
      </c>
      <c r="Q1454" s="23" t="s">
        <v>95</v>
      </c>
      <c r="R1454" s="23" t="s">
        <v>718</v>
      </c>
      <c r="S1454" s="33">
        <v>0.2</v>
      </c>
      <c r="T1454" s="13">
        <v>118.16</v>
      </c>
      <c r="U1454" s="13">
        <v>-25.109000000000002</v>
      </c>
      <c r="V1454" s="55">
        <f>Table3[[#This Row],[Profit]]/Table3[[#This Row],[Sales]]</f>
        <v>-0.21250000000000002</v>
      </c>
    </row>
    <row r="1455" spans="1:22" x14ac:dyDescent="0.2">
      <c r="A1455">
        <v>1454</v>
      </c>
      <c r="B1455" t="s">
        <v>9687</v>
      </c>
      <c r="C1455" s="1">
        <v>42954</v>
      </c>
      <c r="D1455" s="22">
        <f>MONTH(Table3[[#This Row],[Order Date]])</f>
        <v>8</v>
      </c>
      <c r="E1455" t="s">
        <v>5942</v>
      </c>
      <c r="F1455" t="s">
        <v>5943</v>
      </c>
      <c r="G1455" s="23" t="s">
        <v>64</v>
      </c>
      <c r="H1455" s="23" t="s">
        <v>65</v>
      </c>
      <c r="I1455" t="s">
        <v>1113</v>
      </c>
      <c r="J1455" t="s">
        <v>22</v>
      </c>
      <c r="K1455" s="22">
        <v>3</v>
      </c>
      <c r="L1455" s="1">
        <v>42958</v>
      </c>
      <c r="M1455" s="22">
        <f>Table3[[#This Row],[Ship Date]]-Table3[[#This Row],[Order Date]]</f>
        <v>4</v>
      </c>
      <c r="N1455" s="23" t="s">
        <v>45</v>
      </c>
      <c r="O1455" s="23" t="s">
        <v>23</v>
      </c>
      <c r="P1455" s="23" t="s">
        <v>38</v>
      </c>
      <c r="Q1455" s="23" t="s">
        <v>39</v>
      </c>
      <c r="R1455" s="23" t="s">
        <v>3504</v>
      </c>
      <c r="S1455" s="33">
        <v>0.2</v>
      </c>
      <c r="T1455" s="13">
        <v>707.88</v>
      </c>
      <c r="U1455" s="13">
        <v>44.2425</v>
      </c>
      <c r="V1455" s="55">
        <f>Table3[[#This Row],[Profit]]/Table3[[#This Row],[Sales]]</f>
        <v>6.25E-2</v>
      </c>
    </row>
    <row r="1456" spans="1:22" x14ac:dyDescent="0.2">
      <c r="A1456">
        <v>1455</v>
      </c>
      <c r="B1456" t="s">
        <v>9687</v>
      </c>
      <c r="C1456" s="1">
        <v>42954</v>
      </c>
      <c r="D1456" s="22">
        <f>MONTH(Table3[[#This Row],[Order Date]])</f>
        <v>8</v>
      </c>
      <c r="E1456" t="s">
        <v>2026</v>
      </c>
      <c r="F1456" t="s">
        <v>2027</v>
      </c>
      <c r="G1456" s="23" t="s">
        <v>41</v>
      </c>
      <c r="H1456" s="23" t="s">
        <v>68</v>
      </c>
      <c r="I1456" t="s">
        <v>1113</v>
      </c>
      <c r="J1456" t="s">
        <v>22</v>
      </c>
      <c r="K1456" s="22">
        <v>3</v>
      </c>
      <c r="L1456" s="1">
        <v>42958</v>
      </c>
      <c r="M1456" s="22">
        <f>Table3[[#This Row],[Ship Date]]-Table3[[#This Row],[Order Date]]</f>
        <v>4</v>
      </c>
      <c r="N1456" s="23" t="s">
        <v>45</v>
      </c>
      <c r="O1456" s="23" t="s">
        <v>23</v>
      </c>
      <c r="P1456" s="23" t="s">
        <v>38</v>
      </c>
      <c r="Q1456" s="23" t="s">
        <v>39</v>
      </c>
      <c r="R1456" s="23" t="s">
        <v>3504</v>
      </c>
      <c r="S1456" s="33">
        <v>0.2</v>
      </c>
      <c r="T1456" s="13">
        <v>11.952</v>
      </c>
      <c r="U1456" s="13">
        <v>4.1832000000000003</v>
      </c>
      <c r="V1456" s="55">
        <f>Table3[[#This Row],[Profit]]/Table3[[#This Row],[Sales]]</f>
        <v>0.35000000000000003</v>
      </c>
    </row>
    <row r="1457" spans="1:22" x14ac:dyDescent="0.2">
      <c r="A1457">
        <v>1456</v>
      </c>
      <c r="B1457" t="s">
        <v>9687</v>
      </c>
      <c r="C1457" s="1">
        <v>42954</v>
      </c>
      <c r="D1457" s="22">
        <f>MONTH(Table3[[#This Row],[Order Date]])</f>
        <v>8</v>
      </c>
      <c r="E1457" t="s">
        <v>6629</v>
      </c>
      <c r="F1457" t="s">
        <v>6630</v>
      </c>
      <c r="G1457" s="23" t="s">
        <v>41</v>
      </c>
      <c r="H1457" s="23" t="s">
        <v>68</v>
      </c>
      <c r="I1457" t="s">
        <v>1113</v>
      </c>
      <c r="J1457" t="s">
        <v>22</v>
      </c>
      <c r="K1457" s="22">
        <v>3</v>
      </c>
      <c r="L1457" s="1">
        <v>42958</v>
      </c>
      <c r="M1457" s="22">
        <f>Table3[[#This Row],[Ship Date]]-Table3[[#This Row],[Order Date]]</f>
        <v>4</v>
      </c>
      <c r="N1457" s="23" t="s">
        <v>45</v>
      </c>
      <c r="O1457" s="23" t="s">
        <v>23</v>
      </c>
      <c r="P1457" s="23" t="s">
        <v>38</v>
      </c>
      <c r="Q1457" s="23" t="s">
        <v>39</v>
      </c>
      <c r="R1457" s="23" t="s">
        <v>3504</v>
      </c>
      <c r="S1457" s="33">
        <v>0.2</v>
      </c>
      <c r="T1457" s="13">
        <v>31.128</v>
      </c>
      <c r="U1457" s="13">
        <v>11.673</v>
      </c>
      <c r="V1457" s="55">
        <f>Table3[[#This Row],[Profit]]/Table3[[#This Row],[Sales]]</f>
        <v>0.375</v>
      </c>
    </row>
    <row r="1458" spans="1:22" x14ac:dyDescent="0.2">
      <c r="A1458">
        <v>1457</v>
      </c>
      <c r="B1458" t="s">
        <v>9687</v>
      </c>
      <c r="C1458" s="1">
        <v>42954</v>
      </c>
      <c r="D1458" s="22">
        <f>MONTH(Table3[[#This Row],[Order Date]])</f>
        <v>8</v>
      </c>
      <c r="E1458" t="s">
        <v>7950</v>
      </c>
      <c r="F1458" t="s">
        <v>7951</v>
      </c>
      <c r="G1458" s="23" t="s">
        <v>64</v>
      </c>
      <c r="H1458" s="23" t="s">
        <v>144</v>
      </c>
      <c r="I1458" t="s">
        <v>1113</v>
      </c>
      <c r="J1458" t="s">
        <v>22</v>
      </c>
      <c r="K1458" s="22">
        <v>4</v>
      </c>
      <c r="L1458" s="1">
        <v>42958</v>
      </c>
      <c r="M1458" s="22">
        <f>Table3[[#This Row],[Ship Date]]-Table3[[#This Row],[Order Date]]</f>
        <v>4</v>
      </c>
      <c r="N1458" s="23" t="s">
        <v>45</v>
      </c>
      <c r="O1458" s="23" t="s">
        <v>23</v>
      </c>
      <c r="P1458" s="23" t="s">
        <v>38</v>
      </c>
      <c r="Q1458" s="23" t="s">
        <v>39</v>
      </c>
      <c r="R1458" s="23" t="s">
        <v>3504</v>
      </c>
      <c r="S1458" s="33">
        <v>0</v>
      </c>
      <c r="T1458" s="13">
        <v>55.76</v>
      </c>
      <c r="U1458" s="13">
        <v>7.8064</v>
      </c>
      <c r="V1458" s="55">
        <f>Table3[[#This Row],[Profit]]/Table3[[#This Row],[Sales]]</f>
        <v>0.14000000000000001</v>
      </c>
    </row>
    <row r="1459" spans="1:22" x14ac:dyDescent="0.2">
      <c r="A1459">
        <v>1458</v>
      </c>
      <c r="B1459" t="s">
        <v>9687</v>
      </c>
      <c r="C1459" s="1">
        <v>42954</v>
      </c>
      <c r="D1459" s="22">
        <f>MONTH(Table3[[#This Row],[Order Date]])</f>
        <v>8</v>
      </c>
      <c r="E1459" t="s">
        <v>1106</v>
      </c>
      <c r="F1459" t="s">
        <v>1107</v>
      </c>
      <c r="G1459" s="23" t="s">
        <v>41</v>
      </c>
      <c r="H1459" s="23" t="s">
        <v>82</v>
      </c>
      <c r="I1459" t="s">
        <v>1113</v>
      </c>
      <c r="J1459" t="s">
        <v>22</v>
      </c>
      <c r="K1459" s="22">
        <v>2</v>
      </c>
      <c r="L1459" s="1">
        <v>42958</v>
      </c>
      <c r="M1459" s="22">
        <f>Table3[[#This Row],[Ship Date]]-Table3[[#This Row],[Order Date]]</f>
        <v>4</v>
      </c>
      <c r="N1459" s="23" t="s">
        <v>45</v>
      </c>
      <c r="O1459" s="23" t="s">
        <v>23</v>
      </c>
      <c r="P1459" s="23" t="s">
        <v>38</v>
      </c>
      <c r="Q1459" s="23" t="s">
        <v>39</v>
      </c>
      <c r="R1459" s="23" t="s">
        <v>3504</v>
      </c>
      <c r="S1459" s="33">
        <v>0</v>
      </c>
      <c r="T1459" s="13">
        <v>24.56</v>
      </c>
      <c r="U1459" s="13">
        <v>11.543200000000001</v>
      </c>
      <c r="V1459" s="55">
        <f>Table3[[#This Row],[Profit]]/Table3[[#This Row],[Sales]]</f>
        <v>0.47000000000000003</v>
      </c>
    </row>
    <row r="1460" spans="1:22" x14ac:dyDescent="0.2">
      <c r="A1460">
        <v>1459</v>
      </c>
      <c r="B1460" t="s">
        <v>9687</v>
      </c>
      <c r="C1460" s="1">
        <v>42954</v>
      </c>
      <c r="D1460" s="22">
        <f>MONTH(Table3[[#This Row],[Order Date]])</f>
        <v>8</v>
      </c>
      <c r="E1460" t="s">
        <v>152</v>
      </c>
      <c r="F1460" t="s">
        <v>153</v>
      </c>
      <c r="G1460" s="23" t="s">
        <v>28</v>
      </c>
      <c r="H1460" s="23" t="s">
        <v>58</v>
      </c>
      <c r="I1460" t="s">
        <v>1113</v>
      </c>
      <c r="J1460" t="s">
        <v>22</v>
      </c>
      <c r="K1460" s="22">
        <v>1</v>
      </c>
      <c r="L1460" s="1">
        <v>42958</v>
      </c>
      <c r="M1460" s="22">
        <f>Table3[[#This Row],[Ship Date]]-Table3[[#This Row],[Order Date]]</f>
        <v>4</v>
      </c>
      <c r="N1460" s="23" t="s">
        <v>45</v>
      </c>
      <c r="O1460" s="23" t="s">
        <v>23</v>
      </c>
      <c r="P1460" s="23" t="s">
        <v>38</v>
      </c>
      <c r="Q1460" s="23" t="s">
        <v>39</v>
      </c>
      <c r="R1460" s="23" t="s">
        <v>3504</v>
      </c>
      <c r="S1460" s="33">
        <v>0</v>
      </c>
      <c r="T1460" s="13">
        <v>51.75</v>
      </c>
      <c r="U1460" s="13">
        <v>15.525</v>
      </c>
      <c r="V1460" s="55">
        <f>Table3[[#This Row],[Profit]]/Table3[[#This Row],[Sales]]</f>
        <v>0.3</v>
      </c>
    </row>
    <row r="1461" spans="1:22" x14ac:dyDescent="0.2">
      <c r="A1461">
        <v>1460</v>
      </c>
      <c r="B1461" t="s">
        <v>9687</v>
      </c>
      <c r="C1461" s="1">
        <v>42954</v>
      </c>
      <c r="D1461" s="22">
        <f>MONTH(Table3[[#This Row],[Order Date]])</f>
        <v>8</v>
      </c>
      <c r="E1461" t="s">
        <v>9688</v>
      </c>
      <c r="F1461" t="s">
        <v>9689</v>
      </c>
      <c r="G1461" s="23" t="s">
        <v>28</v>
      </c>
      <c r="H1461" s="23" t="s">
        <v>32</v>
      </c>
      <c r="I1461" t="s">
        <v>1113</v>
      </c>
      <c r="J1461" t="s">
        <v>22</v>
      </c>
      <c r="K1461" s="22">
        <v>1</v>
      </c>
      <c r="L1461" s="1">
        <v>42958</v>
      </c>
      <c r="M1461" s="22">
        <f>Table3[[#This Row],[Ship Date]]-Table3[[#This Row],[Order Date]]</f>
        <v>4</v>
      </c>
      <c r="N1461" s="23" t="s">
        <v>45</v>
      </c>
      <c r="O1461" s="23" t="s">
        <v>23</v>
      </c>
      <c r="P1461" s="23" t="s">
        <v>38</v>
      </c>
      <c r="Q1461" s="23" t="s">
        <v>39</v>
      </c>
      <c r="R1461" s="23" t="s">
        <v>3504</v>
      </c>
      <c r="S1461" s="33">
        <v>0.2</v>
      </c>
      <c r="T1461" s="13">
        <v>207.184</v>
      </c>
      <c r="U1461" s="13">
        <v>25.898</v>
      </c>
      <c r="V1461" s="55">
        <f>Table3[[#This Row],[Profit]]/Table3[[#This Row],[Sales]]</f>
        <v>0.125</v>
      </c>
    </row>
    <row r="1462" spans="1:22" x14ac:dyDescent="0.2">
      <c r="A1462">
        <v>1461</v>
      </c>
      <c r="B1462" t="s">
        <v>9687</v>
      </c>
      <c r="C1462" s="1">
        <v>42954</v>
      </c>
      <c r="D1462" s="22">
        <f>MONTH(Table3[[#This Row],[Order Date]])</f>
        <v>8</v>
      </c>
      <c r="E1462" t="s">
        <v>4317</v>
      </c>
      <c r="F1462" t="s">
        <v>4318</v>
      </c>
      <c r="G1462" s="23" t="s">
        <v>41</v>
      </c>
      <c r="H1462" s="23" t="s">
        <v>71</v>
      </c>
      <c r="I1462" t="s">
        <v>1113</v>
      </c>
      <c r="J1462" t="s">
        <v>22</v>
      </c>
      <c r="K1462" s="22">
        <v>5</v>
      </c>
      <c r="L1462" s="1">
        <v>42958</v>
      </c>
      <c r="M1462" s="22">
        <f>Table3[[#This Row],[Ship Date]]-Table3[[#This Row],[Order Date]]</f>
        <v>4</v>
      </c>
      <c r="N1462" s="23" t="s">
        <v>45</v>
      </c>
      <c r="O1462" s="23" t="s">
        <v>23</v>
      </c>
      <c r="P1462" s="23" t="s">
        <v>38</v>
      </c>
      <c r="Q1462" s="23" t="s">
        <v>39</v>
      </c>
      <c r="R1462" s="23" t="s">
        <v>3504</v>
      </c>
      <c r="S1462" s="33">
        <v>0</v>
      </c>
      <c r="T1462" s="13">
        <v>1473.1</v>
      </c>
      <c r="U1462" s="13">
        <v>412.46800000000002</v>
      </c>
      <c r="V1462" s="55">
        <f>Table3[[#This Row],[Profit]]/Table3[[#This Row],[Sales]]</f>
        <v>0.28000000000000003</v>
      </c>
    </row>
    <row r="1463" spans="1:22" x14ac:dyDescent="0.2">
      <c r="A1463">
        <v>1462</v>
      </c>
      <c r="B1463" t="s">
        <v>4550</v>
      </c>
      <c r="C1463" s="1">
        <v>42957</v>
      </c>
      <c r="D1463" s="22">
        <f>MONTH(Table3[[#This Row],[Order Date]])</f>
        <v>8</v>
      </c>
      <c r="E1463" t="s">
        <v>3643</v>
      </c>
      <c r="F1463" t="s">
        <v>591</v>
      </c>
      <c r="G1463" s="23" t="s">
        <v>41</v>
      </c>
      <c r="H1463" s="23" t="s">
        <v>155</v>
      </c>
      <c r="I1463" t="s">
        <v>4534</v>
      </c>
      <c r="J1463" t="s">
        <v>22</v>
      </c>
      <c r="K1463" s="22">
        <v>6</v>
      </c>
      <c r="L1463" s="1">
        <v>42962</v>
      </c>
      <c r="M1463" s="22">
        <f>Table3[[#This Row],[Ship Date]]-Table3[[#This Row],[Order Date]]</f>
        <v>5</v>
      </c>
      <c r="N1463" s="23" t="s">
        <v>45</v>
      </c>
      <c r="O1463" s="23" t="s">
        <v>23</v>
      </c>
      <c r="P1463" s="23" t="s">
        <v>226</v>
      </c>
      <c r="Q1463" s="23" t="s">
        <v>95</v>
      </c>
      <c r="R1463" s="23" t="s">
        <v>440</v>
      </c>
      <c r="S1463" s="33">
        <v>0</v>
      </c>
      <c r="T1463" s="13">
        <v>70.08</v>
      </c>
      <c r="U1463" s="13">
        <v>35.04</v>
      </c>
      <c r="V1463" s="55">
        <f>Table3[[#This Row],[Profit]]/Table3[[#This Row],[Sales]]</f>
        <v>0.5</v>
      </c>
    </row>
    <row r="1464" spans="1:22" x14ac:dyDescent="0.2">
      <c r="A1464">
        <v>1463</v>
      </c>
      <c r="B1464" t="s">
        <v>4550</v>
      </c>
      <c r="C1464" s="1">
        <v>42957</v>
      </c>
      <c r="D1464" s="22">
        <f>MONTH(Table3[[#This Row],[Order Date]])</f>
        <v>8</v>
      </c>
      <c r="E1464" t="s">
        <v>302</v>
      </c>
      <c r="F1464" t="s">
        <v>303</v>
      </c>
      <c r="G1464" s="23" t="s">
        <v>28</v>
      </c>
      <c r="H1464" s="23" t="s">
        <v>58</v>
      </c>
      <c r="I1464" t="s">
        <v>4534</v>
      </c>
      <c r="J1464" t="s">
        <v>22</v>
      </c>
      <c r="K1464" s="22">
        <v>2</v>
      </c>
      <c r="L1464" s="1">
        <v>42962</v>
      </c>
      <c r="M1464" s="22">
        <f>Table3[[#This Row],[Ship Date]]-Table3[[#This Row],[Order Date]]</f>
        <v>5</v>
      </c>
      <c r="N1464" s="23" t="s">
        <v>45</v>
      </c>
      <c r="O1464" s="23" t="s">
        <v>23</v>
      </c>
      <c r="P1464" s="23" t="s">
        <v>226</v>
      </c>
      <c r="Q1464" s="23" t="s">
        <v>95</v>
      </c>
      <c r="R1464" s="23" t="s">
        <v>440</v>
      </c>
      <c r="S1464" s="33">
        <v>0</v>
      </c>
      <c r="T1464" s="13">
        <v>121.3</v>
      </c>
      <c r="U1464" s="13">
        <v>25.472999999999999</v>
      </c>
      <c r="V1464" s="55">
        <f>Table3[[#This Row],[Profit]]/Table3[[#This Row],[Sales]]</f>
        <v>0.21</v>
      </c>
    </row>
    <row r="1465" spans="1:22" x14ac:dyDescent="0.2">
      <c r="A1465">
        <v>1464</v>
      </c>
      <c r="B1465" t="s">
        <v>4550</v>
      </c>
      <c r="C1465" s="1">
        <v>42957</v>
      </c>
      <c r="D1465" s="22">
        <f>MONTH(Table3[[#This Row],[Order Date]])</f>
        <v>8</v>
      </c>
      <c r="E1465" t="s">
        <v>1052</v>
      </c>
      <c r="F1465" t="s">
        <v>1053</v>
      </c>
      <c r="G1465" s="23" t="s">
        <v>64</v>
      </c>
      <c r="H1465" s="23" t="s">
        <v>65</v>
      </c>
      <c r="I1465" t="s">
        <v>4534</v>
      </c>
      <c r="J1465" t="s">
        <v>22</v>
      </c>
      <c r="K1465" s="22">
        <v>9</v>
      </c>
      <c r="L1465" s="1">
        <v>42962</v>
      </c>
      <c r="M1465" s="22">
        <f>Table3[[#This Row],[Ship Date]]-Table3[[#This Row],[Order Date]]</f>
        <v>5</v>
      </c>
      <c r="N1465" s="23" t="s">
        <v>45</v>
      </c>
      <c r="O1465" s="23" t="s">
        <v>23</v>
      </c>
      <c r="P1465" s="23" t="s">
        <v>226</v>
      </c>
      <c r="Q1465" s="23" t="s">
        <v>95</v>
      </c>
      <c r="R1465" s="23" t="s">
        <v>440</v>
      </c>
      <c r="S1465" s="33">
        <v>0</v>
      </c>
      <c r="T1465" s="13">
        <v>1454.49</v>
      </c>
      <c r="U1465" s="13">
        <v>378.16739999999999</v>
      </c>
      <c r="V1465" s="55">
        <f>Table3[[#This Row],[Profit]]/Table3[[#This Row],[Sales]]</f>
        <v>0.26</v>
      </c>
    </row>
    <row r="1466" spans="1:22" x14ac:dyDescent="0.2">
      <c r="A1466">
        <v>1465</v>
      </c>
      <c r="B1466" t="s">
        <v>8286</v>
      </c>
      <c r="C1466" s="1">
        <v>42957</v>
      </c>
      <c r="D1466" s="22">
        <f>MONTH(Table3[[#This Row],[Order Date]])</f>
        <v>8</v>
      </c>
      <c r="E1466" t="s">
        <v>7423</v>
      </c>
      <c r="F1466" t="s">
        <v>7424</v>
      </c>
      <c r="G1466" s="23" t="s">
        <v>41</v>
      </c>
      <c r="H1466" s="23" t="s">
        <v>82</v>
      </c>
      <c r="I1466" t="s">
        <v>2049</v>
      </c>
      <c r="J1466" t="s">
        <v>36</v>
      </c>
      <c r="K1466" s="22">
        <v>5</v>
      </c>
      <c r="L1466" s="1">
        <v>42962</v>
      </c>
      <c r="M1466" s="22">
        <f>Table3[[#This Row],[Ship Date]]-Table3[[#This Row],[Order Date]]</f>
        <v>5</v>
      </c>
      <c r="N1466" s="23" t="s">
        <v>20</v>
      </c>
      <c r="O1466" s="23" t="s">
        <v>23</v>
      </c>
      <c r="P1466" s="23" t="s">
        <v>226</v>
      </c>
      <c r="Q1466" s="23" t="s">
        <v>95</v>
      </c>
      <c r="R1466" s="23" t="s">
        <v>1294</v>
      </c>
      <c r="S1466" s="33">
        <v>0</v>
      </c>
      <c r="T1466" s="13">
        <v>177.2</v>
      </c>
      <c r="U1466" s="13">
        <v>83.284000000000006</v>
      </c>
      <c r="V1466" s="55">
        <f>Table3[[#This Row],[Profit]]/Table3[[#This Row],[Sales]]</f>
        <v>0.47000000000000008</v>
      </c>
    </row>
    <row r="1467" spans="1:22" x14ac:dyDescent="0.2">
      <c r="A1467">
        <v>1466</v>
      </c>
      <c r="B1467" t="s">
        <v>6436</v>
      </c>
      <c r="C1467" s="1">
        <v>42958</v>
      </c>
      <c r="D1467" s="22">
        <f>MONTH(Table3[[#This Row],[Order Date]])</f>
        <v>8</v>
      </c>
      <c r="E1467" t="s">
        <v>4649</v>
      </c>
      <c r="F1467" t="s">
        <v>4650</v>
      </c>
      <c r="G1467" s="23" t="s">
        <v>41</v>
      </c>
      <c r="H1467" s="23" t="s">
        <v>82</v>
      </c>
      <c r="I1467" t="s">
        <v>1814</v>
      </c>
      <c r="J1467" t="s">
        <v>36</v>
      </c>
      <c r="K1467" s="22">
        <v>4</v>
      </c>
      <c r="L1467" s="1">
        <v>42960</v>
      </c>
      <c r="M1467" s="22">
        <f>Table3[[#This Row],[Ship Date]]-Table3[[#This Row],[Order Date]]</f>
        <v>2</v>
      </c>
      <c r="N1467" s="23" t="s">
        <v>169</v>
      </c>
      <c r="O1467" s="23" t="s">
        <v>23</v>
      </c>
      <c r="P1467" s="23" t="s">
        <v>94</v>
      </c>
      <c r="Q1467" s="23" t="s">
        <v>95</v>
      </c>
      <c r="R1467" s="23" t="s">
        <v>6437</v>
      </c>
      <c r="S1467" s="33">
        <v>0.2</v>
      </c>
      <c r="T1467" s="13">
        <v>29.664000000000001</v>
      </c>
      <c r="U1467" s="13">
        <v>10.0116</v>
      </c>
      <c r="V1467" s="55">
        <f>Table3[[#This Row],[Profit]]/Table3[[#This Row],[Sales]]</f>
        <v>0.33749999999999997</v>
      </c>
    </row>
    <row r="1468" spans="1:22" x14ac:dyDescent="0.2">
      <c r="A1468">
        <v>1467</v>
      </c>
      <c r="B1468" t="s">
        <v>6436</v>
      </c>
      <c r="C1468" s="1">
        <v>42958</v>
      </c>
      <c r="D1468" s="22">
        <f>MONTH(Table3[[#This Row],[Order Date]])</f>
        <v>8</v>
      </c>
      <c r="E1468" t="s">
        <v>4259</v>
      </c>
      <c r="F1468" t="s">
        <v>4260</v>
      </c>
      <c r="G1468" s="23" t="s">
        <v>41</v>
      </c>
      <c r="H1468" s="23" t="s">
        <v>61</v>
      </c>
      <c r="I1468" t="s">
        <v>1814</v>
      </c>
      <c r="J1468" t="s">
        <v>36</v>
      </c>
      <c r="K1468" s="22">
        <v>7</v>
      </c>
      <c r="L1468" s="1">
        <v>42960</v>
      </c>
      <c r="M1468" s="22">
        <f>Table3[[#This Row],[Ship Date]]-Table3[[#This Row],[Order Date]]</f>
        <v>2</v>
      </c>
      <c r="N1468" s="23" t="s">
        <v>169</v>
      </c>
      <c r="O1468" s="23" t="s">
        <v>23</v>
      </c>
      <c r="P1468" s="23" t="s">
        <v>94</v>
      </c>
      <c r="Q1468" s="23" t="s">
        <v>95</v>
      </c>
      <c r="R1468" s="23" t="s">
        <v>6437</v>
      </c>
      <c r="S1468" s="33">
        <v>0.2</v>
      </c>
      <c r="T1468" s="13">
        <v>9.1839999999999993</v>
      </c>
      <c r="U1468" s="13">
        <v>2.87</v>
      </c>
      <c r="V1468" s="55">
        <f>Table3[[#This Row],[Profit]]/Table3[[#This Row],[Sales]]</f>
        <v>0.31250000000000006</v>
      </c>
    </row>
    <row r="1469" spans="1:22" x14ac:dyDescent="0.2">
      <c r="A1469">
        <v>1468</v>
      </c>
      <c r="B1469" t="s">
        <v>6436</v>
      </c>
      <c r="C1469" s="1">
        <v>42958</v>
      </c>
      <c r="D1469" s="22">
        <f>MONTH(Table3[[#This Row],[Order Date]])</f>
        <v>8</v>
      </c>
      <c r="E1469" t="s">
        <v>2276</v>
      </c>
      <c r="F1469" t="s">
        <v>2277</v>
      </c>
      <c r="G1469" s="23" t="s">
        <v>64</v>
      </c>
      <c r="H1469" s="23" t="s">
        <v>65</v>
      </c>
      <c r="I1469" t="s">
        <v>1814</v>
      </c>
      <c r="J1469" t="s">
        <v>36</v>
      </c>
      <c r="K1469" s="22">
        <v>2</v>
      </c>
      <c r="L1469" s="1">
        <v>42960</v>
      </c>
      <c r="M1469" s="22">
        <f>Table3[[#This Row],[Ship Date]]-Table3[[#This Row],[Order Date]]</f>
        <v>2</v>
      </c>
      <c r="N1469" s="23" t="s">
        <v>169</v>
      </c>
      <c r="O1469" s="23" t="s">
        <v>23</v>
      </c>
      <c r="P1469" s="23" t="s">
        <v>94</v>
      </c>
      <c r="Q1469" s="23" t="s">
        <v>95</v>
      </c>
      <c r="R1469" s="23" t="s">
        <v>6437</v>
      </c>
      <c r="S1469" s="33">
        <v>0.2</v>
      </c>
      <c r="T1469" s="13">
        <v>153.584</v>
      </c>
      <c r="U1469" s="13">
        <v>13.438599999999999</v>
      </c>
      <c r="V1469" s="55">
        <f>Table3[[#This Row],[Profit]]/Table3[[#This Row],[Sales]]</f>
        <v>8.7499999999999994E-2</v>
      </c>
    </row>
    <row r="1470" spans="1:22" x14ac:dyDescent="0.2">
      <c r="A1470">
        <v>1469</v>
      </c>
      <c r="B1470" t="s">
        <v>6436</v>
      </c>
      <c r="C1470" s="1">
        <v>42958</v>
      </c>
      <c r="D1470" s="22">
        <f>MONTH(Table3[[#This Row],[Order Date]])</f>
        <v>8</v>
      </c>
      <c r="E1470" t="s">
        <v>4384</v>
      </c>
      <c r="F1470" t="s">
        <v>4385</v>
      </c>
      <c r="G1470" s="23" t="s">
        <v>41</v>
      </c>
      <c r="H1470" s="23" t="s">
        <v>68</v>
      </c>
      <c r="I1470" t="s">
        <v>1814</v>
      </c>
      <c r="J1470" t="s">
        <v>36</v>
      </c>
      <c r="K1470" s="22">
        <v>8</v>
      </c>
      <c r="L1470" s="1">
        <v>42960</v>
      </c>
      <c r="M1470" s="22">
        <f>Table3[[#This Row],[Ship Date]]-Table3[[#This Row],[Order Date]]</f>
        <v>2</v>
      </c>
      <c r="N1470" s="23" t="s">
        <v>169</v>
      </c>
      <c r="O1470" s="23" t="s">
        <v>23</v>
      </c>
      <c r="P1470" s="23" t="s">
        <v>94</v>
      </c>
      <c r="Q1470" s="23" t="s">
        <v>95</v>
      </c>
      <c r="R1470" s="23" t="s">
        <v>6437</v>
      </c>
      <c r="S1470" s="33">
        <v>0.8</v>
      </c>
      <c r="T1470" s="13">
        <v>12.864000000000001</v>
      </c>
      <c r="U1470" s="13">
        <v>-22.512</v>
      </c>
      <c r="V1470" s="55">
        <f>Table3[[#This Row],[Profit]]/Table3[[#This Row],[Sales]]</f>
        <v>-1.75</v>
      </c>
    </row>
    <row r="1471" spans="1:22" x14ac:dyDescent="0.2">
      <c r="A1471">
        <v>1470</v>
      </c>
      <c r="B1471" t="s">
        <v>8262</v>
      </c>
      <c r="C1471" s="1">
        <v>42958</v>
      </c>
      <c r="D1471" s="22">
        <f>MONTH(Table3[[#This Row],[Order Date]])</f>
        <v>8</v>
      </c>
      <c r="E1471" t="s">
        <v>4770</v>
      </c>
      <c r="F1471" t="s">
        <v>4771</v>
      </c>
      <c r="G1471" s="23" t="s">
        <v>41</v>
      </c>
      <c r="H1471" s="23" t="s">
        <v>68</v>
      </c>
      <c r="I1471" t="s">
        <v>5338</v>
      </c>
      <c r="J1471" t="s">
        <v>92</v>
      </c>
      <c r="K1471" s="22">
        <v>11</v>
      </c>
      <c r="L1471" s="1">
        <v>42960</v>
      </c>
      <c r="M1471" s="22">
        <f>Table3[[#This Row],[Ship Date]]-Table3[[#This Row],[Order Date]]</f>
        <v>2</v>
      </c>
      <c r="N1471" s="23" t="s">
        <v>20</v>
      </c>
      <c r="O1471" s="23" t="s">
        <v>23</v>
      </c>
      <c r="P1471" s="23" t="s">
        <v>650</v>
      </c>
      <c r="Q1471" s="23" t="s">
        <v>26</v>
      </c>
      <c r="R1471" s="23" t="s">
        <v>5415</v>
      </c>
      <c r="S1471" s="33">
        <v>0</v>
      </c>
      <c r="T1471" s="13">
        <v>477.51</v>
      </c>
      <c r="U1471" s="13">
        <v>219.65459999999999</v>
      </c>
      <c r="V1471" s="55">
        <f>Table3[[#This Row],[Profit]]/Table3[[#This Row],[Sales]]</f>
        <v>0.45999999999999996</v>
      </c>
    </row>
    <row r="1472" spans="1:22" x14ac:dyDescent="0.2">
      <c r="A1472">
        <v>1471</v>
      </c>
      <c r="B1472" t="s">
        <v>9800</v>
      </c>
      <c r="C1472" s="1">
        <v>42958</v>
      </c>
      <c r="D1472" s="22">
        <f>MONTH(Table3[[#This Row],[Order Date]])</f>
        <v>8</v>
      </c>
      <c r="E1472" t="s">
        <v>1679</v>
      </c>
      <c r="F1472" t="s">
        <v>1680</v>
      </c>
      <c r="G1472" s="23" t="s">
        <v>41</v>
      </c>
      <c r="H1472" s="23" t="s">
        <v>82</v>
      </c>
      <c r="I1472" t="s">
        <v>2341</v>
      </c>
      <c r="J1472" t="s">
        <v>92</v>
      </c>
      <c r="K1472" s="22">
        <v>4</v>
      </c>
      <c r="L1472" s="1">
        <v>42963</v>
      </c>
      <c r="M1472" s="22">
        <f>Table3[[#This Row],[Ship Date]]-Table3[[#This Row],[Order Date]]</f>
        <v>5</v>
      </c>
      <c r="N1472" s="23" t="s">
        <v>45</v>
      </c>
      <c r="O1472" s="23" t="s">
        <v>23</v>
      </c>
      <c r="P1472" s="23" t="s">
        <v>238</v>
      </c>
      <c r="Q1472" s="23" t="s">
        <v>133</v>
      </c>
      <c r="R1472" s="23" t="s">
        <v>237</v>
      </c>
      <c r="S1472" s="33">
        <v>0</v>
      </c>
      <c r="T1472" s="13">
        <v>25.92</v>
      </c>
      <c r="U1472" s="13">
        <v>12.441599999999999</v>
      </c>
      <c r="V1472" s="55">
        <f>Table3[[#This Row],[Profit]]/Table3[[#This Row],[Sales]]</f>
        <v>0.47999999999999993</v>
      </c>
    </row>
    <row r="1473" spans="1:22" x14ac:dyDescent="0.2">
      <c r="A1473">
        <v>1472</v>
      </c>
      <c r="B1473" t="s">
        <v>5388</v>
      </c>
      <c r="C1473" s="1">
        <v>42959</v>
      </c>
      <c r="D1473" s="22">
        <f>MONTH(Table3[[#This Row],[Order Date]])</f>
        <v>8</v>
      </c>
      <c r="E1473" t="s">
        <v>5136</v>
      </c>
      <c r="F1473" t="s">
        <v>5137</v>
      </c>
      <c r="G1473" s="23" t="s">
        <v>41</v>
      </c>
      <c r="H1473" s="23" t="s">
        <v>82</v>
      </c>
      <c r="I1473" t="s">
        <v>2196</v>
      </c>
      <c r="J1473" t="s">
        <v>22</v>
      </c>
      <c r="K1473" s="22">
        <v>4</v>
      </c>
      <c r="L1473" s="1">
        <v>42964</v>
      </c>
      <c r="M1473" s="22">
        <f>Table3[[#This Row],[Ship Date]]-Table3[[#This Row],[Order Date]]</f>
        <v>5</v>
      </c>
      <c r="N1473" s="23" t="s">
        <v>45</v>
      </c>
      <c r="O1473" s="23" t="s">
        <v>23</v>
      </c>
      <c r="P1473" s="23" t="s">
        <v>48</v>
      </c>
      <c r="Q1473" s="23" t="s">
        <v>26</v>
      </c>
      <c r="R1473" s="23" t="s">
        <v>5389</v>
      </c>
      <c r="S1473" s="33">
        <v>0.2</v>
      </c>
      <c r="T1473" s="13">
        <v>20.736000000000001</v>
      </c>
      <c r="U1473" s="13">
        <v>7.2576000000000001</v>
      </c>
      <c r="V1473" s="55">
        <f>Table3[[#This Row],[Profit]]/Table3[[#This Row],[Sales]]</f>
        <v>0.35</v>
      </c>
    </row>
    <row r="1474" spans="1:22" x14ac:dyDescent="0.2">
      <c r="A1474">
        <v>1473</v>
      </c>
      <c r="B1474" t="s">
        <v>7704</v>
      </c>
      <c r="C1474" s="1">
        <v>42959</v>
      </c>
      <c r="D1474" s="22">
        <f>MONTH(Table3[[#This Row],[Order Date]])</f>
        <v>8</v>
      </c>
      <c r="E1474" t="s">
        <v>3902</v>
      </c>
      <c r="F1474" t="s">
        <v>3903</v>
      </c>
      <c r="G1474" s="23" t="s">
        <v>41</v>
      </c>
      <c r="H1474" s="23" t="s">
        <v>71</v>
      </c>
      <c r="I1474" t="s">
        <v>4635</v>
      </c>
      <c r="J1474" t="s">
        <v>22</v>
      </c>
      <c r="K1474" s="22">
        <v>3</v>
      </c>
      <c r="L1474" s="1">
        <v>42962</v>
      </c>
      <c r="M1474" s="22">
        <f>Table3[[#This Row],[Ship Date]]-Table3[[#This Row],[Order Date]]</f>
        <v>3</v>
      </c>
      <c r="N1474" s="23" t="s">
        <v>169</v>
      </c>
      <c r="O1474" s="23" t="s">
        <v>23</v>
      </c>
      <c r="P1474" s="23" t="s">
        <v>38</v>
      </c>
      <c r="Q1474" s="23" t="s">
        <v>39</v>
      </c>
      <c r="R1474" s="23" t="s">
        <v>7705</v>
      </c>
      <c r="S1474" s="33">
        <v>0</v>
      </c>
      <c r="T1474" s="13">
        <v>542.94000000000005</v>
      </c>
      <c r="U1474" s="13">
        <v>152.0232</v>
      </c>
      <c r="V1474" s="55">
        <f>Table3[[#This Row],[Profit]]/Table3[[#This Row],[Sales]]</f>
        <v>0.27999999999999997</v>
      </c>
    </row>
    <row r="1475" spans="1:22" x14ac:dyDescent="0.2">
      <c r="A1475">
        <v>1474</v>
      </c>
      <c r="B1475" t="s">
        <v>7704</v>
      </c>
      <c r="C1475" s="1">
        <v>42959</v>
      </c>
      <c r="D1475" s="22">
        <f>MONTH(Table3[[#This Row],[Order Date]])</f>
        <v>8</v>
      </c>
      <c r="E1475" t="s">
        <v>3465</v>
      </c>
      <c r="F1475" t="s">
        <v>3466</v>
      </c>
      <c r="G1475" s="23" t="s">
        <v>28</v>
      </c>
      <c r="H1475" s="23" t="s">
        <v>58</v>
      </c>
      <c r="I1475" t="s">
        <v>4635</v>
      </c>
      <c r="J1475" t="s">
        <v>22</v>
      </c>
      <c r="K1475" s="22">
        <v>4</v>
      </c>
      <c r="L1475" s="1">
        <v>42962</v>
      </c>
      <c r="M1475" s="22">
        <f>Table3[[#This Row],[Ship Date]]-Table3[[#This Row],[Order Date]]</f>
        <v>3</v>
      </c>
      <c r="N1475" s="23" t="s">
        <v>169</v>
      </c>
      <c r="O1475" s="23" t="s">
        <v>23</v>
      </c>
      <c r="P1475" s="23" t="s">
        <v>38</v>
      </c>
      <c r="Q1475" s="23" t="s">
        <v>39</v>
      </c>
      <c r="R1475" s="23" t="s">
        <v>7705</v>
      </c>
      <c r="S1475" s="33">
        <v>0</v>
      </c>
      <c r="T1475" s="13">
        <v>54.92</v>
      </c>
      <c r="U1475" s="13">
        <v>19.7712</v>
      </c>
      <c r="V1475" s="55">
        <f>Table3[[#This Row],[Profit]]/Table3[[#This Row],[Sales]]</f>
        <v>0.36</v>
      </c>
    </row>
    <row r="1476" spans="1:22" x14ac:dyDescent="0.2">
      <c r="A1476">
        <v>1475</v>
      </c>
      <c r="B1476" t="s">
        <v>8876</v>
      </c>
      <c r="C1476" s="1">
        <v>42959</v>
      </c>
      <c r="D1476" s="22">
        <f>MONTH(Table3[[#This Row],[Order Date]])</f>
        <v>8</v>
      </c>
      <c r="E1476" t="s">
        <v>1754</v>
      </c>
      <c r="F1476" t="s">
        <v>1755</v>
      </c>
      <c r="G1476" s="23" t="s">
        <v>41</v>
      </c>
      <c r="H1476" s="23" t="s">
        <v>61</v>
      </c>
      <c r="I1476" t="s">
        <v>1355</v>
      </c>
      <c r="J1476" t="s">
        <v>36</v>
      </c>
      <c r="K1476" s="22">
        <v>3</v>
      </c>
      <c r="L1476" s="1">
        <v>42959</v>
      </c>
      <c r="M1476" s="22">
        <f>Table3[[#This Row],[Ship Date]]-Table3[[#This Row],[Order Date]]</f>
        <v>0</v>
      </c>
      <c r="N1476" s="23" t="s">
        <v>1141</v>
      </c>
      <c r="O1476" s="23" t="s">
        <v>23</v>
      </c>
      <c r="P1476" s="23" t="s">
        <v>2408</v>
      </c>
      <c r="Q1476" s="23" t="s">
        <v>133</v>
      </c>
      <c r="R1476" s="23" t="s">
        <v>341</v>
      </c>
      <c r="S1476" s="33">
        <v>0</v>
      </c>
      <c r="T1476" s="13">
        <v>17.52</v>
      </c>
      <c r="U1476" s="13">
        <v>5.2560000000000002</v>
      </c>
      <c r="V1476" s="55">
        <f>Table3[[#This Row],[Profit]]/Table3[[#This Row],[Sales]]</f>
        <v>0.30000000000000004</v>
      </c>
    </row>
    <row r="1477" spans="1:22" x14ac:dyDescent="0.2">
      <c r="A1477">
        <v>1476</v>
      </c>
      <c r="B1477" t="s">
        <v>8876</v>
      </c>
      <c r="C1477" s="1">
        <v>42959</v>
      </c>
      <c r="D1477" s="22">
        <f>MONTH(Table3[[#This Row],[Order Date]])</f>
        <v>8</v>
      </c>
      <c r="E1477" t="s">
        <v>1406</v>
      </c>
      <c r="F1477" t="s">
        <v>1407</v>
      </c>
      <c r="G1477" s="23" t="s">
        <v>28</v>
      </c>
      <c r="H1477" s="23" t="s">
        <v>32</v>
      </c>
      <c r="I1477" t="s">
        <v>1355</v>
      </c>
      <c r="J1477" t="s">
        <v>36</v>
      </c>
      <c r="K1477" s="22">
        <v>5</v>
      </c>
      <c r="L1477" s="1">
        <v>42959</v>
      </c>
      <c r="M1477" s="22">
        <f>Table3[[#This Row],[Ship Date]]-Table3[[#This Row],[Order Date]]</f>
        <v>0</v>
      </c>
      <c r="N1477" s="23" t="s">
        <v>1141</v>
      </c>
      <c r="O1477" s="23" t="s">
        <v>23</v>
      </c>
      <c r="P1477" s="23" t="s">
        <v>2408</v>
      </c>
      <c r="Q1477" s="23" t="s">
        <v>133</v>
      </c>
      <c r="R1477" s="23" t="s">
        <v>341</v>
      </c>
      <c r="S1477" s="33">
        <v>0</v>
      </c>
      <c r="T1477" s="13">
        <v>1779.9</v>
      </c>
      <c r="U1477" s="13">
        <v>373.779</v>
      </c>
      <c r="V1477" s="55">
        <f>Table3[[#This Row],[Profit]]/Table3[[#This Row],[Sales]]</f>
        <v>0.21</v>
      </c>
    </row>
    <row r="1478" spans="1:22" x14ac:dyDescent="0.2">
      <c r="A1478">
        <v>1477</v>
      </c>
      <c r="B1478" t="s">
        <v>8876</v>
      </c>
      <c r="C1478" s="1">
        <v>42959</v>
      </c>
      <c r="D1478" s="22">
        <f>MONTH(Table3[[#This Row],[Order Date]])</f>
        <v>8</v>
      </c>
      <c r="E1478" t="s">
        <v>1385</v>
      </c>
      <c r="F1478" t="s">
        <v>1386</v>
      </c>
      <c r="G1478" s="23" t="s">
        <v>41</v>
      </c>
      <c r="H1478" s="23" t="s">
        <v>61</v>
      </c>
      <c r="I1478" t="s">
        <v>1355</v>
      </c>
      <c r="J1478" t="s">
        <v>36</v>
      </c>
      <c r="K1478" s="22">
        <v>5</v>
      </c>
      <c r="L1478" s="1">
        <v>42959</v>
      </c>
      <c r="M1478" s="22">
        <f>Table3[[#This Row],[Ship Date]]-Table3[[#This Row],[Order Date]]</f>
        <v>0</v>
      </c>
      <c r="N1478" s="23" t="s">
        <v>1141</v>
      </c>
      <c r="O1478" s="23" t="s">
        <v>23</v>
      </c>
      <c r="P1478" s="23" t="s">
        <v>2408</v>
      </c>
      <c r="Q1478" s="23" t="s">
        <v>133</v>
      </c>
      <c r="R1478" s="23" t="s">
        <v>341</v>
      </c>
      <c r="S1478" s="33">
        <v>0</v>
      </c>
      <c r="T1478" s="13">
        <v>219.9</v>
      </c>
      <c r="U1478" s="13">
        <v>59.372999999999998</v>
      </c>
      <c r="V1478" s="55">
        <f>Table3[[#This Row],[Profit]]/Table3[[#This Row],[Sales]]</f>
        <v>0.26999999999999996</v>
      </c>
    </row>
    <row r="1479" spans="1:22" x14ac:dyDescent="0.2">
      <c r="A1479">
        <v>1478</v>
      </c>
      <c r="B1479" t="s">
        <v>9135</v>
      </c>
      <c r="C1479" s="1">
        <v>42959</v>
      </c>
      <c r="D1479" s="22">
        <f>MONTH(Table3[[#This Row],[Order Date]])</f>
        <v>8</v>
      </c>
      <c r="E1479" t="s">
        <v>4820</v>
      </c>
      <c r="F1479" t="s">
        <v>4821</v>
      </c>
      <c r="G1479" s="23" t="s">
        <v>64</v>
      </c>
      <c r="H1479" s="23" t="s">
        <v>1075</v>
      </c>
      <c r="I1479" t="s">
        <v>6407</v>
      </c>
      <c r="J1479" t="s">
        <v>22</v>
      </c>
      <c r="K1479" s="22">
        <v>1</v>
      </c>
      <c r="L1479" s="1">
        <v>42966</v>
      </c>
      <c r="M1479" s="22">
        <f>Table3[[#This Row],[Ship Date]]-Table3[[#This Row],[Order Date]]</f>
        <v>7</v>
      </c>
      <c r="N1479" s="23" t="s">
        <v>45</v>
      </c>
      <c r="O1479" s="23" t="s">
        <v>23</v>
      </c>
      <c r="P1479" s="23" t="s">
        <v>87</v>
      </c>
      <c r="Q1479" s="23" t="s">
        <v>39</v>
      </c>
      <c r="R1479" s="23" t="s">
        <v>86</v>
      </c>
      <c r="S1479" s="33">
        <v>0</v>
      </c>
      <c r="T1479" s="13">
        <v>299.99</v>
      </c>
      <c r="U1479" s="13">
        <v>89.997</v>
      </c>
      <c r="V1479" s="55">
        <f>Table3[[#This Row],[Profit]]/Table3[[#This Row],[Sales]]</f>
        <v>0.3</v>
      </c>
    </row>
    <row r="1480" spans="1:22" x14ac:dyDescent="0.2">
      <c r="A1480">
        <v>1479</v>
      </c>
      <c r="B1480" t="s">
        <v>9135</v>
      </c>
      <c r="C1480" s="1">
        <v>42959</v>
      </c>
      <c r="D1480" s="22">
        <f>MONTH(Table3[[#This Row],[Order Date]])</f>
        <v>8</v>
      </c>
      <c r="E1480" t="s">
        <v>6897</v>
      </c>
      <c r="F1480" t="s">
        <v>6898</v>
      </c>
      <c r="G1480" s="23" t="s">
        <v>41</v>
      </c>
      <c r="H1480" s="23" t="s">
        <v>82</v>
      </c>
      <c r="I1480" t="s">
        <v>6407</v>
      </c>
      <c r="J1480" t="s">
        <v>22</v>
      </c>
      <c r="K1480" s="22">
        <v>4</v>
      </c>
      <c r="L1480" s="1">
        <v>42966</v>
      </c>
      <c r="M1480" s="22">
        <f>Table3[[#This Row],[Ship Date]]-Table3[[#This Row],[Order Date]]</f>
        <v>7</v>
      </c>
      <c r="N1480" s="23" t="s">
        <v>45</v>
      </c>
      <c r="O1480" s="23" t="s">
        <v>23</v>
      </c>
      <c r="P1480" s="23" t="s">
        <v>87</v>
      </c>
      <c r="Q1480" s="23" t="s">
        <v>39</v>
      </c>
      <c r="R1480" s="23" t="s">
        <v>86</v>
      </c>
      <c r="S1480" s="33">
        <v>0</v>
      </c>
      <c r="T1480" s="13">
        <v>192.16</v>
      </c>
      <c r="U1480" s="13">
        <v>92.236800000000002</v>
      </c>
      <c r="V1480" s="55">
        <f>Table3[[#This Row],[Profit]]/Table3[[#This Row],[Sales]]</f>
        <v>0.48000000000000004</v>
      </c>
    </row>
    <row r="1481" spans="1:22" x14ac:dyDescent="0.2">
      <c r="A1481">
        <v>1480</v>
      </c>
      <c r="B1481" t="s">
        <v>9135</v>
      </c>
      <c r="C1481" s="1">
        <v>42959</v>
      </c>
      <c r="D1481" s="22">
        <f>MONTH(Table3[[#This Row],[Order Date]])</f>
        <v>8</v>
      </c>
      <c r="E1481" t="s">
        <v>1807</v>
      </c>
      <c r="F1481" t="s">
        <v>1808</v>
      </c>
      <c r="G1481" s="23" t="s">
        <v>64</v>
      </c>
      <c r="H1481" s="23" t="s">
        <v>65</v>
      </c>
      <c r="I1481" t="s">
        <v>6407</v>
      </c>
      <c r="J1481" t="s">
        <v>22</v>
      </c>
      <c r="K1481" s="22">
        <v>8</v>
      </c>
      <c r="L1481" s="1">
        <v>42966</v>
      </c>
      <c r="M1481" s="22">
        <f>Table3[[#This Row],[Ship Date]]-Table3[[#This Row],[Order Date]]</f>
        <v>7</v>
      </c>
      <c r="N1481" s="23" t="s">
        <v>45</v>
      </c>
      <c r="O1481" s="23" t="s">
        <v>23</v>
      </c>
      <c r="P1481" s="23" t="s">
        <v>87</v>
      </c>
      <c r="Q1481" s="23" t="s">
        <v>39</v>
      </c>
      <c r="R1481" s="23" t="s">
        <v>86</v>
      </c>
      <c r="S1481" s="33">
        <v>0.2</v>
      </c>
      <c r="T1481" s="13">
        <v>242.624</v>
      </c>
      <c r="U1481" s="13">
        <v>27.295200000000001</v>
      </c>
      <c r="V1481" s="55">
        <f>Table3[[#This Row],[Profit]]/Table3[[#This Row],[Sales]]</f>
        <v>0.1125</v>
      </c>
    </row>
    <row r="1482" spans="1:22" x14ac:dyDescent="0.2">
      <c r="A1482">
        <v>1481</v>
      </c>
      <c r="B1482" t="s">
        <v>9135</v>
      </c>
      <c r="C1482" s="1">
        <v>42959</v>
      </c>
      <c r="D1482" s="22">
        <f>MONTH(Table3[[#This Row],[Order Date]])</f>
        <v>8</v>
      </c>
      <c r="E1482" t="s">
        <v>841</v>
      </c>
      <c r="F1482" t="s">
        <v>1542</v>
      </c>
      <c r="G1482" s="23" t="s">
        <v>41</v>
      </c>
      <c r="H1482" s="23" t="s">
        <v>53</v>
      </c>
      <c r="I1482" t="s">
        <v>6407</v>
      </c>
      <c r="J1482" t="s">
        <v>22</v>
      </c>
      <c r="K1482" s="22">
        <v>3</v>
      </c>
      <c r="L1482" s="1">
        <v>42966</v>
      </c>
      <c r="M1482" s="22">
        <f>Table3[[#This Row],[Ship Date]]-Table3[[#This Row],[Order Date]]</f>
        <v>7</v>
      </c>
      <c r="N1482" s="23" t="s">
        <v>45</v>
      </c>
      <c r="O1482" s="23" t="s">
        <v>23</v>
      </c>
      <c r="P1482" s="23" t="s">
        <v>87</v>
      </c>
      <c r="Q1482" s="23" t="s">
        <v>39</v>
      </c>
      <c r="R1482" s="23" t="s">
        <v>86</v>
      </c>
      <c r="S1482" s="33">
        <v>0</v>
      </c>
      <c r="T1482" s="13">
        <v>46.74</v>
      </c>
      <c r="U1482" s="13">
        <v>11.685</v>
      </c>
      <c r="V1482" s="55">
        <f>Table3[[#This Row],[Profit]]/Table3[[#This Row],[Sales]]</f>
        <v>0.25</v>
      </c>
    </row>
    <row r="1483" spans="1:22" x14ac:dyDescent="0.2">
      <c r="A1483">
        <v>1482</v>
      </c>
      <c r="B1483" t="s">
        <v>9135</v>
      </c>
      <c r="C1483" s="1">
        <v>42959</v>
      </c>
      <c r="D1483" s="22">
        <f>MONTH(Table3[[#This Row],[Order Date]])</f>
        <v>8</v>
      </c>
      <c r="E1483" t="s">
        <v>5600</v>
      </c>
      <c r="F1483" t="s">
        <v>5601</v>
      </c>
      <c r="G1483" s="23" t="s">
        <v>64</v>
      </c>
      <c r="H1483" s="23" t="s">
        <v>144</v>
      </c>
      <c r="I1483" t="s">
        <v>6407</v>
      </c>
      <c r="J1483" t="s">
        <v>22</v>
      </c>
      <c r="K1483" s="22">
        <v>5</v>
      </c>
      <c r="L1483" s="1">
        <v>42966</v>
      </c>
      <c r="M1483" s="22">
        <f>Table3[[#This Row],[Ship Date]]-Table3[[#This Row],[Order Date]]</f>
        <v>7</v>
      </c>
      <c r="N1483" s="23" t="s">
        <v>45</v>
      </c>
      <c r="O1483" s="23" t="s">
        <v>23</v>
      </c>
      <c r="P1483" s="23" t="s">
        <v>87</v>
      </c>
      <c r="Q1483" s="23" t="s">
        <v>39</v>
      </c>
      <c r="R1483" s="23" t="s">
        <v>86</v>
      </c>
      <c r="S1483" s="33">
        <v>0</v>
      </c>
      <c r="T1483" s="13">
        <v>174.95</v>
      </c>
      <c r="U1483" s="13">
        <v>12.246499999999999</v>
      </c>
      <c r="V1483" s="55">
        <f>Table3[[#This Row],[Profit]]/Table3[[#This Row],[Sales]]</f>
        <v>7.0000000000000007E-2</v>
      </c>
    </row>
    <row r="1484" spans="1:22" x14ac:dyDescent="0.2">
      <c r="A1484">
        <v>1483</v>
      </c>
      <c r="B1484" t="s">
        <v>9135</v>
      </c>
      <c r="C1484" s="1">
        <v>42959</v>
      </c>
      <c r="D1484" s="22">
        <f>MONTH(Table3[[#This Row],[Order Date]])</f>
        <v>8</v>
      </c>
      <c r="E1484" t="s">
        <v>8120</v>
      </c>
      <c r="F1484" t="s">
        <v>8121</v>
      </c>
      <c r="G1484" s="23" t="s">
        <v>41</v>
      </c>
      <c r="H1484" s="23" t="s">
        <v>68</v>
      </c>
      <c r="I1484" t="s">
        <v>6407</v>
      </c>
      <c r="J1484" t="s">
        <v>22</v>
      </c>
      <c r="K1484" s="22">
        <v>6</v>
      </c>
      <c r="L1484" s="1">
        <v>42966</v>
      </c>
      <c r="M1484" s="22">
        <f>Table3[[#This Row],[Ship Date]]-Table3[[#This Row],[Order Date]]</f>
        <v>7</v>
      </c>
      <c r="N1484" s="23" t="s">
        <v>45</v>
      </c>
      <c r="O1484" s="23" t="s">
        <v>23</v>
      </c>
      <c r="P1484" s="23" t="s">
        <v>87</v>
      </c>
      <c r="Q1484" s="23" t="s">
        <v>39</v>
      </c>
      <c r="R1484" s="23" t="s">
        <v>86</v>
      </c>
      <c r="S1484" s="33">
        <v>0.2</v>
      </c>
      <c r="T1484" s="13">
        <v>100.70399999999999</v>
      </c>
      <c r="U1484" s="13">
        <v>37.764000000000003</v>
      </c>
      <c r="V1484" s="55">
        <f>Table3[[#This Row],[Profit]]/Table3[[#This Row],[Sales]]</f>
        <v>0.37500000000000006</v>
      </c>
    </row>
    <row r="1485" spans="1:22" x14ac:dyDescent="0.2">
      <c r="A1485">
        <v>1484</v>
      </c>
      <c r="B1485" t="s">
        <v>5390</v>
      </c>
      <c r="C1485" s="1">
        <v>42960</v>
      </c>
      <c r="D1485" s="22">
        <f>MONTH(Table3[[#This Row],[Order Date]])</f>
        <v>8</v>
      </c>
      <c r="E1485" t="s">
        <v>1614</v>
      </c>
      <c r="F1485" t="s">
        <v>1615</v>
      </c>
      <c r="G1485" s="23" t="s">
        <v>41</v>
      </c>
      <c r="H1485" s="23" t="s">
        <v>53</v>
      </c>
      <c r="I1485" t="s">
        <v>1997</v>
      </c>
      <c r="J1485" t="s">
        <v>22</v>
      </c>
      <c r="K1485" s="22">
        <v>3</v>
      </c>
      <c r="L1485" s="1">
        <v>42960</v>
      </c>
      <c r="M1485" s="22">
        <f>Table3[[#This Row],[Ship Date]]-Table3[[#This Row],[Order Date]]</f>
        <v>0</v>
      </c>
      <c r="N1485" s="23" t="s">
        <v>1141</v>
      </c>
      <c r="O1485" s="23" t="s">
        <v>23</v>
      </c>
      <c r="P1485" s="23" t="s">
        <v>38</v>
      </c>
      <c r="Q1485" s="23" t="s">
        <v>39</v>
      </c>
      <c r="R1485" s="23" t="s">
        <v>114</v>
      </c>
      <c r="S1485" s="33">
        <v>0</v>
      </c>
      <c r="T1485" s="13">
        <v>31.44</v>
      </c>
      <c r="U1485" s="13">
        <v>8.4887999999999995</v>
      </c>
      <c r="V1485" s="55">
        <f>Table3[[#This Row],[Profit]]/Table3[[#This Row],[Sales]]</f>
        <v>0.26999999999999996</v>
      </c>
    </row>
    <row r="1486" spans="1:22" x14ac:dyDescent="0.2">
      <c r="A1486">
        <v>1485</v>
      </c>
      <c r="B1486" t="s">
        <v>5390</v>
      </c>
      <c r="C1486" s="1">
        <v>42960</v>
      </c>
      <c r="D1486" s="22">
        <f>MONTH(Table3[[#This Row],[Order Date]])</f>
        <v>8</v>
      </c>
      <c r="E1486" t="s">
        <v>1261</v>
      </c>
      <c r="F1486" t="s">
        <v>1262</v>
      </c>
      <c r="G1486" s="23" t="s">
        <v>41</v>
      </c>
      <c r="H1486" s="23" t="s">
        <v>71</v>
      </c>
      <c r="I1486" t="s">
        <v>1997</v>
      </c>
      <c r="J1486" t="s">
        <v>22</v>
      </c>
      <c r="K1486" s="22">
        <v>7</v>
      </c>
      <c r="L1486" s="1">
        <v>42960</v>
      </c>
      <c r="M1486" s="22">
        <f>Table3[[#This Row],[Ship Date]]-Table3[[#This Row],[Order Date]]</f>
        <v>0</v>
      </c>
      <c r="N1486" s="23" t="s">
        <v>1141</v>
      </c>
      <c r="O1486" s="23" t="s">
        <v>23</v>
      </c>
      <c r="P1486" s="23" t="s">
        <v>38</v>
      </c>
      <c r="Q1486" s="23" t="s">
        <v>39</v>
      </c>
      <c r="R1486" s="23" t="s">
        <v>114</v>
      </c>
      <c r="S1486" s="33">
        <v>0</v>
      </c>
      <c r="T1486" s="13">
        <v>83.79</v>
      </c>
      <c r="U1486" s="13">
        <v>22.6233</v>
      </c>
      <c r="V1486" s="55">
        <f>Table3[[#This Row],[Profit]]/Table3[[#This Row],[Sales]]</f>
        <v>0.26999999999999996</v>
      </c>
    </row>
    <row r="1487" spans="1:22" x14ac:dyDescent="0.2">
      <c r="A1487">
        <v>1486</v>
      </c>
      <c r="B1487" t="s">
        <v>5390</v>
      </c>
      <c r="C1487" s="1">
        <v>42960</v>
      </c>
      <c r="D1487" s="22">
        <f>MONTH(Table3[[#This Row],[Order Date]])</f>
        <v>8</v>
      </c>
      <c r="E1487" t="s">
        <v>1381</v>
      </c>
      <c r="F1487" t="s">
        <v>1382</v>
      </c>
      <c r="G1487" s="23" t="s">
        <v>41</v>
      </c>
      <c r="H1487" s="23" t="s">
        <v>61</v>
      </c>
      <c r="I1487" t="s">
        <v>1997</v>
      </c>
      <c r="J1487" t="s">
        <v>22</v>
      </c>
      <c r="K1487" s="22">
        <v>3</v>
      </c>
      <c r="L1487" s="1">
        <v>42960</v>
      </c>
      <c r="M1487" s="22">
        <f>Table3[[#This Row],[Ship Date]]-Table3[[#This Row],[Order Date]]</f>
        <v>0</v>
      </c>
      <c r="N1487" s="23" t="s">
        <v>1141</v>
      </c>
      <c r="O1487" s="23" t="s">
        <v>23</v>
      </c>
      <c r="P1487" s="23" t="s">
        <v>38</v>
      </c>
      <c r="Q1487" s="23" t="s">
        <v>39</v>
      </c>
      <c r="R1487" s="23" t="s">
        <v>114</v>
      </c>
      <c r="S1487" s="33">
        <v>0</v>
      </c>
      <c r="T1487" s="13">
        <v>59.52</v>
      </c>
      <c r="U1487" s="13">
        <v>15.475199999999999</v>
      </c>
      <c r="V1487" s="55">
        <f>Table3[[#This Row],[Profit]]/Table3[[#This Row],[Sales]]</f>
        <v>0.25999999999999995</v>
      </c>
    </row>
    <row r="1488" spans="1:22" x14ac:dyDescent="0.2">
      <c r="A1488">
        <v>1487</v>
      </c>
      <c r="B1488" t="s">
        <v>5390</v>
      </c>
      <c r="C1488" s="1">
        <v>42960</v>
      </c>
      <c r="D1488" s="22">
        <f>MONTH(Table3[[#This Row],[Order Date]])</f>
        <v>8</v>
      </c>
      <c r="E1488" t="s">
        <v>5391</v>
      </c>
      <c r="F1488" t="s">
        <v>1147</v>
      </c>
      <c r="G1488" s="23" t="s">
        <v>41</v>
      </c>
      <c r="H1488" s="23" t="s">
        <v>513</v>
      </c>
      <c r="I1488" t="s">
        <v>1997</v>
      </c>
      <c r="J1488" t="s">
        <v>22</v>
      </c>
      <c r="K1488" s="22">
        <v>4</v>
      </c>
      <c r="L1488" s="1">
        <v>42960</v>
      </c>
      <c r="M1488" s="22">
        <f>Table3[[#This Row],[Ship Date]]-Table3[[#This Row],[Order Date]]</f>
        <v>0</v>
      </c>
      <c r="N1488" s="23" t="s">
        <v>1141</v>
      </c>
      <c r="O1488" s="23" t="s">
        <v>23</v>
      </c>
      <c r="P1488" s="23" t="s">
        <v>38</v>
      </c>
      <c r="Q1488" s="23" t="s">
        <v>39</v>
      </c>
      <c r="R1488" s="23" t="s">
        <v>114</v>
      </c>
      <c r="S1488" s="33">
        <v>0</v>
      </c>
      <c r="T1488" s="13">
        <v>31.92</v>
      </c>
      <c r="U1488" s="13">
        <v>9.2568000000000001</v>
      </c>
      <c r="V1488" s="55">
        <f>Table3[[#This Row],[Profit]]/Table3[[#This Row],[Sales]]</f>
        <v>0.28999999999999998</v>
      </c>
    </row>
    <row r="1489" spans="1:22" x14ac:dyDescent="0.2">
      <c r="A1489">
        <v>1488</v>
      </c>
      <c r="B1489" t="s">
        <v>7895</v>
      </c>
      <c r="C1489" s="1">
        <v>42960</v>
      </c>
      <c r="D1489" s="22">
        <f>MONTH(Table3[[#This Row],[Order Date]])</f>
        <v>8</v>
      </c>
      <c r="E1489" t="s">
        <v>2309</v>
      </c>
      <c r="F1489" t="s">
        <v>2310</v>
      </c>
      <c r="G1489" s="23" t="s">
        <v>41</v>
      </c>
      <c r="H1489" s="23" t="s">
        <v>42</v>
      </c>
      <c r="I1489" t="s">
        <v>3475</v>
      </c>
      <c r="J1489" t="s">
        <v>36</v>
      </c>
      <c r="K1489" s="22">
        <v>3</v>
      </c>
      <c r="L1489" s="1">
        <v>42967</v>
      </c>
      <c r="M1489" s="22">
        <f>Table3[[#This Row],[Ship Date]]-Table3[[#This Row],[Order Date]]</f>
        <v>7</v>
      </c>
      <c r="N1489" s="23" t="s">
        <v>45</v>
      </c>
      <c r="O1489" s="23" t="s">
        <v>23</v>
      </c>
      <c r="P1489" s="23" t="s">
        <v>132</v>
      </c>
      <c r="Q1489" s="23" t="s">
        <v>133</v>
      </c>
      <c r="R1489" s="23" t="s">
        <v>131</v>
      </c>
      <c r="S1489" s="33">
        <v>0.2</v>
      </c>
      <c r="T1489" s="13">
        <v>17.544</v>
      </c>
      <c r="U1489" s="13">
        <v>5.9211</v>
      </c>
      <c r="V1489" s="55">
        <f>Table3[[#This Row],[Profit]]/Table3[[#This Row],[Sales]]</f>
        <v>0.33749999999999997</v>
      </c>
    </row>
    <row r="1490" spans="1:22" x14ac:dyDescent="0.2">
      <c r="A1490">
        <v>1489</v>
      </c>
      <c r="B1490" t="s">
        <v>8674</v>
      </c>
      <c r="C1490" s="1">
        <v>42960</v>
      </c>
      <c r="D1490" s="22">
        <f>MONTH(Table3[[#This Row],[Order Date]])</f>
        <v>8</v>
      </c>
      <c r="E1490" t="s">
        <v>1683</v>
      </c>
      <c r="F1490" t="s">
        <v>1684</v>
      </c>
      <c r="G1490" s="23" t="s">
        <v>41</v>
      </c>
      <c r="H1490" s="23" t="s">
        <v>68</v>
      </c>
      <c r="I1490" t="s">
        <v>1142</v>
      </c>
      <c r="J1490" t="s">
        <v>36</v>
      </c>
      <c r="K1490" s="22">
        <v>3</v>
      </c>
      <c r="L1490" s="1">
        <v>42967</v>
      </c>
      <c r="M1490" s="22">
        <f>Table3[[#This Row],[Ship Date]]-Table3[[#This Row],[Order Date]]</f>
        <v>7</v>
      </c>
      <c r="N1490" s="23" t="s">
        <v>45</v>
      </c>
      <c r="O1490" s="23" t="s">
        <v>23</v>
      </c>
      <c r="P1490" s="23" t="s">
        <v>38</v>
      </c>
      <c r="Q1490" s="23" t="s">
        <v>39</v>
      </c>
      <c r="R1490" s="23" t="s">
        <v>836</v>
      </c>
      <c r="S1490" s="33">
        <v>0.2</v>
      </c>
      <c r="T1490" s="13">
        <v>36.024000000000001</v>
      </c>
      <c r="U1490" s="13">
        <v>11.707800000000001</v>
      </c>
      <c r="V1490" s="55">
        <f>Table3[[#This Row],[Profit]]/Table3[[#This Row],[Sales]]</f>
        <v>0.32500000000000001</v>
      </c>
    </row>
    <row r="1491" spans="1:22" x14ac:dyDescent="0.2">
      <c r="A1491">
        <v>1490</v>
      </c>
      <c r="B1491" t="s">
        <v>8948</v>
      </c>
      <c r="C1491" s="1">
        <v>42960</v>
      </c>
      <c r="D1491" s="22">
        <f>MONTH(Table3[[#This Row],[Order Date]])</f>
        <v>8</v>
      </c>
      <c r="E1491" t="s">
        <v>1828</v>
      </c>
      <c r="F1491" t="s">
        <v>1829</v>
      </c>
      <c r="G1491" s="23" t="s">
        <v>41</v>
      </c>
      <c r="H1491" s="23" t="s">
        <v>71</v>
      </c>
      <c r="I1491" t="s">
        <v>3122</v>
      </c>
      <c r="J1491" t="s">
        <v>22</v>
      </c>
      <c r="K1491" s="22">
        <v>7</v>
      </c>
      <c r="L1491" s="1">
        <v>42965</v>
      </c>
      <c r="M1491" s="22">
        <f>Table3[[#This Row],[Ship Date]]-Table3[[#This Row],[Order Date]]</f>
        <v>5</v>
      </c>
      <c r="N1491" s="23" t="s">
        <v>45</v>
      </c>
      <c r="O1491" s="23" t="s">
        <v>23</v>
      </c>
      <c r="P1491" s="23" t="s">
        <v>299</v>
      </c>
      <c r="Q1491" s="23" t="s">
        <v>26</v>
      </c>
      <c r="R1491" s="23" t="s">
        <v>298</v>
      </c>
      <c r="S1491" s="33">
        <v>0.2</v>
      </c>
      <c r="T1491" s="13">
        <v>272.048</v>
      </c>
      <c r="U1491" s="13">
        <v>30.605399999999999</v>
      </c>
      <c r="V1491" s="55">
        <f>Table3[[#This Row],[Profit]]/Table3[[#This Row],[Sales]]</f>
        <v>0.1125</v>
      </c>
    </row>
    <row r="1492" spans="1:22" x14ac:dyDescent="0.2">
      <c r="A1492">
        <v>1491</v>
      </c>
      <c r="B1492" t="s">
        <v>8948</v>
      </c>
      <c r="C1492" s="1">
        <v>42960</v>
      </c>
      <c r="D1492" s="22">
        <f>MONTH(Table3[[#This Row],[Order Date]])</f>
        <v>8</v>
      </c>
      <c r="E1492" t="s">
        <v>4174</v>
      </c>
      <c r="F1492" t="s">
        <v>4175</v>
      </c>
      <c r="G1492" s="23" t="s">
        <v>41</v>
      </c>
      <c r="H1492" s="23" t="s">
        <v>68</v>
      </c>
      <c r="I1492" t="s">
        <v>3122</v>
      </c>
      <c r="J1492" t="s">
        <v>22</v>
      </c>
      <c r="K1492" s="22">
        <v>6</v>
      </c>
      <c r="L1492" s="1">
        <v>42965</v>
      </c>
      <c r="M1492" s="22">
        <f>Table3[[#This Row],[Ship Date]]-Table3[[#This Row],[Order Date]]</f>
        <v>5</v>
      </c>
      <c r="N1492" s="23" t="s">
        <v>45</v>
      </c>
      <c r="O1492" s="23" t="s">
        <v>23</v>
      </c>
      <c r="P1492" s="23" t="s">
        <v>299</v>
      </c>
      <c r="Q1492" s="23" t="s">
        <v>26</v>
      </c>
      <c r="R1492" s="23" t="s">
        <v>298</v>
      </c>
      <c r="S1492" s="33">
        <v>0.7</v>
      </c>
      <c r="T1492" s="13">
        <v>1614.5820000000001</v>
      </c>
      <c r="U1492" s="13">
        <v>-1237.8462</v>
      </c>
      <c r="V1492" s="55">
        <f>Table3[[#This Row],[Profit]]/Table3[[#This Row],[Sales]]</f>
        <v>-0.76666666666666661</v>
      </c>
    </row>
    <row r="1493" spans="1:22" x14ac:dyDescent="0.2">
      <c r="A1493">
        <v>1492</v>
      </c>
      <c r="B1493" t="s">
        <v>8948</v>
      </c>
      <c r="C1493" s="1">
        <v>42960</v>
      </c>
      <c r="D1493" s="22">
        <f>MONTH(Table3[[#This Row],[Order Date]])</f>
        <v>8</v>
      </c>
      <c r="E1493" t="s">
        <v>2856</v>
      </c>
      <c r="F1493" t="s">
        <v>498</v>
      </c>
      <c r="G1493" s="23" t="s">
        <v>41</v>
      </c>
      <c r="H1493" s="23" t="s">
        <v>240</v>
      </c>
      <c r="I1493" t="s">
        <v>3122</v>
      </c>
      <c r="J1493" t="s">
        <v>22</v>
      </c>
      <c r="K1493" s="22">
        <v>5</v>
      </c>
      <c r="L1493" s="1">
        <v>42965</v>
      </c>
      <c r="M1493" s="22">
        <f>Table3[[#This Row],[Ship Date]]-Table3[[#This Row],[Order Date]]</f>
        <v>5</v>
      </c>
      <c r="N1493" s="23" t="s">
        <v>45</v>
      </c>
      <c r="O1493" s="23" t="s">
        <v>23</v>
      </c>
      <c r="P1493" s="23" t="s">
        <v>299</v>
      </c>
      <c r="Q1493" s="23" t="s">
        <v>26</v>
      </c>
      <c r="R1493" s="23" t="s">
        <v>298</v>
      </c>
      <c r="S1493" s="33">
        <v>0.2</v>
      </c>
      <c r="T1493" s="13">
        <v>24.32</v>
      </c>
      <c r="U1493" s="13">
        <v>9.1199999999999992</v>
      </c>
      <c r="V1493" s="55">
        <f>Table3[[#This Row],[Profit]]/Table3[[#This Row],[Sales]]</f>
        <v>0.37499999999999994</v>
      </c>
    </row>
    <row r="1494" spans="1:22" x14ac:dyDescent="0.2">
      <c r="A1494">
        <v>1493</v>
      </c>
      <c r="B1494" t="s">
        <v>8948</v>
      </c>
      <c r="C1494" s="1">
        <v>42960</v>
      </c>
      <c r="D1494" s="22">
        <f>MONTH(Table3[[#This Row],[Order Date]])</f>
        <v>8</v>
      </c>
      <c r="E1494" t="s">
        <v>5279</v>
      </c>
      <c r="F1494" t="s">
        <v>5280</v>
      </c>
      <c r="G1494" s="23" t="s">
        <v>64</v>
      </c>
      <c r="H1494" s="23" t="s">
        <v>144</v>
      </c>
      <c r="I1494" t="s">
        <v>3122</v>
      </c>
      <c r="J1494" t="s">
        <v>22</v>
      </c>
      <c r="K1494" s="22">
        <v>2</v>
      </c>
      <c r="L1494" s="1">
        <v>42965</v>
      </c>
      <c r="M1494" s="22">
        <f>Table3[[#This Row],[Ship Date]]-Table3[[#This Row],[Order Date]]</f>
        <v>5</v>
      </c>
      <c r="N1494" s="23" t="s">
        <v>45</v>
      </c>
      <c r="O1494" s="23" t="s">
        <v>23</v>
      </c>
      <c r="P1494" s="23" t="s">
        <v>299</v>
      </c>
      <c r="Q1494" s="23" t="s">
        <v>26</v>
      </c>
      <c r="R1494" s="23" t="s">
        <v>298</v>
      </c>
      <c r="S1494" s="33">
        <v>0.2</v>
      </c>
      <c r="T1494" s="13">
        <v>1.5840000000000001</v>
      </c>
      <c r="U1494" s="13">
        <v>0.47520000000000001</v>
      </c>
      <c r="V1494" s="55">
        <f>Table3[[#This Row],[Profit]]/Table3[[#This Row],[Sales]]</f>
        <v>0.3</v>
      </c>
    </row>
    <row r="1495" spans="1:22" x14ac:dyDescent="0.2">
      <c r="A1495">
        <v>1494</v>
      </c>
      <c r="B1495" t="s">
        <v>8948</v>
      </c>
      <c r="C1495" s="1">
        <v>42960</v>
      </c>
      <c r="D1495" s="22">
        <f>MONTH(Table3[[#This Row],[Order Date]])</f>
        <v>8</v>
      </c>
      <c r="E1495" t="s">
        <v>3059</v>
      </c>
      <c r="F1495" t="s">
        <v>3060</v>
      </c>
      <c r="G1495" s="23" t="s">
        <v>28</v>
      </c>
      <c r="H1495" s="23" t="s">
        <v>58</v>
      </c>
      <c r="I1495" t="s">
        <v>3122</v>
      </c>
      <c r="J1495" t="s">
        <v>22</v>
      </c>
      <c r="K1495" s="22">
        <v>1</v>
      </c>
      <c r="L1495" s="1">
        <v>42965</v>
      </c>
      <c r="M1495" s="22">
        <f>Table3[[#This Row],[Ship Date]]-Table3[[#This Row],[Order Date]]</f>
        <v>5</v>
      </c>
      <c r="N1495" s="23" t="s">
        <v>45</v>
      </c>
      <c r="O1495" s="23" t="s">
        <v>23</v>
      </c>
      <c r="P1495" s="23" t="s">
        <v>299</v>
      </c>
      <c r="Q1495" s="23" t="s">
        <v>26</v>
      </c>
      <c r="R1495" s="23" t="s">
        <v>298</v>
      </c>
      <c r="S1495" s="33">
        <v>0.2</v>
      </c>
      <c r="T1495" s="13">
        <v>31.984000000000002</v>
      </c>
      <c r="U1495" s="13">
        <v>0</v>
      </c>
      <c r="V1495" s="55">
        <f>Table3[[#This Row],[Profit]]/Table3[[#This Row],[Sales]]</f>
        <v>0</v>
      </c>
    </row>
    <row r="1496" spans="1:22" x14ac:dyDescent="0.2">
      <c r="A1496">
        <v>1495</v>
      </c>
      <c r="B1496" t="s">
        <v>8948</v>
      </c>
      <c r="C1496" s="1">
        <v>42960</v>
      </c>
      <c r="D1496" s="22">
        <f>MONTH(Table3[[#This Row],[Order Date]])</f>
        <v>8</v>
      </c>
      <c r="E1496" t="s">
        <v>1497</v>
      </c>
      <c r="F1496" t="s">
        <v>1498</v>
      </c>
      <c r="G1496" s="23" t="s">
        <v>41</v>
      </c>
      <c r="H1496" s="23" t="s">
        <v>155</v>
      </c>
      <c r="I1496" t="s">
        <v>3122</v>
      </c>
      <c r="J1496" t="s">
        <v>22</v>
      </c>
      <c r="K1496" s="22">
        <v>5</v>
      </c>
      <c r="L1496" s="1">
        <v>42965</v>
      </c>
      <c r="M1496" s="22">
        <f>Table3[[#This Row],[Ship Date]]-Table3[[#This Row],[Order Date]]</f>
        <v>5</v>
      </c>
      <c r="N1496" s="23" t="s">
        <v>45</v>
      </c>
      <c r="O1496" s="23" t="s">
        <v>23</v>
      </c>
      <c r="P1496" s="23" t="s">
        <v>299</v>
      </c>
      <c r="Q1496" s="23" t="s">
        <v>26</v>
      </c>
      <c r="R1496" s="23" t="s">
        <v>298</v>
      </c>
      <c r="S1496" s="33">
        <v>0.2</v>
      </c>
      <c r="T1496" s="13">
        <v>14.76</v>
      </c>
      <c r="U1496" s="13">
        <v>4.7969999999999997</v>
      </c>
      <c r="V1496" s="55">
        <f>Table3[[#This Row],[Profit]]/Table3[[#This Row],[Sales]]</f>
        <v>0.32500000000000001</v>
      </c>
    </row>
    <row r="1497" spans="1:22" x14ac:dyDescent="0.2">
      <c r="A1497">
        <v>1496</v>
      </c>
      <c r="B1497" t="s">
        <v>8948</v>
      </c>
      <c r="C1497" s="1">
        <v>42960</v>
      </c>
      <c r="D1497" s="22">
        <f>MONTH(Table3[[#This Row],[Order Date]])</f>
        <v>8</v>
      </c>
      <c r="E1497" t="s">
        <v>8355</v>
      </c>
      <c r="F1497" t="s">
        <v>8356</v>
      </c>
      <c r="G1497" s="23" t="s">
        <v>28</v>
      </c>
      <c r="H1497" s="23" t="s">
        <v>32</v>
      </c>
      <c r="I1497" t="s">
        <v>3122</v>
      </c>
      <c r="J1497" t="s">
        <v>22</v>
      </c>
      <c r="K1497" s="22">
        <v>2</v>
      </c>
      <c r="L1497" s="1">
        <v>42965</v>
      </c>
      <c r="M1497" s="22">
        <f>Table3[[#This Row],[Ship Date]]-Table3[[#This Row],[Order Date]]</f>
        <v>5</v>
      </c>
      <c r="N1497" s="23" t="s">
        <v>45</v>
      </c>
      <c r="O1497" s="23" t="s">
        <v>23</v>
      </c>
      <c r="P1497" s="23" t="s">
        <v>299</v>
      </c>
      <c r="Q1497" s="23" t="s">
        <v>26</v>
      </c>
      <c r="R1497" s="23" t="s">
        <v>298</v>
      </c>
      <c r="S1497" s="33">
        <v>0.2</v>
      </c>
      <c r="T1497" s="13">
        <v>423.64800000000002</v>
      </c>
      <c r="U1497" s="13">
        <v>47.660400000000003</v>
      </c>
      <c r="V1497" s="55">
        <f>Table3[[#This Row],[Profit]]/Table3[[#This Row],[Sales]]</f>
        <v>0.1125</v>
      </c>
    </row>
    <row r="1498" spans="1:22" x14ac:dyDescent="0.2">
      <c r="A1498">
        <v>1497</v>
      </c>
      <c r="B1498" t="s">
        <v>4837</v>
      </c>
      <c r="C1498" s="1">
        <v>42961</v>
      </c>
      <c r="D1498" s="22">
        <f>MONTH(Table3[[#This Row],[Order Date]])</f>
        <v>8</v>
      </c>
      <c r="E1498" t="s">
        <v>2568</v>
      </c>
      <c r="F1498" t="s">
        <v>2569</v>
      </c>
      <c r="G1498" s="23" t="s">
        <v>41</v>
      </c>
      <c r="H1498" s="23" t="s">
        <v>42</v>
      </c>
      <c r="I1498" t="s">
        <v>3079</v>
      </c>
      <c r="J1498" t="s">
        <v>22</v>
      </c>
      <c r="K1498" s="22">
        <v>2</v>
      </c>
      <c r="L1498" s="1">
        <v>42963</v>
      </c>
      <c r="M1498" s="22">
        <f>Table3[[#This Row],[Ship Date]]-Table3[[#This Row],[Order Date]]</f>
        <v>2</v>
      </c>
      <c r="N1498" s="23" t="s">
        <v>20</v>
      </c>
      <c r="O1498" s="23" t="s">
        <v>23</v>
      </c>
      <c r="P1498" s="23" t="s">
        <v>38</v>
      </c>
      <c r="Q1498" s="23" t="s">
        <v>39</v>
      </c>
      <c r="R1498" s="23" t="s">
        <v>114</v>
      </c>
      <c r="S1498" s="33">
        <v>0</v>
      </c>
      <c r="T1498" s="13">
        <v>5.76</v>
      </c>
      <c r="U1498" s="13">
        <v>2.8224</v>
      </c>
      <c r="V1498" s="55">
        <f>Table3[[#This Row],[Profit]]/Table3[[#This Row],[Sales]]</f>
        <v>0.49000000000000005</v>
      </c>
    </row>
    <row r="1499" spans="1:22" x14ac:dyDescent="0.2">
      <c r="A1499">
        <v>1498</v>
      </c>
      <c r="B1499" t="s">
        <v>4837</v>
      </c>
      <c r="C1499" s="1">
        <v>42961</v>
      </c>
      <c r="D1499" s="22">
        <f>MONTH(Table3[[#This Row],[Order Date]])</f>
        <v>8</v>
      </c>
      <c r="E1499" t="s">
        <v>125</v>
      </c>
      <c r="F1499" t="s">
        <v>126</v>
      </c>
      <c r="G1499" s="23" t="s">
        <v>41</v>
      </c>
      <c r="H1499" s="23" t="s">
        <v>61</v>
      </c>
      <c r="I1499" t="s">
        <v>3079</v>
      </c>
      <c r="J1499" t="s">
        <v>22</v>
      </c>
      <c r="K1499" s="22">
        <v>6</v>
      </c>
      <c r="L1499" s="1">
        <v>42963</v>
      </c>
      <c r="M1499" s="22">
        <f>Table3[[#This Row],[Ship Date]]-Table3[[#This Row],[Order Date]]</f>
        <v>2</v>
      </c>
      <c r="N1499" s="23" t="s">
        <v>20</v>
      </c>
      <c r="O1499" s="23" t="s">
        <v>23</v>
      </c>
      <c r="P1499" s="23" t="s">
        <v>38</v>
      </c>
      <c r="Q1499" s="23" t="s">
        <v>39</v>
      </c>
      <c r="R1499" s="23" t="s">
        <v>114</v>
      </c>
      <c r="S1499" s="33">
        <v>0</v>
      </c>
      <c r="T1499" s="13">
        <v>16.68</v>
      </c>
      <c r="U1499" s="13">
        <v>4.3368000000000002</v>
      </c>
      <c r="V1499" s="55">
        <f>Table3[[#This Row],[Profit]]/Table3[[#This Row],[Sales]]</f>
        <v>0.26</v>
      </c>
    </row>
    <row r="1500" spans="1:22" x14ac:dyDescent="0.2">
      <c r="A1500">
        <v>1499</v>
      </c>
      <c r="B1500" t="s">
        <v>6798</v>
      </c>
      <c r="C1500" s="1">
        <v>42961</v>
      </c>
      <c r="D1500" s="22">
        <f>MONTH(Table3[[#This Row],[Order Date]])</f>
        <v>8</v>
      </c>
      <c r="E1500" t="s">
        <v>2112</v>
      </c>
      <c r="F1500" t="s">
        <v>2113</v>
      </c>
      <c r="G1500" s="23" t="s">
        <v>28</v>
      </c>
      <c r="H1500" s="23" t="s">
        <v>50</v>
      </c>
      <c r="I1500" t="s">
        <v>413</v>
      </c>
      <c r="J1500" t="s">
        <v>22</v>
      </c>
      <c r="K1500" s="22">
        <v>3</v>
      </c>
      <c r="L1500" s="1">
        <v>42968</v>
      </c>
      <c r="M1500" s="22">
        <f>Table3[[#This Row],[Ship Date]]-Table3[[#This Row],[Order Date]]</f>
        <v>7</v>
      </c>
      <c r="N1500" s="23" t="s">
        <v>45</v>
      </c>
      <c r="O1500" s="23" t="s">
        <v>23</v>
      </c>
      <c r="P1500" s="23" t="s">
        <v>38</v>
      </c>
      <c r="Q1500" s="23" t="s">
        <v>39</v>
      </c>
      <c r="R1500" s="23" t="s">
        <v>37</v>
      </c>
      <c r="S1500" s="33">
        <v>0.2</v>
      </c>
      <c r="T1500" s="13">
        <v>418.29599999999999</v>
      </c>
      <c r="U1500" s="13">
        <v>5.2286999999999999</v>
      </c>
      <c r="V1500" s="55">
        <f>Table3[[#This Row],[Profit]]/Table3[[#This Row],[Sales]]</f>
        <v>1.2500000000000001E-2</v>
      </c>
    </row>
    <row r="1501" spans="1:22" x14ac:dyDescent="0.2">
      <c r="A1501">
        <v>1500</v>
      </c>
      <c r="B1501" t="s">
        <v>4908</v>
      </c>
      <c r="C1501" s="1">
        <v>42962</v>
      </c>
      <c r="D1501" s="22">
        <f>MONTH(Table3[[#This Row],[Order Date]])</f>
        <v>8</v>
      </c>
      <c r="E1501" t="s">
        <v>1424</v>
      </c>
      <c r="F1501" t="s">
        <v>1425</v>
      </c>
      <c r="G1501" s="23" t="s">
        <v>41</v>
      </c>
      <c r="H1501" s="23" t="s">
        <v>71</v>
      </c>
      <c r="I1501" t="s">
        <v>3761</v>
      </c>
      <c r="J1501" t="s">
        <v>22</v>
      </c>
      <c r="K1501" s="22">
        <v>2</v>
      </c>
      <c r="L1501" s="1">
        <v>42968</v>
      </c>
      <c r="M1501" s="22">
        <f>Table3[[#This Row],[Ship Date]]-Table3[[#This Row],[Order Date]]</f>
        <v>6</v>
      </c>
      <c r="N1501" s="23" t="s">
        <v>45</v>
      </c>
      <c r="O1501" s="23" t="s">
        <v>23</v>
      </c>
      <c r="P1501" s="23" t="s">
        <v>695</v>
      </c>
      <c r="Q1501" s="23" t="s">
        <v>133</v>
      </c>
      <c r="R1501" s="23" t="s">
        <v>1874</v>
      </c>
      <c r="S1501" s="33">
        <v>0</v>
      </c>
      <c r="T1501" s="13">
        <v>97.84</v>
      </c>
      <c r="U1501" s="13">
        <v>25.438400000000001</v>
      </c>
      <c r="V1501" s="55">
        <f>Table3[[#This Row],[Profit]]/Table3[[#This Row],[Sales]]</f>
        <v>0.26</v>
      </c>
    </row>
    <row r="1502" spans="1:22" x14ac:dyDescent="0.2">
      <c r="A1502">
        <v>1501</v>
      </c>
      <c r="B1502" t="s">
        <v>4999</v>
      </c>
      <c r="C1502" s="1">
        <v>42962</v>
      </c>
      <c r="D1502" s="22">
        <f>MONTH(Table3[[#This Row],[Order Date]])</f>
        <v>8</v>
      </c>
      <c r="E1502" t="s">
        <v>1568</v>
      </c>
      <c r="F1502" t="s">
        <v>1569</v>
      </c>
      <c r="G1502" s="23" t="s">
        <v>41</v>
      </c>
      <c r="H1502" s="23" t="s">
        <v>53</v>
      </c>
      <c r="I1502" t="s">
        <v>2868</v>
      </c>
      <c r="J1502" t="s">
        <v>36</v>
      </c>
      <c r="K1502" s="22">
        <v>6</v>
      </c>
      <c r="L1502" s="1">
        <v>42965</v>
      </c>
      <c r="M1502" s="22">
        <f>Table3[[#This Row],[Ship Date]]-Table3[[#This Row],[Order Date]]</f>
        <v>3</v>
      </c>
      <c r="N1502" s="23" t="s">
        <v>20</v>
      </c>
      <c r="O1502" s="23" t="s">
        <v>23</v>
      </c>
      <c r="P1502" s="23" t="s">
        <v>132</v>
      </c>
      <c r="Q1502" s="23" t="s">
        <v>133</v>
      </c>
      <c r="R1502" s="23" t="s">
        <v>131</v>
      </c>
      <c r="S1502" s="33">
        <v>0.2</v>
      </c>
      <c r="T1502" s="13">
        <v>1801.6320000000001</v>
      </c>
      <c r="U1502" s="13">
        <v>-337.80599999999998</v>
      </c>
      <c r="V1502" s="55">
        <f>Table3[[#This Row],[Profit]]/Table3[[#This Row],[Sales]]</f>
        <v>-0.18749999999999997</v>
      </c>
    </row>
    <row r="1503" spans="1:22" x14ac:dyDescent="0.2">
      <c r="A1503">
        <v>1502</v>
      </c>
      <c r="B1503" t="s">
        <v>7370</v>
      </c>
      <c r="C1503" s="1">
        <v>42962</v>
      </c>
      <c r="D1503" s="22">
        <f>MONTH(Table3[[#This Row],[Order Date]])</f>
        <v>8</v>
      </c>
      <c r="E1503" t="s">
        <v>7371</v>
      </c>
      <c r="F1503" t="s">
        <v>7372</v>
      </c>
      <c r="G1503" s="23" t="s">
        <v>41</v>
      </c>
      <c r="H1503" s="23" t="s">
        <v>42</v>
      </c>
      <c r="I1503" t="s">
        <v>5094</v>
      </c>
      <c r="J1503" t="s">
        <v>36</v>
      </c>
      <c r="K1503" s="22">
        <v>8</v>
      </c>
      <c r="L1503" s="1">
        <v>42966</v>
      </c>
      <c r="M1503" s="22">
        <f>Table3[[#This Row],[Ship Date]]-Table3[[#This Row],[Order Date]]</f>
        <v>4</v>
      </c>
      <c r="N1503" s="23" t="s">
        <v>45</v>
      </c>
      <c r="O1503" s="23" t="s">
        <v>23</v>
      </c>
      <c r="P1503" s="23" t="s">
        <v>204</v>
      </c>
      <c r="Q1503" s="23" t="s">
        <v>95</v>
      </c>
      <c r="R1503" s="23" t="s">
        <v>501</v>
      </c>
      <c r="S1503" s="33">
        <v>0</v>
      </c>
      <c r="T1503" s="13">
        <v>50.4</v>
      </c>
      <c r="U1503" s="13">
        <v>23.184000000000001</v>
      </c>
      <c r="V1503" s="55">
        <f>Table3[[#This Row],[Profit]]/Table3[[#This Row],[Sales]]</f>
        <v>0.46</v>
      </c>
    </row>
    <row r="1504" spans="1:22" x14ac:dyDescent="0.2">
      <c r="A1504">
        <v>1503</v>
      </c>
      <c r="B1504" t="s">
        <v>8605</v>
      </c>
      <c r="C1504" s="1">
        <v>42963</v>
      </c>
      <c r="D1504" s="22">
        <f>MONTH(Table3[[#This Row],[Order Date]])</f>
        <v>8</v>
      </c>
      <c r="E1504" t="s">
        <v>1805</v>
      </c>
      <c r="F1504" t="s">
        <v>1806</v>
      </c>
      <c r="G1504" s="23" t="s">
        <v>41</v>
      </c>
      <c r="H1504" s="23" t="s">
        <v>68</v>
      </c>
      <c r="I1504" t="s">
        <v>5771</v>
      </c>
      <c r="J1504" t="s">
        <v>22</v>
      </c>
      <c r="K1504" s="22">
        <v>3</v>
      </c>
      <c r="L1504" s="1">
        <v>42963</v>
      </c>
      <c r="M1504" s="22">
        <f>Table3[[#This Row],[Ship Date]]-Table3[[#This Row],[Order Date]]</f>
        <v>0</v>
      </c>
      <c r="N1504" s="23" t="s">
        <v>1141</v>
      </c>
      <c r="O1504" s="23" t="s">
        <v>23</v>
      </c>
      <c r="P1504" s="23" t="s">
        <v>299</v>
      </c>
      <c r="Q1504" s="23" t="s">
        <v>26</v>
      </c>
      <c r="R1504" s="23" t="s">
        <v>341</v>
      </c>
      <c r="S1504" s="33">
        <v>0.7</v>
      </c>
      <c r="T1504" s="13">
        <v>13.428000000000001</v>
      </c>
      <c r="U1504" s="13">
        <v>-11.19</v>
      </c>
      <c r="V1504" s="55">
        <f>Table3[[#This Row],[Profit]]/Table3[[#This Row],[Sales]]</f>
        <v>-0.83333333333333326</v>
      </c>
    </row>
    <row r="1505" spans="1:22" x14ac:dyDescent="0.2">
      <c r="A1505">
        <v>1504</v>
      </c>
      <c r="B1505" t="s">
        <v>8605</v>
      </c>
      <c r="C1505" s="1">
        <v>42963</v>
      </c>
      <c r="D1505" s="22">
        <f>MONTH(Table3[[#This Row],[Order Date]])</f>
        <v>8</v>
      </c>
      <c r="E1505" t="s">
        <v>3540</v>
      </c>
      <c r="F1505" t="s">
        <v>3541</v>
      </c>
      <c r="G1505" s="23" t="s">
        <v>41</v>
      </c>
      <c r="H1505" s="23" t="s">
        <v>53</v>
      </c>
      <c r="I1505" t="s">
        <v>5771</v>
      </c>
      <c r="J1505" t="s">
        <v>22</v>
      </c>
      <c r="K1505" s="22">
        <v>4</v>
      </c>
      <c r="L1505" s="1">
        <v>42963</v>
      </c>
      <c r="M1505" s="22">
        <f>Table3[[#This Row],[Ship Date]]-Table3[[#This Row],[Order Date]]</f>
        <v>0</v>
      </c>
      <c r="N1505" s="23" t="s">
        <v>1141</v>
      </c>
      <c r="O1505" s="23" t="s">
        <v>23</v>
      </c>
      <c r="P1505" s="23" t="s">
        <v>299</v>
      </c>
      <c r="Q1505" s="23" t="s">
        <v>26</v>
      </c>
      <c r="R1505" s="23" t="s">
        <v>341</v>
      </c>
      <c r="S1505" s="33">
        <v>0.2</v>
      </c>
      <c r="T1505" s="13">
        <v>67.135999999999996</v>
      </c>
      <c r="U1505" s="13">
        <v>-0.83919999999999995</v>
      </c>
      <c r="V1505" s="55">
        <f>Table3[[#This Row],[Profit]]/Table3[[#This Row],[Sales]]</f>
        <v>-1.2500000000000001E-2</v>
      </c>
    </row>
    <row r="1506" spans="1:22" x14ac:dyDescent="0.2">
      <c r="A1506">
        <v>1505</v>
      </c>
      <c r="B1506" t="s">
        <v>4216</v>
      </c>
      <c r="C1506" s="1">
        <v>42964</v>
      </c>
      <c r="D1506" s="22">
        <f>MONTH(Table3[[#This Row],[Order Date]])</f>
        <v>8</v>
      </c>
      <c r="E1506" t="s">
        <v>4218</v>
      </c>
      <c r="F1506" t="s">
        <v>4219</v>
      </c>
      <c r="G1506" s="23" t="s">
        <v>41</v>
      </c>
      <c r="H1506" s="23" t="s">
        <v>68</v>
      </c>
      <c r="I1506" t="s">
        <v>4217</v>
      </c>
      <c r="J1506" t="s">
        <v>36</v>
      </c>
      <c r="K1506" s="22">
        <v>5</v>
      </c>
      <c r="L1506" s="1">
        <v>42966</v>
      </c>
      <c r="M1506" s="22">
        <f>Table3[[#This Row],[Ship Date]]-Table3[[#This Row],[Order Date]]</f>
        <v>2</v>
      </c>
      <c r="N1506" s="23" t="s">
        <v>169</v>
      </c>
      <c r="O1506" s="23" t="s">
        <v>23</v>
      </c>
      <c r="P1506" s="23" t="s">
        <v>238</v>
      </c>
      <c r="Q1506" s="23" t="s">
        <v>133</v>
      </c>
      <c r="R1506" s="23" t="s">
        <v>3619</v>
      </c>
      <c r="S1506" s="33">
        <v>0.2</v>
      </c>
      <c r="T1506" s="13">
        <v>895.92</v>
      </c>
      <c r="U1506" s="13">
        <v>302.37299999999999</v>
      </c>
      <c r="V1506" s="55">
        <f>Table3[[#This Row],[Profit]]/Table3[[#This Row],[Sales]]</f>
        <v>0.33750000000000002</v>
      </c>
    </row>
    <row r="1507" spans="1:22" x14ac:dyDescent="0.2">
      <c r="A1507">
        <v>1506</v>
      </c>
      <c r="B1507" t="s">
        <v>4216</v>
      </c>
      <c r="C1507" s="1">
        <v>42964</v>
      </c>
      <c r="D1507" s="22">
        <f>MONTH(Table3[[#This Row],[Order Date]])</f>
        <v>8</v>
      </c>
      <c r="E1507" t="s">
        <v>4220</v>
      </c>
      <c r="F1507" t="s">
        <v>4221</v>
      </c>
      <c r="G1507" s="23" t="s">
        <v>28</v>
      </c>
      <c r="H1507" s="23" t="s">
        <v>32</v>
      </c>
      <c r="I1507" t="s">
        <v>4217</v>
      </c>
      <c r="J1507" t="s">
        <v>36</v>
      </c>
      <c r="K1507" s="22">
        <v>2</v>
      </c>
      <c r="L1507" s="1">
        <v>42966</v>
      </c>
      <c r="M1507" s="22">
        <f>Table3[[#This Row],[Ship Date]]-Table3[[#This Row],[Order Date]]</f>
        <v>2</v>
      </c>
      <c r="N1507" s="23" t="s">
        <v>169</v>
      </c>
      <c r="O1507" s="23" t="s">
        <v>23</v>
      </c>
      <c r="P1507" s="23" t="s">
        <v>238</v>
      </c>
      <c r="Q1507" s="23" t="s">
        <v>133</v>
      </c>
      <c r="R1507" s="23" t="s">
        <v>3619</v>
      </c>
      <c r="S1507" s="33">
        <v>0.1</v>
      </c>
      <c r="T1507" s="13">
        <v>462.56400000000002</v>
      </c>
      <c r="U1507" s="13">
        <v>97.6524</v>
      </c>
      <c r="V1507" s="55">
        <f>Table3[[#This Row],[Profit]]/Table3[[#This Row],[Sales]]</f>
        <v>0.21111111111111111</v>
      </c>
    </row>
    <row r="1508" spans="1:22" x14ac:dyDescent="0.2">
      <c r="A1508">
        <v>1507</v>
      </c>
      <c r="B1508" t="s">
        <v>8111</v>
      </c>
      <c r="C1508" s="1">
        <v>42964</v>
      </c>
      <c r="D1508" s="22">
        <f>MONTH(Table3[[#This Row],[Order Date]])</f>
        <v>8</v>
      </c>
      <c r="E1508" t="s">
        <v>546</v>
      </c>
      <c r="F1508" t="s">
        <v>547</v>
      </c>
      <c r="G1508" s="23" t="s">
        <v>41</v>
      </c>
      <c r="H1508" s="23" t="s">
        <v>68</v>
      </c>
      <c r="I1508" t="s">
        <v>4438</v>
      </c>
      <c r="J1508" t="s">
        <v>92</v>
      </c>
      <c r="K1508" s="22">
        <v>3</v>
      </c>
      <c r="L1508" s="1">
        <v>42970</v>
      </c>
      <c r="M1508" s="22">
        <f>Table3[[#This Row],[Ship Date]]-Table3[[#This Row],[Order Date]]</f>
        <v>6</v>
      </c>
      <c r="N1508" s="23" t="s">
        <v>45</v>
      </c>
      <c r="O1508" s="23" t="s">
        <v>23</v>
      </c>
      <c r="P1508" s="23" t="s">
        <v>25</v>
      </c>
      <c r="Q1508" s="23" t="s">
        <v>26</v>
      </c>
      <c r="R1508" s="23" t="s">
        <v>1303</v>
      </c>
      <c r="S1508" s="33">
        <v>0</v>
      </c>
      <c r="T1508" s="13">
        <v>102.93</v>
      </c>
      <c r="U1508" s="13">
        <v>48.377099999999999</v>
      </c>
      <c r="V1508" s="55">
        <f>Table3[[#This Row],[Profit]]/Table3[[#This Row],[Sales]]</f>
        <v>0.47</v>
      </c>
    </row>
    <row r="1509" spans="1:22" x14ac:dyDescent="0.2">
      <c r="A1509">
        <v>1508</v>
      </c>
      <c r="B1509" t="s">
        <v>8111</v>
      </c>
      <c r="C1509" s="1">
        <v>42964</v>
      </c>
      <c r="D1509" s="22">
        <f>MONTH(Table3[[#This Row],[Order Date]])</f>
        <v>8</v>
      </c>
      <c r="E1509" t="s">
        <v>3320</v>
      </c>
      <c r="F1509" t="s">
        <v>3321</v>
      </c>
      <c r="G1509" s="23" t="s">
        <v>64</v>
      </c>
      <c r="H1509" s="23" t="s">
        <v>144</v>
      </c>
      <c r="I1509" t="s">
        <v>4438</v>
      </c>
      <c r="J1509" t="s">
        <v>92</v>
      </c>
      <c r="K1509" s="22">
        <v>6</v>
      </c>
      <c r="L1509" s="1">
        <v>42970</v>
      </c>
      <c r="M1509" s="22">
        <f>Table3[[#This Row],[Ship Date]]-Table3[[#This Row],[Order Date]]</f>
        <v>6</v>
      </c>
      <c r="N1509" s="23" t="s">
        <v>45</v>
      </c>
      <c r="O1509" s="23" t="s">
        <v>23</v>
      </c>
      <c r="P1509" s="23" t="s">
        <v>25</v>
      </c>
      <c r="Q1509" s="23" t="s">
        <v>26</v>
      </c>
      <c r="R1509" s="23" t="s">
        <v>1303</v>
      </c>
      <c r="S1509" s="33">
        <v>0</v>
      </c>
      <c r="T1509" s="13">
        <v>98.16</v>
      </c>
      <c r="U1509" s="13">
        <v>9.8160000000000007</v>
      </c>
      <c r="V1509" s="55">
        <f>Table3[[#This Row],[Profit]]/Table3[[#This Row],[Sales]]</f>
        <v>0.1</v>
      </c>
    </row>
    <row r="1510" spans="1:22" x14ac:dyDescent="0.2">
      <c r="A1510">
        <v>1509</v>
      </c>
      <c r="B1510" t="s">
        <v>8557</v>
      </c>
      <c r="C1510" s="1">
        <v>42964</v>
      </c>
      <c r="D1510" s="22">
        <f>MONTH(Table3[[#This Row],[Order Date]])</f>
        <v>8</v>
      </c>
      <c r="E1510" t="s">
        <v>6123</v>
      </c>
      <c r="F1510" t="s">
        <v>6124</v>
      </c>
      <c r="G1510" s="23" t="s">
        <v>41</v>
      </c>
      <c r="H1510" s="23" t="s">
        <v>513</v>
      </c>
      <c r="I1510" t="s">
        <v>3924</v>
      </c>
      <c r="J1510" t="s">
        <v>92</v>
      </c>
      <c r="K1510" s="22">
        <v>2</v>
      </c>
      <c r="L1510" s="1">
        <v>42971</v>
      </c>
      <c r="M1510" s="22">
        <f>Table3[[#This Row],[Ship Date]]-Table3[[#This Row],[Order Date]]</f>
        <v>7</v>
      </c>
      <c r="N1510" s="23" t="s">
        <v>45</v>
      </c>
      <c r="O1510" s="23" t="s">
        <v>23</v>
      </c>
      <c r="P1510" s="23" t="s">
        <v>94</v>
      </c>
      <c r="Q1510" s="23" t="s">
        <v>95</v>
      </c>
      <c r="R1510" s="23" t="s">
        <v>165</v>
      </c>
      <c r="S1510" s="33">
        <v>0.2</v>
      </c>
      <c r="T1510" s="13">
        <v>5.5519999999999996</v>
      </c>
      <c r="U1510" s="13">
        <v>-1.0409999999999999</v>
      </c>
      <c r="V1510" s="55">
        <f>Table3[[#This Row],[Profit]]/Table3[[#This Row],[Sales]]</f>
        <v>-0.1875</v>
      </c>
    </row>
    <row r="1511" spans="1:22" x14ac:dyDescent="0.2">
      <c r="A1511">
        <v>1510</v>
      </c>
      <c r="B1511" t="s">
        <v>8557</v>
      </c>
      <c r="C1511" s="1">
        <v>42964</v>
      </c>
      <c r="D1511" s="22">
        <f>MONTH(Table3[[#This Row],[Order Date]])</f>
        <v>8</v>
      </c>
      <c r="E1511" t="s">
        <v>5201</v>
      </c>
      <c r="F1511" t="s">
        <v>5202</v>
      </c>
      <c r="G1511" s="23" t="s">
        <v>41</v>
      </c>
      <c r="H1511" s="23" t="s">
        <v>61</v>
      </c>
      <c r="I1511" t="s">
        <v>3924</v>
      </c>
      <c r="J1511" t="s">
        <v>92</v>
      </c>
      <c r="K1511" s="22">
        <v>3</v>
      </c>
      <c r="L1511" s="1">
        <v>42971</v>
      </c>
      <c r="M1511" s="22">
        <f>Table3[[#This Row],[Ship Date]]-Table3[[#This Row],[Order Date]]</f>
        <v>7</v>
      </c>
      <c r="N1511" s="23" t="s">
        <v>45</v>
      </c>
      <c r="O1511" s="23" t="s">
        <v>23</v>
      </c>
      <c r="P1511" s="23" t="s">
        <v>94</v>
      </c>
      <c r="Q1511" s="23" t="s">
        <v>95</v>
      </c>
      <c r="R1511" s="23" t="s">
        <v>165</v>
      </c>
      <c r="S1511" s="33">
        <v>0.2</v>
      </c>
      <c r="T1511" s="13">
        <v>8.016</v>
      </c>
      <c r="U1511" s="13">
        <v>1.002</v>
      </c>
      <c r="V1511" s="55">
        <f>Table3[[#This Row],[Profit]]/Table3[[#This Row],[Sales]]</f>
        <v>0.125</v>
      </c>
    </row>
    <row r="1512" spans="1:22" x14ac:dyDescent="0.2">
      <c r="A1512">
        <v>1511</v>
      </c>
      <c r="B1512" t="s">
        <v>8557</v>
      </c>
      <c r="C1512" s="1">
        <v>42964</v>
      </c>
      <c r="D1512" s="22">
        <f>MONTH(Table3[[#This Row],[Order Date]])</f>
        <v>8</v>
      </c>
      <c r="E1512" t="s">
        <v>5115</v>
      </c>
      <c r="F1512" t="s">
        <v>5116</v>
      </c>
      <c r="G1512" s="23" t="s">
        <v>28</v>
      </c>
      <c r="H1512" s="23" t="s">
        <v>32</v>
      </c>
      <c r="I1512" t="s">
        <v>3924</v>
      </c>
      <c r="J1512" t="s">
        <v>92</v>
      </c>
      <c r="K1512" s="22">
        <v>4</v>
      </c>
      <c r="L1512" s="1">
        <v>42971</v>
      </c>
      <c r="M1512" s="22">
        <f>Table3[[#This Row],[Ship Date]]-Table3[[#This Row],[Order Date]]</f>
        <v>7</v>
      </c>
      <c r="N1512" s="23" t="s">
        <v>45</v>
      </c>
      <c r="O1512" s="23" t="s">
        <v>23</v>
      </c>
      <c r="P1512" s="23" t="s">
        <v>94</v>
      </c>
      <c r="Q1512" s="23" t="s">
        <v>95</v>
      </c>
      <c r="R1512" s="23" t="s">
        <v>165</v>
      </c>
      <c r="S1512" s="33">
        <v>0.3</v>
      </c>
      <c r="T1512" s="13">
        <v>74.591999999999999</v>
      </c>
      <c r="U1512" s="13">
        <v>-2.1312000000000002</v>
      </c>
      <c r="V1512" s="55">
        <f>Table3[[#This Row],[Profit]]/Table3[[#This Row],[Sales]]</f>
        <v>-2.8571428571428574E-2</v>
      </c>
    </row>
    <row r="1513" spans="1:22" x14ac:dyDescent="0.2">
      <c r="A1513">
        <v>1512</v>
      </c>
      <c r="B1513" t="s">
        <v>8557</v>
      </c>
      <c r="C1513" s="1">
        <v>42964</v>
      </c>
      <c r="D1513" s="22">
        <f>MONTH(Table3[[#This Row],[Order Date]])</f>
        <v>8</v>
      </c>
      <c r="E1513" t="s">
        <v>5586</v>
      </c>
      <c r="F1513" t="s">
        <v>5587</v>
      </c>
      <c r="G1513" s="23" t="s">
        <v>28</v>
      </c>
      <c r="H1513" s="23" t="s">
        <v>58</v>
      </c>
      <c r="I1513" t="s">
        <v>3924</v>
      </c>
      <c r="J1513" t="s">
        <v>92</v>
      </c>
      <c r="K1513" s="22">
        <v>2</v>
      </c>
      <c r="L1513" s="1">
        <v>42971</v>
      </c>
      <c r="M1513" s="22">
        <f>Table3[[#This Row],[Ship Date]]-Table3[[#This Row],[Order Date]]</f>
        <v>7</v>
      </c>
      <c r="N1513" s="23" t="s">
        <v>45</v>
      </c>
      <c r="O1513" s="23" t="s">
        <v>23</v>
      </c>
      <c r="P1513" s="23" t="s">
        <v>94</v>
      </c>
      <c r="Q1513" s="23" t="s">
        <v>95</v>
      </c>
      <c r="R1513" s="23" t="s">
        <v>165</v>
      </c>
      <c r="S1513" s="33">
        <v>0.6</v>
      </c>
      <c r="T1513" s="13">
        <v>16.783999999999999</v>
      </c>
      <c r="U1513" s="13">
        <v>-22.238800000000001</v>
      </c>
      <c r="V1513" s="55">
        <f>Table3[[#This Row],[Profit]]/Table3[[#This Row],[Sales]]</f>
        <v>-1.3250000000000002</v>
      </c>
    </row>
    <row r="1514" spans="1:22" x14ac:dyDescent="0.2">
      <c r="A1514">
        <v>1513</v>
      </c>
      <c r="B1514" t="s">
        <v>8557</v>
      </c>
      <c r="C1514" s="1">
        <v>42964</v>
      </c>
      <c r="D1514" s="22">
        <f>MONTH(Table3[[#This Row],[Order Date]])</f>
        <v>8</v>
      </c>
      <c r="E1514" t="s">
        <v>1828</v>
      </c>
      <c r="F1514" t="s">
        <v>1829</v>
      </c>
      <c r="G1514" s="23" t="s">
        <v>41</v>
      </c>
      <c r="H1514" s="23" t="s">
        <v>71</v>
      </c>
      <c r="I1514" t="s">
        <v>3924</v>
      </c>
      <c r="J1514" t="s">
        <v>92</v>
      </c>
      <c r="K1514" s="22">
        <v>4</v>
      </c>
      <c r="L1514" s="1">
        <v>42971</v>
      </c>
      <c r="M1514" s="22">
        <f>Table3[[#This Row],[Ship Date]]-Table3[[#This Row],[Order Date]]</f>
        <v>7</v>
      </c>
      <c r="N1514" s="23" t="s">
        <v>45</v>
      </c>
      <c r="O1514" s="23" t="s">
        <v>23</v>
      </c>
      <c r="P1514" s="23" t="s">
        <v>94</v>
      </c>
      <c r="Q1514" s="23" t="s">
        <v>95</v>
      </c>
      <c r="R1514" s="23" t="s">
        <v>165</v>
      </c>
      <c r="S1514" s="33">
        <v>0.8</v>
      </c>
      <c r="T1514" s="13">
        <v>38.863999999999997</v>
      </c>
      <c r="U1514" s="13">
        <v>-99.103200000000001</v>
      </c>
      <c r="V1514" s="55">
        <f>Table3[[#This Row],[Profit]]/Table3[[#This Row],[Sales]]</f>
        <v>-2.5500000000000003</v>
      </c>
    </row>
    <row r="1515" spans="1:22" x14ac:dyDescent="0.2">
      <c r="A1515">
        <v>1514</v>
      </c>
      <c r="B1515" t="s">
        <v>8591</v>
      </c>
      <c r="C1515" s="1">
        <v>42964</v>
      </c>
      <c r="D1515" s="22">
        <f>MONTH(Table3[[#This Row],[Order Date]])</f>
        <v>8</v>
      </c>
      <c r="E1515" t="s">
        <v>1656</v>
      </c>
      <c r="F1515" t="s">
        <v>1657</v>
      </c>
      <c r="G1515" s="23" t="s">
        <v>28</v>
      </c>
      <c r="H1515" s="23" t="s">
        <v>32</v>
      </c>
      <c r="I1515" t="s">
        <v>4665</v>
      </c>
      <c r="J1515" t="s">
        <v>22</v>
      </c>
      <c r="K1515" s="22">
        <v>9</v>
      </c>
      <c r="L1515" s="1">
        <v>42969</v>
      </c>
      <c r="M1515" s="22">
        <f>Table3[[#This Row],[Ship Date]]-Table3[[#This Row],[Order Date]]</f>
        <v>5</v>
      </c>
      <c r="N1515" s="23" t="s">
        <v>20</v>
      </c>
      <c r="O1515" s="23" t="s">
        <v>23</v>
      </c>
      <c r="P1515" s="23" t="s">
        <v>132</v>
      </c>
      <c r="Q1515" s="23" t="s">
        <v>133</v>
      </c>
      <c r="R1515" s="23" t="s">
        <v>131</v>
      </c>
      <c r="S1515" s="33">
        <v>0.3</v>
      </c>
      <c r="T1515" s="13">
        <v>4416.174</v>
      </c>
      <c r="U1515" s="13">
        <v>-630.88199999999995</v>
      </c>
      <c r="V1515" s="55">
        <f>Table3[[#This Row],[Profit]]/Table3[[#This Row],[Sales]]</f>
        <v>-0.14285714285714285</v>
      </c>
    </row>
    <row r="1516" spans="1:22" x14ac:dyDescent="0.2">
      <c r="A1516">
        <v>1515</v>
      </c>
      <c r="B1516" t="s">
        <v>8970</v>
      </c>
      <c r="C1516" s="1">
        <v>42964</v>
      </c>
      <c r="D1516" s="22">
        <f>MONTH(Table3[[#This Row],[Order Date]])</f>
        <v>8</v>
      </c>
      <c r="E1516" t="s">
        <v>3643</v>
      </c>
      <c r="F1516" t="s">
        <v>591</v>
      </c>
      <c r="G1516" s="23" t="s">
        <v>41</v>
      </c>
      <c r="H1516" s="23" t="s">
        <v>155</v>
      </c>
      <c r="I1516" t="s">
        <v>3394</v>
      </c>
      <c r="J1516" t="s">
        <v>36</v>
      </c>
      <c r="K1516" s="22">
        <v>2</v>
      </c>
      <c r="L1516" s="1">
        <v>42971</v>
      </c>
      <c r="M1516" s="22">
        <f>Table3[[#This Row],[Ship Date]]-Table3[[#This Row],[Order Date]]</f>
        <v>7</v>
      </c>
      <c r="N1516" s="23" t="s">
        <v>45</v>
      </c>
      <c r="O1516" s="23" t="s">
        <v>23</v>
      </c>
      <c r="P1516" s="23" t="s">
        <v>38</v>
      </c>
      <c r="Q1516" s="23" t="s">
        <v>39</v>
      </c>
      <c r="R1516" s="23" t="s">
        <v>873</v>
      </c>
      <c r="S1516" s="33">
        <v>0</v>
      </c>
      <c r="T1516" s="13">
        <v>23.36</v>
      </c>
      <c r="U1516" s="13">
        <v>11.68</v>
      </c>
      <c r="V1516" s="55">
        <f>Table3[[#This Row],[Profit]]/Table3[[#This Row],[Sales]]</f>
        <v>0.5</v>
      </c>
    </row>
    <row r="1517" spans="1:22" x14ac:dyDescent="0.2">
      <c r="A1517">
        <v>1516</v>
      </c>
      <c r="B1517" t="s">
        <v>8970</v>
      </c>
      <c r="C1517" s="1">
        <v>42964</v>
      </c>
      <c r="D1517" s="22">
        <f>MONTH(Table3[[#This Row],[Order Date]])</f>
        <v>8</v>
      </c>
      <c r="E1517" t="s">
        <v>3434</v>
      </c>
      <c r="F1517" t="s">
        <v>3435</v>
      </c>
      <c r="G1517" s="23" t="s">
        <v>64</v>
      </c>
      <c r="H1517" s="23" t="s">
        <v>65</v>
      </c>
      <c r="I1517" t="s">
        <v>3394</v>
      </c>
      <c r="J1517" t="s">
        <v>36</v>
      </c>
      <c r="K1517" s="22">
        <v>3</v>
      </c>
      <c r="L1517" s="1">
        <v>42971</v>
      </c>
      <c r="M1517" s="22">
        <f>Table3[[#This Row],[Ship Date]]-Table3[[#This Row],[Order Date]]</f>
        <v>7</v>
      </c>
      <c r="N1517" s="23" t="s">
        <v>45</v>
      </c>
      <c r="O1517" s="23" t="s">
        <v>23</v>
      </c>
      <c r="P1517" s="23" t="s">
        <v>38</v>
      </c>
      <c r="Q1517" s="23" t="s">
        <v>39</v>
      </c>
      <c r="R1517" s="23" t="s">
        <v>873</v>
      </c>
      <c r="S1517" s="33">
        <v>0.2</v>
      </c>
      <c r="T1517" s="13">
        <v>71.975999999999999</v>
      </c>
      <c r="U1517" s="13">
        <v>8.9969999999999999</v>
      </c>
      <c r="V1517" s="55">
        <f>Table3[[#This Row],[Profit]]/Table3[[#This Row],[Sales]]</f>
        <v>0.125</v>
      </c>
    </row>
    <row r="1518" spans="1:22" x14ac:dyDescent="0.2">
      <c r="A1518">
        <v>1517</v>
      </c>
      <c r="B1518" t="s">
        <v>8970</v>
      </c>
      <c r="C1518" s="1">
        <v>42964</v>
      </c>
      <c r="D1518" s="22">
        <f>MONTH(Table3[[#This Row],[Order Date]])</f>
        <v>8</v>
      </c>
      <c r="E1518" t="s">
        <v>3939</v>
      </c>
      <c r="F1518" t="s">
        <v>3940</v>
      </c>
      <c r="G1518" s="23" t="s">
        <v>41</v>
      </c>
      <c r="H1518" s="23" t="s">
        <v>82</v>
      </c>
      <c r="I1518" t="s">
        <v>3394</v>
      </c>
      <c r="J1518" t="s">
        <v>36</v>
      </c>
      <c r="K1518" s="22">
        <v>2</v>
      </c>
      <c r="L1518" s="1">
        <v>42971</v>
      </c>
      <c r="M1518" s="22">
        <f>Table3[[#This Row],[Ship Date]]-Table3[[#This Row],[Order Date]]</f>
        <v>7</v>
      </c>
      <c r="N1518" s="23" t="s">
        <v>45</v>
      </c>
      <c r="O1518" s="23" t="s">
        <v>23</v>
      </c>
      <c r="P1518" s="23" t="s">
        <v>38</v>
      </c>
      <c r="Q1518" s="23" t="s">
        <v>39</v>
      </c>
      <c r="R1518" s="23" t="s">
        <v>873</v>
      </c>
      <c r="S1518" s="33">
        <v>0</v>
      </c>
      <c r="T1518" s="13">
        <v>8.56</v>
      </c>
      <c r="U1518" s="13">
        <v>3.8519999999999999</v>
      </c>
      <c r="V1518" s="55">
        <f>Table3[[#This Row],[Profit]]/Table3[[#This Row],[Sales]]</f>
        <v>0.44999999999999996</v>
      </c>
    </row>
    <row r="1519" spans="1:22" x14ac:dyDescent="0.2">
      <c r="A1519">
        <v>1518</v>
      </c>
      <c r="B1519" t="s">
        <v>8970</v>
      </c>
      <c r="C1519" s="1">
        <v>42964</v>
      </c>
      <c r="D1519" s="22">
        <f>MONTH(Table3[[#This Row],[Order Date]])</f>
        <v>8</v>
      </c>
      <c r="E1519" t="s">
        <v>5472</v>
      </c>
      <c r="F1519" t="s">
        <v>5473</v>
      </c>
      <c r="G1519" s="23" t="s">
        <v>41</v>
      </c>
      <c r="H1519" s="23" t="s">
        <v>68</v>
      </c>
      <c r="I1519" t="s">
        <v>3394</v>
      </c>
      <c r="J1519" t="s">
        <v>36</v>
      </c>
      <c r="K1519" s="22">
        <v>3</v>
      </c>
      <c r="L1519" s="1">
        <v>42971</v>
      </c>
      <c r="M1519" s="22">
        <f>Table3[[#This Row],[Ship Date]]-Table3[[#This Row],[Order Date]]</f>
        <v>7</v>
      </c>
      <c r="N1519" s="23" t="s">
        <v>45</v>
      </c>
      <c r="O1519" s="23" t="s">
        <v>23</v>
      </c>
      <c r="P1519" s="23" t="s">
        <v>38</v>
      </c>
      <c r="Q1519" s="23" t="s">
        <v>39</v>
      </c>
      <c r="R1519" s="23" t="s">
        <v>873</v>
      </c>
      <c r="S1519" s="33">
        <v>0.2</v>
      </c>
      <c r="T1519" s="13">
        <v>13.92</v>
      </c>
      <c r="U1519" s="13">
        <v>4.8719999999999999</v>
      </c>
      <c r="V1519" s="55">
        <f>Table3[[#This Row],[Profit]]/Table3[[#This Row],[Sales]]</f>
        <v>0.35</v>
      </c>
    </row>
    <row r="1520" spans="1:22" x14ac:dyDescent="0.2">
      <c r="A1520">
        <v>1519</v>
      </c>
      <c r="B1520" t="s">
        <v>8970</v>
      </c>
      <c r="C1520" s="1">
        <v>42964</v>
      </c>
      <c r="D1520" s="22">
        <f>MONTH(Table3[[#This Row],[Order Date]])</f>
        <v>8</v>
      </c>
      <c r="E1520" t="s">
        <v>529</v>
      </c>
      <c r="F1520" t="s">
        <v>530</v>
      </c>
      <c r="G1520" s="23" t="s">
        <v>41</v>
      </c>
      <c r="H1520" s="23" t="s">
        <v>71</v>
      </c>
      <c r="I1520" t="s">
        <v>3394</v>
      </c>
      <c r="J1520" t="s">
        <v>36</v>
      </c>
      <c r="K1520" s="22">
        <v>9</v>
      </c>
      <c r="L1520" s="1">
        <v>42971</v>
      </c>
      <c r="M1520" s="22">
        <f>Table3[[#This Row],[Ship Date]]-Table3[[#This Row],[Order Date]]</f>
        <v>7</v>
      </c>
      <c r="N1520" s="23" t="s">
        <v>45</v>
      </c>
      <c r="O1520" s="23" t="s">
        <v>23</v>
      </c>
      <c r="P1520" s="23" t="s">
        <v>38</v>
      </c>
      <c r="Q1520" s="23" t="s">
        <v>39</v>
      </c>
      <c r="R1520" s="23" t="s">
        <v>873</v>
      </c>
      <c r="S1520" s="33">
        <v>0</v>
      </c>
      <c r="T1520" s="13">
        <v>2518.29</v>
      </c>
      <c r="U1520" s="13">
        <v>654.75540000000001</v>
      </c>
      <c r="V1520" s="55">
        <f>Table3[[#This Row],[Profit]]/Table3[[#This Row],[Sales]]</f>
        <v>0.26</v>
      </c>
    </row>
    <row r="1521" spans="1:22" x14ac:dyDescent="0.2">
      <c r="A1521">
        <v>1520</v>
      </c>
      <c r="B1521" t="s">
        <v>8970</v>
      </c>
      <c r="C1521" s="1">
        <v>42964</v>
      </c>
      <c r="D1521" s="22">
        <f>MONTH(Table3[[#This Row],[Order Date]])</f>
        <v>8</v>
      </c>
      <c r="E1521" t="s">
        <v>2527</v>
      </c>
      <c r="F1521" t="s">
        <v>2528</v>
      </c>
      <c r="G1521" s="23" t="s">
        <v>41</v>
      </c>
      <c r="H1521" s="23" t="s">
        <v>53</v>
      </c>
      <c r="I1521" t="s">
        <v>3394</v>
      </c>
      <c r="J1521" t="s">
        <v>36</v>
      </c>
      <c r="K1521" s="22">
        <v>3</v>
      </c>
      <c r="L1521" s="1">
        <v>42971</v>
      </c>
      <c r="M1521" s="22">
        <f>Table3[[#This Row],[Ship Date]]-Table3[[#This Row],[Order Date]]</f>
        <v>7</v>
      </c>
      <c r="N1521" s="23" t="s">
        <v>45</v>
      </c>
      <c r="O1521" s="23" t="s">
        <v>23</v>
      </c>
      <c r="P1521" s="23" t="s">
        <v>38</v>
      </c>
      <c r="Q1521" s="23" t="s">
        <v>39</v>
      </c>
      <c r="R1521" s="23" t="s">
        <v>873</v>
      </c>
      <c r="S1521" s="33">
        <v>0</v>
      </c>
      <c r="T1521" s="13">
        <v>540.57000000000005</v>
      </c>
      <c r="U1521" s="13">
        <v>140.54820000000001</v>
      </c>
      <c r="V1521" s="55">
        <f>Table3[[#This Row],[Profit]]/Table3[[#This Row],[Sales]]</f>
        <v>0.26</v>
      </c>
    </row>
    <row r="1522" spans="1:22" x14ac:dyDescent="0.2">
      <c r="A1522">
        <v>1521</v>
      </c>
      <c r="B1522" t="s">
        <v>8970</v>
      </c>
      <c r="C1522" s="1">
        <v>42964</v>
      </c>
      <c r="D1522" s="22">
        <f>MONTH(Table3[[#This Row],[Order Date]])</f>
        <v>8</v>
      </c>
      <c r="E1522" t="s">
        <v>2251</v>
      </c>
      <c r="F1522" t="s">
        <v>2252</v>
      </c>
      <c r="G1522" s="23" t="s">
        <v>41</v>
      </c>
      <c r="H1522" s="23" t="s">
        <v>68</v>
      </c>
      <c r="I1522" t="s">
        <v>3394</v>
      </c>
      <c r="J1522" t="s">
        <v>36</v>
      </c>
      <c r="K1522" s="22">
        <v>8</v>
      </c>
      <c r="L1522" s="1">
        <v>42971</v>
      </c>
      <c r="M1522" s="22">
        <f>Table3[[#This Row],[Ship Date]]-Table3[[#This Row],[Order Date]]</f>
        <v>7</v>
      </c>
      <c r="N1522" s="23" t="s">
        <v>45</v>
      </c>
      <c r="O1522" s="23" t="s">
        <v>23</v>
      </c>
      <c r="P1522" s="23" t="s">
        <v>38</v>
      </c>
      <c r="Q1522" s="23" t="s">
        <v>39</v>
      </c>
      <c r="R1522" s="23" t="s">
        <v>873</v>
      </c>
      <c r="S1522" s="33">
        <v>0.2</v>
      </c>
      <c r="T1522" s="13">
        <v>221.05600000000001</v>
      </c>
      <c r="U1522" s="13">
        <v>77.369600000000005</v>
      </c>
      <c r="V1522" s="55">
        <f>Table3[[#This Row],[Profit]]/Table3[[#This Row],[Sales]]</f>
        <v>0.35000000000000003</v>
      </c>
    </row>
    <row r="1523" spans="1:22" x14ac:dyDescent="0.2">
      <c r="A1523">
        <v>1522</v>
      </c>
      <c r="B1523" t="s">
        <v>1799</v>
      </c>
      <c r="C1523" s="1">
        <v>42965</v>
      </c>
      <c r="D1523" s="22">
        <f>MONTH(Table3[[#This Row],[Order Date]])</f>
        <v>8</v>
      </c>
      <c r="E1523" t="s">
        <v>1801</v>
      </c>
      <c r="F1523" t="s">
        <v>1802</v>
      </c>
      <c r="G1523" s="23" t="s">
        <v>28</v>
      </c>
      <c r="H1523" s="23" t="s">
        <v>58</v>
      </c>
      <c r="I1523" t="s">
        <v>1800</v>
      </c>
      <c r="J1523" t="s">
        <v>36</v>
      </c>
      <c r="K1523" s="22">
        <v>2</v>
      </c>
      <c r="L1523" s="1">
        <v>42970</v>
      </c>
      <c r="M1523" s="22">
        <f>Table3[[#This Row],[Ship Date]]-Table3[[#This Row],[Order Date]]</f>
        <v>5</v>
      </c>
      <c r="N1523" s="23" t="s">
        <v>20</v>
      </c>
      <c r="O1523" s="23" t="s">
        <v>23</v>
      </c>
      <c r="P1523" s="23" t="s">
        <v>238</v>
      </c>
      <c r="Q1523" s="23" t="s">
        <v>133</v>
      </c>
      <c r="R1523" s="23" t="s">
        <v>237</v>
      </c>
      <c r="S1523" s="33">
        <v>0</v>
      </c>
      <c r="T1523" s="13">
        <v>40.479999999999997</v>
      </c>
      <c r="U1523" s="13">
        <v>15.7872</v>
      </c>
      <c r="V1523" s="55">
        <f>Table3[[#This Row],[Profit]]/Table3[[#This Row],[Sales]]</f>
        <v>0.39</v>
      </c>
    </row>
    <row r="1524" spans="1:22" x14ac:dyDescent="0.2">
      <c r="A1524">
        <v>1523</v>
      </c>
      <c r="B1524" t="s">
        <v>1799</v>
      </c>
      <c r="C1524" s="1">
        <v>42965</v>
      </c>
      <c r="D1524" s="22">
        <f>MONTH(Table3[[#This Row],[Order Date]])</f>
        <v>8</v>
      </c>
      <c r="E1524" t="s">
        <v>1803</v>
      </c>
      <c r="F1524" t="s">
        <v>1804</v>
      </c>
      <c r="G1524" s="23" t="s">
        <v>28</v>
      </c>
      <c r="H1524" s="23" t="s">
        <v>58</v>
      </c>
      <c r="I1524" t="s">
        <v>1800</v>
      </c>
      <c r="J1524" t="s">
        <v>36</v>
      </c>
      <c r="K1524" s="22">
        <v>2</v>
      </c>
      <c r="L1524" s="1">
        <v>42970</v>
      </c>
      <c r="M1524" s="22">
        <f>Table3[[#This Row],[Ship Date]]-Table3[[#This Row],[Order Date]]</f>
        <v>5</v>
      </c>
      <c r="N1524" s="23" t="s">
        <v>20</v>
      </c>
      <c r="O1524" s="23" t="s">
        <v>23</v>
      </c>
      <c r="P1524" s="23" t="s">
        <v>238</v>
      </c>
      <c r="Q1524" s="23" t="s">
        <v>133</v>
      </c>
      <c r="R1524" s="23" t="s">
        <v>237</v>
      </c>
      <c r="S1524" s="33">
        <v>0</v>
      </c>
      <c r="T1524" s="13">
        <v>9.94</v>
      </c>
      <c r="U1524" s="13">
        <v>3.0813999999999999</v>
      </c>
      <c r="V1524" s="55">
        <f>Table3[[#This Row],[Profit]]/Table3[[#This Row],[Sales]]</f>
        <v>0.31</v>
      </c>
    </row>
    <row r="1525" spans="1:22" x14ac:dyDescent="0.2">
      <c r="A1525">
        <v>1524</v>
      </c>
      <c r="B1525" t="s">
        <v>1799</v>
      </c>
      <c r="C1525" s="1">
        <v>42965</v>
      </c>
      <c r="D1525" s="22">
        <f>MONTH(Table3[[#This Row],[Order Date]])</f>
        <v>8</v>
      </c>
      <c r="E1525" t="s">
        <v>1805</v>
      </c>
      <c r="F1525" t="s">
        <v>1806</v>
      </c>
      <c r="G1525" s="23" t="s">
        <v>41</v>
      </c>
      <c r="H1525" s="23" t="s">
        <v>68</v>
      </c>
      <c r="I1525" t="s">
        <v>1800</v>
      </c>
      <c r="J1525" t="s">
        <v>36</v>
      </c>
      <c r="K1525" s="22">
        <v>9</v>
      </c>
      <c r="L1525" s="1">
        <v>42970</v>
      </c>
      <c r="M1525" s="22">
        <f>Table3[[#This Row],[Ship Date]]-Table3[[#This Row],[Order Date]]</f>
        <v>5</v>
      </c>
      <c r="N1525" s="23" t="s">
        <v>20</v>
      </c>
      <c r="O1525" s="23" t="s">
        <v>23</v>
      </c>
      <c r="P1525" s="23" t="s">
        <v>238</v>
      </c>
      <c r="Q1525" s="23" t="s">
        <v>133</v>
      </c>
      <c r="R1525" s="23" t="s">
        <v>237</v>
      </c>
      <c r="S1525" s="33">
        <v>0.2</v>
      </c>
      <c r="T1525" s="13">
        <v>107.42400000000001</v>
      </c>
      <c r="U1525" s="13">
        <v>33.57</v>
      </c>
      <c r="V1525" s="55">
        <f>Table3[[#This Row],[Profit]]/Table3[[#This Row],[Sales]]</f>
        <v>0.3125</v>
      </c>
    </row>
    <row r="1526" spans="1:22" x14ac:dyDescent="0.2">
      <c r="A1526">
        <v>1525</v>
      </c>
      <c r="B1526" t="s">
        <v>1799</v>
      </c>
      <c r="C1526" s="1">
        <v>42965</v>
      </c>
      <c r="D1526" s="22">
        <f>MONTH(Table3[[#This Row],[Order Date]])</f>
        <v>8</v>
      </c>
      <c r="E1526" t="s">
        <v>1807</v>
      </c>
      <c r="F1526" t="s">
        <v>1808</v>
      </c>
      <c r="G1526" s="23" t="s">
        <v>64</v>
      </c>
      <c r="H1526" s="23" t="s">
        <v>65</v>
      </c>
      <c r="I1526" t="s">
        <v>1800</v>
      </c>
      <c r="J1526" t="s">
        <v>36</v>
      </c>
      <c r="K1526" s="22">
        <v>1</v>
      </c>
      <c r="L1526" s="1">
        <v>42970</v>
      </c>
      <c r="M1526" s="22">
        <f>Table3[[#This Row],[Ship Date]]-Table3[[#This Row],[Order Date]]</f>
        <v>5</v>
      </c>
      <c r="N1526" s="23" t="s">
        <v>20</v>
      </c>
      <c r="O1526" s="23" t="s">
        <v>23</v>
      </c>
      <c r="P1526" s="23" t="s">
        <v>238</v>
      </c>
      <c r="Q1526" s="23" t="s">
        <v>133</v>
      </c>
      <c r="R1526" s="23" t="s">
        <v>237</v>
      </c>
      <c r="S1526" s="33">
        <v>0</v>
      </c>
      <c r="T1526" s="13">
        <v>37.909999999999997</v>
      </c>
      <c r="U1526" s="13">
        <v>10.9939</v>
      </c>
      <c r="V1526" s="55">
        <f>Table3[[#This Row],[Profit]]/Table3[[#This Row],[Sales]]</f>
        <v>0.29000000000000004</v>
      </c>
    </row>
    <row r="1527" spans="1:22" x14ac:dyDescent="0.2">
      <c r="A1527">
        <v>1526</v>
      </c>
      <c r="B1527" t="s">
        <v>1799</v>
      </c>
      <c r="C1527" s="1">
        <v>42965</v>
      </c>
      <c r="D1527" s="22">
        <f>MONTH(Table3[[#This Row],[Order Date]])</f>
        <v>8</v>
      </c>
      <c r="E1527" t="s">
        <v>537</v>
      </c>
      <c r="F1527" t="s">
        <v>538</v>
      </c>
      <c r="G1527" s="23" t="s">
        <v>28</v>
      </c>
      <c r="H1527" s="23" t="s">
        <v>58</v>
      </c>
      <c r="I1527" t="s">
        <v>1800</v>
      </c>
      <c r="J1527" t="s">
        <v>36</v>
      </c>
      <c r="K1527" s="22">
        <v>3</v>
      </c>
      <c r="L1527" s="1">
        <v>42970</v>
      </c>
      <c r="M1527" s="22">
        <f>Table3[[#This Row],[Ship Date]]-Table3[[#This Row],[Order Date]]</f>
        <v>5</v>
      </c>
      <c r="N1527" s="23" t="s">
        <v>20</v>
      </c>
      <c r="O1527" s="23" t="s">
        <v>23</v>
      </c>
      <c r="P1527" s="23" t="s">
        <v>238</v>
      </c>
      <c r="Q1527" s="23" t="s">
        <v>133</v>
      </c>
      <c r="R1527" s="23" t="s">
        <v>237</v>
      </c>
      <c r="S1527" s="33">
        <v>0</v>
      </c>
      <c r="T1527" s="13">
        <v>88.02</v>
      </c>
      <c r="U1527" s="13">
        <v>27.286200000000001</v>
      </c>
      <c r="V1527" s="55">
        <f>Table3[[#This Row],[Profit]]/Table3[[#This Row],[Sales]]</f>
        <v>0.31</v>
      </c>
    </row>
    <row r="1528" spans="1:22" x14ac:dyDescent="0.2">
      <c r="A1528">
        <v>1527</v>
      </c>
      <c r="B1528" t="s">
        <v>3564</v>
      </c>
      <c r="C1528" s="1">
        <v>42965</v>
      </c>
      <c r="D1528" s="22">
        <f>MONTH(Table3[[#This Row],[Order Date]])</f>
        <v>8</v>
      </c>
      <c r="E1528" t="s">
        <v>824</v>
      </c>
      <c r="F1528" t="s">
        <v>825</v>
      </c>
      <c r="G1528" s="23" t="s">
        <v>41</v>
      </c>
      <c r="H1528" s="23" t="s">
        <v>53</v>
      </c>
      <c r="I1528" t="s">
        <v>1176</v>
      </c>
      <c r="J1528" t="s">
        <v>22</v>
      </c>
      <c r="K1528" s="22">
        <v>3</v>
      </c>
      <c r="L1528" s="1">
        <v>42969</v>
      </c>
      <c r="M1528" s="22">
        <f>Table3[[#This Row],[Ship Date]]-Table3[[#This Row],[Order Date]]</f>
        <v>4</v>
      </c>
      <c r="N1528" s="23" t="s">
        <v>45</v>
      </c>
      <c r="O1528" s="23" t="s">
        <v>23</v>
      </c>
      <c r="P1528" s="23" t="s">
        <v>94</v>
      </c>
      <c r="Q1528" s="23" t="s">
        <v>95</v>
      </c>
      <c r="R1528" s="23" t="s">
        <v>718</v>
      </c>
      <c r="S1528" s="33">
        <v>0.2</v>
      </c>
      <c r="T1528" s="13">
        <v>200.06399999999999</v>
      </c>
      <c r="U1528" s="13">
        <v>12.504</v>
      </c>
      <c r="V1528" s="55">
        <f>Table3[[#This Row],[Profit]]/Table3[[#This Row],[Sales]]</f>
        <v>6.25E-2</v>
      </c>
    </row>
    <row r="1529" spans="1:22" x14ac:dyDescent="0.2">
      <c r="A1529">
        <v>1528</v>
      </c>
      <c r="B1529" t="s">
        <v>3564</v>
      </c>
      <c r="C1529" s="1">
        <v>42965</v>
      </c>
      <c r="D1529" s="22">
        <f>MONTH(Table3[[#This Row],[Order Date]])</f>
        <v>8</v>
      </c>
      <c r="E1529" t="s">
        <v>1414</v>
      </c>
      <c r="F1529" t="s">
        <v>1415</v>
      </c>
      <c r="G1529" s="23" t="s">
        <v>41</v>
      </c>
      <c r="H1529" s="23" t="s">
        <v>68</v>
      </c>
      <c r="I1529" t="s">
        <v>1176</v>
      </c>
      <c r="J1529" t="s">
        <v>22</v>
      </c>
      <c r="K1529" s="22">
        <v>5</v>
      </c>
      <c r="L1529" s="1">
        <v>42969</v>
      </c>
      <c r="M1529" s="22">
        <f>Table3[[#This Row],[Ship Date]]-Table3[[#This Row],[Order Date]]</f>
        <v>4</v>
      </c>
      <c r="N1529" s="23" t="s">
        <v>45</v>
      </c>
      <c r="O1529" s="23" t="s">
        <v>23</v>
      </c>
      <c r="P1529" s="23" t="s">
        <v>94</v>
      </c>
      <c r="Q1529" s="23" t="s">
        <v>95</v>
      </c>
      <c r="R1529" s="23" t="s">
        <v>718</v>
      </c>
      <c r="S1529" s="33">
        <v>0.8</v>
      </c>
      <c r="T1529" s="13">
        <v>21.38</v>
      </c>
      <c r="U1529" s="13">
        <v>-33.139000000000003</v>
      </c>
      <c r="V1529" s="55">
        <f>Table3[[#This Row],[Profit]]/Table3[[#This Row],[Sales]]</f>
        <v>-1.5500000000000003</v>
      </c>
    </row>
    <row r="1530" spans="1:22" x14ac:dyDescent="0.2">
      <c r="A1530">
        <v>1529</v>
      </c>
      <c r="B1530" t="s">
        <v>3564</v>
      </c>
      <c r="C1530" s="1">
        <v>42965</v>
      </c>
      <c r="D1530" s="22">
        <f>MONTH(Table3[[#This Row],[Order Date]])</f>
        <v>8</v>
      </c>
      <c r="E1530" t="s">
        <v>2305</v>
      </c>
      <c r="F1530" t="s">
        <v>2306</v>
      </c>
      <c r="G1530" s="23" t="s">
        <v>41</v>
      </c>
      <c r="H1530" s="23" t="s">
        <v>68</v>
      </c>
      <c r="I1530" t="s">
        <v>1176</v>
      </c>
      <c r="J1530" t="s">
        <v>22</v>
      </c>
      <c r="K1530" s="22">
        <v>4</v>
      </c>
      <c r="L1530" s="1">
        <v>42969</v>
      </c>
      <c r="M1530" s="22">
        <f>Table3[[#This Row],[Ship Date]]-Table3[[#This Row],[Order Date]]</f>
        <v>4</v>
      </c>
      <c r="N1530" s="23" t="s">
        <v>45</v>
      </c>
      <c r="O1530" s="23" t="s">
        <v>23</v>
      </c>
      <c r="P1530" s="23" t="s">
        <v>94</v>
      </c>
      <c r="Q1530" s="23" t="s">
        <v>95</v>
      </c>
      <c r="R1530" s="23" t="s">
        <v>718</v>
      </c>
      <c r="S1530" s="33">
        <v>0.8</v>
      </c>
      <c r="T1530" s="13">
        <v>6.7439999999999998</v>
      </c>
      <c r="U1530" s="13">
        <v>-11.4648</v>
      </c>
      <c r="V1530" s="55">
        <f>Table3[[#This Row],[Profit]]/Table3[[#This Row],[Sales]]</f>
        <v>-1.7000000000000002</v>
      </c>
    </row>
    <row r="1531" spans="1:22" x14ac:dyDescent="0.2">
      <c r="A1531">
        <v>1530</v>
      </c>
      <c r="B1531" t="s">
        <v>6639</v>
      </c>
      <c r="C1531" s="1">
        <v>42965</v>
      </c>
      <c r="D1531" s="22">
        <f>MONTH(Table3[[#This Row],[Order Date]])</f>
        <v>8</v>
      </c>
      <c r="E1531" t="s">
        <v>2640</v>
      </c>
      <c r="F1531" t="s">
        <v>2641</v>
      </c>
      <c r="G1531" s="23" t="s">
        <v>41</v>
      </c>
      <c r="H1531" s="23" t="s">
        <v>53</v>
      </c>
      <c r="I1531" t="s">
        <v>2745</v>
      </c>
      <c r="J1531" t="s">
        <v>92</v>
      </c>
      <c r="K1531" s="22">
        <v>2</v>
      </c>
      <c r="L1531" s="1">
        <v>42969</v>
      </c>
      <c r="M1531" s="22">
        <f>Table3[[#This Row],[Ship Date]]-Table3[[#This Row],[Order Date]]</f>
        <v>4</v>
      </c>
      <c r="N1531" s="23" t="s">
        <v>45</v>
      </c>
      <c r="O1531" s="23" t="s">
        <v>23</v>
      </c>
      <c r="P1531" s="23" t="s">
        <v>87</v>
      </c>
      <c r="Q1531" s="23" t="s">
        <v>39</v>
      </c>
      <c r="R1531" s="23" t="s">
        <v>86</v>
      </c>
      <c r="S1531" s="33">
        <v>0</v>
      </c>
      <c r="T1531" s="13">
        <v>323.10000000000002</v>
      </c>
      <c r="U1531" s="13">
        <v>61.389000000000003</v>
      </c>
      <c r="V1531" s="55">
        <f>Table3[[#This Row],[Profit]]/Table3[[#This Row],[Sales]]</f>
        <v>0.19</v>
      </c>
    </row>
    <row r="1532" spans="1:22" x14ac:dyDescent="0.2">
      <c r="A1532">
        <v>1531</v>
      </c>
      <c r="B1532" t="s">
        <v>7608</v>
      </c>
      <c r="C1532" s="1">
        <v>42965</v>
      </c>
      <c r="D1532" s="22">
        <f>MONTH(Table3[[#This Row],[Order Date]])</f>
        <v>8</v>
      </c>
      <c r="E1532" t="s">
        <v>2382</v>
      </c>
      <c r="F1532" t="s">
        <v>3762</v>
      </c>
      <c r="G1532" s="23" t="s">
        <v>64</v>
      </c>
      <c r="H1532" s="23" t="s">
        <v>144</v>
      </c>
      <c r="I1532" t="s">
        <v>2206</v>
      </c>
      <c r="J1532" t="s">
        <v>36</v>
      </c>
      <c r="K1532" s="22">
        <v>2</v>
      </c>
      <c r="L1532" s="1">
        <v>42969</v>
      </c>
      <c r="M1532" s="22">
        <f>Table3[[#This Row],[Ship Date]]-Table3[[#This Row],[Order Date]]</f>
        <v>4</v>
      </c>
      <c r="N1532" s="23" t="s">
        <v>45</v>
      </c>
      <c r="O1532" s="23" t="s">
        <v>23</v>
      </c>
      <c r="P1532" s="23" t="s">
        <v>87</v>
      </c>
      <c r="Q1532" s="23" t="s">
        <v>39</v>
      </c>
      <c r="R1532" s="23" t="s">
        <v>86</v>
      </c>
      <c r="S1532" s="33">
        <v>0</v>
      </c>
      <c r="T1532" s="13">
        <v>843.9</v>
      </c>
      <c r="U1532" s="13">
        <v>371.31599999999997</v>
      </c>
      <c r="V1532" s="55">
        <f>Table3[[#This Row],[Profit]]/Table3[[#This Row],[Sales]]</f>
        <v>0.44</v>
      </c>
    </row>
    <row r="1533" spans="1:22" x14ac:dyDescent="0.2">
      <c r="A1533">
        <v>1532</v>
      </c>
      <c r="B1533" t="s">
        <v>7608</v>
      </c>
      <c r="C1533" s="1">
        <v>42965</v>
      </c>
      <c r="D1533" s="22">
        <f>MONTH(Table3[[#This Row],[Order Date]])</f>
        <v>8</v>
      </c>
      <c r="E1533" t="s">
        <v>1977</v>
      </c>
      <c r="F1533" t="s">
        <v>1978</v>
      </c>
      <c r="G1533" s="23" t="s">
        <v>64</v>
      </c>
      <c r="H1533" s="23" t="s">
        <v>144</v>
      </c>
      <c r="I1533" t="s">
        <v>2206</v>
      </c>
      <c r="J1533" t="s">
        <v>36</v>
      </c>
      <c r="K1533" s="22">
        <v>9</v>
      </c>
      <c r="L1533" s="1">
        <v>42969</v>
      </c>
      <c r="M1533" s="22">
        <f>Table3[[#This Row],[Ship Date]]-Table3[[#This Row],[Order Date]]</f>
        <v>4</v>
      </c>
      <c r="N1533" s="23" t="s">
        <v>45</v>
      </c>
      <c r="O1533" s="23" t="s">
        <v>23</v>
      </c>
      <c r="P1533" s="23" t="s">
        <v>87</v>
      </c>
      <c r="Q1533" s="23" t="s">
        <v>39</v>
      </c>
      <c r="R1533" s="23" t="s">
        <v>86</v>
      </c>
      <c r="S1533" s="33">
        <v>0</v>
      </c>
      <c r="T1533" s="13">
        <v>1496.16</v>
      </c>
      <c r="U1533" s="13">
        <v>224.42400000000001</v>
      </c>
      <c r="V1533" s="55">
        <f>Table3[[#This Row],[Profit]]/Table3[[#This Row],[Sales]]</f>
        <v>0.15</v>
      </c>
    </row>
    <row r="1534" spans="1:22" x14ac:dyDescent="0.2">
      <c r="A1534">
        <v>1533</v>
      </c>
      <c r="B1534" t="s">
        <v>7979</v>
      </c>
      <c r="C1534" s="1">
        <v>42965</v>
      </c>
      <c r="D1534" s="22">
        <f>MONTH(Table3[[#This Row],[Order Date]])</f>
        <v>8</v>
      </c>
      <c r="E1534" t="s">
        <v>2622</v>
      </c>
      <c r="F1534" t="s">
        <v>2623</v>
      </c>
      <c r="G1534" s="23" t="s">
        <v>41</v>
      </c>
      <c r="H1534" s="23" t="s">
        <v>68</v>
      </c>
      <c r="I1534" t="s">
        <v>3354</v>
      </c>
      <c r="J1534" t="s">
        <v>36</v>
      </c>
      <c r="K1534" s="22">
        <v>9</v>
      </c>
      <c r="L1534" s="1">
        <v>42972</v>
      </c>
      <c r="M1534" s="22">
        <f>Table3[[#This Row],[Ship Date]]-Table3[[#This Row],[Order Date]]</f>
        <v>7</v>
      </c>
      <c r="N1534" s="23" t="s">
        <v>45</v>
      </c>
      <c r="O1534" s="23" t="s">
        <v>23</v>
      </c>
      <c r="P1534" s="23" t="s">
        <v>87</v>
      </c>
      <c r="Q1534" s="23" t="s">
        <v>39</v>
      </c>
      <c r="R1534" s="23" t="s">
        <v>86</v>
      </c>
      <c r="S1534" s="33">
        <v>0.2</v>
      </c>
      <c r="T1534" s="13">
        <v>2793.5279999999998</v>
      </c>
      <c r="U1534" s="13">
        <v>942.81569999999999</v>
      </c>
      <c r="V1534" s="55">
        <f>Table3[[#This Row],[Profit]]/Table3[[#This Row],[Sales]]</f>
        <v>0.33750000000000002</v>
      </c>
    </row>
    <row r="1535" spans="1:22" x14ac:dyDescent="0.2">
      <c r="A1535">
        <v>1534</v>
      </c>
      <c r="B1535" t="s">
        <v>7979</v>
      </c>
      <c r="C1535" s="1">
        <v>42965</v>
      </c>
      <c r="D1535" s="22">
        <f>MONTH(Table3[[#This Row],[Order Date]])</f>
        <v>8</v>
      </c>
      <c r="E1535" t="s">
        <v>1341</v>
      </c>
      <c r="F1535" t="s">
        <v>1342</v>
      </c>
      <c r="G1535" s="23" t="s">
        <v>41</v>
      </c>
      <c r="H1535" s="23" t="s">
        <v>53</v>
      </c>
      <c r="I1535" t="s">
        <v>3354</v>
      </c>
      <c r="J1535" t="s">
        <v>36</v>
      </c>
      <c r="K1535" s="22">
        <v>7</v>
      </c>
      <c r="L1535" s="1">
        <v>42972</v>
      </c>
      <c r="M1535" s="22">
        <f>Table3[[#This Row],[Ship Date]]-Table3[[#This Row],[Order Date]]</f>
        <v>7</v>
      </c>
      <c r="N1535" s="23" t="s">
        <v>45</v>
      </c>
      <c r="O1535" s="23" t="s">
        <v>23</v>
      </c>
      <c r="P1535" s="23" t="s">
        <v>87</v>
      </c>
      <c r="Q1535" s="23" t="s">
        <v>39</v>
      </c>
      <c r="R1535" s="23" t="s">
        <v>86</v>
      </c>
      <c r="S1535" s="33">
        <v>0</v>
      </c>
      <c r="T1535" s="13">
        <v>1000.02</v>
      </c>
      <c r="U1535" s="13">
        <v>290.00580000000002</v>
      </c>
      <c r="V1535" s="55">
        <f>Table3[[#This Row],[Profit]]/Table3[[#This Row],[Sales]]</f>
        <v>0.29000000000000004</v>
      </c>
    </row>
    <row r="1536" spans="1:22" x14ac:dyDescent="0.2">
      <c r="A1536">
        <v>1535</v>
      </c>
      <c r="B1536" t="s">
        <v>7979</v>
      </c>
      <c r="C1536" s="1">
        <v>42965</v>
      </c>
      <c r="D1536" s="22">
        <f>MONTH(Table3[[#This Row],[Order Date]])</f>
        <v>8</v>
      </c>
      <c r="E1536" t="s">
        <v>1726</v>
      </c>
      <c r="F1536" t="s">
        <v>1727</v>
      </c>
      <c r="G1536" s="23" t="s">
        <v>28</v>
      </c>
      <c r="H1536" s="23" t="s">
        <v>58</v>
      </c>
      <c r="I1536" t="s">
        <v>3354</v>
      </c>
      <c r="J1536" t="s">
        <v>36</v>
      </c>
      <c r="K1536" s="22">
        <v>3</v>
      </c>
      <c r="L1536" s="1">
        <v>42972</v>
      </c>
      <c r="M1536" s="22">
        <f>Table3[[#This Row],[Ship Date]]-Table3[[#This Row],[Order Date]]</f>
        <v>7</v>
      </c>
      <c r="N1536" s="23" t="s">
        <v>45</v>
      </c>
      <c r="O1536" s="23" t="s">
        <v>23</v>
      </c>
      <c r="P1536" s="23" t="s">
        <v>87</v>
      </c>
      <c r="Q1536" s="23" t="s">
        <v>39</v>
      </c>
      <c r="R1536" s="23" t="s">
        <v>86</v>
      </c>
      <c r="S1536" s="33">
        <v>0</v>
      </c>
      <c r="T1536" s="13">
        <v>65.94</v>
      </c>
      <c r="U1536" s="13">
        <v>22.419599999999999</v>
      </c>
      <c r="V1536" s="55">
        <f>Table3[[#This Row],[Profit]]/Table3[[#This Row],[Sales]]</f>
        <v>0.34</v>
      </c>
    </row>
    <row r="1537" spans="1:22" x14ac:dyDescent="0.2">
      <c r="A1537">
        <v>1536</v>
      </c>
      <c r="B1537" t="s">
        <v>8278</v>
      </c>
      <c r="C1537" s="1">
        <v>42965</v>
      </c>
      <c r="D1537" s="22">
        <f>MONTH(Table3[[#This Row],[Order Date]])</f>
        <v>8</v>
      </c>
      <c r="E1537" t="s">
        <v>3574</v>
      </c>
      <c r="F1537" t="s">
        <v>3575</v>
      </c>
      <c r="G1537" s="23" t="s">
        <v>41</v>
      </c>
      <c r="H1537" s="23" t="s">
        <v>61</v>
      </c>
      <c r="I1537" t="s">
        <v>2236</v>
      </c>
      <c r="J1537" t="s">
        <v>22</v>
      </c>
      <c r="K1537" s="22">
        <v>3</v>
      </c>
      <c r="L1537" s="1">
        <v>42968</v>
      </c>
      <c r="M1537" s="22">
        <f>Table3[[#This Row],[Ship Date]]-Table3[[#This Row],[Order Date]]</f>
        <v>3</v>
      </c>
      <c r="N1537" s="23" t="s">
        <v>20</v>
      </c>
      <c r="O1537" s="23" t="s">
        <v>23</v>
      </c>
      <c r="P1537" s="23" t="s">
        <v>441</v>
      </c>
      <c r="Q1537" s="23" t="s">
        <v>133</v>
      </c>
      <c r="R1537" s="23" t="s">
        <v>440</v>
      </c>
      <c r="S1537" s="33">
        <v>0.2</v>
      </c>
      <c r="T1537" s="13">
        <v>9.9120000000000008</v>
      </c>
      <c r="U1537" s="13">
        <v>1.2390000000000001</v>
      </c>
      <c r="V1537" s="55">
        <f>Table3[[#This Row],[Profit]]/Table3[[#This Row],[Sales]]</f>
        <v>0.125</v>
      </c>
    </row>
    <row r="1538" spans="1:22" x14ac:dyDescent="0.2">
      <c r="A1538">
        <v>1537</v>
      </c>
      <c r="B1538" t="s">
        <v>8379</v>
      </c>
      <c r="C1538" s="1">
        <v>42965</v>
      </c>
      <c r="D1538" s="22">
        <f>MONTH(Table3[[#This Row],[Order Date]])</f>
        <v>8</v>
      </c>
      <c r="E1538" t="s">
        <v>4360</v>
      </c>
      <c r="F1538" t="s">
        <v>4361</v>
      </c>
      <c r="G1538" s="23" t="s">
        <v>41</v>
      </c>
      <c r="H1538" s="23" t="s">
        <v>68</v>
      </c>
      <c r="I1538" t="s">
        <v>1767</v>
      </c>
      <c r="J1538" t="s">
        <v>22</v>
      </c>
      <c r="K1538" s="22">
        <v>3</v>
      </c>
      <c r="L1538" s="1">
        <v>42972</v>
      </c>
      <c r="M1538" s="22">
        <f>Table3[[#This Row],[Ship Date]]-Table3[[#This Row],[Order Date]]</f>
        <v>7</v>
      </c>
      <c r="N1538" s="23" t="s">
        <v>45</v>
      </c>
      <c r="O1538" s="23" t="s">
        <v>23</v>
      </c>
      <c r="P1538" s="23" t="s">
        <v>441</v>
      </c>
      <c r="Q1538" s="23" t="s">
        <v>133</v>
      </c>
      <c r="R1538" s="23" t="s">
        <v>990</v>
      </c>
      <c r="S1538" s="33">
        <v>0.7</v>
      </c>
      <c r="T1538" s="13">
        <v>10.782</v>
      </c>
      <c r="U1538" s="13">
        <v>-7.9067999999999996</v>
      </c>
      <c r="V1538" s="55">
        <f>Table3[[#This Row],[Profit]]/Table3[[#This Row],[Sales]]</f>
        <v>-0.73333333333333328</v>
      </c>
    </row>
    <row r="1539" spans="1:22" x14ac:dyDescent="0.2">
      <c r="A1539">
        <v>1538</v>
      </c>
      <c r="B1539" t="s">
        <v>9353</v>
      </c>
      <c r="C1539" s="1">
        <v>42965</v>
      </c>
      <c r="D1539" s="22">
        <f>MONTH(Table3[[#This Row],[Order Date]])</f>
        <v>8</v>
      </c>
      <c r="E1539" t="s">
        <v>1943</v>
      </c>
      <c r="F1539" t="s">
        <v>1944</v>
      </c>
      <c r="G1539" s="23" t="s">
        <v>64</v>
      </c>
      <c r="H1539" s="23" t="s">
        <v>144</v>
      </c>
      <c r="I1539" t="s">
        <v>2775</v>
      </c>
      <c r="J1539" t="s">
        <v>22</v>
      </c>
      <c r="K1539" s="22">
        <v>2</v>
      </c>
      <c r="L1539" s="1">
        <v>42969</v>
      </c>
      <c r="M1539" s="22">
        <f>Table3[[#This Row],[Ship Date]]-Table3[[#This Row],[Order Date]]</f>
        <v>4</v>
      </c>
      <c r="N1539" s="23" t="s">
        <v>45</v>
      </c>
      <c r="O1539" s="23" t="s">
        <v>23</v>
      </c>
      <c r="P1539" s="23" t="s">
        <v>1101</v>
      </c>
      <c r="Q1539" s="23" t="s">
        <v>133</v>
      </c>
      <c r="R1539" s="23" t="s">
        <v>3460</v>
      </c>
      <c r="S1539" s="33">
        <v>0</v>
      </c>
      <c r="T1539" s="13">
        <v>23.18</v>
      </c>
      <c r="U1539" s="13">
        <v>7.6494</v>
      </c>
      <c r="V1539" s="55">
        <f>Table3[[#This Row],[Profit]]/Table3[[#This Row],[Sales]]</f>
        <v>0.33</v>
      </c>
    </row>
    <row r="1540" spans="1:22" x14ac:dyDescent="0.2">
      <c r="A1540">
        <v>1539</v>
      </c>
      <c r="B1540" t="s">
        <v>6742</v>
      </c>
      <c r="C1540" s="1">
        <v>42966</v>
      </c>
      <c r="D1540" s="22">
        <f>MONTH(Table3[[#This Row],[Order Date]])</f>
        <v>8</v>
      </c>
      <c r="E1540" t="s">
        <v>2622</v>
      </c>
      <c r="F1540" t="s">
        <v>2623</v>
      </c>
      <c r="G1540" s="23" t="s">
        <v>41</v>
      </c>
      <c r="H1540" s="23" t="s">
        <v>68</v>
      </c>
      <c r="I1540" t="s">
        <v>623</v>
      </c>
      <c r="J1540" t="s">
        <v>36</v>
      </c>
      <c r="K1540" s="22">
        <v>1</v>
      </c>
      <c r="L1540" s="1">
        <v>42970</v>
      </c>
      <c r="M1540" s="22">
        <f>Table3[[#This Row],[Ship Date]]-Table3[[#This Row],[Order Date]]</f>
        <v>4</v>
      </c>
      <c r="N1540" s="23" t="s">
        <v>45</v>
      </c>
      <c r="O1540" s="23" t="s">
        <v>23</v>
      </c>
      <c r="P1540" s="23" t="s">
        <v>1101</v>
      </c>
      <c r="Q1540" s="23" t="s">
        <v>133</v>
      </c>
      <c r="R1540" s="23" t="s">
        <v>1308</v>
      </c>
      <c r="S1540" s="33">
        <v>0</v>
      </c>
      <c r="T1540" s="13">
        <v>387.99</v>
      </c>
      <c r="U1540" s="13">
        <v>182.3553</v>
      </c>
      <c r="V1540" s="55">
        <f>Table3[[#This Row],[Profit]]/Table3[[#This Row],[Sales]]</f>
        <v>0.47</v>
      </c>
    </row>
    <row r="1541" spans="1:22" x14ac:dyDescent="0.2">
      <c r="A1541">
        <v>1540</v>
      </c>
      <c r="B1541" t="s">
        <v>7116</v>
      </c>
      <c r="C1541" s="1">
        <v>42966</v>
      </c>
      <c r="D1541" s="22">
        <f>MONTH(Table3[[#This Row],[Order Date]])</f>
        <v>8</v>
      </c>
      <c r="E1541" t="s">
        <v>4302</v>
      </c>
      <c r="F1541" t="s">
        <v>4303</v>
      </c>
      <c r="G1541" s="23" t="s">
        <v>41</v>
      </c>
      <c r="H1541" s="23" t="s">
        <v>68</v>
      </c>
      <c r="I1541" t="s">
        <v>4957</v>
      </c>
      <c r="J1541" t="s">
        <v>22</v>
      </c>
      <c r="K1541" s="22">
        <v>2</v>
      </c>
      <c r="L1541" s="1">
        <v>42970</v>
      </c>
      <c r="M1541" s="22">
        <f>Table3[[#This Row],[Ship Date]]-Table3[[#This Row],[Order Date]]</f>
        <v>4</v>
      </c>
      <c r="N1541" s="23" t="s">
        <v>45</v>
      </c>
      <c r="O1541" s="23" t="s">
        <v>23</v>
      </c>
      <c r="P1541" s="23" t="s">
        <v>189</v>
      </c>
      <c r="Q1541" s="23" t="s">
        <v>95</v>
      </c>
      <c r="R1541" s="23" t="s">
        <v>271</v>
      </c>
      <c r="S1541" s="33">
        <v>0.8</v>
      </c>
      <c r="T1541" s="13">
        <v>2.2959999999999998</v>
      </c>
      <c r="U1541" s="13">
        <v>-3.9032</v>
      </c>
      <c r="V1541" s="55">
        <f>Table3[[#This Row],[Profit]]/Table3[[#This Row],[Sales]]</f>
        <v>-1.7000000000000002</v>
      </c>
    </row>
    <row r="1542" spans="1:22" x14ac:dyDescent="0.2">
      <c r="A1542">
        <v>1541</v>
      </c>
      <c r="B1542" t="s">
        <v>8118</v>
      </c>
      <c r="C1542" s="1">
        <v>42966</v>
      </c>
      <c r="D1542" s="22">
        <f>MONTH(Table3[[#This Row],[Order Date]])</f>
        <v>8</v>
      </c>
      <c r="E1542" t="s">
        <v>6037</v>
      </c>
      <c r="F1542" t="s">
        <v>6038</v>
      </c>
      <c r="G1542" s="23" t="s">
        <v>41</v>
      </c>
      <c r="H1542" s="23" t="s">
        <v>82</v>
      </c>
      <c r="I1542" t="s">
        <v>7752</v>
      </c>
      <c r="J1542" t="s">
        <v>22</v>
      </c>
      <c r="K1542" s="22">
        <v>3</v>
      </c>
      <c r="L1542" s="1">
        <v>42971</v>
      </c>
      <c r="M1542" s="22">
        <f>Table3[[#This Row],[Ship Date]]-Table3[[#This Row],[Order Date]]</f>
        <v>5</v>
      </c>
      <c r="N1542" s="23" t="s">
        <v>45</v>
      </c>
      <c r="O1542" s="23" t="s">
        <v>23</v>
      </c>
      <c r="P1542" s="23" t="s">
        <v>1101</v>
      </c>
      <c r="Q1542" s="23" t="s">
        <v>133</v>
      </c>
      <c r="R1542" s="23" t="s">
        <v>1308</v>
      </c>
      <c r="S1542" s="33">
        <v>0</v>
      </c>
      <c r="T1542" s="13">
        <v>19.440000000000001</v>
      </c>
      <c r="U1542" s="13">
        <v>9.3312000000000008</v>
      </c>
      <c r="V1542" s="55">
        <f>Table3[[#This Row],[Profit]]/Table3[[#This Row],[Sales]]</f>
        <v>0.48000000000000004</v>
      </c>
    </row>
    <row r="1543" spans="1:22" x14ac:dyDescent="0.2">
      <c r="A1543">
        <v>1542</v>
      </c>
      <c r="B1543" t="s">
        <v>9466</v>
      </c>
      <c r="C1543" s="1">
        <v>42966</v>
      </c>
      <c r="D1543" s="22">
        <f>MONTH(Table3[[#This Row],[Order Date]])</f>
        <v>8</v>
      </c>
      <c r="E1543" t="s">
        <v>4104</v>
      </c>
      <c r="F1543" t="s">
        <v>4105</v>
      </c>
      <c r="G1543" s="23" t="s">
        <v>41</v>
      </c>
      <c r="H1543" s="23" t="s">
        <v>68</v>
      </c>
      <c r="I1543" t="s">
        <v>1194</v>
      </c>
      <c r="J1543" t="s">
        <v>22</v>
      </c>
      <c r="K1543" s="22">
        <v>3</v>
      </c>
      <c r="L1543" s="1">
        <v>42970</v>
      </c>
      <c r="M1543" s="22">
        <f>Table3[[#This Row],[Ship Date]]-Table3[[#This Row],[Order Date]]</f>
        <v>4</v>
      </c>
      <c r="N1543" s="23" t="s">
        <v>45</v>
      </c>
      <c r="O1543" s="23" t="s">
        <v>23</v>
      </c>
      <c r="P1543" s="23" t="s">
        <v>109</v>
      </c>
      <c r="Q1543" s="23" t="s">
        <v>39</v>
      </c>
      <c r="R1543" s="23" t="s">
        <v>4541</v>
      </c>
      <c r="S1543" s="33">
        <v>0.2</v>
      </c>
      <c r="T1543" s="13">
        <v>102.72</v>
      </c>
      <c r="U1543" s="13">
        <v>37.235999999999997</v>
      </c>
      <c r="V1543" s="55">
        <f>Table3[[#This Row],[Profit]]/Table3[[#This Row],[Sales]]</f>
        <v>0.36249999999999999</v>
      </c>
    </row>
    <row r="1544" spans="1:22" x14ac:dyDescent="0.2">
      <c r="A1544">
        <v>1543</v>
      </c>
      <c r="B1544" t="s">
        <v>4344</v>
      </c>
      <c r="C1544" s="1">
        <v>42967</v>
      </c>
      <c r="D1544" s="22">
        <f>MONTH(Table3[[#This Row],[Order Date]])</f>
        <v>8</v>
      </c>
      <c r="E1544" t="s">
        <v>3383</v>
      </c>
      <c r="F1544" t="s">
        <v>3384</v>
      </c>
      <c r="G1544" s="23" t="s">
        <v>41</v>
      </c>
      <c r="H1544" s="23" t="s">
        <v>68</v>
      </c>
      <c r="I1544" t="s">
        <v>3160</v>
      </c>
      <c r="J1544" t="s">
        <v>22</v>
      </c>
      <c r="K1544" s="22">
        <v>5</v>
      </c>
      <c r="L1544" s="1">
        <v>42969</v>
      </c>
      <c r="M1544" s="22">
        <f>Table3[[#This Row],[Ship Date]]-Table3[[#This Row],[Order Date]]</f>
        <v>2</v>
      </c>
      <c r="N1544" s="23" t="s">
        <v>20</v>
      </c>
      <c r="O1544" s="23" t="s">
        <v>23</v>
      </c>
      <c r="P1544" s="23" t="s">
        <v>38</v>
      </c>
      <c r="Q1544" s="23" t="s">
        <v>39</v>
      </c>
      <c r="R1544" s="23" t="s">
        <v>3080</v>
      </c>
      <c r="S1544" s="33">
        <v>0.2</v>
      </c>
      <c r="T1544" s="13">
        <v>239.12</v>
      </c>
      <c r="U1544" s="13">
        <v>77.713999999999999</v>
      </c>
      <c r="V1544" s="55">
        <f>Table3[[#This Row],[Profit]]/Table3[[#This Row],[Sales]]</f>
        <v>0.32500000000000001</v>
      </c>
    </row>
    <row r="1545" spans="1:22" x14ac:dyDescent="0.2">
      <c r="A1545">
        <v>1544</v>
      </c>
      <c r="B1545" t="s">
        <v>5380</v>
      </c>
      <c r="C1545" s="1">
        <v>42967</v>
      </c>
      <c r="D1545" s="22">
        <f>MONTH(Table3[[#This Row],[Order Date]])</f>
        <v>8</v>
      </c>
      <c r="E1545" t="s">
        <v>3596</v>
      </c>
      <c r="F1545" t="s">
        <v>3597</v>
      </c>
      <c r="G1545" s="23" t="s">
        <v>41</v>
      </c>
      <c r="H1545" s="23" t="s">
        <v>53</v>
      </c>
      <c r="I1545" t="s">
        <v>4851</v>
      </c>
      <c r="J1545" t="s">
        <v>36</v>
      </c>
      <c r="K1545" s="22">
        <v>3</v>
      </c>
      <c r="L1545" s="1">
        <v>42967</v>
      </c>
      <c r="M1545" s="22">
        <f>Table3[[#This Row],[Ship Date]]-Table3[[#This Row],[Order Date]]</f>
        <v>0</v>
      </c>
      <c r="N1545" s="23" t="s">
        <v>1141</v>
      </c>
      <c r="O1545" s="23" t="s">
        <v>23</v>
      </c>
      <c r="P1545" s="23" t="s">
        <v>1101</v>
      </c>
      <c r="Q1545" s="23" t="s">
        <v>133</v>
      </c>
      <c r="R1545" s="23" t="s">
        <v>541</v>
      </c>
      <c r="S1545" s="33">
        <v>0</v>
      </c>
      <c r="T1545" s="13">
        <v>40.29</v>
      </c>
      <c r="U1545" s="13">
        <v>10.4754</v>
      </c>
      <c r="V1545" s="55">
        <f>Table3[[#This Row],[Profit]]/Table3[[#This Row],[Sales]]</f>
        <v>0.26</v>
      </c>
    </row>
    <row r="1546" spans="1:22" x14ac:dyDescent="0.2">
      <c r="A1546">
        <v>1545</v>
      </c>
      <c r="B1546" t="s">
        <v>7831</v>
      </c>
      <c r="C1546" s="1">
        <v>42967</v>
      </c>
      <c r="D1546" s="22">
        <f>MONTH(Table3[[#This Row],[Order Date]])</f>
        <v>8</v>
      </c>
      <c r="E1546" t="s">
        <v>4805</v>
      </c>
      <c r="F1546" t="s">
        <v>4806</v>
      </c>
      <c r="G1546" s="23" t="s">
        <v>41</v>
      </c>
      <c r="H1546" s="23" t="s">
        <v>513</v>
      </c>
      <c r="I1546" t="s">
        <v>7183</v>
      </c>
      <c r="J1546" t="s">
        <v>36</v>
      </c>
      <c r="K1546" s="22">
        <v>3</v>
      </c>
      <c r="L1546" s="1">
        <v>42972</v>
      </c>
      <c r="M1546" s="22">
        <f>Table3[[#This Row],[Ship Date]]-Table3[[#This Row],[Order Date]]</f>
        <v>5</v>
      </c>
      <c r="N1546" s="23" t="s">
        <v>45</v>
      </c>
      <c r="O1546" s="23" t="s">
        <v>23</v>
      </c>
      <c r="P1546" s="23" t="s">
        <v>38</v>
      </c>
      <c r="Q1546" s="23" t="s">
        <v>39</v>
      </c>
      <c r="R1546" s="23" t="s">
        <v>114</v>
      </c>
      <c r="S1546" s="33">
        <v>0</v>
      </c>
      <c r="T1546" s="13">
        <v>17.22</v>
      </c>
      <c r="U1546" s="13">
        <v>5.1660000000000004</v>
      </c>
      <c r="V1546" s="55">
        <f>Table3[[#This Row],[Profit]]/Table3[[#This Row],[Sales]]</f>
        <v>0.30000000000000004</v>
      </c>
    </row>
    <row r="1547" spans="1:22" x14ac:dyDescent="0.2">
      <c r="A1547">
        <v>1546</v>
      </c>
      <c r="B1547" t="s">
        <v>7831</v>
      </c>
      <c r="C1547" s="1">
        <v>42967</v>
      </c>
      <c r="D1547" s="22">
        <f>MONTH(Table3[[#This Row],[Order Date]])</f>
        <v>8</v>
      </c>
      <c r="E1547" t="s">
        <v>464</v>
      </c>
      <c r="F1547" t="s">
        <v>465</v>
      </c>
      <c r="G1547" s="23" t="s">
        <v>41</v>
      </c>
      <c r="H1547" s="23" t="s">
        <v>53</v>
      </c>
      <c r="I1547" t="s">
        <v>7183</v>
      </c>
      <c r="J1547" t="s">
        <v>36</v>
      </c>
      <c r="K1547" s="22">
        <v>6</v>
      </c>
      <c r="L1547" s="1">
        <v>42972</v>
      </c>
      <c r="M1547" s="22">
        <f>Table3[[#This Row],[Ship Date]]-Table3[[#This Row],[Order Date]]</f>
        <v>5</v>
      </c>
      <c r="N1547" s="23" t="s">
        <v>45</v>
      </c>
      <c r="O1547" s="23" t="s">
        <v>23</v>
      </c>
      <c r="P1547" s="23" t="s">
        <v>38</v>
      </c>
      <c r="Q1547" s="23" t="s">
        <v>39</v>
      </c>
      <c r="R1547" s="23" t="s">
        <v>114</v>
      </c>
      <c r="S1547" s="33">
        <v>0</v>
      </c>
      <c r="T1547" s="13">
        <v>226.56</v>
      </c>
      <c r="U1547" s="13">
        <v>63.436799999999998</v>
      </c>
      <c r="V1547" s="55">
        <f>Table3[[#This Row],[Profit]]/Table3[[#This Row],[Sales]]</f>
        <v>0.27999999999999997</v>
      </c>
    </row>
    <row r="1548" spans="1:22" x14ac:dyDescent="0.2">
      <c r="A1548">
        <v>1547</v>
      </c>
      <c r="B1548" t="s">
        <v>7831</v>
      </c>
      <c r="C1548" s="1">
        <v>42967</v>
      </c>
      <c r="D1548" s="22">
        <f>MONTH(Table3[[#This Row],[Order Date]])</f>
        <v>8</v>
      </c>
      <c r="E1548" t="s">
        <v>5797</v>
      </c>
      <c r="F1548" t="s">
        <v>5798</v>
      </c>
      <c r="G1548" s="23" t="s">
        <v>64</v>
      </c>
      <c r="H1548" s="23" t="s">
        <v>65</v>
      </c>
      <c r="I1548" t="s">
        <v>7183</v>
      </c>
      <c r="J1548" t="s">
        <v>36</v>
      </c>
      <c r="K1548" s="22">
        <v>3</v>
      </c>
      <c r="L1548" s="1">
        <v>42972</v>
      </c>
      <c r="M1548" s="22">
        <f>Table3[[#This Row],[Ship Date]]-Table3[[#This Row],[Order Date]]</f>
        <v>5</v>
      </c>
      <c r="N1548" s="23" t="s">
        <v>45</v>
      </c>
      <c r="O1548" s="23" t="s">
        <v>23</v>
      </c>
      <c r="P1548" s="23" t="s">
        <v>38</v>
      </c>
      <c r="Q1548" s="23" t="s">
        <v>39</v>
      </c>
      <c r="R1548" s="23" t="s">
        <v>114</v>
      </c>
      <c r="S1548" s="33">
        <v>0.2</v>
      </c>
      <c r="T1548" s="13">
        <v>107.88</v>
      </c>
      <c r="U1548" s="13">
        <v>10.788</v>
      </c>
      <c r="V1548" s="55">
        <f>Table3[[#This Row],[Profit]]/Table3[[#This Row],[Sales]]</f>
        <v>0.1</v>
      </c>
    </row>
    <row r="1549" spans="1:22" x14ac:dyDescent="0.2">
      <c r="A1549">
        <v>1548</v>
      </c>
      <c r="B1549" t="s">
        <v>8860</v>
      </c>
      <c r="C1549" s="1">
        <v>42967</v>
      </c>
      <c r="D1549" s="22">
        <f>MONTH(Table3[[#This Row],[Order Date]])</f>
        <v>8</v>
      </c>
      <c r="E1549" t="s">
        <v>3415</v>
      </c>
      <c r="F1549" t="s">
        <v>3416</v>
      </c>
      <c r="G1549" s="23" t="s">
        <v>41</v>
      </c>
      <c r="H1549" s="23" t="s">
        <v>82</v>
      </c>
      <c r="I1549" t="s">
        <v>3047</v>
      </c>
      <c r="J1549" t="s">
        <v>22</v>
      </c>
      <c r="K1549" s="22">
        <v>4</v>
      </c>
      <c r="L1549" s="1">
        <v>42974</v>
      </c>
      <c r="M1549" s="22">
        <f>Table3[[#This Row],[Ship Date]]-Table3[[#This Row],[Order Date]]</f>
        <v>7</v>
      </c>
      <c r="N1549" s="23" t="s">
        <v>45</v>
      </c>
      <c r="O1549" s="23" t="s">
        <v>23</v>
      </c>
      <c r="P1549" s="23" t="s">
        <v>38</v>
      </c>
      <c r="Q1549" s="23" t="s">
        <v>39</v>
      </c>
      <c r="R1549" s="23" t="s">
        <v>37</v>
      </c>
      <c r="S1549" s="33">
        <v>0</v>
      </c>
      <c r="T1549" s="13">
        <v>25.92</v>
      </c>
      <c r="U1549" s="13">
        <v>12.441599999999999</v>
      </c>
      <c r="V1549" s="55">
        <f>Table3[[#This Row],[Profit]]/Table3[[#This Row],[Sales]]</f>
        <v>0.47999999999999993</v>
      </c>
    </row>
    <row r="1550" spans="1:22" x14ac:dyDescent="0.2">
      <c r="A1550">
        <v>1549</v>
      </c>
      <c r="B1550" t="s">
        <v>9495</v>
      </c>
      <c r="C1550" s="1">
        <v>42967</v>
      </c>
      <c r="D1550" s="22">
        <f>MONTH(Table3[[#This Row],[Order Date]])</f>
        <v>8</v>
      </c>
      <c r="E1550" t="s">
        <v>5797</v>
      </c>
      <c r="F1550" t="s">
        <v>5798</v>
      </c>
      <c r="G1550" s="23" t="s">
        <v>64</v>
      </c>
      <c r="H1550" s="23" t="s">
        <v>65</v>
      </c>
      <c r="I1550" t="s">
        <v>3683</v>
      </c>
      <c r="J1550" t="s">
        <v>92</v>
      </c>
      <c r="K1550" s="22">
        <v>1</v>
      </c>
      <c r="L1550" s="1">
        <v>42973</v>
      </c>
      <c r="M1550" s="22">
        <f>Table3[[#This Row],[Ship Date]]-Table3[[#This Row],[Order Date]]</f>
        <v>6</v>
      </c>
      <c r="N1550" s="23" t="s">
        <v>45</v>
      </c>
      <c r="O1550" s="23" t="s">
        <v>23</v>
      </c>
      <c r="P1550" s="23" t="s">
        <v>80</v>
      </c>
      <c r="Q1550" s="23" t="s">
        <v>26</v>
      </c>
      <c r="R1550" s="23" t="s">
        <v>414</v>
      </c>
      <c r="S1550" s="33">
        <v>0.2</v>
      </c>
      <c r="T1550" s="13">
        <v>35.96</v>
      </c>
      <c r="U1550" s="13">
        <v>3.5960000000000001</v>
      </c>
      <c r="V1550" s="55">
        <f>Table3[[#This Row],[Profit]]/Table3[[#This Row],[Sales]]</f>
        <v>0.1</v>
      </c>
    </row>
    <row r="1551" spans="1:22" x14ac:dyDescent="0.2">
      <c r="A1551">
        <v>1550</v>
      </c>
      <c r="B1551" t="s">
        <v>1313</v>
      </c>
      <c r="C1551" s="1">
        <v>42968</v>
      </c>
      <c r="D1551" s="22">
        <f>MONTH(Table3[[#This Row],[Order Date]])</f>
        <v>8</v>
      </c>
      <c r="E1551" t="s">
        <v>1316</v>
      </c>
      <c r="F1551" t="s">
        <v>1317</v>
      </c>
      <c r="G1551" s="23" t="s">
        <v>28</v>
      </c>
      <c r="H1551" s="23" t="s">
        <v>32</v>
      </c>
      <c r="I1551" t="s">
        <v>1314</v>
      </c>
      <c r="J1551" t="s">
        <v>22</v>
      </c>
      <c r="K1551" s="22">
        <v>4</v>
      </c>
      <c r="L1551" s="1">
        <v>42970</v>
      </c>
      <c r="M1551" s="22">
        <f>Table3[[#This Row],[Ship Date]]-Table3[[#This Row],[Order Date]]</f>
        <v>2</v>
      </c>
      <c r="N1551" s="23" t="s">
        <v>20</v>
      </c>
      <c r="O1551" s="23" t="s">
        <v>23</v>
      </c>
      <c r="P1551" s="23" t="s">
        <v>1315</v>
      </c>
      <c r="Q1551" s="23" t="s">
        <v>26</v>
      </c>
      <c r="R1551" s="23" t="s">
        <v>293</v>
      </c>
      <c r="S1551" s="33">
        <v>0</v>
      </c>
      <c r="T1551" s="13">
        <v>866.4</v>
      </c>
      <c r="U1551" s="13">
        <v>225.26400000000001</v>
      </c>
      <c r="V1551" s="55">
        <f>Table3[[#This Row],[Profit]]/Table3[[#This Row],[Sales]]</f>
        <v>0.26</v>
      </c>
    </row>
    <row r="1552" spans="1:22" x14ac:dyDescent="0.2">
      <c r="A1552">
        <v>1551</v>
      </c>
      <c r="B1552" t="s">
        <v>2263</v>
      </c>
      <c r="C1552" s="1">
        <v>42968</v>
      </c>
      <c r="D1552" s="22">
        <f>MONTH(Table3[[#This Row],[Order Date]])</f>
        <v>8</v>
      </c>
      <c r="E1552" t="s">
        <v>2264</v>
      </c>
      <c r="F1552" t="s">
        <v>2265</v>
      </c>
      <c r="G1552" s="23" t="s">
        <v>41</v>
      </c>
      <c r="H1552" s="23" t="s">
        <v>240</v>
      </c>
      <c r="I1552" t="s">
        <v>1662</v>
      </c>
      <c r="J1552" t="s">
        <v>22</v>
      </c>
      <c r="K1552" s="22">
        <v>7</v>
      </c>
      <c r="L1552" s="1">
        <v>42975</v>
      </c>
      <c r="M1552" s="22">
        <f>Table3[[#This Row],[Ship Date]]-Table3[[#This Row],[Order Date]]</f>
        <v>7</v>
      </c>
      <c r="N1552" s="23" t="s">
        <v>45</v>
      </c>
      <c r="O1552" s="23" t="s">
        <v>23</v>
      </c>
      <c r="P1552" s="23" t="s">
        <v>204</v>
      </c>
      <c r="Q1552" s="23" t="s">
        <v>95</v>
      </c>
      <c r="R1552" s="23" t="s">
        <v>823</v>
      </c>
      <c r="S1552" s="33">
        <v>0</v>
      </c>
      <c r="T1552" s="13">
        <v>35</v>
      </c>
      <c r="U1552" s="13">
        <v>16.8</v>
      </c>
      <c r="V1552" s="55">
        <f>Table3[[#This Row],[Profit]]/Table3[[#This Row],[Sales]]</f>
        <v>0.48000000000000004</v>
      </c>
    </row>
    <row r="1553" spans="1:22" x14ac:dyDescent="0.2">
      <c r="A1553">
        <v>1552</v>
      </c>
      <c r="B1553" t="s">
        <v>2263</v>
      </c>
      <c r="C1553" s="1">
        <v>42968</v>
      </c>
      <c r="D1553" s="22">
        <f>MONTH(Table3[[#This Row],[Order Date]])</f>
        <v>8</v>
      </c>
      <c r="E1553" t="s">
        <v>2266</v>
      </c>
      <c r="F1553" t="s">
        <v>2267</v>
      </c>
      <c r="G1553" s="23" t="s">
        <v>41</v>
      </c>
      <c r="H1553" s="23" t="s">
        <v>513</v>
      </c>
      <c r="I1553" t="s">
        <v>1662</v>
      </c>
      <c r="J1553" t="s">
        <v>22</v>
      </c>
      <c r="K1553" s="22">
        <v>4</v>
      </c>
      <c r="L1553" s="1">
        <v>42975</v>
      </c>
      <c r="M1553" s="22">
        <f>Table3[[#This Row],[Ship Date]]-Table3[[#This Row],[Order Date]]</f>
        <v>7</v>
      </c>
      <c r="N1553" s="23" t="s">
        <v>45</v>
      </c>
      <c r="O1553" s="23" t="s">
        <v>23</v>
      </c>
      <c r="P1553" s="23" t="s">
        <v>204</v>
      </c>
      <c r="Q1553" s="23" t="s">
        <v>95</v>
      </c>
      <c r="R1553" s="23" t="s">
        <v>823</v>
      </c>
      <c r="S1553" s="33">
        <v>0</v>
      </c>
      <c r="T1553" s="13">
        <v>37.24</v>
      </c>
      <c r="U1553" s="13">
        <v>10.7996</v>
      </c>
      <c r="V1553" s="55">
        <f>Table3[[#This Row],[Profit]]/Table3[[#This Row],[Sales]]</f>
        <v>0.28999999999999998</v>
      </c>
    </row>
    <row r="1554" spans="1:22" x14ac:dyDescent="0.2">
      <c r="A1554">
        <v>1553</v>
      </c>
      <c r="B1554" t="s">
        <v>2263</v>
      </c>
      <c r="C1554" s="1">
        <v>42968</v>
      </c>
      <c r="D1554" s="22">
        <f>MONTH(Table3[[#This Row],[Order Date]])</f>
        <v>8</v>
      </c>
      <c r="E1554" t="s">
        <v>2268</v>
      </c>
      <c r="F1554" t="s">
        <v>2269</v>
      </c>
      <c r="G1554" s="23" t="s">
        <v>41</v>
      </c>
      <c r="H1554" s="23" t="s">
        <v>155</v>
      </c>
      <c r="I1554" t="s">
        <v>1662</v>
      </c>
      <c r="J1554" t="s">
        <v>22</v>
      </c>
      <c r="K1554" s="22">
        <v>2</v>
      </c>
      <c r="L1554" s="1">
        <v>42975</v>
      </c>
      <c r="M1554" s="22">
        <f>Table3[[#This Row],[Ship Date]]-Table3[[#This Row],[Order Date]]</f>
        <v>7</v>
      </c>
      <c r="N1554" s="23" t="s">
        <v>45</v>
      </c>
      <c r="O1554" s="23" t="s">
        <v>23</v>
      </c>
      <c r="P1554" s="23" t="s">
        <v>204</v>
      </c>
      <c r="Q1554" s="23" t="s">
        <v>95</v>
      </c>
      <c r="R1554" s="23" t="s">
        <v>823</v>
      </c>
      <c r="S1554" s="33">
        <v>0</v>
      </c>
      <c r="T1554" s="13">
        <v>15.28</v>
      </c>
      <c r="U1554" s="13">
        <v>7.4871999999999996</v>
      </c>
      <c r="V1554" s="55">
        <f>Table3[[#This Row],[Profit]]/Table3[[#This Row],[Sales]]</f>
        <v>0.49</v>
      </c>
    </row>
    <row r="1555" spans="1:22" x14ac:dyDescent="0.2">
      <c r="A1555">
        <v>1554</v>
      </c>
      <c r="B1555" t="s">
        <v>5847</v>
      </c>
      <c r="C1555" s="1">
        <v>42968</v>
      </c>
      <c r="D1555" s="22">
        <f>MONTH(Table3[[#This Row],[Order Date]])</f>
        <v>8</v>
      </c>
      <c r="E1555" t="s">
        <v>2712</v>
      </c>
      <c r="F1555" t="s">
        <v>2713</v>
      </c>
      <c r="G1555" s="23" t="s">
        <v>41</v>
      </c>
      <c r="H1555" s="23" t="s">
        <v>61</v>
      </c>
      <c r="I1555" t="s">
        <v>5848</v>
      </c>
      <c r="J1555" t="s">
        <v>22</v>
      </c>
      <c r="K1555" s="22">
        <v>4</v>
      </c>
      <c r="L1555" s="1">
        <v>42969</v>
      </c>
      <c r="M1555" s="22">
        <f>Table3[[#This Row],[Ship Date]]-Table3[[#This Row],[Order Date]]</f>
        <v>1</v>
      </c>
      <c r="N1555" s="23" t="s">
        <v>169</v>
      </c>
      <c r="O1555" s="23" t="s">
        <v>23</v>
      </c>
      <c r="P1555" s="23" t="s">
        <v>38</v>
      </c>
      <c r="Q1555" s="23" t="s">
        <v>39</v>
      </c>
      <c r="R1555" s="23" t="s">
        <v>2815</v>
      </c>
      <c r="S1555" s="33">
        <v>0</v>
      </c>
      <c r="T1555" s="13">
        <v>17.12</v>
      </c>
      <c r="U1555" s="13">
        <v>4.9648000000000003</v>
      </c>
      <c r="V1555" s="55">
        <f>Table3[[#This Row],[Profit]]/Table3[[#This Row],[Sales]]</f>
        <v>0.28999999999999998</v>
      </c>
    </row>
    <row r="1556" spans="1:22" x14ac:dyDescent="0.2">
      <c r="A1556">
        <v>1555</v>
      </c>
      <c r="B1556" t="s">
        <v>5847</v>
      </c>
      <c r="C1556" s="1">
        <v>42968</v>
      </c>
      <c r="D1556" s="22">
        <f>MONTH(Table3[[#This Row],[Order Date]])</f>
        <v>8</v>
      </c>
      <c r="E1556" t="s">
        <v>1792</v>
      </c>
      <c r="F1556" t="s">
        <v>1793</v>
      </c>
      <c r="G1556" s="23" t="s">
        <v>64</v>
      </c>
      <c r="H1556" s="23" t="s">
        <v>65</v>
      </c>
      <c r="I1556" t="s">
        <v>5848</v>
      </c>
      <c r="J1556" t="s">
        <v>22</v>
      </c>
      <c r="K1556" s="22">
        <v>4</v>
      </c>
      <c r="L1556" s="1">
        <v>42969</v>
      </c>
      <c r="M1556" s="22">
        <f>Table3[[#This Row],[Ship Date]]-Table3[[#This Row],[Order Date]]</f>
        <v>1</v>
      </c>
      <c r="N1556" s="23" t="s">
        <v>169</v>
      </c>
      <c r="O1556" s="23" t="s">
        <v>23</v>
      </c>
      <c r="P1556" s="23" t="s">
        <v>38</v>
      </c>
      <c r="Q1556" s="23" t="s">
        <v>39</v>
      </c>
      <c r="R1556" s="23" t="s">
        <v>2815</v>
      </c>
      <c r="S1556" s="33">
        <v>0.2</v>
      </c>
      <c r="T1556" s="13">
        <v>431.96800000000002</v>
      </c>
      <c r="U1556" s="13">
        <v>37.797199999999997</v>
      </c>
      <c r="V1556" s="55">
        <f>Table3[[#This Row],[Profit]]/Table3[[#This Row],[Sales]]</f>
        <v>8.7499999999999994E-2</v>
      </c>
    </row>
    <row r="1557" spans="1:22" x14ac:dyDescent="0.2">
      <c r="A1557">
        <v>1556</v>
      </c>
      <c r="B1557" t="s">
        <v>5847</v>
      </c>
      <c r="C1557" s="1">
        <v>42968</v>
      </c>
      <c r="D1557" s="22">
        <f>MONTH(Table3[[#This Row],[Order Date]])</f>
        <v>8</v>
      </c>
      <c r="E1557" t="s">
        <v>5849</v>
      </c>
      <c r="F1557" t="s">
        <v>5850</v>
      </c>
      <c r="G1557" s="23" t="s">
        <v>28</v>
      </c>
      <c r="H1557" s="23" t="s">
        <v>58</v>
      </c>
      <c r="I1557" t="s">
        <v>5848</v>
      </c>
      <c r="J1557" t="s">
        <v>22</v>
      </c>
      <c r="K1557" s="22">
        <v>4</v>
      </c>
      <c r="L1557" s="1">
        <v>42969</v>
      </c>
      <c r="M1557" s="22">
        <f>Table3[[#This Row],[Ship Date]]-Table3[[#This Row],[Order Date]]</f>
        <v>1</v>
      </c>
      <c r="N1557" s="23" t="s">
        <v>169</v>
      </c>
      <c r="O1557" s="23" t="s">
        <v>23</v>
      </c>
      <c r="P1557" s="23" t="s">
        <v>38</v>
      </c>
      <c r="Q1557" s="23" t="s">
        <v>39</v>
      </c>
      <c r="R1557" s="23" t="s">
        <v>2815</v>
      </c>
      <c r="S1557" s="33">
        <v>0</v>
      </c>
      <c r="T1557" s="13">
        <v>129.91999999999999</v>
      </c>
      <c r="U1557" s="13">
        <v>10.393599999999999</v>
      </c>
      <c r="V1557" s="55">
        <f>Table3[[#This Row],[Profit]]/Table3[[#This Row],[Sales]]</f>
        <v>0.08</v>
      </c>
    </row>
    <row r="1558" spans="1:22" x14ac:dyDescent="0.2">
      <c r="A1558">
        <v>1557</v>
      </c>
      <c r="B1558" t="s">
        <v>5847</v>
      </c>
      <c r="C1558" s="1">
        <v>42968</v>
      </c>
      <c r="D1558" s="22">
        <f>MONTH(Table3[[#This Row],[Order Date]])</f>
        <v>8</v>
      </c>
      <c r="E1558" t="s">
        <v>73</v>
      </c>
      <c r="F1558" t="s">
        <v>74</v>
      </c>
      <c r="G1558" s="23" t="s">
        <v>28</v>
      </c>
      <c r="H1558" s="23" t="s">
        <v>50</v>
      </c>
      <c r="I1558" t="s">
        <v>5848</v>
      </c>
      <c r="J1558" t="s">
        <v>22</v>
      </c>
      <c r="K1558" s="22">
        <v>3</v>
      </c>
      <c r="L1558" s="1">
        <v>42969</v>
      </c>
      <c r="M1558" s="22">
        <f>Table3[[#This Row],[Ship Date]]-Table3[[#This Row],[Order Date]]</f>
        <v>1</v>
      </c>
      <c r="N1558" s="23" t="s">
        <v>169</v>
      </c>
      <c r="O1558" s="23" t="s">
        <v>23</v>
      </c>
      <c r="P1558" s="23" t="s">
        <v>38</v>
      </c>
      <c r="Q1558" s="23" t="s">
        <v>39</v>
      </c>
      <c r="R1558" s="23" t="s">
        <v>2815</v>
      </c>
      <c r="S1558" s="33">
        <v>0.2</v>
      </c>
      <c r="T1558" s="13">
        <v>568.72799999999995</v>
      </c>
      <c r="U1558" s="13">
        <v>28.436399999999999</v>
      </c>
      <c r="V1558" s="55">
        <f>Table3[[#This Row],[Profit]]/Table3[[#This Row],[Sales]]</f>
        <v>0.05</v>
      </c>
    </row>
    <row r="1559" spans="1:22" x14ac:dyDescent="0.2">
      <c r="A1559">
        <v>1558</v>
      </c>
      <c r="B1559" t="s">
        <v>5847</v>
      </c>
      <c r="C1559" s="1">
        <v>42968</v>
      </c>
      <c r="D1559" s="22">
        <f>MONTH(Table3[[#This Row],[Order Date]])</f>
        <v>8</v>
      </c>
      <c r="E1559" t="s">
        <v>5851</v>
      </c>
      <c r="F1559" t="s">
        <v>5852</v>
      </c>
      <c r="G1559" s="23" t="s">
        <v>41</v>
      </c>
      <c r="H1559" s="23" t="s">
        <v>68</v>
      </c>
      <c r="I1559" t="s">
        <v>5848</v>
      </c>
      <c r="J1559" t="s">
        <v>22</v>
      </c>
      <c r="K1559" s="22">
        <v>9</v>
      </c>
      <c r="L1559" s="1">
        <v>42969</v>
      </c>
      <c r="M1559" s="22">
        <f>Table3[[#This Row],[Ship Date]]-Table3[[#This Row],[Order Date]]</f>
        <v>1</v>
      </c>
      <c r="N1559" s="23" t="s">
        <v>169</v>
      </c>
      <c r="O1559" s="23" t="s">
        <v>23</v>
      </c>
      <c r="P1559" s="23" t="s">
        <v>38</v>
      </c>
      <c r="Q1559" s="23" t="s">
        <v>39</v>
      </c>
      <c r="R1559" s="23" t="s">
        <v>2815</v>
      </c>
      <c r="S1559" s="33">
        <v>0.2</v>
      </c>
      <c r="T1559" s="13">
        <v>117.14400000000001</v>
      </c>
      <c r="U1559" s="13">
        <v>42.464700000000001</v>
      </c>
      <c r="V1559" s="55">
        <f>Table3[[#This Row],[Profit]]/Table3[[#This Row],[Sales]]</f>
        <v>0.36249999999999999</v>
      </c>
    </row>
    <row r="1560" spans="1:22" x14ac:dyDescent="0.2">
      <c r="A1560">
        <v>1559</v>
      </c>
      <c r="B1560" t="s">
        <v>5847</v>
      </c>
      <c r="C1560" s="1">
        <v>42968</v>
      </c>
      <c r="D1560" s="22">
        <f>MONTH(Table3[[#This Row],[Order Date]])</f>
        <v>8</v>
      </c>
      <c r="E1560" t="s">
        <v>5853</v>
      </c>
      <c r="F1560" t="s">
        <v>5854</v>
      </c>
      <c r="G1560" s="23" t="s">
        <v>41</v>
      </c>
      <c r="H1560" s="23" t="s">
        <v>71</v>
      </c>
      <c r="I1560" t="s">
        <v>5848</v>
      </c>
      <c r="J1560" t="s">
        <v>22</v>
      </c>
      <c r="K1560" s="22">
        <v>3</v>
      </c>
      <c r="L1560" s="1">
        <v>42969</v>
      </c>
      <c r="M1560" s="22">
        <f>Table3[[#This Row],[Ship Date]]-Table3[[#This Row],[Order Date]]</f>
        <v>1</v>
      </c>
      <c r="N1560" s="23" t="s">
        <v>169</v>
      </c>
      <c r="O1560" s="23" t="s">
        <v>23</v>
      </c>
      <c r="P1560" s="23" t="s">
        <v>38</v>
      </c>
      <c r="Q1560" s="23" t="s">
        <v>39</v>
      </c>
      <c r="R1560" s="23" t="s">
        <v>2815</v>
      </c>
      <c r="S1560" s="33">
        <v>0</v>
      </c>
      <c r="T1560" s="13">
        <v>203.52</v>
      </c>
      <c r="U1560" s="13">
        <v>54.950400000000002</v>
      </c>
      <c r="V1560" s="55">
        <f>Table3[[#This Row],[Profit]]/Table3[[#This Row],[Sales]]</f>
        <v>0.27</v>
      </c>
    </row>
    <row r="1561" spans="1:22" x14ac:dyDescent="0.2">
      <c r="A1561">
        <v>1560</v>
      </c>
      <c r="B1561" t="s">
        <v>5847</v>
      </c>
      <c r="C1561" s="1">
        <v>42968</v>
      </c>
      <c r="D1561" s="22">
        <f>MONTH(Table3[[#This Row],[Order Date]])</f>
        <v>8</v>
      </c>
      <c r="E1561" t="s">
        <v>1128</v>
      </c>
      <c r="F1561" t="s">
        <v>1129</v>
      </c>
      <c r="G1561" s="23" t="s">
        <v>41</v>
      </c>
      <c r="H1561" s="23" t="s">
        <v>42</v>
      </c>
      <c r="I1561" t="s">
        <v>5848</v>
      </c>
      <c r="J1561" t="s">
        <v>22</v>
      </c>
      <c r="K1561" s="22">
        <v>5</v>
      </c>
      <c r="L1561" s="1">
        <v>42969</v>
      </c>
      <c r="M1561" s="22">
        <f>Table3[[#This Row],[Ship Date]]-Table3[[#This Row],[Order Date]]</f>
        <v>1</v>
      </c>
      <c r="N1561" s="23" t="s">
        <v>169</v>
      </c>
      <c r="O1561" s="23" t="s">
        <v>23</v>
      </c>
      <c r="P1561" s="23" t="s">
        <v>38</v>
      </c>
      <c r="Q1561" s="23" t="s">
        <v>39</v>
      </c>
      <c r="R1561" s="23" t="s">
        <v>2815</v>
      </c>
      <c r="S1561" s="33">
        <v>0</v>
      </c>
      <c r="T1561" s="13">
        <v>51.75</v>
      </c>
      <c r="U1561" s="13">
        <v>24.84</v>
      </c>
      <c r="V1561" s="55">
        <f>Table3[[#This Row],[Profit]]/Table3[[#This Row],[Sales]]</f>
        <v>0.48</v>
      </c>
    </row>
    <row r="1562" spans="1:22" x14ac:dyDescent="0.2">
      <c r="A1562">
        <v>1561</v>
      </c>
      <c r="B1562" t="s">
        <v>6070</v>
      </c>
      <c r="C1562" s="1">
        <v>42968</v>
      </c>
      <c r="D1562" s="22">
        <f>MONTH(Table3[[#This Row],[Order Date]])</f>
        <v>8</v>
      </c>
      <c r="E1562" t="s">
        <v>1532</v>
      </c>
      <c r="F1562" t="s">
        <v>4440</v>
      </c>
      <c r="G1562" s="23" t="s">
        <v>41</v>
      </c>
      <c r="H1562" s="23" t="s">
        <v>82</v>
      </c>
      <c r="I1562" t="s">
        <v>2012</v>
      </c>
      <c r="J1562" t="s">
        <v>92</v>
      </c>
      <c r="K1562" s="22">
        <v>5</v>
      </c>
      <c r="L1562" s="1">
        <v>42974</v>
      </c>
      <c r="M1562" s="22">
        <f>Table3[[#This Row],[Ship Date]]-Table3[[#This Row],[Order Date]]</f>
        <v>6</v>
      </c>
      <c r="N1562" s="23" t="s">
        <v>45</v>
      </c>
      <c r="O1562" s="23" t="s">
        <v>23</v>
      </c>
      <c r="P1562" s="23" t="s">
        <v>2408</v>
      </c>
      <c r="Q1562" s="23" t="s">
        <v>133</v>
      </c>
      <c r="R1562" s="23" t="s">
        <v>341</v>
      </c>
      <c r="S1562" s="33">
        <v>0</v>
      </c>
      <c r="T1562" s="13">
        <v>277.39999999999998</v>
      </c>
      <c r="U1562" s="13">
        <v>133.15199999999999</v>
      </c>
      <c r="V1562" s="55">
        <f>Table3[[#This Row],[Profit]]/Table3[[#This Row],[Sales]]</f>
        <v>0.48</v>
      </c>
    </row>
    <row r="1563" spans="1:22" x14ac:dyDescent="0.2">
      <c r="A1563">
        <v>1562</v>
      </c>
      <c r="B1563" t="s">
        <v>6070</v>
      </c>
      <c r="C1563" s="1">
        <v>42968</v>
      </c>
      <c r="D1563" s="22">
        <f>MONTH(Table3[[#This Row],[Order Date]])</f>
        <v>8</v>
      </c>
      <c r="E1563" t="s">
        <v>3387</v>
      </c>
      <c r="F1563" t="s">
        <v>3388</v>
      </c>
      <c r="G1563" s="23" t="s">
        <v>28</v>
      </c>
      <c r="H1563" s="23" t="s">
        <v>58</v>
      </c>
      <c r="I1563" t="s">
        <v>2012</v>
      </c>
      <c r="J1563" t="s">
        <v>92</v>
      </c>
      <c r="K1563" s="22">
        <v>2</v>
      </c>
      <c r="L1563" s="1">
        <v>42974</v>
      </c>
      <c r="M1563" s="22">
        <f>Table3[[#This Row],[Ship Date]]-Table3[[#This Row],[Order Date]]</f>
        <v>6</v>
      </c>
      <c r="N1563" s="23" t="s">
        <v>45</v>
      </c>
      <c r="O1563" s="23" t="s">
        <v>23</v>
      </c>
      <c r="P1563" s="23" t="s">
        <v>2408</v>
      </c>
      <c r="Q1563" s="23" t="s">
        <v>133</v>
      </c>
      <c r="R1563" s="23" t="s">
        <v>341</v>
      </c>
      <c r="S1563" s="33">
        <v>0</v>
      </c>
      <c r="T1563" s="13">
        <v>25.16</v>
      </c>
      <c r="U1563" s="13">
        <v>8.5543999999999993</v>
      </c>
      <c r="V1563" s="55">
        <f>Table3[[#This Row],[Profit]]/Table3[[#This Row],[Sales]]</f>
        <v>0.33999999999999997</v>
      </c>
    </row>
    <row r="1564" spans="1:22" x14ac:dyDescent="0.2">
      <c r="A1564">
        <v>1563</v>
      </c>
      <c r="B1564" t="s">
        <v>6070</v>
      </c>
      <c r="C1564" s="1">
        <v>42968</v>
      </c>
      <c r="D1564" s="22">
        <f>MONTH(Table3[[#This Row],[Order Date]])</f>
        <v>8</v>
      </c>
      <c r="E1564" t="s">
        <v>3211</v>
      </c>
      <c r="F1564" t="s">
        <v>3212</v>
      </c>
      <c r="G1564" s="23" t="s">
        <v>28</v>
      </c>
      <c r="H1564" s="23" t="s">
        <v>58</v>
      </c>
      <c r="I1564" t="s">
        <v>2012</v>
      </c>
      <c r="J1564" t="s">
        <v>92</v>
      </c>
      <c r="K1564" s="22">
        <v>4</v>
      </c>
      <c r="L1564" s="1">
        <v>42974</v>
      </c>
      <c r="M1564" s="22">
        <f>Table3[[#This Row],[Ship Date]]-Table3[[#This Row],[Order Date]]</f>
        <v>6</v>
      </c>
      <c r="N1564" s="23" t="s">
        <v>45</v>
      </c>
      <c r="O1564" s="23" t="s">
        <v>23</v>
      </c>
      <c r="P1564" s="23" t="s">
        <v>2408</v>
      </c>
      <c r="Q1564" s="23" t="s">
        <v>133</v>
      </c>
      <c r="R1564" s="23" t="s">
        <v>341</v>
      </c>
      <c r="S1564" s="33">
        <v>0</v>
      </c>
      <c r="T1564" s="13">
        <v>91.92</v>
      </c>
      <c r="U1564" s="13">
        <v>31.252800000000001</v>
      </c>
      <c r="V1564" s="55">
        <f>Table3[[#This Row],[Profit]]/Table3[[#This Row],[Sales]]</f>
        <v>0.34</v>
      </c>
    </row>
    <row r="1565" spans="1:22" x14ac:dyDescent="0.2">
      <c r="A1565">
        <v>1564</v>
      </c>
      <c r="B1565" t="s">
        <v>8113</v>
      </c>
      <c r="C1565" s="1">
        <v>42968</v>
      </c>
      <c r="D1565" s="22">
        <f>MONTH(Table3[[#This Row],[Order Date]])</f>
        <v>8</v>
      </c>
      <c r="E1565" t="s">
        <v>2253</v>
      </c>
      <c r="F1565" t="s">
        <v>2254</v>
      </c>
      <c r="G1565" s="23" t="s">
        <v>41</v>
      </c>
      <c r="H1565" s="23" t="s">
        <v>82</v>
      </c>
      <c r="I1565" t="s">
        <v>2868</v>
      </c>
      <c r="J1565" t="s">
        <v>36</v>
      </c>
      <c r="K1565" s="22">
        <v>1</v>
      </c>
      <c r="L1565" s="1">
        <v>42968</v>
      </c>
      <c r="M1565" s="22">
        <f>Table3[[#This Row],[Ship Date]]-Table3[[#This Row],[Order Date]]</f>
        <v>0</v>
      </c>
      <c r="N1565" s="23" t="s">
        <v>1141</v>
      </c>
      <c r="O1565" s="23" t="s">
        <v>23</v>
      </c>
      <c r="P1565" s="23" t="s">
        <v>277</v>
      </c>
      <c r="Q1565" s="23" t="s">
        <v>39</v>
      </c>
      <c r="R1565" s="23" t="s">
        <v>7273</v>
      </c>
      <c r="S1565" s="33">
        <v>0.2</v>
      </c>
      <c r="T1565" s="13">
        <v>83.88</v>
      </c>
      <c r="U1565" s="13">
        <v>29.358000000000001</v>
      </c>
      <c r="V1565" s="55">
        <f>Table3[[#This Row],[Profit]]/Table3[[#This Row],[Sales]]</f>
        <v>0.35000000000000003</v>
      </c>
    </row>
    <row r="1566" spans="1:22" x14ac:dyDescent="0.2">
      <c r="A1566">
        <v>1565</v>
      </c>
      <c r="B1566" t="s">
        <v>9016</v>
      </c>
      <c r="C1566" s="1">
        <v>42968</v>
      </c>
      <c r="D1566" s="22">
        <f>MONTH(Table3[[#This Row],[Order Date]])</f>
        <v>8</v>
      </c>
      <c r="E1566" t="s">
        <v>633</v>
      </c>
      <c r="F1566" t="s">
        <v>634</v>
      </c>
      <c r="G1566" s="23" t="s">
        <v>28</v>
      </c>
      <c r="H1566" s="23" t="s">
        <v>32</v>
      </c>
      <c r="I1566" t="s">
        <v>5789</v>
      </c>
      <c r="J1566" t="s">
        <v>36</v>
      </c>
      <c r="K1566" s="22">
        <v>6</v>
      </c>
      <c r="L1566" s="1">
        <v>42972</v>
      </c>
      <c r="M1566" s="22">
        <f>Table3[[#This Row],[Ship Date]]-Table3[[#This Row],[Order Date]]</f>
        <v>4</v>
      </c>
      <c r="N1566" s="23" t="s">
        <v>20</v>
      </c>
      <c r="O1566" s="23" t="s">
        <v>23</v>
      </c>
      <c r="P1566" s="23" t="s">
        <v>87</v>
      </c>
      <c r="Q1566" s="23" t="s">
        <v>39</v>
      </c>
      <c r="R1566" s="23" t="s">
        <v>86</v>
      </c>
      <c r="S1566" s="33">
        <v>0.2</v>
      </c>
      <c r="T1566" s="13">
        <v>388.70400000000001</v>
      </c>
      <c r="U1566" s="13">
        <v>38.870399999999997</v>
      </c>
      <c r="V1566" s="55">
        <f>Table3[[#This Row],[Profit]]/Table3[[#This Row],[Sales]]</f>
        <v>9.9999999999999992E-2</v>
      </c>
    </row>
    <row r="1567" spans="1:22" x14ac:dyDescent="0.2">
      <c r="A1567">
        <v>1566</v>
      </c>
      <c r="B1567" t="s">
        <v>9016</v>
      </c>
      <c r="C1567" s="1">
        <v>42968</v>
      </c>
      <c r="D1567" s="22">
        <f>MONTH(Table3[[#This Row],[Order Date]])</f>
        <v>8</v>
      </c>
      <c r="E1567" t="s">
        <v>2136</v>
      </c>
      <c r="F1567" t="s">
        <v>2137</v>
      </c>
      <c r="G1567" s="23" t="s">
        <v>41</v>
      </c>
      <c r="H1567" s="23" t="s">
        <v>53</v>
      </c>
      <c r="I1567" t="s">
        <v>5789</v>
      </c>
      <c r="J1567" t="s">
        <v>36</v>
      </c>
      <c r="K1567" s="22">
        <v>6</v>
      </c>
      <c r="L1567" s="1">
        <v>42972</v>
      </c>
      <c r="M1567" s="22">
        <f>Table3[[#This Row],[Ship Date]]-Table3[[#This Row],[Order Date]]</f>
        <v>4</v>
      </c>
      <c r="N1567" s="23" t="s">
        <v>20</v>
      </c>
      <c r="O1567" s="23" t="s">
        <v>23</v>
      </c>
      <c r="P1567" s="23" t="s">
        <v>87</v>
      </c>
      <c r="Q1567" s="23" t="s">
        <v>39</v>
      </c>
      <c r="R1567" s="23" t="s">
        <v>86</v>
      </c>
      <c r="S1567" s="33">
        <v>0</v>
      </c>
      <c r="T1567" s="13">
        <v>572.58000000000004</v>
      </c>
      <c r="U1567" s="13">
        <v>34.354799999999997</v>
      </c>
      <c r="V1567" s="55">
        <f>Table3[[#This Row],[Profit]]/Table3[[#This Row],[Sales]]</f>
        <v>5.9999999999999991E-2</v>
      </c>
    </row>
    <row r="1568" spans="1:22" x14ac:dyDescent="0.2">
      <c r="A1568">
        <v>1567</v>
      </c>
      <c r="B1568" t="s">
        <v>9016</v>
      </c>
      <c r="C1568" s="1">
        <v>42968</v>
      </c>
      <c r="D1568" s="22">
        <f>MONTH(Table3[[#This Row],[Order Date]])</f>
        <v>8</v>
      </c>
      <c r="E1568" t="s">
        <v>4926</v>
      </c>
      <c r="F1568" t="s">
        <v>4927</v>
      </c>
      <c r="G1568" s="23" t="s">
        <v>64</v>
      </c>
      <c r="H1568" s="23" t="s">
        <v>144</v>
      </c>
      <c r="I1568" t="s">
        <v>5789</v>
      </c>
      <c r="J1568" t="s">
        <v>36</v>
      </c>
      <c r="K1568" s="22">
        <v>2</v>
      </c>
      <c r="L1568" s="1">
        <v>42972</v>
      </c>
      <c r="M1568" s="22">
        <f>Table3[[#This Row],[Ship Date]]-Table3[[#This Row],[Order Date]]</f>
        <v>4</v>
      </c>
      <c r="N1568" s="23" t="s">
        <v>20</v>
      </c>
      <c r="O1568" s="23" t="s">
        <v>23</v>
      </c>
      <c r="P1568" s="23" t="s">
        <v>87</v>
      </c>
      <c r="Q1568" s="23" t="s">
        <v>39</v>
      </c>
      <c r="R1568" s="23" t="s">
        <v>86</v>
      </c>
      <c r="S1568" s="33">
        <v>0</v>
      </c>
      <c r="T1568" s="13">
        <v>33.18</v>
      </c>
      <c r="U1568" s="13">
        <v>11.613</v>
      </c>
      <c r="V1568" s="55">
        <f>Table3[[#This Row],[Profit]]/Table3[[#This Row],[Sales]]</f>
        <v>0.35</v>
      </c>
    </row>
    <row r="1569" spans="1:22" x14ac:dyDescent="0.2">
      <c r="A1569">
        <v>1568</v>
      </c>
      <c r="B1569" t="s">
        <v>9736</v>
      </c>
      <c r="C1569" s="1">
        <v>42968</v>
      </c>
      <c r="D1569" s="22">
        <f>MONTH(Table3[[#This Row],[Order Date]])</f>
        <v>8</v>
      </c>
      <c r="E1569" t="s">
        <v>6008</v>
      </c>
      <c r="F1569" t="s">
        <v>6009</v>
      </c>
      <c r="G1569" s="23" t="s">
        <v>41</v>
      </c>
      <c r="H1569" s="23" t="s">
        <v>68</v>
      </c>
      <c r="I1569" t="s">
        <v>101</v>
      </c>
      <c r="J1569" t="s">
        <v>22</v>
      </c>
      <c r="K1569" s="22">
        <v>7</v>
      </c>
      <c r="L1569" s="1">
        <v>42975</v>
      </c>
      <c r="M1569" s="22">
        <f>Table3[[#This Row],[Ship Date]]-Table3[[#This Row],[Order Date]]</f>
        <v>7</v>
      </c>
      <c r="N1569" s="23" t="s">
        <v>45</v>
      </c>
      <c r="O1569" s="23" t="s">
        <v>23</v>
      </c>
      <c r="P1569" s="23" t="s">
        <v>238</v>
      </c>
      <c r="Q1569" s="23" t="s">
        <v>133</v>
      </c>
      <c r="R1569" s="23" t="s">
        <v>237</v>
      </c>
      <c r="S1569" s="33">
        <v>0.2</v>
      </c>
      <c r="T1569" s="13">
        <v>32.088000000000001</v>
      </c>
      <c r="U1569" s="13">
        <v>11.2308</v>
      </c>
      <c r="V1569" s="55">
        <f>Table3[[#This Row],[Profit]]/Table3[[#This Row],[Sales]]</f>
        <v>0.35</v>
      </c>
    </row>
    <row r="1570" spans="1:22" x14ac:dyDescent="0.2">
      <c r="A1570">
        <v>1569</v>
      </c>
      <c r="B1570" t="s">
        <v>9736</v>
      </c>
      <c r="C1570" s="1">
        <v>42968</v>
      </c>
      <c r="D1570" s="22">
        <f>MONTH(Table3[[#This Row],[Order Date]])</f>
        <v>8</v>
      </c>
      <c r="E1570" t="s">
        <v>4174</v>
      </c>
      <c r="F1570" t="s">
        <v>4175</v>
      </c>
      <c r="G1570" s="23" t="s">
        <v>41</v>
      </c>
      <c r="H1570" s="23" t="s">
        <v>68</v>
      </c>
      <c r="I1570" t="s">
        <v>101</v>
      </c>
      <c r="J1570" t="s">
        <v>22</v>
      </c>
      <c r="K1570" s="22">
        <v>6</v>
      </c>
      <c r="L1570" s="1">
        <v>42975</v>
      </c>
      <c r="M1570" s="22">
        <f>Table3[[#This Row],[Ship Date]]-Table3[[#This Row],[Order Date]]</f>
        <v>7</v>
      </c>
      <c r="N1570" s="23" t="s">
        <v>45</v>
      </c>
      <c r="O1570" s="23" t="s">
        <v>23</v>
      </c>
      <c r="P1570" s="23" t="s">
        <v>238</v>
      </c>
      <c r="Q1570" s="23" t="s">
        <v>133</v>
      </c>
      <c r="R1570" s="23" t="s">
        <v>237</v>
      </c>
      <c r="S1570" s="33">
        <v>0.2</v>
      </c>
      <c r="T1570" s="13">
        <v>4305.5519999999997</v>
      </c>
      <c r="U1570" s="13">
        <v>1453.1238000000001</v>
      </c>
      <c r="V1570" s="55">
        <f>Table3[[#This Row],[Profit]]/Table3[[#This Row],[Sales]]</f>
        <v>0.33750000000000002</v>
      </c>
    </row>
    <row r="1571" spans="1:22" x14ac:dyDescent="0.2">
      <c r="A1571">
        <v>1570</v>
      </c>
      <c r="B1571" t="s">
        <v>10099</v>
      </c>
      <c r="C1571" s="1">
        <v>42968</v>
      </c>
      <c r="D1571" s="22">
        <f>MONTH(Table3[[#This Row],[Order Date]])</f>
        <v>8</v>
      </c>
      <c r="E1571" t="s">
        <v>2042</v>
      </c>
      <c r="F1571" t="s">
        <v>2043</v>
      </c>
      <c r="G1571" s="23" t="s">
        <v>41</v>
      </c>
      <c r="H1571" s="23" t="s">
        <v>53</v>
      </c>
      <c r="I1571" t="s">
        <v>9808</v>
      </c>
      <c r="J1571" t="s">
        <v>22</v>
      </c>
      <c r="K1571" s="22">
        <v>3</v>
      </c>
      <c r="L1571" s="1">
        <v>42972</v>
      </c>
      <c r="M1571" s="22">
        <f>Table3[[#This Row],[Ship Date]]-Table3[[#This Row],[Order Date]]</f>
        <v>4</v>
      </c>
      <c r="N1571" s="23" t="s">
        <v>45</v>
      </c>
      <c r="O1571" s="23" t="s">
        <v>23</v>
      </c>
      <c r="P1571" s="23" t="s">
        <v>405</v>
      </c>
      <c r="Q1571" s="23" t="s">
        <v>39</v>
      </c>
      <c r="R1571" s="23" t="s">
        <v>1303</v>
      </c>
      <c r="S1571" s="33">
        <v>0.2</v>
      </c>
      <c r="T1571" s="13">
        <v>237.096</v>
      </c>
      <c r="U1571" s="13">
        <v>20.745899999999999</v>
      </c>
      <c r="V1571" s="55">
        <f>Table3[[#This Row],[Profit]]/Table3[[#This Row],[Sales]]</f>
        <v>8.7499999999999994E-2</v>
      </c>
    </row>
    <row r="1572" spans="1:22" x14ac:dyDescent="0.2">
      <c r="A1572">
        <v>1571</v>
      </c>
      <c r="B1572" t="s">
        <v>10099</v>
      </c>
      <c r="C1572" s="1">
        <v>42968</v>
      </c>
      <c r="D1572" s="22">
        <f>MONTH(Table3[[#This Row],[Order Date]])</f>
        <v>8</v>
      </c>
      <c r="E1572" t="s">
        <v>4199</v>
      </c>
      <c r="F1572" t="s">
        <v>4200</v>
      </c>
      <c r="G1572" s="23" t="s">
        <v>28</v>
      </c>
      <c r="H1572" s="23" t="s">
        <v>58</v>
      </c>
      <c r="I1572" t="s">
        <v>9808</v>
      </c>
      <c r="J1572" t="s">
        <v>22</v>
      </c>
      <c r="K1572" s="22">
        <v>3</v>
      </c>
      <c r="L1572" s="1">
        <v>42972</v>
      </c>
      <c r="M1572" s="22">
        <f>Table3[[#This Row],[Ship Date]]-Table3[[#This Row],[Order Date]]</f>
        <v>4</v>
      </c>
      <c r="N1572" s="23" t="s">
        <v>45</v>
      </c>
      <c r="O1572" s="23" t="s">
        <v>23</v>
      </c>
      <c r="P1572" s="23" t="s">
        <v>405</v>
      </c>
      <c r="Q1572" s="23" t="s">
        <v>39</v>
      </c>
      <c r="R1572" s="23" t="s">
        <v>1303</v>
      </c>
      <c r="S1572" s="33">
        <v>0.2</v>
      </c>
      <c r="T1572" s="13">
        <v>22.751999999999999</v>
      </c>
      <c r="U1572" s="13">
        <v>7.11</v>
      </c>
      <c r="V1572" s="55">
        <f>Table3[[#This Row],[Profit]]/Table3[[#This Row],[Sales]]</f>
        <v>0.31250000000000006</v>
      </c>
    </row>
    <row r="1573" spans="1:22" x14ac:dyDescent="0.2">
      <c r="A1573">
        <v>1572</v>
      </c>
      <c r="B1573" t="s">
        <v>10099</v>
      </c>
      <c r="C1573" s="1">
        <v>42968</v>
      </c>
      <c r="D1573" s="22">
        <f>MONTH(Table3[[#This Row],[Order Date]])</f>
        <v>8</v>
      </c>
      <c r="E1573" t="s">
        <v>558</v>
      </c>
      <c r="F1573" t="s">
        <v>559</v>
      </c>
      <c r="G1573" s="23" t="s">
        <v>41</v>
      </c>
      <c r="H1573" s="23" t="s">
        <v>82</v>
      </c>
      <c r="I1573" t="s">
        <v>9808</v>
      </c>
      <c r="J1573" t="s">
        <v>22</v>
      </c>
      <c r="K1573" s="22">
        <v>1</v>
      </c>
      <c r="L1573" s="1">
        <v>42972</v>
      </c>
      <c r="M1573" s="22">
        <f>Table3[[#This Row],[Ship Date]]-Table3[[#This Row],[Order Date]]</f>
        <v>4</v>
      </c>
      <c r="N1573" s="23" t="s">
        <v>45</v>
      </c>
      <c r="O1573" s="23" t="s">
        <v>23</v>
      </c>
      <c r="P1573" s="23" t="s">
        <v>405</v>
      </c>
      <c r="Q1573" s="23" t="s">
        <v>39</v>
      </c>
      <c r="R1573" s="23" t="s">
        <v>1303</v>
      </c>
      <c r="S1573" s="33">
        <v>0.2</v>
      </c>
      <c r="T1573" s="13">
        <v>6.6719999999999997</v>
      </c>
      <c r="U1573" s="13">
        <v>2.085</v>
      </c>
      <c r="V1573" s="55">
        <f>Table3[[#This Row],[Profit]]/Table3[[#This Row],[Sales]]</f>
        <v>0.3125</v>
      </c>
    </row>
    <row r="1574" spans="1:22" x14ac:dyDescent="0.2">
      <c r="A1574">
        <v>1573</v>
      </c>
      <c r="B1574" t="s">
        <v>7324</v>
      </c>
      <c r="C1574" s="1">
        <v>42969</v>
      </c>
      <c r="D1574" s="22">
        <f>MONTH(Table3[[#This Row],[Order Date]])</f>
        <v>8</v>
      </c>
      <c r="E1574" t="s">
        <v>452</v>
      </c>
      <c r="F1574" t="s">
        <v>453</v>
      </c>
      <c r="G1574" s="23" t="s">
        <v>28</v>
      </c>
      <c r="H1574" s="23" t="s">
        <v>50</v>
      </c>
      <c r="I1574" t="s">
        <v>6840</v>
      </c>
      <c r="J1574" t="s">
        <v>22</v>
      </c>
      <c r="K1574" s="22">
        <v>1</v>
      </c>
      <c r="L1574" s="1">
        <v>42970</v>
      </c>
      <c r="M1574" s="22">
        <f>Table3[[#This Row],[Ship Date]]-Table3[[#This Row],[Order Date]]</f>
        <v>1</v>
      </c>
      <c r="N1574" s="23" t="s">
        <v>169</v>
      </c>
      <c r="O1574" s="23" t="s">
        <v>23</v>
      </c>
      <c r="P1574" s="23" t="s">
        <v>38</v>
      </c>
      <c r="Q1574" s="23" t="s">
        <v>39</v>
      </c>
      <c r="R1574" s="23" t="s">
        <v>114</v>
      </c>
      <c r="S1574" s="33">
        <v>0.2</v>
      </c>
      <c r="T1574" s="13">
        <v>210.00800000000001</v>
      </c>
      <c r="U1574" s="13">
        <v>2.6251000000000002</v>
      </c>
      <c r="V1574" s="55">
        <f>Table3[[#This Row],[Profit]]/Table3[[#This Row],[Sales]]</f>
        <v>1.2500000000000001E-2</v>
      </c>
    </row>
    <row r="1575" spans="1:22" x14ac:dyDescent="0.2">
      <c r="A1575">
        <v>1574</v>
      </c>
      <c r="B1575" t="s">
        <v>7908</v>
      </c>
      <c r="C1575" s="1">
        <v>42969</v>
      </c>
      <c r="D1575" s="22">
        <f>MONTH(Table3[[#This Row],[Order Date]])</f>
        <v>8</v>
      </c>
      <c r="E1575" t="s">
        <v>2532</v>
      </c>
      <c r="F1575" t="s">
        <v>2533</v>
      </c>
      <c r="G1575" s="23" t="s">
        <v>28</v>
      </c>
      <c r="H1575" s="23" t="s">
        <v>50</v>
      </c>
      <c r="I1575" t="s">
        <v>5277</v>
      </c>
      <c r="J1575" t="s">
        <v>92</v>
      </c>
      <c r="K1575" s="22">
        <v>2</v>
      </c>
      <c r="L1575" s="1">
        <v>42971</v>
      </c>
      <c r="M1575" s="22">
        <f>Table3[[#This Row],[Ship Date]]-Table3[[#This Row],[Order Date]]</f>
        <v>2</v>
      </c>
      <c r="N1575" s="23" t="s">
        <v>169</v>
      </c>
      <c r="O1575" s="23" t="s">
        <v>23</v>
      </c>
      <c r="P1575" s="23" t="s">
        <v>132</v>
      </c>
      <c r="Q1575" s="23" t="s">
        <v>133</v>
      </c>
      <c r="R1575" s="23" t="s">
        <v>131</v>
      </c>
      <c r="S1575" s="33">
        <v>0.4</v>
      </c>
      <c r="T1575" s="13">
        <v>314.53199999999998</v>
      </c>
      <c r="U1575" s="13">
        <v>-83.875200000000007</v>
      </c>
      <c r="V1575" s="55">
        <f>Table3[[#This Row],[Profit]]/Table3[[#This Row],[Sales]]</f>
        <v>-0.26666666666666672</v>
      </c>
    </row>
    <row r="1576" spans="1:22" x14ac:dyDescent="0.2">
      <c r="A1576">
        <v>1575</v>
      </c>
      <c r="B1576" t="s">
        <v>6657</v>
      </c>
      <c r="C1576" s="1">
        <v>42970</v>
      </c>
      <c r="D1576" s="22">
        <f>MONTH(Table3[[#This Row],[Order Date]])</f>
        <v>8</v>
      </c>
      <c r="E1576" t="s">
        <v>5480</v>
      </c>
      <c r="F1576" t="s">
        <v>5481</v>
      </c>
      <c r="G1576" s="23" t="s">
        <v>64</v>
      </c>
      <c r="H1576" s="23" t="s">
        <v>65</v>
      </c>
      <c r="I1576" t="s">
        <v>1051</v>
      </c>
      <c r="J1576" t="s">
        <v>22</v>
      </c>
      <c r="K1576" s="22">
        <v>13</v>
      </c>
      <c r="L1576" s="1">
        <v>42973</v>
      </c>
      <c r="M1576" s="22">
        <f>Table3[[#This Row],[Ship Date]]-Table3[[#This Row],[Order Date]]</f>
        <v>3</v>
      </c>
      <c r="N1576" s="23" t="s">
        <v>20</v>
      </c>
      <c r="O1576" s="23" t="s">
        <v>23</v>
      </c>
      <c r="P1576" s="23" t="s">
        <v>48</v>
      </c>
      <c r="Q1576" s="23" t="s">
        <v>26</v>
      </c>
      <c r="R1576" s="23" t="s">
        <v>5021</v>
      </c>
      <c r="S1576" s="33">
        <v>0.2</v>
      </c>
      <c r="T1576" s="13">
        <v>4367.8959999999997</v>
      </c>
      <c r="U1576" s="13">
        <v>327.59219999999999</v>
      </c>
      <c r="V1576" s="55">
        <f>Table3[[#This Row],[Profit]]/Table3[[#This Row],[Sales]]</f>
        <v>7.4999999999999997E-2</v>
      </c>
    </row>
    <row r="1577" spans="1:22" x14ac:dyDescent="0.2">
      <c r="A1577">
        <v>1576</v>
      </c>
      <c r="B1577" t="s">
        <v>6657</v>
      </c>
      <c r="C1577" s="1">
        <v>42970</v>
      </c>
      <c r="D1577" s="22">
        <f>MONTH(Table3[[#This Row],[Order Date]])</f>
        <v>8</v>
      </c>
      <c r="E1577" t="s">
        <v>4163</v>
      </c>
      <c r="F1577" t="s">
        <v>4164</v>
      </c>
      <c r="G1577" s="23" t="s">
        <v>41</v>
      </c>
      <c r="H1577" s="23" t="s">
        <v>82</v>
      </c>
      <c r="I1577" t="s">
        <v>1051</v>
      </c>
      <c r="J1577" t="s">
        <v>22</v>
      </c>
      <c r="K1577" s="22">
        <v>2</v>
      </c>
      <c r="L1577" s="1">
        <v>42973</v>
      </c>
      <c r="M1577" s="22">
        <f>Table3[[#This Row],[Ship Date]]-Table3[[#This Row],[Order Date]]</f>
        <v>3</v>
      </c>
      <c r="N1577" s="23" t="s">
        <v>20</v>
      </c>
      <c r="O1577" s="23" t="s">
        <v>23</v>
      </c>
      <c r="P1577" s="23" t="s">
        <v>48</v>
      </c>
      <c r="Q1577" s="23" t="s">
        <v>26</v>
      </c>
      <c r="R1577" s="23" t="s">
        <v>5021</v>
      </c>
      <c r="S1577" s="33">
        <v>0.2</v>
      </c>
      <c r="T1577" s="13">
        <v>49.567999999999998</v>
      </c>
      <c r="U1577" s="13">
        <v>15.49</v>
      </c>
      <c r="V1577" s="55">
        <f>Table3[[#This Row],[Profit]]/Table3[[#This Row],[Sales]]</f>
        <v>0.3125</v>
      </c>
    </row>
    <row r="1578" spans="1:22" x14ac:dyDescent="0.2">
      <c r="A1578">
        <v>1577</v>
      </c>
      <c r="B1578" t="s">
        <v>6657</v>
      </c>
      <c r="C1578" s="1">
        <v>42970</v>
      </c>
      <c r="D1578" s="22">
        <f>MONTH(Table3[[#This Row],[Order Date]])</f>
        <v>8</v>
      </c>
      <c r="E1578" t="s">
        <v>2516</v>
      </c>
      <c r="F1578" t="s">
        <v>2517</v>
      </c>
      <c r="G1578" s="23" t="s">
        <v>41</v>
      </c>
      <c r="H1578" s="23" t="s">
        <v>71</v>
      </c>
      <c r="I1578" t="s">
        <v>1051</v>
      </c>
      <c r="J1578" t="s">
        <v>22</v>
      </c>
      <c r="K1578" s="22">
        <v>6</v>
      </c>
      <c r="L1578" s="1">
        <v>42973</v>
      </c>
      <c r="M1578" s="22">
        <f>Table3[[#This Row],[Ship Date]]-Table3[[#This Row],[Order Date]]</f>
        <v>3</v>
      </c>
      <c r="N1578" s="23" t="s">
        <v>20</v>
      </c>
      <c r="O1578" s="23" t="s">
        <v>23</v>
      </c>
      <c r="P1578" s="23" t="s">
        <v>48</v>
      </c>
      <c r="Q1578" s="23" t="s">
        <v>26</v>
      </c>
      <c r="R1578" s="23" t="s">
        <v>5021</v>
      </c>
      <c r="S1578" s="33">
        <v>0.2</v>
      </c>
      <c r="T1578" s="13">
        <v>161.376</v>
      </c>
      <c r="U1578" s="13">
        <v>12.103199999999999</v>
      </c>
      <c r="V1578" s="55">
        <f>Table3[[#This Row],[Profit]]/Table3[[#This Row],[Sales]]</f>
        <v>7.4999999999999997E-2</v>
      </c>
    </row>
    <row r="1579" spans="1:22" x14ac:dyDescent="0.2">
      <c r="A1579">
        <v>1578</v>
      </c>
      <c r="B1579" t="s">
        <v>6657</v>
      </c>
      <c r="C1579" s="1">
        <v>42970</v>
      </c>
      <c r="D1579" s="22">
        <f>MONTH(Table3[[#This Row],[Order Date]])</f>
        <v>8</v>
      </c>
      <c r="E1579" t="s">
        <v>2924</v>
      </c>
      <c r="F1579" t="s">
        <v>2925</v>
      </c>
      <c r="G1579" s="23" t="s">
        <v>28</v>
      </c>
      <c r="H1579" s="23" t="s">
        <v>58</v>
      </c>
      <c r="I1579" t="s">
        <v>1051</v>
      </c>
      <c r="J1579" t="s">
        <v>22</v>
      </c>
      <c r="K1579" s="22">
        <v>2</v>
      </c>
      <c r="L1579" s="1">
        <v>42973</v>
      </c>
      <c r="M1579" s="22">
        <f>Table3[[#This Row],[Ship Date]]-Table3[[#This Row],[Order Date]]</f>
        <v>3</v>
      </c>
      <c r="N1579" s="23" t="s">
        <v>20</v>
      </c>
      <c r="O1579" s="23" t="s">
        <v>23</v>
      </c>
      <c r="P1579" s="23" t="s">
        <v>48</v>
      </c>
      <c r="Q1579" s="23" t="s">
        <v>26</v>
      </c>
      <c r="R1579" s="23" t="s">
        <v>5021</v>
      </c>
      <c r="S1579" s="33">
        <v>0.2</v>
      </c>
      <c r="T1579" s="13">
        <v>2.7839999999999998</v>
      </c>
      <c r="U1579" s="13">
        <v>0.41760000000000003</v>
      </c>
      <c r="V1579" s="55">
        <f>Table3[[#This Row],[Profit]]/Table3[[#This Row],[Sales]]</f>
        <v>0.15000000000000002</v>
      </c>
    </row>
    <row r="1580" spans="1:22" x14ac:dyDescent="0.2">
      <c r="A1580">
        <v>1579</v>
      </c>
      <c r="B1580" t="s">
        <v>6657</v>
      </c>
      <c r="C1580" s="1">
        <v>42970</v>
      </c>
      <c r="D1580" s="22">
        <f>MONTH(Table3[[#This Row],[Order Date]])</f>
        <v>8</v>
      </c>
      <c r="E1580" t="s">
        <v>2872</v>
      </c>
      <c r="F1580" t="s">
        <v>2873</v>
      </c>
      <c r="G1580" s="23" t="s">
        <v>41</v>
      </c>
      <c r="H1580" s="23" t="s">
        <v>82</v>
      </c>
      <c r="I1580" t="s">
        <v>1051</v>
      </c>
      <c r="J1580" t="s">
        <v>22</v>
      </c>
      <c r="K1580" s="22">
        <v>5</v>
      </c>
      <c r="L1580" s="1">
        <v>42973</v>
      </c>
      <c r="M1580" s="22">
        <f>Table3[[#This Row],[Ship Date]]-Table3[[#This Row],[Order Date]]</f>
        <v>3</v>
      </c>
      <c r="N1580" s="23" t="s">
        <v>20</v>
      </c>
      <c r="O1580" s="23" t="s">
        <v>23</v>
      </c>
      <c r="P1580" s="23" t="s">
        <v>48</v>
      </c>
      <c r="Q1580" s="23" t="s">
        <v>26</v>
      </c>
      <c r="R1580" s="23" t="s">
        <v>5021</v>
      </c>
      <c r="S1580" s="33">
        <v>0.2</v>
      </c>
      <c r="T1580" s="13">
        <v>8.7200000000000006</v>
      </c>
      <c r="U1580" s="13">
        <v>2.9430000000000001</v>
      </c>
      <c r="V1580" s="55">
        <f>Table3[[#This Row],[Profit]]/Table3[[#This Row],[Sales]]</f>
        <v>0.33749999999999997</v>
      </c>
    </row>
    <row r="1581" spans="1:22" x14ac:dyDescent="0.2">
      <c r="A1581">
        <v>1580</v>
      </c>
      <c r="B1581" t="s">
        <v>7447</v>
      </c>
      <c r="C1581" s="1">
        <v>42971</v>
      </c>
      <c r="D1581" s="22">
        <f>MONTH(Table3[[#This Row],[Order Date]])</f>
        <v>8</v>
      </c>
      <c r="E1581" t="s">
        <v>67</v>
      </c>
      <c r="F1581" t="s">
        <v>69</v>
      </c>
      <c r="G1581" s="23" t="s">
        <v>41</v>
      </c>
      <c r="H1581" s="23" t="s">
        <v>68</v>
      </c>
      <c r="I1581" t="s">
        <v>936</v>
      </c>
      <c r="J1581" t="s">
        <v>36</v>
      </c>
      <c r="K1581" s="22">
        <v>4</v>
      </c>
      <c r="L1581" s="1">
        <v>42976</v>
      </c>
      <c r="M1581" s="22">
        <f>Table3[[#This Row],[Ship Date]]-Table3[[#This Row],[Order Date]]</f>
        <v>5</v>
      </c>
      <c r="N1581" s="23" t="s">
        <v>45</v>
      </c>
      <c r="O1581" s="23" t="s">
        <v>23</v>
      </c>
      <c r="P1581" s="23" t="s">
        <v>238</v>
      </c>
      <c r="Q1581" s="23" t="s">
        <v>133</v>
      </c>
      <c r="R1581" s="23" t="s">
        <v>237</v>
      </c>
      <c r="S1581" s="33">
        <v>0.2</v>
      </c>
      <c r="T1581" s="13">
        <v>24.672000000000001</v>
      </c>
      <c r="U1581" s="13">
        <v>7.71</v>
      </c>
      <c r="V1581" s="55">
        <f>Table3[[#This Row],[Profit]]/Table3[[#This Row],[Sales]]</f>
        <v>0.3125</v>
      </c>
    </row>
    <row r="1582" spans="1:22" x14ac:dyDescent="0.2">
      <c r="A1582">
        <v>1581</v>
      </c>
      <c r="B1582" t="s">
        <v>7447</v>
      </c>
      <c r="C1582" s="1">
        <v>42971</v>
      </c>
      <c r="D1582" s="22">
        <f>MONTH(Table3[[#This Row],[Order Date]])</f>
        <v>8</v>
      </c>
      <c r="E1582" t="s">
        <v>2074</v>
      </c>
      <c r="F1582" t="s">
        <v>2075</v>
      </c>
      <c r="G1582" s="23" t="s">
        <v>41</v>
      </c>
      <c r="H1582" s="23" t="s">
        <v>68</v>
      </c>
      <c r="I1582" t="s">
        <v>936</v>
      </c>
      <c r="J1582" t="s">
        <v>36</v>
      </c>
      <c r="K1582" s="22">
        <v>1</v>
      </c>
      <c r="L1582" s="1">
        <v>42976</v>
      </c>
      <c r="M1582" s="22">
        <f>Table3[[#This Row],[Ship Date]]-Table3[[#This Row],[Order Date]]</f>
        <v>5</v>
      </c>
      <c r="N1582" s="23" t="s">
        <v>45</v>
      </c>
      <c r="O1582" s="23" t="s">
        <v>23</v>
      </c>
      <c r="P1582" s="23" t="s">
        <v>238</v>
      </c>
      <c r="Q1582" s="23" t="s">
        <v>133</v>
      </c>
      <c r="R1582" s="23" t="s">
        <v>237</v>
      </c>
      <c r="S1582" s="33">
        <v>0.2</v>
      </c>
      <c r="T1582" s="13">
        <v>3.7440000000000002</v>
      </c>
      <c r="U1582" s="13">
        <v>1.3104</v>
      </c>
      <c r="V1582" s="55">
        <f>Table3[[#This Row],[Profit]]/Table3[[#This Row],[Sales]]</f>
        <v>0.35</v>
      </c>
    </row>
    <row r="1583" spans="1:22" x14ac:dyDescent="0.2">
      <c r="A1583">
        <v>1582</v>
      </c>
      <c r="B1583" t="s">
        <v>7861</v>
      </c>
      <c r="C1583" s="1">
        <v>42971</v>
      </c>
      <c r="D1583" s="22">
        <f>MONTH(Table3[[#This Row],[Order Date]])</f>
        <v>8</v>
      </c>
      <c r="E1583" t="s">
        <v>7317</v>
      </c>
      <c r="F1583" t="s">
        <v>7318</v>
      </c>
      <c r="G1583" s="23" t="s">
        <v>41</v>
      </c>
      <c r="H1583" s="23" t="s">
        <v>71</v>
      </c>
      <c r="I1583" t="s">
        <v>5340</v>
      </c>
      <c r="J1583" t="s">
        <v>22</v>
      </c>
      <c r="K1583" s="22">
        <v>8</v>
      </c>
      <c r="L1583" s="1">
        <v>42973</v>
      </c>
      <c r="M1583" s="22">
        <f>Table3[[#This Row],[Ship Date]]-Table3[[#This Row],[Order Date]]</f>
        <v>2</v>
      </c>
      <c r="N1583" s="23" t="s">
        <v>20</v>
      </c>
      <c r="O1583" s="23" t="s">
        <v>23</v>
      </c>
      <c r="P1583" s="23" t="s">
        <v>441</v>
      </c>
      <c r="Q1583" s="23" t="s">
        <v>133</v>
      </c>
      <c r="R1583" s="23" t="s">
        <v>2174</v>
      </c>
      <c r="S1583" s="33">
        <v>0.2</v>
      </c>
      <c r="T1583" s="13">
        <v>646.27200000000005</v>
      </c>
      <c r="U1583" s="13">
        <v>64.627200000000002</v>
      </c>
      <c r="V1583" s="55">
        <f>Table3[[#This Row],[Profit]]/Table3[[#This Row],[Sales]]</f>
        <v>9.9999999999999992E-2</v>
      </c>
    </row>
    <row r="1584" spans="1:22" x14ac:dyDescent="0.2">
      <c r="A1584">
        <v>1583</v>
      </c>
      <c r="B1584" t="s">
        <v>7861</v>
      </c>
      <c r="C1584" s="1">
        <v>42971</v>
      </c>
      <c r="D1584" s="22">
        <f>MONTH(Table3[[#This Row],[Order Date]])</f>
        <v>8</v>
      </c>
      <c r="E1584" t="s">
        <v>2501</v>
      </c>
      <c r="F1584" t="s">
        <v>6101</v>
      </c>
      <c r="G1584" s="23" t="s">
        <v>41</v>
      </c>
      <c r="H1584" s="23" t="s">
        <v>82</v>
      </c>
      <c r="I1584" t="s">
        <v>5340</v>
      </c>
      <c r="J1584" t="s">
        <v>22</v>
      </c>
      <c r="K1584" s="22">
        <v>2</v>
      </c>
      <c r="L1584" s="1">
        <v>42973</v>
      </c>
      <c r="M1584" s="22">
        <f>Table3[[#This Row],[Ship Date]]-Table3[[#This Row],[Order Date]]</f>
        <v>2</v>
      </c>
      <c r="N1584" s="23" t="s">
        <v>20</v>
      </c>
      <c r="O1584" s="23" t="s">
        <v>23</v>
      </c>
      <c r="P1584" s="23" t="s">
        <v>441</v>
      </c>
      <c r="Q1584" s="23" t="s">
        <v>133</v>
      </c>
      <c r="R1584" s="23" t="s">
        <v>2174</v>
      </c>
      <c r="S1584" s="33">
        <v>0.2</v>
      </c>
      <c r="T1584" s="13">
        <v>10.368</v>
      </c>
      <c r="U1584" s="13">
        <v>3.7584</v>
      </c>
      <c r="V1584" s="55">
        <f>Table3[[#This Row],[Profit]]/Table3[[#This Row],[Sales]]</f>
        <v>0.36249999999999999</v>
      </c>
    </row>
    <row r="1585" spans="1:22" x14ac:dyDescent="0.2">
      <c r="A1585">
        <v>1584</v>
      </c>
      <c r="B1585" t="s">
        <v>2378</v>
      </c>
      <c r="C1585" s="1">
        <v>42972</v>
      </c>
      <c r="D1585" s="22">
        <f>MONTH(Table3[[#This Row],[Order Date]])</f>
        <v>8</v>
      </c>
      <c r="E1585" t="s">
        <v>2379</v>
      </c>
      <c r="F1585" t="s">
        <v>2380</v>
      </c>
      <c r="G1585" s="23" t="s">
        <v>41</v>
      </c>
      <c r="H1585" s="23" t="s">
        <v>82</v>
      </c>
      <c r="I1585" t="s">
        <v>2314</v>
      </c>
      <c r="J1585" t="s">
        <v>22</v>
      </c>
      <c r="K1585" s="22">
        <v>5</v>
      </c>
      <c r="L1585" s="1">
        <v>42976</v>
      </c>
      <c r="M1585" s="22">
        <f>Table3[[#This Row],[Ship Date]]-Table3[[#This Row],[Order Date]]</f>
        <v>4</v>
      </c>
      <c r="N1585" s="23" t="s">
        <v>45</v>
      </c>
      <c r="O1585" s="23" t="s">
        <v>23</v>
      </c>
      <c r="P1585" s="23" t="s">
        <v>80</v>
      </c>
      <c r="Q1585" s="23" t="s">
        <v>26</v>
      </c>
      <c r="R1585" s="23" t="s">
        <v>414</v>
      </c>
      <c r="S1585" s="33">
        <v>0.2</v>
      </c>
      <c r="T1585" s="13">
        <v>192.16</v>
      </c>
      <c r="U1585" s="13">
        <v>67.256</v>
      </c>
      <c r="V1585" s="55">
        <f>Table3[[#This Row],[Profit]]/Table3[[#This Row],[Sales]]</f>
        <v>0.35000000000000003</v>
      </c>
    </row>
    <row r="1586" spans="1:22" x14ac:dyDescent="0.2">
      <c r="A1586">
        <v>1585</v>
      </c>
      <c r="B1586" t="s">
        <v>3512</v>
      </c>
      <c r="C1586" s="1">
        <v>42972</v>
      </c>
      <c r="D1586" s="22">
        <f>MONTH(Table3[[#This Row],[Order Date]])</f>
        <v>8</v>
      </c>
      <c r="E1586" t="s">
        <v>1671</v>
      </c>
      <c r="F1586" t="s">
        <v>1672</v>
      </c>
      <c r="G1586" s="23" t="s">
        <v>41</v>
      </c>
      <c r="H1586" s="23" t="s">
        <v>61</v>
      </c>
      <c r="I1586" t="s">
        <v>2797</v>
      </c>
      <c r="J1586" t="s">
        <v>22</v>
      </c>
      <c r="K1586" s="22">
        <v>2</v>
      </c>
      <c r="L1586" s="1">
        <v>42975</v>
      </c>
      <c r="M1586" s="22">
        <f>Table3[[#This Row],[Ship Date]]-Table3[[#This Row],[Order Date]]</f>
        <v>3</v>
      </c>
      <c r="N1586" s="23" t="s">
        <v>20</v>
      </c>
      <c r="O1586" s="23" t="s">
        <v>23</v>
      </c>
      <c r="P1586" s="23" t="s">
        <v>299</v>
      </c>
      <c r="Q1586" s="23" t="s">
        <v>26</v>
      </c>
      <c r="R1586" s="23" t="s">
        <v>293</v>
      </c>
      <c r="S1586" s="33">
        <v>0.2</v>
      </c>
      <c r="T1586" s="13">
        <v>9.7279999999999998</v>
      </c>
      <c r="U1586" s="13">
        <v>1.7023999999999999</v>
      </c>
      <c r="V1586" s="55">
        <f>Table3[[#This Row],[Profit]]/Table3[[#This Row],[Sales]]</f>
        <v>0.17499999999999999</v>
      </c>
    </row>
    <row r="1587" spans="1:22" x14ac:dyDescent="0.2">
      <c r="A1587">
        <v>1586</v>
      </c>
      <c r="B1587" t="s">
        <v>3512</v>
      </c>
      <c r="C1587" s="1">
        <v>42972</v>
      </c>
      <c r="D1587" s="22">
        <f>MONTH(Table3[[#This Row],[Order Date]])</f>
        <v>8</v>
      </c>
      <c r="E1587" t="s">
        <v>3513</v>
      </c>
      <c r="F1587" t="s">
        <v>3514</v>
      </c>
      <c r="G1587" s="23" t="s">
        <v>41</v>
      </c>
      <c r="H1587" s="23" t="s">
        <v>82</v>
      </c>
      <c r="I1587" t="s">
        <v>2797</v>
      </c>
      <c r="J1587" t="s">
        <v>22</v>
      </c>
      <c r="K1587" s="22">
        <v>1</v>
      </c>
      <c r="L1587" s="1">
        <v>42975</v>
      </c>
      <c r="M1587" s="22">
        <f>Table3[[#This Row],[Ship Date]]-Table3[[#This Row],[Order Date]]</f>
        <v>3</v>
      </c>
      <c r="N1587" s="23" t="s">
        <v>20</v>
      </c>
      <c r="O1587" s="23" t="s">
        <v>23</v>
      </c>
      <c r="P1587" s="23" t="s">
        <v>299</v>
      </c>
      <c r="Q1587" s="23" t="s">
        <v>26</v>
      </c>
      <c r="R1587" s="23" t="s">
        <v>293</v>
      </c>
      <c r="S1587" s="33">
        <v>0.2</v>
      </c>
      <c r="T1587" s="13">
        <v>3.4239999999999999</v>
      </c>
      <c r="U1587" s="13">
        <v>1.07</v>
      </c>
      <c r="V1587" s="55">
        <f>Table3[[#This Row],[Profit]]/Table3[[#This Row],[Sales]]</f>
        <v>0.3125</v>
      </c>
    </row>
    <row r="1588" spans="1:22" x14ac:dyDescent="0.2">
      <c r="A1588">
        <v>1587</v>
      </c>
      <c r="B1588" t="s">
        <v>8955</v>
      </c>
      <c r="C1588" s="1">
        <v>42972</v>
      </c>
      <c r="D1588" s="22">
        <f>MONTH(Table3[[#This Row],[Order Date]])</f>
        <v>8</v>
      </c>
      <c r="E1588" t="s">
        <v>4378</v>
      </c>
      <c r="F1588" t="s">
        <v>4379</v>
      </c>
      <c r="G1588" s="23" t="s">
        <v>41</v>
      </c>
      <c r="H1588" s="23" t="s">
        <v>53</v>
      </c>
      <c r="I1588" t="s">
        <v>4249</v>
      </c>
      <c r="J1588" t="s">
        <v>22</v>
      </c>
      <c r="K1588" s="22">
        <v>2</v>
      </c>
      <c r="L1588" s="1">
        <v>42974</v>
      </c>
      <c r="M1588" s="22">
        <f>Table3[[#This Row],[Ship Date]]-Table3[[#This Row],[Order Date]]</f>
        <v>2</v>
      </c>
      <c r="N1588" s="23" t="s">
        <v>169</v>
      </c>
      <c r="O1588" s="23" t="s">
        <v>23</v>
      </c>
      <c r="P1588" s="23" t="s">
        <v>441</v>
      </c>
      <c r="Q1588" s="23" t="s">
        <v>133</v>
      </c>
      <c r="R1588" s="23" t="s">
        <v>1920</v>
      </c>
      <c r="S1588" s="33">
        <v>0.2</v>
      </c>
      <c r="T1588" s="13">
        <v>25.696000000000002</v>
      </c>
      <c r="U1588" s="13">
        <v>1.9272</v>
      </c>
      <c r="V1588" s="55">
        <f>Table3[[#This Row],[Profit]]/Table3[[#This Row],[Sales]]</f>
        <v>7.4999999999999997E-2</v>
      </c>
    </row>
    <row r="1589" spans="1:22" x14ac:dyDescent="0.2">
      <c r="A1589">
        <v>1588</v>
      </c>
      <c r="B1589" t="s">
        <v>9368</v>
      </c>
      <c r="C1589" s="1">
        <v>42972</v>
      </c>
      <c r="D1589" s="22">
        <f>MONTH(Table3[[#This Row],[Order Date]])</f>
        <v>8</v>
      </c>
      <c r="E1589" t="s">
        <v>27</v>
      </c>
      <c r="F1589" t="s">
        <v>30</v>
      </c>
      <c r="G1589" s="23" t="s">
        <v>28</v>
      </c>
      <c r="H1589" s="23" t="s">
        <v>29</v>
      </c>
      <c r="I1589" t="s">
        <v>2029</v>
      </c>
      <c r="J1589" t="s">
        <v>22</v>
      </c>
      <c r="K1589" s="22">
        <v>2</v>
      </c>
      <c r="L1589" s="1">
        <v>42976</v>
      </c>
      <c r="M1589" s="22">
        <f>Table3[[#This Row],[Ship Date]]-Table3[[#This Row],[Order Date]]</f>
        <v>4</v>
      </c>
      <c r="N1589" s="23" t="s">
        <v>45</v>
      </c>
      <c r="O1589" s="23" t="s">
        <v>23</v>
      </c>
      <c r="P1589" s="23" t="s">
        <v>132</v>
      </c>
      <c r="Q1589" s="23" t="s">
        <v>133</v>
      </c>
      <c r="R1589" s="23" t="s">
        <v>131</v>
      </c>
      <c r="S1589" s="33">
        <v>0.5</v>
      </c>
      <c r="T1589" s="13">
        <v>130.97999999999999</v>
      </c>
      <c r="U1589" s="13">
        <v>-89.066400000000002</v>
      </c>
      <c r="V1589" s="55">
        <f>Table3[[#This Row],[Profit]]/Table3[[#This Row],[Sales]]</f>
        <v>-0.68</v>
      </c>
    </row>
    <row r="1590" spans="1:22" x14ac:dyDescent="0.2">
      <c r="A1590">
        <v>1589</v>
      </c>
      <c r="B1590" t="s">
        <v>5224</v>
      </c>
      <c r="C1590" s="1">
        <v>42973</v>
      </c>
      <c r="D1590" s="22">
        <f>MONTH(Table3[[#This Row],[Order Date]])</f>
        <v>8</v>
      </c>
      <c r="E1590" t="s">
        <v>1249</v>
      </c>
      <c r="F1590" t="s">
        <v>1250</v>
      </c>
      <c r="G1590" s="23" t="s">
        <v>64</v>
      </c>
      <c r="H1590" s="23" t="s">
        <v>144</v>
      </c>
      <c r="I1590" t="s">
        <v>5225</v>
      </c>
      <c r="J1590" t="s">
        <v>92</v>
      </c>
      <c r="K1590" s="22">
        <v>2</v>
      </c>
      <c r="L1590" s="1">
        <v>42979</v>
      </c>
      <c r="M1590" s="22">
        <f>Table3[[#This Row],[Ship Date]]-Table3[[#This Row],[Order Date]]</f>
        <v>6</v>
      </c>
      <c r="N1590" s="23" t="s">
        <v>45</v>
      </c>
      <c r="O1590" s="23" t="s">
        <v>23</v>
      </c>
      <c r="P1590" s="23" t="s">
        <v>1125</v>
      </c>
      <c r="Q1590" s="23" t="s">
        <v>26</v>
      </c>
      <c r="R1590" s="23" t="s">
        <v>440</v>
      </c>
      <c r="S1590" s="33">
        <v>0</v>
      </c>
      <c r="T1590" s="13">
        <v>71.98</v>
      </c>
      <c r="U1590" s="13">
        <v>15.1158</v>
      </c>
      <c r="V1590" s="55">
        <f>Table3[[#This Row],[Profit]]/Table3[[#This Row],[Sales]]</f>
        <v>0.21</v>
      </c>
    </row>
    <row r="1591" spans="1:22" x14ac:dyDescent="0.2">
      <c r="A1591">
        <v>1590</v>
      </c>
      <c r="B1591" t="s">
        <v>9067</v>
      </c>
      <c r="C1591" s="1">
        <v>42973</v>
      </c>
      <c r="D1591" s="22">
        <f>MONTH(Table3[[#This Row],[Order Date]])</f>
        <v>8</v>
      </c>
      <c r="E1591" t="s">
        <v>2046</v>
      </c>
      <c r="F1591" t="s">
        <v>2047</v>
      </c>
      <c r="G1591" s="23" t="s">
        <v>28</v>
      </c>
      <c r="H1591" s="23" t="s">
        <v>58</v>
      </c>
      <c r="I1591" t="s">
        <v>224</v>
      </c>
      <c r="J1591" t="s">
        <v>22</v>
      </c>
      <c r="K1591" s="22">
        <v>5</v>
      </c>
      <c r="L1591" s="1">
        <v>42979</v>
      </c>
      <c r="M1591" s="22">
        <f>Table3[[#This Row],[Ship Date]]-Table3[[#This Row],[Order Date]]</f>
        <v>6</v>
      </c>
      <c r="N1591" s="23" t="s">
        <v>45</v>
      </c>
      <c r="O1591" s="23" t="s">
        <v>23</v>
      </c>
      <c r="P1591" s="23" t="s">
        <v>189</v>
      </c>
      <c r="Q1591" s="23" t="s">
        <v>95</v>
      </c>
      <c r="R1591" s="23" t="s">
        <v>271</v>
      </c>
      <c r="S1591" s="33">
        <v>0.6</v>
      </c>
      <c r="T1591" s="13">
        <v>64.959999999999994</v>
      </c>
      <c r="U1591" s="13">
        <v>-43.847999999999999</v>
      </c>
      <c r="V1591" s="55">
        <f>Table3[[#This Row],[Profit]]/Table3[[#This Row],[Sales]]</f>
        <v>-0.67500000000000004</v>
      </c>
    </row>
    <row r="1592" spans="1:22" x14ac:dyDescent="0.2">
      <c r="A1592">
        <v>1591</v>
      </c>
      <c r="B1592" t="s">
        <v>9926</v>
      </c>
      <c r="C1592" s="1">
        <v>42973</v>
      </c>
      <c r="D1592" s="22">
        <f>MONTH(Table3[[#This Row],[Order Date]])</f>
        <v>8</v>
      </c>
      <c r="E1592" t="s">
        <v>3596</v>
      </c>
      <c r="F1592" t="s">
        <v>3597</v>
      </c>
      <c r="G1592" s="23" t="s">
        <v>41</v>
      </c>
      <c r="H1592" s="23" t="s">
        <v>53</v>
      </c>
      <c r="I1592" t="s">
        <v>5955</v>
      </c>
      <c r="J1592" t="s">
        <v>92</v>
      </c>
      <c r="K1592" s="22">
        <v>4</v>
      </c>
      <c r="L1592" s="1">
        <v>42974</v>
      </c>
      <c r="M1592" s="22">
        <f>Table3[[#This Row],[Ship Date]]-Table3[[#This Row],[Order Date]]</f>
        <v>1</v>
      </c>
      <c r="N1592" s="23" t="s">
        <v>169</v>
      </c>
      <c r="O1592" s="23" t="s">
        <v>23</v>
      </c>
      <c r="P1592" s="23" t="s">
        <v>212</v>
      </c>
      <c r="Q1592" s="23" t="s">
        <v>95</v>
      </c>
      <c r="R1592" s="23" t="s">
        <v>775</v>
      </c>
      <c r="S1592" s="33">
        <v>0</v>
      </c>
      <c r="T1592" s="13">
        <v>53.72</v>
      </c>
      <c r="U1592" s="13">
        <v>13.9672</v>
      </c>
      <c r="V1592" s="55">
        <f>Table3[[#This Row],[Profit]]/Table3[[#This Row],[Sales]]</f>
        <v>0.26</v>
      </c>
    </row>
    <row r="1593" spans="1:22" x14ac:dyDescent="0.2">
      <c r="A1593">
        <v>1592</v>
      </c>
      <c r="B1593" t="s">
        <v>1171</v>
      </c>
      <c r="C1593" s="1">
        <v>42974</v>
      </c>
      <c r="D1593" s="22">
        <f>MONTH(Table3[[#This Row],[Order Date]])</f>
        <v>8</v>
      </c>
      <c r="E1593" t="s">
        <v>1173</v>
      </c>
      <c r="F1593" t="s">
        <v>1174</v>
      </c>
      <c r="G1593" s="23" t="s">
        <v>28</v>
      </c>
      <c r="H1593" s="23" t="s">
        <v>50</v>
      </c>
      <c r="I1593" t="s">
        <v>1172</v>
      </c>
      <c r="J1593" t="s">
        <v>36</v>
      </c>
      <c r="K1593" s="22">
        <v>7</v>
      </c>
      <c r="L1593" s="1">
        <v>42979</v>
      </c>
      <c r="M1593" s="22">
        <f>Table3[[#This Row],[Ship Date]]-Table3[[#This Row],[Order Date]]</f>
        <v>5</v>
      </c>
      <c r="N1593" s="23" t="s">
        <v>45</v>
      </c>
      <c r="O1593" s="23" t="s">
        <v>23</v>
      </c>
      <c r="P1593" s="23" t="s">
        <v>1101</v>
      </c>
      <c r="Q1593" s="23" t="s">
        <v>133</v>
      </c>
      <c r="R1593" s="23" t="s">
        <v>541</v>
      </c>
      <c r="S1593" s="33">
        <v>0.3</v>
      </c>
      <c r="T1593" s="13">
        <v>1488.424</v>
      </c>
      <c r="U1593" s="13">
        <v>-297.6848</v>
      </c>
      <c r="V1593" s="55">
        <f>Table3[[#This Row],[Profit]]/Table3[[#This Row],[Sales]]</f>
        <v>-0.2</v>
      </c>
    </row>
    <row r="1594" spans="1:22" x14ac:dyDescent="0.2">
      <c r="A1594">
        <v>1593</v>
      </c>
      <c r="B1594" t="s">
        <v>4002</v>
      </c>
      <c r="C1594" s="1">
        <v>42974</v>
      </c>
      <c r="D1594" s="22">
        <f>MONTH(Table3[[#This Row],[Order Date]])</f>
        <v>8</v>
      </c>
      <c r="E1594" t="s">
        <v>2959</v>
      </c>
      <c r="F1594" t="s">
        <v>2960</v>
      </c>
      <c r="G1594" s="23" t="s">
        <v>41</v>
      </c>
      <c r="H1594" s="23" t="s">
        <v>53</v>
      </c>
      <c r="I1594" t="s">
        <v>2045</v>
      </c>
      <c r="J1594" t="s">
        <v>92</v>
      </c>
      <c r="K1594" s="22">
        <v>8</v>
      </c>
      <c r="L1594" s="1">
        <v>42977</v>
      </c>
      <c r="M1594" s="22">
        <f>Table3[[#This Row],[Ship Date]]-Table3[[#This Row],[Order Date]]</f>
        <v>3</v>
      </c>
      <c r="N1594" s="23" t="s">
        <v>169</v>
      </c>
      <c r="O1594" s="23" t="s">
        <v>23</v>
      </c>
      <c r="P1594" s="23" t="s">
        <v>238</v>
      </c>
      <c r="Q1594" s="23" t="s">
        <v>133</v>
      </c>
      <c r="R1594" s="23" t="s">
        <v>237</v>
      </c>
      <c r="S1594" s="33">
        <v>0</v>
      </c>
      <c r="T1594" s="13">
        <v>63.84</v>
      </c>
      <c r="U1594" s="13">
        <v>16.598400000000002</v>
      </c>
      <c r="V1594" s="55">
        <f>Table3[[#This Row],[Profit]]/Table3[[#This Row],[Sales]]</f>
        <v>0.26</v>
      </c>
    </row>
    <row r="1595" spans="1:22" x14ac:dyDescent="0.2">
      <c r="A1595">
        <v>1594</v>
      </c>
      <c r="B1595" t="s">
        <v>4002</v>
      </c>
      <c r="C1595" s="1">
        <v>42974</v>
      </c>
      <c r="D1595" s="22">
        <f>MONTH(Table3[[#This Row],[Order Date]])</f>
        <v>8</v>
      </c>
      <c r="E1595" t="s">
        <v>4003</v>
      </c>
      <c r="F1595" t="s">
        <v>4004</v>
      </c>
      <c r="G1595" s="23" t="s">
        <v>64</v>
      </c>
      <c r="H1595" s="23" t="s">
        <v>65</v>
      </c>
      <c r="I1595" t="s">
        <v>2045</v>
      </c>
      <c r="J1595" t="s">
        <v>92</v>
      </c>
      <c r="K1595" s="22">
        <v>3</v>
      </c>
      <c r="L1595" s="1">
        <v>42977</v>
      </c>
      <c r="M1595" s="22">
        <f>Table3[[#This Row],[Ship Date]]-Table3[[#This Row],[Order Date]]</f>
        <v>3</v>
      </c>
      <c r="N1595" s="23" t="s">
        <v>169</v>
      </c>
      <c r="O1595" s="23" t="s">
        <v>23</v>
      </c>
      <c r="P1595" s="23" t="s">
        <v>238</v>
      </c>
      <c r="Q1595" s="23" t="s">
        <v>133</v>
      </c>
      <c r="R1595" s="23" t="s">
        <v>237</v>
      </c>
      <c r="S1595" s="33">
        <v>0</v>
      </c>
      <c r="T1595" s="13">
        <v>347.97</v>
      </c>
      <c r="U1595" s="13">
        <v>100.9113</v>
      </c>
      <c r="V1595" s="55">
        <f>Table3[[#This Row],[Profit]]/Table3[[#This Row],[Sales]]</f>
        <v>0.28999999999999998</v>
      </c>
    </row>
    <row r="1596" spans="1:22" x14ac:dyDescent="0.2">
      <c r="A1596">
        <v>1595</v>
      </c>
      <c r="B1596" t="s">
        <v>4002</v>
      </c>
      <c r="C1596" s="1">
        <v>42974</v>
      </c>
      <c r="D1596" s="22">
        <f>MONTH(Table3[[#This Row],[Order Date]])</f>
        <v>8</v>
      </c>
      <c r="E1596" t="s">
        <v>67</v>
      </c>
      <c r="F1596" t="s">
        <v>69</v>
      </c>
      <c r="G1596" s="23" t="s">
        <v>41</v>
      </c>
      <c r="H1596" s="23" t="s">
        <v>68</v>
      </c>
      <c r="I1596" t="s">
        <v>2045</v>
      </c>
      <c r="J1596" t="s">
        <v>92</v>
      </c>
      <c r="K1596" s="22">
        <v>6</v>
      </c>
      <c r="L1596" s="1">
        <v>42977</v>
      </c>
      <c r="M1596" s="22">
        <f>Table3[[#This Row],[Ship Date]]-Table3[[#This Row],[Order Date]]</f>
        <v>3</v>
      </c>
      <c r="N1596" s="23" t="s">
        <v>169</v>
      </c>
      <c r="O1596" s="23" t="s">
        <v>23</v>
      </c>
      <c r="P1596" s="23" t="s">
        <v>238</v>
      </c>
      <c r="Q1596" s="23" t="s">
        <v>133</v>
      </c>
      <c r="R1596" s="23" t="s">
        <v>237</v>
      </c>
      <c r="S1596" s="33">
        <v>0.2</v>
      </c>
      <c r="T1596" s="13">
        <v>37.008000000000003</v>
      </c>
      <c r="U1596" s="13">
        <v>11.565</v>
      </c>
      <c r="V1596" s="55">
        <f>Table3[[#This Row],[Profit]]/Table3[[#This Row],[Sales]]</f>
        <v>0.31249999999999994</v>
      </c>
    </row>
    <row r="1597" spans="1:22" x14ac:dyDescent="0.2">
      <c r="A1597">
        <v>1596</v>
      </c>
      <c r="B1597" t="s">
        <v>5444</v>
      </c>
      <c r="C1597" s="1">
        <v>42974</v>
      </c>
      <c r="D1597" s="22">
        <f>MONTH(Table3[[#This Row],[Order Date]])</f>
        <v>8</v>
      </c>
      <c r="E1597" t="s">
        <v>5445</v>
      </c>
      <c r="F1597" t="s">
        <v>5446</v>
      </c>
      <c r="G1597" s="23" t="s">
        <v>41</v>
      </c>
      <c r="H1597" s="23" t="s">
        <v>61</v>
      </c>
      <c r="I1597" t="s">
        <v>2478</v>
      </c>
      <c r="J1597" t="s">
        <v>22</v>
      </c>
      <c r="K1597" s="22">
        <v>1</v>
      </c>
      <c r="L1597" s="1">
        <v>42977</v>
      </c>
      <c r="M1597" s="22">
        <f>Table3[[#This Row],[Ship Date]]-Table3[[#This Row],[Order Date]]</f>
        <v>3</v>
      </c>
      <c r="N1597" s="23" t="s">
        <v>169</v>
      </c>
      <c r="O1597" s="23" t="s">
        <v>23</v>
      </c>
      <c r="P1597" s="23" t="s">
        <v>94</v>
      </c>
      <c r="Q1597" s="23" t="s">
        <v>95</v>
      </c>
      <c r="R1597" s="23" t="s">
        <v>718</v>
      </c>
      <c r="S1597" s="33">
        <v>0.2</v>
      </c>
      <c r="T1597" s="13">
        <v>5.952</v>
      </c>
      <c r="U1597" s="13">
        <v>0.372</v>
      </c>
      <c r="V1597" s="55">
        <f>Table3[[#This Row],[Profit]]/Table3[[#This Row],[Sales]]</f>
        <v>6.25E-2</v>
      </c>
    </row>
    <row r="1598" spans="1:22" x14ac:dyDescent="0.2">
      <c r="A1598">
        <v>1597</v>
      </c>
      <c r="B1598" t="s">
        <v>5894</v>
      </c>
      <c r="C1598" s="1">
        <v>42974</v>
      </c>
      <c r="D1598" s="22">
        <f>MONTH(Table3[[#This Row],[Order Date]])</f>
        <v>8</v>
      </c>
      <c r="E1598" t="s">
        <v>521</v>
      </c>
      <c r="F1598" t="s">
        <v>522</v>
      </c>
      <c r="G1598" s="23" t="s">
        <v>41</v>
      </c>
      <c r="H1598" s="23" t="s">
        <v>155</v>
      </c>
      <c r="I1598" t="s">
        <v>3026</v>
      </c>
      <c r="J1598" t="s">
        <v>36</v>
      </c>
      <c r="K1598" s="22">
        <v>1</v>
      </c>
      <c r="L1598" s="1">
        <v>42977</v>
      </c>
      <c r="M1598" s="22">
        <f>Table3[[#This Row],[Ship Date]]-Table3[[#This Row],[Order Date]]</f>
        <v>3</v>
      </c>
      <c r="N1598" s="23" t="s">
        <v>169</v>
      </c>
      <c r="O1598" s="23" t="s">
        <v>23</v>
      </c>
      <c r="P1598" s="23" t="s">
        <v>48</v>
      </c>
      <c r="Q1598" s="23" t="s">
        <v>26</v>
      </c>
      <c r="R1598" s="23" t="s">
        <v>793</v>
      </c>
      <c r="S1598" s="33">
        <v>0.2</v>
      </c>
      <c r="T1598" s="13">
        <v>2.8959999999999999</v>
      </c>
      <c r="U1598" s="13">
        <v>0.97740000000000005</v>
      </c>
      <c r="V1598" s="55">
        <f>Table3[[#This Row],[Profit]]/Table3[[#This Row],[Sales]]</f>
        <v>0.33750000000000002</v>
      </c>
    </row>
    <row r="1599" spans="1:22" x14ac:dyDescent="0.2">
      <c r="A1599">
        <v>1598</v>
      </c>
      <c r="B1599" t="s">
        <v>6186</v>
      </c>
      <c r="C1599" s="1">
        <v>42974</v>
      </c>
      <c r="D1599" s="22">
        <f>MONTH(Table3[[#This Row],[Order Date]])</f>
        <v>8</v>
      </c>
      <c r="E1599" t="s">
        <v>3756</v>
      </c>
      <c r="F1599" t="s">
        <v>3757</v>
      </c>
      <c r="G1599" s="23" t="s">
        <v>28</v>
      </c>
      <c r="H1599" s="23" t="s">
        <v>58</v>
      </c>
      <c r="I1599" t="s">
        <v>846</v>
      </c>
      <c r="J1599" t="s">
        <v>36</v>
      </c>
      <c r="K1599" s="22">
        <v>2</v>
      </c>
      <c r="L1599" s="1">
        <v>42976</v>
      </c>
      <c r="M1599" s="22">
        <f>Table3[[#This Row],[Ship Date]]-Table3[[#This Row],[Order Date]]</f>
        <v>2</v>
      </c>
      <c r="N1599" s="23" t="s">
        <v>20</v>
      </c>
      <c r="O1599" s="23" t="s">
        <v>23</v>
      </c>
      <c r="P1599" s="23" t="s">
        <v>38</v>
      </c>
      <c r="Q1599" s="23" t="s">
        <v>39</v>
      </c>
      <c r="R1599" s="23" t="s">
        <v>905</v>
      </c>
      <c r="S1599" s="33">
        <v>0</v>
      </c>
      <c r="T1599" s="13">
        <v>198.46</v>
      </c>
      <c r="U1599" s="13">
        <v>99.23</v>
      </c>
      <c r="V1599" s="55">
        <f>Table3[[#This Row],[Profit]]/Table3[[#This Row],[Sales]]</f>
        <v>0.5</v>
      </c>
    </row>
    <row r="1600" spans="1:22" x14ac:dyDescent="0.2">
      <c r="A1600">
        <v>1599</v>
      </c>
      <c r="B1600" t="s">
        <v>6186</v>
      </c>
      <c r="C1600" s="1">
        <v>42974</v>
      </c>
      <c r="D1600" s="22">
        <f>MONTH(Table3[[#This Row],[Order Date]])</f>
        <v>8</v>
      </c>
      <c r="E1600" t="s">
        <v>5291</v>
      </c>
      <c r="F1600" t="s">
        <v>5292</v>
      </c>
      <c r="G1600" s="23" t="s">
        <v>41</v>
      </c>
      <c r="H1600" s="23" t="s">
        <v>71</v>
      </c>
      <c r="I1600" t="s">
        <v>846</v>
      </c>
      <c r="J1600" t="s">
        <v>36</v>
      </c>
      <c r="K1600" s="22">
        <v>4</v>
      </c>
      <c r="L1600" s="1">
        <v>42976</v>
      </c>
      <c r="M1600" s="22">
        <f>Table3[[#This Row],[Ship Date]]-Table3[[#This Row],[Order Date]]</f>
        <v>2</v>
      </c>
      <c r="N1600" s="23" t="s">
        <v>20</v>
      </c>
      <c r="O1600" s="23" t="s">
        <v>23</v>
      </c>
      <c r="P1600" s="23" t="s">
        <v>38</v>
      </c>
      <c r="Q1600" s="23" t="s">
        <v>39</v>
      </c>
      <c r="R1600" s="23" t="s">
        <v>905</v>
      </c>
      <c r="S1600" s="33">
        <v>0</v>
      </c>
      <c r="T1600" s="13">
        <v>321.92</v>
      </c>
      <c r="U1600" s="13">
        <v>96.575999999999993</v>
      </c>
      <c r="V1600" s="55">
        <f>Table3[[#This Row],[Profit]]/Table3[[#This Row],[Sales]]</f>
        <v>0.3</v>
      </c>
    </row>
    <row r="1601" spans="1:22" x14ac:dyDescent="0.2">
      <c r="A1601">
        <v>1600</v>
      </c>
      <c r="B1601" t="s">
        <v>6186</v>
      </c>
      <c r="C1601" s="1">
        <v>42974</v>
      </c>
      <c r="D1601" s="22">
        <f>MONTH(Table3[[#This Row],[Order Date]])</f>
        <v>8</v>
      </c>
      <c r="E1601" t="s">
        <v>6142</v>
      </c>
      <c r="F1601" t="s">
        <v>6143</v>
      </c>
      <c r="G1601" s="23" t="s">
        <v>64</v>
      </c>
      <c r="H1601" s="23" t="s">
        <v>1075</v>
      </c>
      <c r="I1601" t="s">
        <v>846</v>
      </c>
      <c r="J1601" t="s">
        <v>36</v>
      </c>
      <c r="K1601" s="22">
        <v>2</v>
      </c>
      <c r="L1601" s="1">
        <v>42976</v>
      </c>
      <c r="M1601" s="22">
        <f>Table3[[#This Row],[Ship Date]]-Table3[[#This Row],[Order Date]]</f>
        <v>2</v>
      </c>
      <c r="N1601" s="23" t="s">
        <v>20</v>
      </c>
      <c r="O1601" s="23" t="s">
        <v>23</v>
      </c>
      <c r="P1601" s="23" t="s">
        <v>38</v>
      </c>
      <c r="Q1601" s="23" t="s">
        <v>39</v>
      </c>
      <c r="R1601" s="23" t="s">
        <v>905</v>
      </c>
      <c r="S1601" s="33">
        <v>0.2</v>
      </c>
      <c r="T1601" s="13">
        <v>879.98400000000004</v>
      </c>
      <c r="U1601" s="13">
        <v>329.99400000000003</v>
      </c>
      <c r="V1601" s="55">
        <f>Table3[[#This Row],[Profit]]/Table3[[#This Row],[Sales]]</f>
        <v>0.375</v>
      </c>
    </row>
    <row r="1602" spans="1:22" x14ac:dyDescent="0.2">
      <c r="A1602">
        <v>1601</v>
      </c>
      <c r="B1602" t="s">
        <v>6186</v>
      </c>
      <c r="C1602" s="1">
        <v>42974</v>
      </c>
      <c r="D1602" s="22">
        <f>MONTH(Table3[[#This Row],[Order Date]])</f>
        <v>8</v>
      </c>
      <c r="E1602" t="s">
        <v>2307</v>
      </c>
      <c r="F1602" t="s">
        <v>2308</v>
      </c>
      <c r="G1602" s="23" t="s">
        <v>41</v>
      </c>
      <c r="H1602" s="23" t="s">
        <v>513</v>
      </c>
      <c r="I1602" t="s">
        <v>846</v>
      </c>
      <c r="J1602" t="s">
        <v>36</v>
      </c>
      <c r="K1602" s="22">
        <v>5</v>
      </c>
      <c r="L1602" s="1">
        <v>42976</v>
      </c>
      <c r="M1602" s="22">
        <f>Table3[[#This Row],[Ship Date]]-Table3[[#This Row],[Order Date]]</f>
        <v>2</v>
      </c>
      <c r="N1602" s="23" t="s">
        <v>20</v>
      </c>
      <c r="O1602" s="23" t="s">
        <v>23</v>
      </c>
      <c r="P1602" s="23" t="s">
        <v>38</v>
      </c>
      <c r="Q1602" s="23" t="s">
        <v>39</v>
      </c>
      <c r="R1602" s="23" t="s">
        <v>905</v>
      </c>
      <c r="S1602" s="33">
        <v>0</v>
      </c>
      <c r="T1602" s="13">
        <v>28.4</v>
      </c>
      <c r="U1602" s="13">
        <v>8.2360000000000007</v>
      </c>
      <c r="V1602" s="55">
        <f>Table3[[#This Row],[Profit]]/Table3[[#This Row],[Sales]]</f>
        <v>0.29000000000000004</v>
      </c>
    </row>
    <row r="1603" spans="1:22" x14ac:dyDescent="0.2">
      <c r="A1603">
        <v>1602</v>
      </c>
      <c r="B1603" t="s">
        <v>6186</v>
      </c>
      <c r="C1603" s="1">
        <v>42974</v>
      </c>
      <c r="D1603" s="22">
        <f>MONTH(Table3[[#This Row],[Order Date]])</f>
        <v>8</v>
      </c>
      <c r="E1603" t="s">
        <v>1291</v>
      </c>
      <c r="F1603" t="s">
        <v>1292</v>
      </c>
      <c r="G1603" s="23" t="s">
        <v>28</v>
      </c>
      <c r="H1603" s="23" t="s">
        <v>32</v>
      </c>
      <c r="I1603" t="s">
        <v>846</v>
      </c>
      <c r="J1603" t="s">
        <v>36</v>
      </c>
      <c r="K1603" s="22">
        <v>3</v>
      </c>
      <c r="L1603" s="1">
        <v>42976</v>
      </c>
      <c r="M1603" s="22">
        <f>Table3[[#This Row],[Ship Date]]-Table3[[#This Row],[Order Date]]</f>
        <v>2</v>
      </c>
      <c r="N1603" s="23" t="s">
        <v>20</v>
      </c>
      <c r="O1603" s="23" t="s">
        <v>23</v>
      </c>
      <c r="P1603" s="23" t="s">
        <v>38</v>
      </c>
      <c r="Q1603" s="23" t="s">
        <v>39</v>
      </c>
      <c r="R1603" s="23" t="s">
        <v>905</v>
      </c>
      <c r="S1603" s="33">
        <v>0.2</v>
      </c>
      <c r="T1603" s="13">
        <v>230.28</v>
      </c>
      <c r="U1603" s="13">
        <v>23.027999999999999</v>
      </c>
      <c r="V1603" s="55">
        <f>Table3[[#This Row],[Profit]]/Table3[[#This Row],[Sales]]</f>
        <v>9.9999999999999992E-2</v>
      </c>
    </row>
    <row r="1604" spans="1:22" x14ac:dyDescent="0.2">
      <c r="A1604">
        <v>1603</v>
      </c>
      <c r="B1604" t="s">
        <v>6186</v>
      </c>
      <c r="C1604" s="1">
        <v>42974</v>
      </c>
      <c r="D1604" s="22">
        <f>MONTH(Table3[[#This Row],[Order Date]])</f>
        <v>8</v>
      </c>
      <c r="E1604" t="s">
        <v>3346</v>
      </c>
      <c r="F1604" t="s">
        <v>3347</v>
      </c>
      <c r="G1604" s="23" t="s">
        <v>41</v>
      </c>
      <c r="H1604" s="23" t="s">
        <v>82</v>
      </c>
      <c r="I1604" t="s">
        <v>846</v>
      </c>
      <c r="J1604" t="s">
        <v>36</v>
      </c>
      <c r="K1604" s="22">
        <v>3</v>
      </c>
      <c r="L1604" s="1">
        <v>42976</v>
      </c>
      <c r="M1604" s="22">
        <f>Table3[[#This Row],[Ship Date]]-Table3[[#This Row],[Order Date]]</f>
        <v>2</v>
      </c>
      <c r="N1604" s="23" t="s">
        <v>20</v>
      </c>
      <c r="O1604" s="23" t="s">
        <v>23</v>
      </c>
      <c r="P1604" s="23" t="s">
        <v>38</v>
      </c>
      <c r="Q1604" s="23" t="s">
        <v>39</v>
      </c>
      <c r="R1604" s="23" t="s">
        <v>905</v>
      </c>
      <c r="S1604" s="33">
        <v>0</v>
      </c>
      <c r="T1604" s="13">
        <v>116.28</v>
      </c>
      <c r="U1604" s="13">
        <v>56.977200000000003</v>
      </c>
      <c r="V1604" s="55">
        <f>Table3[[#This Row],[Profit]]/Table3[[#This Row],[Sales]]</f>
        <v>0.49000000000000005</v>
      </c>
    </row>
    <row r="1605" spans="1:22" x14ac:dyDescent="0.2">
      <c r="A1605">
        <v>1604</v>
      </c>
      <c r="B1605" t="s">
        <v>6186</v>
      </c>
      <c r="C1605" s="1">
        <v>42974</v>
      </c>
      <c r="D1605" s="22">
        <f>MONTH(Table3[[#This Row],[Order Date]])</f>
        <v>8</v>
      </c>
      <c r="E1605" t="s">
        <v>457</v>
      </c>
      <c r="F1605" t="s">
        <v>458</v>
      </c>
      <c r="G1605" s="23" t="s">
        <v>41</v>
      </c>
      <c r="H1605" s="23" t="s">
        <v>68</v>
      </c>
      <c r="I1605" t="s">
        <v>846</v>
      </c>
      <c r="J1605" t="s">
        <v>36</v>
      </c>
      <c r="K1605" s="22">
        <v>2</v>
      </c>
      <c r="L1605" s="1">
        <v>42976</v>
      </c>
      <c r="M1605" s="22">
        <f>Table3[[#This Row],[Ship Date]]-Table3[[#This Row],[Order Date]]</f>
        <v>2</v>
      </c>
      <c r="N1605" s="23" t="s">
        <v>20</v>
      </c>
      <c r="O1605" s="23" t="s">
        <v>23</v>
      </c>
      <c r="P1605" s="23" t="s">
        <v>38</v>
      </c>
      <c r="Q1605" s="23" t="s">
        <v>39</v>
      </c>
      <c r="R1605" s="23" t="s">
        <v>905</v>
      </c>
      <c r="S1605" s="33">
        <v>0.2</v>
      </c>
      <c r="T1605" s="13">
        <v>841.56799999999998</v>
      </c>
      <c r="U1605" s="13">
        <v>294.54880000000003</v>
      </c>
      <c r="V1605" s="55">
        <f>Table3[[#This Row],[Profit]]/Table3[[#This Row],[Sales]]</f>
        <v>0.35000000000000003</v>
      </c>
    </row>
    <row r="1606" spans="1:22" x14ac:dyDescent="0.2">
      <c r="A1606">
        <v>1605</v>
      </c>
      <c r="B1606" t="s">
        <v>6186</v>
      </c>
      <c r="C1606" s="1">
        <v>42974</v>
      </c>
      <c r="D1606" s="22">
        <f>MONTH(Table3[[#This Row],[Order Date]])</f>
        <v>8</v>
      </c>
      <c r="E1606" t="s">
        <v>3658</v>
      </c>
      <c r="F1606" t="s">
        <v>3659</v>
      </c>
      <c r="G1606" s="23" t="s">
        <v>41</v>
      </c>
      <c r="H1606" s="23" t="s">
        <v>53</v>
      </c>
      <c r="I1606" t="s">
        <v>846</v>
      </c>
      <c r="J1606" t="s">
        <v>36</v>
      </c>
      <c r="K1606" s="22">
        <v>5</v>
      </c>
      <c r="L1606" s="1">
        <v>42976</v>
      </c>
      <c r="M1606" s="22">
        <f>Table3[[#This Row],[Ship Date]]-Table3[[#This Row],[Order Date]]</f>
        <v>2</v>
      </c>
      <c r="N1606" s="23" t="s">
        <v>20</v>
      </c>
      <c r="O1606" s="23" t="s">
        <v>23</v>
      </c>
      <c r="P1606" s="23" t="s">
        <v>38</v>
      </c>
      <c r="Q1606" s="23" t="s">
        <v>39</v>
      </c>
      <c r="R1606" s="23" t="s">
        <v>905</v>
      </c>
      <c r="S1606" s="33">
        <v>0</v>
      </c>
      <c r="T1606" s="13">
        <v>354.9</v>
      </c>
      <c r="U1606" s="13">
        <v>17.745000000000001</v>
      </c>
      <c r="V1606" s="55">
        <f>Table3[[#This Row],[Profit]]/Table3[[#This Row],[Sales]]</f>
        <v>0.05</v>
      </c>
    </row>
    <row r="1607" spans="1:22" x14ac:dyDescent="0.2">
      <c r="A1607">
        <v>1606</v>
      </c>
      <c r="B1607" t="s">
        <v>6690</v>
      </c>
      <c r="C1607" s="1">
        <v>42974</v>
      </c>
      <c r="D1607" s="22">
        <f>MONTH(Table3[[#This Row],[Order Date]])</f>
        <v>8</v>
      </c>
      <c r="E1607" t="s">
        <v>3363</v>
      </c>
      <c r="F1607" t="s">
        <v>3364</v>
      </c>
      <c r="G1607" s="23" t="s">
        <v>41</v>
      </c>
      <c r="H1607" s="23" t="s">
        <v>82</v>
      </c>
      <c r="I1607" t="s">
        <v>6407</v>
      </c>
      <c r="J1607" t="s">
        <v>22</v>
      </c>
      <c r="K1607" s="22">
        <v>1</v>
      </c>
      <c r="L1607" s="1">
        <v>42979</v>
      </c>
      <c r="M1607" s="22">
        <f>Table3[[#This Row],[Ship Date]]-Table3[[#This Row],[Order Date]]</f>
        <v>5</v>
      </c>
      <c r="N1607" s="23" t="s">
        <v>45</v>
      </c>
      <c r="O1607" s="23" t="s">
        <v>23</v>
      </c>
      <c r="P1607" s="23" t="s">
        <v>299</v>
      </c>
      <c r="Q1607" s="23" t="s">
        <v>26</v>
      </c>
      <c r="R1607" s="23" t="s">
        <v>541</v>
      </c>
      <c r="S1607" s="33">
        <v>0.2</v>
      </c>
      <c r="T1607" s="13">
        <v>5.1840000000000002</v>
      </c>
      <c r="U1607" s="13">
        <v>1.8144</v>
      </c>
      <c r="V1607" s="55">
        <f>Table3[[#This Row],[Profit]]/Table3[[#This Row],[Sales]]</f>
        <v>0.35</v>
      </c>
    </row>
    <row r="1608" spans="1:22" x14ac:dyDescent="0.2">
      <c r="A1608">
        <v>1607</v>
      </c>
      <c r="B1608" t="s">
        <v>9333</v>
      </c>
      <c r="C1608" s="1">
        <v>42974</v>
      </c>
      <c r="D1608" s="22">
        <f>MONTH(Table3[[#This Row],[Order Date]])</f>
        <v>8</v>
      </c>
      <c r="E1608" t="s">
        <v>1941</v>
      </c>
      <c r="F1608" t="s">
        <v>1942</v>
      </c>
      <c r="G1608" s="23" t="s">
        <v>41</v>
      </c>
      <c r="H1608" s="23" t="s">
        <v>71</v>
      </c>
      <c r="I1608" t="s">
        <v>3413</v>
      </c>
      <c r="J1608" t="s">
        <v>22</v>
      </c>
      <c r="K1608" s="22">
        <v>4</v>
      </c>
      <c r="L1608" s="1">
        <v>42977</v>
      </c>
      <c r="M1608" s="22">
        <f>Table3[[#This Row],[Ship Date]]-Table3[[#This Row],[Order Date]]</f>
        <v>3</v>
      </c>
      <c r="N1608" s="23" t="s">
        <v>20</v>
      </c>
      <c r="O1608" s="23" t="s">
        <v>23</v>
      </c>
      <c r="P1608" s="23" t="s">
        <v>48</v>
      </c>
      <c r="Q1608" s="23" t="s">
        <v>26</v>
      </c>
      <c r="R1608" s="23" t="s">
        <v>6139</v>
      </c>
      <c r="S1608" s="33">
        <v>0.2</v>
      </c>
      <c r="T1608" s="13">
        <v>14.336</v>
      </c>
      <c r="U1608" s="13">
        <v>0.89600000000000002</v>
      </c>
      <c r="V1608" s="55">
        <f>Table3[[#This Row],[Profit]]/Table3[[#This Row],[Sales]]</f>
        <v>6.25E-2</v>
      </c>
    </row>
    <row r="1609" spans="1:22" x14ac:dyDescent="0.2">
      <c r="A1609">
        <v>1608</v>
      </c>
      <c r="B1609" t="s">
        <v>9540</v>
      </c>
      <c r="C1609" s="1">
        <v>42974</v>
      </c>
      <c r="D1609" s="22">
        <f>MONTH(Table3[[#This Row],[Order Date]])</f>
        <v>8</v>
      </c>
      <c r="E1609" t="s">
        <v>4097</v>
      </c>
      <c r="F1609" t="s">
        <v>4098</v>
      </c>
      <c r="G1609" s="23" t="s">
        <v>41</v>
      </c>
      <c r="H1609" s="23" t="s">
        <v>82</v>
      </c>
      <c r="I1609" t="s">
        <v>1001</v>
      </c>
      <c r="J1609" t="s">
        <v>36</v>
      </c>
      <c r="K1609" s="22">
        <v>3</v>
      </c>
      <c r="L1609" s="1">
        <v>42974</v>
      </c>
      <c r="M1609" s="22">
        <f>Table3[[#This Row],[Ship Date]]-Table3[[#This Row],[Order Date]]</f>
        <v>0</v>
      </c>
      <c r="N1609" s="23" t="s">
        <v>1141</v>
      </c>
      <c r="O1609" s="23" t="s">
        <v>23</v>
      </c>
      <c r="P1609" s="23" t="s">
        <v>132</v>
      </c>
      <c r="Q1609" s="23" t="s">
        <v>133</v>
      </c>
      <c r="R1609" s="23" t="s">
        <v>131</v>
      </c>
      <c r="S1609" s="33">
        <v>0.2</v>
      </c>
      <c r="T1609" s="13">
        <v>12.672000000000001</v>
      </c>
      <c r="U1609" s="13">
        <v>3.96</v>
      </c>
      <c r="V1609" s="55">
        <f>Table3[[#This Row],[Profit]]/Table3[[#This Row],[Sales]]</f>
        <v>0.3125</v>
      </c>
    </row>
    <row r="1610" spans="1:22" x14ac:dyDescent="0.2">
      <c r="A1610">
        <v>1609</v>
      </c>
      <c r="B1610" t="s">
        <v>9540</v>
      </c>
      <c r="C1610" s="1">
        <v>42974</v>
      </c>
      <c r="D1610" s="22">
        <f>MONTH(Table3[[#This Row],[Order Date]])</f>
        <v>8</v>
      </c>
      <c r="E1610" t="s">
        <v>1043</v>
      </c>
      <c r="F1610" t="s">
        <v>1044</v>
      </c>
      <c r="G1610" s="23" t="s">
        <v>64</v>
      </c>
      <c r="H1610" s="23" t="s">
        <v>144</v>
      </c>
      <c r="I1610" t="s">
        <v>1001</v>
      </c>
      <c r="J1610" t="s">
        <v>36</v>
      </c>
      <c r="K1610" s="22">
        <v>14</v>
      </c>
      <c r="L1610" s="1">
        <v>42974</v>
      </c>
      <c r="M1610" s="22">
        <f>Table3[[#This Row],[Ship Date]]-Table3[[#This Row],[Order Date]]</f>
        <v>0</v>
      </c>
      <c r="N1610" s="23" t="s">
        <v>1141</v>
      </c>
      <c r="O1610" s="23" t="s">
        <v>23</v>
      </c>
      <c r="P1610" s="23" t="s">
        <v>132</v>
      </c>
      <c r="Q1610" s="23" t="s">
        <v>133</v>
      </c>
      <c r="R1610" s="23" t="s">
        <v>131</v>
      </c>
      <c r="S1610" s="33">
        <v>0.2</v>
      </c>
      <c r="T1610" s="13">
        <v>1119.8879999999999</v>
      </c>
      <c r="U1610" s="13">
        <v>209.97900000000001</v>
      </c>
      <c r="V1610" s="55">
        <f>Table3[[#This Row],[Profit]]/Table3[[#This Row],[Sales]]</f>
        <v>0.18750000000000003</v>
      </c>
    </row>
    <row r="1611" spans="1:22" x14ac:dyDescent="0.2">
      <c r="A1611">
        <v>1610</v>
      </c>
      <c r="B1611" t="s">
        <v>9801</v>
      </c>
      <c r="C1611" s="1">
        <v>42974</v>
      </c>
      <c r="D1611" s="22">
        <f>MONTH(Table3[[#This Row],[Order Date]])</f>
        <v>8</v>
      </c>
      <c r="E1611" t="s">
        <v>4090</v>
      </c>
      <c r="F1611" t="s">
        <v>4091</v>
      </c>
      <c r="G1611" s="23" t="s">
        <v>28</v>
      </c>
      <c r="H1611" s="23" t="s">
        <v>58</v>
      </c>
      <c r="I1611" t="s">
        <v>1714</v>
      </c>
      <c r="J1611" t="s">
        <v>22</v>
      </c>
      <c r="K1611" s="22">
        <v>8</v>
      </c>
      <c r="L1611" s="1">
        <v>42978</v>
      </c>
      <c r="M1611" s="22">
        <f>Table3[[#This Row],[Ship Date]]-Table3[[#This Row],[Order Date]]</f>
        <v>4</v>
      </c>
      <c r="N1611" s="23" t="s">
        <v>45</v>
      </c>
      <c r="O1611" s="23" t="s">
        <v>23</v>
      </c>
      <c r="P1611" s="23" t="s">
        <v>277</v>
      </c>
      <c r="Q1611" s="23" t="s">
        <v>39</v>
      </c>
      <c r="R1611" s="23" t="s">
        <v>1613</v>
      </c>
      <c r="S1611" s="33">
        <v>0.2</v>
      </c>
      <c r="T1611" s="13">
        <v>120.57599999999999</v>
      </c>
      <c r="U1611" s="13">
        <v>33.1584</v>
      </c>
      <c r="V1611" s="55">
        <f>Table3[[#This Row],[Profit]]/Table3[[#This Row],[Sales]]</f>
        <v>0.27500000000000002</v>
      </c>
    </row>
    <row r="1612" spans="1:22" x14ac:dyDescent="0.2">
      <c r="A1612">
        <v>1611</v>
      </c>
      <c r="B1612" t="s">
        <v>4937</v>
      </c>
      <c r="C1612" s="1">
        <v>42975</v>
      </c>
      <c r="D1612" s="22">
        <f>MONTH(Table3[[#This Row],[Order Date]])</f>
        <v>8</v>
      </c>
      <c r="E1612" t="s">
        <v>4938</v>
      </c>
      <c r="F1612" t="s">
        <v>4939</v>
      </c>
      <c r="G1612" s="23" t="s">
        <v>64</v>
      </c>
      <c r="H1612" s="23" t="s">
        <v>65</v>
      </c>
      <c r="I1612" t="s">
        <v>4736</v>
      </c>
      <c r="J1612" t="s">
        <v>92</v>
      </c>
      <c r="K1612" s="22">
        <v>4</v>
      </c>
      <c r="L1612" s="1">
        <v>42981</v>
      </c>
      <c r="M1612" s="22">
        <f>Table3[[#This Row],[Ship Date]]-Table3[[#This Row],[Order Date]]</f>
        <v>6</v>
      </c>
      <c r="N1612" s="23" t="s">
        <v>45</v>
      </c>
      <c r="O1612" s="23" t="s">
        <v>23</v>
      </c>
      <c r="P1612" s="23" t="s">
        <v>87</v>
      </c>
      <c r="Q1612" s="23" t="s">
        <v>39</v>
      </c>
      <c r="R1612" s="23" t="s">
        <v>86</v>
      </c>
      <c r="S1612" s="33">
        <v>0.2</v>
      </c>
      <c r="T1612" s="13">
        <v>35.167999999999999</v>
      </c>
      <c r="U1612" s="13">
        <v>11.429600000000001</v>
      </c>
      <c r="V1612" s="55">
        <f>Table3[[#This Row],[Profit]]/Table3[[#This Row],[Sales]]</f>
        <v>0.32500000000000001</v>
      </c>
    </row>
    <row r="1613" spans="1:22" x14ac:dyDescent="0.2">
      <c r="A1613">
        <v>1612</v>
      </c>
      <c r="B1613" t="s">
        <v>4937</v>
      </c>
      <c r="C1613" s="1">
        <v>42975</v>
      </c>
      <c r="D1613" s="22">
        <f>MONTH(Table3[[#This Row],[Order Date]])</f>
        <v>8</v>
      </c>
      <c r="E1613" t="s">
        <v>1196</v>
      </c>
      <c r="F1613" t="s">
        <v>1197</v>
      </c>
      <c r="G1613" s="23" t="s">
        <v>28</v>
      </c>
      <c r="H1613" s="23" t="s">
        <v>50</v>
      </c>
      <c r="I1613" t="s">
        <v>4736</v>
      </c>
      <c r="J1613" t="s">
        <v>92</v>
      </c>
      <c r="K1613" s="22">
        <v>5</v>
      </c>
      <c r="L1613" s="1">
        <v>42981</v>
      </c>
      <c r="M1613" s="22">
        <f>Table3[[#This Row],[Ship Date]]-Table3[[#This Row],[Order Date]]</f>
        <v>6</v>
      </c>
      <c r="N1613" s="23" t="s">
        <v>45</v>
      </c>
      <c r="O1613" s="23" t="s">
        <v>23</v>
      </c>
      <c r="P1613" s="23" t="s">
        <v>87</v>
      </c>
      <c r="Q1613" s="23" t="s">
        <v>39</v>
      </c>
      <c r="R1613" s="23" t="s">
        <v>86</v>
      </c>
      <c r="S1613" s="33">
        <v>0</v>
      </c>
      <c r="T1613" s="13">
        <v>1137.75</v>
      </c>
      <c r="U1613" s="13">
        <v>250.30500000000001</v>
      </c>
      <c r="V1613" s="55">
        <f>Table3[[#This Row],[Profit]]/Table3[[#This Row],[Sales]]</f>
        <v>0.22</v>
      </c>
    </row>
    <row r="1614" spans="1:22" x14ac:dyDescent="0.2">
      <c r="A1614">
        <v>1613</v>
      </c>
      <c r="B1614" t="s">
        <v>4937</v>
      </c>
      <c r="C1614" s="1">
        <v>42975</v>
      </c>
      <c r="D1614" s="22">
        <f>MONTH(Table3[[#This Row],[Order Date]])</f>
        <v>8</v>
      </c>
      <c r="E1614" t="s">
        <v>1526</v>
      </c>
      <c r="F1614" t="s">
        <v>1527</v>
      </c>
      <c r="G1614" s="23" t="s">
        <v>41</v>
      </c>
      <c r="H1614" s="23" t="s">
        <v>68</v>
      </c>
      <c r="I1614" t="s">
        <v>4736</v>
      </c>
      <c r="J1614" t="s">
        <v>92</v>
      </c>
      <c r="K1614" s="22">
        <v>5</v>
      </c>
      <c r="L1614" s="1">
        <v>42981</v>
      </c>
      <c r="M1614" s="22">
        <f>Table3[[#This Row],[Ship Date]]-Table3[[#This Row],[Order Date]]</f>
        <v>6</v>
      </c>
      <c r="N1614" s="23" t="s">
        <v>45</v>
      </c>
      <c r="O1614" s="23" t="s">
        <v>23</v>
      </c>
      <c r="P1614" s="23" t="s">
        <v>87</v>
      </c>
      <c r="Q1614" s="23" t="s">
        <v>39</v>
      </c>
      <c r="R1614" s="23" t="s">
        <v>86</v>
      </c>
      <c r="S1614" s="33">
        <v>0.2</v>
      </c>
      <c r="T1614" s="13">
        <v>99.68</v>
      </c>
      <c r="U1614" s="13">
        <v>32.396000000000001</v>
      </c>
      <c r="V1614" s="55">
        <f>Table3[[#This Row],[Profit]]/Table3[[#This Row],[Sales]]</f>
        <v>0.32500000000000001</v>
      </c>
    </row>
    <row r="1615" spans="1:22" x14ac:dyDescent="0.2">
      <c r="A1615">
        <v>1614</v>
      </c>
      <c r="B1615" t="s">
        <v>4937</v>
      </c>
      <c r="C1615" s="1">
        <v>42975</v>
      </c>
      <c r="D1615" s="22">
        <f>MONTH(Table3[[#This Row],[Order Date]])</f>
        <v>8</v>
      </c>
      <c r="E1615" t="s">
        <v>1540</v>
      </c>
      <c r="F1615" t="s">
        <v>1541</v>
      </c>
      <c r="G1615" s="23" t="s">
        <v>41</v>
      </c>
      <c r="H1615" s="23" t="s">
        <v>61</v>
      </c>
      <c r="I1615" t="s">
        <v>4736</v>
      </c>
      <c r="J1615" t="s">
        <v>92</v>
      </c>
      <c r="K1615" s="22">
        <v>2</v>
      </c>
      <c r="L1615" s="1">
        <v>42981</v>
      </c>
      <c r="M1615" s="22">
        <f>Table3[[#This Row],[Ship Date]]-Table3[[#This Row],[Order Date]]</f>
        <v>6</v>
      </c>
      <c r="N1615" s="23" t="s">
        <v>45</v>
      </c>
      <c r="O1615" s="23" t="s">
        <v>23</v>
      </c>
      <c r="P1615" s="23" t="s">
        <v>87</v>
      </c>
      <c r="Q1615" s="23" t="s">
        <v>39</v>
      </c>
      <c r="R1615" s="23" t="s">
        <v>86</v>
      </c>
      <c r="S1615" s="33">
        <v>0</v>
      </c>
      <c r="T1615" s="13">
        <v>5.56</v>
      </c>
      <c r="U1615" s="13">
        <v>1.4456</v>
      </c>
      <c r="V1615" s="55">
        <f>Table3[[#This Row],[Profit]]/Table3[[#This Row],[Sales]]</f>
        <v>0.26</v>
      </c>
    </row>
    <row r="1616" spans="1:22" x14ac:dyDescent="0.2">
      <c r="A1616">
        <v>1615</v>
      </c>
      <c r="B1616" t="s">
        <v>6342</v>
      </c>
      <c r="C1616" s="1">
        <v>42975</v>
      </c>
      <c r="D1616" s="22">
        <f>MONTH(Table3[[#This Row],[Order Date]])</f>
        <v>8</v>
      </c>
      <c r="E1616" t="s">
        <v>805</v>
      </c>
      <c r="F1616" t="s">
        <v>806</v>
      </c>
      <c r="G1616" s="23" t="s">
        <v>41</v>
      </c>
      <c r="H1616" s="23" t="s">
        <v>82</v>
      </c>
      <c r="I1616" t="s">
        <v>1871</v>
      </c>
      <c r="J1616" t="s">
        <v>22</v>
      </c>
      <c r="K1616" s="22">
        <v>6</v>
      </c>
      <c r="L1616" s="1">
        <v>42979</v>
      </c>
      <c r="M1616" s="22">
        <f>Table3[[#This Row],[Ship Date]]-Table3[[#This Row],[Order Date]]</f>
        <v>4</v>
      </c>
      <c r="N1616" s="23" t="s">
        <v>45</v>
      </c>
      <c r="O1616" s="23" t="s">
        <v>23</v>
      </c>
      <c r="P1616" s="23" t="s">
        <v>189</v>
      </c>
      <c r="Q1616" s="23" t="s">
        <v>95</v>
      </c>
      <c r="R1616" s="23" t="s">
        <v>271</v>
      </c>
      <c r="S1616" s="33">
        <v>0.2</v>
      </c>
      <c r="T1616" s="13">
        <v>25.344000000000001</v>
      </c>
      <c r="U1616" s="13">
        <v>7.92</v>
      </c>
      <c r="V1616" s="55">
        <f>Table3[[#This Row],[Profit]]/Table3[[#This Row],[Sales]]</f>
        <v>0.3125</v>
      </c>
    </row>
    <row r="1617" spans="1:22" x14ac:dyDescent="0.2">
      <c r="A1617">
        <v>1616</v>
      </c>
      <c r="B1617" t="s">
        <v>6342</v>
      </c>
      <c r="C1617" s="1">
        <v>42975</v>
      </c>
      <c r="D1617" s="22">
        <f>MONTH(Table3[[#This Row],[Order Date]])</f>
        <v>8</v>
      </c>
      <c r="E1617" t="s">
        <v>6343</v>
      </c>
      <c r="F1617" t="s">
        <v>6344</v>
      </c>
      <c r="G1617" s="23" t="s">
        <v>41</v>
      </c>
      <c r="H1617" s="23" t="s">
        <v>82</v>
      </c>
      <c r="I1617" t="s">
        <v>1871</v>
      </c>
      <c r="J1617" t="s">
        <v>22</v>
      </c>
      <c r="K1617" s="22">
        <v>5</v>
      </c>
      <c r="L1617" s="1">
        <v>42979</v>
      </c>
      <c r="M1617" s="22">
        <f>Table3[[#This Row],[Ship Date]]-Table3[[#This Row],[Order Date]]</f>
        <v>4</v>
      </c>
      <c r="N1617" s="23" t="s">
        <v>45</v>
      </c>
      <c r="O1617" s="23" t="s">
        <v>23</v>
      </c>
      <c r="P1617" s="23" t="s">
        <v>189</v>
      </c>
      <c r="Q1617" s="23" t="s">
        <v>95</v>
      </c>
      <c r="R1617" s="23" t="s">
        <v>271</v>
      </c>
      <c r="S1617" s="33">
        <v>0.2</v>
      </c>
      <c r="T1617" s="13">
        <v>26.72</v>
      </c>
      <c r="U1617" s="13">
        <v>9.3520000000000003</v>
      </c>
      <c r="V1617" s="55">
        <f>Table3[[#This Row],[Profit]]/Table3[[#This Row],[Sales]]</f>
        <v>0.35000000000000003</v>
      </c>
    </row>
    <row r="1618" spans="1:22" x14ac:dyDescent="0.2">
      <c r="A1618">
        <v>1617</v>
      </c>
      <c r="B1618" t="s">
        <v>6894</v>
      </c>
      <c r="C1618" s="1">
        <v>42975</v>
      </c>
      <c r="D1618" s="22">
        <f>MONTH(Table3[[#This Row],[Order Date]])</f>
        <v>8</v>
      </c>
      <c r="E1618" t="s">
        <v>1764</v>
      </c>
      <c r="F1618" t="s">
        <v>1765</v>
      </c>
      <c r="G1618" s="23" t="s">
        <v>41</v>
      </c>
      <c r="H1618" s="23" t="s">
        <v>513</v>
      </c>
      <c r="I1618" t="s">
        <v>2758</v>
      </c>
      <c r="J1618" t="s">
        <v>92</v>
      </c>
      <c r="K1618" s="22">
        <v>3</v>
      </c>
      <c r="L1618" s="1">
        <v>42979</v>
      </c>
      <c r="M1618" s="22">
        <f>Table3[[#This Row],[Ship Date]]-Table3[[#This Row],[Order Date]]</f>
        <v>4</v>
      </c>
      <c r="N1618" s="23" t="s">
        <v>45</v>
      </c>
      <c r="O1618" s="23" t="s">
        <v>23</v>
      </c>
      <c r="P1618" s="23" t="s">
        <v>103</v>
      </c>
      <c r="Q1618" s="23" t="s">
        <v>95</v>
      </c>
      <c r="R1618" s="23" t="s">
        <v>2242</v>
      </c>
      <c r="S1618" s="33">
        <v>0</v>
      </c>
      <c r="T1618" s="13">
        <v>21.81</v>
      </c>
      <c r="U1618" s="13">
        <v>5.8887</v>
      </c>
      <c r="V1618" s="55">
        <f>Table3[[#This Row],[Profit]]/Table3[[#This Row],[Sales]]</f>
        <v>0.27</v>
      </c>
    </row>
    <row r="1619" spans="1:22" x14ac:dyDescent="0.2">
      <c r="A1619">
        <v>1618</v>
      </c>
      <c r="B1619" t="s">
        <v>6894</v>
      </c>
      <c r="C1619" s="1">
        <v>42975</v>
      </c>
      <c r="D1619" s="22">
        <f>MONTH(Table3[[#This Row],[Order Date]])</f>
        <v>8</v>
      </c>
      <c r="E1619" t="s">
        <v>6021</v>
      </c>
      <c r="F1619" t="s">
        <v>6022</v>
      </c>
      <c r="G1619" s="23" t="s">
        <v>41</v>
      </c>
      <c r="H1619" s="23" t="s">
        <v>71</v>
      </c>
      <c r="I1619" t="s">
        <v>2758</v>
      </c>
      <c r="J1619" t="s">
        <v>92</v>
      </c>
      <c r="K1619" s="22">
        <v>5</v>
      </c>
      <c r="L1619" s="1">
        <v>42979</v>
      </c>
      <c r="M1619" s="22">
        <f>Table3[[#This Row],[Ship Date]]-Table3[[#This Row],[Order Date]]</f>
        <v>4</v>
      </c>
      <c r="N1619" s="23" t="s">
        <v>45</v>
      </c>
      <c r="O1619" s="23" t="s">
        <v>23</v>
      </c>
      <c r="P1619" s="23" t="s">
        <v>103</v>
      </c>
      <c r="Q1619" s="23" t="s">
        <v>95</v>
      </c>
      <c r="R1619" s="23" t="s">
        <v>2242</v>
      </c>
      <c r="S1619" s="33">
        <v>0</v>
      </c>
      <c r="T1619" s="13">
        <v>91.6</v>
      </c>
      <c r="U1619" s="13">
        <v>26.564</v>
      </c>
      <c r="V1619" s="55">
        <f>Table3[[#This Row],[Profit]]/Table3[[#This Row],[Sales]]</f>
        <v>0.29000000000000004</v>
      </c>
    </row>
    <row r="1620" spans="1:22" x14ac:dyDescent="0.2">
      <c r="A1620">
        <v>1619</v>
      </c>
      <c r="B1620" t="s">
        <v>4255</v>
      </c>
      <c r="C1620" s="1">
        <v>42976</v>
      </c>
      <c r="D1620" s="22">
        <f>MONTH(Table3[[#This Row],[Order Date]])</f>
        <v>8</v>
      </c>
      <c r="E1620" t="s">
        <v>748</v>
      </c>
      <c r="F1620" t="s">
        <v>749</v>
      </c>
      <c r="G1620" s="23" t="s">
        <v>41</v>
      </c>
      <c r="H1620" s="23" t="s">
        <v>42</v>
      </c>
      <c r="I1620" t="s">
        <v>3237</v>
      </c>
      <c r="J1620" t="s">
        <v>36</v>
      </c>
      <c r="K1620" s="22">
        <v>4</v>
      </c>
      <c r="L1620" s="1">
        <v>42979</v>
      </c>
      <c r="M1620" s="22">
        <f>Table3[[#This Row],[Ship Date]]-Table3[[#This Row],[Order Date]]</f>
        <v>3</v>
      </c>
      <c r="N1620" s="23" t="s">
        <v>169</v>
      </c>
      <c r="O1620" s="23" t="s">
        <v>23</v>
      </c>
      <c r="P1620" s="23" t="s">
        <v>189</v>
      </c>
      <c r="Q1620" s="23" t="s">
        <v>95</v>
      </c>
      <c r="R1620" s="23" t="s">
        <v>1168</v>
      </c>
      <c r="S1620" s="33">
        <v>0.2</v>
      </c>
      <c r="T1620" s="13">
        <v>47.36</v>
      </c>
      <c r="U1620" s="13">
        <v>17.760000000000002</v>
      </c>
      <c r="V1620" s="55">
        <f>Table3[[#This Row],[Profit]]/Table3[[#This Row],[Sales]]</f>
        <v>0.37500000000000006</v>
      </c>
    </row>
    <row r="1621" spans="1:22" x14ac:dyDescent="0.2">
      <c r="A1621">
        <v>1620</v>
      </c>
      <c r="B1621" t="s">
        <v>4255</v>
      </c>
      <c r="C1621" s="1">
        <v>42976</v>
      </c>
      <c r="D1621" s="22">
        <f>MONTH(Table3[[#This Row],[Order Date]])</f>
        <v>8</v>
      </c>
      <c r="E1621" t="s">
        <v>1564</v>
      </c>
      <c r="F1621" t="s">
        <v>1565</v>
      </c>
      <c r="G1621" s="23" t="s">
        <v>41</v>
      </c>
      <c r="H1621" s="23" t="s">
        <v>53</v>
      </c>
      <c r="I1621" t="s">
        <v>3237</v>
      </c>
      <c r="J1621" t="s">
        <v>36</v>
      </c>
      <c r="K1621" s="22">
        <v>2</v>
      </c>
      <c r="L1621" s="1">
        <v>42979</v>
      </c>
      <c r="M1621" s="22">
        <f>Table3[[#This Row],[Ship Date]]-Table3[[#This Row],[Order Date]]</f>
        <v>3</v>
      </c>
      <c r="N1621" s="23" t="s">
        <v>169</v>
      </c>
      <c r="O1621" s="23" t="s">
        <v>23</v>
      </c>
      <c r="P1621" s="23" t="s">
        <v>189</v>
      </c>
      <c r="Q1621" s="23" t="s">
        <v>95</v>
      </c>
      <c r="R1621" s="23" t="s">
        <v>1168</v>
      </c>
      <c r="S1621" s="33">
        <v>0.2</v>
      </c>
      <c r="T1621" s="13">
        <v>27.44</v>
      </c>
      <c r="U1621" s="13">
        <v>2.4009999999999998</v>
      </c>
      <c r="V1621" s="55">
        <f>Table3[[#This Row],[Profit]]/Table3[[#This Row],[Sales]]</f>
        <v>8.7499999999999994E-2</v>
      </c>
    </row>
    <row r="1622" spans="1:22" x14ac:dyDescent="0.2">
      <c r="A1622">
        <v>1621</v>
      </c>
      <c r="B1622" t="s">
        <v>4255</v>
      </c>
      <c r="C1622" s="1">
        <v>42976</v>
      </c>
      <c r="D1622" s="22">
        <f>MONTH(Table3[[#This Row],[Order Date]])</f>
        <v>8</v>
      </c>
      <c r="E1622" t="s">
        <v>2585</v>
      </c>
      <c r="F1622" t="s">
        <v>2586</v>
      </c>
      <c r="G1622" s="23" t="s">
        <v>41</v>
      </c>
      <c r="H1622" s="23" t="s">
        <v>68</v>
      </c>
      <c r="I1622" t="s">
        <v>3237</v>
      </c>
      <c r="J1622" t="s">
        <v>36</v>
      </c>
      <c r="K1622" s="22">
        <v>9</v>
      </c>
      <c r="L1622" s="1">
        <v>42979</v>
      </c>
      <c r="M1622" s="22">
        <f>Table3[[#This Row],[Ship Date]]-Table3[[#This Row],[Order Date]]</f>
        <v>3</v>
      </c>
      <c r="N1622" s="23" t="s">
        <v>169</v>
      </c>
      <c r="O1622" s="23" t="s">
        <v>23</v>
      </c>
      <c r="P1622" s="23" t="s">
        <v>189</v>
      </c>
      <c r="Q1622" s="23" t="s">
        <v>95</v>
      </c>
      <c r="R1622" s="23" t="s">
        <v>1168</v>
      </c>
      <c r="S1622" s="33">
        <v>0.8</v>
      </c>
      <c r="T1622" s="13">
        <v>3.24</v>
      </c>
      <c r="U1622" s="13">
        <v>-5.1840000000000002</v>
      </c>
      <c r="V1622" s="55">
        <f>Table3[[#This Row],[Profit]]/Table3[[#This Row],[Sales]]</f>
        <v>-1.5999999999999999</v>
      </c>
    </row>
    <row r="1623" spans="1:22" x14ac:dyDescent="0.2">
      <c r="A1623">
        <v>1622</v>
      </c>
      <c r="B1623" t="s">
        <v>6605</v>
      </c>
      <c r="C1623" s="1">
        <v>42976</v>
      </c>
      <c r="D1623" s="22">
        <f>MONTH(Table3[[#This Row],[Order Date]])</f>
        <v>8</v>
      </c>
      <c r="E1623" t="s">
        <v>6606</v>
      </c>
      <c r="F1623" t="s">
        <v>6607</v>
      </c>
      <c r="G1623" s="23" t="s">
        <v>41</v>
      </c>
      <c r="H1623" s="23" t="s">
        <v>61</v>
      </c>
      <c r="I1623" t="s">
        <v>4189</v>
      </c>
      <c r="J1623" t="s">
        <v>36</v>
      </c>
      <c r="K1623" s="22">
        <v>7</v>
      </c>
      <c r="L1623" s="1">
        <v>42981</v>
      </c>
      <c r="M1623" s="22">
        <f>Table3[[#This Row],[Ship Date]]-Table3[[#This Row],[Order Date]]</f>
        <v>5</v>
      </c>
      <c r="N1623" s="23" t="s">
        <v>20</v>
      </c>
      <c r="O1623" s="23" t="s">
        <v>23</v>
      </c>
      <c r="P1623" s="23" t="s">
        <v>132</v>
      </c>
      <c r="Q1623" s="23" t="s">
        <v>133</v>
      </c>
      <c r="R1623" s="23" t="s">
        <v>131</v>
      </c>
      <c r="S1623" s="33">
        <v>0.2</v>
      </c>
      <c r="T1623" s="13">
        <v>9.4079999999999995</v>
      </c>
      <c r="U1623" s="13">
        <v>0.7056</v>
      </c>
      <c r="V1623" s="55">
        <f>Table3[[#This Row],[Profit]]/Table3[[#This Row],[Sales]]</f>
        <v>7.5000000000000011E-2</v>
      </c>
    </row>
    <row r="1624" spans="1:22" x14ac:dyDescent="0.2">
      <c r="A1624">
        <v>1623</v>
      </c>
      <c r="B1624" t="s">
        <v>9059</v>
      </c>
      <c r="C1624" s="1">
        <v>42976</v>
      </c>
      <c r="D1624" s="22">
        <f>MONTH(Table3[[#This Row],[Order Date]])</f>
        <v>8</v>
      </c>
      <c r="E1624" t="s">
        <v>8607</v>
      </c>
      <c r="F1624" t="s">
        <v>8608</v>
      </c>
      <c r="G1624" s="23" t="s">
        <v>28</v>
      </c>
      <c r="H1624" s="23" t="s">
        <v>58</v>
      </c>
      <c r="I1624" t="s">
        <v>3394</v>
      </c>
      <c r="J1624" t="s">
        <v>36</v>
      </c>
      <c r="K1624" s="22">
        <v>3</v>
      </c>
      <c r="L1624" s="1">
        <v>42982</v>
      </c>
      <c r="M1624" s="22">
        <f>Table3[[#This Row],[Ship Date]]-Table3[[#This Row],[Order Date]]</f>
        <v>6</v>
      </c>
      <c r="N1624" s="23" t="s">
        <v>45</v>
      </c>
      <c r="O1624" s="23" t="s">
        <v>23</v>
      </c>
      <c r="P1624" s="23" t="s">
        <v>38</v>
      </c>
      <c r="Q1624" s="23" t="s">
        <v>39</v>
      </c>
      <c r="R1624" s="23" t="s">
        <v>37</v>
      </c>
      <c r="S1624" s="33">
        <v>0</v>
      </c>
      <c r="T1624" s="13">
        <v>148.02000000000001</v>
      </c>
      <c r="U1624" s="13">
        <v>41.445599999999999</v>
      </c>
      <c r="V1624" s="55">
        <f>Table3[[#This Row],[Profit]]/Table3[[#This Row],[Sales]]</f>
        <v>0.27999999999999997</v>
      </c>
    </row>
    <row r="1625" spans="1:22" x14ac:dyDescent="0.2">
      <c r="A1625">
        <v>1624</v>
      </c>
      <c r="B1625" t="s">
        <v>3594</v>
      </c>
      <c r="C1625" s="1">
        <v>42978</v>
      </c>
      <c r="D1625" s="22">
        <f>MONTH(Table3[[#This Row],[Order Date]])</f>
        <v>8</v>
      </c>
      <c r="E1625" t="s">
        <v>3596</v>
      </c>
      <c r="F1625" t="s">
        <v>3597</v>
      </c>
      <c r="G1625" s="23" t="s">
        <v>41</v>
      </c>
      <c r="H1625" s="23" t="s">
        <v>53</v>
      </c>
      <c r="I1625" t="s">
        <v>1692</v>
      </c>
      <c r="J1625" t="s">
        <v>22</v>
      </c>
      <c r="K1625" s="22">
        <v>1</v>
      </c>
      <c r="L1625" s="1">
        <v>42983</v>
      </c>
      <c r="M1625" s="22">
        <f>Table3[[#This Row],[Ship Date]]-Table3[[#This Row],[Order Date]]</f>
        <v>5</v>
      </c>
      <c r="N1625" s="23" t="s">
        <v>45</v>
      </c>
      <c r="O1625" s="23" t="s">
        <v>23</v>
      </c>
      <c r="P1625" s="23" t="s">
        <v>277</v>
      </c>
      <c r="Q1625" s="23" t="s">
        <v>39</v>
      </c>
      <c r="R1625" s="23" t="s">
        <v>3595</v>
      </c>
      <c r="S1625" s="33">
        <v>0.2</v>
      </c>
      <c r="T1625" s="13">
        <v>10.744</v>
      </c>
      <c r="U1625" s="13">
        <v>0.80579999999999996</v>
      </c>
      <c r="V1625" s="55">
        <f>Table3[[#This Row],[Profit]]/Table3[[#This Row],[Sales]]</f>
        <v>7.4999999999999997E-2</v>
      </c>
    </row>
    <row r="1626" spans="1:22" x14ac:dyDescent="0.2">
      <c r="A1626">
        <v>1625</v>
      </c>
      <c r="B1626" t="s">
        <v>3594</v>
      </c>
      <c r="C1626" s="1">
        <v>42978</v>
      </c>
      <c r="D1626" s="22">
        <f>MONTH(Table3[[#This Row],[Order Date]])</f>
        <v>8</v>
      </c>
      <c r="E1626" t="s">
        <v>763</v>
      </c>
      <c r="F1626" t="s">
        <v>764</v>
      </c>
      <c r="G1626" s="23" t="s">
        <v>41</v>
      </c>
      <c r="H1626" s="23" t="s">
        <v>240</v>
      </c>
      <c r="I1626" t="s">
        <v>1692</v>
      </c>
      <c r="J1626" t="s">
        <v>22</v>
      </c>
      <c r="K1626" s="22">
        <v>3</v>
      </c>
      <c r="L1626" s="1">
        <v>42983</v>
      </c>
      <c r="M1626" s="22">
        <f>Table3[[#This Row],[Ship Date]]-Table3[[#This Row],[Order Date]]</f>
        <v>5</v>
      </c>
      <c r="N1626" s="23" t="s">
        <v>45</v>
      </c>
      <c r="O1626" s="23" t="s">
        <v>23</v>
      </c>
      <c r="P1626" s="23" t="s">
        <v>277</v>
      </c>
      <c r="Q1626" s="23" t="s">
        <v>39</v>
      </c>
      <c r="R1626" s="23" t="s">
        <v>3595</v>
      </c>
      <c r="S1626" s="33">
        <v>0.2</v>
      </c>
      <c r="T1626" s="13">
        <v>8.3759999999999994</v>
      </c>
      <c r="U1626" s="13">
        <v>2.7222</v>
      </c>
      <c r="V1626" s="55">
        <f>Table3[[#This Row],[Profit]]/Table3[[#This Row],[Sales]]</f>
        <v>0.32500000000000001</v>
      </c>
    </row>
    <row r="1627" spans="1:22" x14ac:dyDescent="0.2">
      <c r="A1627">
        <v>1626</v>
      </c>
      <c r="B1627" t="s">
        <v>5362</v>
      </c>
      <c r="C1627" s="1">
        <v>42978</v>
      </c>
      <c r="D1627" s="22">
        <f>MONTH(Table3[[#This Row],[Order Date]])</f>
        <v>8</v>
      </c>
      <c r="E1627" t="s">
        <v>2885</v>
      </c>
      <c r="F1627" t="s">
        <v>2886</v>
      </c>
      <c r="G1627" s="23" t="s">
        <v>41</v>
      </c>
      <c r="H1627" s="23" t="s">
        <v>82</v>
      </c>
      <c r="I1627" t="s">
        <v>1607</v>
      </c>
      <c r="J1627" t="s">
        <v>22</v>
      </c>
      <c r="K1627" s="22">
        <v>7</v>
      </c>
      <c r="L1627" s="1">
        <v>42982</v>
      </c>
      <c r="M1627" s="22">
        <f>Table3[[#This Row],[Ship Date]]-Table3[[#This Row],[Order Date]]</f>
        <v>4</v>
      </c>
      <c r="N1627" s="23" t="s">
        <v>20</v>
      </c>
      <c r="O1627" s="23" t="s">
        <v>23</v>
      </c>
      <c r="P1627" s="23" t="s">
        <v>80</v>
      </c>
      <c r="Q1627" s="23" t="s">
        <v>26</v>
      </c>
      <c r="R1627" s="23" t="s">
        <v>1509</v>
      </c>
      <c r="S1627" s="33">
        <v>0.2</v>
      </c>
      <c r="T1627" s="13">
        <v>229.54400000000001</v>
      </c>
      <c r="U1627" s="13">
        <v>83.209699999999998</v>
      </c>
      <c r="V1627" s="55">
        <f>Table3[[#This Row],[Profit]]/Table3[[#This Row],[Sales]]</f>
        <v>0.36249999999999999</v>
      </c>
    </row>
    <row r="1628" spans="1:22" x14ac:dyDescent="0.2">
      <c r="A1628">
        <v>1627</v>
      </c>
      <c r="B1628" t="s">
        <v>6108</v>
      </c>
      <c r="C1628" s="1">
        <v>42978</v>
      </c>
      <c r="D1628" s="22">
        <f>MONTH(Table3[[#This Row],[Order Date]])</f>
        <v>8</v>
      </c>
      <c r="E1628" t="s">
        <v>1898</v>
      </c>
      <c r="F1628" t="s">
        <v>1899</v>
      </c>
      <c r="G1628" s="23" t="s">
        <v>41</v>
      </c>
      <c r="H1628" s="23" t="s">
        <v>71</v>
      </c>
      <c r="I1628" t="s">
        <v>1670</v>
      </c>
      <c r="J1628" t="s">
        <v>22</v>
      </c>
      <c r="K1628" s="22">
        <v>9</v>
      </c>
      <c r="L1628" s="1">
        <v>42983</v>
      </c>
      <c r="M1628" s="22">
        <f>Table3[[#This Row],[Ship Date]]-Table3[[#This Row],[Order Date]]</f>
        <v>5</v>
      </c>
      <c r="N1628" s="23" t="s">
        <v>45</v>
      </c>
      <c r="O1628" s="23" t="s">
        <v>23</v>
      </c>
      <c r="P1628" s="23" t="s">
        <v>226</v>
      </c>
      <c r="Q1628" s="23" t="s">
        <v>95</v>
      </c>
      <c r="R1628" s="23" t="s">
        <v>1308</v>
      </c>
      <c r="S1628" s="33">
        <v>0</v>
      </c>
      <c r="T1628" s="13">
        <v>638.73</v>
      </c>
      <c r="U1628" s="13">
        <v>166.06979999999999</v>
      </c>
      <c r="V1628" s="55">
        <f>Table3[[#This Row],[Profit]]/Table3[[#This Row],[Sales]]</f>
        <v>0.25999999999999995</v>
      </c>
    </row>
    <row r="1629" spans="1:22" x14ac:dyDescent="0.2">
      <c r="A1629">
        <v>1628</v>
      </c>
      <c r="B1629" t="s">
        <v>7163</v>
      </c>
      <c r="C1629" s="1">
        <v>42978</v>
      </c>
      <c r="D1629" s="22">
        <f>MONTH(Table3[[#This Row],[Order Date]])</f>
        <v>8</v>
      </c>
      <c r="E1629" t="s">
        <v>2608</v>
      </c>
      <c r="F1629" t="s">
        <v>2609</v>
      </c>
      <c r="G1629" s="23" t="s">
        <v>41</v>
      </c>
      <c r="H1629" s="23" t="s">
        <v>68</v>
      </c>
      <c r="I1629" t="s">
        <v>4572</v>
      </c>
      <c r="J1629" t="s">
        <v>92</v>
      </c>
      <c r="K1629" s="22">
        <v>3</v>
      </c>
      <c r="L1629" s="1">
        <v>42982</v>
      </c>
      <c r="M1629" s="22">
        <f>Table3[[#This Row],[Ship Date]]-Table3[[#This Row],[Order Date]]</f>
        <v>4</v>
      </c>
      <c r="N1629" s="23" t="s">
        <v>45</v>
      </c>
      <c r="O1629" s="23" t="s">
        <v>23</v>
      </c>
      <c r="P1629" s="23" t="s">
        <v>38</v>
      </c>
      <c r="Q1629" s="23" t="s">
        <v>39</v>
      </c>
      <c r="R1629" s="23" t="s">
        <v>114</v>
      </c>
      <c r="S1629" s="33">
        <v>0.2</v>
      </c>
      <c r="T1629" s="13">
        <v>6.6719999999999997</v>
      </c>
      <c r="U1629" s="13">
        <v>2.1684000000000001</v>
      </c>
      <c r="V1629" s="55">
        <f>Table3[[#This Row],[Profit]]/Table3[[#This Row],[Sales]]</f>
        <v>0.32500000000000001</v>
      </c>
    </row>
    <row r="1630" spans="1:22" x14ac:dyDescent="0.2">
      <c r="A1630">
        <v>1629</v>
      </c>
      <c r="B1630" t="s">
        <v>7163</v>
      </c>
      <c r="C1630" s="1">
        <v>42978</v>
      </c>
      <c r="D1630" s="22">
        <f>MONTH(Table3[[#This Row],[Order Date]])</f>
        <v>8</v>
      </c>
      <c r="E1630" t="s">
        <v>3031</v>
      </c>
      <c r="F1630" t="s">
        <v>5655</v>
      </c>
      <c r="G1630" s="23" t="s">
        <v>64</v>
      </c>
      <c r="H1630" s="23" t="s">
        <v>65</v>
      </c>
      <c r="I1630" t="s">
        <v>4572</v>
      </c>
      <c r="J1630" t="s">
        <v>92</v>
      </c>
      <c r="K1630" s="22">
        <v>4</v>
      </c>
      <c r="L1630" s="1">
        <v>42982</v>
      </c>
      <c r="M1630" s="22">
        <f>Table3[[#This Row],[Ship Date]]-Table3[[#This Row],[Order Date]]</f>
        <v>4</v>
      </c>
      <c r="N1630" s="23" t="s">
        <v>45</v>
      </c>
      <c r="O1630" s="23" t="s">
        <v>23</v>
      </c>
      <c r="P1630" s="23" t="s">
        <v>38</v>
      </c>
      <c r="Q1630" s="23" t="s">
        <v>39</v>
      </c>
      <c r="R1630" s="23" t="s">
        <v>114</v>
      </c>
      <c r="S1630" s="33">
        <v>0.2</v>
      </c>
      <c r="T1630" s="13">
        <v>689.40800000000002</v>
      </c>
      <c r="U1630" s="13">
        <v>77.558400000000006</v>
      </c>
      <c r="V1630" s="55">
        <f>Table3[[#This Row],[Profit]]/Table3[[#This Row],[Sales]]</f>
        <v>0.1125</v>
      </c>
    </row>
    <row r="1631" spans="1:22" x14ac:dyDescent="0.2">
      <c r="A1631">
        <v>1630</v>
      </c>
      <c r="B1631" t="s">
        <v>7605</v>
      </c>
      <c r="C1631" s="1">
        <v>42978</v>
      </c>
      <c r="D1631" s="22">
        <f>MONTH(Table3[[#This Row],[Order Date]])</f>
        <v>8</v>
      </c>
      <c r="E1631" t="s">
        <v>2635</v>
      </c>
      <c r="F1631" t="s">
        <v>2636</v>
      </c>
      <c r="G1631" s="23" t="s">
        <v>64</v>
      </c>
      <c r="H1631" s="23" t="s">
        <v>144</v>
      </c>
      <c r="I1631" t="s">
        <v>7606</v>
      </c>
      <c r="J1631" t="s">
        <v>22</v>
      </c>
      <c r="K1631" s="22">
        <v>2</v>
      </c>
      <c r="L1631" s="1">
        <v>42983</v>
      </c>
      <c r="M1631" s="22">
        <f>Table3[[#This Row],[Ship Date]]-Table3[[#This Row],[Order Date]]</f>
        <v>5</v>
      </c>
      <c r="N1631" s="23" t="s">
        <v>45</v>
      </c>
      <c r="O1631" s="23" t="s">
        <v>23</v>
      </c>
      <c r="P1631" s="23" t="s">
        <v>650</v>
      </c>
      <c r="Q1631" s="23" t="s">
        <v>26</v>
      </c>
      <c r="R1631" s="23" t="s">
        <v>649</v>
      </c>
      <c r="S1631" s="33">
        <v>0</v>
      </c>
      <c r="T1631" s="13">
        <v>659.9</v>
      </c>
      <c r="U1631" s="13">
        <v>217.767</v>
      </c>
      <c r="V1631" s="55">
        <f>Table3[[#This Row],[Profit]]/Table3[[#This Row],[Sales]]</f>
        <v>0.33</v>
      </c>
    </row>
    <row r="1632" spans="1:22" x14ac:dyDescent="0.2">
      <c r="A1632">
        <v>1631</v>
      </c>
      <c r="B1632" t="s">
        <v>8107</v>
      </c>
      <c r="C1632" s="1">
        <v>42978</v>
      </c>
      <c r="D1632" s="22">
        <f>MONTH(Table3[[#This Row],[Order Date]])</f>
        <v>8</v>
      </c>
      <c r="E1632" t="s">
        <v>1406</v>
      </c>
      <c r="F1632" t="s">
        <v>1407</v>
      </c>
      <c r="G1632" s="23" t="s">
        <v>28</v>
      </c>
      <c r="H1632" s="23" t="s">
        <v>32</v>
      </c>
      <c r="I1632" t="s">
        <v>2241</v>
      </c>
      <c r="J1632" t="s">
        <v>36</v>
      </c>
      <c r="K1632" s="22">
        <v>2</v>
      </c>
      <c r="L1632" s="1">
        <v>42980</v>
      </c>
      <c r="M1632" s="22">
        <f>Table3[[#This Row],[Ship Date]]-Table3[[#This Row],[Order Date]]</f>
        <v>2</v>
      </c>
      <c r="N1632" s="23" t="s">
        <v>20</v>
      </c>
      <c r="O1632" s="23" t="s">
        <v>23</v>
      </c>
      <c r="P1632" s="23" t="s">
        <v>87</v>
      </c>
      <c r="Q1632" s="23" t="s">
        <v>39</v>
      </c>
      <c r="R1632" s="23" t="s">
        <v>4135</v>
      </c>
      <c r="S1632" s="33">
        <v>0.2</v>
      </c>
      <c r="T1632" s="13">
        <v>569.56799999999998</v>
      </c>
      <c r="U1632" s="13">
        <v>7.1196000000000002</v>
      </c>
      <c r="V1632" s="55">
        <f>Table3[[#This Row],[Profit]]/Table3[[#This Row],[Sales]]</f>
        <v>1.2500000000000001E-2</v>
      </c>
    </row>
    <row r="1633" spans="1:22" x14ac:dyDescent="0.2">
      <c r="A1633">
        <v>1632</v>
      </c>
      <c r="B1633" t="s">
        <v>8107</v>
      </c>
      <c r="C1633" s="1">
        <v>42978</v>
      </c>
      <c r="D1633" s="22">
        <f>MONTH(Table3[[#This Row],[Order Date]])</f>
        <v>8</v>
      </c>
      <c r="E1633" t="s">
        <v>329</v>
      </c>
      <c r="F1633" t="s">
        <v>330</v>
      </c>
      <c r="G1633" s="23" t="s">
        <v>41</v>
      </c>
      <c r="H1633" s="23" t="s">
        <v>53</v>
      </c>
      <c r="I1633" t="s">
        <v>2241</v>
      </c>
      <c r="J1633" t="s">
        <v>36</v>
      </c>
      <c r="K1633" s="22">
        <v>7</v>
      </c>
      <c r="L1633" s="1">
        <v>42980</v>
      </c>
      <c r="M1633" s="22">
        <f>Table3[[#This Row],[Ship Date]]-Table3[[#This Row],[Order Date]]</f>
        <v>2</v>
      </c>
      <c r="N1633" s="23" t="s">
        <v>20</v>
      </c>
      <c r="O1633" s="23" t="s">
        <v>23</v>
      </c>
      <c r="P1633" s="23" t="s">
        <v>87</v>
      </c>
      <c r="Q1633" s="23" t="s">
        <v>39</v>
      </c>
      <c r="R1633" s="23" t="s">
        <v>4135</v>
      </c>
      <c r="S1633" s="33">
        <v>0</v>
      </c>
      <c r="T1633" s="13">
        <v>149.72999999999999</v>
      </c>
      <c r="U1633" s="13">
        <v>43.421700000000001</v>
      </c>
      <c r="V1633" s="55">
        <f>Table3[[#This Row],[Profit]]/Table3[[#This Row],[Sales]]</f>
        <v>0.29000000000000004</v>
      </c>
    </row>
    <row r="1634" spans="1:22" x14ac:dyDescent="0.2">
      <c r="A1634">
        <v>1633</v>
      </c>
      <c r="B1634" t="s">
        <v>8490</v>
      </c>
      <c r="C1634" s="1">
        <v>42978</v>
      </c>
      <c r="D1634" s="22">
        <f>MONTH(Table3[[#This Row],[Order Date]])</f>
        <v>8</v>
      </c>
      <c r="E1634" t="s">
        <v>6102</v>
      </c>
      <c r="F1634" t="s">
        <v>6103</v>
      </c>
      <c r="G1634" s="23" t="s">
        <v>41</v>
      </c>
      <c r="H1634" s="23" t="s">
        <v>513</v>
      </c>
      <c r="I1634" t="s">
        <v>3319</v>
      </c>
      <c r="J1634" t="s">
        <v>92</v>
      </c>
      <c r="K1634" s="22">
        <v>2</v>
      </c>
      <c r="L1634" s="1">
        <v>42983</v>
      </c>
      <c r="M1634" s="22">
        <f>Table3[[#This Row],[Ship Date]]-Table3[[#This Row],[Order Date]]</f>
        <v>5</v>
      </c>
      <c r="N1634" s="23" t="s">
        <v>45</v>
      </c>
      <c r="O1634" s="23" t="s">
        <v>23</v>
      </c>
      <c r="P1634" s="23" t="s">
        <v>374</v>
      </c>
      <c r="Q1634" s="23" t="s">
        <v>39</v>
      </c>
      <c r="R1634" s="23" t="s">
        <v>1744</v>
      </c>
      <c r="S1634" s="33">
        <v>0.2</v>
      </c>
      <c r="T1634" s="13">
        <v>6.2080000000000002</v>
      </c>
      <c r="U1634" s="13">
        <v>0.69840000000000002</v>
      </c>
      <c r="V1634" s="55">
        <f>Table3[[#This Row],[Profit]]/Table3[[#This Row],[Sales]]</f>
        <v>0.1125</v>
      </c>
    </row>
    <row r="1635" spans="1:22" x14ac:dyDescent="0.2">
      <c r="A1635">
        <v>1634</v>
      </c>
      <c r="B1635" t="s">
        <v>9972</v>
      </c>
      <c r="C1635" s="1">
        <v>42978</v>
      </c>
      <c r="D1635" s="22">
        <f>MONTH(Table3[[#This Row],[Order Date]])</f>
        <v>8</v>
      </c>
      <c r="E1635" t="s">
        <v>1907</v>
      </c>
      <c r="F1635" t="s">
        <v>1908</v>
      </c>
      <c r="G1635" s="23" t="s">
        <v>41</v>
      </c>
      <c r="H1635" s="23" t="s">
        <v>53</v>
      </c>
      <c r="I1635" t="s">
        <v>3519</v>
      </c>
      <c r="J1635" t="s">
        <v>22</v>
      </c>
      <c r="K1635" s="22">
        <v>3</v>
      </c>
      <c r="L1635" s="1">
        <v>42983</v>
      </c>
      <c r="M1635" s="22">
        <f>Table3[[#This Row],[Ship Date]]-Table3[[#This Row],[Order Date]]</f>
        <v>5</v>
      </c>
      <c r="N1635" s="23" t="s">
        <v>45</v>
      </c>
      <c r="O1635" s="23" t="s">
        <v>23</v>
      </c>
      <c r="P1635" s="23" t="s">
        <v>38</v>
      </c>
      <c r="Q1635" s="23" t="s">
        <v>39</v>
      </c>
      <c r="R1635" s="23" t="s">
        <v>114</v>
      </c>
      <c r="S1635" s="33">
        <v>0</v>
      </c>
      <c r="T1635" s="13">
        <v>193.95</v>
      </c>
      <c r="U1635" s="13">
        <v>9.6974999999999998</v>
      </c>
      <c r="V1635" s="55">
        <f>Table3[[#This Row],[Profit]]/Table3[[#This Row],[Sales]]</f>
        <v>0.05</v>
      </c>
    </row>
    <row r="1636" spans="1:22" x14ac:dyDescent="0.2">
      <c r="A1636">
        <v>1635</v>
      </c>
      <c r="B1636" t="s">
        <v>5756</v>
      </c>
      <c r="C1636" s="1">
        <v>42979</v>
      </c>
      <c r="D1636" s="22">
        <f>MONTH(Table3[[#This Row],[Order Date]])</f>
        <v>9</v>
      </c>
      <c r="E1636" t="s">
        <v>3211</v>
      </c>
      <c r="F1636" t="s">
        <v>3212</v>
      </c>
      <c r="G1636" s="23" t="s">
        <v>28</v>
      </c>
      <c r="H1636" s="23" t="s">
        <v>58</v>
      </c>
      <c r="I1636" t="s">
        <v>1554</v>
      </c>
      <c r="J1636" t="s">
        <v>22</v>
      </c>
      <c r="K1636" s="22">
        <v>5</v>
      </c>
      <c r="L1636" s="1">
        <v>42983</v>
      </c>
      <c r="M1636" s="22">
        <f>Table3[[#This Row],[Ship Date]]-Table3[[#This Row],[Order Date]]</f>
        <v>4</v>
      </c>
      <c r="N1636" s="23" t="s">
        <v>20</v>
      </c>
      <c r="O1636" s="23" t="s">
        <v>23</v>
      </c>
      <c r="P1636" s="23" t="s">
        <v>238</v>
      </c>
      <c r="Q1636" s="23" t="s">
        <v>133</v>
      </c>
      <c r="R1636" s="23" t="s">
        <v>237</v>
      </c>
      <c r="S1636" s="33">
        <v>0</v>
      </c>
      <c r="T1636" s="13">
        <v>114.9</v>
      </c>
      <c r="U1636" s="13">
        <v>39.066000000000003</v>
      </c>
      <c r="V1636" s="55">
        <f>Table3[[#This Row],[Profit]]/Table3[[#This Row],[Sales]]</f>
        <v>0.34</v>
      </c>
    </row>
    <row r="1637" spans="1:22" x14ac:dyDescent="0.2">
      <c r="A1637">
        <v>1636</v>
      </c>
      <c r="B1637" t="s">
        <v>6679</v>
      </c>
      <c r="C1637" s="1">
        <v>42979</v>
      </c>
      <c r="D1637" s="22">
        <f>MONTH(Table3[[#This Row],[Order Date]])</f>
        <v>9</v>
      </c>
      <c r="E1637" t="s">
        <v>348</v>
      </c>
      <c r="F1637" t="s">
        <v>349</v>
      </c>
      <c r="G1637" s="23" t="s">
        <v>64</v>
      </c>
      <c r="H1637" s="23" t="s">
        <v>144</v>
      </c>
      <c r="I1637" t="s">
        <v>2086</v>
      </c>
      <c r="J1637" t="s">
        <v>22</v>
      </c>
      <c r="K1637" s="22">
        <v>1</v>
      </c>
      <c r="L1637" s="1">
        <v>42984</v>
      </c>
      <c r="M1637" s="22">
        <f>Table3[[#This Row],[Ship Date]]-Table3[[#This Row],[Order Date]]</f>
        <v>5</v>
      </c>
      <c r="N1637" s="23" t="s">
        <v>45</v>
      </c>
      <c r="O1637" s="23" t="s">
        <v>23</v>
      </c>
      <c r="P1637" s="23" t="s">
        <v>87</v>
      </c>
      <c r="Q1637" s="23" t="s">
        <v>39</v>
      </c>
      <c r="R1637" s="23" t="s">
        <v>4049</v>
      </c>
      <c r="S1637" s="33">
        <v>0</v>
      </c>
      <c r="T1637" s="13">
        <v>19.989999999999998</v>
      </c>
      <c r="U1637" s="13">
        <v>6.7965999999999998</v>
      </c>
      <c r="V1637" s="55">
        <f>Table3[[#This Row],[Profit]]/Table3[[#This Row],[Sales]]</f>
        <v>0.34</v>
      </c>
    </row>
    <row r="1638" spans="1:22" x14ac:dyDescent="0.2">
      <c r="A1638">
        <v>1637</v>
      </c>
      <c r="B1638" t="s">
        <v>6679</v>
      </c>
      <c r="C1638" s="1">
        <v>42979</v>
      </c>
      <c r="D1638" s="22">
        <f>MONTH(Table3[[#This Row],[Order Date]])</f>
        <v>9</v>
      </c>
      <c r="E1638" t="s">
        <v>6008</v>
      </c>
      <c r="F1638" t="s">
        <v>6009</v>
      </c>
      <c r="G1638" s="23" t="s">
        <v>41</v>
      </c>
      <c r="H1638" s="23" t="s">
        <v>68</v>
      </c>
      <c r="I1638" t="s">
        <v>2086</v>
      </c>
      <c r="J1638" t="s">
        <v>22</v>
      </c>
      <c r="K1638" s="22">
        <v>5</v>
      </c>
      <c r="L1638" s="1">
        <v>42984</v>
      </c>
      <c r="M1638" s="22">
        <f>Table3[[#This Row],[Ship Date]]-Table3[[#This Row],[Order Date]]</f>
        <v>5</v>
      </c>
      <c r="N1638" s="23" t="s">
        <v>45</v>
      </c>
      <c r="O1638" s="23" t="s">
        <v>23</v>
      </c>
      <c r="P1638" s="23" t="s">
        <v>87</v>
      </c>
      <c r="Q1638" s="23" t="s">
        <v>39</v>
      </c>
      <c r="R1638" s="23" t="s">
        <v>4049</v>
      </c>
      <c r="S1638" s="33">
        <v>0.2</v>
      </c>
      <c r="T1638" s="13">
        <v>22.92</v>
      </c>
      <c r="U1638" s="13">
        <v>8.0220000000000002</v>
      </c>
      <c r="V1638" s="55">
        <f>Table3[[#This Row],[Profit]]/Table3[[#This Row],[Sales]]</f>
        <v>0.35</v>
      </c>
    </row>
    <row r="1639" spans="1:22" x14ac:dyDescent="0.2">
      <c r="A1639">
        <v>1638</v>
      </c>
      <c r="B1639" t="s">
        <v>6976</v>
      </c>
      <c r="C1639" s="1">
        <v>42979</v>
      </c>
      <c r="D1639" s="22">
        <f>MONTH(Table3[[#This Row],[Order Date]])</f>
        <v>9</v>
      </c>
      <c r="E1639" t="s">
        <v>2672</v>
      </c>
      <c r="F1639" t="s">
        <v>2673</v>
      </c>
      <c r="G1639" s="23" t="s">
        <v>41</v>
      </c>
      <c r="H1639" s="23" t="s">
        <v>61</v>
      </c>
      <c r="I1639" t="s">
        <v>2034</v>
      </c>
      <c r="J1639" t="s">
        <v>92</v>
      </c>
      <c r="K1639" s="22">
        <v>1</v>
      </c>
      <c r="L1639" s="1">
        <v>42985</v>
      </c>
      <c r="M1639" s="22">
        <f>Table3[[#This Row],[Ship Date]]-Table3[[#This Row],[Order Date]]</f>
        <v>6</v>
      </c>
      <c r="N1639" s="23" t="s">
        <v>45</v>
      </c>
      <c r="O1639" s="23" t="s">
        <v>23</v>
      </c>
      <c r="P1639" s="23" t="s">
        <v>87</v>
      </c>
      <c r="Q1639" s="23" t="s">
        <v>39</v>
      </c>
      <c r="R1639" s="23" t="s">
        <v>86</v>
      </c>
      <c r="S1639" s="33">
        <v>0</v>
      </c>
      <c r="T1639" s="13">
        <v>7.58</v>
      </c>
      <c r="U1639" s="13">
        <v>2.9561999999999999</v>
      </c>
      <c r="V1639" s="55">
        <f>Table3[[#This Row],[Profit]]/Table3[[#This Row],[Sales]]</f>
        <v>0.39</v>
      </c>
    </row>
    <row r="1640" spans="1:22" x14ac:dyDescent="0.2">
      <c r="A1640">
        <v>1639</v>
      </c>
      <c r="B1640" t="s">
        <v>7314</v>
      </c>
      <c r="C1640" s="1">
        <v>42979</v>
      </c>
      <c r="D1640" s="22">
        <f>MONTH(Table3[[#This Row],[Order Date]])</f>
        <v>9</v>
      </c>
      <c r="E1640" t="s">
        <v>5476</v>
      </c>
      <c r="F1640" t="s">
        <v>5477</v>
      </c>
      <c r="G1640" s="23" t="s">
        <v>28</v>
      </c>
      <c r="H1640" s="23" t="s">
        <v>32</v>
      </c>
      <c r="I1640" t="s">
        <v>1686</v>
      </c>
      <c r="J1640" t="s">
        <v>22</v>
      </c>
      <c r="K1640" s="22">
        <v>7</v>
      </c>
      <c r="L1640" s="1">
        <v>42979</v>
      </c>
      <c r="M1640" s="22">
        <f>Table3[[#This Row],[Ship Date]]-Table3[[#This Row],[Order Date]]</f>
        <v>0</v>
      </c>
      <c r="N1640" s="23" t="s">
        <v>1141</v>
      </c>
      <c r="O1640" s="23" t="s">
        <v>23</v>
      </c>
      <c r="P1640" s="23" t="s">
        <v>212</v>
      </c>
      <c r="Q1640" s="23" t="s">
        <v>95</v>
      </c>
      <c r="R1640" s="23" t="s">
        <v>775</v>
      </c>
      <c r="S1640" s="33">
        <v>0</v>
      </c>
      <c r="T1640" s="13">
        <v>498.26</v>
      </c>
      <c r="U1640" s="13">
        <v>134.53020000000001</v>
      </c>
      <c r="V1640" s="55">
        <f>Table3[[#This Row],[Profit]]/Table3[[#This Row],[Sales]]</f>
        <v>0.27</v>
      </c>
    </row>
    <row r="1641" spans="1:22" x14ac:dyDescent="0.2">
      <c r="A1641">
        <v>1640</v>
      </c>
      <c r="B1641" t="s">
        <v>9599</v>
      </c>
      <c r="C1641" s="1">
        <v>42979</v>
      </c>
      <c r="D1641" s="22">
        <f>MONTH(Table3[[#This Row],[Order Date]])</f>
        <v>9</v>
      </c>
      <c r="E1641" t="s">
        <v>4077</v>
      </c>
      <c r="F1641" t="s">
        <v>4078</v>
      </c>
      <c r="G1641" s="23" t="s">
        <v>41</v>
      </c>
      <c r="H1641" s="23" t="s">
        <v>71</v>
      </c>
      <c r="I1641" t="s">
        <v>3394</v>
      </c>
      <c r="J1641" t="s">
        <v>36</v>
      </c>
      <c r="K1641" s="22">
        <v>4</v>
      </c>
      <c r="L1641" s="1">
        <v>42979</v>
      </c>
      <c r="M1641" s="22">
        <f>Table3[[#This Row],[Ship Date]]-Table3[[#This Row],[Order Date]]</f>
        <v>0</v>
      </c>
      <c r="N1641" s="23" t="s">
        <v>1141</v>
      </c>
      <c r="O1641" s="23" t="s">
        <v>23</v>
      </c>
      <c r="P1641" s="23" t="s">
        <v>87</v>
      </c>
      <c r="Q1641" s="23" t="s">
        <v>39</v>
      </c>
      <c r="R1641" s="23" t="s">
        <v>86</v>
      </c>
      <c r="S1641" s="33">
        <v>0</v>
      </c>
      <c r="T1641" s="13">
        <v>314.60000000000002</v>
      </c>
      <c r="U1641" s="13">
        <v>103.818</v>
      </c>
      <c r="V1641" s="55">
        <f>Table3[[#This Row],[Profit]]/Table3[[#This Row],[Sales]]</f>
        <v>0.32999999999999996</v>
      </c>
    </row>
    <row r="1642" spans="1:22" x14ac:dyDescent="0.2">
      <c r="A1642">
        <v>1641</v>
      </c>
      <c r="B1642" t="s">
        <v>9599</v>
      </c>
      <c r="C1642" s="1">
        <v>42979</v>
      </c>
      <c r="D1642" s="22">
        <f>MONTH(Table3[[#This Row],[Order Date]])</f>
        <v>9</v>
      </c>
      <c r="E1642" t="s">
        <v>817</v>
      </c>
      <c r="F1642" t="s">
        <v>818</v>
      </c>
      <c r="G1642" s="23" t="s">
        <v>28</v>
      </c>
      <c r="H1642" s="23" t="s">
        <v>50</v>
      </c>
      <c r="I1642" t="s">
        <v>3394</v>
      </c>
      <c r="J1642" t="s">
        <v>36</v>
      </c>
      <c r="K1642" s="22">
        <v>4</v>
      </c>
      <c r="L1642" s="1">
        <v>42979</v>
      </c>
      <c r="M1642" s="22">
        <f>Table3[[#This Row],[Ship Date]]-Table3[[#This Row],[Order Date]]</f>
        <v>0</v>
      </c>
      <c r="N1642" s="23" t="s">
        <v>1141</v>
      </c>
      <c r="O1642" s="23" t="s">
        <v>23</v>
      </c>
      <c r="P1642" s="23" t="s">
        <v>87</v>
      </c>
      <c r="Q1642" s="23" t="s">
        <v>39</v>
      </c>
      <c r="R1642" s="23" t="s">
        <v>86</v>
      </c>
      <c r="S1642" s="33">
        <v>0</v>
      </c>
      <c r="T1642" s="13">
        <v>283.56</v>
      </c>
      <c r="U1642" s="13">
        <v>45.369599999999998</v>
      </c>
      <c r="V1642" s="55">
        <f>Table3[[#This Row],[Profit]]/Table3[[#This Row],[Sales]]</f>
        <v>0.16</v>
      </c>
    </row>
    <row r="1643" spans="1:22" x14ac:dyDescent="0.2">
      <c r="A1643">
        <v>1642</v>
      </c>
      <c r="B1643" t="s">
        <v>1992</v>
      </c>
      <c r="C1643" s="1">
        <v>42980</v>
      </c>
      <c r="D1643" s="22">
        <f>MONTH(Table3[[#This Row],[Order Date]])</f>
        <v>9</v>
      </c>
      <c r="E1643" t="s">
        <v>723</v>
      </c>
      <c r="F1643" t="s">
        <v>724</v>
      </c>
      <c r="G1643" s="23" t="s">
        <v>28</v>
      </c>
      <c r="H1643" s="23" t="s">
        <v>58</v>
      </c>
      <c r="I1643" t="s">
        <v>860</v>
      </c>
      <c r="J1643" t="s">
        <v>36</v>
      </c>
      <c r="K1643" s="22">
        <v>3</v>
      </c>
      <c r="L1643" s="1">
        <v>42986</v>
      </c>
      <c r="M1643" s="22">
        <f>Table3[[#This Row],[Ship Date]]-Table3[[#This Row],[Order Date]]</f>
        <v>6</v>
      </c>
      <c r="N1643" s="23" t="s">
        <v>45</v>
      </c>
      <c r="O1643" s="23" t="s">
        <v>23</v>
      </c>
      <c r="P1643" s="23" t="s">
        <v>441</v>
      </c>
      <c r="Q1643" s="23" t="s">
        <v>133</v>
      </c>
      <c r="R1643" s="23" t="s">
        <v>1920</v>
      </c>
      <c r="S1643" s="33">
        <v>0.2</v>
      </c>
      <c r="T1643" s="13">
        <v>15.071999999999999</v>
      </c>
      <c r="U1643" s="13">
        <v>4.1448</v>
      </c>
      <c r="V1643" s="55">
        <f>Table3[[#This Row],[Profit]]/Table3[[#This Row],[Sales]]</f>
        <v>0.27500000000000002</v>
      </c>
    </row>
    <row r="1644" spans="1:22" x14ac:dyDescent="0.2">
      <c r="A1644">
        <v>1643</v>
      </c>
      <c r="B1644" t="s">
        <v>2456</v>
      </c>
      <c r="C1644" s="1">
        <v>42980</v>
      </c>
      <c r="D1644" s="22">
        <f>MONTH(Table3[[#This Row],[Order Date]])</f>
        <v>9</v>
      </c>
      <c r="E1644" t="s">
        <v>2458</v>
      </c>
      <c r="F1644" t="s">
        <v>2459</v>
      </c>
      <c r="G1644" s="23" t="s">
        <v>64</v>
      </c>
      <c r="H1644" s="23" t="s">
        <v>65</v>
      </c>
      <c r="I1644" t="s">
        <v>2457</v>
      </c>
      <c r="J1644" t="s">
        <v>92</v>
      </c>
      <c r="K1644" s="22">
        <v>4</v>
      </c>
      <c r="L1644" s="1">
        <v>42985</v>
      </c>
      <c r="M1644" s="22">
        <f>Table3[[#This Row],[Ship Date]]-Table3[[#This Row],[Order Date]]</f>
        <v>5</v>
      </c>
      <c r="N1644" s="23" t="s">
        <v>45</v>
      </c>
      <c r="O1644" s="23" t="s">
        <v>23</v>
      </c>
      <c r="P1644" s="23" t="s">
        <v>212</v>
      </c>
      <c r="Q1644" s="23" t="s">
        <v>95</v>
      </c>
      <c r="R1644" s="23" t="s">
        <v>293</v>
      </c>
      <c r="S1644" s="33">
        <v>0</v>
      </c>
      <c r="T1644" s="13">
        <v>1199.8</v>
      </c>
      <c r="U1644" s="13">
        <v>323.94600000000003</v>
      </c>
      <c r="V1644" s="55">
        <f>Table3[[#This Row],[Profit]]/Table3[[#This Row],[Sales]]</f>
        <v>0.27</v>
      </c>
    </row>
    <row r="1645" spans="1:22" x14ac:dyDescent="0.2">
      <c r="A1645">
        <v>1644</v>
      </c>
      <c r="B1645" t="s">
        <v>2456</v>
      </c>
      <c r="C1645" s="1">
        <v>42980</v>
      </c>
      <c r="D1645" s="22">
        <f>MONTH(Table3[[#This Row],[Order Date]])</f>
        <v>9</v>
      </c>
      <c r="E1645" t="s">
        <v>2460</v>
      </c>
      <c r="F1645" t="s">
        <v>2461</v>
      </c>
      <c r="G1645" s="23" t="s">
        <v>64</v>
      </c>
      <c r="H1645" s="23" t="s">
        <v>144</v>
      </c>
      <c r="I1645" t="s">
        <v>2457</v>
      </c>
      <c r="J1645" t="s">
        <v>92</v>
      </c>
      <c r="K1645" s="22">
        <v>7</v>
      </c>
      <c r="L1645" s="1">
        <v>42985</v>
      </c>
      <c r="M1645" s="22">
        <f>Table3[[#This Row],[Ship Date]]-Table3[[#This Row],[Order Date]]</f>
        <v>5</v>
      </c>
      <c r="N1645" s="23" t="s">
        <v>45</v>
      </c>
      <c r="O1645" s="23" t="s">
        <v>23</v>
      </c>
      <c r="P1645" s="23" t="s">
        <v>212</v>
      </c>
      <c r="Q1645" s="23" t="s">
        <v>95</v>
      </c>
      <c r="R1645" s="23" t="s">
        <v>293</v>
      </c>
      <c r="S1645" s="33">
        <v>0</v>
      </c>
      <c r="T1645" s="13">
        <v>1928.78</v>
      </c>
      <c r="U1645" s="13">
        <v>829.37540000000001</v>
      </c>
      <c r="V1645" s="55">
        <f>Table3[[#This Row],[Profit]]/Table3[[#This Row],[Sales]]</f>
        <v>0.43</v>
      </c>
    </row>
    <row r="1646" spans="1:22" x14ac:dyDescent="0.2">
      <c r="A1646">
        <v>1645</v>
      </c>
      <c r="B1646" t="s">
        <v>2456</v>
      </c>
      <c r="C1646" s="1">
        <v>42980</v>
      </c>
      <c r="D1646" s="22">
        <f>MONTH(Table3[[#This Row],[Order Date]])</f>
        <v>9</v>
      </c>
      <c r="E1646" t="s">
        <v>2462</v>
      </c>
      <c r="F1646" t="s">
        <v>2463</v>
      </c>
      <c r="G1646" s="23" t="s">
        <v>41</v>
      </c>
      <c r="H1646" s="23" t="s">
        <v>53</v>
      </c>
      <c r="I1646" t="s">
        <v>2457</v>
      </c>
      <c r="J1646" t="s">
        <v>92</v>
      </c>
      <c r="K1646" s="22">
        <v>2</v>
      </c>
      <c r="L1646" s="1">
        <v>42985</v>
      </c>
      <c r="M1646" s="22">
        <f>Table3[[#This Row],[Ship Date]]-Table3[[#This Row],[Order Date]]</f>
        <v>5</v>
      </c>
      <c r="N1646" s="23" t="s">
        <v>45</v>
      </c>
      <c r="O1646" s="23" t="s">
        <v>23</v>
      </c>
      <c r="P1646" s="23" t="s">
        <v>212</v>
      </c>
      <c r="Q1646" s="23" t="s">
        <v>95</v>
      </c>
      <c r="R1646" s="23" t="s">
        <v>293</v>
      </c>
      <c r="S1646" s="33">
        <v>0</v>
      </c>
      <c r="T1646" s="13">
        <v>352.38</v>
      </c>
      <c r="U1646" s="13">
        <v>81.047399999999996</v>
      </c>
      <c r="V1646" s="55">
        <f>Table3[[#This Row],[Profit]]/Table3[[#This Row],[Sales]]</f>
        <v>0.22999999999999998</v>
      </c>
    </row>
    <row r="1647" spans="1:22" x14ac:dyDescent="0.2">
      <c r="A1647">
        <v>1646</v>
      </c>
      <c r="B1647" t="s">
        <v>2499</v>
      </c>
      <c r="C1647" s="1">
        <v>42980</v>
      </c>
      <c r="D1647" s="22">
        <f>MONTH(Table3[[#This Row],[Order Date]])</f>
        <v>9</v>
      </c>
      <c r="E1647" t="s">
        <v>2501</v>
      </c>
      <c r="F1647" t="s">
        <v>2502</v>
      </c>
      <c r="G1647" s="23" t="s">
        <v>41</v>
      </c>
      <c r="H1647" s="23" t="s">
        <v>82</v>
      </c>
      <c r="I1647" t="s">
        <v>2500</v>
      </c>
      <c r="J1647" t="s">
        <v>22</v>
      </c>
      <c r="K1647" s="22">
        <v>3</v>
      </c>
      <c r="L1647" s="1">
        <v>42984</v>
      </c>
      <c r="M1647" s="22">
        <f>Table3[[#This Row],[Ship Date]]-Table3[[#This Row],[Order Date]]</f>
        <v>4</v>
      </c>
      <c r="N1647" s="23" t="s">
        <v>45</v>
      </c>
      <c r="O1647" s="23" t="s">
        <v>23</v>
      </c>
      <c r="P1647" s="23" t="s">
        <v>132</v>
      </c>
      <c r="Q1647" s="23" t="s">
        <v>133</v>
      </c>
      <c r="R1647" s="23" t="s">
        <v>131</v>
      </c>
      <c r="S1647" s="33">
        <v>0.2</v>
      </c>
      <c r="T1647" s="13">
        <v>12.192</v>
      </c>
      <c r="U1647" s="13">
        <v>4.1147999999999998</v>
      </c>
      <c r="V1647" s="55">
        <f>Table3[[#This Row],[Profit]]/Table3[[#This Row],[Sales]]</f>
        <v>0.33749999999999997</v>
      </c>
    </row>
    <row r="1648" spans="1:22" x14ac:dyDescent="0.2">
      <c r="A1648">
        <v>1647</v>
      </c>
      <c r="B1648" t="s">
        <v>3115</v>
      </c>
      <c r="C1648" s="1">
        <v>42980</v>
      </c>
      <c r="D1648" s="22">
        <f>MONTH(Table3[[#This Row],[Order Date]])</f>
        <v>9</v>
      </c>
      <c r="E1648" t="s">
        <v>3117</v>
      </c>
      <c r="F1648" t="s">
        <v>3118</v>
      </c>
      <c r="G1648" s="23" t="s">
        <v>41</v>
      </c>
      <c r="H1648" s="23" t="s">
        <v>61</v>
      </c>
      <c r="I1648" t="s">
        <v>3116</v>
      </c>
      <c r="J1648" t="s">
        <v>22</v>
      </c>
      <c r="K1648" s="22">
        <v>3</v>
      </c>
      <c r="L1648" s="1">
        <v>42985</v>
      </c>
      <c r="M1648" s="22">
        <f>Table3[[#This Row],[Ship Date]]-Table3[[#This Row],[Order Date]]</f>
        <v>5</v>
      </c>
      <c r="N1648" s="23" t="s">
        <v>45</v>
      </c>
      <c r="O1648" s="23" t="s">
        <v>23</v>
      </c>
      <c r="P1648" s="23" t="s">
        <v>38</v>
      </c>
      <c r="Q1648" s="23" t="s">
        <v>39</v>
      </c>
      <c r="R1648" s="23" t="s">
        <v>114</v>
      </c>
      <c r="S1648" s="33">
        <v>0</v>
      </c>
      <c r="T1648" s="13">
        <v>6.57</v>
      </c>
      <c r="U1648" s="13">
        <v>1.7739</v>
      </c>
      <c r="V1648" s="55">
        <f>Table3[[#This Row],[Profit]]/Table3[[#This Row],[Sales]]</f>
        <v>0.27</v>
      </c>
    </row>
    <row r="1649" spans="1:22" x14ac:dyDescent="0.2">
      <c r="A1649">
        <v>1648</v>
      </c>
      <c r="B1649" t="s">
        <v>4257</v>
      </c>
      <c r="C1649" s="1">
        <v>42980</v>
      </c>
      <c r="D1649" s="22">
        <f>MONTH(Table3[[#This Row],[Order Date]])</f>
        <v>9</v>
      </c>
      <c r="E1649" t="s">
        <v>1162</v>
      </c>
      <c r="F1649" t="s">
        <v>1163</v>
      </c>
      <c r="G1649" s="23" t="s">
        <v>41</v>
      </c>
      <c r="H1649" s="23" t="s">
        <v>61</v>
      </c>
      <c r="I1649" t="s">
        <v>4258</v>
      </c>
      <c r="J1649" t="s">
        <v>36</v>
      </c>
      <c r="K1649" s="22">
        <v>2</v>
      </c>
      <c r="L1649" s="1">
        <v>42984</v>
      </c>
      <c r="M1649" s="22">
        <f>Table3[[#This Row],[Ship Date]]-Table3[[#This Row],[Order Date]]</f>
        <v>4</v>
      </c>
      <c r="N1649" s="23" t="s">
        <v>45</v>
      </c>
      <c r="O1649" s="23" t="s">
        <v>23</v>
      </c>
      <c r="P1649" s="23" t="s">
        <v>238</v>
      </c>
      <c r="Q1649" s="23" t="s">
        <v>133</v>
      </c>
      <c r="R1649" s="23" t="s">
        <v>237</v>
      </c>
      <c r="S1649" s="33">
        <v>0</v>
      </c>
      <c r="T1649" s="13">
        <v>23.1</v>
      </c>
      <c r="U1649" s="13">
        <v>6.468</v>
      </c>
      <c r="V1649" s="55">
        <f>Table3[[#This Row],[Profit]]/Table3[[#This Row],[Sales]]</f>
        <v>0.27999999999999997</v>
      </c>
    </row>
    <row r="1650" spans="1:22" x14ac:dyDescent="0.2">
      <c r="A1650">
        <v>1649</v>
      </c>
      <c r="B1650" t="s">
        <v>4257</v>
      </c>
      <c r="C1650" s="1">
        <v>42980</v>
      </c>
      <c r="D1650" s="22">
        <f>MONTH(Table3[[#This Row],[Order Date]])</f>
        <v>9</v>
      </c>
      <c r="E1650" t="s">
        <v>4021</v>
      </c>
      <c r="F1650" t="s">
        <v>4022</v>
      </c>
      <c r="G1650" s="23" t="s">
        <v>28</v>
      </c>
      <c r="H1650" s="23" t="s">
        <v>58</v>
      </c>
      <c r="I1650" t="s">
        <v>4258</v>
      </c>
      <c r="J1650" t="s">
        <v>36</v>
      </c>
      <c r="K1650" s="22">
        <v>2</v>
      </c>
      <c r="L1650" s="1">
        <v>42984</v>
      </c>
      <c r="M1650" s="22">
        <f>Table3[[#This Row],[Ship Date]]-Table3[[#This Row],[Order Date]]</f>
        <v>4</v>
      </c>
      <c r="N1650" s="23" t="s">
        <v>45</v>
      </c>
      <c r="O1650" s="23" t="s">
        <v>23</v>
      </c>
      <c r="P1650" s="23" t="s">
        <v>238</v>
      </c>
      <c r="Q1650" s="23" t="s">
        <v>133</v>
      </c>
      <c r="R1650" s="23" t="s">
        <v>237</v>
      </c>
      <c r="S1650" s="33">
        <v>0</v>
      </c>
      <c r="T1650" s="13">
        <v>11.54</v>
      </c>
      <c r="U1650" s="13">
        <v>3.4620000000000002</v>
      </c>
      <c r="V1650" s="55">
        <f>Table3[[#This Row],[Profit]]/Table3[[#This Row],[Sales]]</f>
        <v>0.30000000000000004</v>
      </c>
    </row>
    <row r="1651" spans="1:22" x14ac:dyDescent="0.2">
      <c r="A1651">
        <v>1650</v>
      </c>
      <c r="B1651" t="s">
        <v>4257</v>
      </c>
      <c r="C1651" s="1">
        <v>42980</v>
      </c>
      <c r="D1651" s="22">
        <f>MONTH(Table3[[#This Row],[Order Date]])</f>
        <v>9</v>
      </c>
      <c r="E1651" t="s">
        <v>1418</v>
      </c>
      <c r="F1651" t="s">
        <v>1419</v>
      </c>
      <c r="G1651" s="23" t="s">
        <v>28</v>
      </c>
      <c r="H1651" s="23" t="s">
        <v>50</v>
      </c>
      <c r="I1651" t="s">
        <v>4258</v>
      </c>
      <c r="J1651" t="s">
        <v>36</v>
      </c>
      <c r="K1651" s="22">
        <v>1</v>
      </c>
      <c r="L1651" s="1">
        <v>42984</v>
      </c>
      <c r="M1651" s="22">
        <f>Table3[[#This Row],[Ship Date]]-Table3[[#This Row],[Order Date]]</f>
        <v>4</v>
      </c>
      <c r="N1651" s="23" t="s">
        <v>45</v>
      </c>
      <c r="O1651" s="23" t="s">
        <v>23</v>
      </c>
      <c r="P1651" s="23" t="s">
        <v>238</v>
      </c>
      <c r="Q1651" s="23" t="s">
        <v>133</v>
      </c>
      <c r="R1651" s="23" t="s">
        <v>237</v>
      </c>
      <c r="S1651" s="33">
        <v>0.4</v>
      </c>
      <c r="T1651" s="13">
        <v>254.52600000000001</v>
      </c>
      <c r="U1651" s="13">
        <v>-93.3262</v>
      </c>
      <c r="V1651" s="55">
        <f>Table3[[#This Row],[Profit]]/Table3[[#This Row],[Sales]]</f>
        <v>-0.36666666666666664</v>
      </c>
    </row>
    <row r="1652" spans="1:22" x14ac:dyDescent="0.2">
      <c r="A1652">
        <v>1651</v>
      </c>
      <c r="B1652" t="s">
        <v>4257</v>
      </c>
      <c r="C1652" s="1">
        <v>42980</v>
      </c>
      <c r="D1652" s="22">
        <f>MONTH(Table3[[#This Row],[Order Date]])</f>
        <v>9</v>
      </c>
      <c r="E1652" t="s">
        <v>388</v>
      </c>
      <c r="F1652" t="s">
        <v>389</v>
      </c>
      <c r="G1652" s="23" t="s">
        <v>41</v>
      </c>
      <c r="H1652" s="23" t="s">
        <v>71</v>
      </c>
      <c r="I1652" t="s">
        <v>4258</v>
      </c>
      <c r="J1652" t="s">
        <v>36</v>
      </c>
      <c r="K1652" s="22">
        <v>1</v>
      </c>
      <c r="L1652" s="1">
        <v>42984</v>
      </c>
      <c r="M1652" s="22">
        <f>Table3[[#This Row],[Ship Date]]-Table3[[#This Row],[Order Date]]</f>
        <v>4</v>
      </c>
      <c r="N1652" s="23" t="s">
        <v>45</v>
      </c>
      <c r="O1652" s="23" t="s">
        <v>23</v>
      </c>
      <c r="P1652" s="23" t="s">
        <v>238</v>
      </c>
      <c r="Q1652" s="23" t="s">
        <v>133</v>
      </c>
      <c r="R1652" s="23" t="s">
        <v>237</v>
      </c>
      <c r="S1652" s="33">
        <v>0</v>
      </c>
      <c r="T1652" s="13">
        <v>12.98</v>
      </c>
      <c r="U1652" s="13">
        <v>3.7642000000000002</v>
      </c>
      <c r="V1652" s="55">
        <f>Table3[[#This Row],[Profit]]/Table3[[#This Row],[Sales]]</f>
        <v>0.28999999999999998</v>
      </c>
    </row>
    <row r="1653" spans="1:22" x14ac:dyDescent="0.2">
      <c r="A1653">
        <v>1652</v>
      </c>
      <c r="B1653" t="s">
        <v>4257</v>
      </c>
      <c r="C1653" s="1">
        <v>42980</v>
      </c>
      <c r="D1653" s="22">
        <f>MONTH(Table3[[#This Row],[Order Date]])</f>
        <v>9</v>
      </c>
      <c r="E1653" t="s">
        <v>3170</v>
      </c>
      <c r="F1653" t="s">
        <v>3171</v>
      </c>
      <c r="G1653" s="23" t="s">
        <v>41</v>
      </c>
      <c r="H1653" s="23" t="s">
        <v>68</v>
      </c>
      <c r="I1653" t="s">
        <v>4258</v>
      </c>
      <c r="J1653" t="s">
        <v>36</v>
      </c>
      <c r="K1653" s="22">
        <v>8</v>
      </c>
      <c r="L1653" s="1">
        <v>42984</v>
      </c>
      <c r="M1653" s="22">
        <f>Table3[[#This Row],[Ship Date]]-Table3[[#This Row],[Order Date]]</f>
        <v>4</v>
      </c>
      <c r="N1653" s="23" t="s">
        <v>45</v>
      </c>
      <c r="O1653" s="23" t="s">
        <v>23</v>
      </c>
      <c r="P1653" s="23" t="s">
        <v>238</v>
      </c>
      <c r="Q1653" s="23" t="s">
        <v>133</v>
      </c>
      <c r="R1653" s="23" t="s">
        <v>237</v>
      </c>
      <c r="S1653" s="33">
        <v>0.2</v>
      </c>
      <c r="T1653" s="13">
        <v>26.431999999999999</v>
      </c>
      <c r="U1653" s="13">
        <v>8.9207999999999998</v>
      </c>
      <c r="V1653" s="55">
        <f>Table3[[#This Row],[Profit]]/Table3[[#This Row],[Sales]]</f>
        <v>0.33750000000000002</v>
      </c>
    </row>
    <row r="1654" spans="1:22" x14ac:dyDescent="0.2">
      <c r="A1654">
        <v>1653</v>
      </c>
      <c r="B1654" t="s">
        <v>4257</v>
      </c>
      <c r="C1654" s="1">
        <v>42980</v>
      </c>
      <c r="D1654" s="22">
        <f>MONTH(Table3[[#This Row],[Order Date]])</f>
        <v>9</v>
      </c>
      <c r="E1654" t="s">
        <v>2694</v>
      </c>
      <c r="F1654" t="s">
        <v>2695</v>
      </c>
      <c r="G1654" s="23" t="s">
        <v>64</v>
      </c>
      <c r="H1654" s="23" t="s">
        <v>65</v>
      </c>
      <c r="I1654" t="s">
        <v>4258</v>
      </c>
      <c r="J1654" t="s">
        <v>36</v>
      </c>
      <c r="K1654" s="22">
        <v>3</v>
      </c>
      <c r="L1654" s="1">
        <v>42984</v>
      </c>
      <c r="M1654" s="22">
        <f>Table3[[#This Row],[Ship Date]]-Table3[[#This Row],[Order Date]]</f>
        <v>4</v>
      </c>
      <c r="N1654" s="23" t="s">
        <v>45</v>
      </c>
      <c r="O1654" s="23" t="s">
        <v>23</v>
      </c>
      <c r="P1654" s="23" t="s">
        <v>238</v>
      </c>
      <c r="Q1654" s="23" t="s">
        <v>133</v>
      </c>
      <c r="R1654" s="23" t="s">
        <v>237</v>
      </c>
      <c r="S1654" s="33">
        <v>0</v>
      </c>
      <c r="T1654" s="13">
        <v>197.97</v>
      </c>
      <c r="U1654" s="13">
        <v>57.411299999999997</v>
      </c>
      <c r="V1654" s="55">
        <f>Table3[[#This Row],[Profit]]/Table3[[#This Row],[Sales]]</f>
        <v>0.28999999999999998</v>
      </c>
    </row>
    <row r="1655" spans="1:22" x14ac:dyDescent="0.2">
      <c r="A1655">
        <v>1654</v>
      </c>
      <c r="B1655" t="s">
        <v>4257</v>
      </c>
      <c r="C1655" s="1">
        <v>42980</v>
      </c>
      <c r="D1655" s="22">
        <f>MONTH(Table3[[#This Row],[Order Date]])</f>
        <v>9</v>
      </c>
      <c r="E1655" t="s">
        <v>3650</v>
      </c>
      <c r="F1655" t="s">
        <v>3651</v>
      </c>
      <c r="G1655" s="23" t="s">
        <v>41</v>
      </c>
      <c r="H1655" s="23" t="s">
        <v>42</v>
      </c>
      <c r="I1655" t="s">
        <v>4258</v>
      </c>
      <c r="J1655" t="s">
        <v>36</v>
      </c>
      <c r="K1655" s="22">
        <v>6</v>
      </c>
      <c r="L1655" s="1">
        <v>42984</v>
      </c>
      <c r="M1655" s="22">
        <f>Table3[[#This Row],[Ship Date]]-Table3[[#This Row],[Order Date]]</f>
        <v>4</v>
      </c>
      <c r="N1655" s="23" t="s">
        <v>45</v>
      </c>
      <c r="O1655" s="23" t="s">
        <v>23</v>
      </c>
      <c r="P1655" s="23" t="s">
        <v>238</v>
      </c>
      <c r="Q1655" s="23" t="s">
        <v>133</v>
      </c>
      <c r="R1655" s="23" t="s">
        <v>237</v>
      </c>
      <c r="S1655" s="33">
        <v>0</v>
      </c>
      <c r="T1655" s="13">
        <v>18.899999999999999</v>
      </c>
      <c r="U1655" s="13">
        <v>9.0719999999999992</v>
      </c>
      <c r="V1655" s="55">
        <f>Table3[[#This Row],[Profit]]/Table3[[#This Row],[Sales]]</f>
        <v>0.48</v>
      </c>
    </row>
    <row r="1656" spans="1:22" x14ac:dyDescent="0.2">
      <c r="A1656">
        <v>1655</v>
      </c>
      <c r="B1656" t="s">
        <v>4257</v>
      </c>
      <c r="C1656" s="1">
        <v>42980</v>
      </c>
      <c r="D1656" s="22">
        <f>MONTH(Table3[[#This Row],[Order Date]])</f>
        <v>9</v>
      </c>
      <c r="E1656" t="s">
        <v>1588</v>
      </c>
      <c r="F1656" t="s">
        <v>1589</v>
      </c>
      <c r="G1656" s="23" t="s">
        <v>28</v>
      </c>
      <c r="H1656" s="23" t="s">
        <v>32</v>
      </c>
      <c r="I1656" t="s">
        <v>4258</v>
      </c>
      <c r="J1656" t="s">
        <v>36</v>
      </c>
      <c r="K1656" s="22">
        <v>5</v>
      </c>
      <c r="L1656" s="1">
        <v>42984</v>
      </c>
      <c r="M1656" s="22">
        <f>Table3[[#This Row],[Ship Date]]-Table3[[#This Row],[Order Date]]</f>
        <v>4</v>
      </c>
      <c r="N1656" s="23" t="s">
        <v>45</v>
      </c>
      <c r="O1656" s="23" t="s">
        <v>23</v>
      </c>
      <c r="P1656" s="23" t="s">
        <v>238</v>
      </c>
      <c r="Q1656" s="23" t="s">
        <v>133</v>
      </c>
      <c r="R1656" s="23" t="s">
        <v>237</v>
      </c>
      <c r="S1656" s="33">
        <v>0.1</v>
      </c>
      <c r="T1656" s="13">
        <v>1282.4100000000001</v>
      </c>
      <c r="U1656" s="13">
        <v>213.73500000000001</v>
      </c>
      <c r="V1656" s="55">
        <f>Table3[[#This Row],[Profit]]/Table3[[#This Row],[Sales]]</f>
        <v>0.16666666666666666</v>
      </c>
    </row>
    <row r="1657" spans="1:22" x14ac:dyDescent="0.2">
      <c r="A1657">
        <v>1656</v>
      </c>
      <c r="B1657" t="s">
        <v>4257</v>
      </c>
      <c r="C1657" s="1">
        <v>42980</v>
      </c>
      <c r="D1657" s="22">
        <f>MONTH(Table3[[#This Row],[Order Date]])</f>
        <v>9</v>
      </c>
      <c r="E1657" t="s">
        <v>4259</v>
      </c>
      <c r="F1657" t="s">
        <v>4260</v>
      </c>
      <c r="G1657" s="23" t="s">
        <v>41</v>
      </c>
      <c r="H1657" s="23" t="s">
        <v>61</v>
      </c>
      <c r="I1657" t="s">
        <v>4258</v>
      </c>
      <c r="J1657" t="s">
        <v>36</v>
      </c>
      <c r="K1657" s="22">
        <v>3</v>
      </c>
      <c r="L1657" s="1">
        <v>42984</v>
      </c>
      <c r="M1657" s="22">
        <f>Table3[[#This Row],[Ship Date]]-Table3[[#This Row],[Order Date]]</f>
        <v>4</v>
      </c>
      <c r="N1657" s="23" t="s">
        <v>45</v>
      </c>
      <c r="O1657" s="23" t="s">
        <v>23</v>
      </c>
      <c r="P1657" s="23" t="s">
        <v>238</v>
      </c>
      <c r="Q1657" s="23" t="s">
        <v>133</v>
      </c>
      <c r="R1657" s="23" t="s">
        <v>237</v>
      </c>
      <c r="S1657" s="33">
        <v>0</v>
      </c>
      <c r="T1657" s="13">
        <v>4.92</v>
      </c>
      <c r="U1657" s="13">
        <v>2.214</v>
      </c>
      <c r="V1657" s="55">
        <f>Table3[[#This Row],[Profit]]/Table3[[#This Row],[Sales]]</f>
        <v>0.45</v>
      </c>
    </row>
    <row r="1658" spans="1:22" x14ac:dyDescent="0.2">
      <c r="A1658">
        <v>1657</v>
      </c>
      <c r="B1658" t="s">
        <v>4257</v>
      </c>
      <c r="C1658" s="1">
        <v>42980</v>
      </c>
      <c r="D1658" s="22">
        <f>MONTH(Table3[[#This Row],[Order Date]])</f>
        <v>9</v>
      </c>
      <c r="E1658" t="s">
        <v>4261</v>
      </c>
      <c r="F1658" t="s">
        <v>4262</v>
      </c>
      <c r="G1658" s="23" t="s">
        <v>64</v>
      </c>
      <c r="H1658" s="23" t="s">
        <v>144</v>
      </c>
      <c r="I1658" t="s">
        <v>4258</v>
      </c>
      <c r="J1658" t="s">
        <v>36</v>
      </c>
      <c r="K1658" s="22">
        <v>2</v>
      </c>
      <c r="L1658" s="1">
        <v>42984</v>
      </c>
      <c r="M1658" s="22">
        <f>Table3[[#This Row],[Ship Date]]-Table3[[#This Row],[Order Date]]</f>
        <v>4</v>
      </c>
      <c r="N1658" s="23" t="s">
        <v>45</v>
      </c>
      <c r="O1658" s="23" t="s">
        <v>23</v>
      </c>
      <c r="P1658" s="23" t="s">
        <v>238</v>
      </c>
      <c r="Q1658" s="23" t="s">
        <v>133</v>
      </c>
      <c r="R1658" s="23" t="s">
        <v>237</v>
      </c>
      <c r="S1658" s="33">
        <v>0</v>
      </c>
      <c r="T1658" s="13">
        <v>238</v>
      </c>
      <c r="U1658" s="13">
        <v>38.08</v>
      </c>
      <c r="V1658" s="55">
        <f>Table3[[#This Row],[Profit]]/Table3[[#This Row],[Sales]]</f>
        <v>0.16</v>
      </c>
    </row>
    <row r="1659" spans="1:22" x14ac:dyDescent="0.2">
      <c r="A1659">
        <v>1658</v>
      </c>
      <c r="B1659" t="s">
        <v>4257</v>
      </c>
      <c r="C1659" s="1">
        <v>42980</v>
      </c>
      <c r="D1659" s="22">
        <f>MONTH(Table3[[#This Row],[Order Date]])</f>
        <v>9</v>
      </c>
      <c r="E1659" t="s">
        <v>754</v>
      </c>
      <c r="F1659" t="s">
        <v>755</v>
      </c>
      <c r="G1659" s="23" t="s">
        <v>64</v>
      </c>
      <c r="H1659" s="23" t="s">
        <v>144</v>
      </c>
      <c r="I1659" t="s">
        <v>4258</v>
      </c>
      <c r="J1659" t="s">
        <v>36</v>
      </c>
      <c r="K1659" s="22">
        <v>3</v>
      </c>
      <c r="L1659" s="1">
        <v>42984</v>
      </c>
      <c r="M1659" s="22">
        <f>Table3[[#This Row],[Ship Date]]-Table3[[#This Row],[Order Date]]</f>
        <v>4</v>
      </c>
      <c r="N1659" s="23" t="s">
        <v>45</v>
      </c>
      <c r="O1659" s="23" t="s">
        <v>23</v>
      </c>
      <c r="P1659" s="23" t="s">
        <v>238</v>
      </c>
      <c r="Q1659" s="23" t="s">
        <v>133</v>
      </c>
      <c r="R1659" s="23" t="s">
        <v>237</v>
      </c>
      <c r="S1659" s="33">
        <v>0</v>
      </c>
      <c r="T1659" s="13">
        <v>167.97</v>
      </c>
      <c r="U1659" s="13">
        <v>40.312800000000003</v>
      </c>
      <c r="V1659" s="55">
        <f>Table3[[#This Row],[Profit]]/Table3[[#This Row],[Sales]]</f>
        <v>0.24000000000000002</v>
      </c>
    </row>
    <row r="1660" spans="1:22" x14ac:dyDescent="0.2">
      <c r="A1660">
        <v>1659</v>
      </c>
      <c r="B1660" t="s">
        <v>4257</v>
      </c>
      <c r="C1660" s="1">
        <v>42980</v>
      </c>
      <c r="D1660" s="22">
        <f>MONTH(Table3[[#This Row],[Order Date]])</f>
        <v>9</v>
      </c>
      <c r="E1660" t="s">
        <v>3939</v>
      </c>
      <c r="F1660" t="s">
        <v>3940</v>
      </c>
      <c r="G1660" s="23" t="s">
        <v>41</v>
      </c>
      <c r="H1660" s="23" t="s">
        <v>82</v>
      </c>
      <c r="I1660" t="s">
        <v>4258</v>
      </c>
      <c r="J1660" t="s">
        <v>36</v>
      </c>
      <c r="K1660" s="22">
        <v>4</v>
      </c>
      <c r="L1660" s="1">
        <v>42984</v>
      </c>
      <c r="M1660" s="22">
        <f>Table3[[#This Row],[Ship Date]]-Table3[[#This Row],[Order Date]]</f>
        <v>4</v>
      </c>
      <c r="N1660" s="23" t="s">
        <v>45</v>
      </c>
      <c r="O1660" s="23" t="s">
        <v>23</v>
      </c>
      <c r="P1660" s="23" t="s">
        <v>238</v>
      </c>
      <c r="Q1660" s="23" t="s">
        <v>133</v>
      </c>
      <c r="R1660" s="23" t="s">
        <v>237</v>
      </c>
      <c r="S1660" s="33">
        <v>0</v>
      </c>
      <c r="T1660" s="13">
        <v>17.12</v>
      </c>
      <c r="U1660" s="13">
        <v>7.7039999999999997</v>
      </c>
      <c r="V1660" s="55">
        <f>Table3[[#This Row],[Profit]]/Table3[[#This Row],[Sales]]</f>
        <v>0.44999999999999996</v>
      </c>
    </row>
    <row r="1661" spans="1:22" x14ac:dyDescent="0.2">
      <c r="A1661">
        <v>1660</v>
      </c>
      <c r="B1661" t="s">
        <v>6350</v>
      </c>
      <c r="C1661" s="1">
        <v>42980</v>
      </c>
      <c r="D1661" s="22">
        <f>MONTH(Table3[[#This Row],[Order Date]])</f>
        <v>9</v>
      </c>
      <c r="E1661" t="s">
        <v>2986</v>
      </c>
      <c r="F1661" t="s">
        <v>2987</v>
      </c>
      <c r="G1661" s="23" t="s">
        <v>41</v>
      </c>
      <c r="H1661" s="23" t="s">
        <v>61</v>
      </c>
      <c r="I1661" t="s">
        <v>3662</v>
      </c>
      <c r="J1661" t="s">
        <v>22</v>
      </c>
      <c r="K1661" s="22">
        <v>5</v>
      </c>
      <c r="L1661" s="1">
        <v>42986</v>
      </c>
      <c r="M1661" s="22">
        <f>Table3[[#This Row],[Ship Date]]-Table3[[#This Row],[Order Date]]</f>
        <v>6</v>
      </c>
      <c r="N1661" s="23" t="s">
        <v>45</v>
      </c>
      <c r="O1661" s="23" t="s">
        <v>23</v>
      </c>
      <c r="P1661" s="23" t="s">
        <v>38</v>
      </c>
      <c r="Q1661" s="23" t="s">
        <v>39</v>
      </c>
      <c r="R1661" s="23" t="s">
        <v>5301</v>
      </c>
      <c r="S1661" s="33">
        <v>0</v>
      </c>
      <c r="T1661" s="13">
        <v>9.4</v>
      </c>
      <c r="U1661" s="13">
        <v>2.726</v>
      </c>
      <c r="V1661" s="55">
        <f>Table3[[#This Row],[Profit]]/Table3[[#This Row],[Sales]]</f>
        <v>0.28999999999999998</v>
      </c>
    </row>
    <row r="1662" spans="1:22" x14ac:dyDescent="0.2">
      <c r="A1662">
        <v>1661</v>
      </c>
      <c r="B1662" t="s">
        <v>6350</v>
      </c>
      <c r="C1662" s="1">
        <v>42980</v>
      </c>
      <c r="D1662" s="22">
        <f>MONTH(Table3[[#This Row],[Order Date]])</f>
        <v>9</v>
      </c>
      <c r="E1662" t="s">
        <v>748</v>
      </c>
      <c r="F1662" t="s">
        <v>749</v>
      </c>
      <c r="G1662" s="23" t="s">
        <v>41</v>
      </c>
      <c r="H1662" s="23" t="s">
        <v>42</v>
      </c>
      <c r="I1662" t="s">
        <v>3662</v>
      </c>
      <c r="J1662" t="s">
        <v>22</v>
      </c>
      <c r="K1662" s="22">
        <v>5</v>
      </c>
      <c r="L1662" s="1">
        <v>42986</v>
      </c>
      <c r="M1662" s="22">
        <f>Table3[[#This Row],[Ship Date]]-Table3[[#This Row],[Order Date]]</f>
        <v>6</v>
      </c>
      <c r="N1662" s="23" t="s">
        <v>45</v>
      </c>
      <c r="O1662" s="23" t="s">
        <v>23</v>
      </c>
      <c r="P1662" s="23" t="s">
        <v>38</v>
      </c>
      <c r="Q1662" s="23" t="s">
        <v>39</v>
      </c>
      <c r="R1662" s="23" t="s">
        <v>5301</v>
      </c>
      <c r="S1662" s="33">
        <v>0</v>
      </c>
      <c r="T1662" s="13">
        <v>74</v>
      </c>
      <c r="U1662" s="13">
        <v>37</v>
      </c>
      <c r="V1662" s="55">
        <f>Table3[[#This Row],[Profit]]/Table3[[#This Row],[Sales]]</f>
        <v>0.5</v>
      </c>
    </row>
    <row r="1663" spans="1:22" x14ac:dyDescent="0.2">
      <c r="A1663">
        <v>1662</v>
      </c>
      <c r="B1663" t="s">
        <v>6350</v>
      </c>
      <c r="C1663" s="1">
        <v>42980</v>
      </c>
      <c r="D1663" s="22">
        <f>MONTH(Table3[[#This Row],[Order Date]])</f>
        <v>9</v>
      </c>
      <c r="E1663" t="s">
        <v>6029</v>
      </c>
      <c r="F1663" t="s">
        <v>6030</v>
      </c>
      <c r="G1663" s="23" t="s">
        <v>64</v>
      </c>
      <c r="H1663" s="23" t="s">
        <v>65</v>
      </c>
      <c r="I1663" t="s">
        <v>3662</v>
      </c>
      <c r="J1663" t="s">
        <v>22</v>
      </c>
      <c r="K1663" s="22">
        <v>2</v>
      </c>
      <c r="L1663" s="1">
        <v>42986</v>
      </c>
      <c r="M1663" s="22">
        <f>Table3[[#This Row],[Ship Date]]-Table3[[#This Row],[Order Date]]</f>
        <v>6</v>
      </c>
      <c r="N1663" s="23" t="s">
        <v>45</v>
      </c>
      <c r="O1663" s="23" t="s">
        <v>23</v>
      </c>
      <c r="P1663" s="23" t="s">
        <v>38</v>
      </c>
      <c r="Q1663" s="23" t="s">
        <v>39</v>
      </c>
      <c r="R1663" s="23" t="s">
        <v>5301</v>
      </c>
      <c r="S1663" s="33">
        <v>0.2</v>
      </c>
      <c r="T1663" s="13">
        <v>201.584</v>
      </c>
      <c r="U1663" s="13">
        <v>12.599</v>
      </c>
      <c r="V1663" s="55">
        <f>Table3[[#This Row],[Profit]]/Table3[[#This Row],[Sales]]</f>
        <v>6.25E-2</v>
      </c>
    </row>
    <row r="1664" spans="1:22" x14ac:dyDescent="0.2">
      <c r="A1664">
        <v>1663</v>
      </c>
      <c r="B1664" t="s">
        <v>8254</v>
      </c>
      <c r="C1664" s="1">
        <v>42980</v>
      </c>
      <c r="D1664" s="22">
        <f>MONTH(Table3[[#This Row],[Order Date]])</f>
        <v>9</v>
      </c>
      <c r="E1664" t="s">
        <v>1311</v>
      </c>
      <c r="F1664" t="s">
        <v>1312</v>
      </c>
      <c r="G1664" s="23" t="s">
        <v>41</v>
      </c>
      <c r="H1664" s="23" t="s">
        <v>53</v>
      </c>
      <c r="I1664" t="s">
        <v>245</v>
      </c>
      <c r="J1664" t="s">
        <v>22</v>
      </c>
      <c r="K1664" s="22">
        <v>1</v>
      </c>
      <c r="L1664" s="1">
        <v>42985</v>
      </c>
      <c r="M1664" s="22">
        <f>Table3[[#This Row],[Ship Date]]-Table3[[#This Row],[Order Date]]</f>
        <v>5</v>
      </c>
      <c r="N1664" s="23" t="s">
        <v>20</v>
      </c>
      <c r="O1664" s="23" t="s">
        <v>23</v>
      </c>
      <c r="P1664" s="23" t="s">
        <v>660</v>
      </c>
      <c r="Q1664" s="23" t="s">
        <v>133</v>
      </c>
      <c r="R1664" s="23" t="s">
        <v>4073</v>
      </c>
      <c r="S1664" s="33">
        <v>0</v>
      </c>
      <c r="T1664" s="13">
        <v>10.9</v>
      </c>
      <c r="U1664" s="13">
        <v>2.8340000000000001</v>
      </c>
      <c r="V1664" s="55">
        <f>Table3[[#This Row],[Profit]]/Table3[[#This Row],[Sales]]</f>
        <v>0.26</v>
      </c>
    </row>
    <row r="1665" spans="1:22" x14ac:dyDescent="0.2">
      <c r="A1665">
        <v>1664</v>
      </c>
      <c r="B1665" t="s">
        <v>8254</v>
      </c>
      <c r="C1665" s="1">
        <v>42980</v>
      </c>
      <c r="D1665" s="22">
        <f>MONTH(Table3[[#This Row],[Order Date]])</f>
        <v>9</v>
      </c>
      <c r="E1665" t="s">
        <v>1282</v>
      </c>
      <c r="F1665" t="s">
        <v>1283</v>
      </c>
      <c r="G1665" s="23" t="s">
        <v>41</v>
      </c>
      <c r="H1665" s="23" t="s">
        <v>82</v>
      </c>
      <c r="I1665" t="s">
        <v>245</v>
      </c>
      <c r="J1665" t="s">
        <v>22</v>
      </c>
      <c r="K1665" s="22">
        <v>4</v>
      </c>
      <c r="L1665" s="1">
        <v>42985</v>
      </c>
      <c r="M1665" s="22">
        <f>Table3[[#This Row],[Ship Date]]-Table3[[#This Row],[Order Date]]</f>
        <v>5</v>
      </c>
      <c r="N1665" s="23" t="s">
        <v>20</v>
      </c>
      <c r="O1665" s="23" t="s">
        <v>23</v>
      </c>
      <c r="P1665" s="23" t="s">
        <v>660</v>
      </c>
      <c r="Q1665" s="23" t="s">
        <v>133</v>
      </c>
      <c r="R1665" s="23" t="s">
        <v>4073</v>
      </c>
      <c r="S1665" s="33">
        <v>0</v>
      </c>
      <c r="T1665" s="13">
        <v>79.92</v>
      </c>
      <c r="U1665" s="13">
        <v>37.562399999999997</v>
      </c>
      <c r="V1665" s="55">
        <f>Table3[[#This Row],[Profit]]/Table3[[#This Row],[Sales]]</f>
        <v>0.47</v>
      </c>
    </row>
    <row r="1666" spans="1:22" x14ac:dyDescent="0.2">
      <c r="A1666">
        <v>1665</v>
      </c>
      <c r="B1666" t="s">
        <v>8254</v>
      </c>
      <c r="C1666" s="1">
        <v>42980</v>
      </c>
      <c r="D1666" s="22">
        <f>MONTH(Table3[[#This Row],[Order Date]])</f>
        <v>9</v>
      </c>
      <c r="E1666" t="s">
        <v>6429</v>
      </c>
      <c r="F1666" t="s">
        <v>6430</v>
      </c>
      <c r="G1666" s="23" t="s">
        <v>41</v>
      </c>
      <c r="H1666" s="23" t="s">
        <v>82</v>
      </c>
      <c r="I1666" t="s">
        <v>245</v>
      </c>
      <c r="J1666" t="s">
        <v>22</v>
      </c>
      <c r="K1666" s="22">
        <v>3</v>
      </c>
      <c r="L1666" s="1">
        <v>42985</v>
      </c>
      <c r="M1666" s="22">
        <f>Table3[[#This Row],[Ship Date]]-Table3[[#This Row],[Order Date]]</f>
        <v>5</v>
      </c>
      <c r="N1666" s="23" t="s">
        <v>20</v>
      </c>
      <c r="O1666" s="23" t="s">
        <v>23</v>
      </c>
      <c r="P1666" s="23" t="s">
        <v>660</v>
      </c>
      <c r="Q1666" s="23" t="s">
        <v>133</v>
      </c>
      <c r="R1666" s="23" t="s">
        <v>4073</v>
      </c>
      <c r="S1666" s="33">
        <v>0</v>
      </c>
      <c r="T1666" s="13">
        <v>146.82</v>
      </c>
      <c r="U1666" s="13">
        <v>73.41</v>
      </c>
      <c r="V1666" s="55">
        <f>Table3[[#This Row],[Profit]]/Table3[[#This Row],[Sales]]</f>
        <v>0.5</v>
      </c>
    </row>
    <row r="1667" spans="1:22" x14ac:dyDescent="0.2">
      <c r="A1667">
        <v>1666</v>
      </c>
      <c r="B1667" t="s">
        <v>8383</v>
      </c>
      <c r="C1667" s="1">
        <v>42980</v>
      </c>
      <c r="D1667" s="22">
        <f>MONTH(Table3[[#This Row],[Order Date]])</f>
        <v>9</v>
      </c>
      <c r="E1667" t="s">
        <v>2264</v>
      </c>
      <c r="F1667" t="s">
        <v>2265</v>
      </c>
      <c r="G1667" s="23" t="s">
        <v>41</v>
      </c>
      <c r="H1667" s="23" t="s">
        <v>240</v>
      </c>
      <c r="I1667" t="s">
        <v>2400</v>
      </c>
      <c r="J1667" t="s">
        <v>36</v>
      </c>
      <c r="K1667" s="22">
        <v>4</v>
      </c>
      <c r="L1667" s="1">
        <v>42986</v>
      </c>
      <c r="M1667" s="22">
        <f>Table3[[#This Row],[Ship Date]]-Table3[[#This Row],[Order Date]]</f>
        <v>6</v>
      </c>
      <c r="N1667" s="23" t="s">
        <v>45</v>
      </c>
      <c r="O1667" s="23" t="s">
        <v>23</v>
      </c>
      <c r="P1667" s="23" t="s">
        <v>189</v>
      </c>
      <c r="Q1667" s="23" t="s">
        <v>95</v>
      </c>
      <c r="R1667" s="23" t="s">
        <v>271</v>
      </c>
      <c r="S1667" s="33">
        <v>0.2</v>
      </c>
      <c r="T1667" s="13">
        <v>16</v>
      </c>
      <c r="U1667" s="13">
        <v>5.6</v>
      </c>
      <c r="V1667" s="55">
        <f>Table3[[#This Row],[Profit]]/Table3[[#This Row],[Sales]]</f>
        <v>0.35</v>
      </c>
    </row>
    <row r="1668" spans="1:22" x14ac:dyDescent="0.2">
      <c r="A1668">
        <v>1667</v>
      </c>
      <c r="B1668" t="s">
        <v>8383</v>
      </c>
      <c r="C1668" s="1">
        <v>42980</v>
      </c>
      <c r="D1668" s="22">
        <f>MONTH(Table3[[#This Row],[Order Date]])</f>
        <v>9</v>
      </c>
      <c r="E1668" t="s">
        <v>8384</v>
      </c>
      <c r="F1668" t="s">
        <v>8385</v>
      </c>
      <c r="G1668" s="23" t="s">
        <v>41</v>
      </c>
      <c r="H1668" s="23" t="s">
        <v>71</v>
      </c>
      <c r="I1668" t="s">
        <v>2400</v>
      </c>
      <c r="J1668" t="s">
        <v>36</v>
      </c>
      <c r="K1668" s="22">
        <v>2</v>
      </c>
      <c r="L1668" s="1">
        <v>42986</v>
      </c>
      <c r="M1668" s="22">
        <f>Table3[[#This Row],[Ship Date]]-Table3[[#This Row],[Order Date]]</f>
        <v>6</v>
      </c>
      <c r="N1668" s="23" t="s">
        <v>45</v>
      </c>
      <c r="O1668" s="23" t="s">
        <v>23</v>
      </c>
      <c r="P1668" s="23" t="s">
        <v>189</v>
      </c>
      <c r="Q1668" s="23" t="s">
        <v>95</v>
      </c>
      <c r="R1668" s="23" t="s">
        <v>271</v>
      </c>
      <c r="S1668" s="33">
        <v>0.8</v>
      </c>
      <c r="T1668" s="13">
        <v>5.5880000000000001</v>
      </c>
      <c r="U1668" s="13">
        <v>-15.0876</v>
      </c>
      <c r="V1668" s="55">
        <f>Table3[[#This Row],[Profit]]/Table3[[#This Row],[Sales]]</f>
        <v>-2.7</v>
      </c>
    </row>
    <row r="1669" spans="1:22" x14ac:dyDescent="0.2">
      <c r="A1669">
        <v>1668</v>
      </c>
      <c r="B1669" t="s">
        <v>8383</v>
      </c>
      <c r="C1669" s="1">
        <v>42980</v>
      </c>
      <c r="D1669" s="22">
        <f>MONTH(Table3[[#This Row],[Order Date]])</f>
        <v>9</v>
      </c>
      <c r="E1669" t="s">
        <v>7610</v>
      </c>
      <c r="F1669" t="s">
        <v>7611</v>
      </c>
      <c r="G1669" s="23" t="s">
        <v>41</v>
      </c>
      <c r="H1669" s="23" t="s">
        <v>53</v>
      </c>
      <c r="I1669" t="s">
        <v>2400</v>
      </c>
      <c r="J1669" t="s">
        <v>36</v>
      </c>
      <c r="K1669" s="22">
        <v>5</v>
      </c>
      <c r="L1669" s="1">
        <v>42986</v>
      </c>
      <c r="M1669" s="22">
        <f>Table3[[#This Row],[Ship Date]]-Table3[[#This Row],[Order Date]]</f>
        <v>6</v>
      </c>
      <c r="N1669" s="23" t="s">
        <v>45</v>
      </c>
      <c r="O1669" s="23" t="s">
        <v>23</v>
      </c>
      <c r="P1669" s="23" t="s">
        <v>189</v>
      </c>
      <c r="Q1669" s="23" t="s">
        <v>95</v>
      </c>
      <c r="R1669" s="23" t="s">
        <v>271</v>
      </c>
      <c r="S1669" s="33">
        <v>0.2</v>
      </c>
      <c r="T1669" s="13">
        <v>235.92</v>
      </c>
      <c r="U1669" s="13">
        <v>-44.234999999999999</v>
      </c>
      <c r="V1669" s="55">
        <f>Table3[[#This Row],[Profit]]/Table3[[#This Row],[Sales]]</f>
        <v>-0.1875</v>
      </c>
    </row>
    <row r="1670" spans="1:22" x14ac:dyDescent="0.2">
      <c r="A1670">
        <v>1669</v>
      </c>
      <c r="B1670" t="s">
        <v>8579</v>
      </c>
      <c r="C1670" s="1">
        <v>42980</v>
      </c>
      <c r="D1670" s="22">
        <f>MONTH(Table3[[#This Row],[Order Date]])</f>
        <v>9</v>
      </c>
      <c r="E1670" t="s">
        <v>2261</v>
      </c>
      <c r="F1670" t="s">
        <v>2262</v>
      </c>
      <c r="G1670" s="23" t="s">
        <v>64</v>
      </c>
      <c r="H1670" s="23" t="s">
        <v>144</v>
      </c>
      <c r="I1670" t="s">
        <v>3678</v>
      </c>
      <c r="J1670" t="s">
        <v>22</v>
      </c>
      <c r="K1670" s="22">
        <v>3</v>
      </c>
      <c r="L1670" s="1">
        <v>42984</v>
      </c>
      <c r="M1670" s="22">
        <f>Table3[[#This Row],[Ship Date]]-Table3[[#This Row],[Order Date]]</f>
        <v>4</v>
      </c>
      <c r="N1670" s="23" t="s">
        <v>45</v>
      </c>
      <c r="O1670" s="23" t="s">
        <v>23</v>
      </c>
      <c r="P1670" s="23" t="s">
        <v>189</v>
      </c>
      <c r="Q1670" s="23" t="s">
        <v>95</v>
      </c>
      <c r="R1670" s="23" t="s">
        <v>271</v>
      </c>
      <c r="S1670" s="33">
        <v>0.2</v>
      </c>
      <c r="T1670" s="13">
        <v>40.68</v>
      </c>
      <c r="U1670" s="13">
        <v>-7.1189999999999998</v>
      </c>
      <c r="V1670" s="55">
        <f>Table3[[#This Row],[Profit]]/Table3[[#This Row],[Sales]]</f>
        <v>-0.17499999999999999</v>
      </c>
    </row>
    <row r="1671" spans="1:22" x14ac:dyDescent="0.2">
      <c r="A1671">
        <v>1670</v>
      </c>
      <c r="B1671" t="s">
        <v>8703</v>
      </c>
      <c r="C1671" s="1">
        <v>42980</v>
      </c>
      <c r="D1671" s="22">
        <f>MONTH(Table3[[#This Row],[Order Date]])</f>
        <v>9</v>
      </c>
      <c r="E1671" t="s">
        <v>2074</v>
      </c>
      <c r="F1671" t="s">
        <v>2075</v>
      </c>
      <c r="G1671" s="23" t="s">
        <v>41</v>
      </c>
      <c r="H1671" s="23" t="s">
        <v>68</v>
      </c>
      <c r="I1671" t="s">
        <v>4036</v>
      </c>
      <c r="J1671" t="s">
        <v>22</v>
      </c>
      <c r="K1671" s="22">
        <v>5</v>
      </c>
      <c r="L1671" s="1">
        <v>42984</v>
      </c>
      <c r="M1671" s="22">
        <f>Table3[[#This Row],[Ship Date]]-Table3[[#This Row],[Order Date]]</f>
        <v>4</v>
      </c>
      <c r="N1671" s="23" t="s">
        <v>45</v>
      </c>
      <c r="O1671" s="23" t="s">
        <v>23</v>
      </c>
      <c r="P1671" s="23" t="s">
        <v>38</v>
      </c>
      <c r="Q1671" s="23" t="s">
        <v>39</v>
      </c>
      <c r="R1671" s="23" t="s">
        <v>37</v>
      </c>
      <c r="S1671" s="33">
        <v>0.2</v>
      </c>
      <c r="T1671" s="13">
        <v>18.72</v>
      </c>
      <c r="U1671" s="13">
        <v>6.5519999999999996</v>
      </c>
      <c r="V1671" s="55">
        <f>Table3[[#This Row],[Profit]]/Table3[[#This Row],[Sales]]</f>
        <v>0.35</v>
      </c>
    </row>
    <row r="1672" spans="1:22" x14ac:dyDescent="0.2">
      <c r="A1672">
        <v>1671</v>
      </c>
      <c r="B1672" t="s">
        <v>8703</v>
      </c>
      <c r="C1672" s="1">
        <v>42980</v>
      </c>
      <c r="D1672" s="22">
        <f>MONTH(Table3[[#This Row],[Order Date]])</f>
        <v>9</v>
      </c>
      <c r="E1672" t="s">
        <v>3934</v>
      </c>
      <c r="F1672" t="s">
        <v>3935</v>
      </c>
      <c r="G1672" s="23" t="s">
        <v>28</v>
      </c>
      <c r="H1672" s="23" t="s">
        <v>50</v>
      </c>
      <c r="I1672" t="s">
        <v>4036</v>
      </c>
      <c r="J1672" t="s">
        <v>22</v>
      </c>
      <c r="K1672" s="22">
        <v>2</v>
      </c>
      <c r="L1672" s="1">
        <v>42984</v>
      </c>
      <c r="M1672" s="22">
        <f>Table3[[#This Row],[Ship Date]]-Table3[[#This Row],[Order Date]]</f>
        <v>4</v>
      </c>
      <c r="N1672" s="23" t="s">
        <v>45</v>
      </c>
      <c r="O1672" s="23" t="s">
        <v>23</v>
      </c>
      <c r="P1672" s="23" t="s">
        <v>38</v>
      </c>
      <c r="Q1672" s="23" t="s">
        <v>39</v>
      </c>
      <c r="R1672" s="23" t="s">
        <v>37</v>
      </c>
      <c r="S1672" s="33">
        <v>0.2</v>
      </c>
      <c r="T1672" s="13">
        <v>236.52799999999999</v>
      </c>
      <c r="U1672" s="13">
        <v>-2.9565999999999999</v>
      </c>
      <c r="V1672" s="55">
        <f>Table3[[#This Row],[Profit]]/Table3[[#This Row],[Sales]]</f>
        <v>-1.2500000000000001E-2</v>
      </c>
    </row>
    <row r="1673" spans="1:22" x14ac:dyDescent="0.2">
      <c r="A1673">
        <v>1672</v>
      </c>
      <c r="B1673" t="s">
        <v>9731</v>
      </c>
      <c r="C1673" s="1">
        <v>42980</v>
      </c>
      <c r="D1673" s="22">
        <f>MONTH(Table3[[#This Row],[Order Date]])</f>
        <v>9</v>
      </c>
      <c r="E1673" t="s">
        <v>233</v>
      </c>
      <c r="F1673" t="s">
        <v>234</v>
      </c>
      <c r="G1673" s="23" t="s">
        <v>28</v>
      </c>
      <c r="H1673" s="23" t="s">
        <v>32</v>
      </c>
      <c r="I1673" t="s">
        <v>6007</v>
      </c>
      <c r="J1673" t="s">
        <v>92</v>
      </c>
      <c r="K1673" s="22">
        <v>3</v>
      </c>
      <c r="L1673" s="1">
        <v>42980</v>
      </c>
      <c r="M1673" s="22">
        <f>Table3[[#This Row],[Ship Date]]-Table3[[#This Row],[Order Date]]</f>
        <v>0</v>
      </c>
      <c r="N1673" s="23" t="s">
        <v>1141</v>
      </c>
      <c r="O1673" s="23" t="s">
        <v>23</v>
      </c>
      <c r="P1673" s="23" t="s">
        <v>87</v>
      </c>
      <c r="Q1673" s="23" t="s">
        <v>39</v>
      </c>
      <c r="R1673" s="23" t="s">
        <v>86</v>
      </c>
      <c r="S1673" s="33">
        <v>0.2</v>
      </c>
      <c r="T1673" s="13">
        <v>215.976</v>
      </c>
      <c r="U1673" s="13">
        <v>-2.6997</v>
      </c>
      <c r="V1673" s="55">
        <f>Table3[[#This Row],[Profit]]/Table3[[#This Row],[Sales]]</f>
        <v>-1.2500000000000001E-2</v>
      </c>
    </row>
    <row r="1674" spans="1:22" x14ac:dyDescent="0.2">
      <c r="A1674">
        <v>1673</v>
      </c>
      <c r="B1674" t="s">
        <v>9738</v>
      </c>
      <c r="C1674" s="1">
        <v>42980</v>
      </c>
      <c r="D1674" s="22">
        <f>MONTH(Table3[[#This Row],[Order Date]])</f>
        <v>9</v>
      </c>
      <c r="E1674" t="s">
        <v>457</v>
      </c>
      <c r="F1674" t="s">
        <v>458</v>
      </c>
      <c r="G1674" s="23" t="s">
        <v>41</v>
      </c>
      <c r="H1674" s="23" t="s">
        <v>68</v>
      </c>
      <c r="I1674" t="s">
        <v>872</v>
      </c>
      <c r="J1674" t="s">
        <v>22</v>
      </c>
      <c r="K1674" s="22">
        <v>3</v>
      </c>
      <c r="L1674" s="1">
        <v>42984</v>
      </c>
      <c r="M1674" s="22">
        <f>Table3[[#This Row],[Ship Date]]-Table3[[#This Row],[Order Date]]</f>
        <v>4</v>
      </c>
      <c r="N1674" s="23" t="s">
        <v>45</v>
      </c>
      <c r="O1674" s="23" t="s">
        <v>23</v>
      </c>
      <c r="P1674" s="23" t="s">
        <v>25</v>
      </c>
      <c r="Q1674" s="23" t="s">
        <v>26</v>
      </c>
      <c r="R1674" s="23" t="s">
        <v>24</v>
      </c>
      <c r="S1674" s="33">
        <v>0</v>
      </c>
      <c r="T1674" s="13">
        <v>1577.94</v>
      </c>
      <c r="U1674" s="13">
        <v>757.41120000000001</v>
      </c>
      <c r="V1674" s="55">
        <f>Table3[[#This Row],[Profit]]/Table3[[#This Row],[Sales]]</f>
        <v>0.48</v>
      </c>
    </row>
    <row r="1675" spans="1:22" x14ac:dyDescent="0.2">
      <c r="A1675">
        <v>1674</v>
      </c>
      <c r="B1675" t="s">
        <v>9745</v>
      </c>
      <c r="C1675" s="1">
        <v>42980</v>
      </c>
      <c r="D1675" s="22">
        <f>MONTH(Table3[[#This Row],[Order Date]])</f>
        <v>9</v>
      </c>
      <c r="E1675" t="s">
        <v>574</v>
      </c>
      <c r="F1675" t="s">
        <v>575</v>
      </c>
      <c r="G1675" s="23" t="s">
        <v>41</v>
      </c>
      <c r="H1675" s="23" t="s">
        <v>42</v>
      </c>
      <c r="I1675" t="s">
        <v>4322</v>
      </c>
      <c r="J1675" t="s">
        <v>22</v>
      </c>
      <c r="K1675" s="22">
        <v>2</v>
      </c>
      <c r="L1675" s="1">
        <v>42982</v>
      </c>
      <c r="M1675" s="22">
        <f>Table3[[#This Row],[Ship Date]]-Table3[[#This Row],[Order Date]]</f>
        <v>2</v>
      </c>
      <c r="N1675" s="23" t="s">
        <v>20</v>
      </c>
      <c r="O1675" s="23" t="s">
        <v>23</v>
      </c>
      <c r="P1675" s="23" t="s">
        <v>405</v>
      </c>
      <c r="Q1675" s="23" t="s">
        <v>39</v>
      </c>
      <c r="R1675" s="23" t="s">
        <v>4737</v>
      </c>
      <c r="S1675" s="33">
        <v>0.2</v>
      </c>
      <c r="T1675" s="13">
        <v>11.696</v>
      </c>
      <c r="U1675" s="13">
        <v>3.9474</v>
      </c>
      <c r="V1675" s="55">
        <f>Table3[[#This Row],[Profit]]/Table3[[#This Row],[Sales]]</f>
        <v>0.33750000000000002</v>
      </c>
    </row>
    <row r="1676" spans="1:22" x14ac:dyDescent="0.2">
      <c r="A1676">
        <v>1675</v>
      </c>
      <c r="B1676" t="s">
        <v>10071</v>
      </c>
      <c r="C1676" s="1">
        <v>42980</v>
      </c>
      <c r="D1676" s="22">
        <f>MONTH(Table3[[#This Row],[Order Date]])</f>
        <v>9</v>
      </c>
      <c r="E1676" t="s">
        <v>127</v>
      </c>
      <c r="F1676" t="s">
        <v>128</v>
      </c>
      <c r="G1676" s="23" t="s">
        <v>41</v>
      </c>
      <c r="H1676" s="23" t="s">
        <v>71</v>
      </c>
      <c r="I1676" t="s">
        <v>7471</v>
      </c>
      <c r="J1676" t="s">
        <v>92</v>
      </c>
      <c r="K1676" s="22">
        <v>5</v>
      </c>
      <c r="L1676" s="1">
        <v>42982</v>
      </c>
      <c r="M1676" s="22">
        <f>Table3[[#This Row],[Ship Date]]-Table3[[#This Row],[Order Date]]</f>
        <v>2</v>
      </c>
      <c r="N1676" s="23" t="s">
        <v>20</v>
      </c>
      <c r="O1676" s="23" t="s">
        <v>23</v>
      </c>
      <c r="P1676" s="23" t="s">
        <v>38</v>
      </c>
      <c r="Q1676" s="23" t="s">
        <v>39</v>
      </c>
      <c r="R1676" s="23" t="s">
        <v>37</v>
      </c>
      <c r="S1676" s="33">
        <v>0</v>
      </c>
      <c r="T1676" s="13">
        <v>43.1</v>
      </c>
      <c r="U1676" s="13">
        <v>11.206</v>
      </c>
      <c r="V1676" s="55">
        <f>Table3[[#This Row],[Profit]]/Table3[[#This Row],[Sales]]</f>
        <v>0.25999999999999995</v>
      </c>
    </row>
    <row r="1677" spans="1:22" x14ac:dyDescent="0.2">
      <c r="A1677">
        <v>1676</v>
      </c>
      <c r="B1677" t="s">
        <v>10071</v>
      </c>
      <c r="C1677" s="1">
        <v>42980</v>
      </c>
      <c r="D1677" s="22">
        <f>MONTH(Table3[[#This Row],[Order Date]])</f>
        <v>9</v>
      </c>
      <c r="E1677" t="s">
        <v>2557</v>
      </c>
      <c r="F1677" t="s">
        <v>2558</v>
      </c>
      <c r="G1677" s="23" t="s">
        <v>28</v>
      </c>
      <c r="H1677" s="23" t="s">
        <v>58</v>
      </c>
      <c r="I1677" t="s">
        <v>7471</v>
      </c>
      <c r="J1677" t="s">
        <v>92</v>
      </c>
      <c r="K1677" s="22">
        <v>5</v>
      </c>
      <c r="L1677" s="1">
        <v>42982</v>
      </c>
      <c r="M1677" s="22">
        <f>Table3[[#This Row],[Ship Date]]-Table3[[#This Row],[Order Date]]</f>
        <v>2</v>
      </c>
      <c r="N1677" s="23" t="s">
        <v>20</v>
      </c>
      <c r="O1677" s="23" t="s">
        <v>23</v>
      </c>
      <c r="P1677" s="23" t="s">
        <v>38</v>
      </c>
      <c r="Q1677" s="23" t="s">
        <v>39</v>
      </c>
      <c r="R1677" s="23" t="s">
        <v>37</v>
      </c>
      <c r="S1677" s="33">
        <v>0</v>
      </c>
      <c r="T1677" s="13">
        <v>511.5</v>
      </c>
      <c r="U1677" s="13">
        <v>132.99</v>
      </c>
      <c r="V1677" s="55">
        <f>Table3[[#This Row],[Profit]]/Table3[[#This Row],[Sales]]</f>
        <v>0.26</v>
      </c>
    </row>
    <row r="1678" spans="1:22" x14ac:dyDescent="0.2">
      <c r="A1678">
        <v>1677</v>
      </c>
      <c r="B1678" t="s">
        <v>10071</v>
      </c>
      <c r="C1678" s="1">
        <v>42980</v>
      </c>
      <c r="D1678" s="22">
        <f>MONTH(Table3[[#This Row],[Order Date]])</f>
        <v>9</v>
      </c>
      <c r="E1678" t="s">
        <v>2770</v>
      </c>
      <c r="F1678" t="s">
        <v>2771</v>
      </c>
      <c r="G1678" s="23" t="s">
        <v>41</v>
      </c>
      <c r="H1678" s="23" t="s">
        <v>68</v>
      </c>
      <c r="I1678" t="s">
        <v>7471</v>
      </c>
      <c r="J1678" t="s">
        <v>92</v>
      </c>
      <c r="K1678" s="22">
        <v>5</v>
      </c>
      <c r="L1678" s="1">
        <v>42982</v>
      </c>
      <c r="M1678" s="22">
        <f>Table3[[#This Row],[Ship Date]]-Table3[[#This Row],[Order Date]]</f>
        <v>2</v>
      </c>
      <c r="N1678" s="23" t="s">
        <v>20</v>
      </c>
      <c r="O1678" s="23" t="s">
        <v>23</v>
      </c>
      <c r="P1678" s="23" t="s">
        <v>38</v>
      </c>
      <c r="Q1678" s="23" t="s">
        <v>39</v>
      </c>
      <c r="R1678" s="23" t="s">
        <v>37</v>
      </c>
      <c r="S1678" s="33">
        <v>0.2</v>
      </c>
      <c r="T1678" s="13">
        <v>147.91999999999999</v>
      </c>
      <c r="U1678" s="13">
        <v>46.225000000000001</v>
      </c>
      <c r="V1678" s="55">
        <f>Table3[[#This Row],[Profit]]/Table3[[#This Row],[Sales]]</f>
        <v>0.31250000000000006</v>
      </c>
    </row>
    <row r="1679" spans="1:22" x14ac:dyDescent="0.2">
      <c r="A1679">
        <v>1678</v>
      </c>
      <c r="B1679" t="s">
        <v>1616</v>
      </c>
      <c r="C1679" s="1">
        <v>42981</v>
      </c>
      <c r="D1679" s="22">
        <f>MONTH(Table3[[#This Row],[Order Date]])</f>
        <v>9</v>
      </c>
      <c r="E1679" t="s">
        <v>1618</v>
      </c>
      <c r="F1679" t="s">
        <v>1619</v>
      </c>
      <c r="G1679" s="23" t="s">
        <v>41</v>
      </c>
      <c r="H1679" s="23" t="s">
        <v>68</v>
      </c>
      <c r="I1679" t="s">
        <v>1617</v>
      </c>
      <c r="J1679" t="s">
        <v>22</v>
      </c>
      <c r="K1679" s="22">
        <v>7</v>
      </c>
      <c r="L1679" s="1">
        <v>42986</v>
      </c>
      <c r="M1679" s="22">
        <f>Table3[[#This Row],[Ship Date]]-Table3[[#This Row],[Order Date]]</f>
        <v>5</v>
      </c>
      <c r="N1679" s="23" t="s">
        <v>20</v>
      </c>
      <c r="O1679" s="23" t="s">
        <v>23</v>
      </c>
      <c r="P1679" s="23" t="s">
        <v>189</v>
      </c>
      <c r="Q1679" s="23" t="s">
        <v>95</v>
      </c>
      <c r="R1679" s="23" t="s">
        <v>271</v>
      </c>
      <c r="S1679" s="33">
        <v>0.8</v>
      </c>
      <c r="T1679" s="13">
        <v>42.616</v>
      </c>
      <c r="U1679" s="13">
        <v>-68.185599999999994</v>
      </c>
      <c r="V1679" s="55">
        <f>Table3[[#This Row],[Profit]]/Table3[[#This Row],[Sales]]</f>
        <v>-1.5999999999999999</v>
      </c>
    </row>
    <row r="1680" spans="1:22" x14ac:dyDescent="0.2">
      <c r="A1680">
        <v>1679</v>
      </c>
      <c r="B1680" t="s">
        <v>2013</v>
      </c>
      <c r="C1680" s="1">
        <v>42981</v>
      </c>
      <c r="D1680" s="22">
        <f>MONTH(Table3[[#This Row],[Order Date]])</f>
        <v>9</v>
      </c>
      <c r="E1680" t="s">
        <v>2016</v>
      </c>
      <c r="F1680" t="s">
        <v>2017</v>
      </c>
      <c r="G1680" s="23" t="s">
        <v>41</v>
      </c>
      <c r="H1680" s="23" t="s">
        <v>155</v>
      </c>
      <c r="I1680" t="s">
        <v>2014</v>
      </c>
      <c r="J1680" t="s">
        <v>22</v>
      </c>
      <c r="K1680" s="22">
        <v>4</v>
      </c>
      <c r="L1680" s="1">
        <v>42985</v>
      </c>
      <c r="M1680" s="22">
        <f>Table3[[#This Row],[Ship Date]]-Table3[[#This Row],[Order Date]]</f>
        <v>4</v>
      </c>
      <c r="N1680" s="23" t="s">
        <v>45</v>
      </c>
      <c r="O1680" s="23" t="s">
        <v>23</v>
      </c>
      <c r="P1680" s="23" t="s">
        <v>48</v>
      </c>
      <c r="Q1680" s="23" t="s">
        <v>26</v>
      </c>
      <c r="R1680" s="23" t="s">
        <v>2015</v>
      </c>
      <c r="S1680" s="33">
        <v>0.2</v>
      </c>
      <c r="T1680" s="13">
        <v>24.448</v>
      </c>
      <c r="U1680" s="13">
        <v>8.8623999999999992</v>
      </c>
      <c r="V1680" s="55">
        <f>Table3[[#This Row],[Profit]]/Table3[[#This Row],[Sales]]</f>
        <v>0.36249999999999993</v>
      </c>
    </row>
    <row r="1681" spans="1:22" x14ac:dyDescent="0.2">
      <c r="A1681">
        <v>1680</v>
      </c>
      <c r="B1681" t="s">
        <v>6056</v>
      </c>
      <c r="C1681" s="1">
        <v>42981</v>
      </c>
      <c r="D1681" s="22">
        <f>MONTH(Table3[[#This Row],[Order Date]])</f>
        <v>9</v>
      </c>
      <c r="E1681" t="s">
        <v>327</v>
      </c>
      <c r="F1681" t="s">
        <v>328</v>
      </c>
      <c r="G1681" s="23" t="s">
        <v>41</v>
      </c>
      <c r="H1681" s="23" t="s">
        <v>61</v>
      </c>
      <c r="I1681" t="s">
        <v>5096</v>
      </c>
      <c r="J1681" t="s">
        <v>36</v>
      </c>
      <c r="K1681" s="22">
        <v>2</v>
      </c>
      <c r="L1681" s="1">
        <v>42986</v>
      </c>
      <c r="M1681" s="22">
        <f>Table3[[#This Row],[Ship Date]]-Table3[[#This Row],[Order Date]]</f>
        <v>5</v>
      </c>
      <c r="N1681" s="23" t="s">
        <v>45</v>
      </c>
      <c r="O1681" s="23" t="s">
        <v>23</v>
      </c>
      <c r="P1681" s="23" t="s">
        <v>38</v>
      </c>
      <c r="Q1681" s="23" t="s">
        <v>39</v>
      </c>
      <c r="R1681" s="23" t="s">
        <v>114</v>
      </c>
      <c r="S1681" s="33">
        <v>0</v>
      </c>
      <c r="T1681" s="13">
        <v>5.96</v>
      </c>
      <c r="U1681" s="13">
        <v>1.6688000000000001</v>
      </c>
      <c r="V1681" s="55">
        <f>Table3[[#This Row],[Profit]]/Table3[[#This Row],[Sales]]</f>
        <v>0.28000000000000003</v>
      </c>
    </row>
    <row r="1682" spans="1:22" x14ac:dyDescent="0.2">
      <c r="A1682">
        <v>1681</v>
      </c>
      <c r="B1682" t="s">
        <v>7626</v>
      </c>
      <c r="C1682" s="1">
        <v>42981</v>
      </c>
      <c r="D1682" s="22">
        <f>MONTH(Table3[[#This Row],[Order Date]])</f>
        <v>9</v>
      </c>
      <c r="E1682" t="s">
        <v>1187</v>
      </c>
      <c r="F1682" t="s">
        <v>1188</v>
      </c>
      <c r="G1682" s="23" t="s">
        <v>41</v>
      </c>
      <c r="H1682" s="23" t="s">
        <v>68</v>
      </c>
      <c r="I1682" t="s">
        <v>2465</v>
      </c>
      <c r="J1682" t="s">
        <v>92</v>
      </c>
      <c r="K1682" s="22">
        <v>5</v>
      </c>
      <c r="L1682" s="1">
        <v>42986</v>
      </c>
      <c r="M1682" s="22">
        <f>Table3[[#This Row],[Ship Date]]-Table3[[#This Row],[Order Date]]</f>
        <v>5</v>
      </c>
      <c r="N1682" s="23" t="s">
        <v>45</v>
      </c>
      <c r="O1682" s="23" t="s">
        <v>23</v>
      </c>
      <c r="P1682" s="23" t="s">
        <v>38</v>
      </c>
      <c r="Q1682" s="23" t="s">
        <v>39</v>
      </c>
      <c r="R1682" s="23" t="s">
        <v>7627</v>
      </c>
      <c r="S1682" s="33">
        <v>0.2</v>
      </c>
      <c r="T1682" s="13">
        <v>82.56</v>
      </c>
      <c r="U1682" s="13">
        <v>28.896000000000001</v>
      </c>
      <c r="V1682" s="55">
        <f>Table3[[#This Row],[Profit]]/Table3[[#This Row],[Sales]]</f>
        <v>0.35</v>
      </c>
    </row>
    <row r="1683" spans="1:22" x14ac:dyDescent="0.2">
      <c r="A1683">
        <v>1682</v>
      </c>
      <c r="B1683" t="s">
        <v>7626</v>
      </c>
      <c r="C1683" s="1">
        <v>42981</v>
      </c>
      <c r="D1683" s="22">
        <f>MONTH(Table3[[#This Row],[Order Date]])</f>
        <v>9</v>
      </c>
      <c r="E1683" t="s">
        <v>5843</v>
      </c>
      <c r="F1683" t="s">
        <v>5844</v>
      </c>
      <c r="G1683" s="23" t="s">
        <v>64</v>
      </c>
      <c r="H1683" s="23" t="s">
        <v>144</v>
      </c>
      <c r="I1683" t="s">
        <v>2465</v>
      </c>
      <c r="J1683" t="s">
        <v>92</v>
      </c>
      <c r="K1683" s="22">
        <v>3</v>
      </c>
      <c r="L1683" s="1">
        <v>42986</v>
      </c>
      <c r="M1683" s="22">
        <f>Table3[[#This Row],[Ship Date]]-Table3[[#This Row],[Order Date]]</f>
        <v>5</v>
      </c>
      <c r="N1683" s="23" t="s">
        <v>45</v>
      </c>
      <c r="O1683" s="23" t="s">
        <v>23</v>
      </c>
      <c r="P1683" s="23" t="s">
        <v>38</v>
      </c>
      <c r="Q1683" s="23" t="s">
        <v>39</v>
      </c>
      <c r="R1683" s="23" t="s">
        <v>7627</v>
      </c>
      <c r="S1683" s="33">
        <v>0</v>
      </c>
      <c r="T1683" s="13">
        <v>284.97000000000003</v>
      </c>
      <c r="U1683" s="13">
        <v>85.491</v>
      </c>
      <c r="V1683" s="55">
        <f>Table3[[#This Row],[Profit]]/Table3[[#This Row],[Sales]]</f>
        <v>0.3</v>
      </c>
    </row>
    <row r="1684" spans="1:22" x14ac:dyDescent="0.2">
      <c r="A1684">
        <v>1683</v>
      </c>
      <c r="B1684" t="s">
        <v>7746</v>
      </c>
      <c r="C1684" s="1">
        <v>42981</v>
      </c>
      <c r="D1684" s="22">
        <f>MONTH(Table3[[#This Row],[Order Date]])</f>
        <v>9</v>
      </c>
      <c r="E1684" t="s">
        <v>3370</v>
      </c>
      <c r="F1684" t="s">
        <v>3371</v>
      </c>
      <c r="G1684" s="23" t="s">
        <v>41</v>
      </c>
      <c r="H1684" s="23" t="s">
        <v>82</v>
      </c>
      <c r="I1684" t="s">
        <v>5617</v>
      </c>
      <c r="J1684" t="s">
        <v>92</v>
      </c>
      <c r="K1684" s="22">
        <v>4</v>
      </c>
      <c r="L1684" s="1">
        <v>42984</v>
      </c>
      <c r="M1684" s="22">
        <f>Table3[[#This Row],[Ship Date]]-Table3[[#This Row],[Order Date]]</f>
        <v>3</v>
      </c>
      <c r="N1684" s="23" t="s">
        <v>20</v>
      </c>
      <c r="O1684" s="23" t="s">
        <v>23</v>
      </c>
      <c r="P1684" s="23" t="s">
        <v>238</v>
      </c>
      <c r="Q1684" s="23" t="s">
        <v>133</v>
      </c>
      <c r="R1684" s="23" t="s">
        <v>237</v>
      </c>
      <c r="S1684" s="33">
        <v>0</v>
      </c>
      <c r="T1684" s="13">
        <v>419.4</v>
      </c>
      <c r="U1684" s="13">
        <v>201.31200000000001</v>
      </c>
      <c r="V1684" s="55">
        <f>Table3[[#This Row],[Profit]]/Table3[[#This Row],[Sales]]</f>
        <v>0.48000000000000004</v>
      </c>
    </row>
    <row r="1685" spans="1:22" x14ac:dyDescent="0.2">
      <c r="A1685">
        <v>1684</v>
      </c>
      <c r="B1685" t="s">
        <v>7746</v>
      </c>
      <c r="C1685" s="1">
        <v>42981</v>
      </c>
      <c r="D1685" s="22">
        <f>MONTH(Table3[[#This Row],[Order Date]])</f>
        <v>9</v>
      </c>
      <c r="E1685" t="s">
        <v>7198</v>
      </c>
      <c r="F1685" t="s">
        <v>7199</v>
      </c>
      <c r="G1685" s="23" t="s">
        <v>28</v>
      </c>
      <c r="H1685" s="23" t="s">
        <v>32</v>
      </c>
      <c r="I1685" t="s">
        <v>5617</v>
      </c>
      <c r="J1685" t="s">
        <v>92</v>
      </c>
      <c r="K1685" s="22">
        <v>1</v>
      </c>
      <c r="L1685" s="1">
        <v>42984</v>
      </c>
      <c r="M1685" s="22">
        <f>Table3[[#This Row],[Ship Date]]-Table3[[#This Row],[Order Date]]</f>
        <v>3</v>
      </c>
      <c r="N1685" s="23" t="s">
        <v>20</v>
      </c>
      <c r="O1685" s="23" t="s">
        <v>23</v>
      </c>
      <c r="P1685" s="23" t="s">
        <v>238</v>
      </c>
      <c r="Q1685" s="23" t="s">
        <v>133</v>
      </c>
      <c r="R1685" s="23" t="s">
        <v>237</v>
      </c>
      <c r="S1685" s="33">
        <v>0.1</v>
      </c>
      <c r="T1685" s="13">
        <v>90.801000000000002</v>
      </c>
      <c r="U1685" s="13">
        <v>14.124599999999999</v>
      </c>
      <c r="V1685" s="55">
        <f>Table3[[#This Row],[Profit]]/Table3[[#This Row],[Sales]]</f>
        <v>0.15555555555555553</v>
      </c>
    </row>
    <row r="1686" spans="1:22" x14ac:dyDescent="0.2">
      <c r="A1686">
        <v>1685</v>
      </c>
      <c r="B1686" t="s">
        <v>7746</v>
      </c>
      <c r="C1686" s="1">
        <v>42981</v>
      </c>
      <c r="D1686" s="22">
        <f>MONTH(Table3[[#This Row],[Order Date]])</f>
        <v>9</v>
      </c>
      <c r="E1686" t="s">
        <v>784</v>
      </c>
      <c r="F1686" t="s">
        <v>785</v>
      </c>
      <c r="G1686" s="23" t="s">
        <v>28</v>
      </c>
      <c r="H1686" s="23" t="s">
        <v>32</v>
      </c>
      <c r="I1686" t="s">
        <v>5617</v>
      </c>
      <c r="J1686" t="s">
        <v>92</v>
      </c>
      <c r="K1686" s="22">
        <v>2</v>
      </c>
      <c r="L1686" s="1">
        <v>42984</v>
      </c>
      <c r="M1686" s="22">
        <f>Table3[[#This Row],[Ship Date]]-Table3[[#This Row],[Order Date]]</f>
        <v>3</v>
      </c>
      <c r="N1686" s="23" t="s">
        <v>20</v>
      </c>
      <c r="O1686" s="23" t="s">
        <v>23</v>
      </c>
      <c r="P1686" s="23" t="s">
        <v>238</v>
      </c>
      <c r="Q1686" s="23" t="s">
        <v>133</v>
      </c>
      <c r="R1686" s="23" t="s">
        <v>237</v>
      </c>
      <c r="S1686" s="33">
        <v>0.1</v>
      </c>
      <c r="T1686" s="13">
        <v>181.76400000000001</v>
      </c>
      <c r="U1686" s="13">
        <v>-8.0784000000000002</v>
      </c>
      <c r="V1686" s="55">
        <f>Table3[[#This Row],[Profit]]/Table3[[#This Row],[Sales]]</f>
        <v>-4.4444444444444446E-2</v>
      </c>
    </row>
    <row r="1687" spans="1:22" x14ac:dyDescent="0.2">
      <c r="A1687">
        <v>1686</v>
      </c>
      <c r="B1687" t="s">
        <v>7746</v>
      </c>
      <c r="C1687" s="1">
        <v>42981</v>
      </c>
      <c r="D1687" s="22">
        <f>MONTH(Table3[[#This Row],[Order Date]])</f>
        <v>9</v>
      </c>
      <c r="E1687" t="s">
        <v>3725</v>
      </c>
      <c r="F1687" t="s">
        <v>3726</v>
      </c>
      <c r="G1687" s="23" t="s">
        <v>41</v>
      </c>
      <c r="H1687" s="23" t="s">
        <v>61</v>
      </c>
      <c r="I1687" t="s">
        <v>5617</v>
      </c>
      <c r="J1687" t="s">
        <v>92</v>
      </c>
      <c r="K1687" s="22">
        <v>2</v>
      </c>
      <c r="L1687" s="1">
        <v>42984</v>
      </c>
      <c r="M1687" s="22">
        <f>Table3[[#This Row],[Ship Date]]-Table3[[#This Row],[Order Date]]</f>
        <v>3</v>
      </c>
      <c r="N1687" s="23" t="s">
        <v>20</v>
      </c>
      <c r="O1687" s="23" t="s">
        <v>23</v>
      </c>
      <c r="P1687" s="23" t="s">
        <v>238</v>
      </c>
      <c r="Q1687" s="23" t="s">
        <v>133</v>
      </c>
      <c r="R1687" s="23" t="s">
        <v>237</v>
      </c>
      <c r="S1687" s="33">
        <v>0</v>
      </c>
      <c r="T1687" s="13">
        <v>5.56</v>
      </c>
      <c r="U1687" s="13">
        <v>2.2240000000000002</v>
      </c>
      <c r="V1687" s="55">
        <f>Table3[[#This Row],[Profit]]/Table3[[#This Row],[Sales]]</f>
        <v>0.40000000000000008</v>
      </c>
    </row>
    <row r="1688" spans="1:22" x14ac:dyDescent="0.2">
      <c r="A1688">
        <v>1687</v>
      </c>
      <c r="B1688" t="s">
        <v>7765</v>
      </c>
      <c r="C1688" s="1">
        <v>42981</v>
      </c>
      <c r="D1688" s="22">
        <f>MONTH(Table3[[#This Row],[Order Date]])</f>
        <v>9</v>
      </c>
      <c r="E1688" t="s">
        <v>6331</v>
      </c>
      <c r="F1688" t="s">
        <v>6332</v>
      </c>
      <c r="G1688" s="23" t="s">
        <v>28</v>
      </c>
      <c r="H1688" s="23" t="s">
        <v>29</v>
      </c>
      <c r="I1688" t="s">
        <v>2187</v>
      </c>
      <c r="J1688" t="s">
        <v>22</v>
      </c>
      <c r="K1688" s="22">
        <v>2</v>
      </c>
      <c r="L1688" s="1">
        <v>42985</v>
      </c>
      <c r="M1688" s="22">
        <f>Table3[[#This Row],[Ship Date]]-Table3[[#This Row],[Order Date]]</f>
        <v>4</v>
      </c>
      <c r="N1688" s="23" t="s">
        <v>20</v>
      </c>
      <c r="O1688" s="23" t="s">
        <v>23</v>
      </c>
      <c r="P1688" s="23" t="s">
        <v>38</v>
      </c>
      <c r="Q1688" s="23" t="s">
        <v>39</v>
      </c>
      <c r="R1688" s="23" t="s">
        <v>79</v>
      </c>
      <c r="S1688" s="33">
        <v>0.15</v>
      </c>
      <c r="T1688" s="13">
        <v>239.666</v>
      </c>
      <c r="U1688" s="13">
        <v>14.098000000000001</v>
      </c>
      <c r="V1688" s="55">
        <f>Table3[[#This Row],[Profit]]/Table3[[#This Row],[Sales]]</f>
        <v>5.8823529411764712E-2</v>
      </c>
    </row>
    <row r="1689" spans="1:22" x14ac:dyDescent="0.2">
      <c r="A1689">
        <v>1688</v>
      </c>
      <c r="B1689" t="s">
        <v>8072</v>
      </c>
      <c r="C1689" s="1">
        <v>42981</v>
      </c>
      <c r="D1689" s="22">
        <f>MONTH(Table3[[#This Row],[Order Date]])</f>
        <v>9</v>
      </c>
      <c r="E1689" t="s">
        <v>2748</v>
      </c>
      <c r="F1689" t="s">
        <v>2749</v>
      </c>
      <c r="G1689" s="23" t="s">
        <v>28</v>
      </c>
      <c r="H1689" s="23" t="s">
        <v>58</v>
      </c>
      <c r="I1689" t="s">
        <v>1158</v>
      </c>
      <c r="J1689" t="s">
        <v>22</v>
      </c>
      <c r="K1689" s="22">
        <v>5</v>
      </c>
      <c r="L1689" s="1">
        <v>42986</v>
      </c>
      <c r="M1689" s="22">
        <f>Table3[[#This Row],[Ship Date]]-Table3[[#This Row],[Order Date]]</f>
        <v>5</v>
      </c>
      <c r="N1689" s="23" t="s">
        <v>45</v>
      </c>
      <c r="O1689" s="23" t="s">
        <v>23</v>
      </c>
      <c r="P1689" s="23" t="s">
        <v>94</v>
      </c>
      <c r="Q1689" s="23" t="s">
        <v>95</v>
      </c>
      <c r="R1689" s="23" t="s">
        <v>718</v>
      </c>
      <c r="S1689" s="33">
        <v>0.6</v>
      </c>
      <c r="T1689" s="13">
        <v>108.4</v>
      </c>
      <c r="U1689" s="13">
        <v>-105.69</v>
      </c>
      <c r="V1689" s="55">
        <f>Table3[[#This Row],[Profit]]/Table3[[#This Row],[Sales]]</f>
        <v>-0.97499999999999998</v>
      </c>
    </row>
    <row r="1690" spans="1:22" x14ac:dyDescent="0.2">
      <c r="A1690">
        <v>1689</v>
      </c>
      <c r="B1690" t="s">
        <v>8642</v>
      </c>
      <c r="C1690" s="1">
        <v>42981</v>
      </c>
      <c r="D1690" s="22">
        <f>MONTH(Table3[[#This Row],[Order Date]])</f>
        <v>9</v>
      </c>
      <c r="E1690" t="s">
        <v>3883</v>
      </c>
      <c r="F1690" t="s">
        <v>3884</v>
      </c>
      <c r="G1690" s="23" t="s">
        <v>41</v>
      </c>
      <c r="H1690" s="23" t="s">
        <v>82</v>
      </c>
      <c r="I1690" t="s">
        <v>3698</v>
      </c>
      <c r="J1690" t="s">
        <v>36</v>
      </c>
      <c r="K1690" s="22">
        <v>3</v>
      </c>
      <c r="L1690" s="1">
        <v>42985</v>
      </c>
      <c r="M1690" s="22">
        <f>Table3[[#This Row],[Ship Date]]-Table3[[#This Row],[Order Date]]</f>
        <v>4</v>
      </c>
      <c r="N1690" s="23" t="s">
        <v>45</v>
      </c>
      <c r="O1690" s="23" t="s">
        <v>23</v>
      </c>
      <c r="P1690" s="23" t="s">
        <v>189</v>
      </c>
      <c r="Q1690" s="23" t="s">
        <v>95</v>
      </c>
      <c r="R1690" s="23" t="s">
        <v>271</v>
      </c>
      <c r="S1690" s="33">
        <v>0.2</v>
      </c>
      <c r="T1690" s="13">
        <v>8.9039999999999999</v>
      </c>
      <c r="U1690" s="13">
        <v>3.339</v>
      </c>
      <c r="V1690" s="55">
        <f>Table3[[#This Row],[Profit]]/Table3[[#This Row],[Sales]]</f>
        <v>0.375</v>
      </c>
    </row>
    <row r="1691" spans="1:22" x14ac:dyDescent="0.2">
      <c r="A1691">
        <v>1690</v>
      </c>
      <c r="B1691" t="s">
        <v>8642</v>
      </c>
      <c r="C1691" s="1">
        <v>42981</v>
      </c>
      <c r="D1691" s="22">
        <f>MONTH(Table3[[#This Row],[Order Date]])</f>
        <v>9</v>
      </c>
      <c r="E1691" t="s">
        <v>2491</v>
      </c>
      <c r="F1691" t="s">
        <v>2492</v>
      </c>
      <c r="G1691" s="23" t="s">
        <v>64</v>
      </c>
      <c r="H1691" s="23" t="s">
        <v>144</v>
      </c>
      <c r="I1691" t="s">
        <v>3698</v>
      </c>
      <c r="J1691" t="s">
        <v>36</v>
      </c>
      <c r="K1691" s="22">
        <v>2</v>
      </c>
      <c r="L1691" s="1">
        <v>42985</v>
      </c>
      <c r="M1691" s="22">
        <f>Table3[[#This Row],[Ship Date]]-Table3[[#This Row],[Order Date]]</f>
        <v>4</v>
      </c>
      <c r="N1691" s="23" t="s">
        <v>45</v>
      </c>
      <c r="O1691" s="23" t="s">
        <v>23</v>
      </c>
      <c r="P1691" s="23" t="s">
        <v>189</v>
      </c>
      <c r="Q1691" s="23" t="s">
        <v>95</v>
      </c>
      <c r="R1691" s="23" t="s">
        <v>271</v>
      </c>
      <c r="S1691" s="33">
        <v>0.2</v>
      </c>
      <c r="T1691" s="13">
        <v>100.8</v>
      </c>
      <c r="U1691" s="13">
        <v>21.42</v>
      </c>
      <c r="V1691" s="55">
        <f>Table3[[#This Row],[Profit]]/Table3[[#This Row],[Sales]]</f>
        <v>0.21250000000000002</v>
      </c>
    </row>
    <row r="1692" spans="1:22" x14ac:dyDescent="0.2">
      <c r="A1692">
        <v>1691</v>
      </c>
      <c r="B1692" t="s">
        <v>3537</v>
      </c>
      <c r="C1692" s="1">
        <v>42982</v>
      </c>
      <c r="D1692" s="22">
        <f>MONTH(Table3[[#This Row],[Order Date]])</f>
        <v>9</v>
      </c>
      <c r="E1692" t="s">
        <v>2928</v>
      </c>
      <c r="F1692" t="s">
        <v>2929</v>
      </c>
      <c r="G1692" s="23" t="s">
        <v>41</v>
      </c>
      <c r="H1692" s="23" t="s">
        <v>61</v>
      </c>
      <c r="I1692" t="s">
        <v>3538</v>
      </c>
      <c r="J1692" t="s">
        <v>22</v>
      </c>
      <c r="K1692" s="22">
        <v>7</v>
      </c>
      <c r="L1692" s="1">
        <v>42986</v>
      </c>
      <c r="M1692" s="22">
        <f>Table3[[#This Row],[Ship Date]]-Table3[[#This Row],[Order Date]]</f>
        <v>4</v>
      </c>
      <c r="N1692" s="23" t="s">
        <v>45</v>
      </c>
      <c r="O1692" s="23" t="s">
        <v>23</v>
      </c>
      <c r="P1692" s="23" t="s">
        <v>94</v>
      </c>
      <c r="Q1692" s="23" t="s">
        <v>95</v>
      </c>
      <c r="R1692" s="23" t="s">
        <v>3539</v>
      </c>
      <c r="S1692" s="33">
        <v>0.2</v>
      </c>
      <c r="T1692" s="13">
        <v>10.192</v>
      </c>
      <c r="U1692" s="13">
        <v>3.1850000000000001</v>
      </c>
      <c r="V1692" s="55">
        <f>Table3[[#This Row],[Profit]]/Table3[[#This Row],[Sales]]</f>
        <v>0.3125</v>
      </c>
    </row>
    <row r="1693" spans="1:22" x14ac:dyDescent="0.2">
      <c r="A1693">
        <v>1692</v>
      </c>
      <c r="B1693" t="s">
        <v>3537</v>
      </c>
      <c r="C1693" s="1">
        <v>42982</v>
      </c>
      <c r="D1693" s="22">
        <f>MONTH(Table3[[#This Row],[Order Date]])</f>
        <v>9</v>
      </c>
      <c r="E1693" t="s">
        <v>3540</v>
      </c>
      <c r="F1693" t="s">
        <v>3541</v>
      </c>
      <c r="G1693" s="23" t="s">
        <v>41</v>
      </c>
      <c r="H1693" s="23" t="s">
        <v>53</v>
      </c>
      <c r="I1693" t="s">
        <v>3538</v>
      </c>
      <c r="J1693" t="s">
        <v>22</v>
      </c>
      <c r="K1693" s="22">
        <v>1</v>
      </c>
      <c r="L1693" s="1">
        <v>42986</v>
      </c>
      <c r="M1693" s="22">
        <f>Table3[[#This Row],[Ship Date]]-Table3[[#This Row],[Order Date]]</f>
        <v>4</v>
      </c>
      <c r="N1693" s="23" t="s">
        <v>45</v>
      </c>
      <c r="O1693" s="23" t="s">
        <v>23</v>
      </c>
      <c r="P1693" s="23" t="s">
        <v>94</v>
      </c>
      <c r="Q1693" s="23" t="s">
        <v>95</v>
      </c>
      <c r="R1693" s="23" t="s">
        <v>3539</v>
      </c>
      <c r="S1693" s="33">
        <v>0.2</v>
      </c>
      <c r="T1693" s="13">
        <v>16.783999999999999</v>
      </c>
      <c r="U1693" s="13">
        <v>-0.20979999999999999</v>
      </c>
      <c r="V1693" s="55">
        <f>Table3[[#This Row],[Profit]]/Table3[[#This Row],[Sales]]</f>
        <v>-1.2500000000000001E-2</v>
      </c>
    </row>
    <row r="1694" spans="1:22" x14ac:dyDescent="0.2">
      <c r="A1694">
        <v>1693</v>
      </c>
      <c r="B1694" t="s">
        <v>3537</v>
      </c>
      <c r="C1694" s="1">
        <v>42982</v>
      </c>
      <c r="D1694" s="22">
        <f>MONTH(Table3[[#This Row],[Order Date]])</f>
        <v>9</v>
      </c>
      <c r="E1694" t="s">
        <v>639</v>
      </c>
      <c r="F1694" t="s">
        <v>640</v>
      </c>
      <c r="G1694" s="23" t="s">
        <v>41</v>
      </c>
      <c r="H1694" s="23" t="s">
        <v>61</v>
      </c>
      <c r="I1694" t="s">
        <v>3538</v>
      </c>
      <c r="J1694" t="s">
        <v>22</v>
      </c>
      <c r="K1694" s="22">
        <v>5</v>
      </c>
      <c r="L1694" s="1">
        <v>42986</v>
      </c>
      <c r="M1694" s="22">
        <f>Table3[[#This Row],[Ship Date]]-Table3[[#This Row],[Order Date]]</f>
        <v>4</v>
      </c>
      <c r="N1694" s="23" t="s">
        <v>45</v>
      </c>
      <c r="O1694" s="23" t="s">
        <v>23</v>
      </c>
      <c r="P1694" s="23" t="s">
        <v>94</v>
      </c>
      <c r="Q1694" s="23" t="s">
        <v>95</v>
      </c>
      <c r="R1694" s="23" t="s">
        <v>3539</v>
      </c>
      <c r="S1694" s="33">
        <v>0.2</v>
      </c>
      <c r="T1694" s="13">
        <v>13.12</v>
      </c>
      <c r="U1694" s="13">
        <v>3.7719999999999998</v>
      </c>
      <c r="V1694" s="55">
        <f>Table3[[#This Row],[Profit]]/Table3[[#This Row],[Sales]]</f>
        <v>0.28749999999999998</v>
      </c>
    </row>
    <row r="1695" spans="1:22" x14ac:dyDescent="0.2">
      <c r="A1695">
        <v>1694</v>
      </c>
      <c r="B1695" t="s">
        <v>3639</v>
      </c>
      <c r="C1695" s="1">
        <v>42982</v>
      </c>
      <c r="D1695" s="22">
        <f>MONTH(Table3[[#This Row],[Order Date]])</f>
        <v>9</v>
      </c>
      <c r="E1695" t="s">
        <v>205</v>
      </c>
      <c r="F1695" t="s">
        <v>206</v>
      </c>
      <c r="G1695" s="23" t="s">
        <v>64</v>
      </c>
      <c r="H1695" s="23" t="s">
        <v>144</v>
      </c>
      <c r="I1695" t="s">
        <v>3640</v>
      </c>
      <c r="J1695" t="s">
        <v>22</v>
      </c>
      <c r="K1695" s="22">
        <v>4</v>
      </c>
      <c r="L1695" s="1">
        <v>42986</v>
      </c>
      <c r="M1695" s="22">
        <f>Table3[[#This Row],[Ship Date]]-Table3[[#This Row],[Order Date]]</f>
        <v>4</v>
      </c>
      <c r="N1695" s="23" t="s">
        <v>45</v>
      </c>
      <c r="O1695" s="23" t="s">
        <v>23</v>
      </c>
      <c r="P1695" s="23" t="s">
        <v>238</v>
      </c>
      <c r="Q1695" s="23" t="s">
        <v>133</v>
      </c>
      <c r="R1695" s="23" t="s">
        <v>1037</v>
      </c>
      <c r="S1695" s="33">
        <v>0</v>
      </c>
      <c r="T1695" s="13">
        <v>91.96</v>
      </c>
      <c r="U1695" s="13">
        <v>39.5428</v>
      </c>
      <c r="V1695" s="55">
        <f>Table3[[#This Row],[Profit]]/Table3[[#This Row],[Sales]]</f>
        <v>0.43000000000000005</v>
      </c>
    </row>
    <row r="1696" spans="1:22" x14ac:dyDescent="0.2">
      <c r="A1696">
        <v>1695</v>
      </c>
      <c r="B1696" t="s">
        <v>4930</v>
      </c>
      <c r="C1696" s="1">
        <v>42982</v>
      </c>
      <c r="D1696" s="22">
        <f>MONTH(Table3[[#This Row],[Order Date]])</f>
        <v>9</v>
      </c>
      <c r="E1696" t="s">
        <v>2040</v>
      </c>
      <c r="F1696" t="s">
        <v>2041</v>
      </c>
      <c r="G1696" s="23" t="s">
        <v>28</v>
      </c>
      <c r="H1696" s="23" t="s">
        <v>50</v>
      </c>
      <c r="I1696" t="s">
        <v>4931</v>
      </c>
      <c r="J1696" t="s">
        <v>36</v>
      </c>
      <c r="K1696" s="22">
        <v>3</v>
      </c>
      <c r="L1696" s="1">
        <v>42986</v>
      </c>
      <c r="M1696" s="22">
        <f>Table3[[#This Row],[Ship Date]]-Table3[[#This Row],[Order Date]]</f>
        <v>4</v>
      </c>
      <c r="N1696" s="23" t="s">
        <v>20</v>
      </c>
      <c r="O1696" s="23" t="s">
        <v>23</v>
      </c>
      <c r="P1696" s="23" t="s">
        <v>38</v>
      </c>
      <c r="Q1696" s="23" t="s">
        <v>39</v>
      </c>
      <c r="R1696" s="23" t="s">
        <v>37</v>
      </c>
      <c r="S1696" s="33">
        <v>0.2</v>
      </c>
      <c r="T1696" s="13">
        <v>1322.3520000000001</v>
      </c>
      <c r="U1696" s="13">
        <v>-99.176400000000001</v>
      </c>
      <c r="V1696" s="55">
        <f>Table3[[#This Row],[Profit]]/Table3[[#This Row],[Sales]]</f>
        <v>-7.4999999999999997E-2</v>
      </c>
    </row>
    <row r="1697" spans="1:22" x14ac:dyDescent="0.2">
      <c r="A1697">
        <v>1696</v>
      </c>
      <c r="B1697" t="s">
        <v>5616</v>
      </c>
      <c r="C1697" s="1">
        <v>42982</v>
      </c>
      <c r="D1697" s="22">
        <f>MONTH(Table3[[#This Row],[Order Date]])</f>
        <v>9</v>
      </c>
      <c r="E1697" t="s">
        <v>2003</v>
      </c>
      <c r="F1697" t="s">
        <v>2004</v>
      </c>
      <c r="G1697" s="23" t="s">
        <v>41</v>
      </c>
      <c r="H1697" s="23" t="s">
        <v>82</v>
      </c>
      <c r="I1697" t="s">
        <v>5617</v>
      </c>
      <c r="J1697" t="s">
        <v>92</v>
      </c>
      <c r="K1697" s="22">
        <v>2</v>
      </c>
      <c r="L1697" s="1">
        <v>42983</v>
      </c>
      <c r="M1697" s="22">
        <f>Table3[[#This Row],[Ship Date]]-Table3[[#This Row],[Order Date]]</f>
        <v>1</v>
      </c>
      <c r="N1697" s="23" t="s">
        <v>169</v>
      </c>
      <c r="O1697" s="23" t="s">
        <v>23</v>
      </c>
      <c r="P1697" s="23" t="s">
        <v>38</v>
      </c>
      <c r="Q1697" s="23" t="s">
        <v>39</v>
      </c>
      <c r="R1697" s="23" t="s">
        <v>5457</v>
      </c>
      <c r="S1697" s="33">
        <v>0</v>
      </c>
      <c r="T1697" s="13">
        <v>12.96</v>
      </c>
      <c r="U1697" s="13">
        <v>6.2207999999999997</v>
      </c>
      <c r="V1697" s="55">
        <f>Table3[[#This Row],[Profit]]/Table3[[#This Row],[Sales]]</f>
        <v>0.47999999999999993</v>
      </c>
    </row>
    <row r="1698" spans="1:22" x14ac:dyDescent="0.2">
      <c r="A1698">
        <v>1697</v>
      </c>
      <c r="B1698" t="s">
        <v>5616</v>
      </c>
      <c r="C1698" s="1">
        <v>42982</v>
      </c>
      <c r="D1698" s="22">
        <f>MONTH(Table3[[#This Row],[Order Date]])</f>
        <v>9</v>
      </c>
      <c r="E1698" t="s">
        <v>2859</v>
      </c>
      <c r="F1698" t="s">
        <v>2860</v>
      </c>
      <c r="G1698" s="23" t="s">
        <v>64</v>
      </c>
      <c r="H1698" s="23" t="s">
        <v>65</v>
      </c>
      <c r="I1698" t="s">
        <v>5617</v>
      </c>
      <c r="J1698" t="s">
        <v>92</v>
      </c>
      <c r="K1698" s="22">
        <v>3</v>
      </c>
      <c r="L1698" s="1">
        <v>42983</v>
      </c>
      <c r="M1698" s="22">
        <f>Table3[[#This Row],[Ship Date]]-Table3[[#This Row],[Order Date]]</f>
        <v>1</v>
      </c>
      <c r="N1698" s="23" t="s">
        <v>169</v>
      </c>
      <c r="O1698" s="23" t="s">
        <v>23</v>
      </c>
      <c r="P1698" s="23" t="s">
        <v>38</v>
      </c>
      <c r="Q1698" s="23" t="s">
        <v>39</v>
      </c>
      <c r="R1698" s="23" t="s">
        <v>5457</v>
      </c>
      <c r="S1698" s="33">
        <v>0.2</v>
      </c>
      <c r="T1698" s="13">
        <v>43.176000000000002</v>
      </c>
      <c r="U1698" s="13">
        <v>15.111599999999999</v>
      </c>
      <c r="V1698" s="55">
        <f>Table3[[#This Row],[Profit]]/Table3[[#This Row],[Sales]]</f>
        <v>0.35</v>
      </c>
    </row>
    <row r="1699" spans="1:22" x14ac:dyDescent="0.2">
      <c r="A1699">
        <v>1698</v>
      </c>
      <c r="B1699" t="s">
        <v>5994</v>
      </c>
      <c r="C1699" s="1">
        <v>42982</v>
      </c>
      <c r="D1699" s="22">
        <f>MONTH(Table3[[#This Row],[Order Date]])</f>
        <v>9</v>
      </c>
      <c r="E1699" t="s">
        <v>5995</v>
      </c>
      <c r="F1699" t="s">
        <v>5996</v>
      </c>
      <c r="G1699" s="23" t="s">
        <v>28</v>
      </c>
      <c r="H1699" s="23" t="s">
        <v>29</v>
      </c>
      <c r="I1699" t="s">
        <v>2206</v>
      </c>
      <c r="J1699" t="s">
        <v>36</v>
      </c>
      <c r="K1699" s="22">
        <v>9</v>
      </c>
      <c r="L1699" s="1">
        <v>42984</v>
      </c>
      <c r="M1699" s="22">
        <f>Table3[[#This Row],[Ship Date]]-Table3[[#This Row],[Order Date]]</f>
        <v>2</v>
      </c>
      <c r="N1699" s="23" t="s">
        <v>169</v>
      </c>
      <c r="O1699" s="23" t="s">
        <v>23</v>
      </c>
      <c r="P1699" s="23" t="s">
        <v>189</v>
      </c>
      <c r="Q1699" s="23" t="s">
        <v>95</v>
      </c>
      <c r="R1699" s="23" t="s">
        <v>271</v>
      </c>
      <c r="S1699" s="33">
        <v>0.3</v>
      </c>
      <c r="T1699" s="13">
        <v>825.17399999999998</v>
      </c>
      <c r="U1699" s="13">
        <v>-117.88200000000001</v>
      </c>
      <c r="V1699" s="55">
        <f>Table3[[#This Row],[Profit]]/Table3[[#This Row],[Sales]]</f>
        <v>-0.14285714285714288</v>
      </c>
    </row>
    <row r="1700" spans="1:22" x14ac:dyDescent="0.2">
      <c r="A1700">
        <v>1699</v>
      </c>
      <c r="B1700" t="s">
        <v>5994</v>
      </c>
      <c r="C1700" s="1">
        <v>42982</v>
      </c>
      <c r="D1700" s="22">
        <f>MONTH(Table3[[#This Row],[Order Date]])</f>
        <v>9</v>
      </c>
      <c r="E1700" t="s">
        <v>3304</v>
      </c>
      <c r="F1700" t="s">
        <v>3305</v>
      </c>
      <c r="G1700" s="23" t="s">
        <v>41</v>
      </c>
      <c r="H1700" s="23" t="s">
        <v>82</v>
      </c>
      <c r="I1700" t="s">
        <v>2206</v>
      </c>
      <c r="J1700" t="s">
        <v>36</v>
      </c>
      <c r="K1700" s="22">
        <v>3</v>
      </c>
      <c r="L1700" s="1">
        <v>42984</v>
      </c>
      <c r="M1700" s="22">
        <f>Table3[[#This Row],[Ship Date]]-Table3[[#This Row],[Order Date]]</f>
        <v>2</v>
      </c>
      <c r="N1700" s="23" t="s">
        <v>169</v>
      </c>
      <c r="O1700" s="23" t="s">
        <v>23</v>
      </c>
      <c r="P1700" s="23" t="s">
        <v>189</v>
      </c>
      <c r="Q1700" s="23" t="s">
        <v>95</v>
      </c>
      <c r="R1700" s="23" t="s">
        <v>271</v>
      </c>
      <c r="S1700" s="33">
        <v>0.2</v>
      </c>
      <c r="T1700" s="13">
        <v>17.760000000000002</v>
      </c>
      <c r="U1700" s="13">
        <v>5.55</v>
      </c>
      <c r="V1700" s="55">
        <f>Table3[[#This Row],[Profit]]/Table3[[#This Row],[Sales]]</f>
        <v>0.31249999999999994</v>
      </c>
    </row>
    <row r="1701" spans="1:22" x14ac:dyDescent="0.2">
      <c r="A1701">
        <v>1700</v>
      </c>
      <c r="B1701" t="s">
        <v>5994</v>
      </c>
      <c r="C1701" s="1">
        <v>42982</v>
      </c>
      <c r="D1701" s="22">
        <f>MONTH(Table3[[#This Row],[Order Date]])</f>
        <v>9</v>
      </c>
      <c r="E1701" t="s">
        <v>506</v>
      </c>
      <c r="F1701" t="s">
        <v>507</v>
      </c>
      <c r="G1701" s="23" t="s">
        <v>41</v>
      </c>
      <c r="H1701" s="23" t="s">
        <v>61</v>
      </c>
      <c r="I1701" t="s">
        <v>2206</v>
      </c>
      <c r="J1701" t="s">
        <v>36</v>
      </c>
      <c r="K1701" s="22">
        <v>3</v>
      </c>
      <c r="L1701" s="1">
        <v>42984</v>
      </c>
      <c r="M1701" s="22">
        <f>Table3[[#This Row],[Ship Date]]-Table3[[#This Row],[Order Date]]</f>
        <v>2</v>
      </c>
      <c r="N1701" s="23" t="s">
        <v>169</v>
      </c>
      <c r="O1701" s="23" t="s">
        <v>23</v>
      </c>
      <c r="P1701" s="23" t="s">
        <v>189</v>
      </c>
      <c r="Q1701" s="23" t="s">
        <v>95</v>
      </c>
      <c r="R1701" s="23" t="s">
        <v>271</v>
      </c>
      <c r="S1701" s="33">
        <v>0.2</v>
      </c>
      <c r="T1701" s="13">
        <v>6.9119999999999999</v>
      </c>
      <c r="U1701" s="13">
        <v>0.86399999999999999</v>
      </c>
      <c r="V1701" s="55">
        <f>Table3[[#This Row],[Profit]]/Table3[[#This Row],[Sales]]</f>
        <v>0.125</v>
      </c>
    </row>
    <row r="1702" spans="1:22" x14ac:dyDescent="0.2">
      <c r="A1702">
        <v>1701</v>
      </c>
      <c r="B1702" t="s">
        <v>6033</v>
      </c>
      <c r="C1702" s="1">
        <v>42982</v>
      </c>
      <c r="D1702" s="22">
        <f>MONTH(Table3[[#This Row],[Order Date]])</f>
        <v>9</v>
      </c>
      <c r="E1702" t="s">
        <v>2326</v>
      </c>
      <c r="F1702" t="s">
        <v>2327</v>
      </c>
      <c r="G1702" s="23" t="s">
        <v>41</v>
      </c>
      <c r="H1702" s="23" t="s">
        <v>61</v>
      </c>
      <c r="I1702" t="s">
        <v>1508</v>
      </c>
      <c r="J1702" t="s">
        <v>22</v>
      </c>
      <c r="K1702" s="22">
        <v>4</v>
      </c>
      <c r="L1702" s="1">
        <v>42987</v>
      </c>
      <c r="M1702" s="22">
        <f>Table3[[#This Row],[Ship Date]]-Table3[[#This Row],[Order Date]]</f>
        <v>5</v>
      </c>
      <c r="N1702" s="23" t="s">
        <v>20</v>
      </c>
      <c r="O1702" s="23" t="s">
        <v>23</v>
      </c>
      <c r="P1702" s="23" t="s">
        <v>441</v>
      </c>
      <c r="Q1702" s="23" t="s">
        <v>133</v>
      </c>
      <c r="R1702" s="23" t="s">
        <v>706</v>
      </c>
      <c r="S1702" s="33">
        <v>0.2</v>
      </c>
      <c r="T1702" s="13">
        <v>8.2560000000000002</v>
      </c>
      <c r="U1702" s="13">
        <v>0.61919999999999997</v>
      </c>
      <c r="V1702" s="55">
        <f>Table3[[#This Row],[Profit]]/Table3[[#This Row],[Sales]]</f>
        <v>7.4999999999999997E-2</v>
      </c>
    </row>
    <row r="1703" spans="1:22" x14ac:dyDescent="0.2">
      <c r="A1703">
        <v>1702</v>
      </c>
      <c r="B1703" t="s">
        <v>6033</v>
      </c>
      <c r="C1703" s="1">
        <v>42982</v>
      </c>
      <c r="D1703" s="22">
        <f>MONTH(Table3[[#This Row],[Order Date]])</f>
        <v>9</v>
      </c>
      <c r="E1703" t="s">
        <v>2835</v>
      </c>
      <c r="F1703" t="s">
        <v>2836</v>
      </c>
      <c r="G1703" s="23" t="s">
        <v>41</v>
      </c>
      <c r="H1703" s="23" t="s">
        <v>68</v>
      </c>
      <c r="I1703" t="s">
        <v>1508</v>
      </c>
      <c r="J1703" t="s">
        <v>22</v>
      </c>
      <c r="K1703" s="22">
        <v>5</v>
      </c>
      <c r="L1703" s="1">
        <v>42987</v>
      </c>
      <c r="M1703" s="22">
        <f>Table3[[#This Row],[Ship Date]]-Table3[[#This Row],[Order Date]]</f>
        <v>5</v>
      </c>
      <c r="N1703" s="23" t="s">
        <v>20</v>
      </c>
      <c r="O1703" s="23" t="s">
        <v>23</v>
      </c>
      <c r="P1703" s="23" t="s">
        <v>441</v>
      </c>
      <c r="Q1703" s="23" t="s">
        <v>133</v>
      </c>
      <c r="R1703" s="23" t="s">
        <v>706</v>
      </c>
      <c r="S1703" s="33">
        <v>0.7</v>
      </c>
      <c r="T1703" s="13">
        <v>25.56</v>
      </c>
      <c r="U1703" s="13">
        <v>-20.448</v>
      </c>
      <c r="V1703" s="55">
        <f>Table3[[#This Row],[Profit]]/Table3[[#This Row],[Sales]]</f>
        <v>-0.8</v>
      </c>
    </row>
    <row r="1704" spans="1:22" x14ac:dyDescent="0.2">
      <c r="A1704">
        <v>1703</v>
      </c>
      <c r="B1704" t="s">
        <v>6033</v>
      </c>
      <c r="C1704" s="1">
        <v>42982</v>
      </c>
      <c r="D1704" s="22">
        <f>MONTH(Table3[[#This Row],[Order Date]])</f>
        <v>9</v>
      </c>
      <c r="E1704" t="s">
        <v>141</v>
      </c>
      <c r="F1704" t="s">
        <v>142</v>
      </c>
      <c r="G1704" s="23" t="s">
        <v>41</v>
      </c>
      <c r="H1704" s="23" t="s">
        <v>68</v>
      </c>
      <c r="I1704" t="s">
        <v>1508</v>
      </c>
      <c r="J1704" t="s">
        <v>22</v>
      </c>
      <c r="K1704" s="22">
        <v>2</v>
      </c>
      <c r="L1704" s="1">
        <v>42987</v>
      </c>
      <c r="M1704" s="22">
        <f>Table3[[#This Row],[Ship Date]]-Table3[[#This Row],[Order Date]]</f>
        <v>5</v>
      </c>
      <c r="N1704" s="23" t="s">
        <v>20</v>
      </c>
      <c r="O1704" s="23" t="s">
        <v>23</v>
      </c>
      <c r="P1704" s="23" t="s">
        <v>441</v>
      </c>
      <c r="Q1704" s="23" t="s">
        <v>133</v>
      </c>
      <c r="R1704" s="23" t="s">
        <v>706</v>
      </c>
      <c r="S1704" s="33">
        <v>0.7</v>
      </c>
      <c r="T1704" s="13">
        <v>4.3680000000000003</v>
      </c>
      <c r="U1704" s="13">
        <v>-3.0575999999999999</v>
      </c>
      <c r="V1704" s="55">
        <f>Table3[[#This Row],[Profit]]/Table3[[#This Row],[Sales]]</f>
        <v>-0.7</v>
      </c>
    </row>
    <row r="1705" spans="1:22" x14ac:dyDescent="0.2">
      <c r="A1705">
        <v>1704</v>
      </c>
      <c r="B1705" t="s">
        <v>6033</v>
      </c>
      <c r="C1705" s="1">
        <v>42982</v>
      </c>
      <c r="D1705" s="22">
        <f>MONTH(Table3[[#This Row],[Order Date]])</f>
        <v>9</v>
      </c>
      <c r="E1705" t="s">
        <v>6034</v>
      </c>
      <c r="F1705" t="s">
        <v>6035</v>
      </c>
      <c r="G1705" s="23" t="s">
        <v>41</v>
      </c>
      <c r="H1705" s="23" t="s">
        <v>82</v>
      </c>
      <c r="I1705" t="s">
        <v>1508</v>
      </c>
      <c r="J1705" t="s">
        <v>22</v>
      </c>
      <c r="K1705" s="22">
        <v>4</v>
      </c>
      <c r="L1705" s="1">
        <v>42987</v>
      </c>
      <c r="M1705" s="22">
        <f>Table3[[#This Row],[Ship Date]]-Table3[[#This Row],[Order Date]]</f>
        <v>5</v>
      </c>
      <c r="N1705" s="23" t="s">
        <v>20</v>
      </c>
      <c r="O1705" s="23" t="s">
        <v>23</v>
      </c>
      <c r="P1705" s="23" t="s">
        <v>441</v>
      </c>
      <c r="Q1705" s="23" t="s">
        <v>133</v>
      </c>
      <c r="R1705" s="23" t="s">
        <v>706</v>
      </c>
      <c r="S1705" s="33">
        <v>0.2</v>
      </c>
      <c r="T1705" s="13">
        <v>11.52</v>
      </c>
      <c r="U1705" s="13">
        <v>3.7440000000000002</v>
      </c>
      <c r="V1705" s="55">
        <f>Table3[[#This Row],[Profit]]/Table3[[#This Row],[Sales]]</f>
        <v>0.32500000000000001</v>
      </c>
    </row>
    <row r="1706" spans="1:22" x14ac:dyDescent="0.2">
      <c r="A1706">
        <v>1705</v>
      </c>
      <c r="B1706" t="s">
        <v>6079</v>
      </c>
      <c r="C1706" s="1">
        <v>42982</v>
      </c>
      <c r="D1706" s="22">
        <f>MONTH(Table3[[#This Row],[Order Date]])</f>
        <v>9</v>
      </c>
      <c r="E1706" t="s">
        <v>1947</v>
      </c>
      <c r="F1706" t="s">
        <v>1948</v>
      </c>
      <c r="G1706" s="23" t="s">
        <v>41</v>
      </c>
      <c r="H1706" s="23" t="s">
        <v>68</v>
      </c>
      <c r="I1706" t="s">
        <v>1965</v>
      </c>
      <c r="J1706" t="s">
        <v>22</v>
      </c>
      <c r="K1706" s="22">
        <v>2</v>
      </c>
      <c r="L1706" s="1">
        <v>42986</v>
      </c>
      <c r="M1706" s="22">
        <f>Table3[[#This Row],[Ship Date]]-Table3[[#This Row],[Order Date]]</f>
        <v>4</v>
      </c>
      <c r="N1706" s="23" t="s">
        <v>45</v>
      </c>
      <c r="O1706" s="23" t="s">
        <v>23</v>
      </c>
      <c r="P1706" s="23" t="s">
        <v>38</v>
      </c>
      <c r="Q1706" s="23" t="s">
        <v>39</v>
      </c>
      <c r="R1706" s="23" t="s">
        <v>37</v>
      </c>
      <c r="S1706" s="33">
        <v>0.2</v>
      </c>
      <c r="T1706" s="13">
        <v>487.98399999999998</v>
      </c>
      <c r="U1706" s="13">
        <v>152.495</v>
      </c>
      <c r="V1706" s="55">
        <f>Table3[[#This Row],[Profit]]/Table3[[#This Row],[Sales]]</f>
        <v>0.3125</v>
      </c>
    </row>
    <row r="1707" spans="1:22" x14ac:dyDescent="0.2">
      <c r="A1707">
        <v>1706</v>
      </c>
      <c r="B1707" t="s">
        <v>6079</v>
      </c>
      <c r="C1707" s="1">
        <v>42982</v>
      </c>
      <c r="D1707" s="22">
        <f>MONTH(Table3[[#This Row],[Order Date]])</f>
        <v>9</v>
      </c>
      <c r="E1707" t="s">
        <v>3830</v>
      </c>
      <c r="F1707" t="s">
        <v>3831</v>
      </c>
      <c r="G1707" s="23" t="s">
        <v>64</v>
      </c>
      <c r="H1707" s="23" t="s">
        <v>65</v>
      </c>
      <c r="I1707" t="s">
        <v>1965</v>
      </c>
      <c r="J1707" t="s">
        <v>22</v>
      </c>
      <c r="K1707" s="22">
        <v>1</v>
      </c>
      <c r="L1707" s="1">
        <v>42986</v>
      </c>
      <c r="M1707" s="22">
        <f>Table3[[#This Row],[Ship Date]]-Table3[[#This Row],[Order Date]]</f>
        <v>4</v>
      </c>
      <c r="N1707" s="23" t="s">
        <v>45</v>
      </c>
      <c r="O1707" s="23" t="s">
        <v>23</v>
      </c>
      <c r="P1707" s="23" t="s">
        <v>38</v>
      </c>
      <c r="Q1707" s="23" t="s">
        <v>39</v>
      </c>
      <c r="R1707" s="23" t="s">
        <v>37</v>
      </c>
      <c r="S1707" s="33">
        <v>0.2</v>
      </c>
      <c r="T1707" s="13">
        <v>5.56</v>
      </c>
      <c r="U1707" s="13">
        <v>1.7375</v>
      </c>
      <c r="V1707" s="55">
        <f>Table3[[#This Row],[Profit]]/Table3[[#This Row],[Sales]]</f>
        <v>0.31250000000000006</v>
      </c>
    </row>
    <row r="1708" spans="1:22" x14ac:dyDescent="0.2">
      <c r="A1708">
        <v>1707</v>
      </c>
      <c r="B1708" t="s">
        <v>6079</v>
      </c>
      <c r="C1708" s="1">
        <v>42982</v>
      </c>
      <c r="D1708" s="22">
        <f>MONTH(Table3[[#This Row],[Order Date]])</f>
        <v>9</v>
      </c>
      <c r="E1708" t="s">
        <v>484</v>
      </c>
      <c r="F1708" t="s">
        <v>485</v>
      </c>
      <c r="G1708" s="23" t="s">
        <v>41</v>
      </c>
      <c r="H1708" s="23" t="s">
        <v>53</v>
      </c>
      <c r="I1708" t="s">
        <v>1965</v>
      </c>
      <c r="J1708" t="s">
        <v>22</v>
      </c>
      <c r="K1708" s="22">
        <v>5</v>
      </c>
      <c r="L1708" s="1">
        <v>42986</v>
      </c>
      <c r="M1708" s="22">
        <f>Table3[[#This Row],[Ship Date]]-Table3[[#This Row],[Order Date]]</f>
        <v>4</v>
      </c>
      <c r="N1708" s="23" t="s">
        <v>45</v>
      </c>
      <c r="O1708" s="23" t="s">
        <v>23</v>
      </c>
      <c r="P1708" s="23" t="s">
        <v>38</v>
      </c>
      <c r="Q1708" s="23" t="s">
        <v>39</v>
      </c>
      <c r="R1708" s="23" t="s">
        <v>37</v>
      </c>
      <c r="S1708" s="33">
        <v>0</v>
      </c>
      <c r="T1708" s="13">
        <v>217.85</v>
      </c>
      <c r="U1708" s="13">
        <v>65.355000000000004</v>
      </c>
      <c r="V1708" s="55">
        <f>Table3[[#This Row],[Profit]]/Table3[[#This Row],[Sales]]</f>
        <v>0.30000000000000004</v>
      </c>
    </row>
    <row r="1709" spans="1:22" x14ac:dyDescent="0.2">
      <c r="A1709">
        <v>1708</v>
      </c>
      <c r="B1709" t="s">
        <v>6497</v>
      </c>
      <c r="C1709" s="1">
        <v>42982</v>
      </c>
      <c r="D1709" s="22">
        <f>MONTH(Table3[[#This Row],[Order Date]])</f>
        <v>9</v>
      </c>
      <c r="E1709" t="s">
        <v>6498</v>
      </c>
      <c r="F1709" t="s">
        <v>6499</v>
      </c>
      <c r="G1709" s="23" t="s">
        <v>64</v>
      </c>
      <c r="H1709" s="23" t="s">
        <v>144</v>
      </c>
      <c r="I1709" t="s">
        <v>3425</v>
      </c>
      <c r="J1709" t="s">
        <v>22</v>
      </c>
      <c r="K1709" s="22">
        <v>4</v>
      </c>
      <c r="L1709" s="1">
        <v>42988</v>
      </c>
      <c r="M1709" s="22">
        <f>Table3[[#This Row],[Ship Date]]-Table3[[#This Row],[Order Date]]</f>
        <v>6</v>
      </c>
      <c r="N1709" s="23" t="s">
        <v>45</v>
      </c>
      <c r="O1709" s="23" t="s">
        <v>23</v>
      </c>
      <c r="P1709" s="23" t="s">
        <v>132</v>
      </c>
      <c r="Q1709" s="23" t="s">
        <v>133</v>
      </c>
      <c r="R1709" s="23" t="s">
        <v>131</v>
      </c>
      <c r="S1709" s="33">
        <v>0.2</v>
      </c>
      <c r="T1709" s="13">
        <v>19.04</v>
      </c>
      <c r="U1709" s="13">
        <v>-1.4279999999999999</v>
      </c>
      <c r="V1709" s="55">
        <f>Table3[[#This Row],[Profit]]/Table3[[#This Row],[Sales]]</f>
        <v>-7.4999999999999997E-2</v>
      </c>
    </row>
    <row r="1710" spans="1:22" x14ac:dyDescent="0.2">
      <c r="A1710">
        <v>1709</v>
      </c>
      <c r="B1710" t="s">
        <v>6656</v>
      </c>
      <c r="C1710" s="1">
        <v>42982</v>
      </c>
      <c r="D1710" s="22">
        <f>MONTH(Table3[[#This Row],[Order Date]])</f>
        <v>9</v>
      </c>
      <c r="E1710" t="s">
        <v>3607</v>
      </c>
      <c r="F1710" t="s">
        <v>3608</v>
      </c>
      <c r="G1710" s="23" t="s">
        <v>41</v>
      </c>
      <c r="H1710" s="23" t="s">
        <v>53</v>
      </c>
      <c r="I1710" t="s">
        <v>1913</v>
      </c>
      <c r="J1710" t="s">
        <v>36</v>
      </c>
      <c r="K1710" s="22">
        <v>4</v>
      </c>
      <c r="L1710" s="1">
        <v>42988</v>
      </c>
      <c r="M1710" s="22">
        <f>Table3[[#This Row],[Ship Date]]-Table3[[#This Row],[Order Date]]</f>
        <v>6</v>
      </c>
      <c r="N1710" s="23" t="s">
        <v>45</v>
      </c>
      <c r="O1710" s="23" t="s">
        <v>23</v>
      </c>
      <c r="P1710" s="23" t="s">
        <v>38</v>
      </c>
      <c r="Q1710" s="23" t="s">
        <v>39</v>
      </c>
      <c r="R1710" s="23" t="s">
        <v>37</v>
      </c>
      <c r="S1710" s="33">
        <v>0</v>
      </c>
      <c r="T1710" s="13">
        <v>54.32</v>
      </c>
      <c r="U1710" s="13">
        <v>0.54320000000000002</v>
      </c>
      <c r="V1710" s="55">
        <f>Table3[[#This Row],[Profit]]/Table3[[#This Row],[Sales]]</f>
        <v>0.01</v>
      </c>
    </row>
    <row r="1711" spans="1:22" x14ac:dyDescent="0.2">
      <c r="A1711">
        <v>1710</v>
      </c>
      <c r="B1711" t="s">
        <v>7501</v>
      </c>
      <c r="C1711" s="1">
        <v>42982</v>
      </c>
      <c r="D1711" s="22">
        <f>MONTH(Table3[[#This Row],[Order Date]])</f>
        <v>9</v>
      </c>
      <c r="E1711" t="s">
        <v>2608</v>
      </c>
      <c r="F1711" t="s">
        <v>2609</v>
      </c>
      <c r="G1711" s="23" t="s">
        <v>41</v>
      </c>
      <c r="H1711" s="23" t="s">
        <v>68</v>
      </c>
      <c r="I1711" t="s">
        <v>101</v>
      </c>
      <c r="J1711" t="s">
        <v>22</v>
      </c>
      <c r="K1711" s="22">
        <v>6</v>
      </c>
      <c r="L1711" s="1">
        <v>42984</v>
      </c>
      <c r="M1711" s="22">
        <f>Table3[[#This Row],[Ship Date]]-Table3[[#This Row],[Order Date]]</f>
        <v>2</v>
      </c>
      <c r="N1711" s="23" t="s">
        <v>20</v>
      </c>
      <c r="O1711" s="23" t="s">
        <v>23</v>
      </c>
      <c r="P1711" s="23" t="s">
        <v>38</v>
      </c>
      <c r="Q1711" s="23" t="s">
        <v>39</v>
      </c>
      <c r="R1711" s="23" t="s">
        <v>114</v>
      </c>
      <c r="S1711" s="33">
        <v>0.2</v>
      </c>
      <c r="T1711" s="13">
        <v>13.343999999999999</v>
      </c>
      <c r="U1711" s="13">
        <v>4.3368000000000002</v>
      </c>
      <c r="V1711" s="55">
        <f>Table3[[#This Row],[Profit]]/Table3[[#This Row],[Sales]]</f>
        <v>0.32500000000000001</v>
      </c>
    </row>
    <row r="1712" spans="1:22" x14ac:dyDescent="0.2">
      <c r="A1712">
        <v>1711</v>
      </c>
      <c r="B1712" t="s">
        <v>7501</v>
      </c>
      <c r="C1712" s="1">
        <v>42982</v>
      </c>
      <c r="D1712" s="22">
        <f>MONTH(Table3[[#This Row],[Order Date]])</f>
        <v>9</v>
      </c>
      <c r="E1712" t="s">
        <v>7502</v>
      </c>
      <c r="F1712" t="s">
        <v>7503</v>
      </c>
      <c r="G1712" s="23" t="s">
        <v>28</v>
      </c>
      <c r="H1712" s="23" t="s">
        <v>50</v>
      </c>
      <c r="I1712" t="s">
        <v>101</v>
      </c>
      <c r="J1712" t="s">
        <v>22</v>
      </c>
      <c r="K1712" s="22">
        <v>8</v>
      </c>
      <c r="L1712" s="1">
        <v>42984</v>
      </c>
      <c r="M1712" s="22">
        <f>Table3[[#This Row],[Ship Date]]-Table3[[#This Row],[Order Date]]</f>
        <v>2</v>
      </c>
      <c r="N1712" s="23" t="s">
        <v>20</v>
      </c>
      <c r="O1712" s="23" t="s">
        <v>23</v>
      </c>
      <c r="P1712" s="23" t="s">
        <v>38</v>
      </c>
      <c r="Q1712" s="23" t="s">
        <v>39</v>
      </c>
      <c r="R1712" s="23" t="s">
        <v>114</v>
      </c>
      <c r="S1712" s="33">
        <v>0.2</v>
      </c>
      <c r="T1712" s="13">
        <v>1478.2719999999999</v>
      </c>
      <c r="U1712" s="13">
        <v>92.391999999999996</v>
      </c>
      <c r="V1712" s="55">
        <f>Table3[[#This Row],[Profit]]/Table3[[#This Row],[Sales]]</f>
        <v>6.25E-2</v>
      </c>
    </row>
    <row r="1713" spans="1:22" x14ac:dyDescent="0.2">
      <c r="A1713">
        <v>1712</v>
      </c>
      <c r="B1713" t="s">
        <v>8284</v>
      </c>
      <c r="C1713" s="1">
        <v>42982</v>
      </c>
      <c r="D1713" s="22">
        <f>MONTH(Table3[[#This Row],[Order Date]])</f>
        <v>9</v>
      </c>
      <c r="E1713" t="s">
        <v>3876</v>
      </c>
      <c r="F1713" t="s">
        <v>498</v>
      </c>
      <c r="G1713" s="23" t="s">
        <v>41</v>
      </c>
      <c r="H1713" s="23" t="s">
        <v>240</v>
      </c>
      <c r="I1713" t="s">
        <v>6180</v>
      </c>
      <c r="J1713" t="s">
        <v>22</v>
      </c>
      <c r="K1713" s="22">
        <v>6</v>
      </c>
      <c r="L1713" s="1">
        <v>42984</v>
      </c>
      <c r="M1713" s="22">
        <f>Table3[[#This Row],[Ship Date]]-Table3[[#This Row],[Order Date]]</f>
        <v>2</v>
      </c>
      <c r="N1713" s="23" t="s">
        <v>20</v>
      </c>
      <c r="O1713" s="23" t="s">
        <v>23</v>
      </c>
      <c r="P1713" s="23" t="s">
        <v>2373</v>
      </c>
      <c r="Q1713" s="23" t="s">
        <v>133</v>
      </c>
      <c r="R1713" s="23" t="s">
        <v>7867</v>
      </c>
      <c r="S1713" s="33">
        <v>0</v>
      </c>
      <c r="T1713" s="13">
        <v>14.82</v>
      </c>
      <c r="U1713" s="13">
        <v>6.9653999999999998</v>
      </c>
      <c r="V1713" s="55">
        <f>Table3[[#This Row],[Profit]]/Table3[[#This Row],[Sales]]</f>
        <v>0.47</v>
      </c>
    </row>
    <row r="1714" spans="1:22" x14ac:dyDescent="0.2">
      <c r="A1714">
        <v>1713</v>
      </c>
      <c r="B1714" t="s">
        <v>8513</v>
      </c>
      <c r="C1714" s="1">
        <v>42982</v>
      </c>
      <c r="D1714" s="22">
        <f>MONTH(Table3[[#This Row],[Order Date]])</f>
        <v>9</v>
      </c>
      <c r="E1714" t="s">
        <v>6822</v>
      </c>
      <c r="F1714" t="s">
        <v>6823</v>
      </c>
      <c r="G1714" s="23" t="s">
        <v>41</v>
      </c>
      <c r="H1714" s="23" t="s">
        <v>53</v>
      </c>
      <c r="I1714" t="s">
        <v>3074</v>
      </c>
      <c r="J1714" t="s">
        <v>22</v>
      </c>
      <c r="K1714" s="22">
        <v>2</v>
      </c>
      <c r="L1714" s="1">
        <v>42986</v>
      </c>
      <c r="M1714" s="22">
        <f>Table3[[#This Row],[Ship Date]]-Table3[[#This Row],[Order Date]]</f>
        <v>4</v>
      </c>
      <c r="N1714" s="23" t="s">
        <v>45</v>
      </c>
      <c r="O1714" s="23" t="s">
        <v>23</v>
      </c>
      <c r="P1714" s="23" t="s">
        <v>38</v>
      </c>
      <c r="Q1714" s="23" t="s">
        <v>39</v>
      </c>
      <c r="R1714" s="23" t="s">
        <v>2237</v>
      </c>
      <c r="S1714" s="33">
        <v>0</v>
      </c>
      <c r="T1714" s="13">
        <v>421.1</v>
      </c>
      <c r="U1714" s="13">
        <v>105.27500000000001</v>
      </c>
      <c r="V1714" s="55">
        <f>Table3[[#This Row],[Profit]]/Table3[[#This Row],[Sales]]</f>
        <v>0.25</v>
      </c>
    </row>
    <row r="1715" spans="1:22" x14ac:dyDescent="0.2">
      <c r="A1715">
        <v>1714</v>
      </c>
      <c r="B1715" t="s">
        <v>8630</v>
      </c>
      <c r="C1715" s="1">
        <v>42982</v>
      </c>
      <c r="D1715" s="22">
        <f>MONTH(Table3[[#This Row],[Order Date]])</f>
        <v>9</v>
      </c>
      <c r="E1715" t="s">
        <v>620</v>
      </c>
      <c r="F1715" t="s">
        <v>621</v>
      </c>
      <c r="G1715" s="23" t="s">
        <v>28</v>
      </c>
      <c r="H1715" s="23" t="s">
        <v>32</v>
      </c>
      <c r="I1715" t="s">
        <v>7752</v>
      </c>
      <c r="J1715" t="s">
        <v>22</v>
      </c>
      <c r="K1715" s="22">
        <v>2</v>
      </c>
      <c r="L1715" s="1">
        <v>42986</v>
      </c>
      <c r="M1715" s="22">
        <f>Table3[[#This Row],[Ship Date]]-Table3[[#This Row],[Order Date]]</f>
        <v>4</v>
      </c>
      <c r="N1715" s="23" t="s">
        <v>45</v>
      </c>
      <c r="O1715" s="23" t="s">
        <v>23</v>
      </c>
      <c r="P1715" s="23" t="s">
        <v>48</v>
      </c>
      <c r="Q1715" s="23" t="s">
        <v>26</v>
      </c>
      <c r="R1715" s="23" t="s">
        <v>3056</v>
      </c>
      <c r="S1715" s="33">
        <v>0.2</v>
      </c>
      <c r="T1715" s="13">
        <v>97.183999999999997</v>
      </c>
      <c r="U1715" s="13">
        <v>6.0739999999999998</v>
      </c>
      <c r="V1715" s="55">
        <f>Table3[[#This Row],[Profit]]/Table3[[#This Row],[Sales]]</f>
        <v>6.25E-2</v>
      </c>
    </row>
    <row r="1716" spans="1:22" x14ac:dyDescent="0.2">
      <c r="A1716">
        <v>1715</v>
      </c>
      <c r="B1716" t="s">
        <v>8630</v>
      </c>
      <c r="C1716" s="1">
        <v>42982</v>
      </c>
      <c r="D1716" s="22">
        <f>MONTH(Table3[[#This Row],[Order Date]])</f>
        <v>9</v>
      </c>
      <c r="E1716" t="s">
        <v>2514</v>
      </c>
      <c r="F1716" t="s">
        <v>2515</v>
      </c>
      <c r="G1716" s="23" t="s">
        <v>41</v>
      </c>
      <c r="H1716" s="23" t="s">
        <v>82</v>
      </c>
      <c r="I1716" t="s">
        <v>7752</v>
      </c>
      <c r="J1716" t="s">
        <v>22</v>
      </c>
      <c r="K1716" s="22">
        <v>2</v>
      </c>
      <c r="L1716" s="1">
        <v>42986</v>
      </c>
      <c r="M1716" s="22">
        <f>Table3[[#This Row],[Ship Date]]-Table3[[#This Row],[Order Date]]</f>
        <v>4</v>
      </c>
      <c r="N1716" s="23" t="s">
        <v>45</v>
      </c>
      <c r="O1716" s="23" t="s">
        <v>23</v>
      </c>
      <c r="P1716" s="23" t="s">
        <v>48</v>
      </c>
      <c r="Q1716" s="23" t="s">
        <v>26</v>
      </c>
      <c r="R1716" s="23" t="s">
        <v>3056</v>
      </c>
      <c r="S1716" s="33">
        <v>0.2</v>
      </c>
      <c r="T1716" s="13">
        <v>10.368</v>
      </c>
      <c r="U1716" s="13">
        <v>3.6288</v>
      </c>
      <c r="V1716" s="55">
        <f>Table3[[#This Row],[Profit]]/Table3[[#This Row],[Sales]]</f>
        <v>0.35</v>
      </c>
    </row>
    <row r="1717" spans="1:22" x14ac:dyDescent="0.2">
      <c r="A1717">
        <v>1716</v>
      </c>
      <c r="B1717" t="s">
        <v>8960</v>
      </c>
      <c r="C1717" s="1">
        <v>42982</v>
      </c>
      <c r="D1717" s="22">
        <f>MONTH(Table3[[#This Row],[Order Date]])</f>
        <v>9</v>
      </c>
      <c r="E1717" t="s">
        <v>434</v>
      </c>
      <c r="F1717" t="s">
        <v>435</v>
      </c>
      <c r="G1717" s="23" t="s">
        <v>41</v>
      </c>
      <c r="H1717" s="23" t="s">
        <v>61</v>
      </c>
      <c r="I1717" t="s">
        <v>3342</v>
      </c>
      <c r="J1717" t="s">
        <v>92</v>
      </c>
      <c r="K1717" s="22">
        <v>1</v>
      </c>
      <c r="L1717" s="1">
        <v>42986</v>
      </c>
      <c r="M1717" s="22">
        <f>Table3[[#This Row],[Ship Date]]-Table3[[#This Row],[Order Date]]</f>
        <v>4</v>
      </c>
      <c r="N1717" s="23" t="s">
        <v>20</v>
      </c>
      <c r="O1717" s="23" t="s">
        <v>23</v>
      </c>
      <c r="P1717" s="23" t="s">
        <v>94</v>
      </c>
      <c r="Q1717" s="23" t="s">
        <v>95</v>
      </c>
      <c r="R1717" s="23" t="s">
        <v>2438</v>
      </c>
      <c r="S1717" s="33">
        <v>0.2</v>
      </c>
      <c r="T1717" s="13">
        <v>30.384</v>
      </c>
      <c r="U1717" s="13">
        <v>3.798</v>
      </c>
      <c r="V1717" s="55">
        <f>Table3[[#This Row],[Profit]]/Table3[[#This Row],[Sales]]</f>
        <v>0.125</v>
      </c>
    </row>
    <row r="1718" spans="1:22" x14ac:dyDescent="0.2">
      <c r="A1718">
        <v>1717</v>
      </c>
      <c r="B1718" t="s">
        <v>9216</v>
      </c>
      <c r="C1718" s="1">
        <v>42982</v>
      </c>
      <c r="D1718" s="22">
        <f>MONTH(Table3[[#This Row],[Order Date]])</f>
        <v>9</v>
      </c>
      <c r="E1718" t="s">
        <v>4192</v>
      </c>
      <c r="F1718" t="s">
        <v>4193</v>
      </c>
      <c r="G1718" s="23" t="s">
        <v>41</v>
      </c>
      <c r="H1718" s="23" t="s">
        <v>68</v>
      </c>
      <c r="I1718" t="s">
        <v>427</v>
      </c>
      <c r="J1718" t="s">
        <v>36</v>
      </c>
      <c r="K1718" s="22">
        <v>3</v>
      </c>
      <c r="L1718" s="1">
        <v>42986</v>
      </c>
      <c r="M1718" s="22">
        <f>Table3[[#This Row],[Ship Date]]-Table3[[#This Row],[Order Date]]</f>
        <v>4</v>
      </c>
      <c r="N1718" s="23" t="s">
        <v>45</v>
      </c>
      <c r="O1718" s="23" t="s">
        <v>23</v>
      </c>
      <c r="P1718" s="23" t="s">
        <v>38</v>
      </c>
      <c r="Q1718" s="23" t="s">
        <v>39</v>
      </c>
      <c r="R1718" s="23" t="s">
        <v>2815</v>
      </c>
      <c r="S1718" s="33">
        <v>0.2</v>
      </c>
      <c r="T1718" s="13">
        <v>11.808</v>
      </c>
      <c r="U1718" s="13">
        <v>4.1327999999999996</v>
      </c>
      <c r="V1718" s="55">
        <f>Table3[[#This Row],[Profit]]/Table3[[#This Row],[Sales]]</f>
        <v>0.35</v>
      </c>
    </row>
    <row r="1719" spans="1:22" x14ac:dyDescent="0.2">
      <c r="A1719">
        <v>1718</v>
      </c>
      <c r="B1719" t="s">
        <v>9658</v>
      </c>
      <c r="C1719" s="1">
        <v>42982</v>
      </c>
      <c r="D1719" s="22">
        <f>MONTH(Table3[[#This Row],[Order Date]])</f>
        <v>9</v>
      </c>
      <c r="E1719" t="s">
        <v>2529</v>
      </c>
      <c r="F1719" t="s">
        <v>2530</v>
      </c>
      <c r="G1719" s="23" t="s">
        <v>41</v>
      </c>
      <c r="H1719" s="23" t="s">
        <v>68</v>
      </c>
      <c r="I1719" t="s">
        <v>3267</v>
      </c>
      <c r="J1719" t="s">
        <v>36</v>
      </c>
      <c r="K1719" s="22">
        <v>7</v>
      </c>
      <c r="L1719" s="1">
        <v>42983</v>
      </c>
      <c r="M1719" s="22">
        <f>Table3[[#This Row],[Ship Date]]-Table3[[#This Row],[Order Date]]</f>
        <v>1</v>
      </c>
      <c r="N1719" s="23" t="s">
        <v>169</v>
      </c>
      <c r="O1719" s="23" t="s">
        <v>23</v>
      </c>
      <c r="P1719" s="23" t="s">
        <v>374</v>
      </c>
      <c r="Q1719" s="23" t="s">
        <v>39</v>
      </c>
      <c r="R1719" s="23" t="s">
        <v>4049</v>
      </c>
      <c r="S1719" s="33">
        <v>0.7</v>
      </c>
      <c r="T1719" s="13">
        <v>88.073999999999998</v>
      </c>
      <c r="U1719" s="13">
        <v>-58.716000000000001</v>
      </c>
      <c r="V1719" s="55">
        <f>Table3[[#This Row],[Profit]]/Table3[[#This Row],[Sales]]</f>
        <v>-0.66666666666666674</v>
      </c>
    </row>
    <row r="1720" spans="1:22" x14ac:dyDescent="0.2">
      <c r="A1720">
        <v>1719</v>
      </c>
      <c r="B1720" t="s">
        <v>3652</v>
      </c>
      <c r="C1720" s="1">
        <v>42983</v>
      </c>
      <c r="D1720" s="22">
        <f>MONTH(Table3[[#This Row],[Order Date]])</f>
        <v>9</v>
      </c>
      <c r="E1720" t="s">
        <v>1134</v>
      </c>
      <c r="F1720" t="s">
        <v>1135</v>
      </c>
      <c r="G1720" s="23" t="s">
        <v>41</v>
      </c>
      <c r="H1720" s="23" t="s">
        <v>61</v>
      </c>
      <c r="I1720" t="s">
        <v>337</v>
      </c>
      <c r="J1720" t="s">
        <v>92</v>
      </c>
      <c r="K1720" s="22">
        <v>1</v>
      </c>
      <c r="L1720" s="1">
        <v>42984</v>
      </c>
      <c r="M1720" s="22">
        <f>Table3[[#This Row],[Ship Date]]-Table3[[#This Row],[Order Date]]</f>
        <v>1</v>
      </c>
      <c r="N1720" s="23" t="s">
        <v>169</v>
      </c>
      <c r="O1720" s="23" t="s">
        <v>23</v>
      </c>
      <c r="P1720" s="23" t="s">
        <v>87</v>
      </c>
      <c r="Q1720" s="23" t="s">
        <v>39</v>
      </c>
      <c r="R1720" s="23" t="s">
        <v>86</v>
      </c>
      <c r="S1720" s="33">
        <v>0</v>
      </c>
      <c r="T1720" s="13">
        <v>2.78</v>
      </c>
      <c r="U1720" s="13">
        <v>0.7228</v>
      </c>
      <c r="V1720" s="55">
        <f>Table3[[#This Row],[Profit]]/Table3[[#This Row],[Sales]]</f>
        <v>0.26</v>
      </c>
    </row>
    <row r="1721" spans="1:22" x14ac:dyDescent="0.2">
      <c r="A1721">
        <v>1720</v>
      </c>
      <c r="B1721" t="s">
        <v>5976</v>
      </c>
      <c r="C1721" s="1">
        <v>42983</v>
      </c>
      <c r="D1721" s="22">
        <f>MONTH(Table3[[#This Row],[Order Date]])</f>
        <v>9</v>
      </c>
      <c r="E1721" t="s">
        <v>739</v>
      </c>
      <c r="F1721" t="s">
        <v>740</v>
      </c>
      <c r="G1721" s="23" t="s">
        <v>41</v>
      </c>
      <c r="H1721" s="23" t="s">
        <v>53</v>
      </c>
      <c r="I1721" t="s">
        <v>5531</v>
      </c>
      <c r="J1721" t="s">
        <v>92</v>
      </c>
      <c r="K1721" s="22">
        <v>2</v>
      </c>
      <c r="L1721" s="1">
        <v>42989</v>
      </c>
      <c r="M1721" s="22">
        <f>Table3[[#This Row],[Ship Date]]-Table3[[#This Row],[Order Date]]</f>
        <v>6</v>
      </c>
      <c r="N1721" s="23" t="s">
        <v>45</v>
      </c>
      <c r="O1721" s="23" t="s">
        <v>23</v>
      </c>
      <c r="P1721" s="23" t="s">
        <v>48</v>
      </c>
      <c r="Q1721" s="23" t="s">
        <v>26</v>
      </c>
      <c r="R1721" s="23" t="s">
        <v>47</v>
      </c>
      <c r="S1721" s="33">
        <v>0.2</v>
      </c>
      <c r="T1721" s="13">
        <v>147.184</v>
      </c>
      <c r="U1721" s="13">
        <v>-29.436800000000002</v>
      </c>
      <c r="V1721" s="55">
        <f>Table3[[#This Row],[Profit]]/Table3[[#This Row],[Sales]]</f>
        <v>-0.2</v>
      </c>
    </row>
    <row r="1722" spans="1:22" x14ac:dyDescent="0.2">
      <c r="A1722">
        <v>1721</v>
      </c>
      <c r="B1722" t="s">
        <v>9108</v>
      </c>
      <c r="C1722" s="1">
        <v>42983</v>
      </c>
      <c r="D1722" s="22">
        <f>MONTH(Table3[[#This Row],[Order Date]])</f>
        <v>9</v>
      </c>
      <c r="E1722" t="s">
        <v>3988</v>
      </c>
      <c r="F1722" t="s">
        <v>3989</v>
      </c>
      <c r="G1722" s="23" t="s">
        <v>64</v>
      </c>
      <c r="H1722" s="23" t="s">
        <v>144</v>
      </c>
      <c r="I1722" t="s">
        <v>3222</v>
      </c>
      <c r="J1722" t="s">
        <v>22</v>
      </c>
      <c r="K1722" s="22">
        <v>4</v>
      </c>
      <c r="L1722" s="1">
        <v>42987</v>
      </c>
      <c r="M1722" s="22">
        <f>Table3[[#This Row],[Ship Date]]-Table3[[#This Row],[Order Date]]</f>
        <v>4</v>
      </c>
      <c r="N1722" s="23" t="s">
        <v>45</v>
      </c>
      <c r="O1722" s="23" t="s">
        <v>23</v>
      </c>
      <c r="P1722" s="23" t="s">
        <v>299</v>
      </c>
      <c r="Q1722" s="23" t="s">
        <v>26</v>
      </c>
      <c r="R1722" s="23" t="s">
        <v>4558</v>
      </c>
      <c r="S1722" s="33">
        <v>0.2</v>
      </c>
      <c r="T1722" s="13">
        <v>89.567999999999998</v>
      </c>
      <c r="U1722" s="13">
        <v>-1.1195999999999999</v>
      </c>
      <c r="V1722" s="55">
        <f>Table3[[#This Row],[Profit]]/Table3[[#This Row],[Sales]]</f>
        <v>-1.2499999999999999E-2</v>
      </c>
    </row>
    <row r="1723" spans="1:22" x14ac:dyDescent="0.2">
      <c r="A1723">
        <v>1722</v>
      </c>
      <c r="B1723" t="s">
        <v>9108</v>
      </c>
      <c r="C1723" s="1">
        <v>42983</v>
      </c>
      <c r="D1723" s="22">
        <f>MONTH(Table3[[#This Row],[Order Date]])</f>
        <v>9</v>
      </c>
      <c r="E1723" t="s">
        <v>2221</v>
      </c>
      <c r="F1723" t="s">
        <v>2222</v>
      </c>
      <c r="G1723" s="23" t="s">
        <v>41</v>
      </c>
      <c r="H1723" s="23" t="s">
        <v>61</v>
      </c>
      <c r="I1723" t="s">
        <v>3222</v>
      </c>
      <c r="J1723" t="s">
        <v>22</v>
      </c>
      <c r="K1723" s="22">
        <v>5</v>
      </c>
      <c r="L1723" s="1">
        <v>42987</v>
      </c>
      <c r="M1723" s="22">
        <f>Table3[[#This Row],[Ship Date]]-Table3[[#This Row],[Order Date]]</f>
        <v>4</v>
      </c>
      <c r="N1723" s="23" t="s">
        <v>45</v>
      </c>
      <c r="O1723" s="23" t="s">
        <v>23</v>
      </c>
      <c r="P1723" s="23" t="s">
        <v>299</v>
      </c>
      <c r="Q1723" s="23" t="s">
        <v>26</v>
      </c>
      <c r="R1723" s="23" t="s">
        <v>4558</v>
      </c>
      <c r="S1723" s="33">
        <v>0.2</v>
      </c>
      <c r="T1723" s="13">
        <v>71.959999999999994</v>
      </c>
      <c r="U1723" s="13">
        <v>7.1959999999999997</v>
      </c>
      <c r="V1723" s="55">
        <f>Table3[[#This Row],[Profit]]/Table3[[#This Row],[Sales]]</f>
        <v>0.1</v>
      </c>
    </row>
    <row r="1724" spans="1:22" x14ac:dyDescent="0.2">
      <c r="A1724">
        <v>1723</v>
      </c>
      <c r="B1724" t="s">
        <v>9108</v>
      </c>
      <c r="C1724" s="1">
        <v>42983</v>
      </c>
      <c r="D1724" s="22">
        <f>MONTH(Table3[[#This Row],[Order Date]])</f>
        <v>9</v>
      </c>
      <c r="E1724" t="s">
        <v>2003</v>
      </c>
      <c r="F1724" t="s">
        <v>2004</v>
      </c>
      <c r="G1724" s="23" t="s">
        <v>41</v>
      </c>
      <c r="H1724" s="23" t="s">
        <v>82</v>
      </c>
      <c r="I1724" t="s">
        <v>3222</v>
      </c>
      <c r="J1724" t="s">
        <v>22</v>
      </c>
      <c r="K1724" s="22">
        <v>3</v>
      </c>
      <c r="L1724" s="1">
        <v>42987</v>
      </c>
      <c r="M1724" s="22">
        <f>Table3[[#This Row],[Ship Date]]-Table3[[#This Row],[Order Date]]</f>
        <v>4</v>
      </c>
      <c r="N1724" s="23" t="s">
        <v>45</v>
      </c>
      <c r="O1724" s="23" t="s">
        <v>23</v>
      </c>
      <c r="P1724" s="23" t="s">
        <v>299</v>
      </c>
      <c r="Q1724" s="23" t="s">
        <v>26</v>
      </c>
      <c r="R1724" s="23" t="s">
        <v>4558</v>
      </c>
      <c r="S1724" s="33">
        <v>0.2</v>
      </c>
      <c r="T1724" s="13">
        <v>15.552</v>
      </c>
      <c r="U1724" s="13">
        <v>5.4432</v>
      </c>
      <c r="V1724" s="55">
        <f>Table3[[#This Row],[Profit]]/Table3[[#This Row],[Sales]]</f>
        <v>0.35000000000000003</v>
      </c>
    </row>
    <row r="1725" spans="1:22" x14ac:dyDescent="0.2">
      <c r="A1725">
        <v>1724</v>
      </c>
      <c r="B1725" t="s">
        <v>1602</v>
      </c>
      <c r="C1725" s="1">
        <v>42985</v>
      </c>
      <c r="D1725" s="22">
        <f>MONTH(Table3[[#This Row],[Order Date]])</f>
        <v>9</v>
      </c>
      <c r="E1725" t="s">
        <v>1604</v>
      </c>
      <c r="F1725" t="s">
        <v>1605</v>
      </c>
      <c r="G1725" s="23" t="s">
        <v>28</v>
      </c>
      <c r="H1725" s="23" t="s">
        <v>58</v>
      </c>
      <c r="I1725" t="s">
        <v>1603</v>
      </c>
      <c r="J1725" t="s">
        <v>22</v>
      </c>
      <c r="K1725" s="22">
        <v>3</v>
      </c>
      <c r="L1725" s="1">
        <v>42989</v>
      </c>
      <c r="M1725" s="22">
        <f>Table3[[#This Row],[Ship Date]]-Table3[[#This Row],[Order Date]]</f>
        <v>4</v>
      </c>
      <c r="N1725" s="23" t="s">
        <v>45</v>
      </c>
      <c r="O1725" s="23" t="s">
        <v>23</v>
      </c>
      <c r="P1725" s="23" t="s">
        <v>38</v>
      </c>
      <c r="Q1725" s="23" t="s">
        <v>39</v>
      </c>
      <c r="R1725" s="23" t="s">
        <v>37</v>
      </c>
      <c r="S1725" s="33">
        <v>0</v>
      </c>
      <c r="T1725" s="13">
        <v>47.94</v>
      </c>
      <c r="U1725" s="13">
        <v>2.3969999999999998</v>
      </c>
      <c r="V1725" s="55">
        <f>Table3[[#This Row],[Profit]]/Table3[[#This Row],[Sales]]</f>
        <v>4.9999999999999996E-2</v>
      </c>
    </row>
    <row r="1726" spans="1:22" x14ac:dyDescent="0.2">
      <c r="A1726">
        <v>1725</v>
      </c>
      <c r="B1726" t="s">
        <v>4433</v>
      </c>
      <c r="C1726" s="1">
        <v>42985</v>
      </c>
      <c r="D1726" s="22">
        <f>MONTH(Table3[[#This Row],[Order Date]])</f>
        <v>9</v>
      </c>
      <c r="E1726" t="s">
        <v>3288</v>
      </c>
      <c r="F1726" t="s">
        <v>3289</v>
      </c>
      <c r="G1726" s="23" t="s">
        <v>41</v>
      </c>
      <c r="H1726" s="23" t="s">
        <v>53</v>
      </c>
      <c r="I1726" t="s">
        <v>587</v>
      </c>
      <c r="J1726" t="s">
        <v>22</v>
      </c>
      <c r="K1726" s="22">
        <v>3</v>
      </c>
      <c r="L1726" s="1">
        <v>42990</v>
      </c>
      <c r="M1726" s="22">
        <f>Table3[[#This Row],[Ship Date]]-Table3[[#This Row],[Order Date]]</f>
        <v>5</v>
      </c>
      <c r="N1726" s="23" t="s">
        <v>45</v>
      </c>
      <c r="O1726" s="23" t="s">
        <v>23</v>
      </c>
      <c r="P1726" s="23" t="s">
        <v>374</v>
      </c>
      <c r="Q1726" s="23" t="s">
        <v>39</v>
      </c>
      <c r="R1726" s="23" t="s">
        <v>373</v>
      </c>
      <c r="S1726" s="33">
        <v>0.2</v>
      </c>
      <c r="T1726" s="13">
        <v>37.68</v>
      </c>
      <c r="U1726" s="13">
        <v>2.355</v>
      </c>
      <c r="V1726" s="55">
        <f>Table3[[#This Row],[Profit]]/Table3[[#This Row],[Sales]]</f>
        <v>6.25E-2</v>
      </c>
    </row>
    <row r="1727" spans="1:22" x14ac:dyDescent="0.2">
      <c r="A1727">
        <v>1726</v>
      </c>
      <c r="B1727" t="s">
        <v>4433</v>
      </c>
      <c r="C1727" s="1">
        <v>42985</v>
      </c>
      <c r="D1727" s="22">
        <f>MONTH(Table3[[#This Row],[Order Date]])</f>
        <v>9</v>
      </c>
      <c r="E1727" t="s">
        <v>4012</v>
      </c>
      <c r="F1727" t="s">
        <v>4013</v>
      </c>
      <c r="G1727" s="23" t="s">
        <v>64</v>
      </c>
      <c r="H1727" s="23" t="s">
        <v>144</v>
      </c>
      <c r="I1727" t="s">
        <v>587</v>
      </c>
      <c r="J1727" t="s">
        <v>22</v>
      </c>
      <c r="K1727" s="22">
        <v>7</v>
      </c>
      <c r="L1727" s="1">
        <v>42990</v>
      </c>
      <c r="M1727" s="22">
        <f>Table3[[#This Row],[Ship Date]]-Table3[[#This Row],[Order Date]]</f>
        <v>5</v>
      </c>
      <c r="N1727" s="23" t="s">
        <v>45</v>
      </c>
      <c r="O1727" s="23" t="s">
        <v>23</v>
      </c>
      <c r="P1727" s="23" t="s">
        <v>374</v>
      </c>
      <c r="Q1727" s="23" t="s">
        <v>39</v>
      </c>
      <c r="R1727" s="23" t="s">
        <v>373</v>
      </c>
      <c r="S1727" s="33">
        <v>0.2</v>
      </c>
      <c r="T1727" s="13">
        <v>279.94400000000002</v>
      </c>
      <c r="U1727" s="13">
        <v>80.483900000000006</v>
      </c>
      <c r="V1727" s="55">
        <f>Table3[[#This Row],[Profit]]/Table3[[#This Row],[Sales]]</f>
        <v>0.28749999999999998</v>
      </c>
    </row>
    <row r="1728" spans="1:22" x14ac:dyDescent="0.2">
      <c r="A1728">
        <v>1727</v>
      </c>
      <c r="B1728" t="s">
        <v>5045</v>
      </c>
      <c r="C1728" s="1">
        <v>42985</v>
      </c>
      <c r="D1728" s="22">
        <f>MONTH(Table3[[#This Row],[Order Date]])</f>
        <v>9</v>
      </c>
      <c r="E1728" t="s">
        <v>199</v>
      </c>
      <c r="F1728" t="s">
        <v>200</v>
      </c>
      <c r="G1728" s="23" t="s">
        <v>41</v>
      </c>
      <c r="H1728" s="23" t="s">
        <v>53</v>
      </c>
      <c r="I1728" t="s">
        <v>3026</v>
      </c>
      <c r="J1728" t="s">
        <v>36</v>
      </c>
      <c r="K1728" s="22">
        <v>8</v>
      </c>
      <c r="L1728" s="1">
        <v>42989</v>
      </c>
      <c r="M1728" s="22">
        <f>Table3[[#This Row],[Ship Date]]-Table3[[#This Row],[Order Date]]</f>
        <v>4</v>
      </c>
      <c r="N1728" s="23" t="s">
        <v>45</v>
      </c>
      <c r="O1728" s="23" t="s">
        <v>23</v>
      </c>
      <c r="P1728" s="23" t="s">
        <v>238</v>
      </c>
      <c r="Q1728" s="23" t="s">
        <v>133</v>
      </c>
      <c r="R1728" s="23" t="s">
        <v>237</v>
      </c>
      <c r="S1728" s="33">
        <v>0</v>
      </c>
      <c r="T1728" s="13">
        <v>478.08</v>
      </c>
      <c r="U1728" s="13">
        <v>133.86240000000001</v>
      </c>
      <c r="V1728" s="55">
        <f>Table3[[#This Row],[Profit]]/Table3[[#This Row],[Sales]]</f>
        <v>0.28000000000000003</v>
      </c>
    </row>
    <row r="1729" spans="1:22" x14ac:dyDescent="0.2">
      <c r="A1729">
        <v>1728</v>
      </c>
      <c r="B1729" t="s">
        <v>5867</v>
      </c>
      <c r="C1729" s="1">
        <v>42985</v>
      </c>
      <c r="D1729" s="22">
        <f>MONTH(Table3[[#This Row],[Order Date]])</f>
        <v>9</v>
      </c>
      <c r="E1729" t="s">
        <v>3038</v>
      </c>
      <c r="F1729" t="s">
        <v>167</v>
      </c>
      <c r="G1729" s="23" t="s">
        <v>41</v>
      </c>
      <c r="H1729" s="23" t="s">
        <v>82</v>
      </c>
      <c r="I1729" t="s">
        <v>2745</v>
      </c>
      <c r="J1729" t="s">
        <v>92</v>
      </c>
      <c r="K1729" s="22">
        <v>9</v>
      </c>
      <c r="L1729" s="1">
        <v>42991</v>
      </c>
      <c r="M1729" s="22">
        <f>Table3[[#This Row],[Ship Date]]-Table3[[#This Row],[Order Date]]</f>
        <v>6</v>
      </c>
      <c r="N1729" s="23" t="s">
        <v>45</v>
      </c>
      <c r="O1729" s="23" t="s">
        <v>23</v>
      </c>
      <c r="P1729" s="23" t="s">
        <v>189</v>
      </c>
      <c r="Q1729" s="23" t="s">
        <v>95</v>
      </c>
      <c r="R1729" s="23" t="s">
        <v>271</v>
      </c>
      <c r="S1729" s="33">
        <v>0.2</v>
      </c>
      <c r="T1729" s="13">
        <v>73.007999999999996</v>
      </c>
      <c r="U1729" s="13">
        <v>26.465399999999999</v>
      </c>
      <c r="V1729" s="55">
        <f>Table3[[#This Row],[Profit]]/Table3[[#This Row],[Sales]]</f>
        <v>0.36249999999999999</v>
      </c>
    </row>
    <row r="1730" spans="1:22" x14ac:dyDescent="0.2">
      <c r="A1730">
        <v>1729</v>
      </c>
      <c r="B1730" t="s">
        <v>6039</v>
      </c>
      <c r="C1730" s="1">
        <v>42985</v>
      </c>
      <c r="D1730" s="22">
        <f>MONTH(Table3[[#This Row],[Order Date]])</f>
        <v>9</v>
      </c>
      <c r="E1730" t="s">
        <v>457</v>
      </c>
      <c r="F1730" t="s">
        <v>458</v>
      </c>
      <c r="G1730" s="23" t="s">
        <v>41</v>
      </c>
      <c r="H1730" s="23" t="s">
        <v>68</v>
      </c>
      <c r="I1730" t="s">
        <v>2716</v>
      </c>
      <c r="J1730" t="s">
        <v>92</v>
      </c>
      <c r="K1730" s="22">
        <v>3</v>
      </c>
      <c r="L1730" s="1">
        <v>42992</v>
      </c>
      <c r="M1730" s="22">
        <f>Table3[[#This Row],[Ship Date]]-Table3[[#This Row],[Order Date]]</f>
        <v>7</v>
      </c>
      <c r="N1730" s="23" t="s">
        <v>45</v>
      </c>
      <c r="O1730" s="23" t="s">
        <v>23</v>
      </c>
      <c r="P1730" s="23" t="s">
        <v>528</v>
      </c>
      <c r="Q1730" s="23" t="s">
        <v>95</v>
      </c>
      <c r="R1730" s="23" t="s">
        <v>527</v>
      </c>
      <c r="S1730" s="33">
        <v>0</v>
      </c>
      <c r="T1730" s="13">
        <v>1577.94</v>
      </c>
      <c r="U1730" s="13">
        <v>757.41120000000001</v>
      </c>
      <c r="V1730" s="55">
        <f>Table3[[#This Row],[Profit]]/Table3[[#This Row],[Sales]]</f>
        <v>0.48</v>
      </c>
    </row>
    <row r="1731" spans="1:22" x14ac:dyDescent="0.2">
      <c r="A1731">
        <v>1730</v>
      </c>
      <c r="B1731" t="s">
        <v>6472</v>
      </c>
      <c r="C1731" s="1">
        <v>42985</v>
      </c>
      <c r="D1731" s="22">
        <f>MONTH(Table3[[#This Row],[Order Date]])</f>
        <v>9</v>
      </c>
      <c r="E1731" t="s">
        <v>207</v>
      </c>
      <c r="F1731" t="s">
        <v>208</v>
      </c>
      <c r="G1731" s="23" t="s">
        <v>41</v>
      </c>
      <c r="H1731" s="23" t="s">
        <v>68</v>
      </c>
      <c r="I1731" t="s">
        <v>5277</v>
      </c>
      <c r="J1731" t="s">
        <v>92</v>
      </c>
      <c r="K1731" s="22">
        <v>3</v>
      </c>
      <c r="L1731" s="1">
        <v>42987</v>
      </c>
      <c r="M1731" s="22">
        <f>Table3[[#This Row],[Ship Date]]-Table3[[#This Row],[Order Date]]</f>
        <v>2</v>
      </c>
      <c r="N1731" s="23" t="s">
        <v>169</v>
      </c>
      <c r="O1731" s="23" t="s">
        <v>23</v>
      </c>
      <c r="P1731" s="23" t="s">
        <v>277</v>
      </c>
      <c r="Q1731" s="23" t="s">
        <v>39</v>
      </c>
      <c r="R1731" s="23" t="s">
        <v>481</v>
      </c>
      <c r="S1731" s="33">
        <v>0.7</v>
      </c>
      <c r="T1731" s="13">
        <v>7.8570000000000002</v>
      </c>
      <c r="U1731" s="13">
        <v>-6.0236999999999998</v>
      </c>
      <c r="V1731" s="55">
        <f>Table3[[#This Row],[Profit]]/Table3[[#This Row],[Sales]]</f>
        <v>-0.76666666666666661</v>
      </c>
    </row>
    <row r="1732" spans="1:22" x14ac:dyDescent="0.2">
      <c r="A1732">
        <v>1731</v>
      </c>
      <c r="B1732" t="s">
        <v>6525</v>
      </c>
      <c r="C1732" s="1">
        <v>42985</v>
      </c>
      <c r="D1732" s="22">
        <f>MONTH(Table3[[#This Row],[Order Date]])</f>
        <v>9</v>
      </c>
      <c r="E1732" t="s">
        <v>574</v>
      </c>
      <c r="F1732" t="s">
        <v>575</v>
      </c>
      <c r="G1732" s="23" t="s">
        <v>41</v>
      </c>
      <c r="H1732" s="23" t="s">
        <v>42</v>
      </c>
      <c r="I1732" t="s">
        <v>686</v>
      </c>
      <c r="J1732" t="s">
        <v>22</v>
      </c>
      <c r="K1732" s="22">
        <v>5</v>
      </c>
      <c r="L1732" s="1">
        <v>42989</v>
      </c>
      <c r="M1732" s="22">
        <f>Table3[[#This Row],[Ship Date]]-Table3[[#This Row],[Order Date]]</f>
        <v>4</v>
      </c>
      <c r="N1732" s="23" t="s">
        <v>45</v>
      </c>
      <c r="O1732" s="23" t="s">
        <v>23</v>
      </c>
      <c r="P1732" s="23" t="s">
        <v>132</v>
      </c>
      <c r="Q1732" s="23" t="s">
        <v>133</v>
      </c>
      <c r="R1732" s="23" t="s">
        <v>131</v>
      </c>
      <c r="S1732" s="33">
        <v>0.2</v>
      </c>
      <c r="T1732" s="13">
        <v>29.24</v>
      </c>
      <c r="U1732" s="13">
        <v>9.8684999999999992</v>
      </c>
      <c r="V1732" s="55">
        <f>Table3[[#This Row],[Profit]]/Table3[[#This Row],[Sales]]</f>
        <v>0.33749999999999997</v>
      </c>
    </row>
    <row r="1733" spans="1:22" x14ac:dyDescent="0.2">
      <c r="A1733">
        <v>1732</v>
      </c>
      <c r="B1733" t="s">
        <v>6525</v>
      </c>
      <c r="C1733" s="1">
        <v>42985</v>
      </c>
      <c r="D1733" s="22">
        <f>MONTH(Table3[[#This Row],[Order Date]])</f>
        <v>9</v>
      </c>
      <c r="E1733" t="s">
        <v>3209</v>
      </c>
      <c r="F1733" t="s">
        <v>3210</v>
      </c>
      <c r="G1733" s="23" t="s">
        <v>41</v>
      </c>
      <c r="H1733" s="23" t="s">
        <v>82</v>
      </c>
      <c r="I1733" t="s">
        <v>686</v>
      </c>
      <c r="J1733" t="s">
        <v>22</v>
      </c>
      <c r="K1733" s="22">
        <v>3</v>
      </c>
      <c r="L1733" s="1">
        <v>42989</v>
      </c>
      <c r="M1733" s="22">
        <f>Table3[[#This Row],[Ship Date]]-Table3[[#This Row],[Order Date]]</f>
        <v>4</v>
      </c>
      <c r="N1733" s="23" t="s">
        <v>45</v>
      </c>
      <c r="O1733" s="23" t="s">
        <v>23</v>
      </c>
      <c r="P1733" s="23" t="s">
        <v>132</v>
      </c>
      <c r="Q1733" s="23" t="s">
        <v>133</v>
      </c>
      <c r="R1733" s="23" t="s">
        <v>131</v>
      </c>
      <c r="S1733" s="33">
        <v>0.2</v>
      </c>
      <c r="T1733" s="13">
        <v>15.552</v>
      </c>
      <c r="U1733" s="13">
        <v>5.4432</v>
      </c>
      <c r="V1733" s="55">
        <f>Table3[[#This Row],[Profit]]/Table3[[#This Row],[Sales]]</f>
        <v>0.35000000000000003</v>
      </c>
    </row>
    <row r="1734" spans="1:22" x14ac:dyDescent="0.2">
      <c r="A1734">
        <v>1733</v>
      </c>
      <c r="B1734" t="s">
        <v>6525</v>
      </c>
      <c r="C1734" s="1">
        <v>42985</v>
      </c>
      <c r="D1734" s="22">
        <f>MONTH(Table3[[#This Row],[Order Date]])</f>
        <v>9</v>
      </c>
      <c r="E1734" t="s">
        <v>154</v>
      </c>
      <c r="F1734" t="s">
        <v>156</v>
      </c>
      <c r="G1734" s="23" t="s">
        <v>41</v>
      </c>
      <c r="H1734" s="23" t="s">
        <v>155</v>
      </c>
      <c r="I1734" t="s">
        <v>686</v>
      </c>
      <c r="J1734" t="s">
        <v>22</v>
      </c>
      <c r="K1734" s="22">
        <v>3</v>
      </c>
      <c r="L1734" s="1">
        <v>42989</v>
      </c>
      <c r="M1734" s="22">
        <f>Table3[[#This Row],[Ship Date]]-Table3[[#This Row],[Order Date]]</f>
        <v>4</v>
      </c>
      <c r="N1734" s="23" t="s">
        <v>45</v>
      </c>
      <c r="O1734" s="23" t="s">
        <v>23</v>
      </c>
      <c r="P1734" s="23" t="s">
        <v>132</v>
      </c>
      <c r="Q1734" s="23" t="s">
        <v>133</v>
      </c>
      <c r="R1734" s="23" t="s">
        <v>131</v>
      </c>
      <c r="S1734" s="33">
        <v>0.2</v>
      </c>
      <c r="T1734" s="13">
        <v>4.8959999999999999</v>
      </c>
      <c r="U1734" s="13">
        <v>1.6524000000000001</v>
      </c>
      <c r="V1734" s="55">
        <f>Table3[[#This Row],[Profit]]/Table3[[#This Row],[Sales]]</f>
        <v>0.33750000000000002</v>
      </c>
    </row>
    <row r="1735" spans="1:22" x14ac:dyDescent="0.2">
      <c r="A1735">
        <v>1734</v>
      </c>
      <c r="B1735" t="s">
        <v>7361</v>
      </c>
      <c r="C1735" s="1">
        <v>42985</v>
      </c>
      <c r="D1735" s="22">
        <f>MONTH(Table3[[#This Row],[Order Date]])</f>
        <v>9</v>
      </c>
      <c r="E1735" t="s">
        <v>6065</v>
      </c>
      <c r="F1735" t="s">
        <v>6066</v>
      </c>
      <c r="G1735" s="23" t="s">
        <v>64</v>
      </c>
      <c r="H1735" s="23" t="s">
        <v>144</v>
      </c>
      <c r="I1735" t="s">
        <v>1244</v>
      </c>
      <c r="J1735" t="s">
        <v>22</v>
      </c>
      <c r="K1735" s="22">
        <v>1</v>
      </c>
      <c r="L1735" s="1">
        <v>42989</v>
      </c>
      <c r="M1735" s="22">
        <f>Table3[[#This Row],[Ship Date]]-Table3[[#This Row],[Order Date]]</f>
        <v>4</v>
      </c>
      <c r="N1735" s="23" t="s">
        <v>45</v>
      </c>
      <c r="O1735" s="23" t="s">
        <v>23</v>
      </c>
      <c r="P1735" s="23" t="s">
        <v>103</v>
      </c>
      <c r="Q1735" s="23" t="s">
        <v>95</v>
      </c>
      <c r="R1735" s="23" t="s">
        <v>2242</v>
      </c>
      <c r="S1735" s="33">
        <v>0</v>
      </c>
      <c r="T1735" s="13">
        <v>13.48</v>
      </c>
      <c r="U1735" s="13">
        <v>1.8872</v>
      </c>
      <c r="V1735" s="55">
        <f>Table3[[#This Row],[Profit]]/Table3[[#This Row],[Sales]]</f>
        <v>0.13999999999999999</v>
      </c>
    </row>
    <row r="1736" spans="1:22" x14ac:dyDescent="0.2">
      <c r="A1736">
        <v>1735</v>
      </c>
      <c r="B1736" t="s">
        <v>7558</v>
      </c>
      <c r="C1736" s="1">
        <v>42985</v>
      </c>
      <c r="D1736" s="22">
        <f>MONTH(Table3[[#This Row],[Order Date]])</f>
        <v>9</v>
      </c>
      <c r="E1736" t="s">
        <v>6306</v>
      </c>
      <c r="F1736" t="s">
        <v>6307</v>
      </c>
      <c r="G1736" s="23" t="s">
        <v>28</v>
      </c>
      <c r="H1736" s="23" t="s">
        <v>58</v>
      </c>
      <c r="I1736" t="s">
        <v>4635</v>
      </c>
      <c r="J1736" t="s">
        <v>22</v>
      </c>
      <c r="K1736" s="22">
        <v>2</v>
      </c>
      <c r="L1736" s="1">
        <v>42986</v>
      </c>
      <c r="M1736" s="22">
        <f>Table3[[#This Row],[Ship Date]]-Table3[[#This Row],[Order Date]]</f>
        <v>1</v>
      </c>
      <c r="N1736" s="23" t="s">
        <v>169</v>
      </c>
      <c r="O1736" s="23" t="s">
        <v>23</v>
      </c>
      <c r="P1736" s="23" t="s">
        <v>109</v>
      </c>
      <c r="Q1736" s="23" t="s">
        <v>39</v>
      </c>
      <c r="R1736" s="23" t="s">
        <v>7559</v>
      </c>
      <c r="S1736" s="33">
        <v>0</v>
      </c>
      <c r="T1736" s="13">
        <v>25.16</v>
      </c>
      <c r="U1736" s="13">
        <v>10.5672</v>
      </c>
      <c r="V1736" s="55">
        <f>Table3[[#This Row],[Profit]]/Table3[[#This Row],[Sales]]</f>
        <v>0.42</v>
      </c>
    </row>
    <row r="1737" spans="1:22" x14ac:dyDescent="0.2">
      <c r="A1737">
        <v>1736</v>
      </c>
      <c r="B1737" t="s">
        <v>7558</v>
      </c>
      <c r="C1737" s="1">
        <v>42985</v>
      </c>
      <c r="D1737" s="22">
        <f>MONTH(Table3[[#This Row],[Order Date]])</f>
        <v>9</v>
      </c>
      <c r="E1737" t="s">
        <v>4485</v>
      </c>
      <c r="F1737" t="s">
        <v>4486</v>
      </c>
      <c r="G1737" s="23" t="s">
        <v>64</v>
      </c>
      <c r="H1737" s="23" t="s">
        <v>65</v>
      </c>
      <c r="I1737" t="s">
        <v>4635</v>
      </c>
      <c r="J1737" t="s">
        <v>22</v>
      </c>
      <c r="K1737" s="22">
        <v>4</v>
      </c>
      <c r="L1737" s="1">
        <v>42986</v>
      </c>
      <c r="M1737" s="22">
        <f>Table3[[#This Row],[Ship Date]]-Table3[[#This Row],[Order Date]]</f>
        <v>1</v>
      </c>
      <c r="N1737" s="23" t="s">
        <v>169</v>
      </c>
      <c r="O1737" s="23" t="s">
        <v>23</v>
      </c>
      <c r="P1737" s="23" t="s">
        <v>109</v>
      </c>
      <c r="Q1737" s="23" t="s">
        <v>39</v>
      </c>
      <c r="R1737" s="23" t="s">
        <v>7559</v>
      </c>
      <c r="S1737" s="33">
        <v>0.2</v>
      </c>
      <c r="T1737" s="13">
        <v>126.56</v>
      </c>
      <c r="U1737" s="13">
        <v>47.46</v>
      </c>
      <c r="V1737" s="55">
        <f>Table3[[#This Row],[Profit]]/Table3[[#This Row],[Sales]]</f>
        <v>0.375</v>
      </c>
    </row>
    <row r="1738" spans="1:22" x14ac:dyDescent="0.2">
      <c r="A1738">
        <v>1737</v>
      </c>
      <c r="B1738" t="s">
        <v>7849</v>
      </c>
      <c r="C1738" s="1">
        <v>42985</v>
      </c>
      <c r="D1738" s="22">
        <f>MONTH(Table3[[#This Row],[Order Date]])</f>
        <v>9</v>
      </c>
      <c r="E1738" t="s">
        <v>2153</v>
      </c>
      <c r="F1738" t="s">
        <v>2154</v>
      </c>
      <c r="G1738" s="23" t="s">
        <v>28</v>
      </c>
      <c r="H1738" s="23" t="s">
        <v>58</v>
      </c>
      <c r="I1738" t="s">
        <v>2699</v>
      </c>
      <c r="J1738" t="s">
        <v>22</v>
      </c>
      <c r="K1738" s="22">
        <v>4</v>
      </c>
      <c r="L1738" s="1">
        <v>42989</v>
      </c>
      <c r="M1738" s="22">
        <f>Table3[[#This Row],[Ship Date]]-Table3[[#This Row],[Order Date]]</f>
        <v>4</v>
      </c>
      <c r="N1738" s="23" t="s">
        <v>45</v>
      </c>
      <c r="O1738" s="23" t="s">
        <v>23</v>
      </c>
      <c r="P1738" s="23" t="s">
        <v>38</v>
      </c>
      <c r="Q1738" s="23" t="s">
        <v>39</v>
      </c>
      <c r="R1738" s="23" t="s">
        <v>37</v>
      </c>
      <c r="S1738" s="33">
        <v>0</v>
      </c>
      <c r="T1738" s="13">
        <v>19.760000000000002</v>
      </c>
      <c r="U1738" s="13">
        <v>8.2992000000000008</v>
      </c>
      <c r="V1738" s="55">
        <f>Table3[[#This Row],[Profit]]/Table3[[#This Row],[Sales]]</f>
        <v>0.42</v>
      </c>
    </row>
    <row r="1739" spans="1:22" x14ac:dyDescent="0.2">
      <c r="A1739">
        <v>1738</v>
      </c>
      <c r="B1739" t="s">
        <v>8528</v>
      </c>
      <c r="C1739" s="1">
        <v>42985</v>
      </c>
      <c r="D1739" s="22">
        <f>MONTH(Table3[[#This Row],[Order Date]])</f>
        <v>9</v>
      </c>
      <c r="E1739" t="s">
        <v>2479</v>
      </c>
      <c r="F1739" t="s">
        <v>2480</v>
      </c>
      <c r="G1739" s="23" t="s">
        <v>64</v>
      </c>
      <c r="H1739" s="23" t="s">
        <v>144</v>
      </c>
      <c r="I1739" t="s">
        <v>1719</v>
      </c>
      <c r="J1739" t="s">
        <v>22</v>
      </c>
      <c r="K1739" s="22">
        <v>4</v>
      </c>
      <c r="L1739" s="1">
        <v>42985</v>
      </c>
      <c r="M1739" s="22">
        <f>Table3[[#This Row],[Ship Date]]-Table3[[#This Row],[Order Date]]</f>
        <v>0</v>
      </c>
      <c r="N1739" s="23" t="s">
        <v>1141</v>
      </c>
      <c r="O1739" s="23" t="s">
        <v>23</v>
      </c>
      <c r="P1739" s="23" t="s">
        <v>528</v>
      </c>
      <c r="Q1739" s="23" t="s">
        <v>95</v>
      </c>
      <c r="R1739" s="23" t="s">
        <v>8529</v>
      </c>
      <c r="S1739" s="33">
        <v>0</v>
      </c>
      <c r="T1739" s="13">
        <v>113.52</v>
      </c>
      <c r="U1739" s="13">
        <v>46.543199999999999</v>
      </c>
      <c r="V1739" s="55">
        <f>Table3[[#This Row],[Profit]]/Table3[[#This Row],[Sales]]</f>
        <v>0.41000000000000003</v>
      </c>
    </row>
    <row r="1740" spans="1:22" x14ac:dyDescent="0.2">
      <c r="A1740">
        <v>1739</v>
      </c>
      <c r="B1740" t="s">
        <v>8528</v>
      </c>
      <c r="C1740" s="1">
        <v>42985</v>
      </c>
      <c r="D1740" s="22">
        <f>MONTH(Table3[[#This Row],[Order Date]])</f>
        <v>9</v>
      </c>
      <c r="E1740" t="s">
        <v>4472</v>
      </c>
      <c r="F1740" t="s">
        <v>4473</v>
      </c>
      <c r="G1740" s="23" t="s">
        <v>28</v>
      </c>
      <c r="H1740" s="23" t="s">
        <v>58</v>
      </c>
      <c r="I1740" t="s">
        <v>1719</v>
      </c>
      <c r="J1740" t="s">
        <v>22</v>
      </c>
      <c r="K1740" s="22">
        <v>5</v>
      </c>
      <c r="L1740" s="1">
        <v>42985</v>
      </c>
      <c r="M1740" s="22">
        <f>Table3[[#This Row],[Ship Date]]-Table3[[#This Row],[Order Date]]</f>
        <v>0</v>
      </c>
      <c r="N1740" s="23" t="s">
        <v>1141</v>
      </c>
      <c r="O1740" s="23" t="s">
        <v>23</v>
      </c>
      <c r="P1740" s="23" t="s">
        <v>528</v>
      </c>
      <c r="Q1740" s="23" t="s">
        <v>95</v>
      </c>
      <c r="R1740" s="23" t="s">
        <v>8529</v>
      </c>
      <c r="S1740" s="33">
        <v>0</v>
      </c>
      <c r="T1740" s="13">
        <v>135.30000000000001</v>
      </c>
      <c r="U1740" s="13">
        <v>37.884</v>
      </c>
      <c r="V1740" s="55">
        <f>Table3[[#This Row],[Profit]]/Table3[[#This Row],[Sales]]</f>
        <v>0.27999999999999997</v>
      </c>
    </row>
    <row r="1741" spans="1:22" x14ac:dyDescent="0.2">
      <c r="A1741">
        <v>1740</v>
      </c>
      <c r="B1741" t="s">
        <v>9065</v>
      </c>
      <c r="C1741" s="1">
        <v>42985</v>
      </c>
      <c r="D1741" s="22">
        <f>MONTH(Table3[[#This Row],[Order Date]])</f>
        <v>9</v>
      </c>
      <c r="E1741" t="s">
        <v>784</v>
      </c>
      <c r="F1741" t="s">
        <v>785</v>
      </c>
      <c r="G1741" s="23" t="s">
        <v>28</v>
      </c>
      <c r="H1741" s="23" t="s">
        <v>32</v>
      </c>
      <c r="I1741" t="s">
        <v>2550</v>
      </c>
      <c r="J1741" t="s">
        <v>22</v>
      </c>
      <c r="K1741" s="22">
        <v>2</v>
      </c>
      <c r="L1741" s="1">
        <v>42990</v>
      </c>
      <c r="M1741" s="22">
        <f>Table3[[#This Row],[Ship Date]]-Table3[[#This Row],[Order Date]]</f>
        <v>5</v>
      </c>
      <c r="N1741" s="23" t="s">
        <v>45</v>
      </c>
      <c r="O1741" s="23" t="s">
        <v>23</v>
      </c>
      <c r="P1741" s="23" t="s">
        <v>38</v>
      </c>
      <c r="Q1741" s="23" t="s">
        <v>39</v>
      </c>
      <c r="R1741" s="23" t="s">
        <v>8660</v>
      </c>
      <c r="S1741" s="33">
        <v>0.2</v>
      </c>
      <c r="T1741" s="13">
        <v>161.56800000000001</v>
      </c>
      <c r="U1741" s="13">
        <v>-28.2744</v>
      </c>
      <c r="V1741" s="55">
        <f>Table3[[#This Row],[Profit]]/Table3[[#This Row],[Sales]]</f>
        <v>-0.17499999999999999</v>
      </c>
    </row>
    <row r="1742" spans="1:22" x14ac:dyDescent="0.2">
      <c r="A1742">
        <v>1741</v>
      </c>
      <c r="B1742" t="s">
        <v>9113</v>
      </c>
      <c r="C1742" s="1">
        <v>42985</v>
      </c>
      <c r="D1742" s="22">
        <f>MONTH(Table3[[#This Row],[Order Date]])</f>
        <v>9</v>
      </c>
      <c r="E1742" t="s">
        <v>1625</v>
      </c>
      <c r="F1742" t="s">
        <v>1626</v>
      </c>
      <c r="G1742" s="23" t="s">
        <v>41</v>
      </c>
      <c r="H1742" s="23" t="s">
        <v>71</v>
      </c>
      <c r="I1742" t="s">
        <v>5560</v>
      </c>
      <c r="J1742" t="s">
        <v>36</v>
      </c>
      <c r="K1742" s="22">
        <v>2</v>
      </c>
      <c r="L1742" s="1">
        <v>42990</v>
      </c>
      <c r="M1742" s="22">
        <f>Table3[[#This Row],[Ship Date]]-Table3[[#This Row],[Order Date]]</f>
        <v>5</v>
      </c>
      <c r="N1742" s="23" t="s">
        <v>45</v>
      </c>
      <c r="O1742" s="23" t="s">
        <v>23</v>
      </c>
      <c r="P1742" s="23" t="s">
        <v>299</v>
      </c>
      <c r="Q1742" s="23" t="s">
        <v>26</v>
      </c>
      <c r="R1742" s="23" t="s">
        <v>5035</v>
      </c>
      <c r="S1742" s="33">
        <v>0.2</v>
      </c>
      <c r="T1742" s="13">
        <v>81.567999999999998</v>
      </c>
      <c r="U1742" s="13">
        <v>7.1372</v>
      </c>
      <c r="V1742" s="55">
        <f>Table3[[#This Row],[Profit]]/Table3[[#This Row],[Sales]]</f>
        <v>8.7500000000000008E-2</v>
      </c>
    </row>
    <row r="1743" spans="1:22" x14ac:dyDescent="0.2">
      <c r="A1743">
        <v>1742</v>
      </c>
      <c r="B1743" t="s">
        <v>9769</v>
      </c>
      <c r="C1743" s="1">
        <v>42985</v>
      </c>
      <c r="D1743" s="22">
        <f>MONTH(Table3[[#This Row],[Order Date]])</f>
        <v>9</v>
      </c>
      <c r="E1743" t="s">
        <v>6696</v>
      </c>
      <c r="F1743" t="s">
        <v>6697</v>
      </c>
      <c r="G1743" s="23" t="s">
        <v>28</v>
      </c>
      <c r="H1743" s="23" t="s">
        <v>58</v>
      </c>
      <c r="I1743" t="s">
        <v>3116</v>
      </c>
      <c r="J1743" t="s">
        <v>22</v>
      </c>
      <c r="K1743" s="22">
        <v>4</v>
      </c>
      <c r="L1743" s="1">
        <v>42988</v>
      </c>
      <c r="M1743" s="22">
        <f>Table3[[#This Row],[Ship Date]]-Table3[[#This Row],[Order Date]]</f>
        <v>3</v>
      </c>
      <c r="N1743" s="23" t="s">
        <v>169</v>
      </c>
      <c r="O1743" s="23" t="s">
        <v>23</v>
      </c>
      <c r="P1743" s="23" t="s">
        <v>87</v>
      </c>
      <c r="Q1743" s="23" t="s">
        <v>39</v>
      </c>
      <c r="R1743" s="23" t="s">
        <v>2230</v>
      </c>
      <c r="S1743" s="33">
        <v>0</v>
      </c>
      <c r="T1743" s="13">
        <v>80.959999999999994</v>
      </c>
      <c r="U1743" s="13">
        <v>34.812800000000003</v>
      </c>
      <c r="V1743" s="55">
        <f>Table3[[#This Row],[Profit]]/Table3[[#This Row],[Sales]]</f>
        <v>0.43000000000000005</v>
      </c>
    </row>
    <row r="1744" spans="1:22" x14ac:dyDescent="0.2">
      <c r="A1744">
        <v>1743</v>
      </c>
      <c r="B1744" t="s">
        <v>9769</v>
      </c>
      <c r="C1744" s="1">
        <v>42985</v>
      </c>
      <c r="D1744" s="22">
        <f>MONTH(Table3[[#This Row],[Order Date]])</f>
        <v>9</v>
      </c>
      <c r="E1744" t="s">
        <v>75</v>
      </c>
      <c r="F1744" t="s">
        <v>76</v>
      </c>
      <c r="G1744" s="23" t="s">
        <v>64</v>
      </c>
      <c r="H1744" s="23" t="s">
        <v>65</v>
      </c>
      <c r="I1744" t="s">
        <v>3116</v>
      </c>
      <c r="J1744" t="s">
        <v>22</v>
      </c>
      <c r="K1744" s="22">
        <v>2</v>
      </c>
      <c r="L1744" s="1">
        <v>42988</v>
      </c>
      <c r="M1744" s="22">
        <f>Table3[[#This Row],[Ship Date]]-Table3[[#This Row],[Order Date]]</f>
        <v>3</v>
      </c>
      <c r="N1744" s="23" t="s">
        <v>169</v>
      </c>
      <c r="O1744" s="23" t="s">
        <v>23</v>
      </c>
      <c r="P1744" s="23" t="s">
        <v>87</v>
      </c>
      <c r="Q1744" s="23" t="s">
        <v>39</v>
      </c>
      <c r="R1744" s="23" t="s">
        <v>2230</v>
      </c>
      <c r="S1744" s="33">
        <v>0.2</v>
      </c>
      <c r="T1744" s="13">
        <v>455.71199999999999</v>
      </c>
      <c r="U1744" s="13">
        <v>34.178400000000003</v>
      </c>
      <c r="V1744" s="55">
        <f>Table3[[#This Row],[Profit]]/Table3[[#This Row],[Sales]]</f>
        <v>7.5000000000000011E-2</v>
      </c>
    </row>
    <row r="1745" spans="1:22" x14ac:dyDescent="0.2">
      <c r="A1745">
        <v>1744</v>
      </c>
      <c r="B1745" t="s">
        <v>9769</v>
      </c>
      <c r="C1745" s="1">
        <v>42985</v>
      </c>
      <c r="D1745" s="22">
        <f>MONTH(Table3[[#This Row],[Order Date]])</f>
        <v>9</v>
      </c>
      <c r="E1745" t="s">
        <v>5703</v>
      </c>
      <c r="F1745" t="s">
        <v>5704</v>
      </c>
      <c r="G1745" s="23" t="s">
        <v>41</v>
      </c>
      <c r="H1745" s="23" t="s">
        <v>61</v>
      </c>
      <c r="I1745" t="s">
        <v>3116</v>
      </c>
      <c r="J1745" t="s">
        <v>22</v>
      </c>
      <c r="K1745" s="22">
        <v>1</v>
      </c>
      <c r="L1745" s="1">
        <v>42988</v>
      </c>
      <c r="M1745" s="22">
        <f>Table3[[#This Row],[Ship Date]]-Table3[[#This Row],[Order Date]]</f>
        <v>3</v>
      </c>
      <c r="N1745" s="23" t="s">
        <v>169</v>
      </c>
      <c r="O1745" s="23" t="s">
        <v>23</v>
      </c>
      <c r="P1745" s="23" t="s">
        <v>87</v>
      </c>
      <c r="Q1745" s="23" t="s">
        <v>39</v>
      </c>
      <c r="R1745" s="23" t="s">
        <v>2230</v>
      </c>
      <c r="S1745" s="33">
        <v>0</v>
      </c>
      <c r="T1745" s="13">
        <v>25.98</v>
      </c>
      <c r="U1745" s="13">
        <v>7.2744</v>
      </c>
      <c r="V1745" s="55">
        <f>Table3[[#This Row],[Profit]]/Table3[[#This Row],[Sales]]</f>
        <v>0.27999999999999997</v>
      </c>
    </row>
    <row r="1746" spans="1:22" x14ac:dyDescent="0.2">
      <c r="A1746">
        <v>1745</v>
      </c>
      <c r="B1746" t="s">
        <v>9901</v>
      </c>
      <c r="C1746" s="1">
        <v>42985</v>
      </c>
      <c r="D1746" s="22">
        <f>MONTH(Table3[[#This Row],[Order Date]])</f>
        <v>9</v>
      </c>
      <c r="E1746" t="s">
        <v>3228</v>
      </c>
      <c r="F1746" t="s">
        <v>3229</v>
      </c>
      <c r="G1746" s="23" t="s">
        <v>41</v>
      </c>
      <c r="H1746" s="23" t="s">
        <v>82</v>
      </c>
      <c r="I1746" t="s">
        <v>1612</v>
      </c>
      <c r="J1746" t="s">
        <v>22</v>
      </c>
      <c r="K1746" s="22">
        <v>5</v>
      </c>
      <c r="L1746" s="1">
        <v>42987</v>
      </c>
      <c r="M1746" s="22">
        <f>Table3[[#This Row],[Ship Date]]-Table3[[#This Row],[Order Date]]</f>
        <v>2</v>
      </c>
      <c r="N1746" s="23" t="s">
        <v>169</v>
      </c>
      <c r="O1746" s="23" t="s">
        <v>23</v>
      </c>
      <c r="P1746" s="23" t="s">
        <v>1235</v>
      </c>
      <c r="Q1746" s="23" t="s">
        <v>133</v>
      </c>
      <c r="R1746" s="23" t="s">
        <v>3161</v>
      </c>
      <c r="S1746" s="33">
        <v>0</v>
      </c>
      <c r="T1746" s="13">
        <v>16.899999999999999</v>
      </c>
      <c r="U1746" s="13">
        <v>7.774</v>
      </c>
      <c r="V1746" s="55">
        <f>Table3[[#This Row],[Profit]]/Table3[[#This Row],[Sales]]</f>
        <v>0.46</v>
      </c>
    </row>
    <row r="1747" spans="1:22" x14ac:dyDescent="0.2">
      <c r="A1747">
        <v>1746</v>
      </c>
      <c r="B1747" t="s">
        <v>9901</v>
      </c>
      <c r="C1747" s="1">
        <v>42985</v>
      </c>
      <c r="D1747" s="22">
        <f>MONTH(Table3[[#This Row],[Order Date]])</f>
        <v>9</v>
      </c>
      <c r="E1747" t="s">
        <v>1282</v>
      </c>
      <c r="F1747" t="s">
        <v>1283</v>
      </c>
      <c r="G1747" s="23" t="s">
        <v>41</v>
      </c>
      <c r="H1747" s="23" t="s">
        <v>82</v>
      </c>
      <c r="I1747" t="s">
        <v>1612</v>
      </c>
      <c r="J1747" t="s">
        <v>22</v>
      </c>
      <c r="K1747" s="22">
        <v>2</v>
      </c>
      <c r="L1747" s="1">
        <v>42987</v>
      </c>
      <c r="M1747" s="22">
        <f>Table3[[#This Row],[Ship Date]]-Table3[[#This Row],[Order Date]]</f>
        <v>2</v>
      </c>
      <c r="N1747" s="23" t="s">
        <v>169</v>
      </c>
      <c r="O1747" s="23" t="s">
        <v>23</v>
      </c>
      <c r="P1747" s="23" t="s">
        <v>1235</v>
      </c>
      <c r="Q1747" s="23" t="s">
        <v>133</v>
      </c>
      <c r="R1747" s="23" t="s">
        <v>3161</v>
      </c>
      <c r="S1747" s="33">
        <v>0</v>
      </c>
      <c r="T1747" s="13">
        <v>39.96</v>
      </c>
      <c r="U1747" s="13">
        <v>18.781199999999998</v>
      </c>
      <c r="V1747" s="55">
        <f>Table3[[#This Row],[Profit]]/Table3[[#This Row],[Sales]]</f>
        <v>0.47</v>
      </c>
    </row>
    <row r="1748" spans="1:22" x14ac:dyDescent="0.2">
      <c r="A1748">
        <v>1747</v>
      </c>
      <c r="B1748" t="s">
        <v>3888</v>
      </c>
      <c r="C1748" s="1">
        <v>42986</v>
      </c>
      <c r="D1748" s="22">
        <f>MONTH(Table3[[#This Row],[Order Date]])</f>
        <v>9</v>
      </c>
      <c r="E1748" t="s">
        <v>712</v>
      </c>
      <c r="F1748" t="s">
        <v>713</v>
      </c>
      <c r="G1748" s="23" t="s">
        <v>28</v>
      </c>
      <c r="H1748" s="23" t="s">
        <v>50</v>
      </c>
      <c r="I1748" t="s">
        <v>3816</v>
      </c>
      <c r="J1748" t="s">
        <v>22</v>
      </c>
      <c r="K1748" s="22">
        <v>7</v>
      </c>
      <c r="L1748" s="1">
        <v>42991</v>
      </c>
      <c r="M1748" s="22">
        <f>Table3[[#This Row],[Ship Date]]-Table3[[#This Row],[Order Date]]</f>
        <v>5</v>
      </c>
      <c r="N1748" s="23" t="s">
        <v>20</v>
      </c>
      <c r="O1748" s="23" t="s">
        <v>23</v>
      </c>
      <c r="P1748" s="23" t="s">
        <v>189</v>
      </c>
      <c r="Q1748" s="23" t="s">
        <v>95</v>
      </c>
      <c r="R1748" s="23" t="s">
        <v>271</v>
      </c>
      <c r="S1748" s="33">
        <v>0.5</v>
      </c>
      <c r="T1748" s="13">
        <v>765.625</v>
      </c>
      <c r="U1748" s="13">
        <v>-566.5625</v>
      </c>
      <c r="V1748" s="55">
        <f>Table3[[#This Row],[Profit]]/Table3[[#This Row],[Sales]]</f>
        <v>-0.74</v>
      </c>
    </row>
    <row r="1749" spans="1:22" x14ac:dyDescent="0.2">
      <c r="A1749">
        <v>1748</v>
      </c>
      <c r="B1749" t="s">
        <v>5653</v>
      </c>
      <c r="C1749" s="1">
        <v>42986</v>
      </c>
      <c r="D1749" s="22">
        <f>MONTH(Table3[[#This Row],[Order Date]])</f>
        <v>9</v>
      </c>
      <c r="E1749" t="s">
        <v>3031</v>
      </c>
      <c r="F1749" t="s">
        <v>5655</v>
      </c>
      <c r="G1749" s="23" t="s">
        <v>64</v>
      </c>
      <c r="H1749" s="23" t="s">
        <v>65</v>
      </c>
      <c r="I1749" t="s">
        <v>5654</v>
      </c>
      <c r="J1749" t="s">
        <v>22</v>
      </c>
      <c r="K1749" s="22">
        <v>2</v>
      </c>
      <c r="L1749" s="1">
        <v>42990</v>
      </c>
      <c r="M1749" s="22">
        <f>Table3[[#This Row],[Ship Date]]-Table3[[#This Row],[Order Date]]</f>
        <v>4</v>
      </c>
      <c r="N1749" s="23" t="s">
        <v>45</v>
      </c>
      <c r="O1749" s="23" t="s">
        <v>23</v>
      </c>
      <c r="P1749" s="23" t="s">
        <v>132</v>
      </c>
      <c r="Q1749" s="23" t="s">
        <v>133</v>
      </c>
      <c r="R1749" s="23" t="s">
        <v>131</v>
      </c>
      <c r="S1749" s="33">
        <v>0.4</v>
      </c>
      <c r="T1749" s="13">
        <v>258.52800000000002</v>
      </c>
      <c r="U1749" s="13">
        <v>-47.396799999999999</v>
      </c>
      <c r="V1749" s="55">
        <f>Table3[[#This Row],[Profit]]/Table3[[#This Row],[Sales]]</f>
        <v>-0.18333333333333332</v>
      </c>
    </row>
    <row r="1750" spans="1:22" x14ac:dyDescent="0.2">
      <c r="A1750">
        <v>1749</v>
      </c>
      <c r="B1750" t="s">
        <v>6110</v>
      </c>
      <c r="C1750" s="1">
        <v>42986</v>
      </c>
      <c r="D1750" s="22">
        <f>MONTH(Table3[[#This Row],[Order Date]])</f>
        <v>9</v>
      </c>
      <c r="E1750" t="s">
        <v>6111</v>
      </c>
      <c r="F1750" t="s">
        <v>6112</v>
      </c>
      <c r="G1750" s="23" t="s">
        <v>64</v>
      </c>
      <c r="H1750" s="23" t="s">
        <v>144</v>
      </c>
      <c r="I1750" t="s">
        <v>4587</v>
      </c>
      <c r="J1750" t="s">
        <v>36</v>
      </c>
      <c r="K1750" s="22">
        <v>1</v>
      </c>
      <c r="L1750" s="1">
        <v>42992</v>
      </c>
      <c r="M1750" s="22">
        <f>Table3[[#This Row],[Ship Date]]-Table3[[#This Row],[Order Date]]</f>
        <v>6</v>
      </c>
      <c r="N1750" s="23" t="s">
        <v>45</v>
      </c>
      <c r="O1750" s="23" t="s">
        <v>23</v>
      </c>
      <c r="P1750" s="23" t="s">
        <v>441</v>
      </c>
      <c r="Q1750" s="23" t="s">
        <v>133</v>
      </c>
      <c r="R1750" s="23" t="s">
        <v>762</v>
      </c>
      <c r="S1750" s="33">
        <v>0.2</v>
      </c>
      <c r="T1750" s="13">
        <v>9.0960000000000001</v>
      </c>
      <c r="U1750" s="13">
        <v>1.7055</v>
      </c>
      <c r="V1750" s="55">
        <f>Table3[[#This Row],[Profit]]/Table3[[#This Row],[Sales]]</f>
        <v>0.1875</v>
      </c>
    </row>
    <row r="1751" spans="1:22" x14ac:dyDescent="0.2">
      <c r="A1751">
        <v>1750</v>
      </c>
      <c r="B1751" t="s">
        <v>6831</v>
      </c>
      <c r="C1751" s="1">
        <v>42986</v>
      </c>
      <c r="D1751" s="22">
        <f>MONTH(Table3[[#This Row],[Order Date]])</f>
        <v>9</v>
      </c>
      <c r="E1751" t="s">
        <v>4774</v>
      </c>
      <c r="F1751" t="s">
        <v>4775</v>
      </c>
      <c r="G1751" s="23" t="s">
        <v>64</v>
      </c>
      <c r="H1751" s="23" t="s">
        <v>144</v>
      </c>
      <c r="I1751" t="s">
        <v>2019</v>
      </c>
      <c r="J1751" t="s">
        <v>36</v>
      </c>
      <c r="K1751" s="22">
        <v>4</v>
      </c>
      <c r="L1751" s="1">
        <v>42988</v>
      </c>
      <c r="M1751" s="22">
        <f>Table3[[#This Row],[Ship Date]]-Table3[[#This Row],[Order Date]]</f>
        <v>2</v>
      </c>
      <c r="N1751" s="23" t="s">
        <v>20</v>
      </c>
      <c r="O1751" s="23" t="s">
        <v>23</v>
      </c>
      <c r="P1751" s="23" t="s">
        <v>441</v>
      </c>
      <c r="Q1751" s="23" t="s">
        <v>133</v>
      </c>
      <c r="R1751" s="23" t="s">
        <v>4594</v>
      </c>
      <c r="S1751" s="33">
        <v>0.2</v>
      </c>
      <c r="T1751" s="13">
        <v>116.83199999999999</v>
      </c>
      <c r="U1751" s="13">
        <v>33.589199999999998</v>
      </c>
      <c r="V1751" s="55">
        <f>Table3[[#This Row],[Profit]]/Table3[[#This Row],[Sales]]</f>
        <v>0.28749999999999998</v>
      </c>
    </row>
    <row r="1752" spans="1:22" x14ac:dyDescent="0.2">
      <c r="A1752">
        <v>1751</v>
      </c>
      <c r="B1752" t="s">
        <v>7711</v>
      </c>
      <c r="C1752" s="1">
        <v>42986</v>
      </c>
      <c r="D1752" s="22">
        <f>MONTH(Table3[[#This Row],[Order Date]])</f>
        <v>9</v>
      </c>
      <c r="E1752" t="s">
        <v>3214</v>
      </c>
      <c r="F1752" t="s">
        <v>3215</v>
      </c>
      <c r="G1752" s="23" t="s">
        <v>64</v>
      </c>
      <c r="H1752" s="23" t="s">
        <v>144</v>
      </c>
      <c r="I1752" t="s">
        <v>7119</v>
      </c>
      <c r="J1752" t="s">
        <v>36</v>
      </c>
      <c r="K1752" s="22">
        <v>6</v>
      </c>
      <c r="L1752" s="1">
        <v>42990</v>
      </c>
      <c r="M1752" s="22">
        <f>Table3[[#This Row],[Ship Date]]-Table3[[#This Row],[Order Date]]</f>
        <v>4</v>
      </c>
      <c r="N1752" s="23" t="s">
        <v>20</v>
      </c>
      <c r="O1752" s="23" t="s">
        <v>23</v>
      </c>
      <c r="P1752" s="23" t="s">
        <v>94</v>
      </c>
      <c r="Q1752" s="23" t="s">
        <v>95</v>
      </c>
      <c r="R1752" s="23" t="s">
        <v>165</v>
      </c>
      <c r="S1752" s="33">
        <v>0.2</v>
      </c>
      <c r="T1752" s="13">
        <v>85.2</v>
      </c>
      <c r="U1752" s="13">
        <v>20.234999999999999</v>
      </c>
      <c r="V1752" s="55">
        <f>Table3[[#This Row],[Profit]]/Table3[[#This Row],[Sales]]</f>
        <v>0.23749999999999999</v>
      </c>
    </row>
    <row r="1753" spans="1:22" x14ac:dyDescent="0.2">
      <c r="A1753">
        <v>1752</v>
      </c>
      <c r="B1753" t="s">
        <v>8238</v>
      </c>
      <c r="C1753" s="1">
        <v>42986</v>
      </c>
      <c r="D1753" s="22">
        <f>MONTH(Table3[[#This Row],[Order Date]])</f>
        <v>9</v>
      </c>
      <c r="E1753" t="s">
        <v>1618</v>
      </c>
      <c r="F1753" t="s">
        <v>1619</v>
      </c>
      <c r="G1753" s="23" t="s">
        <v>41</v>
      </c>
      <c r="H1753" s="23" t="s">
        <v>68</v>
      </c>
      <c r="I1753" t="s">
        <v>2120</v>
      </c>
      <c r="J1753" t="s">
        <v>36</v>
      </c>
      <c r="K1753" s="22">
        <v>7</v>
      </c>
      <c r="L1753" s="1">
        <v>42989</v>
      </c>
      <c r="M1753" s="22">
        <f>Table3[[#This Row],[Ship Date]]-Table3[[#This Row],[Order Date]]</f>
        <v>3</v>
      </c>
      <c r="N1753" s="23" t="s">
        <v>169</v>
      </c>
      <c r="O1753" s="23" t="s">
        <v>23</v>
      </c>
      <c r="P1753" s="23" t="s">
        <v>94</v>
      </c>
      <c r="Q1753" s="23" t="s">
        <v>95</v>
      </c>
      <c r="R1753" s="23" t="s">
        <v>997</v>
      </c>
      <c r="S1753" s="33">
        <v>0.8</v>
      </c>
      <c r="T1753" s="13">
        <v>42.616</v>
      </c>
      <c r="U1753" s="13">
        <v>-68.185599999999994</v>
      </c>
      <c r="V1753" s="55">
        <f>Table3[[#This Row],[Profit]]/Table3[[#This Row],[Sales]]</f>
        <v>-1.5999999999999999</v>
      </c>
    </row>
    <row r="1754" spans="1:22" x14ac:dyDescent="0.2">
      <c r="A1754">
        <v>1753</v>
      </c>
      <c r="B1754" t="s">
        <v>8238</v>
      </c>
      <c r="C1754" s="1">
        <v>42986</v>
      </c>
      <c r="D1754" s="22">
        <f>MONTH(Table3[[#This Row],[Order Date]])</f>
        <v>9</v>
      </c>
      <c r="E1754" t="s">
        <v>6920</v>
      </c>
      <c r="F1754" t="s">
        <v>6921</v>
      </c>
      <c r="G1754" s="23" t="s">
        <v>64</v>
      </c>
      <c r="H1754" s="23" t="s">
        <v>1075</v>
      </c>
      <c r="I1754" t="s">
        <v>2120</v>
      </c>
      <c r="J1754" t="s">
        <v>36</v>
      </c>
      <c r="K1754" s="22">
        <v>2</v>
      </c>
      <c r="L1754" s="1">
        <v>42989</v>
      </c>
      <c r="M1754" s="22">
        <f>Table3[[#This Row],[Ship Date]]-Table3[[#This Row],[Order Date]]</f>
        <v>3</v>
      </c>
      <c r="N1754" s="23" t="s">
        <v>169</v>
      </c>
      <c r="O1754" s="23" t="s">
        <v>23</v>
      </c>
      <c r="P1754" s="23" t="s">
        <v>94</v>
      </c>
      <c r="Q1754" s="23" t="s">
        <v>95</v>
      </c>
      <c r="R1754" s="23" t="s">
        <v>997</v>
      </c>
      <c r="S1754" s="33">
        <v>0.2</v>
      </c>
      <c r="T1754" s="13">
        <v>319.98399999999998</v>
      </c>
      <c r="U1754" s="13">
        <v>107.99460000000001</v>
      </c>
      <c r="V1754" s="55">
        <f>Table3[[#This Row],[Profit]]/Table3[[#This Row],[Sales]]</f>
        <v>0.33750000000000002</v>
      </c>
    </row>
    <row r="1755" spans="1:22" x14ac:dyDescent="0.2">
      <c r="A1755">
        <v>1754</v>
      </c>
      <c r="B1755" t="s">
        <v>8238</v>
      </c>
      <c r="C1755" s="1">
        <v>42986</v>
      </c>
      <c r="D1755" s="22">
        <f>MONTH(Table3[[#This Row],[Order Date]])</f>
        <v>9</v>
      </c>
      <c r="E1755" t="s">
        <v>963</v>
      </c>
      <c r="F1755" t="s">
        <v>964</v>
      </c>
      <c r="G1755" s="23" t="s">
        <v>41</v>
      </c>
      <c r="H1755" s="23" t="s">
        <v>240</v>
      </c>
      <c r="I1755" t="s">
        <v>2120</v>
      </c>
      <c r="J1755" t="s">
        <v>36</v>
      </c>
      <c r="K1755" s="22">
        <v>5</v>
      </c>
      <c r="L1755" s="1">
        <v>42989</v>
      </c>
      <c r="M1755" s="22">
        <f>Table3[[#This Row],[Ship Date]]-Table3[[#This Row],[Order Date]]</f>
        <v>3</v>
      </c>
      <c r="N1755" s="23" t="s">
        <v>169</v>
      </c>
      <c r="O1755" s="23" t="s">
        <v>23</v>
      </c>
      <c r="P1755" s="23" t="s">
        <v>94</v>
      </c>
      <c r="Q1755" s="23" t="s">
        <v>95</v>
      </c>
      <c r="R1755" s="23" t="s">
        <v>997</v>
      </c>
      <c r="S1755" s="33">
        <v>0.2</v>
      </c>
      <c r="T1755" s="13">
        <v>45.92</v>
      </c>
      <c r="U1755" s="13">
        <v>15.497999999999999</v>
      </c>
      <c r="V1755" s="55">
        <f>Table3[[#This Row],[Profit]]/Table3[[#This Row],[Sales]]</f>
        <v>0.33749999999999997</v>
      </c>
    </row>
    <row r="1756" spans="1:22" x14ac:dyDescent="0.2">
      <c r="A1756">
        <v>1755</v>
      </c>
      <c r="B1756" t="s">
        <v>8238</v>
      </c>
      <c r="C1756" s="1">
        <v>42986</v>
      </c>
      <c r="D1756" s="22">
        <f>MONTH(Table3[[#This Row],[Order Date]])</f>
        <v>9</v>
      </c>
      <c r="E1756" t="s">
        <v>2581</v>
      </c>
      <c r="F1756" t="s">
        <v>2582</v>
      </c>
      <c r="G1756" s="23" t="s">
        <v>28</v>
      </c>
      <c r="H1756" s="23" t="s">
        <v>58</v>
      </c>
      <c r="I1756" t="s">
        <v>2120</v>
      </c>
      <c r="J1756" t="s">
        <v>36</v>
      </c>
      <c r="K1756" s="22">
        <v>2</v>
      </c>
      <c r="L1756" s="1">
        <v>42989</v>
      </c>
      <c r="M1756" s="22">
        <f>Table3[[#This Row],[Ship Date]]-Table3[[#This Row],[Order Date]]</f>
        <v>3</v>
      </c>
      <c r="N1756" s="23" t="s">
        <v>169</v>
      </c>
      <c r="O1756" s="23" t="s">
        <v>23</v>
      </c>
      <c r="P1756" s="23" t="s">
        <v>94</v>
      </c>
      <c r="Q1756" s="23" t="s">
        <v>95</v>
      </c>
      <c r="R1756" s="23" t="s">
        <v>997</v>
      </c>
      <c r="S1756" s="33">
        <v>0.6</v>
      </c>
      <c r="T1756" s="13">
        <v>21.184000000000001</v>
      </c>
      <c r="U1756" s="13">
        <v>-11.651199999999999</v>
      </c>
      <c r="V1756" s="55">
        <f>Table3[[#This Row],[Profit]]/Table3[[#This Row],[Sales]]</f>
        <v>-0.54999999999999993</v>
      </c>
    </row>
    <row r="1757" spans="1:22" x14ac:dyDescent="0.2">
      <c r="A1757">
        <v>1756</v>
      </c>
      <c r="B1757" t="s">
        <v>8238</v>
      </c>
      <c r="C1757" s="1">
        <v>42986</v>
      </c>
      <c r="D1757" s="22">
        <f>MONTH(Table3[[#This Row],[Order Date]])</f>
        <v>9</v>
      </c>
      <c r="E1757" t="s">
        <v>678</v>
      </c>
      <c r="F1757" t="s">
        <v>679</v>
      </c>
      <c r="G1757" s="23" t="s">
        <v>41</v>
      </c>
      <c r="H1757" s="23" t="s">
        <v>82</v>
      </c>
      <c r="I1757" t="s">
        <v>2120</v>
      </c>
      <c r="J1757" t="s">
        <v>36</v>
      </c>
      <c r="K1757" s="22">
        <v>4</v>
      </c>
      <c r="L1757" s="1">
        <v>42989</v>
      </c>
      <c r="M1757" s="22">
        <f>Table3[[#This Row],[Ship Date]]-Table3[[#This Row],[Order Date]]</f>
        <v>3</v>
      </c>
      <c r="N1757" s="23" t="s">
        <v>169</v>
      </c>
      <c r="O1757" s="23" t="s">
        <v>23</v>
      </c>
      <c r="P1757" s="23" t="s">
        <v>94</v>
      </c>
      <c r="Q1757" s="23" t="s">
        <v>95</v>
      </c>
      <c r="R1757" s="23" t="s">
        <v>997</v>
      </c>
      <c r="S1757" s="33">
        <v>0.2</v>
      </c>
      <c r="T1757" s="13">
        <v>20.736000000000001</v>
      </c>
      <c r="U1757" s="13">
        <v>7.2576000000000001</v>
      </c>
      <c r="V1757" s="55">
        <f>Table3[[#This Row],[Profit]]/Table3[[#This Row],[Sales]]</f>
        <v>0.35</v>
      </c>
    </row>
    <row r="1758" spans="1:22" x14ac:dyDescent="0.2">
      <c r="A1758">
        <v>1757</v>
      </c>
      <c r="B1758" t="s">
        <v>8238</v>
      </c>
      <c r="C1758" s="1">
        <v>42986</v>
      </c>
      <c r="D1758" s="22">
        <f>MONTH(Table3[[#This Row],[Order Date]])</f>
        <v>9</v>
      </c>
      <c r="E1758" t="s">
        <v>5896</v>
      </c>
      <c r="F1758" t="s">
        <v>5897</v>
      </c>
      <c r="G1758" s="23" t="s">
        <v>28</v>
      </c>
      <c r="H1758" s="23" t="s">
        <v>32</v>
      </c>
      <c r="I1758" t="s">
        <v>2120</v>
      </c>
      <c r="J1758" t="s">
        <v>36</v>
      </c>
      <c r="K1758" s="22">
        <v>5</v>
      </c>
      <c r="L1758" s="1">
        <v>42989</v>
      </c>
      <c r="M1758" s="22">
        <f>Table3[[#This Row],[Ship Date]]-Table3[[#This Row],[Order Date]]</f>
        <v>3</v>
      </c>
      <c r="N1758" s="23" t="s">
        <v>169</v>
      </c>
      <c r="O1758" s="23" t="s">
        <v>23</v>
      </c>
      <c r="P1758" s="23" t="s">
        <v>94</v>
      </c>
      <c r="Q1758" s="23" t="s">
        <v>95</v>
      </c>
      <c r="R1758" s="23" t="s">
        <v>997</v>
      </c>
      <c r="S1758" s="33">
        <v>0.3</v>
      </c>
      <c r="T1758" s="13">
        <v>213.43</v>
      </c>
      <c r="U1758" s="13">
        <v>-39.637</v>
      </c>
      <c r="V1758" s="55">
        <f>Table3[[#This Row],[Profit]]/Table3[[#This Row],[Sales]]</f>
        <v>-0.18571428571428572</v>
      </c>
    </row>
    <row r="1759" spans="1:22" x14ac:dyDescent="0.2">
      <c r="A1759">
        <v>1758</v>
      </c>
      <c r="B1759" t="s">
        <v>9174</v>
      </c>
      <c r="C1759" s="1">
        <v>42986</v>
      </c>
      <c r="D1759" s="22">
        <f>MONTH(Table3[[#This Row],[Order Date]])</f>
        <v>9</v>
      </c>
      <c r="E1759" t="s">
        <v>1449</v>
      </c>
      <c r="F1759" t="s">
        <v>1450</v>
      </c>
      <c r="G1759" s="23" t="s">
        <v>41</v>
      </c>
      <c r="H1759" s="23" t="s">
        <v>53</v>
      </c>
      <c r="I1759" t="s">
        <v>7475</v>
      </c>
      <c r="J1759" t="s">
        <v>92</v>
      </c>
      <c r="K1759" s="22">
        <v>5</v>
      </c>
      <c r="L1759" s="1">
        <v>42987</v>
      </c>
      <c r="M1759" s="22">
        <f>Table3[[#This Row],[Ship Date]]-Table3[[#This Row],[Order Date]]</f>
        <v>1</v>
      </c>
      <c r="N1759" s="23" t="s">
        <v>169</v>
      </c>
      <c r="O1759" s="23" t="s">
        <v>23</v>
      </c>
      <c r="P1759" s="23" t="s">
        <v>48</v>
      </c>
      <c r="Q1759" s="23" t="s">
        <v>26</v>
      </c>
      <c r="R1759" s="23" t="s">
        <v>2050</v>
      </c>
      <c r="S1759" s="33">
        <v>0.2</v>
      </c>
      <c r="T1759" s="13">
        <v>61.68</v>
      </c>
      <c r="U1759" s="13">
        <v>5.3970000000000002</v>
      </c>
      <c r="V1759" s="55">
        <f>Table3[[#This Row],[Profit]]/Table3[[#This Row],[Sales]]</f>
        <v>8.7500000000000008E-2</v>
      </c>
    </row>
    <row r="1760" spans="1:22" x14ac:dyDescent="0.2">
      <c r="A1760">
        <v>1759</v>
      </c>
      <c r="B1760" t="s">
        <v>9174</v>
      </c>
      <c r="C1760" s="1">
        <v>42986</v>
      </c>
      <c r="D1760" s="22">
        <f>MONTH(Table3[[#This Row],[Order Date]])</f>
        <v>9</v>
      </c>
      <c r="E1760" t="s">
        <v>3399</v>
      </c>
      <c r="F1760" t="s">
        <v>3400</v>
      </c>
      <c r="G1760" s="23" t="s">
        <v>64</v>
      </c>
      <c r="H1760" s="23" t="s">
        <v>65</v>
      </c>
      <c r="I1760" t="s">
        <v>7475</v>
      </c>
      <c r="J1760" t="s">
        <v>92</v>
      </c>
      <c r="K1760" s="22">
        <v>3</v>
      </c>
      <c r="L1760" s="1">
        <v>42987</v>
      </c>
      <c r="M1760" s="22">
        <f>Table3[[#This Row],[Ship Date]]-Table3[[#This Row],[Order Date]]</f>
        <v>1</v>
      </c>
      <c r="N1760" s="23" t="s">
        <v>169</v>
      </c>
      <c r="O1760" s="23" t="s">
        <v>23</v>
      </c>
      <c r="P1760" s="23" t="s">
        <v>48</v>
      </c>
      <c r="Q1760" s="23" t="s">
        <v>26</v>
      </c>
      <c r="R1760" s="23" t="s">
        <v>2050</v>
      </c>
      <c r="S1760" s="33">
        <v>0.2</v>
      </c>
      <c r="T1760" s="13">
        <v>158.376</v>
      </c>
      <c r="U1760" s="13">
        <v>13.857900000000001</v>
      </c>
      <c r="V1760" s="55">
        <f>Table3[[#This Row],[Profit]]/Table3[[#This Row],[Sales]]</f>
        <v>8.7500000000000008E-2</v>
      </c>
    </row>
    <row r="1761" spans="1:22" x14ac:dyDescent="0.2">
      <c r="A1761">
        <v>1760</v>
      </c>
      <c r="B1761" t="s">
        <v>9360</v>
      </c>
      <c r="C1761" s="1">
        <v>42986</v>
      </c>
      <c r="D1761" s="22">
        <f>MONTH(Table3[[#This Row],[Order Date]])</f>
        <v>9</v>
      </c>
      <c r="E1761" t="s">
        <v>6127</v>
      </c>
      <c r="F1761" t="s">
        <v>6128</v>
      </c>
      <c r="G1761" s="23" t="s">
        <v>41</v>
      </c>
      <c r="H1761" s="23" t="s">
        <v>53</v>
      </c>
      <c r="I1761" t="s">
        <v>2302</v>
      </c>
      <c r="J1761" t="s">
        <v>36</v>
      </c>
      <c r="K1761" s="22">
        <v>4</v>
      </c>
      <c r="L1761" s="1">
        <v>42991</v>
      </c>
      <c r="M1761" s="22">
        <f>Table3[[#This Row],[Ship Date]]-Table3[[#This Row],[Order Date]]</f>
        <v>5</v>
      </c>
      <c r="N1761" s="23" t="s">
        <v>20</v>
      </c>
      <c r="O1761" s="23" t="s">
        <v>23</v>
      </c>
      <c r="P1761" s="23" t="s">
        <v>238</v>
      </c>
      <c r="Q1761" s="23" t="s">
        <v>133</v>
      </c>
      <c r="R1761" s="23" t="s">
        <v>237</v>
      </c>
      <c r="S1761" s="33">
        <v>0</v>
      </c>
      <c r="T1761" s="13">
        <v>65.12</v>
      </c>
      <c r="U1761" s="13">
        <v>16.9312</v>
      </c>
      <c r="V1761" s="55">
        <f>Table3[[#This Row],[Profit]]/Table3[[#This Row],[Sales]]</f>
        <v>0.26</v>
      </c>
    </row>
    <row r="1762" spans="1:22" x14ac:dyDescent="0.2">
      <c r="A1762">
        <v>1761</v>
      </c>
      <c r="B1762" t="s">
        <v>3025</v>
      </c>
      <c r="C1762" s="1">
        <v>42987</v>
      </c>
      <c r="D1762" s="22">
        <f>MONTH(Table3[[#This Row],[Order Date]])</f>
        <v>9</v>
      </c>
      <c r="E1762" t="s">
        <v>784</v>
      </c>
      <c r="F1762" t="s">
        <v>785</v>
      </c>
      <c r="G1762" s="23" t="s">
        <v>28</v>
      </c>
      <c r="H1762" s="23" t="s">
        <v>32</v>
      </c>
      <c r="I1762" t="s">
        <v>3026</v>
      </c>
      <c r="J1762" t="s">
        <v>36</v>
      </c>
      <c r="K1762" s="22">
        <v>2</v>
      </c>
      <c r="L1762" s="1">
        <v>42991</v>
      </c>
      <c r="M1762" s="22">
        <f>Table3[[#This Row],[Ship Date]]-Table3[[#This Row],[Order Date]]</f>
        <v>4</v>
      </c>
      <c r="N1762" s="23" t="s">
        <v>45</v>
      </c>
      <c r="O1762" s="23" t="s">
        <v>23</v>
      </c>
      <c r="P1762" s="23" t="s">
        <v>132</v>
      </c>
      <c r="Q1762" s="23" t="s">
        <v>133</v>
      </c>
      <c r="R1762" s="23" t="s">
        <v>131</v>
      </c>
      <c r="S1762" s="33">
        <v>0.3</v>
      </c>
      <c r="T1762" s="13">
        <v>141.37200000000001</v>
      </c>
      <c r="U1762" s="13">
        <v>-48.470399999999998</v>
      </c>
      <c r="V1762" s="55">
        <f>Table3[[#This Row],[Profit]]/Table3[[#This Row],[Sales]]</f>
        <v>-0.3428571428571428</v>
      </c>
    </row>
    <row r="1763" spans="1:22" x14ac:dyDescent="0.2">
      <c r="A1763">
        <v>1762</v>
      </c>
      <c r="B1763" t="s">
        <v>3025</v>
      </c>
      <c r="C1763" s="1">
        <v>42987</v>
      </c>
      <c r="D1763" s="22">
        <f>MONTH(Table3[[#This Row],[Order Date]])</f>
        <v>9</v>
      </c>
      <c r="E1763" t="s">
        <v>3027</v>
      </c>
      <c r="F1763" t="s">
        <v>3028</v>
      </c>
      <c r="G1763" s="23" t="s">
        <v>41</v>
      </c>
      <c r="H1763" s="23" t="s">
        <v>68</v>
      </c>
      <c r="I1763" t="s">
        <v>3026</v>
      </c>
      <c r="J1763" t="s">
        <v>36</v>
      </c>
      <c r="K1763" s="22">
        <v>2</v>
      </c>
      <c r="L1763" s="1">
        <v>42991</v>
      </c>
      <c r="M1763" s="22">
        <f>Table3[[#This Row],[Ship Date]]-Table3[[#This Row],[Order Date]]</f>
        <v>4</v>
      </c>
      <c r="N1763" s="23" t="s">
        <v>45</v>
      </c>
      <c r="O1763" s="23" t="s">
        <v>23</v>
      </c>
      <c r="P1763" s="23" t="s">
        <v>132</v>
      </c>
      <c r="Q1763" s="23" t="s">
        <v>133</v>
      </c>
      <c r="R1763" s="23" t="s">
        <v>131</v>
      </c>
      <c r="S1763" s="33">
        <v>0.7</v>
      </c>
      <c r="T1763" s="13">
        <v>3.036</v>
      </c>
      <c r="U1763" s="13">
        <v>-2.3275999999999999</v>
      </c>
      <c r="V1763" s="55">
        <f>Table3[[#This Row],[Profit]]/Table3[[#This Row],[Sales]]</f>
        <v>-0.76666666666666661</v>
      </c>
    </row>
    <row r="1764" spans="1:22" x14ac:dyDescent="0.2">
      <c r="A1764">
        <v>1763</v>
      </c>
      <c r="B1764" t="s">
        <v>3025</v>
      </c>
      <c r="C1764" s="1">
        <v>42987</v>
      </c>
      <c r="D1764" s="22">
        <f>MONTH(Table3[[#This Row],[Order Date]])</f>
        <v>9</v>
      </c>
      <c r="E1764" t="s">
        <v>1683</v>
      </c>
      <c r="F1764" t="s">
        <v>1684</v>
      </c>
      <c r="G1764" s="23" t="s">
        <v>41</v>
      </c>
      <c r="H1764" s="23" t="s">
        <v>68</v>
      </c>
      <c r="I1764" t="s">
        <v>3026</v>
      </c>
      <c r="J1764" t="s">
        <v>36</v>
      </c>
      <c r="K1764" s="22">
        <v>1</v>
      </c>
      <c r="L1764" s="1">
        <v>42991</v>
      </c>
      <c r="M1764" s="22">
        <f>Table3[[#This Row],[Ship Date]]-Table3[[#This Row],[Order Date]]</f>
        <v>4</v>
      </c>
      <c r="N1764" s="23" t="s">
        <v>45</v>
      </c>
      <c r="O1764" s="23" t="s">
        <v>23</v>
      </c>
      <c r="P1764" s="23" t="s">
        <v>132</v>
      </c>
      <c r="Q1764" s="23" t="s">
        <v>133</v>
      </c>
      <c r="R1764" s="23" t="s">
        <v>131</v>
      </c>
      <c r="S1764" s="33">
        <v>0.7</v>
      </c>
      <c r="T1764" s="13">
        <v>4.5030000000000001</v>
      </c>
      <c r="U1764" s="13">
        <v>-3.6023999999999998</v>
      </c>
      <c r="V1764" s="55">
        <f>Table3[[#This Row],[Profit]]/Table3[[#This Row],[Sales]]</f>
        <v>-0.79999999999999993</v>
      </c>
    </row>
    <row r="1765" spans="1:22" x14ac:dyDescent="0.2">
      <c r="A1765">
        <v>1764</v>
      </c>
      <c r="B1765" t="s">
        <v>3025</v>
      </c>
      <c r="C1765" s="1">
        <v>42987</v>
      </c>
      <c r="D1765" s="22">
        <f>MONTH(Table3[[#This Row],[Order Date]])</f>
        <v>9</v>
      </c>
      <c r="E1765" t="s">
        <v>879</v>
      </c>
      <c r="F1765" t="s">
        <v>880</v>
      </c>
      <c r="G1765" s="23" t="s">
        <v>41</v>
      </c>
      <c r="H1765" s="23" t="s">
        <v>61</v>
      </c>
      <c r="I1765" t="s">
        <v>3026</v>
      </c>
      <c r="J1765" t="s">
        <v>36</v>
      </c>
      <c r="K1765" s="22">
        <v>1</v>
      </c>
      <c r="L1765" s="1">
        <v>42991</v>
      </c>
      <c r="M1765" s="22">
        <f>Table3[[#This Row],[Ship Date]]-Table3[[#This Row],[Order Date]]</f>
        <v>4</v>
      </c>
      <c r="N1765" s="23" t="s">
        <v>45</v>
      </c>
      <c r="O1765" s="23" t="s">
        <v>23</v>
      </c>
      <c r="P1765" s="23" t="s">
        <v>132</v>
      </c>
      <c r="Q1765" s="23" t="s">
        <v>133</v>
      </c>
      <c r="R1765" s="23" t="s">
        <v>131</v>
      </c>
      <c r="S1765" s="33">
        <v>0.2</v>
      </c>
      <c r="T1765" s="13">
        <v>4.6719999999999997</v>
      </c>
      <c r="U1765" s="13">
        <v>1.5768</v>
      </c>
      <c r="V1765" s="55">
        <f>Table3[[#This Row],[Profit]]/Table3[[#This Row],[Sales]]</f>
        <v>0.33750000000000002</v>
      </c>
    </row>
    <row r="1766" spans="1:22" x14ac:dyDescent="0.2">
      <c r="A1766">
        <v>1765</v>
      </c>
      <c r="B1766" t="s">
        <v>3025</v>
      </c>
      <c r="C1766" s="1">
        <v>42987</v>
      </c>
      <c r="D1766" s="22">
        <f>MONTH(Table3[[#This Row],[Order Date]])</f>
        <v>9</v>
      </c>
      <c r="E1766" t="s">
        <v>874</v>
      </c>
      <c r="F1766" t="s">
        <v>875</v>
      </c>
      <c r="G1766" s="23" t="s">
        <v>64</v>
      </c>
      <c r="H1766" s="23" t="s">
        <v>144</v>
      </c>
      <c r="I1766" t="s">
        <v>3026</v>
      </c>
      <c r="J1766" t="s">
        <v>36</v>
      </c>
      <c r="K1766" s="22">
        <v>3</v>
      </c>
      <c r="L1766" s="1">
        <v>42991</v>
      </c>
      <c r="M1766" s="22">
        <f>Table3[[#This Row],[Ship Date]]-Table3[[#This Row],[Order Date]]</f>
        <v>4</v>
      </c>
      <c r="N1766" s="23" t="s">
        <v>45</v>
      </c>
      <c r="O1766" s="23" t="s">
        <v>23</v>
      </c>
      <c r="P1766" s="23" t="s">
        <v>132</v>
      </c>
      <c r="Q1766" s="23" t="s">
        <v>133</v>
      </c>
      <c r="R1766" s="23" t="s">
        <v>131</v>
      </c>
      <c r="S1766" s="33">
        <v>0.2</v>
      </c>
      <c r="T1766" s="13">
        <v>95.88</v>
      </c>
      <c r="U1766" s="13">
        <v>28.763999999999999</v>
      </c>
      <c r="V1766" s="55">
        <f>Table3[[#This Row],[Profit]]/Table3[[#This Row],[Sales]]</f>
        <v>0.3</v>
      </c>
    </row>
    <row r="1767" spans="1:22" x14ac:dyDescent="0.2">
      <c r="A1767">
        <v>1766</v>
      </c>
      <c r="B1767" t="s">
        <v>3025</v>
      </c>
      <c r="C1767" s="1">
        <v>42987</v>
      </c>
      <c r="D1767" s="22">
        <f>MONTH(Table3[[#This Row],[Order Date]])</f>
        <v>9</v>
      </c>
      <c r="E1767" t="s">
        <v>3029</v>
      </c>
      <c r="F1767" t="s">
        <v>3030</v>
      </c>
      <c r="G1767" s="23" t="s">
        <v>28</v>
      </c>
      <c r="H1767" s="23" t="s">
        <v>58</v>
      </c>
      <c r="I1767" t="s">
        <v>3026</v>
      </c>
      <c r="J1767" t="s">
        <v>36</v>
      </c>
      <c r="K1767" s="22">
        <v>2</v>
      </c>
      <c r="L1767" s="1">
        <v>42991</v>
      </c>
      <c r="M1767" s="22">
        <f>Table3[[#This Row],[Ship Date]]-Table3[[#This Row],[Order Date]]</f>
        <v>4</v>
      </c>
      <c r="N1767" s="23" t="s">
        <v>45</v>
      </c>
      <c r="O1767" s="23" t="s">
        <v>23</v>
      </c>
      <c r="P1767" s="23" t="s">
        <v>132</v>
      </c>
      <c r="Q1767" s="23" t="s">
        <v>133</v>
      </c>
      <c r="R1767" s="23" t="s">
        <v>131</v>
      </c>
      <c r="S1767" s="33">
        <v>0.2</v>
      </c>
      <c r="T1767" s="13">
        <v>17.024000000000001</v>
      </c>
      <c r="U1767" s="13">
        <v>1.7023999999999999</v>
      </c>
      <c r="V1767" s="55">
        <f>Table3[[#This Row],[Profit]]/Table3[[#This Row],[Sales]]</f>
        <v>9.9999999999999992E-2</v>
      </c>
    </row>
    <row r="1768" spans="1:22" x14ac:dyDescent="0.2">
      <c r="A1768">
        <v>1767</v>
      </c>
      <c r="B1768" t="s">
        <v>3025</v>
      </c>
      <c r="C1768" s="1">
        <v>42987</v>
      </c>
      <c r="D1768" s="22">
        <f>MONTH(Table3[[#This Row],[Order Date]])</f>
        <v>9</v>
      </c>
      <c r="E1768" t="s">
        <v>2132</v>
      </c>
      <c r="F1768" t="s">
        <v>2133</v>
      </c>
      <c r="G1768" s="23" t="s">
        <v>64</v>
      </c>
      <c r="H1768" s="23" t="s">
        <v>144</v>
      </c>
      <c r="I1768" t="s">
        <v>3026</v>
      </c>
      <c r="J1768" t="s">
        <v>36</v>
      </c>
      <c r="K1768" s="22">
        <v>3</v>
      </c>
      <c r="L1768" s="1">
        <v>42991</v>
      </c>
      <c r="M1768" s="22">
        <f>Table3[[#This Row],[Ship Date]]-Table3[[#This Row],[Order Date]]</f>
        <v>4</v>
      </c>
      <c r="N1768" s="23" t="s">
        <v>45</v>
      </c>
      <c r="O1768" s="23" t="s">
        <v>23</v>
      </c>
      <c r="P1768" s="23" t="s">
        <v>132</v>
      </c>
      <c r="Q1768" s="23" t="s">
        <v>133</v>
      </c>
      <c r="R1768" s="23" t="s">
        <v>131</v>
      </c>
      <c r="S1768" s="33">
        <v>0.2</v>
      </c>
      <c r="T1768" s="13">
        <v>258.69600000000003</v>
      </c>
      <c r="U1768" s="13">
        <v>64.674000000000007</v>
      </c>
      <c r="V1768" s="55">
        <f>Table3[[#This Row],[Profit]]/Table3[[#This Row],[Sales]]</f>
        <v>0.25</v>
      </c>
    </row>
    <row r="1769" spans="1:22" x14ac:dyDescent="0.2">
      <c r="A1769">
        <v>1768</v>
      </c>
      <c r="B1769" t="s">
        <v>3025</v>
      </c>
      <c r="C1769" s="1">
        <v>42987</v>
      </c>
      <c r="D1769" s="22">
        <f>MONTH(Table3[[#This Row],[Order Date]])</f>
        <v>9</v>
      </c>
      <c r="E1769" t="s">
        <v>3031</v>
      </c>
      <c r="F1769" t="s">
        <v>3032</v>
      </c>
      <c r="G1769" s="23" t="s">
        <v>64</v>
      </c>
      <c r="H1769" s="23" t="s">
        <v>65</v>
      </c>
      <c r="I1769" t="s">
        <v>3026</v>
      </c>
      <c r="J1769" t="s">
        <v>36</v>
      </c>
      <c r="K1769" s="22">
        <v>7</v>
      </c>
      <c r="L1769" s="1">
        <v>42991</v>
      </c>
      <c r="M1769" s="22">
        <f>Table3[[#This Row],[Ship Date]]-Table3[[#This Row],[Order Date]]</f>
        <v>4</v>
      </c>
      <c r="N1769" s="23" t="s">
        <v>45</v>
      </c>
      <c r="O1769" s="23" t="s">
        <v>23</v>
      </c>
      <c r="P1769" s="23" t="s">
        <v>132</v>
      </c>
      <c r="Q1769" s="23" t="s">
        <v>133</v>
      </c>
      <c r="R1769" s="23" t="s">
        <v>131</v>
      </c>
      <c r="S1769" s="33">
        <v>0.4</v>
      </c>
      <c r="T1769" s="13">
        <v>1931.9580000000001</v>
      </c>
      <c r="U1769" s="13">
        <v>-386.39159999999998</v>
      </c>
      <c r="V1769" s="55">
        <f>Table3[[#This Row],[Profit]]/Table3[[#This Row],[Sales]]</f>
        <v>-0.19999999999999998</v>
      </c>
    </row>
    <row r="1770" spans="1:22" x14ac:dyDescent="0.2">
      <c r="A1770">
        <v>1769</v>
      </c>
      <c r="B1770" t="s">
        <v>4838</v>
      </c>
      <c r="C1770" s="1">
        <v>42987</v>
      </c>
      <c r="D1770" s="22">
        <f>MONTH(Table3[[#This Row],[Order Date]])</f>
        <v>9</v>
      </c>
      <c r="E1770" t="s">
        <v>1495</v>
      </c>
      <c r="F1770" t="s">
        <v>1496</v>
      </c>
      <c r="G1770" s="23" t="s">
        <v>41</v>
      </c>
      <c r="H1770" s="23" t="s">
        <v>53</v>
      </c>
      <c r="I1770" t="s">
        <v>864</v>
      </c>
      <c r="J1770" t="s">
        <v>36</v>
      </c>
      <c r="K1770" s="22">
        <v>7</v>
      </c>
      <c r="L1770" s="1">
        <v>42993</v>
      </c>
      <c r="M1770" s="22">
        <f>Table3[[#This Row],[Ship Date]]-Table3[[#This Row],[Order Date]]</f>
        <v>6</v>
      </c>
      <c r="N1770" s="23" t="s">
        <v>45</v>
      </c>
      <c r="O1770" s="23" t="s">
        <v>23</v>
      </c>
      <c r="P1770" s="23" t="s">
        <v>342</v>
      </c>
      <c r="Q1770" s="23" t="s">
        <v>26</v>
      </c>
      <c r="R1770" s="23" t="s">
        <v>2271</v>
      </c>
      <c r="S1770" s="33">
        <v>0</v>
      </c>
      <c r="T1770" s="13">
        <v>628.80999999999995</v>
      </c>
      <c r="U1770" s="13">
        <v>12.5762</v>
      </c>
      <c r="V1770" s="55">
        <f>Table3[[#This Row],[Profit]]/Table3[[#This Row],[Sales]]</f>
        <v>0.02</v>
      </c>
    </row>
    <row r="1771" spans="1:22" x14ac:dyDescent="0.2">
      <c r="A1771">
        <v>1770</v>
      </c>
      <c r="B1771" t="s">
        <v>4838</v>
      </c>
      <c r="C1771" s="1">
        <v>42987</v>
      </c>
      <c r="D1771" s="22">
        <f>MONTH(Table3[[#This Row],[Order Date]])</f>
        <v>9</v>
      </c>
      <c r="E1771" t="s">
        <v>3510</v>
      </c>
      <c r="F1771" t="s">
        <v>3511</v>
      </c>
      <c r="G1771" s="23" t="s">
        <v>41</v>
      </c>
      <c r="H1771" s="23" t="s">
        <v>53</v>
      </c>
      <c r="I1771" t="s">
        <v>864</v>
      </c>
      <c r="J1771" t="s">
        <v>36</v>
      </c>
      <c r="K1771" s="22">
        <v>5</v>
      </c>
      <c r="L1771" s="1">
        <v>42993</v>
      </c>
      <c r="M1771" s="22">
        <f>Table3[[#This Row],[Ship Date]]-Table3[[#This Row],[Order Date]]</f>
        <v>6</v>
      </c>
      <c r="N1771" s="23" t="s">
        <v>45</v>
      </c>
      <c r="O1771" s="23" t="s">
        <v>23</v>
      </c>
      <c r="P1771" s="23" t="s">
        <v>342</v>
      </c>
      <c r="Q1771" s="23" t="s">
        <v>26</v>
      </c>
      <c r="R1771" s="23" t="s">
        <v>2271</v>
      </c>
      <c r="S1771" s="33">
        <v>0</v>
      </c>
      <c r="T1771" s="13">
        <v>56.45</v>
      </c>
      <c r="U1771" s="13">
        <v>14.677</v>
      </c>
      <c r="V1771" s="55">
        <f>Table3[[#This Row],[Profit]]/Table3[[#This Row],[Sales]]</f>
        <v>0.25999999999999995</v>
      </c>
    </row>
    <row r="1772" spans="1:22" x14ac:dyDescent="0.2">
      <c r="A1772">
        <v>1771</v>
      </c>
      <c r="B1772" t="s">
        <v>6908</v>
      </c>
      <c r="C1772" s="1">
        <v>42987</v>
      </c>
      <c r="D1772" s="22">
        <f>MONTH(Table3[[#This Row],[Order Date]])</f>
        <v>9</v>
      </c>
      <c r="E1772" t="s">
        <v>1146</v>
      </c>
      <c r="F1772" t="s">
        <v>1147</v>
      </c>
      <c r="G1772" s="23" t="s">
        <v>41</v>
      </c>
      <c r="H1772" s="23" t="s">
        <v>513</v>
      </c>
      <c r="I1772" t="s">
        <v>46</v>
      </c>
      <c r="J1772" t="s">
        <v>22</v>
      </c>
      <c r="K1772" s="22">
        <v>3</v>
      </c>
      <c r="L1772" s="1">
        <v>42992</v>
      </c>
      <c r="M1772" s="22">
        <f>Table3[[#This Row],[Ship Date]]-Table3[[#This Row],[Order Date]]</f>
        <v>5</v>
      </c>
      <c r="N1772" s="23" t="s">
        <v>45</v>
      </c>
      <c r="O1772" s="23" t="s">
        <v>23</v>
      </c>
      <c r="P1772" s="23" t="s">
        <v>299</v>
      </c>
      <c r="Q1772" s="23" t="s">
        <v>26</v>
      </c>
      <c r="R1772" s="23" t="s">
        <v>341</v>
      </c>
      <c r="S1772" s="33">
        <v>0.2</v>
      </c>
      <c r="T1772" s="13">
        <v>8.8320000000000007</v>
      </c>
      <c r="U1772" s="13">
        <v>-1.9872000000000001</v>
      </c>
      <c r="V1772" s="55">
        <f>Table3[[#This Row],[Profit]]/Table3[[#This Row],[Sales]]</f>
        <v>-0.22499999999999998</v>
      </c>
    </row>
    <row r="1773" spans="1:22" x14ac:dyDescent="0.2">
      <c r="A1773">
        <v>1772</v>
      </c>
      <c r="B1773" t="s">
        <v>6908</v>
      </c>
      <c r="C1773" s="1">
        <v>42987</v>
      </c>
      <c r="D1773" s="22">
        <f>MONTH(Table3[[#This Row],[Order Date]])</f>
        <v>9</v>
      </c>
      <c r="E1773" t="s">
        <v>1532</v>
      </c>
      <c r="F1773" t="s">
        <v>4440</v>
      </c>
      <c r="G1773" s="23" t="s">
        <v>41</v>
      </c>
      <c r="H1773" s="23" t="s">
        <v>82</v>
      </c>
      <c r="I1773" t="s">
        <v>46</v>
      </c>
      <c r="J1773" t="s">
        <v>22</v>
      </c>
      <c r="K1773" s="22">
        <v>4</v>
      </c>
      <c r="L1773" s="1">
        <v>42992</v>
      </c>
      <c r="M1773" s="22">
        <f>Table3[[#This Row],[Ship Date]]-Table3[[#This Row],[Order Date]]</f>
        <v>5</v>
      </c>
      <c r="N1773" s="23" t="s">
        <v>45</v>
      </c>
      <c r="O1773" s="23" t="s">
        <v>23</v>
      </c>
      <c r="P1773" s="23" t="s">
        <v>299</v>
      </c>
      <c r="Q1773" s="23" t="s">
        <v>26</v>
      </c>
      <c r="R1773" s="23" t="s">
        <v>341</v>
      </c>
      <c r="S1773" s="33">
        <v>0.2</v>
      </c>
      <c r="T1773" s="13">
        <v>177.536</v>
      </c>
      <c r="U1773" s="13">
        <v>62.137599999999999</v>
      </c>
      <c r="V1773" s="55">
        <f>Table3[[#This Row],[Profit]]/Table3[[#This Row],[Sales]]</f>
        <v>0.35</v>
      </c>
    </row>
    <row r="1774" spans="1:22" x14ac:dyDescent="0.2">
      <c r="A1774">
        <v>1773</v>
      </c>
      <c r="B1774" t="s">
        <v>6908</v>
      </c>
      <c r="C1774" s="1">
        <v>42987</v>
      </c>
      <c r="D1774" s="22">
        <f>MONTH(Table3[[#This Row],[Order Date]])</f>
        <v>9</v>
      </c>
      <c r="E1774" t="s">
        <v>2640</v>
      </c>
      <c r="F1774" t="s">
        <v>2641</v>
      </c>
      <c r="G1774" s="23" t="s">
        <v>41</v>
      </c>
      <c r="H1774" s="23" t="s">
        <v>53</v>
      </c>
      <c r="I1774" t="s">
        <v>46</v>
      </c>
      <c r="J1774" t="s">
        <v>22</v>
      </c>
      <c r="K1774" s="22">
        <v>2</v>
      </c>
      <c r="L1774" s="1">
        <v>42992</v>
      </c>
      <c r="M1774" s="22">
        <f>Table3[[#This Row],[Ship Date]]-Table3[[#This Row],[Order Date]]</f>
        <v>5</v>
      </c>
      <c r="N1774" s="23" t="s">
        <v>45</v>
      </c>
      <c r="O1774" s="23" t="s">
        <v>23</v>
      </c>
      <c r="P1774" s="23" t="s">
        <v>299</v>
      </c>
      <c r="Q1774" s="23" t="s">
        <v>26</v>
      </c>
      <c r="R1774" s="23" t="s">
        <v>341</v>
      </c>
      <c r="S1774" s="33">
        <v>0.2</v>
      </c>
      <c r="T1774" s="13">
        <v>258.48</v>
      </c>
      <c r="U1774" s="13">
        <v>-3.2309999999999999</v>
      </c>
      <c r="V1774" s="55">
        <f>Table3[[#This Row],[Profit]]/Table3[[#This Row],[Sales]]</f>
        <v>-1.2499999999999999E-2</v>
      </c>
    </row>
    <row r="1775" spans="1:22" x14ac:dyDescent="0.2">
      <c r="A1775">
        <v>1774</v>
      </c>
      <c r="B1775" t="s">
        <v>6908</v>
      </c>
      <c r="C1775" s="1">
        <v>42987</v>
      </c>
      <c r="D1775" s="22">
        <f>MONTH(Table3[[#This Row],[Order Date]])</f>
        <v>9</v>
      </c>
      <c r="E1775" t="s">
        <v>1136</v>
      </c>
      <c r="F1775" t="s">
        <v>1137</v>
      </c>
      <c r="G1775" s="23" t="s">
        <v>28</v>
      </c>
      <c r="H1775" s="23" t="s">
        <v>58</v>
      </c>
      <c r="I1775" t="s">
        <v>46</v>
      </c>
      <c r="J1775" t="s">
        <v>22</v>
      </c>
      <c r="K1775" s="22">
        <v>3</v>
      </c>
      <c r="L1775" s="1">
        <v>42992</v>
      </c>
      <c r="M1775" s="22">
        <f>Table3[[#This Row],[Ship Date]]-Table3[[#This Row],[Order Date]]</f>
        <v>5</v>
      </c>
      <c r="N1775" s="23" t="s">
        <v>45</v>
      </c>
      <c r="O1775" s="23" t="s">
        <v>23</v>
      </c>
      <c r="P1775" s="23" t="s">
        <v>299</v>
      </c>
      <c r="Q1775" s="23" t="s">
        <v>26</v>
      </c>
      <c r="R1775" s="23" t="s">
        <v>341</v>
      </c>
      <c r="S1775" s="33">
        <v>0.2</v>
      </c>
      <c r="T1775" s="13">
        <v>14.135999999999999</v>
      </c>
      <c r="U1775" s="13">
        <v>4.2408000000000001</v>
      </c>
      <c r="V1775" s="55">
        <f>Table3[[#This Row],[Profit]]/Table3[[#This Row],[Sales]]</f>
        <v>0.30000000000000004</v>
      </c>
    </row>
    <row r="1776" spans="1:22" x14ac:dyDescent="0.2">
      <c r="A1776">
        <v>1775</v>
      </c>
      <c r="B1776" t="s">
        <v>7311</v>
      </c>
      <c r="C1776" s="1">
        <v>42987</v>
      </c>
      <c r="D1776" s="22">
        <f>MONTH(Table3[[#This Row],[Order Date]])</f>
        <v>9</v>
      </c>
      <c r="E1776" t="s">
        <v>2602</v>
      </c>
      <c r="F1776" t="s">
        <v>2603</v>
      </c>
      <c r="G1776" s="23" t="s">
        <v>41</v>
      </c>
      <c r="H1776" s="23" t="s">
        <v>155</v>
      </c>
      <c r="I1776" t="s">
        <v>5549</v>
      </c>
      <c r="J1776" t="s">
        <v>22</v>
      </c>
      <c r="K1776" s="22">
        <v>2</v>
      </c>
      <c r="L1776" s="1">
        <v>42993</v>
      </c>
      <c r="M1776" s="22">
        <f>Table3[[#This Row],[Ship Date]]-Table3[[#This Row],[Order Date]]</f>
        <v>6</v>
      </c>
      <c r="N1776" s="23" t="s">
        <v>45</v>
      </c>
      <c r="O1776" s="23" t="s">
        <v>23</v>
      </c>
      <c r="P1776" s="23" t="s">
        <v>212</v>
      </c>
      <c r="Q1776" s="23" t="s">
        <v>95</v>
      </c>
      <c r="R1776" s="23" t="s">
        <v>501</v>
      </c>
      <c r="S1776" s="33">
        <v>0</v>
      </c>
      <c r="T1776" s="13">
        <v>17.48</v>
      </c>
      <c r="U1776" s="13">
        <v>8.2156000000000002</v>
      </c>
      <c r="V1776" s="55">
        <f>Table3[[#This Row],[Profit]]/Table3[[#This Row],[Sales]]</f>
        <v>0.47000000000000003</v>
      </c>
    </row>
    <row r="1777" spans="1:22" x14ac:dyDescent="0.2">
      <c r="A1777">
        <v>1776</v>
      </c>
      <c r="B1777" t="s">
        <v>7486</v>
      </c>
      <c r="C1777" s="1">
        <v>42987</v>
      </c>
      <c r="D1777" s="22">
        <f>MONTH(Table3[[#This Row],[Order Date]])</f>
        <v>9</v>
      </c>
      <c r="E1777" t="s">
        <v>7487</v>
      </c>
      <c r="F1777" t="s">
        <v>7488</v>
      </c>
      <c r="G1777" s="23" t="s">
        <v>41</v>
      </c>
      <c r="H1777" s="23" t="s">
        <v>82</v>
      </c>
      <c r="I1777" t="s">
        <v>3566</v>
      </c>
      <c r="J1777" t="s">
        <v>22</v>
      </c>
      <c r="K1777" s="22">
        <v>2</v>
      </c>
      <c r="L1777" s="1">
        <v>42991</v>
      </c>
      <c r="M1777" s="22">
        <f>Table3[[#This Row],[Ship Date]]-Table3[[#This Row],[Order Date]]</f>
        <v>4</v>
      </c>
      <c r="N1777" s="23" t="s">
        <v>45</v>
      </c>
      <c r="O1777" s="23" t="s">
        <v>23</v>
      </c>
      <c r="P1777" s="23" t="s">
        <v>277</v>
      </c>
      <c r="Q1777" s="23" t="s">
        <v>39</v>
      </c>
      <c r="R1777" s="23" t="s">
        <v>3477</v>
      </c>
      <c r="S1777" s="33">
        <v>0.2</v>
      </c>
      <c r="T1777" s="13">
        <v>6.3680000000000003</v>
      </c>
      <c r="U1777" s="13">
        <v>2.3879999999999999</v>
      </c>
      <c r="V1777" s="55">
        <f>Table3[[#This Row],[Profit]]/Table3[[#This Row],[Sales]]</f>
        <v>0.37499999999999994</v>
      </c>
    </row>
    <row r="1778" spans="1:22" x14ac:dyDescent="0.2">
      <c r="A1778">
        <v>1777</v>
      </c>
      <c r="B1778" t="s">
        <v>7577</v>
      </c>
      <c r="C1778" s="1">
        <v>42987</v>
      </c>
      <c r="D1778" s="22">
        <f>MONTH(Table3[[#This Row],[Order Date]])</f>
        <v>9</v>
      </c>
      <c r="E1778" t="s">
        <v>3279</v>
      </c>
      <c r="F1778" t="s">
        <v>3280</v>
      </c>
      <c r="G1778" s="23" t="s">
        <v>41</v>
      </c>
      <c r="H1778" s="23" t="s">
        <v>61</v>
      </c>
      <c r="I1778" t="s">
        <v>5876</v>
      </c>
      <c r="J1778" t="s">
        <v>22</v>
      </c>
      <c r="K1778" s="22">
        <v>2</v>
      </c>
      <c r="L1778" s="1">
        <v>42992</v>
      </c>
      <c r="M1778" s="22">
        <f>Table3[[#This Row],[Ship Date]]-Table3[[#This Row],[Order Date]]</f>
        <v>5</v>
      </c>
      <c r="N1778" s="23" t="s">
        <v>20</v>
      </c>
      <c r="O1778" s="23" t="s">
        <v>23</v>
      </c>
      <c r="P1778" s="23" t="s">
        <v>38</v>
      </c>
      <c r="Q1778" s="23" t="s">
        <v>39</v>
      </c>
      <c r="R1778" s="23" t="s">
        <v>37</v>
      </c>
      <c r="S1778" s="33">
        <v>0</v>
      </c>
      <c r="T1778" s="13">
        <v>6.56</v>
      </c>
      <c r="U1778" s="13">
        <v>1.9024000000000001</v>
      </c>
      <c r="V1778" s="55">
        <f>Table3[[#This Row],[Profit]]/Table3[[#This Row],[Sales]]</f>
        <v>0.29000000000000004</v>
      </c>
    </row>
    <row r="1779" spans="1:22" x14ac:dyDescent="0.2">
      <c r="A1779">
        <v>1778</v>
      </c>
      <c r="B1779" t="s">
        <v>7577</v>
      </c>
      <c r="C1779" s="1">
        <v>42987</v>
      </c>
      <c r="D1779" s="22">
        <f>MONTH(Table3[[#This Row],[Order Date]])</f>
        <v>9</v>
      </c>
      <c r="E1779" t="s">
        <v>4368</v>
      </c>
      <c r="F1779" t="s">
        <v>4369</v>
      </c>
      <c r="G1779" s="23" t="s">
        <v>28</v>
      </c>
      <c r="H1779" s="23" t="s">
        <v>32</v>
      </c>
      <c r="I1779" t="s">
        <v>5876</v>
      </c>
      <c r="J1779" t="s">
        <v>22</v>
      </c>
      <c r="K1779" s="22">
        <v>5</v>
      </c>
      <c r="L1779" s="1">
        <v>42992</v>
      </c>
      <c r="M1779" s="22">
        <f>Table3[[#This Row],[Ship Date]]-Table3[[#This Row],[Order Date]]</f>
        <v>5</v>
      </c>
      <c r="N1779" s="23" t="s">
        <v>20</v>
      </c>
      <c r="O1779" s="23" t="s">
        <v>23</v>
      </c>
      <c r="P1779" s="23" t="s">
        <v>38</v>
      </c>
      <c r="Q1779" s="23" t="s">
        <v>39</v>
      </c>
      <c r="R1779" s="23" t="s">
        <v>37</v>
      </c>
      <c r="S1779" s="33">
        <v>0.2</v>
      </c>
      <c r="T1779" s="13">
        <v>243.92</v>
      </c>
      <c r="U1779" s="13">
        <v>-15.244999999999999</v>
      </c>
      <c r="V1779" s="55">
        <f>Table3[[#This Row],[Profit]]/Table3[[#This Row],[Sales]]</f>
        <v>-6.25E-2</v>
      </c>
    </row>
    <row r="1780" spans="1:22" x14ac:dyDescent="0.2">
      <c r="A1780">
        <v>1779</v>
      </c>
      <c r="B1780" t="s">
        <v>7577</v>
      </c>
      <c r="C1780" s="1">
        <v>42987</v>
      </c>
      <c r="D1780" s="22">
        <f>MONTH(Table3[[#This Row],[Order Date]])</f>
        <v>9</v>
      </c>
      <c r="E1780" t="s">
        <v>7175</v>
      </c>
      <c r="F1780" t="s">
        <v>7176</v>
      </c>
      <c r="G1780" s="23" t="s">
        <v>41</v>
      </c>
      <c r="H1780" s="23" t="s">
        <v>82</v>
      </c>
      <c r="I1780" t="s">
        <v>5876</v>
      </c>
      <c r="J1780" t="s">
        <v>22</v>
      </c>
      <c r="K1780" s="22">
        <v>9</v>
      </c>
      <c r="L1780" s="1">
        <v>42992</v>
      </c>
      <c r="M1780" s="22">
        <f>Table3[[#This Row],[Ship Date]]-Table3[[#This Row],[Order Date]]</f>
        <v>5</v>
      </c>
      <c r="N1780" s="23" t="s">
        <v>20</v>
      </c>
      <c r="O1780" s="23" t="s">
        <v>23</v>
      </c>
      <c r="P1780" s="23" t="s">
        <v>38</v>
      </c>
      <c r="Q1780" s="23" t="s">
        <v>39</v>
      </c>
      <c r="R1780" s="23" t="s">
        <v>37</v>
      </c>
      <c r="S1780" s="33">
        <v>0</v>
      </c>
      <c r="T1780" s="13">
        <v>47.52</v>
      </c>
      <c r="U1780" s="13">
        <v>22.8096</v>
      </c>
      <c r="V1780" s="55">
        <f>Table3[[#This Row],[Profit]]/Table3[[#This Row],[Sales]]</f>
        <v>0.48</v>
      </c>
    </row>
    <row r="1781" spans="1:22" x14ac:dyDescent="0.2">
      <c r="A1781">
        <v>1780</v>
      </c>
      <c r="B1781" t="s">
        <v>7796</v>
      </c>
      <c r="C1781" s="1">
        <v>42987</v>
      </c>
      <c r="D1781" s="22">
        <f>MONTH(Table3[[#This Row],[Order Date]])</f>
        <v>9</v>
      </c>
      <c r="E1781" t="s">
        <v>4673</v>
      </c>
      <c r="F1781" t="s">
        <v>4674</v>
      </c>
      <c r="G1781" s="23" t="s">
        <v>41</v>
      </c>
      <c r="H1781" s="23" t="s">
        <v>53</v>
      </c>
      <c r="I1781" t="s">
        <v>3475</v>
      </c>
      <c r="J1781" t="s">
        <v>36</v>
      </c>
      <c r="K1781" s="22">
        <v>3</v>
      </c>
      <c r="L1781" s="1">
        <v>42992</v>
      </c>
      <c r="M1781" s="22">
        <f>Table3[[#This Row],[Ship Date]]-Table3[[#This Row],[Order Date]]</f>
        <v>5</v>
      </c>
      <c r="N1781" s="23" t="s">
        <v>45</v>
      </c>
      <c r="O1781" s="23" t="s">
        <v>23</v>
      </c>
      <c r="P1781" s="23" t="s">
        <v>38</v>
      </c>
      <c r="Q1781" s="23" t="s">
        <v>39</v>
      </c>
      <c r="R1781" s="23" t="s">
        <v>37</v>
      </c>
      <c r="S1781" s="33">
        <v>0</v>
      </c>
      <c r="T1781" s="13">
        <v>99.87</v>
      </c>
      <c r="U1781" s="13">
        <v>23.968800000000002</v>
      </c>
      <c r="V1781" s="55">
        <f>Table3[[#This Row],[Profit]]/Table3[[#This Row],[Sales]]</f>
        <v>0.24000000000000002</v>
      </c>
    </row>
    <row r="1782" spans="1:22" x14ac:dyDescent="0.2">
      <c r="A1782">
        <v>1781</v>
      </c>
      <c r="B1782" t="s">
        <v>8011</v>
      </c>
      <c r="C1782" s="1">
        <v>42987</v>
      </c>
      <c r="D1782" s="22">
        <f>MONTH(Table3[[#This Row],[Order Date]])</f>
        <v>9</v>
      </c>
      <c r="E1782" t="s">
        <v>350</v>
      </c>
      <c r="F1782" t="s">
        <v>351</v>
      </c>
      <c r="G1782" s="23" t="s">
        <v>41</v>
      </c>
      <c r="H1782" s="23" t="s">
        <v>42</v>
      </c>
      <c r="I1782" t="s">
        <v>1041</v>
      </c>
      <c r="J1782" t="s">
        <v>36</v>
      </c>
      <c r="K1782" s="22">
        <v>4</v>
      </c>
      <c r="L1782" s="1">
        <v>42993</v>
      </c>
      <c r="M1782" s="22">
        <f>Table3[[#This Row],[Ship Date]]-Table3[[#This Row],[Order Date]]</f>
        <v>6</v>
      </c>
      <c r="N1782" s="23" t="s">
        <v>45</v>
      </c>
      <c r="O1782" s="23" t="s">
        <v>23</v>
      </c>
      <c r="P1782" s="23" t="s">
        <v>94</v>
      </c>
      <c r="Q1782" s="23" t="s">
        <v>95</v>
      </c>
      <c r="R1782" s="23" t="s">
        <v>3835</v>
      </c>
      <c r="S1782" s="33">
        <v>0.2</v>
      </c>
      <c r="T1782" s="13">
        <v>9.8559999999999999</v>
      </c>
      <c r="U1782" s="13">
        <v>3.4496000000000002</v>
      </c>
      <c r="V1782" s="55">
        <f>Table3[[#This Row],[Profit]]/Table3[[#This Row],[Sales]]</f>
        <v>0.35000000000000003</v>
      </c>
    </row>
    <row r="1783" spans="1:22" x14ac:dyDescent="0.2">
      <c r="A1783">
        <v>1782</v>
      </c>
      <c r="B1783" t="s">
        <v>8618</v>
      </c>
      <c r="C1783" s="1">
        <v>42987</v>
      </c>
      <c r="D1783" s="22">
        <f>MONTH(Table3[[#This Row],[Order Date]])</f>
        <v>9</v>
      </c>
      <c r="E1783" t="s">
        <v>1102</v>
      </c>
      <c r="F1783" t="s">
        <v>1103</v>
      </c>
      <c r="G1783" s="23" t="s">
        <v>41</v>
      </c>
      <c r="H1783" s="23" t="s">
        <v>61</v>
      </c>
      <c r="I1783" t="s">
        <v>717</v>
      </c>
      <c r="J1783" t="s">
        <v>22</v>
      </c>
      <c r="K1783" s="22">
        <v>5</v>
      </c>
      <c r="L1783" s="1">
        <v>42991</v>
      </c>
      <c r="M1783" s="22">
        <f>Table3[[#This Row],[Ship Date]]-Table3[[#This Row],[Order Date]]</f>
        <v>4</v>
      </c>
      <c r="N1783" s="23" t="s">
        <v>45</v>
      </c>
      <c r="O1783" s="23" t="s">
        <v>23</v>
      </c>
      <c r="P1783" s="23" t="s">
        <v>441</v>
      </c>
      <c r="Q1783" s="23" t="s">
        <v>133</v>
      </c>
      <c r="R1783" s="23" t="s">
        <v>1920</v>
      </c>
      <c r="S1783" s="33">
        <v>0.2</v>
      </c>
      <c r="T1783" s="13">
        <v>25.92</v>
      </c>
      <c r="U1783" s="13">
        <v>3.8879999999999999</v>
      </c>
      <c r="V1783" s="55">
        <f>Table3[[#This Row],[Profit]]/Table3[[#This Row],[Sales]]</f>
        <v>0.15</v>
      </c>
    </row>
    <row r="1784" spans="1:22" x14ac:dyDescent="0.2">
      <c r="A1784">
        <v>1783</v>
      </c>
      <c r="B1784" t="s">
        <v>8618</v>
      </c>
      <c r="C1784" s="1">
        <v>42987</v>
      </c>
      <c r="D1784" s="22">
        <f>MONTH(Table3[[#This Row],[Order Date]])</f>
        <v>9</v>
      </c>
      <c r="E1784" t="s">
        <v>1644</v>
      </c>
      <c r="F1784" t="s">
        <v>1645</v>
      </c>
      <c r="G1784" s="23" t="s">
        <v>28</v>
      </c>
      <c r="H1784" s="23" t="s">
        <v>58</v>
      </c>
      <c r="I1784" t="s">
        <v>717</v>
      </c>
      <c r="J1784" t="s">
        <v>22</v>
      </c>
      <c r="K1784" s="22">
        <v>2</v>
      </c>
      <c r="L1784" s="1">
        <v>42991</v>
      </c>
      <c r="M1784" s="22">
        <f>Table3[[#This Row],[Ship Date]]-Table3[[#This Row],[Order Date]]</f>
        <v>4</v>
      </c>
      <c r="N1784" s="23" t="s">
        <v>45</v>
      </c>
      <c r="O1784" s="23" t="s">
        <v>23</v>
      </c>
      <c r="P1784" s="23" t="s">
        <v>441</v>
      </c>
      <c r="Q1784" s="23" t="s">
        <v>133</v>
      </c>
      <c r="R1784" s="23" t="s">
        <v>1920</v>
      </c>
      <c r="S1784" s="33">
        <v>0.2</v>
      </c>
      <c r="T1784" s="13">
        <v>66.111999999999995</v>
      </c>
      <c r="U1784" s="13">
        <v>-9.0904000000000007</v>
      </c>
      <c r="V1784" s="55">
        <f>Table3[[#This Row],[Profit]]/Table3[[#This Row],[Sales]]</f>
        <v>-0.13750000000000001</v>
      </c>
    </row>
    <row r="1785" spans="1:22" x14ac:dyDescent="0.2">
      <c r="A1785">
        <v>1784</v>
      </c>
      <c r="B1785" t="s">
        <v>8839</v>
      </c>
      <c r="C1785" s="1">
        <v>42987</v>
      </c>
      <c r="D1785" s="22">
        <f>MONTH(Table3[[#This Row],[Order Date]])</f>
        <v>9</v>
      </c>
      <c r="E1785" t="s">
        <v>4374</v>
      </c>
      <c r="F1785" t="s">
        <v>4375</v>
      </c>
      <c r="G1785" s="23" t="s">
        <v>64</v>
      </c>
      <c r="H1785" s="23" t="s">
        <v>144</v>
      </c>
      <c r="I1785" t="s">
        <v>1577</v>
      </c>
      <c r="J1785" t="s">
        <v>36</v>
      </c>
      <c r="K1785" s="22">
        <v>4</v>
      </c>
      <c r="L1785" s="1">
        <v>42992</v>
      </c>
      <c r="M1785" s="22">
        <f>Table3[[#This Row],[Ship Date]]-Table3[[#This Row],[Order Date]]</f>
        <v>5</v>
      </c>
      <c r="N1785" s="23" t="s">
        <v>45</v>
      </c>
      <c r="O1785" s="23" t="s">
        <v>23</v>
      </c>
      <c r="P1785" s="23" t="s">
        <v>38</v>
      </c>
      <c r="Q1785" s="23" t="s">
        <v>39</v>
      </c>
      <c r="R1785" s="23" t="s">
        <v>37</v>
      </c>
      <c r="S1785" s="33">
        <v>0</v>
      </c>
      <c r="T1785" s="13">
        <v>159.96</v>
      </c>
      <c r="U1785" s="13">
        <v>51.187199999999997</v>
      </c>
      <c r="V1785" s="55">
        <f>Table3[[#This Row],[Profit]]/Table3[[#This Row],[Sales]]</f>
        <v>0.31999999999999995</v>
      </c>
    </row>
    <row r="1786" spans="1:22" x14ac:dyDescent="0.2">
      <c r="A1786">
        <v>1785</v>
      </c>
      <c r="B1786" t="s">
        <v>8937</v>
      </c>
      <c r="C1786" s="1">
        <v>42987</v>
      </c>
      <c r="D1786" s="22">
        <f>MONTH(Table3[[#This Row],[Order Date]])</f>
        <v>9</v>
      </c>
      <c r="E1786" t="s">
        <v>1153</v>
      </c>
      <c r="F1786" t="s">
        <v>1154</v>
      </c>
      <c r="G1786" s="23" t="s">
        <v>41</v>
      </c>
      <c r="H1786" s="23" t="s">
        <v>82</v>
      </c>
      <c r="I1786" t="s">
        <v>3402</v>
      </c>
      <c r="J1786" t="s">
        <v>36</v>
      </c>
      <c r="K1786" s="22">
        <v>6</v>
      </c>
      <c r="L1786" s="1">
        <v>42993</v>
      </c>
      <c r="M1786" s="22">
        <f>Table3[[#This Row],[Ship Date]]-Table3[[#This Row],[Order Date]]</f>
        <v>6</v>
      </c>
      <c r="N1786" s="23" t="s">
        <v>45</v>
      </c>
      <c r="O1786" s="23" t="s">
        <v>23</v>
      </c>
      <c r="P1786" s="23" t="s">
        <v>374</v>
      </c>
      <c r="Q1786" s="23" t="s">
        <v>39</v>
      </c>
      <c r="R1786" s="23" t="s">
        <v>373</v>
      </c>
      <c r="S1786" s="33">
        <v>0.2</v>
      </c>
      <c r="T1786" s="13">
        <v>31.103999999999999</v>
      </c>
      <c r="U1786" s="13">
        <v>11.2752</v>
      </c>
      <c r="V1786" s="55">
        <f>Table3[[#This Row],[Profit]]/Table3[[#This Row],[Sales]]</f>
        <v>0.36249999999999999</v>
      </c>
    </row>
    <row r="1787" spans="1:22" x14ac:dyDescent="0.2">
      <c r="A1787">
        <v>1786</v>
      </c>
      <c r="B1787" t="s">
        <v>8937</v>
      </c>
      <c r="C1787" s="1">
        <v>42987</v>
      </c>
      <c r="D1787" s="22">
        <f>MONTH(Table3[[#This Row],[Order Date]])</f>
        <v>9</v>
      </c>
      <c r="E1787" t="s">
        <v>8384</v>
      </c>
      <c r="F1787" t="s">
        <v>8385</v>
      </c>
      <c r="G1787" s="23" t="s">
        <v>41</v>
      </c>
      <c r="H1787" s="23" t="s">
        <v>71</v>
      </c>
      <c r="I1787" t="s">
        <v>3402</v>
      </c>
      <c r="J1787" t="s">
        <v>36</v>
      </c>
      <c r="K1787" s="22">
        <v>1</v>
      </c>
      <c r="L1787" s="1">
        <v>42993</v>
      </c>
      <c r="M1787" s="22">
        <f>Table3[[#This Row],[Ship Date]]-Table3[[#This Row],[Order Date]]</f>
        <v>6</v>
      </c>
      <c r="N1787" s="23" t="s">
        <v>45</v>
      </c>
      <c r="O1787" s="23" t="s">
        <v>23</v>
      </c>
      <c r="P1787" s="23" t="s">
        <v>374</v>
      </c>
      <c r="Q1787" s="23" t="s">
        <v>39</v>
      </c>
      <c r="R1787" s="23" t="s">
        <v>373</v>
      </c>
      <c r="S1787" s="33">
        <v>0.2</v>
      </c>
      <c r="T1787" s="13">
        <v>11.176</v>
      </c>
      <c r="U1787" s="13">
        <v>0.83819999999999995</v>
      </c>
      <c r="V1787" s="55">
        <f>Table3[[#This Row],[Profit]]/Table3[[#This Row],[Sales]]</f>
        <v>7.4999999999999997E-2</v>
      </c>
    </row>
    <row r="1788" spans="1:22" x14ac:dyDescent="0.2">
      <c r="A1788">
        <v>1787</v>
      </c>
      <c r="B1788" t="s">
        <v>9438</v>
      </c>
      <c r="C1788" s="1">
        <v>42987</v>
      </c>
      <c r="D1788" s="22">
        <f>MONTH(Table3[[#This Row],[Order Date]])</f>
        <v>9</v>
      </c>
      <c r="E1788" t="s">
        <v>4030</v>
      </c>
      <c r="F1788" t="s">
        <v>4031</v>
      </c>
      <c r="G1788" s="23" t="s">
        <v>41</v>
      </c>
      <c r="H1788" s="23" t="s">
        <v>42</v>
      </c>
      <c r="I1788" t="s">
        <v>4279</v>
      </c>
      <c r="J1788" t="s">
        <v>22</v>
      </c>
      <c r="K1788" s="22">
        <v>6</v>
      </c>
      <c r="L1788" s="1">
        <v>42988</v>
      </c>
      <c r="M1788" s="22">
        <f>Table3[[#This Row],[Ship Date]]-Table3[[#This Row],[Order Date]]</f>
        <v>1</v>
      </c>
      <c r="N1788" s="23" t="s">
        <v>169</v>
      </c>
      <c r="O1788" s="23" t="s">
        <v>23</v>
      </c>
      <c r="P1788" s="23" t="s">
        <v>441</v>
      </c>
      <c r="Q1788" s="23" t="s">
        <v>133</v>
      </c>
      <c r="R1788" s="23" t="s">
        <v>2496</v>
      </c>
      <c r="S1788" s="33">
        <v>0.2</v>
      </c>
      <c r="T1788" s="13">
        <v>17.712</v>
      </c>
      <c r="U1788" s="13">
        <v>5.9778000000000002</v>
      </c>
      <c r="V1788" s="55">
        <f>Table3[[#This Row],[Profit]]/Table3[[#This Row],[Sales]]</f>
        <v>0.33750000000000002</v>
      </c>
    </row>
    <row r="1789" spans="1:22" x14ac:dyDescent="0.2">
      <c r="A1789">
        <v>1788</v>
      </c>
      <c r="B1789" t="s">
        <v>9438</v>
      </c>
      <c r="C1789" s="1">
        <v>42987</v>
      </c>
      <c r="D1789" s="22">
        <f>MONTH(Table3[[#This Row],[Order Date]])</f>
        <v>9</v>
      </c>
      <c r="E1789" t="s">
        <v>2784</v>
      </c>
      <c r="F1789" t="s">
        <v>2785</v>
      </c>
      <c r="G1789" s="23" t="s">
        <v>41</v>
      </c>
      <c r="H1789" s="23" t="s">
        <v>68</v>
      </c>
      <c r="I1789" t="s">
        <v>4279</v>
      </c>
      <c r="J1789" t="s">
        <v>22</v>
      </c>
      <c r="K1789" s="22">
        <v>3</v>
      </c>
      <c r="L1789" s="1">
        <v>42988</v>
      </c>
      <c r="M1789" s="22">
        <f>Table3[[#This Row],[Ship Date]]-Table3[[#This Row],[Order Date]]</f>
        <v>1</v>
      </c>
      <c r="N1789" s="23" t="s">
        <v>169</v>
      </c>
      <c r="O1789" s="23" t="s">
        <v>23</v>
      </c>
      <c r="P1789" s="23" t="s">
        <v>441</v>
      </c>
      <c r="Q1789" s="23" t="s">
        <v>133</v>
      </c>
      <c r="R1789" s="23" t="s">
        <v>2496</v>
      </c>
      <c r="S1789" s="33">
        <v>0.7</v>
      </c>
      <c r="T1789" s="13">
        <v>4.8600000000000003</v>
      </c>
      <c r="U1789" s="13">
        <v>-3.5640000000000001</v>
      </c>
      <c r="V1789" s="55">
        <f>Table3[[#This Row],[Profit]]/Table3[[#This Row],[Sales]]</f>
        <v>-0.73333333333333328</v>
      </c>
    </row>
    <row r="1790" spans="1:22" x14ac:dyDescent="0.2">
      <c r="A1790">
        <v>1789</v>
      </c>
      <c r="B1790" t="s">
        <v>9438</v>
      </c>
      <c r="C1790" s="1">
        <v>42987</v>
      </c>
      <c r="D1790" s="22">
        <f>MONTH(Table3[[#This Row],[Order Date]])</f>
        <v>9</v>
      </c>
      <c r="E1790" t="s">
        <v>3968</v>
      </c>
      <c r="F1790" t="s">
        <v>3969</v>
      </c>
      <c r="G1790" s="23" t="s">
        <v>41</v>
      </c>
      <c r="H1790" s="23" t="s">
        <v>68</v>
      </c>
      <c r="I1790" t="s">
        <v>4279</v>
      </c>
      <c r="J1790" t="s">
        <v>22</v>
      </c>
      <c r="K1790" s="22">
        <v>2</v>
      </c>
      <c r="L1790" s="1">
        <v>42988</v>
      </c>
      <c r="M1790" s="22">
        <f>Table3[[#This Row],[Ship Date]]-Table3[[#This Row],[Order Date]]</f>
        <v>1</v>
      </c>
      <c r="N1790" s="23" t="s">
        <v>169</v>
      </c>
      <c r="O1790" s="23" t="s">
        <v>23</v>
      </c>
      <c r="P1790" s="23" t="s">
        <v>441</v>
      </c>
      <c r="Q1790" s="23" t="s">
        <v>133</v>
      </c>
      <c r="R1790" s="23" t="s">
        <v>2496</v>
      </c>
      <c r="S1790" s="33">
        <v>0.7</v>
      </c>
      <c r="T1790" s="13">
        <v>6.258</v>
      </c>
      <c r="U1790" s="13">
        <v>-5.2149999999999999</v>
      </c>
      <c r="V1790" s="55">
        <f>Table3[[#This Row],[Profit]]/Table3[[#This Row],[Sales]]</f>
        <v>-0.83333333333333326</v>
      </c>
    </row>
    <row r="1791" spans="1:22" x14ac:dyDescent="0.2">
      <c r="A1791">
        <v>1790</v>
      </c>
      <c r="B1791" t="s">
        <v>186</v>
      </c>
      <c r="C1791" s="1">
        <v>42988</v>
      </c>
      <c r="D1791" s="22">
        <f>MONTH(Table3[[#This Row],[Order Date]])</f>
        <v>9</v>
      </c>
      <c r="E1791" t="s">
        <v>190</v>
      </c>
      <c r="F1791" t="s">
        <v>191</v>
      </c>
      <c r="G1791" s="23" t="s">
        <v>64</v>
      </c>
      <c r="H1791" s="23" t="s">
        <v>65</v>
      </c>
      <c r="I1791" t="s">
        <v>187</v>
      </c>
      <c r="J1791" t="s">
        <v>36</v>
      </c>
      <c r="K1791" s="22">
        <v>4</v>
      </c>
      <c r="L1791" s="1">
        <v>42993</v>
      </c>
      <c r="M1791" s="22">
        <f>Table3[[#This Row],[Ship Date]]-Table3[[#This Row],[Order Date]]</f>
        <v>5</v>
      </c>
      <c r="N1791" s="23" t="s">
        <v>45</v>
      </c>
      <c r="O1791" s="23" t="s">
        <v>23</v>
      </c>
      <c r="P1791" s="23" t="s">
        <v>189</v>
      </c>
      <c r="Q1791" s="23" t="s">
        <v>95</v>
      </c>
      <c r="R1791" s="23" t="s">
        <v>188</v>
      </c>
      <c r="S1791" s="33">
        <v>0.2</v>
      </c>
      <c r="T1791" s="13">
        <v>147.16800000000001</v>
      </c>
      <c r="U1791" s="13">
        <v>16.5564</v>
      </c>
      <c r="V1791" s="55">
        <f>Table3[[#This Row],[Profit]]/Table3[[#This Row],[Sales]]</f>
        <v>0.11249999999999999</v>
      </c>
    </row>
    <row r="1792" spans="1:22" x14ac:dyDescent="0.2">
      <c r="A1792">
        <v>1791</v>
      </c>
      <c r="B1792" t="s">
        <v>4092</v>
      </c>
      <c r="C1792" s="1">
        <v>42988</v>
      </c>
      <c r="D1792" s="22">
        <f>MONTH(Table3[[#This Row],[Order Date]])</f>
        <v>9</v>
      </c>
      <c r="E1792" t="s">
        <v>1029</v>
      </c>
      <c r="F1792" t="s">
        <v>1030</v>
      </c>
      <c r="G1792" s="23" t="s">
        <v>28</v>
      </c>
      <c r="H1792" s="23" t="s">
        <v>32</v>
      </c>
      <c r="I1792" t="s">
        <v>2897</v>
      </c>
      <c r="J1792" t="s">
        <v>36</v>
      </c>
      <c r="K1792" s="22">
        <v>3</v>
      </c>
      <c r="L1792" s="1">
        <v>42988</v>
      </c>
      <c r="M1792" s="22">
        <f>Table3[[#This Row],[Ship Date]]-Table3[[#This Row],[Order Date]]</f>
        <v>0</v>
      </c>
      <c r="N1792" s="23" t="s">
        <v>1141</v>
      </c>
      <c r="O1792" s="23" t="s">
        <v>23</v>
      </c>
      <c r="P1792" s="23" t="s">
        <v>38</v>
      </c>
      <c r="Q1792" s="23" t="s">
        <v>39</v>
      </c>
      <c r="R1792" s="23" t="s">
        <v>37</v>
      </c>
      <c r="S1792" s="33">
        <v>0.2</v>
      </c>
      <c r="T1792" s="13">
        <v>362.35199999999998</v>
      </c>
      <c r="U1792" s="13">
        <v>27.176400000000001</v>
      </c>
      <c r="V1792" s="55">
        <f>Table3[[#This Row],[Profit]]/Table3[[#This Row],[Sales]]</f>
        <v>7.5000000000000011E-2</v>
      </c>
    </row>
    <row r="1793" spans="1:22" x14ac:dyDescent="0.2">
      <c r="A1793">
        <v>1792</v>
      </c>
      <c r="B1793" t="s">
        <v>4092</v>
      </c>
      <c r="C1793" s="1">
        <v>42988</v>
      </c>
      <c r="D1793" s="22">
        <f>MONTH(Table3[[#This Row],[Order Date]])</f>
        <v>9</v>
      </c>
      <c r="E1793" t="s">
        <v>1077</v>
      </c>
      <c r="F1793" t="s">
        <v>1078</v>
      </c>
      <c r="G1793" s="23" t="s">
        <v>41</v>
      </c>
      <c r="H1793" s="23" t="s">
        <v>68</v>
      </c>
      <c r="I1793" t="s">
        <v>2897</v>
      </c>
      <c r="J1793" t="s">
        <v>36</v>
      </c>
      <c r="K1793" s="22">
        <v>2</v>
      </c>
      <c r="L1793" s="1">
        <v>42988</v>
      </c>
      <c r="M1793" s="22">
        <f>Table3[[#This Row],[Ship Date]]-Table3[[#This Row],[Order Date]]</f>
        <v>0</v>
      </c>
      <c r="N1793" s="23" t="s">
        <v>1141</v>
      </c>
      <c r="O1793" s="23" t="s">
        <v>23</v>
      </c>
      <c r="P1793" s="23" t="s">
        <v>38</v>
      </c>
      <c r="Q1793" s="23" t="s">
        <v>39</v>
      </c>
      <c r="R1793" s="23" t="s">
        <v>37</v>
      </c>
      <c r="S1793" s="33">
        <v>0.2</v>
      </c>
      <c r="T1793" s="13">
        <v>7.1840000000000002</v>
      </c>
      <c r="U1793" s="13">
        <v>2.2450000000000001</v>
      </c>
      <c r="V1793" s="55">
        <f>Table3[[#This Row],[Profit]]/Table3[[#This Row],[Sales]]</f>
        <v>0.3125</v>
      </c>
    </row>
    <row r="1794" spans="1:22" x14ac:dyDescent="0.2">
      <c r="A1794">
        <v>1793</v>
      </c>
      <c r="B1794" t="s">
        <v>4263</v>
      </c>
      <c r="C1794" s="1">
        <v>42988</v>
      </c>
      <c r="D1794" s="22">
        <f>MONTH(Table3[[#This Row],[Order Date]])</f>
        <v>9</v>
      </c>
      <c r="E1794" t="s">
        <v>2784</v>
      </c>
      <c r="F1794" t="s">
        <v>2785</v>
      </c>
      <c r="G1794" s="23" t="s">
        <v>41</v>
      </c>
      <c r="H1794" s="23" t="s">
        <v>68</v>
      </c>
      <c r="I1794" t="s">
        <v>2589</v>
      </c>
      <c r="J1794" t="s">
        <v>22</v>
      </c>
      <c r="K1794" s="22">
        <v>3</v>
      </c>
      <c r="L1794" s="1">
        <v>42993</v>
      </c>
      <c r="M1794" s="22">
        <f>Table3[[#This Row],[Ship Date]]-Table3[[#This Row],[Order Date]]</f>
        <v>5</v>
      </c>
      <c r="N1794" s="23" t="s">
        <v>20</v>
      </c>
      <c r="O1794" s="23" t="s">
        <v>23</v>
      </c>
      <c r="P1794" s="23" t="s">
        <v>528</v>
      </c>
      <c r="Q1794" s="23" t="s">
        <v>95</v>
      </c>
      <c r="R1794" s="23" t="s">
        <v>284</v>
      </c>
      <c r="S1794" s="33">
        <v>0</v>
      </c>
      <c r="T1794" s="13">
        <v>16.2</v>
      </c>
      <c r="U1794" s="13">
        <v>7.7759999999999998</v>
      </c>
      <c r="V1794" s="55">
        <f>Table3[[#This Row],[Profit]]/Table3[[#This Row],[Sales]]</f>
        <v>0.48</v>
      </c>
    </row>
    <row r="1795" spans="1:22" x14ac:dyDescent="0.2">
      <c r="A1795">
        <v>1794</v>
      </c>
      <c r="B1795" t="s">
        <v>4263</v>
      </c>
      <c r="C1795" s="1">
        <v>42988</v>
      </c>
      <c r="D1795" s="22">
        <f>MONTH(Table3[[#This Row],[Order Date]])</f>
        <v>9</v>
      </c>
      <c r="E1795" t="s">
        <v>4264</v>
      </c>
      <c r="F1795" t="s">
        <v>4265</v>
      </c>
      <c r="G1795" s="23" t="s">
        <v>41</v>
      </c>
      <c r="H1795" s="23" t="s">
        <v>71</v>
      </c>
      <c r="I1795" t="s">
        <v>2589</v>
      </c>
      <c r="J1795" t="s">
        <v>22</v>
      </c>
      <c r="K1795" s="22">
        <v>3</v>
      </c>
      <c r="L1795" s="1">
        <v>42993</v>
      </c>
      <c r="M1795" s="22">
        <f>Table3[[#This Row],[Ship Date]]-Table3[[#This Row],[Order Date]]</f>
        <v>5</v>
      </c>
      <c r="N1795" s="23" t="s">
        <v>20</v>
      </c>
      <c r="O1795" s="23" t="s">
        <v>23</v>
      </c>
      <c r="P1795" s="23" t="s">
        <v>528</v>
      </c>
      <c r="Q1795" s="23" t="s">
        <v>95</v>
      </c>
      <c r="R1795" s="23" t="s">
        <v>284</v>
      </c>
      <c r="S1795" s="33">
        <v>0</v>
      </c>
      <c r="T1795" s="13">
        <v>33.99</v>
      </c>
      <c r="U1795" s="13">
        <v>14.6157</v>
      </c>
      <c r="V1795" s="55">
        <f>Table3[[#This Row],[Profit]]/Table3[[#This Row],[Sales]]</f>
        <v>0.43</v>
      </c>
    </row>
    <row r="1796" spans="1:22" x14ac:dyDescent="0.2">
      <c r="A1796">
        <v>1795</v>
      </c>
      <c r="B1796" t="s">
        <v>4263</v>
      </c>
      <c r="C1796" s="1">
        <v>42988</v>
      </c>
      <c r="D1796" s="22">
        <f>MONTH(Table3[[#This Row],[Order Date]])</f>
        <v>9</v>
      </c>
      <c r="E1796" t="s">
        <v>3824</v>
      </c>
      <c r="F1796" t="s">
        <v>3825</v>
      </c>
      <c r="G1796" s="23" t="s">
        <v>64</v>
      </c>
      <c r="H1796" s="23" t="s">
        <v>144</v>
      </c>
      <c r="I1796" t="s">
        <v>2589</v>
      </c>
      <c r="J1796" t="s">
        <v>22</v>
      </c>
      <c r="K1796" s="22">
        <v>5</v>
      </c>
      <c r="L1796" s="1">
        <v>42993</v>
      </c>
      <c r="M1796" s="22">
        <f>Table3[[#This Row],[Ship Date]]-Table3[[#This Row],[Order Date]]</f>
        <v>5</v>
      </c>
      <c r="N1796" s="23" t="s">
        <v>20</v>
      </c>
      <c r="O1796" s="23" t="s">
        <v>23</v>
      </c>
      <c r="P1796" s="23" t="s">
        <v>528</v>
      </c>
      <c r="Q1796" s="23" t="s">
        <v>95</v>
      </c>
      <c r="R1796" s="23" t="s">
        <v>284</v>
      </c>
      <c r="S1796" s="33">
        <v>0</v>
      </c>
      <c r="T1796" s="13">
        <v>296.85000000000002</v>
      </c>
      <c r="U1796" s="13">
        <v>53.433</v>
      </c>
      <c r="V1796" s="55">
        <f>Table3[[#This Row],[Profit]]/Table3[[#This Row],[Sales]]</f>
        <v>0.18</v>
      </c>
    </row>
    <row r="1797" spans="1:22" x14ac:dyDescent="0.2">
      <c r="A1797">
        <v>1796</v>
      </c>
      <c r="B1797" t="s">
        <v>4263</v>
      </c>
      <c r="C1797" s="1">
        <v>42988</v>
      </c>
      <c r="D1797" s="22">
        <f>MONTH(Table3[[#This Row],[Order Date]])</f>
        <v>9</v>
      </c>
      <c r="E1797" t="s">
        <v>4266</v>
      </c>
      <c r="F1797" t="s">
        <v>4267</v>
      </c>
      <c r="G1797" s="23" t="s">
        <v>64</v>
      </c>
      <c r="H1797" s="23" t="s">
        <v>144</v>
      </c>
      <c r="I1797" t="s">
        <v>2589</v>
      </c>
      <c r="J1797" t="s">
        <v>22</v>
      </c>
      <c r="K1797" s="22">
        <v>6</v>
      </c>
      <c r="L1797" s="1">
        <v>42993</v>
      </c>
      <c r="M1797" s="22">
        <f>Table3[[#This Row],[Ship Date]]-Table3[[#This Row],[Order Date]]</f>
        <v>5</v>
      </c>
      <c r="N1797" s="23" t="s">
        <v>20</v>
      </c>
      <c r="O1797" s="23" t="s">
        <v>23</v>
      </c>
      <c r="P1797" s="23" t="s">
        <v>528</v>
      </c>
      <c r="Q1797" s="23" t="s">
        <v>95</v>
      </c>
      <c r="R1797" s="23" t="s">
        <v>284</v>
      </c>
      <c r="S1797" s="33">
        <v>0</v>
      </c>
      <c r="T1797" s="13">
        <v>112.8</v>
      </c>
      <c r="U1797" s="13">
        <v>6.7679999999999998</v>
      </c>
      <c r="V1797" s="55">
        <f>Table3[[#This Row],[Profit]]/Table3[[#This Row],[Sales]]</f>
        <v>0.06</v>
      </c>
    </row>
    <row r="1798" spans="1:22" x14ac:dyDescent="0.2">
      <c r="A1798">
        <v>1797</v>
      </c>
      <c r="B1798" t="s">
        <v>4263</v>
      </c>
      <c r="C1798" s="1">
        <v>42988</v>
      </c>
      <c r="D1798" s="22">
        <f>MONTH(Table3[[#This Row],[Order Date]])</f>
        <v>9</v>
      </c>
      <c r="E1798" t="s">
        <v>4268</v>
      </c>
      <c r="F1798" t="s">
        <v>4269</v>
      </c>
      <c r="G1798" s="23" t="s">
        <v>41</v>
      </c>
      <c r="H1798" s="23" t="s">
        <v>68</v>
      </c>
      <c r="I1798" t="s">
        <v>2589</v>
      </c>
      <c r="J1798" t="s">
        <v>22</v>
      </c>
      <c r="K1798" s="22">
        <v>3</v>
      </c>
      <c r="L1798" s="1">
        <v>42993</v>
      </c>
      <c r="M1798" s="22">
        <f>Table3[[#This Row],[Ship Date]]-Table3[[#This Row],[Order Date]]</f>
        <v>5</v>
      </c>
      <c r="N1798" s="23" t="s">
        <v>20</v>
      </c>
      <c r="O1798" s="23" t="s">
        <v>23</v>
      </c>
      <c r="P1798" s="23" t="s">
        <v>528</v>
      </c>
      <c r="Q1798" s="23" t="s">
        <v>95</v>
      </c>
      <c r="R1798" s="23" t="s">
        <v>284</v>
      </c>
      <c r="S1798" s="33">
        <v>0</v>
      </c>
      <c r="T1798" s="13">
        <v>13.71</v>
      </c>
      <c r="U1798" s="13">
        <v>6.5808</v>
      </c>
      <c r="V1798" s="55">
        <f>Table3[[#This Row],[Profit]]/Table3[[#This Row],[Sales]]</f>
        <v>0.48</v>
      </c>
    </row>
    <row r="1799" spans="1:22" x14ac:dyDescent="0.2">
      <c r="A1799">
        <v>1798</v>
      </c>
      <c r="B1799" t="s">
        <v>4263</v>
      </c>
      <c r="C1799" s="1">
        <v>42988</v>
      </c>
      <c r="D1799" s="22">
        <f>MONTH(Table3[[#This Row],[Order Date]])</f>
        <v>9</v>
      </c>
      <c r="E1799" t="s">
        <v>3578</v>
      </c>
      <c r="F1799" t="s">
        <v>3579</v>
      </c>
      <c r="G1799" s="23" t="s">
        <v>41</v>
      </c>
      <c r="H1799" s="23" t="s">
        <v>82</v>
      </c>
      <c r="I1799" t="s">
        <v>2589</v>
      </c>
      <c r="J1799" t="s">
        <v>22</v>
      </c>
      <c r="K1799" s="22">
        <v>5</v>
      </c>
      <c r="L1799" s="1">
        <v>42993</v>
      </c>
      <c r="M1799" s="22">
        <f>Table3[[#This Row],[Ship Date]]-Table3[[#This Row],[Order Date]]</f>
        <v>5</v>
      </c>
      <c r="N1799" s="23" t="s">
        <v>20</v>
      </c>
      <c r="O1799" s="23" t="s">
        <v>23</v>
      </c>
      <c r="P1799" s="23" t="s">
        <v>528</v>
      </c>
      <c r="Q1799" s="23" t="s">
        <v>95</v>
      </c>
      <c r="R1799" s="23" t="s">
        <v>284</v>
      </c>
      <c r="S1799" s="33">
        <v>0</v>
      </c>
      <c r="T1799" s="13">
        <v>24.9</v>
      </c>
      <c r="U1799" s="13">
        <v>11.702999999999999</v>
      </c>
      <c r="V1799" s="55">
        <f>Table3[[#This Row],[Profit]]/Table3[[#This Row],[Sales]]</f>
        <v>0.47000000000000003</v>
      </c>
    </row>
    <row r="1800" spans="1:22" x14ac:dyDescent="0.2">
      <c r="A1800">
        <v>1799</v>
      </c>
      <c r="B1800" t="s">
        <v>4263</v>
      </c>
      <c r="C1800" s="1">
        <v>42988</v>
      </c>
      <c r="D1800" s="22">
        <f>MONTH(Table3[[#This Row],[Order Date]])</f>
        <v>9</v>
      </c>
      <c r="E1800" t="s">
        <v>2136</v>
      </c>
      <c r="F1800" t="s">
        <v>2137</v>
      </c>
      <c r="G1800" s="23" t="s">
        <v>41</v>
      </c>
      <c r="H1800" s="23" t="s">
        <v>53</v>
      </c>
      <c r="I1800" t="s">
        <v>2589</v>
      </c>
      <c r="J1800" t="s">
        <v>22</v>
      </c>
      <c r="K1800" s="22">
        <v>3</v>
      </c>
      <c r="L1800" s="1">
        <v>42993</v>
      </c>
      <c r="M1800" s="22">
        <f>Table3[[#This Row],[Ship Date]]-Table3[[#This Row],[Order Date]]</f>
        <v>5</v>
      </c>
      <c r="N1800" s="23" t="s">
        <v>20</v>
      </c>
      <c r="O1800" s="23" t="s">
        <v>23</v>
      </c>
      <c r="P1800" s="23" t="s">
        <v>528</v>
      </c>
      <c r="Q1800" s="23" t="s">
        <v>95</v>
      </c>
      <c r="R1800" s="23" t="s">
        <v>284</v>
      </c>
      <c r="S1800" s="33">
        <v>0</v>
      </c>
      <c r="T1800" s="13">
        <v>286.29000000000002</v>
      </c>
      <c r="U1800" s="13">
        <v>17.177399999999999</v>
      </c>
      <c r="V1800" s="55">
        <f>Table3[[#This Row],[Profit]]/Table3[[#This Row],[Sales]]</f>
        <v>5.9999999999999991E-2</v>
      </c>
    </row>
    <row r="1801" spans="1:22" x14ac:dyDescent="0.2">
      <c r="A1801">
        <v>1800</v>
      </c>
      <c r="B1801" t="s">
        <v>4263</v>
      </c>
      <c r="C1801" s="1">
        <v>42988</v>
      </c>
      <c r="D1801" s="22">
        <f>MONTH(Table3[[#This Row],[Order Date]])</f>
        <v>9</v>
      </c>
      <c r="E1801" t="s">
        <v>4270</v>
      </c>
      <c r="F1801" t="s">
        <v>4271</v>
      </c>
      <c r="G1801" s="23" t="s">
        <v>41</v>
      </c>
      <c r="H1801" s="23" t="s">
        <v>71</v>
      </c>
      <c r="I1801" t="s">
        <v>2589</v>
      </c>
      <c r="J1801" t="s">
        <v>22</v>
      </c>
      <c r="K1801" s="22">
        <v>2</v>
      </c>
      <c r="L1801" s="1">
        <v>42993</v>
      </c>
      <c r="M1801" s="22">
        <f>Table3[[#This Row],[Ship Date]]-Table3[[#This Row],[Order Date]]</f>
        <v>5</v>
      </c>
      <c r="N1801" s="23" t="s">
        <v>20</v>
      </c>
      <c r="O1801" s="23" t="s">
        <v>23</v>
      </c>
      <c r="P1801" s="23" t="s">
        <v>528</v>
      </c>
      <c r="Q1801" s="23" t="s">
        <v>95</v>
      </c>
      <c r="R1801" s="23" t="s">
        <v>284</v>
      </c>
      <c r="S1801" s="33">
        <v>0</v>
      </c>
      <c r="T1801" s="13">
        <v>24.18</v>
      </c>
      <c r="U1801" s="13">
        <v>7.2539999999999996</v>
      </c>
      <c r="V1801" s="55">
        <f>Table3[[#This Row],[Profit]]/Table3[[#This Row],[Sales]]</f>
        <v>0.3</v>
      </c>
    </row>
    <row r="1802" spans="1:22" x14ac:dyDescent="0.2">
      <c r="A1802">
        <v>1801</v>
      </c>
      <c r="B1802" t="s">
        <v>5368</v>
      </c>
      <c r="C1802" s="1">
        <v>42988</v>
      </c>
      <c r="D1802" s="22">
        <f>MONTH(Table3[[#This Row],[Order Date]])</f>
        <v>9</v>
      </c>
      <c r="E1802" t="s">
        <v>1543</v>
      </c>
      <c r="F1802" t="s">
        <v>1544</v>
      </c>
      <c r="G1802" s="23" t="s">
        <v>41</v>
      </c>
      <c r="H1802" s="23" t="s">
        <v>68</v>
      </c>
      <c r="I1802" t="s">
        <v>2779</v>
      </c>
      <c r="J1802" t="s">
        <v>92</v>
      </c>
      <c r="K1802" s="22">
        <v>3</v>
      </c>
      <c r="L1802" s="1">
        <v>42993</v>
      </c>
      <c r="M1802" s="22">
        <f>Table3[[#This Row],[Ship Date]]-Table3[[#This Row],[Order Date]]</f>
        <v>5</v>
      </c>
      <c r="N1802" s="23" t="s">
        <v>45</v>
      </c>
      <c r="O1802" s="23" t="s">
        <v>23</v>
      </c>
      <c r="P1802" s="23" t="s">
        <v>189</v>
      </c>
      <c r="Q1802" s="23" t="s">
        <v>95</v>
      </c>
      <c r="R1802" s="23" t="s">
        <v>271</v>
      </c>
      <c r="S1802" s="33">
        <v>0.8</v>
      </c>
      <c r="T1802" s="13">
        <v>762.59400000000005</v>
      </c>
      <c r="U1802" s="13">
        <v>-1143.8910000000001</v>
      </c>
      <c r="V1802" s="55">
        <f>Table3[[#This Row],[Profit]]/Table3[[#This Row],[Sales]]</f>
        <v>-1.5</v>
      </c>
    </row>
    <row r="1803" spans="1:22" x14ac:dyDescent="0.2">
      <c r="A1803">
        <v>1802</v>
      </c>
      <c r="B1803" t="s">
        <v>5706</v>
      </c>
      <c r="C1803" s="1">
        <v>42988</v>
      </c>
      <c r="D1803" s="22">
        <f>MONTH(Table3[[#This Row],[Order Date]])</f>
        <v>9</v>
      </c>
      <c r="E1803" t="s">
        <v>3264</v>
      </c>
      <c r="F1803" t="s">
        <v>3265</v>
      </c>
      <c r="G1803" s="23" t="s">
        <v>41</v>
      </c>
      <c r="H1803" s="23" t="s">
        <v>82</v>
      </c>
      <c r="I1803" t="s">
        <v>996</v>
      </c>
      <c r="J1803" t="s">
        <v>22</v>
      </c>
      <c r="K1803" s="22">
        <v>2</v>
      </c>
      <c r="L1803" s="1">
        <v>42988</v>
      </c>
      <c r="M1803" s="22">
        <f>Table3[[#This Row],[Ship Date]]-Table3[[#This Row],[Order Date]]</f>
        <v>0</v>
      </c>
      <c r="N1803" s="23" t="s">
        <v>1141</v>
      </c>
      <c r="O1803" s="23" t="s">
        <v>23</v>
      </c>
      <c r="P1803" s="23" t="s">
        <v>238</v>
      </c>
      <c r="Q1803" s="23" t="s">
        <v>133</v>
      </c>
      <c r="R1803" s="23" t="s">
        <v>237</v>
      </c>
      <c r="S1803" s="33">
        <v>0</v>
      </c>
      <c r="T1803" s="13">
        <v>18.760000000000002</v>
      </c>
      <c r="U1803" s="13">
        <v>9.0047999999999995</v>
      </c>
      <c r="V1803" s="55">
        <f>Table3[[#This Row],[Profit]]/Table3[[#This Row],[Sales]]</f>
        <v>0.47999999999999993</v>
      </c>
    </row>
    <row r="1804" spans="1:22" x14ac:dyDescent="0.2">
      <c r="A1804">
        <v>1803</v>
      </c>
      <c r="B1804" t="s">
        <v>7118</v>
      </c>
      <c r="C1804" s="1">
        <v>42988</v>
      </c>
      <c r="D1804" s="22">
        <f>MONTH(Table3[[#This Row],[Order Date]])</f>
        <v>9</v>
      </c>
      <c r="E1804" t="s">
        <v>5445</v>
      </c>
      <c r="F1804" t="s">
        <v>5446</v>
      </c>
      <c r="G1804" s="23" t="s">
        <v>41</v>
      </c>
      <c r="H1804" s="23" t="s">
        <v>61</v>
      </c>
      <c r="I1804" t="s">
        <v>7119</v>
      </c>
      <c r="J1804" t="s">
        <v>36</v>
      </c>
      <c r="K1804" s="22">
        <v>2</v>
      </c>
      <c r="L1804" s="1">
        <v>42991</v>
      </c>
      <c r="M1804" s="22">
        <f>Table3[[#This Row],[Ship Date]]-Table3[[#This Row],[Order Date]]</f>
        <v>3</v>
      </c>
      <c r="N1804" s="23" t="s">
        <v>169</v>
      </c>
      <c r="O1804" s="23" t="s">
        <v>23</v>
      </c>
      <c r="P1804" s="23" t="s">
        <v>1101</v>
      </c>
      <c r="Q1804" s="23" t="s">
        <v>133</v>
      </c>
      <c r="R1804" s="23" t="s">
        <v>1308</v>
      </c>
      <c r="S1804" s="33">
        <v>0</v>
      </c>
      <c r="T1804" s="13">
        <v>14.88</v>
      </c>
      <c r="U1804" s="13">
        <v>3.72</v>
      </c>
      <c r="V1804" s="55">
        <f>Table3[[#This Row],[Profit]]/Table3[[#This Row],[Sales]]</f>
        <v>0.25</v>
      </c>
    </row>
    <row r="1805" spans="1:22" x14ac:dyDescent="0.2">
      <c r="A1805">
        <v>1804</v>
      </c>
      <c r="B1805" t="s">
        <v>7422</v>
      </c>
      <c r="C1805" s="1">
        <v>42988</v>
      </c>
      <c r="D1805" s="22">
        <f>MONTH(Table3[[#This Row],[Order Date]])</f>
        <v>9</v>
      </c>
      <c r="E1805" t="s">
        <v>7423</v>
      </c>
      <c r="F1805" t="s">
        <v>7424</v>
      </c>
      <c r="G1805" s="23" t="s">
        <v>41</v>
      </c>
      <c r="H1805" s="23" t="s">
        <v>82</v>
      </c>
      <c r="I1805" t="s">
        <v>1330</v>
      </c>
      <c r="J1805" t="s">
        <v>36</v>
      </c>
      <c r="K1805" s="22">
        <v>3</v>
      </c>
      <c r="L1805" s="1">
        <v>42991</v>
      </c>
      <c r="M1805" s="22">
        <f>Table3[[#This Row],[Ship Date]]-Table3[[#This Row],[Order Date]]</f>
        <v>3</v>
      </c>
      <c r="N1805" s="23" t="s">
        <v>169</v>
      </c>
      <c r="O1805" s="23" t="s">
        <v>23</v>
      </c>
      <c r="P1805" s="23" t="s">
        <v>441</v>
      </c>
      <c r="Q1805" s="23" t="s">
        <v>133</v>
      </c>
      <c r="R1805" s="23" t="s">
        <v>706</v>
      </c>
      <c r="S1805" s="33">
        <v>0.2</v>
      </c>
      <c r="T1805" s="13">
        <v>85.055999999999997</v>
      </c>
      <c r="U1805" s="13">
        <v>28.706399999999999</v>
      </c>
      <c r="V1805" s="55">
        <f>Table3[[#This Row],[Profit]]/Table3[[#This Row],[Sales]]</f>
        <v>0.33749999999999997</v>
      </c>
    </row>
    <row r="1806" spans="1:22" x14ac:dyDescent="0.2">
      <c r="A1806">
        <v>1805</v>
      </c>
      <c r="B1806" t="s">
        <v>7795</v>
      </c>
      <c r="C1806" s="1">
        <v>42988</v>
      </c>
      <c r="D1806" s="22">
        <f>MONTH(Table3[[#This Row],[Order Date]])</f>
        <v>9</v>
      </c>
      <c r="E1806" t="s">
        <v>3437</v>
      </c>
      <c r="F1806" t="s">
        <v>3438</v>
      </c>
      <c r="G1806" s="23" t="s">
        <v>41</v>
      </c>
      <c r="H1806" s="23" t="s">
        <v>68</v>
      </c>
      <c r="I1806" t="s">
        <v>7194</v>
      </c>
      <c r="J1806" t="s">
        <v>22</v>
      </c>
      <c r="K1806" s="22">
        <v>1</v>
      </c>
      <c r="L1806" s="1">
        <v>42992</v>
      </c>
      <c r="M1806" s="22">
        <f>Table3[[#This Row],[Ship Date]]-Table3[[#This Row],[Order Date]]</f>
        <v>4</v>
      </c>
      <c r="N1806" s="23" t="s">
        <v>45</v>
      </c>
      <c r="O1806" s="23" t="s">
        <v>23</v>
      </c>
      <c r="P1806" s="23" t="s">
        <v>1125</v>
      </c>
      <c r="Q1806" s="23" t="s">
        <v>26</v>
      </c>
      <c r="R1806" s="23" t="s">
        <v>1537</v>
      </c>
      <c r="S1806" s="33">
        <v>0</v>
      </c>
      <c r="T1806" s="13">
        <v>2.78</v>
      </c>
      <c r="U1806" s="13">
        <v>1.3622000000000001</v>
      </c>
      <c r="V1806" s="55">
        <f>Table3[[#This Row],[Profit]]/Table3[[#This Row],[Sales]]</f>
        <v>0.49000000000000005</v>
      </c>
    </row>
    <row r="1807" spans="1:22" x14ac:dyDescent="0.2">
      <c r="A1807">
        <v>1806</v>
      </c>
      <c r="B1807" t="s">
        <v>8376</v>
      </c>
      <c r="C1807" s="1">
        <v>42988</v>
      </c>
      <c r="D1807" s="22">
        <f>MONTH(Table3[[#This Row],[Order Date]])</f>
        <v>9</v>
      </c>
      <c r="E1807" t="s">
        <v>415</v>
      </c>
      <c r="F1807" t="s">
        <v>416</v>
      </c>
      <c r="G1807" s="23" t="s">
        <v>64</v>
      </c>
      <c r="H1807" s="23" t="s">
        <v>144</v>
      </c>
      <c r="I1807" t="s">
        <v>3382</v>
      </c>
      <c r="J1807" t="s">
        <v>22</v>
      </c>
      <c r="K1807" s="22">
        <v>4</v>
      </c>
      <c r="L1807" s="1">
        <v>42995</v>
      </c>
      <c r="M1807" s="22">
        <f>Table3[[#This Row],[Ship Date]]-Table3[[#This Row],[Order Date]]</f>
        <v>7</v>
      </c>
      <c r="N1807" s="23" t="s">
        <v>45</v>
      </c>
      <c r="O1807" s="23" t="s">
        <v>23</v>
      </c>
      <c r="P1807" s="23" t="s">
        <v>441</v>
      </c>
      <c r="Q1807" s="23" t="s">
        <v>133</v>
      </c>
      <c r="R1807" s="23" t="s">
        <v>284</v>
      </c>
      <c r="S1807" s="33">
        <v>0.2</v>
      </c>
      <c r="T1807" s="13">
        <v>37.055999999999997</v>
      </c>
      <c r="U1807" s="13">
        <v>8.8008000000000006</v>
      </c>
      <c r="V1807" s="55">
        <f>Table3[[#This Row],[Profit]]/Table3[[#This Row],[Sales]]</f>
        <v>0.23750000000000004</v>
      </c>
    </row>
    <row r="1808" spans="1:22" x14ac:dyDescent="0.2">
      <c r="A1808">
        <v>1807</v>
      </c>
      <c r="B1808" t="s">
        <v>8376</v>
      </c>
      <c r="C1808" s="1">
        <v>42988</v>
      </c>
      <c r="D1808" s="22">
        <f>MONTH(Table3[[#This Row],[Order Date]])</f>
        <v>9</v>
      </c>
      <c r="E1808" t="s">
        <v>3523</v>
      </c>
      <c r="F1808" t="s">
        <v>3524</v>
      </c>
      <c r="G1808" s="23" t="s">
        <v>64</v>
      </c>
      <c r="H1808" s="23" t="s">
        <v>65</v>
      </c>
      <c r="I1808" t="s">
        <v>3382</v>
      </c>
      <c r="J1808" t="s">
        <v>22</v>
      </c>
      <c r="K1808" s="22">
        <v>2</v>
      </c>
      <c r="L1808" s="1">
        <v>42995</v>
      </c>
      <c r="M1808" s="22">
        <f>Table3[[#This Row],[Ship Date]]-Table3[[#This Row],[Order Date]]</f>
        <v>7</v>
      </c>
      <c r="N1808" s="23" t="s">
        <v>45</v>
      </c>
      <c r="O1808" s="23" t="s">
        <v>23</v>
      </c>
      <c r="P1808" s="23" t="s">
        <v>441</v>
      </c>
      <c r="Q1808" s="23" t="s">
        <v>133</v>
      </c>
      <c r="R1808" s="23" t="s">
        <v>284</v>
      </c>
      <c r="S1808" s="33">
        <v>0.4</v>
      </c>
      <c r="T1808" s="13">
        <v>259.89600000000002</v>
      </c>
      <c r="U1808" s="13">
        <v>-56.3108</v>
      </c>
      <c r="V1808" s="55">
        <f>Table3[[#This Row],[Profit]]/Table3[[#This Row],[Sales]]</f>
        <v>-0.21666666666666665</v>
      </c>
    </row>
    <row r="1809" spans="1:22" x14ac:dyDescent="0.2">
      <c r="A1809">
        <v>1808</v>
      </c>
      <c r="B1809" t="s">
        <v>1658</v>
      </c>
      <c r="C1809" s="1">
        <v>42989</v>
      </c>
      <c r="D1809" s="22">
        <f>MONTH(Table3[[#This Row],[Order Date]])</f>
        <v>9</v>
      </c>
      <c r="E1809" t="s">
        <v>1659</v>
      </c>
      <c r="F1809" t="s">
        <v>1660</v>
      </c>
      <c r="G1809" s="23" t="s">
        <v>28</v>
      </c>
      <c r="H1809" s="23" t="s">
        <v>58</v>
      </c>
      <c r="I1809" t="s">
        <v>439</v>
      </c>
      <c r="J1809" t="s">
        <v>22</v>
      </c>
      <c r="K1809" s="22">
        <v>1</v>
      </c>
      <c r="L1809" s="1">
        <v>42990</v>
      </c>
      <c r="M1809" s="22">
        <f>Table3[[#This Row],[Ship Date]]-Table3[[#This Row],[Order Date]]</f>
        <v>1</v>
      </c>
      <c r="N1809" s="23" t="s">
        <v>169</v>
      </c>
      <c r="O1809" s="23" t="s">
        <v>23</v>
      </c>
      <c r="P1809" s="23" t="s">
        <v>48</v>
      </c>
      <c r="Q1809" s="23" t="s">
        <v>26</v>
      </c>
      <c r="R1809" s="23" t="s">
        <v>1345</v>
      </c>
      <c r="S1809" s="33">
        <v>0.2</v>
      </c>
      <c r="T1809" s="13">
        <v>34.503999999999998</v>
      </c>
      <c r="U1809" s="13">
        <v>6.0381999999999998</v>
      </c>
      <c r="V1809" s="55">
        <f>Table3[[#This Row],[Profit]]/Table3[[#This Row],[Sales]]</f>
        <v>0.17500000000000002</v>
      </c>
    </row>
    <row r="1810" spans="1:22" x14ac:dyDescent="0.2">
      <c r="A1810">
        <v>1809</v>
      </c>
      <c r="B1810" t="s">
        <v>5425</v>
      </c>
      <c r="C1810" s="1">
        <v>42989</v>
      </c>
      <c r="D1810" s="22">
        <f>MONTH(Table3[[#This Row],[Order Date]])</f>
        <v>9</v>
      </c>
      <c r="E1810" t="s">
        <v>2689</v>
      </c>
      <c r="F1810" t="s">
        <v>2690</v>
      </c>
      <c r="G1810" s="23" t="s">
        <v>41</v>
      </c>
      <c r="H1810" s="23" t="s">
        <v>82</v>
      </c>
      <c r="I1810" t="s">
        <v>4982</v>
      </c>
      <c r="J1810" t="s">
        <v>92</v>
      </c>
      <c r="K1810" s="22">
        <v>7</v>
      </c>
      <c r="L1810" s="1">
        <v>42993</v>
      </c>
      <c r="M1810" s="22">
        <f>Table3[[#This Row],[Ship Date]]-Table3[[#This Row],[Order Date]]</f>
        <v>4</v>
      </c>
      <c r="N1810" s="23" t="s">
        <v>45</v>
      </c>
      <c r="O1810" s="23" t="s">
        <v>23</v>
      </c>
      <c r="P1810" s="23" t="s">
        <v>1125</v>
      </c>
      <c r="Q1810" s="23" t="s">
        <v>26</v>
      </c>
      <c r="R1810" s="23" t="s">
        <v>440</v>
      </c>
      <c r="S1810" s="33">
        <v>0</v>
      </c>
      <c r="T1810" s="13">
        <v>184.66</v>
      </c>
      <c r="U1810" s="13">
        <v>84.943600000000004</v>
      </c>
      <c r="V1810" s="55">
        <f>Table3[[#This Row],[Profit]]/Table3[[#This Row],[Sales]]</f>
        <v>0.46</v>
      </c>
    </row>
    <row r="1811" spans="1:22" x14ac:dyDescent="0.2">
      <c r="A1811">
        <v>1810</v>
      </c>
      <c r="B1811" t="s">
        <v>5571</v>
      </c>
      <c r="C1811" s="1">
        <v>42989</v>
      </c>
      <c r="D1811" s="22">
        <f>MONTH(Table3[[#This Row],[Order Date]])</f>
        <v>9</v>
      </c>
      <c r="E1811" t="s">
        <v>2957</v>
      </c>
      <c r="F1811" t="s">
        <v>2958</v>
      </c>
      <c r="G1811" s="23" t="s">
        <v>41</v>
      </c>
      <c r="H1811" s="23" t="s">
        <v>82</v>
      </c>
      <c r="I1811" t="s">
        <v>4524</v>
      </c>
      <c r="J1811" t="s">
        <v>92</v>
      </c>
      <c r="K1811" s="22">
        <v>2</v>
      </c>
      <c r="L1811" s="1">
        <v>42990</v>
      </c>
      <c r="M1811" s="22">
        <f>Table3[[#This Row],[Ship Date]]-Table3[[#This Row],[Order Date]]</f>
        <v>1</v>
      </c>
      <c r="N1811" s="23" t="s">
        <v>1141</v>
      </c>
      <c r="O1811" s="23" t="s">
        <v>23</v>
      </c>
      <c r="P1811" s="23" t="s">
        <v>38</v>
      </c>
      <c r="Q1811" s="23" t="s">
        <v>39</v>
      </c>
      <c r="R1811" s="23" t="s">
        <v>1037</v>
      </c>
      <c r="S1811" s="33">
        <v>0</v>
      </c>
      <c r="T1811" s="13">
        <v>12.96</v>
      </c>
      <c r="U1811" s="13">
        <v>6.2207999999999997</v>
      </c>
      <c r="V1811" s="55">
        <f>Table3[[#This Row],[Profit]]/Table3[[#This Row],[Sales]]</f>
        <v>0.47999999999999993</v>
      </c>
    </row>
    <row r="1812" spans="1:22" x14ac:dyDescent="0.2">
      <c r="A1812">
        <v>1811</v>
      </c>
      <c r="B1812" t="s">
        <v>5571</v>
      </c>
      <c r="C1812" s="1">
        <v>42989</v>
      </c>
      <c r="D1812" s="22">
        <f>MONTH(Table3[[#This Row],[Order Date]])</f>
        <v>9</v>
      </c>
      <c r="E1812" t="s">
        <v>5572</v>
      </c>
      <c r="F1812" t="s">
        <v>5573</v>
      </c>
      <c r="G1812" s="23" t="s">
        <v>41</v>
      </c>
      <c r="H1812" s="23" t="s">
        <v>155</v>
      </c>
      <c r="I1812" t="s">
        <v>4524</v>
      </c>
      <c r="J1812" t="s">
        <v>92</v>
      </c>
      <c r="K1812" s="22">
        <v>2</v>
      </c>
      <c r="L1812" s="1">
        <v>42990</v>
      </c>
      <c r="M1812" s="22">
        <f>Table3[[#This Row],[Ship Date]]-Table3[[#This Row],[Order Date]]</f>
        <v>1</v>
      </c>
      <c r="N1812" s="23" t="s">
        <v>1141</v>
      </c>
      <c r="O1812" s="23" t="s">
        <v>23</v>
      </c>
      <c r="P1812" s="23" t="s">
        <v>38</v>
      </c>
      <c r="Q1812" s="23" t="s">
        <v>39</v>
      </c>
      <c r="R1812" s="23" t="s">
        <v>1037</v>
      </c>
      <c r="S1812" s="33">
        <v>0</v>
      </c>
      <c r="T1812" s="13">
        <v>22.18</v>
      </c>
      <c r="U1812" s="13">
        <v>10.8682</v>
      </c>
      <c r="V1812" s="55">
        <f>Table3[[#This Row],[Profit]]/Table3[[#This Row],[Sales]]</f>
        <v>0.49</v>
      </c>
    </row>
    <row r="1813" spans="1:22" x14ac:dyDescent="0.2">
      <c r="A1813">
        <v>1812</v>
      </c>
      <c r="B1813" t="s">
        <v>5571</v>
      </c>
      <c r="C1813" s="1">
        <v>42989</v>
      </c>
      <c r="D1813" s="22">
        <f>MONTH(Table3[[#This Row],[Order Date]])</f>
        <v>9</v>
      </c>
      <c r="E1813" t="s">
        <v>5574</v>
      </c>
      <c r="F1813" t="s">
        <v>5575</v>
      </c>
      <c r="G1813" s="23" t="s">
        <v>28</v>
      </c>
      <c r="H1813" s="23" t="s">
        <v>32</v>
      </c>
      <c r="I1813" t="s">
        <v>4524</v>
      </c>
      <c r="J1813" t="s">
        <v>92</v>
      </c>
      <c r="K1813" s="22">
        <v>8</v>
      </c>
      <c r="L1813" s="1">
        <v>42990</v>
      </c>
      <c r="M1813" s="22">
        <f>Table3[[#This Row],[Ship Date]]-Table3[[#This Row],[Order Date]]</f>
        <v>1</v>
      </c>
      <c r="N1813" s="23" t="s">
        <v>1141</v>
      </c>
      <c r="O1813" s="23" t="s">
        <v>23</v>
      </c>
      <c r="P1813" s="23" t="s">
        <v>38</v>
      </c>
      <c r="Q1813" s="23" t="s">
        <v>39</v>
      </c>
      <c r="R1813" s="23" t="s">
        <v>1037</v>
      </c>
      <c r="S1813" s="33">
        <v>0.2</v>
      </c>
      <c r="T1813" s="13">
        <v>2054.2719999999999</v>
      </c>
      <c r="U1813" s="13">
        <v>256.78399999999999</v>
      </c>
      <c r="V1813" s="55">
        <f>Table3[[#This Row],[Profit]]/Table3[[#This Row],[Sales]]</f>
        <v>0.125</v>
      </c>
    </row>
    <row r="1814" spans="1:22" x14ac:dyDescent="0.2">
      <c r="A1814">
        <v>1813</v>
      </c>
      <c r="B1814" t="s">
        <v>6711</v>
      </c>
      <c r="C1814" s="1">
        <v>42989</v>
      </c>
      <c r="D1814" s="22">
        <f>MONTH(Table3[[#This Row],[Order Date]])</f>
        <v>9</v>
      </c>
      <c r="E1814" t="s">
        <v>4801</v>
      </c>
      <c r="F1814" t="s">
        <v>4802</v>
      </c>
      <c r="G1814" s="23" t="s">
        <v>41</v>
      </c>
      <c r="H1814" s="23" t="s">
        <v>240</v>
      </c>
      <c r="I1814" t="s">
        <v>532</v>
      </c>
      <c r="J1814" t="s">
        <v>22</v>
      </c>
      <c r="K1814" s="22">
        <v>4</v>
      </c>
      <c r="L1814" s="1">
        <v>42991</v>
      </c>
      <c r="M1814" s="22">
        <f>Table3[[#This Row],[Ship Date]]-Table3[[#This Row],[Order Date]]</f>
        <v>2</v>
      </c>
      <c r="N1814" s="23" t="s">
        <v>20</v>
      </c>
      <c r="O1814" s="23" t="s">
        <v>23</v>
      </c>
      <c r="P1814" s="23" t="s">
        <v>189</v>
      </c>
      <c r="Q1814" s="23" t="s">
        <v>95</v>
      </c>
      <c r="R1814" s="23" t="s">
        <v>271</v>
      </c>
      <c r="S1814" s="33">
        <v>0.2</v>
      </c>
      <c r="T1814" s="13">
        <v>10.528</v>
      </c>
      <c r="U1814" s="13">
        <v>3.29</v>
      </c>
      <c r="V1814" s="55">
        <f>Table3[[#This Row],[Profit]]/Table3[[#This Row],[Sales]]</f>
        <v>0.3125</v>
      </c>
    </row>
    <row r="1815" spans="1:22" x14ac:dyDescent="0.2">
      <c r="A1815">
        <v>1814</v>
      </c>
      <c r="B1815" t="s">
        <v>6711</v>
      </c>
      <c r="C1815" s="1">
        <v>42989</v>
      </c>
      <c r="D1815" s="22">
        <f>MONTH(Table3[[#This Row],[Order Date]])</f>
        <v>9</v>
      </c>
      <c r="E1815" t="s">
        <v>2162</v>
      </c>
      <c r="F1815" t="s">
        <v>2163</v>
      </c>
      <c r="G1815" s="23" t="s">
        <v>41</v>
      </c>
      <c r="H1815" s="23" t="s">
        <v>82</v>
      </c>
      <c r="I1815" t="s">
        <v>532</v>
      </c>
      <c r="J1815" t="s">
        <v>22</v>
      </c>
      <c r="K1815" s="22">
        <v>6</v>
      </c>
      <c r="L1815" s="1">
        <v>42991</v>
      </c>
      <c r="M1815" s="22">
        <f>Table3[[#This Row],[Ship Date]]-Table3[[#This Row],[Order Date]]</f>
        <v>2</v>
      </c>
      <c r="N1815" s="23" t="s">
        <v>20</v>
      </c>
      <c r="O1815" s="23" t="s">
        <v>23</v>
      </c>
      <c r="P1815" s="23" t="s">
        <v>189</v>
      </c>
      <c r="Q1815" s="23" t="s">
        <v>95</v>
      </c>
      <c r="R1815" s="23" t="s">
        <v>271</v>
      </c>
      <c r="S1815" s="33">
        <v>0.2</v>
      </c>
      <c r="T1815" s="13">
        <v>20.544</v>
      </c>
      <c r="U1815" s="13">
        <v>6.42</v>
      </c>
      <c r="V1815" s="55">
        <f>Table3[[#This Row],[Profit]]/Table3[[#This Row],[Sales]]</f>
        <v>0.3125</v>
      </c>
    </row>
    <row r="1816" spans="1:22" x14ac:dyDescent="0.2">
      <c r="A1816">
        <v>1815</v>
      </c>
      <c r="B1816" t="s">
        <v>7354</v>
      </c>
      <c r="C1816" s="1">
        <v>42989</v>
      </c>
      <c r="D1816" s="22">
        <f>MONTH(Table3[[#This Row],[Order Date]])</f>
        <v>9</v>
      </c>
      <c r="E1816" t="s">
        <v>310</v>
      </c>
      <c r="F1816" t="s">
        <v>311</v>
      </c>
      <c r="G1816" s="23" t="s">
        <v>28</v>
      </c>
      <c r="H1816" s="23" t="s">
        <v>58</v>
      </c>
      <c r="I1816" t="s">
        <v>686</v>
      </c>
      <c r="J1816" t="s">
        <v>22</v>
      </c>
      <c r="K1816" s="22">
        <v>4</v>
      </c>
      <c r="L1816" s="1">
        <v>42989</v>
      </c>
      <c r="M1816" s="22">
        <f>Table3[[#This Row],[Ship Date]]-Table3[[#This Row],[Order Date]]</f>
        <v>0</v>
      </c>
      <c r="N1816" s="23" t="s">
        <v>1141</v>
      </c>
      <c r="O1816" s="23" t="s">
        <v>23</v>
      </c>
      <c r="P1816" s="23" t="s">
        <v>38</v>
      </c>
      <c r="Q1816" s="23" t="s">
        <v>39</v>
      </c>
      <c r="R1816" s="23" t="s">
        <v>114</v>
      </c>
      <c r="S1816" s="33">
        <v>0</v>
      </c>
      <c r="T1816" s="13">
        <v>32.36</v>
      </c>
      <c r="U1816" s="13">
        <v>11.6496</v>
      </c>
      <c r="V1816" s="55">
        <f>Table3[[#This Row],[Profit]]/Table3[[#This Row],[Sales]]</f>
        <v>0.36</v>
      </c>
    </row>
    <row r="1817" spans="1:22" x14ac:dyDescent="0.2">
      <c r="A1817">
        <v>1816</v>
      </c>
      <c r="B1817" t="s">
        <v>7354</v>
      </c>
      <c r="C1817" s="1">
        <v>42989</v>
      </c>
      <c r="D1817" s="22">
        <f>MONTH(Table3[[#This Row],[Order Date]])</f>
        <v>9</v>
      </c>
      <c r="E1817" t="s">
        <v>2483</v>
      </c>
      <c r="F1817" t="s">
        <v>2484</v>
      </c>
      <c r="G1817" s="23" t="s">
        <v>41</v>
      </c>
      <c r="H1817" s="23" t="s">
        <v>71</v>
      </c>
      <c r="I1817" t="s">
        <v>686</v>
      </c>
      <c r="J1817" t="s">
        <v>22</v>
      </c>
      <c r="K1817" s="22">
        <v>5</v>
      </c>
      <c r="L1817" s="1">
        <v>42989</v>
      </c>
      <c r="M1817" s="22">
        <f>Table3[[#This Row],[Ship Date]]-Table3[[#This Row],[Order Date]]</f>
        <v>0</v>
      </c>
      <c r="N1817" s="23" t="s">
        <v>1141</v>
      </c>
      <c r="O1817" s="23" t="s">
        <v>23</v>
      </c>
      <c r="P1817" s="23" t="s">
        <v>38</v>
      </c>
      <c r="Q1817" s="23" t="s">
        <v>39</v>
      </c>
      <c r="R1817" s="23" t="s">
        <v>114</v>
      </c>
      <c r="S1817" s="33">
        <v>0</v>
      </c>
      <c r="T1817" s="13">
        <v>406.6</v>
      </c>
      <c r="U1817" s="13">
        <v>113.848</v>
      </c>
      <c r="V1817" s="55">
        <f>Table3[[#This Row],[Profit]]/Table3[[#This Row],[Sales]]</f>
        <v>0.27999999999999997</v>
      </c>
    </row>
    <row r="1818" spans="1:22" x14ac:dyDescent="0.2">
      <c r="A1818">
        <v>1817</v>
      </c>
      <c r="B1818" t="s">
        <v>7994</v>
      </c>
      <c r="C1818" s="1">
        <v>42989</v>
      </c>
      <c r="D1818" s="22">
        <f>MONTH(Table3[[#This Row],[Order Date]])</f>
        <v>9</v>
      </c>
      <c r="E1818" t="s">
        <v>2184</v>
      </c>
      <c r="F1818" t="s">
        <v>2185</v>
      </c>
      <c r="G1818" s="23" t="s">
        <v>28</v>
      </c>
      <c r="H1818" s="23" t="s">
        <v>32</v>
      </c>
      <c r="I1818" t="s">
        <v>1710</v>
      </c>
      <c r="J1818" t="s">
        <v>22</v>
      </c>
      <c r="K1818" s="22">
        <v>2</v>
      </c>
      <c r="L1818" s="1">
        <v>42989</v>
      </c>
      <c r="M1818" s="22">
        <f>Table3[[#This Row],[Ship Date]]-Table3[[#This Row],[Order Date]]</f>
        <v>0</v>
      </c>
      <c r="N1818" s="23" t="s">
        <v>1141</v>
      </c>
      <c r="O1818" s="23" t="s">
        <v>23</v>
      </c>
      <c r="P1818" s="23" t="s">
        <v>87</v>
      </c>
      <c r="Q1818" s="23" t="s">
        <v>39</v>
      </c>
      <c r="R1818" s="23" t="s">
        <v>86</v>
      </c>
      <c r="S1818" s="33">
        <v>0.2</v>
      </c>
      <c r="T1818" s="13">
        <v>177.56800000000001</v>
      </c>
      <c r="U1818" s="13">
        <v>8.8783999999999992</v>
      </c>
      <c r="V1818" s="55">
        <f>Table3[[#This Row],[Profit]]/Table3[[#This Row],[Sales]]</f>
        <v>4.9999999999999989E-2</v>
      </c>
    </row>
    <row r="1819" spans="1:22" x14ac:dyDescent="0.2">
      <c r="A1819">
        <v>1818</v>
      </c>
      <c r="B1819" t="s">
        <v>7994</v>
      </c>
      <c r="C1819" s="1">
        <v>42989</v>
      </c>
      <c r="D1819" s="22">
        <f>MONTH(Table3[[#This Row],[Order Date]])</f>
        <v>9</v>
      </c>
      <c r="E1819" t="s">
        <v>1747</v>
      </c>
      <c r="F1819" t="s">
        <v>1748</v>
      </c>
      <c r="G1819" s="23" t="s">
        <v>41</v>
      </c>
      <c r="H1819" s="23" t="s">
        <v>82</v>
      </c>
      <c r="I1819" t="s">
        <v>1710</v>
      </c>
      <c r="J1819" t="s">
        <v>22</v>
      </c>
      <c r="K1819" s="22">
        <v>3</v>
      </c>
      <c r="L1819" s="1">
        <v>42989</v>
      </c>
      <c r="M1819" s="22">
        <f>Table3[[#This Row],[Ship Date]]-Table3[[#This Row],[Order Date]]</f>
        <v>0</v>
      </c>
      <c r="N1819" s="23" t="s">
        <v>1141</v>
      </c>
      <c r="O1819" s="23" t="s">
        <v>23</v>
      </c>
      <c r="P1819" s="23" t="s">
        <v>87</v>
      </c>
      <c r="Q1819" s="23" t="s">
        <v>39</v>
      </c>
      <c r="R1819" s="23" t="s">
        <v>86</v>
      </c>
      <c r="S1819" s="33">
        <v>0</v>
      </c>
      <c r="T1819" s="13">
        <v>19.440000000000001</v>
      </c>
      <c r="U1819" s="13">
        <v>9.3312000000000008</v>
      </c>
      <c r="V1819" s="55">
        <f>Table3[[#This Row],[Profit]]/Table3[[#This Row],[Sales]]</f>
        <v>0.48000000000000004</v>
      </c>
    </row>
    <row r="1820" spans="1:22" x14ac:dyDescent="0.2">
      <c r="A1820">
        <v>1819</v>
      </c>
      <c r="B1820" t="s">
        <v>7994</v>
      </c>
      <c r="C1820" s="1">
        <v>42989</v>
      </c>
      <c r="D1820" s="22">
        <f>MONTH(Table3[[#This Row],[Order Date]])</f>
        <v>9</v>
      </c>
      <c r="E1820" t="s">
        <v>1749</v>
      </c>
      <c r="F1820" t="s">
        <v>1750</v>
      </c>
      <c r="G1820" s="23" t="s">
        <v>41</v>
      </c>
      <c r="H1820" s="23" t="s">
        <v>82</v>
      </c>
      <c r="I1820" t="s">
        <v>1710</v>
      </c>
      <c r="J1820" t="s">
        <v>22</v>
      </c>
      <c r="K1820" s="22">
        <v>11</v>
      </c>
      <c r="L1820" s="1">
        <v>42989</v>
      </c>
      <c r="M1820" s="22">
        <f>Table3[[#This Row],[Ship Date]]-Table3[[#This Row],[Order Date]]</f>
        <v>0</v>
      </c>
      <c r="N1820" s="23" t="s">
        <v>1141</v>
      </c>
      <c r="O1820" s="23" t="s">
        <v>23</v>
      </c>
      <c r="P1820" s="23" t="s">
        <v>87</v>
      </c>
      <c r="Q1820" s="23" t="s">
        <v>39</v>
      </c>
      <c r="R1820" s="23" t="s">
        <v>86</v>
      </c>
      <c r="S1820" s="33">
        <v>0</v>
      </c>
      <c r="T1820" s="13">
        <v>71.28</v>
      </c>
      <c r="U1820" s="13">
        <v>34.214399999999998</v>
      </c>
      <c r="V1820" s="55">
        <f>Table3[[#This Row],[Profit]]/Table3[[#This Row],[Sales]]</f>
        <v>0.48</v>
      </c>
    </row>
    <row r="1821" spans="1:22" x14ac:dyDescent="0.2">
      <c r="A1821">
        <v>1820</v>
      </c>
      <c r="B1821" t="s">
        <v>7994</v>
      </c>
      <c r="C1821" s="1">
        <v>42989</v>
      </c>
      <c r="D1821" s="22">
        <f>MONTH(Table3[[#This Row],[Order Date]])</f>
        <v>9</v>
      </c>
      <c r="E1821" t="s">
        <v>5683</v>
      </c>
      <c r="F1821" t="s">
        <v>5684</v>
      </c>
      <c r="G1821" s="23" t="s">
        <v>41</v>
      </c>
      <c r="H1821" s="23" t="s">
        <v>68</v>
      </c>
      <c r="I1821" t="s">
        <v>1710</v>
      </c>
      <c r="J1821" t="s">
        <v>22</v>
      </c>
      <c r="K1821" s="22">
        <v>5</v>
      </c>
      <c r="L1821" s="1">
        <v>42989</v>
      </c>
      <c r="M1821" s="22">
        <f>Table3[[#This Row],[Ship Date]]-Table3[[#This Row],[Order Date]]</f>
        <v>0</v>
      </c>
      <c r="N1821" s="23" t="s">
        <v>1141</v>
      </c>
      <c r="O1821" s="23" t="s">
        <v>23</v>
      </c>
      <c r="P1821" s="23" t="s">
        <v>87</v>
      </c>
      <c r="Q1821" s="23" t="s">
        <v>39</v>
      </c>
      <c r="R1821" s="23" t="s">
        <v>86</v>
      </c>
      <c r="S1821" s="33">
        <v>0.2</v>
      </c>
      <c r="T1821" s="13">
        <v>1471.96</v>
      </c>
      <c r="U1821" s="13">
        <v>459.98750000000001</v>
      </c>
      <c r="V1821" s="55">
        <f>Table3[[#This Row],[Profit]]/Table3[[#This Row],[Sales]]</f>
        <v>0.3125</v>
      </c>
    </row>
    <row r="1822" spans="1:22" x14ac:dyDescent="0.2">
      <c r="A1822">
        <v>1821</v>
      </c>
      <c r="B1822" t="s">
        <v>7994</v>
      </c>
      <c r="C1822" s="1">
        <v>42989</v>
      </c>
      <c r="D1822" s="22">
        <f>MONTH(Table3[[#This Row],[Order Date]])</f>
        <v>9</v>
      </c>
      <c r="E1822" t="s">
        <v>7995</v>
      </c>
      <c r="F1822" t="s">
        <v>7996</v>
      </c>
      <c r="G1822" s="23" t="s">
        <v>64</v>
      </c>
      <c r="H1822" s="23" t="s">
        <v>65</v>
      </c>
      <c r="I1822" t="s">
        <v>1710</v>
      </c>
      <c r="J1822" t="s">
        <v>22</v>
      </c>
      <c r="K1822" s="22">
        <v>5</v>
      </c>
      <c r="L1822" s="1">
        <v>42989</v>
      </c>
      <c r="M1822" s="22">
        <f>Table3[[#This Row],[Ship Date]]-Table3[[#This Row],[Order Date]]</f>
        <v>0</v>
      </c>
      <c r="N1822" s="23" t="s">
        <v>1141</v>
      </c>
      <c r="O1822" s="23" t="s">
        <v>23</v>
      </c>
      <c r="P1822" s="23" t="s">
        <v>87</v>
      </c>
      <c r="Q1822" s="23" t="s">
        <v>39</v>
      </c>
      <c r="R1822" s="23" t="s">
        <v>86</v>
      </c>
      <c r="S1822" s="33">
        <v>0.2</v>
      </c>
      <c r="T1822" s="13">
        <v>79.959999999999994</v>
      </c>
      <c r="U1822" s="13">
        <v>-17.991</v>
      </c>
      <c r="V1822" s="55">
        <f>Table3[[#This Row],[Profit]]/Table3[[#This Row],[Sales]]</f>
        <v>-0.22500000000000001</v>
      </c>
    </row>
    <row r="1823" spans="1:22" x14ac:dyDescent="0.2">
      <c r="A1823">
        <v>1822</v>
      </c>
      <c r="B1823" t="s">
        <v>8731</v>
      </c>
      <c r="C1823" s="1">
        <v>42989</v>
      </c>
      <c r="D1823" s="22">
        <f>MONTH(Table3[[#This Row],[Order Date]])</f>
        <v>9</v>
      </c>
      <c r="E1823" t="s">
        <v>5327</v>
      </c>
      <c r="F1823" t="s">
        <v>5328</v>
      </c>
      <c r="G1823" s="23" t="s">
        <v>41</v>
      </c>
      <c r="H1823" s="23" t="s">
        <v>82</v>
      </c>
      <c r="I1823" t="s">
        <v>5763</v>
      </c>
      <c r="J1823" t="s">
        <v>22</v>
      </c>
      <c r="K1823" s="22">
        <v>3</v>
      </c>
      <c r="L1823" s="1">
        <v>42994</v>
      </c>
      <c r="M1823" s="22">
        <f>Table3[[#This Row],[Ship Date]]-Table3[[#This Row],[Order Date]]</f>
        <v>5</v>
      </c>
      <c r="N1823" s="23" t="s">
        <v>45</v>
      </c>
      <c r="O1823" s="23" t="s">
        <v>23</v>
      </c>
      <c r="P1823" s="23" t="s">
        <v>94</v>
      </c>
      <c r="Q1823" s="23" t="s">
        <v>95</v>
      </c>
      <c r="R1823" s="23" t="s">
        <v>165</v>
      </c>
      <c r="S1823" s="33">
        <v>0.2</v>
      </c>
      <c r="T1823" s="13">
        <v>10.272</v>
      </c>
      <c r="U1823" s="13">
        <v>3.21</v>
      </c>
      <c r="V1823" s="55">
        <f>Table3[[#This Row],[Profit]]/Table3[[#This Row],[Sales]]</f>
        <v>0.3125</v>
      </c>
    </row>
    <row r="1824" spans="1:22" x14ac:dyDescent="0.2">
      <c r="A1824">
        <v>1823</v>
      </c>
      <c r="B1824" t="s">
        <v>8731</v>
      </c>
      <c r="C1824" s="1">
        <v>42989</v>
      </c>
      <c r="D1824" s="22">
        <f>MONTH(Table3[[#This Row],[Order Date]])</f>
        <v>9</v>
      </c>
      <c r="E1824" t="s">
        <v>4304</v>
      </c>
      <c r="F1824" t="s">
        <v>4305</v>
      </c>
      <c r="G1824" s="23" t="s">
        <v>28</v>
      </c>
      <c r="H1824" s="23" t="s">
        <v>50</v>
      </c>
      <c r="I1824" t="s">
        <v>5763</v>
      </c>
      <c r="J1824" t="s">
        <v>22</v>
      </c>
      <c r="K1824" s="22">
        <v>5</v>
      </c>
      <c r="L1824" s="1">
        <v>42994</v>
      </c>
      <c r="M1824" s="22">
        <f>Table3[[#This Row],[Ship Date]]-Table3[[#This Row],[Order Date]]</f>
        <v>5</v>
      </c>
      <c r="N1824" s="23" t="s">
        <v>45</v>
      </c>
      <c r="O1824" s="23" t="s">
        <v>23</v>
      </c>
      <c r="P1824" s="23" t="s">
        <v>94</v>
      </c>
      <c r="Q1824" s="23" t="s">
        <v>95</v>
      </c>
      <c r="R1824" s="23" t="s">
        <v>165</v>
      </c>
      <c r="S1824" s="33">
        <v>0.3</v>
      </c>
      <c r="T1824" s="13">
        <v>512.19000000000005</v>
      </c>
      <c r="U1824" s="13">
        <v>-65.852999999999994</v>
      </c>
      <c r="V1824" s="55">
        <f>Table3[[#This Row],[Profit]]/Table3[[#This Row],[Sales]]</f>
        <v>-0.12857142857142856</v>
      </c>
    </row>
    <row r="1825" spans="1:22" x14ac:dyDescent="0.2">
      <c r="A1825">
        <v>1824</v>
      </c>
      <c r="B1825" t="s">
        <v>8731</v>
      </c>
      <c r="C1825" s="1">
        <v>42989</v>
      </c>
      <c r="D1825" s="22">
        <f>MONTH(Table3[[#This Row],[Order Date]])</f>
        <v>9</v>
      </c>
      <c r="E1825" t="s">
        <v>3609</v>
      </c>
      <c r="F1825" t="s">
        <v>3610</v>
      </c>
      <c r="G1825" s="23" t="s">
        <v>41</v>
      </c>
      <c r="H1825" s="23" t="s">
        <v>71</v>
      </c>
      <c r="I1825" t="s">
        <v>5763</v>
      </c>
      <c r="J1825" t="s">
        <v>22</v>
      </c>
      <c r="K1825" s="22">
        <v>2</v>
      </c>
      <c r="L1825" s="1">
        <v>42994</v>
      </c>
      <c r="M1825" s="22">
        <f>Table3[[#This Row],[Ship Date]]-Table3[[#This Row],[Order Date]]</f>
        <v>5</v>
      </c>
      <c r="N1825" s="23" t="s">
        <v>45</v>
      </c>
      <c r="O1825" s="23" t="s">
        <v>23</v>
      </c>
      <c r="P1825" s="23" t="s">
        <v>94</v>
      </c>
      <c r="Q1825" s="23" t="s">
        <v>95</v>
      </c>
      <c r="R1825" s="23" t="s">
        <v>165</v>
      </c>
      <c r="S1825" s="33">
        <v>0.8</v>
      </c>
      <c r="T1825" s="13">
        <v>1.556</v>
      </c>
      <c r="U1825" s="13">
        <v>-4.2012</v>
      </c>
      <c r="V1825" s="55">
        <f>Table3[[#This Row],[Profit]]/Table3[[#This Row],[Sales]]</f>
        <v>-2.6999999999999997</v>
      </c>
    </row>
    <row r="1826" spans="1:22" x14ac:dyDescent="0.2">
      <c r="A1826">
        <v>1825</v>
      </c>
      <c r="B1826" t="s">
        <v>9632</v>
      </c>
      <c r="C1826" s="1">
        <v>42989</v>
      </c>
      <c r="D1826" s="22">
        <f>MONTH(Table3[[#This Row],[Order Date]])</f>
        <v>9</v>
      </c>
      <c r="E1826" t="s">
        <v>3434</v>
      </c>
      <c r="F1826" t="s">
        <v>3435</v>
      </c>
      <c r="G1826" s="23" t="s">
        <v>64</v>
      </c>
      <c r="H1826" s="23" t="s">
        <v>65</v>
      </c>
      <c r="I1826" t="s">
        <v>1330</v>
      </c>
      <c r="J1826" t="s">
        <v>36</v>
      </c>
      <c r="K1826" s="22">
        <v>6</v>
      </c>
      <c r="L1826" s="1">
        <v>42991</v>
      </c>
      <c r="M1826" s="22">
        <f>Table3[[#This Row],[Ship Date]]-Table3[[#This Row],[Order Date]]</f>
        <v>2</v>
      </c>
      <c r="N1826" s="23" t="s">
        <v>20</v>
      </c>
      <c r="O1826" s="23" t="s">
        <v>23</v>
      </c>
      <c r="P1826" s="23" t="s">
        <v>38</v>
      </c>
      <c r="Q1826" s="23" t="s">
        <v>39</v>
      </c>
      <c r="R1826" s="23" t="s">
        <v>2237</v>
      </c>
      <c r="S1826" s="33">
        <v>0.2</v>
      </c>
      <c r="T1826" s="13">
        <v>143.952</v>
      </c>
      <c r="U1826" s="13">
        <v>17.994</v>
      </c>
      <c r="V1826" s="55">
        <f>Table3[[#This Row],[Profit]]/Table3[[#This Row],[Sales]]</f>
        <v>0.125</v>
      </c>
    </row>
    <row r="1827" spans="1:22" x14ac:dyDescent="0.2">
      <c r="A1827">
        <v>1826</v>
      </c>
      <c r="B1827" t="s">
        <v>9632</v>
      </c>
      <c r="C1827" s="1">
        <v>42989</v>
      </c>
      <c r="D1827" s="22">
        <f>MONTH(Table3[[#This Row],[Order Date]])</f>
        <v>9</v>
      </c>
      <c r="E1827" t="s">
        <v>3506</v>
      </c>
      <c r="F1827" t="s">
        <v>3507</v>
      </c>
      <c r="G1827" s="23" t="s">
        <v>41</v>
      </c>
      <c r="H1827" s="23" t="s">
        <v>82</v>
      </c>
      <c r="I1827" t="s">
        <v>1330</v>
      </c>
      <c r="J1827" t="s">
        <v>36</v>
      </c>
      <c r="K1827" s="22">
        <v>3</v>
      </c>
      <c r="L1827" s="1">
        <v>42991</v>
      </c>
      <c r="M1827" s="22">
        <f>Table3[[#This Row],[Ship Date]]-Table3[[#This Row],[Order Date]]</f>
        <v>2</v>
      </c>
      <c r="N1827" s="23" t="s">
        <v>20</v>
      </c>
      <c r="O1827" s="23" t="s">
        <v>23</v>
      </c>
      <c r="P1827" s="23" t="s">
        <v>38</v>
      </c>
      <c r="Q1827" s="23" t="s">
        <v>39</v>
      </c>
      <c r="R1827" s="23" t="s">
        <v>2237</v>
      </c>
      <c r="S1827" s="33">
        <v>0</v>
      </c>
      <c r="T1827" s="13">
        <v>19.440000000000001</v>
      </c>
      <c r="U1827" s="13">
        <v>9.3312000000000008</v>
      </c>
      <c r="V1827" s="55">
        <f>Table3[[#This Row],[Profit]]/Table3[[#This Row],[Sales]]</f>
        <v>0.48000000000000004</v>
      </c>
    </row>
    <row r="1828" spans="1:22" x14ac:dyDescent="0.2">
      <c r="A1828">
        <v>1827</v>
      </c>
      <c r="B1828" t="s">
        <v>9743</v>
      </c>
      <c r="C1828" s="1">
        <v>42989</v>
      </c>
      <c r="D1828" s="22">
        <f>MONTH(Table3[[#This Row],[Order Date]])</f>
        <v>9</v>
      </c>
      <c r="E1828" t="s">
        <v>8842</v>
      </c>
      <c r="F1828" t="s">
        <v>8843</v>
      </c>
      <c r="G1828" s="23" t="s">
        <v>41</v>
      </c>
      <c r="H1828" s="23" t="s">
        <v>71</v>
      </c>
      <c r="I1828" t="s">
        <v>686</v>
      </c>
      <c r="J1828" t="s">
        <v>22</v>
      </c>
      <c r="K1828" s="22">
        <v>5</v>
      </c>
      <c r="L1828" s="1">
        <v>42993</v>
      </c>
      <c r="M1828" s="22">
        <f>Table3[[#This Row],[Ship Date]]-Table3[[#This Row],[Order Date]]</f>
        <v>4</v>
      </c>
      <c r="N1828" s="23" t="s">
        <v>45</v>
      </c>
      <c r="O1828" s="23" t="s">
        <v>23</v>
      </c>
      <c r="P1828" s="23" t="s">
        <v>285</v>
      </c>
      <c r="Q1828" s="23" t="s">
        <v>26</v>
      </c>
      <c r="R1828" s="23" t="s">
        <v>1294</v>
      </c>
      <c r="S1828" s="33">
        <v>0</v>
      </c>
      <c r="T1828" s="13">
        <v>67.900000000000006</v>
      </c>
      <c r="U1828" s="13">
        <v>20.37</v>
      </c>
      <c r="V1828" s="55">
        <f>Table3[[#This Row],[Profit]]/Table3[[#This Row],[Sales]]</f>
        <v>0.3</v>
      </c>
    </row>
    <row r="1829" spans="1:22" x14ac:dyDescent="0.2">
      <c r="A1829">
        <v>1828</v>
      </c>
      <c r="B1829" t="s">
        <v>9773</v>
      </c>
      <c r="C1829" s="1">
        <v>42989</v>
      </c>
      <c r="D1829" s="22">
        <f>MONTH(Table3[[#This Row],[Order Date]])</f>
        <v>9</v>
      </c>
      <c r="E1829" t="s">
        <v>1424</v>
      </c>
      <c r="F1829" t="s">
        <v>1425</v>
      </c>
      <c r="G1829" s="23" t="s">
        <v>41</v>
      </c>
      <c r="H1829" s="23" t="s">
        <v>71</v>
      </c>
      <c r="I1829" t="s">
        <v>7194</v>
      </c>
      <c r="J1829" t="s">
        <v>22</v>
      </c>
      <c r="K1829" s="22">
        <v>4</v>
      </c>
      <c r="L1829" s="1">
        <v>42991</v>
      </c>
      <c r="M1829" s="22">
        <f>Table3[[#This Row],[Ship Date]]-Table3[[#This Row],[Order Date]]</f>
        <v>2</v>
      </c>
      <c r="N1829" s="23" t="s">
        <v>20</v>
      </c>
      <c r="O1829" s="23" t="s">
        <v>23</v>
      </c>
      <c r="P1829" s="23" t="s">
        <v>25</v>
      </c>
      <c r="Q1829" s="23" t="s">
        <v>26</v>
      </c>
      <c r="R1829" s="23" t="s">
        <v>7217</v>
      </c>
      <c r="S1829" s="33">
        <v>0</v>
      </c>
      <c r="T1829" s="13">
        <v>195.68</v>
      </c>
      <c r="U1829" s="13">
        <v>50.876800000000003</v>
      </c>
      <c r="V1829" s="55">
        <f>Table3[[#This Row],[Profit]]/Table3[[#This Row],[Sales]]</f>
        <v>0.26</v>
      </c>
    </row>
    <row r="1830" spans="1:22" x14ac:dyDescent="0.2">
      <c r="A1830">
        <v>1829</v>
      </c>
      <c r="B1830" t="s">
        <v>9773</v>
      </c>
      <c r="C1830" s="1">
        <v>42989</v>
      </c>
      <c r="D1830" s="22">
        <f>MONTH(Table3[[#This Row],[Order Date]])</f>
        <v>9</v>
      </c>
      <c r="E1830" t="s">
        <v>3693</v>
      </c>
      <c r="F1830" t="s">
        <v>3694</v>
      </c>
      <c r="G1830" s="23" t="s">
        <v>41</v>
      </c>
      <c r="H1830" s="23" t="s">
        <v>240</v>
      </c>
      <c r="I1830" t="s">
        <v>7194</v>
      </c>
      <c r="J1830" t="s">
        <v>22</v>
      </c>
      <c r="K1830" s="22">
        <v>4</v>
      </c>
      <c r="L1830" s="1">
        <v>42991</v>
      </c>
      <c r="M1830" s="22">
        <f>Table3[[#This Row],[Ship Date]]-Table3[[#This Row],[Order Date]]</f>
        <v>2</v>
      </c>
      <c r="N1830" s="23" t="s">
        <v>20</v>
      </c>
      <c r="O1830" s="23" t="s">
        <v>23</v>
      </c>
      <c r="P1830" s="23" t="s">
        <v>25</v>
      </c>
      <c r="Q1830" s="23" t="s">
        <v>26</v>
      </c>
      <c r="R1830" s="23" t="s">
        <v>7217</v>
      </c>
      <c r="S1830" s="33">
        <v>0</v>
      </c>
      <c r="T1830" s="13">
        <v>14.2</v>
      </c>
      <c r="U1830" s="13">
        <v>6.6740000000000004</v>
      </c>
      <c r="V1830" s="55">
        <f>Table3[[#This Row],[Profit]]/Table3[[#This Row],[Sales]]</f>
        <v>0.47000000000000003</v>
      </c>
    </row>
    <row r="1831" spans="1:22" x14ac:dyDescent="0.2">
      <c r="A1831">
        <v>1830</v>
      </c>
      <c r="B1831" t="s">
        <v>3561</v>
      </c>
      <c r="C1831" s="1">
        <v>42990</v>
      </c>
      <c r="D1831" s="22">
        <f>MONTH(Table3[[#This Row],[Order Date]])</f>
        <v>9</v>
      </c>
      <c r="E1831" t="s">
        <v>3490</v>
      </c>
      <c r="F1831" t="s">
        <v>3491</v>
      </c>
      <c r="G1831" s="23" t="s">
        <v>28</v>
      </c>
      <c r="H1831" s="23" t="s">
        <v>58</v>
      </c>
      <c r="I1831" t="s">
        <v>2488</v>
      </c>
      <c r="J1831" t="s">
        <v>22</v>
      </c>
      <c r="K1831" s="22">
        <v>2</v>
      </c>
      <c r="L1831" s="1">
        <v>42993</v>
      </c>
      <c r="M1831" s="22">
        <f>Table3[[#This Row],[Ship Date]]-Table3[[#This Row],[Order Date]]</f>
        <v>3</v>
      </c>
      <c r="N1831" s="23" t="s">
        <v>169</v>
      </c>
      <c r="O1831" s="23" t="s">
        <v>23</v>
      </c>
      <c r="P1831" s="23" t="s">
        <v>38</v>
      </c>
      <c r="Q1831" s="23" t="s">
        <v>39</v>
      </c>
      <c r="R1831" s="23" t="s">
        <v>37</v>
      </c>
      <c r="S1831" s="33">
        <v>0</v>
      </c>
      <c r="T1831" s="13">
        <v>8.36</v>
      </c>
      <c r="U1831" s="13">
        <v>3.0095999999999998</v>
      </c>
      <c r="V1831" s="55">
        <f>Table3[[#This Row],[Profit]]/Table3[[#This Row],[Sales]]</f>
        <v>0.36</v>
      </c>
    </row>
    <row r="1832" spans="1:22" x14ac:dyDescent="0.2">
      <c r="A1832">
        <v>1831</v>
      </c>
      <c r="B1832" t="s">
        <v>4404</v>
      </c>
      <c r="C1832" s="1">
        <v>42990</v>
      </c>
      <c r="D1832" s="22">
        <f>MONTH(Table3[[#This Row],[Order Date]])</f>
        <v>9</v>
      </c>
      <c r="E1832" t="s">
        <v>826</v>
      </c>
      <c r="F1832" t="s">
        <v>827</v>
      </c>
      <c r="G1832" s="23" t="s">
        <v>41</v>
      </c>
      <c r="H1832" s="23" t="s">
        <v>82</v>
      </c>
      <c r="I1832" t="s">
        <v>4405</v>
      </c>
      <c r="J1832" t="s">
        <v>22</v>
      </c>
      <c r="K1832" s="22">
        <v>5</v>
      </c>
      <c r="L1832" s="1">
        <v>42993</v>
      </c>
      <c r="M1832" s="22">
        <f>Table3[[#This Row],[Ship Date]]-Table3[[#This Row],[Order Date]]</f>
        <v>3</v>
      </c>
      <c r="N1832" s="23" t="s">
        <v>169</v>
      </c>
      <c r="O1832" s="23" t="s">
        <v>23</v>
      </c>
      <c r="P1832" s="23" t="s">
        <v>2408</v>
      </c>
      <c r="Q1832" s="23" t="s">
        <v>133</v>
      </c>
      <c r="R1832" s="23" t="s">
        <v>3967</v>
      </c>
      <c r="S1832" s="33">
        <v>0</v>
      </c>
      <c r="T1832" s="13">
        <v>39.9</v>
      </c>
      <c r="U1832" s="13">
        <v>19.95</v>
      </c>
      <c r="V1832" s="55">
        <f>Table3[[#This Row],[Profit]]/Table3[[#This Row],[Sales]]</f>
        <v>0.5</v>
      </c>
    </row>
    <row r="1833" spans="1:22" x14ac:dyDescent="0.2">
      <c r="A1833">
        <v>1832</v>
      </c>
      <c r="B1833" t="s">
        <v>4404</v>
      </c>
      <c r="C1833" s="1">
        <v>42990</v>
      </c>
      <c r="D1833" s="22">
        <f>MONTH(Table3[[#This Row],[Order Date]])</f>
        <v>9</v>
      </c>
      <c r="E1833" t="s">
        <v>388</v>
      </c>
      <c r="F1833" t="s">
        <v>389</v>
      </c>
      <c r="G1833" s="23" t="s">
        <v>41</v>
      </c>
      <c r="H1833" s="23" t="s">
        <v>71</v>
      </c>
      <c r="I1833" t="s">
        <v>4405</v>
      </c>
      <c r="J1833" t="s">
        <v>22</v>
      </c>
      <c r="K1833" s="22">
        <v>7</v>
      </c>
      <c r="L1833" s="1">
        <v>42993</v>
      </c>
      <c r="M1833" s="22">
        <f>Table3[[#This Row],[Ship Date]]-Table3[[#This Row],[Order Date]]</f>
        <v>3</v>
      </c>
      <c r="N1833" s="23" t="s">
        <v>169</v>
      </c>
      <c r="O1833" s="23" t="s">
        <v>23</v>
      </c>
      <c r="P1833" s="23" t="s">
        <v>2408</v>
      </c>
      <c r="Q1833" s="23" t="s">
        <v>133</v>
      </c>
      <c r="R1833" s="23" t="s">
        <v>3967</v>
      </c>
      <c r="S1833" s="33">
        <v>0</v>
      </c>
      <c r="T1833" s="13">
        <v>90.86</v>
      </c>
      <c r="U1833" s="13">
        <v>26.349399999999999</v>
      </c>
      <c r="V1833" s="55">
        <f>Table3[[#This Row],[Profit]]/Table3[[#This Row],[Sales]]</f>
        <v>0.28999999999999998</v>
      </c>
    </row>
    <row r="1834" spans="1:22" x14ac:dyDescent="0.2">
      <c r="A1834">
        <v>1833</v>
      </c>
      <c r="B1834" t="s">
        <v>4404</v>
      </c>
      <c r="C1834" s="1">
        <v>42990</v>
      </c>
      <c r="D1834" s="22">
        <f>MONTH(Table3[[#This Row],[Order Date]])</f>
        <v>9</v>
      </c>
      <c r="E1834" t="s">
        <v>971</v>
      </c>
      <c r="F1834" t="s">
        <v>972</v>
      </c>
      <c r="G1834" s="23" t="s">
        <v>41</v>
      </c>
      <c r="H1834" s="23" t="s">
        <v>82</v>
      </c>
      <c r="I1834" t="s">
        <v>4405</v>
      </c>
      <c r="J1834" t="s">
        <v>22</v>
      </c>
      <c r="K1834" s="22">
        <v>5</v>
      </c>
      <c r="L1834" s="1">
        <v>42993</v>
      </c>
      <c r="M1834" s="22">
        <f>Table3[[#This Row],[Ship Date]]-Table3[[#This Row],[Order Date]]</f>
        <v>3</v>
      </c>
      <c r="N1834" s="23" t="s">
        <v>169</v>
      </c>
      <c r="O1834" s="23" t="s">
        <v>23</v>
      </c>
      <c r="P1834" s="23" t="s">
        <v>2408</v>
      </c>
      <c r="Q1834" s="23" t="s">
        <v>133</v>
      </c>
      <c r="R1834" s="23" t="s">
        <v>3967</v>
      </c>
      <c r="S1834" s="33">
        <v>0</v>
      </c>
      <c r="T1834" s="13">
        <v>94.85</v>
      </c>
      <c r="U1834" s="13">
        <v>45.527999999999999</v>
      </c>
      <c r="V1834" s="55">
        <f>Table3[[#This Row],[Profit]]/Table3[[#This Row],[Sales]]</f>
        <v>0.48000000000000004</v>
      </c>
    </row>
    <row r="1835" spans="1:22" x14ac:dyDescent="0.2">
      <c r="A1835">
        <v>1834</v>
      </c>
      <c r="B1835" t="s">
        <v>7294</v>
      </c>
      <c r="C1835" s="1">
        <v>42990</v>
      </c>
      <c r="D1835" s="22">
        <f>MONTH(Table3[[#This Row],[Order Date]])</f>
        <v>9</v>
      </c>
      <c r="E1835" t="s">
        <v>7259</v>
      </c>
      <c r="F1835" t="s">
        <v>7260</v>
      </c>
      <c r="G1835" s="23" t="s">
        <v>41</v>
      </c>
      <c r="H1835" s="23" t="s">
        <v>82</v>
      </c>
      <c r="I1835" t="s">
        <v>1046</v>
      </c>
      <c r="J1835" t="s">
        <v>36</v>
      </c>
      <c r="K1835" s="22">
        <v>7</v>
      </c>
      <c r="L1835" s="1">
        <v>42993</v>
      </c>
      <c r="M1835" s="22">
        <f>Table3[[#This Row],[Ship Date]]-Table3[[#This Row],[Order Date]]</f>
        <v>3</v>
      </c>
      <c r="N1835" s="23" t="s">
        <v>169</v>
      </c>
      <c r="O1835" s="23" t="s">
        <v>23</v>
      </c>
      <c r="P1835" s="23" t="s">
        <v>1235</v>
      </c>
      <c r="Q1835" s="23" t="s">
        <v>133</v>
      </c>
      <c r="R1835" s="23" t="s">
        <v>6403</v>
      </c>
      <c r="S1835" s="33">
        <v>0</v>
      </c>
      <c r="T1835" s="13">
        <v>45.36</v>
      </c>
      <c r="U1835" s="13">
        <v>21.7728</v>
      </c>
      <c r="V1835" s="55">
        <f>Table3[[#This Row],[Profit]]/Table3[[#This Row],[Sales]]</f>
        <v>0.48</v>
      </c>
    </row>
    <row r="1836" spans="1:22" x14ac:dyDescent="0.2">
      <c r="A1836">
        <v>1835</v>
      </c>
      <c r="B1836" t="s">
        <v>7294</v>
      </c>
      <c r="C1836" s="1">
        <v>42990</v>
      </c>
      <c r="D1836" s="22">
        <f>MONTH(Table3[[#This Row],[Order Date]])</f>
        <v>9</v>
      </c>
      <c r="E1836" t="s">
        <v>2708</v>
      </c>
      <c r="F1836" t="s">
        <v>2709</v>
      </c>
      <c r="G1836" s="23" t="s">
        <v>41</v>
      </c>
      <c r="H1836" s="23" t="s">
        <v>68</v>
      </c>
      <c r="I1836" t="s">
        <v>1046</v>
      </c>
      <c r="J1836" t="s">
        <v>36</v>
      </c>
      <c r="K1836" s="22">
        <v>3</v>
      </c>
      <c r="L1836" s="1">
        <v>42993</v>
      </c>
      <c r="M1836" s="22">
        <f>Table3[[#This Row],[Ship Date]]-Table3[[#This Row],[Order Date]]</f>
        <v>3</v>
      </c>
      <c r="N1836" s="23" t="s">
        <v>169</v>
      </c>
      <c r="O1836" s="23" t="s">
        <v>23</v>
      </c>
      <c r="P1836" s="23" t="s">
        <v>1235</v>
      </c>
      <c r="Q1836" s="23" t="s">
        <v>133</v>
      </c>
      <c r="R1836" s="23" t="s">
        <v>6403</v>
      </c>
      <c r="S1836" s="33">
        <v>0</v>
      </c>
      <c r="T1836" s="13">
        <v>45.78</v>
      </c>
      <c r="U1836" s="13">
        <v>22.89</v>
      </c>
      <c r="V1836" s="55">
        <f>Table3[[#This Row],[Profit]]/Table3[[#This Row],[Sales]]</f>
        <v>0.5</v>
      </c>
    </row>
    <row r="1837" spans="1:22" x14ac:dyDescent="0.2">
      <c r="A1837">
        <v>1836</v>
      </c>
      <c r="B1837" t="s">
        <v>7319</v>
      </c>
      <c r="C1837" s="1">
        <v>42990</v>
      </c>
      <c r="D1837" s="22">
        <f>MONTH(Table3[[#This Row],[Order Date]])</f>
        <v>9</v>
      </c>
      <c r="E1837" t="s">
        <v>1439</v>
      </c>
      <c r="F1837" t="s">
        <v>1440</v>
      </c>
      <c r="G1837" s="23" t="s">
        <v>41</v>
      </c>
      <c r="H1837" s="23" t="s">
        <v>82</v>
      </c>
      <c r="I1837" t="s">
        <v>4953</v>
      </c>
      <c r="J1837" t="s">
        <v>22</v>
      </c>
      <c r="K1837" s="22">
        <v>3</v>
      </c>
      <c r="L1837" s="1">
        <v>42995</v>
      </c>
      <c r="M1837" s="22">
        <f>Table3[[#This Row],[Ship Date]]-Table3[[#This Row],[Order Date]]</f>
        <v>5</v>
      </c>
      <c r="N1837" s="23" t="s">
        <v>20</v>
      </c>
      <c r="O1837" s="23" t="s">
        <v>23</v>
      </c>
      <c r="P1837" s="23" t="s">
        <v>38</v>
      </c>
      <c r="Q1837" s="23" t="s">
        <v>39</v>
      </c>
      <c r="R1837" s="23" t="s">
        <v>37</v>
      </c>
      <c r="S1837" s="33">
        <v>0</v>
      </c>
      <c r="T1837" s="13">
        <v>166.44</v>
      </c>
      <c r="U1837" s="13">
        <v>79.891199999999998</v>
      </c>
      <c r="V1837" s="55">
        <f>Table3[[#This Row],[Profit]]/Table3[[#This Row],[Sales]]</f>
        <v>0.48</v>
      </c>
    </row>
    <row r="1838" spans="1:22" x14ac:dyDescent="0.2">
      <c r="A1838">
        <v>1837</v>
      </c>
      <c r="B1838" t="s">
        <v>8812</v>
      </c>
      <c r="C1838" s="1">
        <v>42991</v>
      </c>
      <c r="D1838" s="22">
        <f>MONTH(Table3[[#This Row],[Order Date]])</f>
        <v>9</v>
      </c>
      <c r="E1838" t="s">
        <v>2416</v>
      </c>
      <c r="F1838" t="s">
        <v>2417</v>
      </c>
      <c r="G1838" s="23" t="s">
        <v>41</v>
      </c>
      <c r="H1838" s="23" t="s">
        <v>61</v>
      </c>
      <c r="I1838" t="s">
        <v>4827</v>
      </c>
      <c r="J1838" t="s">
        <v>22</v>
      </c>
      <c r="K1838" s="22">
        <v>5</v>
      </c>
      <c r="L1838" s="1">
        <v>42997</v>
      </c>
      <c r="M1838" s="22">
        <f>Table3[[#This Row],[Ship Date]]-Table3[[#This Row],[Order Date]]</f>
        <v>6</v>
      </c>
      <c r="N1838" s="23" t="s">
        <v>45</v>
      </c>
      <c r="O1838" s="23" t="s">
        <v>23</v>
      </c>
      <c r="P1838" s="23" t="s">
        <v>80</v>
      </c>
      <c r="Q1838" s="23" t="s">
        <v>26</v>
      </c>
      <c r="R1838" s="23" t="s">
        <v>2188</v>
      </c>
      <c r="S1838" s="33">
        <v>0.2</v>
      </c>
      <c r="T1838" s="13">
        <v>15.92</v>
      </c>
      <c r="U1838" s="13">
        <v>2.786</v>
      </c>
      <c r="V1838" s="55">
        <f>Table3[[#This Row],[Profit]]/Table3[[#This Row],[Sales]]</f>
        <v>0.17500000000000002</v>
      </c>
    </row>
    <row r="1839" spans="1:22" x14ac:dyDescent="0.2">
      <c r="A1839">
        <v>1838</v>
      </c>
      <c r="B1839" t="s">
        <v>292</v>
      </c>
      <c r="C1839" s="1">
        <v>42992</v>
      </c>
      <c r="D1839" s="22">
        <f>MONTH(Table3[[#This Row],[Order Date]])</f>
        <v>9</v>
      </c>
      <c r="E1839" t="s">
        <v>294</v>
      </c>
      <c r="F1839" t="s">
        <v>295</v>
      </c>
      <c r="G1839" s="23" t="s">
        <v>41</v>
      </c>
      <c r="H1839" s="23" t="s">
        <v>82</v>
      </c>
      <c r="I1839" t="s">
        <v>147</v>
      </c>
      <c r="J1839" t="s">
        <v>22</v>
      </c>
      <c r="K1839" s="22">
        <v>3</v>
      </c>
      <c r="L1839" s="1">
        <v>42995</v>
      </c>
      <c r="M1839" s="22">
        <f>Table3[[#This Row],[Ship Date]]-Table3[[#This Row],[Order Date]]</f>
        <v>3</v>
      </c>
      <c r="N1839" s="23" t="s">
        <v>20</v>
      </c>
      <c r="O1839" s="23" t="s">
        <v>23</v>
      </c>
      <c r="P1839" s="23" t="s">
        <v>212</v>
      </c>
      <c r="Q1839" s="23" t="s">
        <v>95</v>
      </c>
      <c r="R1839" s="23" t="s">
        <v>293</v>
      </c>
      <c r="S1839" s="33">
        <v>0</v>
      </c>
      <c r="T1839" s="13">
        <v>19.05</v>
      </c>
      <c r="U1839" s="13">
        <v>8.7629999999999999</v>
      </c>
      <c r="V1839" s="55">
        <f>Table3[[#This Row],[Profit]]/Table3[[#This Row],[Sales]]</f>
        <v>0.45999999999999996</v>
      </c>
    </row>
    <row r="1840" spans="1:22" x14ac:dyDescent="0.2">
      <c r="A1840">
        <v>1839</v>
      </c>
      <c r="B1840" t="s">
        <v>6756</v>
      </c>
      <c r="C1840" s="1">
        <v>42992</v>
      </c>
      <c r="D1840" s="22">
        <f>MONTH(Table3[[#This Row],[Order Date]])</f>
        <v>9</v>
      </c>
      <c r="E1840" t="s">
        <v>6094</v>
      </c>
      <c r="F1840" t="s">
        <v>6095</v>
      </c>
      <c r="G1840" s="23" t="s">
        <v>41</v>
      </c>
      <c r="H1840" s="23" t="s">
        <v>61</v>
      </c>
      <c r="I1840" t="s">
        <v>2178</v>
      </c>
      <c r="J1840" t="s">
        <v>22</v>
      </c>
      <c r="K1840" s="22">
        <v>3</v>
      </c>
      <c r="L1840" s="1">
        <v>42992</v>
      </c>
      <c r="M1840" s="22">
        <f>Table3[[#This Row],[Ship Date]]-Table3[[#This Row],[Order Date]]</f>
        <v>0</v>
      </c>
      <c r="N1840" s="23" t="s">
        <v>1141</v>
      </c>
      <c r="O1840" s="23" t="s">
        <v>23</v>
      </c>
      <c r="P1840" s="23" t="s">
        <v>695</v>
      </c>
      <c r="Q1840" s="23" t="s">
        <v>133</v>
      </c>
      <c r="R1840" s="23" t="s">
        <v>5404</v>
      </c>
      <c r="S1840" s="33">
        <v>0</v>
      </c>
      <c r="T1840" s="13">
        <v>70.95</v>
      </c>
      <c r="U1840" s="13">
        <v>18.446999999999999</v>
      </c>
      <c r="V1840" s="55">
        <f>Table3[[#This Row],[Profit]]/Table3[[#This Row],[Sales]]</f>
        <v>0.25999999999999995</v>
      </c>
    </row>
    <row r="1841" spans="1:22" x14ac:dyDescent="0.2">
      <c r="A1841">
        <v>1840</v>
      </c>
      <c r="B1841" t="s">
        <v>7986</v>
      </c>
      <c r="C1841" s="1">
        <v>42992</v>
      </c>
      <c r="D1841" s="22">
        <f>MONTH(Table3[[#This Row],[Order Date]])</f>
        <v>9</v>
      </c>
      <c r="E1841" t="s">
        <v>3150</v>
      </c>
      <c r="F1841" t="s">
        <v>3151</v>
      </c>
      <c r="G1841" s="23" t="s">
        <v>41</v>
      </c>
      <c r="H1841" s="23" t="s">
        <v>42</v>
      </c>
      <c r="I1841" t="s">
        <v>5549</v>
      </c>
      <c r="J1841" t="s">
        <v>22</v>
      </c>
      <c r="K1841" s="22">
        <v>9</v>
      </c>
      <c r="L1841" s="1">
        <v>42996</v>
      </c>
      <c r="M1841" s="22">
        <f>Table3[[#This Row],[Ship Date]]-Table3[[#This Row],[Order Date]]</f>
        <v>4</v>
      </c>
      <c r="N1841" s="23" t="s">
        <v>20</v>
      </c>
      <c r="O1841" s="23" t="s">
        <v>23</v>
      </c>
      <c r="P1841" s="23" t="s">
        <v>38</v>
      </c>
      <c r="Q1841" s="23" t="s">
        <v>39</v>
      </c>
      <c r="R1841" s="23" t="s">
        <v>37</v>
      </c>
      <c r="S1841" s="33">
        <v>0</v>
      </c>
      <c r="T1841" s="13">
        <v>56.7</v>
      </c>
      <c r="U1841" s="13">
        <v>26.082000000000001</v>
      </c>
      <c r="V1841" s="55">
        <f>Table3[[#This Row],[Profit]]/Table3[[#This Row],[Sales]]</f>
        <v>0.45999999999999996</v>
      </c>
    </row>
    <row r="1842" spans="1:22" x14ac:dyDescent="0.2">
      <c r="A1842">
        <v>1841</v>
      </c>
      <c r="B1842" t="s">
        <v>8336</v>
      </c>
      <c r="C1842" s="1">
        <v>42992</v>
      </c>
      <c r="D1842" s="22">
        <f>MONTH(Table3[[#This Row],[Order Date]])</f>
        <v>9</v>
      </c>
      <c r="E1842" t="s">
        <v>2149</v>
      </c>
      <c r="F1842" t="s">
        <v>2150</v>
      </c>
      <c r="G1842" s="23" t="s">
        <v>41</v>
      </c>
      <c r="H1842" s="23" t="s">
        <v>68</v>
      </c>
      <c r="I1842" t="s">
        <v>3848</v>
      </c>
      <c r="J1842" t="s">
        <v>22</v>
      </c>
      <c r="K1842" s="22">
        <v>2</v>
      </c>
      <c r="L1842" s="1">
        <v>42993</v>
      </c>
      <c r="M1842" s="22">
        <f>Table3[[#This Row],[Ship Date]]-Table3[[#This Row],[Order Date]]</f>
        <v>1</v>
      </c>
      <c r="N1842" s="23" t="s">
        <v>169</v>
      </c>
      <c r="O1842" s="23" t="s">
        <v>23</v>
      </c>
      <c r="P1842" s="23" t="s">
        <v>132</v>
      </c>
      <c r="Q1842" s="23" t="s">
        <v>133</v>
      </c>
      <c r="R1842" s="23" t="s">
        <v>131</v>
      </c>
      <c r="S1842" s="33">
        <v>0.7</v>
      </c>
      <c r="T1842" s="13">
        <v>3.8820000000000001</v>
      </c>
      <c r="U1842" s="13">
        <v>-2.5880000000000001</v>
      </c>
      <c r="V1842" s="55">
        <f>Table3[[#This Row],[Profit]]/Table3[[#This Row],[Sales]]</f>
        <v>-0.66666666666666663</v>
      </c>
    </row>
    <row r="1843" spans="1:22" x14ac:dyDescent="0.2">
      <c r="A1843">
        <v>1842</v>
      </c>
      <c r="B1843" t="s">
        <v>8336</v>
      </c>
      <c r="C1843" s="1">
        <v>42992</v>
      </c>
      <c r="D1843" s="22">
        <f>MONTH(Table3[[#This Row],[Order Date]])</f>
        <v>9</v>
      </c>
      <c r="E1843" t="s">
        <v>8251</v>
      </c>
      <c r="F1843" t="s">
        <v>8252</v>
      </c>
      <c r="G1843" s="23" t="s">
        <v>64</v>
      </c>
      <c r="H1843" s="23" t="s">
        <v>602</v>
      </c>
      <c r="I1843" t="s">
        <v>3848</v>
      </c>
      <c r="J1843" t="s">
        <v>22</v>
      </c>
      <c r="K1843" s="22">
        <v>1</v>
      </c>
      <c r="L1843" s="1">
        <v>42993</v>
      </c>
      <c r="M1843" s="22">
        <f>Table3[[#This Row],[Ship Date]]-Table3[[#This Row],[Order Date]]</f>
        <v>1</v>
      </c>
      <c r="N1843" s="23" t="s">
        <v>169</v>
      </c>
      <c r="O1843" s="23" t="s">
        <v>23</v>
      </c>
      <c r="P1843" s="23" t="s">
        <v>132</v>
      </c>
      <c r="Q1843" s="23" t="s">
        <v>133</v>
      </c>
      <c r="R1843" s="23" t="s">
        <v>131</v>
      </c>
      <c r="S1843" s="33">
        <v>0.7</v>
      </c>
      <c r="T1843" s="13">
        <v>12.585000000000001</v>
      </c>
      <c r="U1843" s="13">
        <v>-18.038499999999999</v>
      </c>
      <c r="V1843" s="55">
        <f>Table3[[#This Row],[Profit]]/Table3[[#This Row],[Sales]]</f>
        <v>-1.4333333333333331</v>
      </c>
    </row>
    <row r="1844" spans="1:22" x14ac:dyDescent="0.2">
      <c r="A1844">
        <v>1843</v>
      </c>
      <c r="B1844" t="s">
        <v>8336</v>
      </c>
      <c r="C1844" s="1">
        <v>42992</v>
      </c>
      <c r="D1844" s="22">
        <f>MONTH(Table3[[#This Row],[Order Date]])</f>
        <v>9</v>
      </c>
      <c r="E1844" t="s">
        <v>1370</v>
      </c>
      <c r="F1844" t="s">
        <v>1371</v>
      </c>
      <c r="G1844" s="23" t="s">
        <v>28</v>
      </c>
      <c r="H1844" s="23" t="s">
        <v>32</v>
      </c>
      <c r="I1844" t="s">
        <v>3848</v>
      </c>
      <c r="J1844" t="s">
        <v>22</v>
      </c>
      <c r="K1844" s="22">
        <v>2</v>
      </c>
      <c r="L1844" s="1">
        <v>42993</v>
      </c>
      <c r="M1844" s="22">
        <f>Table3[[#This Row],[Ship Date]]-Table3[[#This Row],[Order Date]]</f>
        <v>1</v>
      </c>
      <c r="N1844" s="23" t="s">
        <v>169</v>
      </c>
      <c r="O1844" s="23" t="s">
        <v>23</v>
      </c>
      <c r="P1844" s="23" t="s">
        <v>132</v>
      </c>
      <c r="Q1844" s="23" t="s">
        <v>133</v>
      </c>
      <c r="R1844" s="23" t="s">
        <v>131</v>
      </c>
      <c r="S1844" s="33">
        <v>0.3</v>
      </c>
      <c r="T1844" s="13">
        <v>113.372</v>
      </c>
      <c r="U1844" s="13">
        <v>-29.152799999999999</v>
      </c>
      <c r="V1844" s="55">
        <f>Table3[[#This Row],[Profit]]/Table3[[#This Row],[Sales]]</f>
        <v>-0.25714285714285712</v>
      </c>
    </row>
    <row r="1845" spans="1:22" x14ac:dyDescent="0.2">
      <c r="A1845">
        <v>1844</v>
      </c>
      <c r="B1845" t="s">
        <v>8336</v>
      </c>
      <c r="C1845" s="1">
        <v>42992</v>
      </c>
      <c r="D1845" s="22">
        <f>MONTH(Table3[[#This Row],[Order Date]])</f>
        <v>9</v>
      </c>
      <c r="E1845" t="s">
        <v>2708</v>
      </c>
      <c r="F1845" t="s">
        <v>2709</v>
      </c>
      <c r="G1845" s="23" t="s">
        <v>41</v>
      </c>
      <c r="H1845" s="23" t="s">
        <v>68</v>
      </c>
      <c r="I1845" t="s">
        <v>3848</v>
      </c>
      <c r="J1845" t="s">
        <v>22</v>
      </c>
      <c r="K1845" s="22">
        <v>4</v>
      </c>
      <c r="L1845" s="1">
        <v>42993</v>
      </c>
      <c r="M1845" s="22">
        <f>Table3[[#This Row],[Ship Date]]-Table3[[#This Row],[Order Date]]</f>
        <v>1</v>
      </c>
      <c r="N1845" s="23" t="s">
        <v>169</v>
      </c>
      <c r="O1845" s="23" t="s">
        <v>23</v>
      </c>
      <c r="P1845" s="23" t="s">
        <v>132</v>
      </c>
      <c r="Q1845" s="23" t="s">
        <v>133</v>
      </c>
      <c r="R1845" s="23" t="s">
        <v>131</v>
      </c>
      <c r="S1845" s="33">
        <v>0.7</v>
      </c>
      <c r="T1845" s="13">
        <v>18.312000000000001</v>
      </c>
      <c r="U1845" s="13">
        <v>-12.208</v>
      </c>
      <c r="V1845" s="55">
        <f>Table3[[#This Row],[Profit]]/Table3[[#This Row],[Sales]]</f>
        <v>-0.66666666666666663</v>
      </c>
    </row>
    <row r="1846" spans="1:22" x14ac:dyDescent="0.2">
      <c r="A1846">
        <v>1845</v>
      </c>
      <c r="B1846" t="s">
        <v>8336</v>
      </c>
      <c r="C1846" s="1">
        <v>42992</v>
      </c>
      <c r="D1846" s="22">
        <f>MONTH(Table3[[#This Row],[Order Date]])</f>
        <v>9</v>
      </c>
      <c r="E1846" t="s">
        <v>8337</v>
      </c>
      <c r="F1846" t="s">
        <v>8338</v>
      </c>
      <c r="G1846" s="23" t="s">
        <v>28</v>
      </c>
      <c r="H1846" s="23" t="s">
        <v>58</v>
      </c>
      <c r="I1846" t="s">
        <v>3848</v>
      </c>
      <c r="J1846" t="s">
        <v>22</v>
      </c>
      <c r="K1846" s="22">
        <v>8</v>
      </c>
      <c r="L1846" s="1">
        <v>42993</v>
      </c>
      <c r="M1846" s="22">
        <f>Table3[[#This Row],[Ship Date]]-Table3[[#This Row],[Order Date]]</f>
        <v>1</v>
      </c>
      <c r="N1846" s="23" t="s">
        <v>169</v>
      </c>
      <c r="O1846" s="23" t="s">
        <v>23</v>
      </c>
      <c r="P1846" s="23" t="s">
        <v>132</v>
      </c>
      <c r="Q1846" s="23" t="s">
        <v>133</v>
      </c>
      <c r="R1846" s="23" t="s">
        <v>131</v>
      </c>
      <c r="S1846" s="33">
        <v>0.2</v>
      </c>
      <c r="T1846" s="13">
        <v>127.93600000000001</v>
      </c>
      <c r="U1846" s="13">
        <v>4.7976000000000001</v>
      </c>
      <c r="V1846" s="55">
        <f>Table3[[#This Row],[Profit]]/Table3[[#This Row],[Sales]]</f>
        <v>3.7499999999999999E-2</v>
      </c>
    </row>
    <row r="1847" spans="1:22" x14ac:dyDescent="0.2">
      <c r="A1847">
        <v>1846</v>
      </c>
      <c r="B1847" t="s">
        <v>8336</v>
      </c>
      <c r="C1847" s="1">
        <v>42992</v>
      </c>
      <c r="D1847" s="22">
        <f>MONTH(Table3[[#This Row],[Order Date]])</f>
        <v>9</v>
      </c>
      <c r="E1847" t="s">
        <v>1202</v>
      </c>
      <c r="F1847" t="s">
        <v>1203</v>
      </c>
      <c r="G1847" s="23" t="s">
        <v>64</v>
      </c>
      <c r="H1847" s="23" t="s">
        <v>602</v>
      </c>
      <c r="I1847" t="s">
        <v>3848</v>
      </c>
      <c r="J1847" t="s">
        <v>22</v>
      </c>
      <c r="K1847" s="22">
        <v>2</v>
      </c>
      <c r="L1847" s="1">
        <v>42993</v>
      </c>
      <c r="M1847" s="22">
        <f>Table3[[#This Row],[Ship Date]]-Table3[[#This Row],[Order Date]]</f>
        <v>1</v>
      </c>
      <c r="N1847" s="23" t="s">
        <v>169</v>
      </c>
      <c r="O1847" s="23" t="s">
        <v>23</v>
      </c>
      <c r="P1847" s="23" t="s">
        <v>132</v>
      </c>
      <c r="Q1847" s="23" t="s">
        <v>133</v>
      </c>
      <c r="R1847" s="23" t="s">
        <v>131</v>
      </c>
      <c r="S1847" s="33">
        <v>0.7</v>
      </c>
      <c r="T1847" s="13">
        <v>241.17</v>
      </c>
      <c r="U1847" s="13">
        <v>-168.81899999999999</v>
      </c>
      <c r="V1847" s="55">
        <f>Table3[[#This Row],[Profit]]/Table3[[#This Row],[Sales]]</f>
        <v>-0.7</v>
      </c>
    </row>
    <row r="1848" spans="1:22" x14ac:dyDescent="0.2">
      <c r="A1848">
        <v>1847</v>
      </c>
      <c r="B1848" t="s">
        <v>9445</v>
      </c>
      <c r="C1848" s="1">
        <v>42992</v>
      </c>
      <c r="D1848" s="22">
        <f>MONTH(Table3[[#This Row],[Order Date]])</f>
        <v>9</v>
      </c>
      <c r="E1848" t="s">
        <v>4317</v>
      </c>
      <c r="F1848" t="s">
        <v>4318</v>
      </c>
      <c r="G1848" s="23" t="s">
        <v>41</v>
      </c>
      <c r="H1848" s="23" t="s">
        <v>71</v>
      </c>
      <c r="I1848" t="s">
        <v>4587</v>
      </c>
      <c r="J1848" t="s">
        <v>36</v>
      </c>
      <c r="K1848" s="22">
        <v>4</v>
      </c>
      <c r="L1848" s="1">
        <v>42995</v>
      </c>
      <c r="M1848" s="22">
        <f>Table3[[#This Row],[Ship Date]]-Table3[[#This Row],[Order Date]]</f>
        <v>3</v>
      </c>
      <c r="N1848" s="23" t="s">
        <v>169</v>
      </c>
      <c r="O1848" s="23" t="s">
        <v>23</v>
      </c>
      <c r="P1848" s="23" t="s">
        <v>80</v>
      </c>
      <c r="Q1848" s="23" t="s">
        <v>26</v>
      </c>
      <c r="R1848" s="23" t="s">
        <v>4054</v>
      </c>
      <c r="S1848" s="33">
        <v>0.2</v>
      </c>
      <c r="T1848" s="13">
        <v>942.78399999999999</v>
      </c>
      <c r="U1848" s="13">
        <v>94.278400000000005</v>
      </c>
      <c r="V1848" s="55">
        <f>Table3[[#This Row],[Profit]]/Table3[[#This Row],[Sales]]</f>
        <v>0.1</v>
      </c>
    </row>
    <row r="1849" spans="1:22" x14ac:dyDescent="0.2">
      <c r="A1849">
        <v>1848</v>
      </c>
      <c r="B1849" t="s">
        <v>9445</v>
      </c>
      <c r="C1849" s="1">
        <v>42992</v>
      </c>
      <c r="D1849" s="22">
        <f>MONTH(Table3[[#This Row],[Order Date]])</f>
        <v>9</v>
      </c>
      <c r="E1849" t="s">
        <v>3592</v>
      </c>
      <c r="F1849" t="s">
        <v>3593</v>
      </c>
      <c r="G1849" s="23" t="s">
        <v>41</v>
      </c>
      <c r="H1849" s="23" t="s">
        <v>82</v>
      </c>
      <c r="I1849" t="s">
        <v>4587</v>
      </c>
      <c r="J1849" t="s">
        <v>36</v>
      </c>
      <c r="K1849" s="22">
        <v>3</v>
      </c>
      <c r="L1849" s="1">
        <v>42995</v>
      </c>
      <c r="M1849" s="22">
        <f>Table3[[#This Row],[Ship Date]]-Table3[[#This Row],[Order Date]]</f>
        <v>3</v>
      </c>
      <c r="N1849" s="23" t="s">
        <v>169</v>
      </c>
      <c r="O1849" s="23" t="s">
        <v>23</v>
      </c>
      <c r="P1849" s="23" t="s">
        <v>80</v>
      </c>
      <c r="Q1849" s="23" t="s">
        <v>26</v>
      </c>
      <c r="R1849" s="23" t="s">
        <v>4054</v>
      </c>
      <c r="S1849" s="33">
        <v>0.2</v>
      </c>
      <c r="T1849" s="13">
        <v>74.352000000000004</v>
      </c>
      <c r="U1849" s="13">
        <v>23.234999999999999</v>
      </c>
      <c r="V1849" s="55">
        <f>Table3[[#This Row],[Profit]]/Table3[[#This Row],[Sales]]</f>
        <v>0.3125</v>
      </c>
    </row>
    <row r="1850" spans="1:22" x14ac:dyDescent="0.2">
      <c r="A1850">
        <v>1849</v>
      </c>
      <c r="B1850" t="s">
        <v>9923</v>
      </c>
      <c r="C1850" s="1">
        <v>42992</v>
      </c>
      <c r="D1850" s="22">
        <f>MONTH(Table3[[#This Row],[Order Date]])</f>
        <v>9</v>
      </c>
      <c r="E1850" t="s">
        <v>3105</v>
      </c>
      <c r="F1850" t="s">
        <v>3106</v>
      </c>
      <c r="G1850" s="23" t="s">
        <v>64</v>
      </c>
      <c r="H1850" s="23" t="s">
        <v>65</v>
      </c>
      <c r="I1850" t="s">
        <v>372</v>
      </c>
      <c r="J1850" t="s">
        <v>92</v>
      </c>
      <c r="K1850" s="22">
        <v>3</v>
      </c>
      <c r="L1850" s="1">
        <v>42994</v>
      </c>
      <c r="M1850" s="22">
        <f>Table3[[#This Row],[Ship Date]]-Table3[[#This Row],[Order Date]]</f>
        <v>2</v>
      </c>
      <c r="N1850" s="23" t="s">
        <v>169</v>
      </c>
      <c r="O1850" s="23" t="s">
        <v>23</v>
      </c>
      <c r="P1850" s="23" t="s">
        <v>238</v>
      </c>
      <c r="Q1850" s="23" t="s">
        <v>133</v>
      </c>
      <c r="R1850" s="23" t="s">
        <v>237</v>
      </c>
      <c r="S1850" s="33">
        <v>0</v>
      </c>
      <c r="T1850" s="13">
        <v>1079.8499999999999</v>
      </c>
      <c r="U1850" s="13">
        <v>323.95499999999998</v>
      </c>
      <c r="V1850" s="55">
        <f>Table3[[#This Row],[Profit]]/Table3[[#This Row],[Sales]]</f>
        <v>0.3</v>
      </c>
    </row>
    <row r="1851" spans="1:22" x14ac:dyDescent="0.2">
      <c r="A1851">
        <v>1850</v>
      </c>
      <c r="B1851" t="s">
        <v>9923</v>
      </c>
      <c r="C1851" s="1">
        <v>42992</v>
      </c>
      <c r="D1851" s="22">
        <f>MONTH(Table3[[#This Row],[Order Date]])</f>
        <v>9</v>
      </c>
      <c r="E1851" t="s">
        <v>3658</v>
      </c>
      <c r="F1851" t="s">
        <v>3659</v>
      </c>
      <c r="G1851" s="23" t="s">
        <v>41</v>
      </c>
      <c r="H1851" s="23" t="s">
        <v>53</v>
      </c>
      <c r="I1851" t="s">
        <v>372</v>
      </c>
      <c r="J1851" t="s">
        <v>92</v>
      </c>
      <c r="K1851" s="22">
        <v>1</v>
      </c>
      <c r="L1851" s="1">
        <v>42994</v>
      </c>
      <c r="M1851" s="22">
        <f>Table3[[#This Row],[Ship Date]]-Table3[[#This Row],[Order Date]]</f>
        <v>2</v>
      </c>
      <c r="N1851" s="23" t="s">
        <v>169</v>
      </c>
      <c r="O1851" s="23" t="s">
        <v>23</v>
      </c>
      <c r="P1851" s="23" t="s">
        <v>238</v>
      </c>
      <c r="Q1851" s="23" t="s">
        <v>133</v>
      </c>
      <c r="R1851" s="23" t="s">
        <v>237</v>
      </c>
      <c r="S1851" s="33">
        <v>0</v>
      </c>
      <c r="T1851" s="13">
        <v>70.98</v>
      </c>
      <c r="U1851" s="13">
        <v>3.5489999999999999</v>
      </c>
      <c r="V1851" s="55">
        <f>Table3[[#This Row],[Profit]]/Table3[[#This Row],[Sales]]</f>
        <v>4.9999999999999996E-2</v>
      </c>
    </row>
    <row r="1852" spans="1:22" x14ac:dyDescent="0.2">
      <c r="A1852">
        <v>1851</v>
      </c>
      <c r="B1852" t="s">
        <v>9923</v>
      </c>
      <c r="C1852" s="1">
        <v>42992</v>
      </c>
      <c r="D1852" s="22">
        <f>MONTH(Table3[[#This Row],[Order Date]])</f>
        <v>9</v>
      </c>
      <c r="E1852" t="s">
        <v>2611</v>
      </c>
      <c r="F1852" t="s">
        <v>2612</v>
      </c>
      <c r="G1852" s="23" t="s">
        <v>41</v>
      </c>
      <c r="H1852" s="23" t="s">
        <v>61</v>
      </c>
      <c r="I1852" t="s">
        <v>372</v>
      </c>
      <c r="J1852" t="s">
        <v>92</v>
      </c>
      <c r="K1852" s="22">
        <v>5</v>
      </c>
      <c r="L1852" s="1">
        <v>42994</v>
      </c>
      <c r="M1852" s="22">
        <f>Table3[[#This Row],[Ship Date]]-Table3[[#This Row],[Order Date]]</f>
        <v>2</v>
      </c>
      <c r="N1852" s="23" t="s">
        <v>169</v>
      </c>
      <c r="O1852" s="23" t="s">
        <v>23</v>
      </c>
      <c r="P1852" s="23" t="s">
        <v>238</v>
      </c>
      <c r="Q1852" s="23" t="s">
        <v>133</v>
      </c>
      <c r="R1852" s="23" t="s">
        <v>237</v>
      </c>
      <c r="S1852" s="33">
        <v>0</v>
      </c>
      <c r="T1852" s="13">
        <v>29.95</v>
      </c>
      <c r="U1852" s="13">
        <v>8.6854999999999993</v>
      </c>
      <c r="V1852" s="55">
        <f>Table3[[#This Row],[Profit]]/Table3[[#This Row],[Sales]]</f>
        <v>0.28999999999999998</v>
      </c>
    </row>
    <row r="1853" spans="1:22" x14ac:dyDescent="0.2">
      <c r="A1853">
        <v>1852</v>
      </c>
      <c r="B1853" t="s">
        <v>9923</v>
      </c>
      <c r="C1853" s="1">
        <v>42992</v>
      </c>
      <c r="D1853" s="22">
        <f>MONTH(Table3[[#This Row],[Order Date]])</f>
        <v>9</v>
      </c>
      <c r="E1853" t="s">
        <v>6240</v>
      </c>
      <c r="F1853" t="s">
        <v>6241</v>
      </c>
      <c r="G1853" s="23" t="s">
        <v>28</v>
      </c>
      <c r="H1853" s="23" t="s">
        <v>32</v>
      </c>
      <c r="I1853" t="s">
        <v>372</v>
      </c>
      <c r="J1853" t="s">
        <v>92</v>
      </c>
      <c r="K1853" s="22">
        <v>5</v>
      </c>
      <c r="L1853" s="1">
        <v>42994</v>
      </c>
      <c r="M1853" s="22">
        <f>Table3[[#This Row],[Ship Date]]-Table3[[#This Row],[Order Date]]</f>
        <v>2</v>
      </c>
      <c r="N1853" s="23" t="s">
        <v>169</v>
      </c>
      <c r="O1853" s="23" t="s">
        <v>23</v>
      </c>
      <c r="P1853" s="23" t="s">
        <v>238</v>
      </c>
      <c r="Q1853" s="23" t="s">
        <v>133</v>
      </c>
      <c r="R1853" s="23" t="s">
        <v>237</v>
      </c>
      <c r="S1853" s="33">
        <v>0.1</v>
      </c>
      <c r="T1853" s="13">
        <v>589.41</v>
      </c>
      <c r="U1853" s="13">
        <v>-6.5490000000000004</v>
      </c>
      <c r="V1853" s="55">
        <f>Table3[[#This Row],[Profit]]/Table3[[#This Row],[Sales]]</f>
        <v>-1.1111111111111112E-2</v>
      </c>
    </row>
    <row r="1854" spans="1:22" x14ac:dyDescent="0.2">
      <c r="A1854">
        <v>1853</v>
      </c>
      <c r="B1854" t="s">
        <v>9933</v>
      </c>
      <c r="C1854" s="1">
        <v>42992</v>
      </c>
      <c r="D1854" s="22">
        <f>MONTH(Table3[[#This Row],[Order Date]])</f>
        <v>9</v>
      </c>
      <c r="E1854" t="s">
        <v>5640</v>
      </c>
      <c r="F1854" t="s">
        <v>5641</v>
      </c>
      <c r="G1854" s="23" t="s">
        <v>41</v>
      </c>
      <c r="H1854" s="23" t="s">
        <v>82</v>
      </c>
      <c r="I1854" t="s">
        <v>3861</v>
      </c>
      <c r="J1854" t="s">
        <v>22</v>
      </c>
      <c r="K1854" s="22">
        <v>2</v>
      </c>
      <c r="L1854" s="1">
        <v>42997</v>
      </c>
      <c r="M1854" s="22">
        <f>Table3[[#This Row],[Ship Date]]-Table3[[#This Row],[Order Date]]</f>
        <v>5</v>
      </c>
      <c r="N1854" s="23" t="s">
        <v>45</v>
      </c>
      <c r="O1854" s="23" t="s">
        <v>23</v>
      </c>
      <c r="P1854" s="23" t="s">
        <v>238</v>
      </c>
      <c r="Q1854" s="23" t="s">
        <v>133</v>
      </c>
      <c r="R1854" s="23" t="s">
        <v>237</v>
      </c>
      <c r="S1854" s="33">
        <v>0</v>
      </c>
      <c r="T1854" s="13">
        <v>8.56</v>
      </c>
      <c r="U1854" s="13">
        <v>3.8519999999999999</v>
      </c>
      <c r="V1854" s="55">
        <f>Table3[[#This Row],[Profit]]/Table3[[#This Row],[Sales]]</f>
        <v>0.44999999999999996</v>
      </c>
    </row>
    <row r="1855" spans="1:22" x14ac:dyDescent="0.2">
      <c r="A1855">
        <v>1854</v>
      </c>
      <c r="B1855" t="s">
        <v>9933</v>
      </c>
      <c r="C1855" s="1">
        <v>42992</v>
      </c>
      <c r="D1855" s="22">
        <f>MONTH(Table3[[#This Row],[Order Date]])</f>
        <v>9</v>
      </c>
      <c r="E1855" t="s">
        <v>1295</v>
      </c>
      <c r="F1855" t="s">
        <v>1296</v>
      </c>
      <c r="G1855" s="23" t="s">
        <v>41</v>
      </c>
      <c r="H1855" s="23" t="s">
        <v>82</v>
      </c>
      <c r="I1855" t="s">
        <v>3861</v>
      </c>
      <c r="J1855" t="s">
        <v>22</v>
      </c>
      <c r="K1855" s="22">
        <v>2</v>
      </c>
      <c r="L1855" s="1">
        <v>42997</v>
      </c>
      <c r="M1855" s="22">
        <f>Table3[[#This Row],[Ship Date]]-Table3[[#This Row],[Order Date]]</f>
        <v>5</v>
      </c>
      <c r="N1855" s="23" t="s">
        <v>45</v>
      </c>
      <c r="O1855" s="23" t="s">
        <v>23</v>
      </c>
      <c r="P1855" s="23" t="s">
        <v>238</v>
      </c>
      <c r="Q1855" s="23" t="s">
        <v>133</v>
      </c>
      <c r="R1855" s="23" t="s">
        <v>237</v>
      </c>
      <c r="S1855" s="33">
        <v>0</v>
      </c>
      <c r="T1855" s="13">
        <v>11.56</v>
      </c>
      <c r="U1855" s="13">
        <v>5.6643999999999997</v>
      </c>
      <c r="V1855" s="55">
        <f>Table3[[#This Row],[Profit]]/Table3[[#This Row],[Sales]]</f>
        <v>0.48999999999999994</v>
      </c>
    </row>
    <row r="1856" spans="1:22" x14ac:dyDescent="0.2">
      <c r="A1856">
        <v>1855</v>
      </c>
      <c r="B1856" t="s">
        <v>10067</v>
      </c>
      <c r="C1856" s="1">
        <v>42992</v>
      </c>
      <c r="D1856" s="22">
        <f>MONTH(Table3[[#This Row],[Order Date]])</f>
        <v>9</v>
      </c>
      <c r="E1856" t="s">
        <v>948</v>
      </c>
      <c r="F1856" t="s">
        <v>949</v>
      </c>
      <c r="G1856" s="23" t="s">
        <v>64</v>
      </c>
      <c r="H1856" s="23" t="s">
        <v>144</v>
      </c>
      <c r="I1856" t="s">
        <v>2814</v>
      </c>
      <c r="J1856" t="s">
        <v>36</v>
      </c>
      <c r="K1856" s="22">
        <v>7</v>
      </c>
      <c r="L1856" s="1">
        <v>42997</v>
      </c>
      <c r="M1856" s="22">
        <f>Table3[[#This Row],[Ship Date]]-Table3[[#This Row],[Order Date]]</f>
        <v>5</v>
      </c>
      <c r="N1856" s="23" t="s">
        <v>45</v>
      </c>
      <c r="O1856" s="23" t="s">
        <v>23</v>
      </c>
      <c r="P1856" s="23" t="s">
        <v>441</v>
      </c>
      <c r="Q1856" s="23" t="s">
        <v>133</v>
      </c>
      <c r="R1856" s="23" t="s">
        <v>284</v>
      </c>
      <c r="S1856" s="33">
        <v>0.2</v>
      </c>
      <c r="T1856" s="13">
        <v>895.94399999999996</v>
      </c>
      <c r="U1856" s="13">
        <v>190.38810000000001</v>
      </c>
      <c r="V1856" s="55">
        <f>Table3[[#This Row],[Profit]]/Table3[[#This Row],[Sales]]</f>
        <v>0.21250000000000002</v>
      </c>
    </row>
    <row r="1857" spans="1:22" x14ac:dyDescent="0.2">
      <c r="A1857">
        <v>1856</v>
      </c>
      <c r="B1857" t="s">
        <v>1354</v>
      </c>
      <c r="C1857" s="1">
        <v>42993</v>
      </c>
      <c r="D1857" s="22">
        <f>MONTH(Table3[[#This Row],[Order Date]])</f>
        <v>9</v>
      </c>
      <c r="E1857" t="s">
        <v>1356</v>
      </c>
      <c r="F1857" t="s">
        <v>1357</v>
      </c>
      <c r="G1857" s="23" t="s">
        <v>41</v>
      </c>
      <c r="H1857" s="23" t="s">
        <v>82</v>
      </c>
      <c r="I1857" t="s">
        <v>1355</v>
      </c>
      <c r="J1857" t="s">
        <v>36</v>
      </c>
      <c r="K1857" s="22">
        <v>8</v>
      </c>
      <c r="L1857" s="1">
        <v>42997</v>
      </c>
      <c r="M1857" s="22">
        <f>Table3[[#This Row],[Ship Date]]-Table3[[#This Row],[Order Date]]</f>
        <v>4</v>
      </c>
      <c r="N1857" s="23" t="s">
        <v>45</v>
      </c>
      <c r="O1857" s="23" t="s">
        <v>23</v>
      </c>
      <c r="P1857" s="23" t="s">
        <v>94</v>
      </c>
      <c r="Q1857" s="23" t="s">
        <v>95</v>
      </c>
      <c r="R1857" s="23" t="s">
        <v>165</v>
      </c>
      <c r="S1857" s="33">
        <v>0.2</v>
      </c>
      <c r="T1857" s="13">
        <v>31.872</v>
      </c>
      <c r="U1857" s="13">
        <v>11.553599999999999</v>
      </c>
      <c r="V1857" s="55">
        <f>Table3[[#This Row],[Profit]]/Table3[[#This Row],[Sales]]</f>
        <v>0.36249999999999999</v>
      </c>
    </row>
    <row r="1858" spans="1:22" x14ac:dyDescent="0.2">
      <c r="A1858">
        <v>1857</v>
      </c>
      <c r="B1858" t="s">
        <v>1822</v>
      </c>
      <c r="C1858" s="1">
        <v>42993</v>
      </c>
      <c r="D1858" s="22">
        <f>MONTH(Table3[[#This Row],[Order Date]])</f>
        <v>9</v>
      </c>
      <c r="E1858" t="s">
        <v>1824</v>
      </c>
      <c r="F1858" t="s">
        <v>1825</v>
      </c>
      <c r="G1858" s="23" t="s">
        <v>28</v>
      </c>
      <c r="H1858" s="23" t="s">
        <v>58</v>
      </c>
      <c r="I1858" t="s">
        <v>1823</v>
      </c>
      <c r="J1858" t="s">
        <v>92</v>
      </c>
      <c r="K1858" s="22">
        <v>7</v>
      </c>
      <c r="L1858" s="1">
        <v>42997</v>
      </c>
      <c r="M1858" s="22">
        <f>Table3[[#This Row],[Ship Date]]-Table3[[#This Row],[Order Date]]</f>
        <v>4</v>
      </c>
      <c r="N1858" s="23" t="s">
        <v>45</v>
      </c>
      <c r="O1858" s="23" t="s">
        <v>23</v>
      </c>
      <c r="P1858" s="23" t="s">
        <v>238</v>
      </c>
      <c r="Q1858" s="23" t="s">
        <v>133</v>
      </c>
      <c r="R1858" s="23" t="s">
        <v>237</v>
      </c>
      <c r="S1858" s="33">
        <v>0</v>
      </c>
      <c r="T1858" s="13">
        <v>35.56</v>
      </c>
      <c r="U1858" s="13">
        <v>12.090400000000001</v>
      </c>
      <c r="V1858" s="55">
        <f>Table3[[#This Row],[Profit]]/Table3[[#This Row],[Sales]]</f>
        <v>0.34</v>
      </c>
    </row>
    <row r="1859" spans="1:22" x14ac:dyDescent="0.2">
      <c r="A1859">
        <v>1858</v>
      </c>
      <c r="B1859" t="s">
        <v>2443</v>
      </c>
      <c r="C1859" s="1">
        <v>42993</v>
      </c>
      <c r="D1859" s="22">
        <f>MONTH(Table3[[#This Row],[Order Date]])</f>
        <v>9</v>
      </c>
      <c r="E1859" t="s">
        <v>576</v>
      </c>
      <c r="F1859" t="s">
        <v>577</v>
      </c>
      <c r="G1859" s="23" t="s">
        <v>64</v>
      </c>
      <c r="H1859" s="23" t="s">
        <v>65</v>
      </c>
      <c r="I1859" t="s">
        <v>569</v>
      </c>
      <c r="J1859" t="s">
        <v>22</v>
      </c>
      <c r="K1859" s="22">
        <v>3</v>
      </c>
      <c r="L1859" s="1">
        <v>42995</v>
      </c>
      <c r="M1859" s="22">
        <f>Table3[[#This Row],[Ship Date]]-Table3[[#This Row],[Order Date]]</f>
        <v>2</v>
      </c>
      <c r="N1859" s="23" t="s">
        <v>169</v>
      </c>
      <c r="O1859" s="23" t="s">
        <v>23</v>
      </c>
      <c r="P1859" s="23" t="s">
        <v>189</v>
      </c>
      <c r="Q1859" s="23" t="s">
        <v>95</v>
      </c>
      <c r="R1859" s="23" t="s">
        <v>271</v>
      </c>
      <c r="S1859" s="33">
        <v>0.2</v>
      </c>
      <c r="T1859" s="13">
        <v>323.976</v>
      </c>
      <c r="U1859" s="13">
        <v>20.2485</v>
      </c>
      <c r="V1859" s="55">
        <f>Table3[[#This Row],[Profit]]/Table3[[#This Row],[Sales]]</f>
        <v>6.25E-2</v>
      </c>
    </row>
    <row r="1860" spans="1:22" x14ac:dyDescent="0.2">
      <c r="A1860">
        <v>1859</v>
      </c>
      <c r="B1860" t="s">
        <v>3611</v>
      </c>
      <c r="C1860" s="1">
        <v>42993</v>
      </c>
      <c r="D1860" s="22">
        <f>MONTH(Table3[[#This Row],[Order Date]])</f>
        <v>9</v>
      </c>
      <c r="E1860" t="s">
        <v>3035</v>
      </c>
      <c r="F1860" t="s">
        <v>3036</v>
      </c>
      <c r="G1860" s="23" t="s">
        <v>64</v>
      </c>
      <c r="H1860" s="23" t="s">
        <v>65</v>
      </c>
      <c r="I1860" t="s">
        <v>3612</v>
      </c>
      <c r="J1860" t="s">
        <v>22</v>
      </c>
      <c r="K1860" s="22">
        <v>1</v>
      </c>
      <c r="L1860" s="1">
        <v>42995</v>
      </c>
      <c r="M1860" s="22">
        <f>Table3[[#This Row],[Ship Date]]-Table3[[#This Row],[Order Date]]</f>
        <v>2</v>
      </c>
      <c r="N1860" s="23" t="s">
        <v>20</v>
      </c>
      <c r="O1860" s="23" t="s">
        <v>23</v>
      </c>
      <c r="P1860" s="23" t="s">
        <v>1101</v>
      </c>
      <c r="Q1860" s="23" t="s">
        <v>133</v>
      </c>
      <c r="R1860" s="23" t="s">
        <v>3613</v>
      </c>
      <c r="S1860" s="33">
        <v>0</v>
      </c>
      <c r="T1860" s="13">
        <v>39.99</v>
      </c>
      <c r="U1860" s="13">
        <v>11.597099999999999</v>
      </c>
      <c r="V1860" s="55">
        <f>Table3[[#This Row],[Profit]]/Table3[[#This Row],[Sales]]</f>
        <v>0.28999999999999998</v>
      </c>
    </row>
    <row r="1861" spans="1:22" x14ac:dyDescent="0.2">
      <c r="A1861">
        <v>1860</v>
      </c>
      <c r="B1861" t="s">
        <v>3611</v>
      </c>
      <c r="C1861" s="1">
        <v>42993</v>
      </c>
      <c r="D1861" s="22">
        <f>MONTH(Table3[[#This Row],[Order Date]])</f>
        <v>9</v>
      </c>
      <c r="E1861" t="s">
        <v>1257</v>
      </c>
      <c r="F1861" t="s">
        <v>1258</v>
      </c>
      <c r="G1861" s="23" t="s">
        <v>41</v>
      </c>
      <c r="H1861" s="23" t="s">
        <v>61</v>
      </c>
      <c r="I1861" t="s">
        <v>3612</v>
      </c>
      <c r="J1861" t="s">
        <v>22</v>
      </c>
      <c r="K1861" s="22">
        <v>2</v>
      </c>
      <c r="L1861" s="1">
        <v>42995</v>
      </c>
      <c r="M1861" s="22">
        <f>Table3[[#This Row],[Ship Date]]-Table3[[#This Row],[Order Date]]</f>
        <v>2</v>
      </c>
      <c r="N1861" s="23" t="s">
        <v>20</v>
      </c>
      <c r="O1861" s="23" t="s">
        <v>23</v>
      </c>
      <c r="P1861" s="23" t="s">
        <v>1101</v>
      </c>
      <c r="Q1861" s="23" t="s">
        <v>133</v>
      </c>
      <c r="R1861" s="23" t="s">
        <v>3613</v>
      </c>
      <c r="S1861" s="33">
        <v>0</v>
      </c>
      <c r="T1861" s="13">
        <v>16.28</v>
      </c>
      <c r="U1861" s="13">
        <v>6.5119999999999996</v>
      </c>
      <c r="V1861" s="55">
        <f>Table3[[#This Row],[Profit]]/Table3[[#This Row],[Sales]]</f>
        <v>0.39999999999999997</v>
      </c>
    </row>
    <row r="1862" spans="1:22" x14ac:dyDescent="0.2">
      <c r="A1862">
        <v>1861</v>
      </c>
      <c r="B1862" t="s">
        <v>3611</v>
      </c>
      <c r="C1862" s="1">
        <v>42993</v>
      </c>
      <c r="D1862" s="22">
        <f>MONTH(Table3[[#This Row],[Order Date]])</f>
        <v>9</v>
      </c>
      <c r="E1862" t="s">
        <v>180</v>
      </c>
      <c r="F1862" t="s">
        <v>181</v>
      </c>
      <c r="G1862" s="23" t="s">
        <v>28</v>
      </c>
      <c r="H1862" s="23" t="s">
        <v>29</v>
      </c>
      <c r="I1862" t="s">
        <v>3612</v>
      </c>
      <c r="J1862" t="s">
        <v>22</v>
      </c>
      <c r="K1862" s="22">
        <v>3</v>
      </c>
      <c r="L1862" s="1">
        <v>42995</v>
      </c>
      <c r="M1862" s="22">
        <f>Table3[[#This Row],[Ship Date]]-Table3[[#This Row],[Order Date]]</f>
        <v>2</v>
      </c>
      <c r="N1862" s="23" t="s">
        <v>20</v>
      </c>
      <c r="O1862" s="23" t="s">
        <v>23</v>
      </c>
      <c r="P1862" s="23" t="s">
        <v>1101</v>
      </c>
      <c r="Q1862" s="23" t="s">
        <v>133</v>
      </c>
      <c r="R1862" s="23" t="s">
        <v>3613</v>
      </c>
      <c r="S1862" s="33">
        <v>0</v>
      </c>
      <c r="T1862" s="13">
        <v>782.94</v>
      </c>
      <c r="U1862" s="13">
        <v>203.56440000000001</v>
      </c>
      <c r="V1862" s="55">
        <f>Table3[[#This Row],[Profit]]/Table3[[#This Row],[Sales]]</f>
        <v>0.26</v>
      </c>
    </row>
    <row r="1863" spans="1:22" x14ac:dyDescent="0.2">
      <c r="A1863">
        <v>1862</v>
      </c>
      <c r="B1863" t="s">
        <v>3611</v>
      </c>
      <c r="C1863" s="1">
        <v>42993</v>
      </c>
      <c r="D1863" s="22">
        <f>MONTH(Table3[[#This Row],[Order Date]])</f>
        <v>9</v>
      </c>
      <c r="E1863" t="s">
        <v>3468</v>
      </c>
      <c r="F1863" t="s">
        <v>3469</v>
      </c>
      <c r="G1863" s="23" t="s">
        <v>41</v>
      </c>
      <c r="H1863" s="23" t="s">
        <v>68</v>
      </c>
      <c r="I1863" t="s">
        <v>3612</v>
      </c>
      <c r="J1863" t="s">
        <v>22</v>
      </c>
      <c r="K1863" s="22">
        <v>7</v>
      </c>
      <c r="L1863" s="1">
        <v>42995</v>
      </c>
      <c r="M1863" s="22">
        <f>Table3[[#This Row],[Ship Date]]-Table3[[#This Row],[Order Date]]</f>
        <v>2</v>
      </c>
      <c r="N1863" s="23" t="s">
        <v>20</v>
      </c>
      <c r="O1863" s="23" t="s">
        <v>23</v>
      </c>
      <c r="P1863" s="23" t="s">
        <v>1101</v>
      </c>
      <c r="Q1863" s="23" t="s">
        <v>133</v>
      </c>
      <c r="R1863" s="23" t="s">
        <v>3613</v>
      </c>
      <c r="S1863" s="33">
        <v>0</v>
      </c>
      <c r="T1863" s="13">
        <v>242.48</v>
      </c>
      <c r="U1863" s="13">
        <v>116.3904</v>
      </c>
      <c r="V1863" s="55">
        <f>Table3[[#This Row],[Profit]]/Table3[[#This Row],[Sales]]</f>
        <v>0.48000000000000004</v>
      </c>
    </row>
    <row r="1864" spans="1:22" x14ac:dyDescent="0.2">
      <c r="A1864">
        <v>1863</v>
      </c>
      <c r="B1864" t="s">
        <v>7843</v>
      </c>
      <c r="C1864" s="1">
        <v>42993</v>
      </c>
      <c r="D1864" s="22">
        <f>MONTH(Table3[[#This Row],[Order Date]])</f>
        <v>9</v>
      </c>
      <c r="E1864" t="s">
        <v>4179</v>
      </c>
      <c r="F1864" t="s">
        <v>4180</v>
      </c>
      <c r="G1864" s="23" t="s">
        <v>41</v>
      </c>
      <c r="H1864" s="23" t="s">
        <v>68</v>
      </c>
      <c r="I1864" t="s">
        <v>2192</v>
      </c>
      <c r="J1864" t="s">
        <v>22</v>
      </c>
      <c r="K1864" s="22">
        <v>7</v>
      </c>
      <c r="L1864" s="1">
        <v>42999</v>
      </c>
      <c r="M1864" s="22">
        <f>Table3[[#This Row],[Ship Date]]-Table3[[#This Row],[Order Date]]</f>
        <v>6</v>
      </c>
      <c r="N1864" s="23" t="s">
        <v>45</v>
      </c>
      <c r="O1864" s="23" t="s">
        <v>23</v>
      </c>
      <c r="P1864" s="23" t="s">
        <v>38</v>
      </c>
      <c r="Q1864" s="23" t="s">
        <v>39</v>
      </c>
      <c r="R1864" s="23" t="s">
        <v>37</v>
      </c>
      <c r="S1864" s="33">
        <v>0.2</v>
      </c>
      <c r="T1864" s="13">
        <v>2357.4879999999998</v>
      </c>
      <c r="U1864" s="13">
        <v>884.05799999999999</v>
      </c>
      <c r="V1864" s="55">
        <f>Table3[[#This Row],[Profit]]/Table3[[#This Row],[Sales]]</f>
        <v>0.375</v>
      </c>
    </row>
    <row r="1865" spans="1:22" x14ac:dyDescent="0.2">
      <c r="A1865">
        <v>1864</v>
      </c>
      <c r="B1865" t="s">
        <v>7843</v>
      </c>
      <c r="C1865" s="1">
        <v>42993</v>
      </c>
      <c r="D1865" s="22">
        <f>MONTH(Table3[[#This Row],[Order Date]])</f>
        <v>9</v>
      </c>
      <c r="E1865" t="s">
        <v>735</v>
      </c>
      <c r="F1865" t="s">
        <v>736</v>
      </c>
      <c r="G1865" s="23" t="s">
        <v>64</v>
      </c>
      <c r="H1865" s="23" t="s">
        <v>65</v>
      </c>
      <c r="I1865" t="s">
        <v>2192</v>
      </c>
      <c r="J1865" t="s">
        <v>22</v>
      </c>
      <c r="K1865" s="22">
        <v>7</v>
      </c>
      <c r="L1865" s="1">
        <v>42999</v>
      </c>
      <c r="M1865" s="22">
        <f>Table3[[#This Row],[Ship Date]]-Table3[[#This Row],[Order Date]]</f>
        <v>6</v>
      </c>
      <c r="N1865" s="23" t="s">
        <v>45</v>
      </c>
      <c r="O1865" s="23" t="s">
        <v>23</v>
      </c>
      <c r="P1865" s="23" t="s">
        <v>38</v>
      </c>
      <c r="Q1865" s="23" t="s">
        <v>39</v>
      </c>
      <c r="R1865" s="23" t="s">
        <v>37</v>
      </c>
      <c r="S1865" s="33">
        <v>0.2</v>
      </c>
      <c r="T1865" s="13">
        <v>369.54399999999998</v>
      </c>
      <c r="U1865" s="13">
        <v>32.335099999999997</v>
      </c>
      <c r="V1865" s="55">
        <f>Table3[[#This Row],[Profit]]/Table3[[#This Row],[Sales]]</f>
        <v>8.7499999999999994E-2</v>
      </c>
    </row>
    <row r="1866" spans="1:22" x14ac:dyDescent="0.2">
      <c r="A1866">
        <v>1865</v>
      </c>
      <c r="B1866" t="s">
        <v>7843</v>
      </c>
      <c r="C1866" s="1">
        <v>42993</v>
      </c>
      <c r="D1866" s="22">
        <f>MONTH(Table3[[#This Row],[Order Date]])</f>
        <v>9</v>
      </c>
      <c r="E1866" t="s">
        <v>1359</v>
      </c>
      <c r="F1866" t="s">
        <v>1360</v>
      </c>
      <c r="G1866" s="23" t="s">
        <v>28</v>
      </c>
      <c r="H1866" s="23" t="s">
        <v>32</v>
      </c>
      <c r="I1866" t="s">
        <v>2192</v>
      </c>
      <c r="J1866" t="s">
        <v>22</v>
      </c>
      <c r="K1866" s="22">
        <v>3</v>
      </c>
      <c r="L1866" s="1">
        <v>42999</v>
      </c>
      <c r="M1866" s="22">
        <f>Table3[[#This Row],[Ship Date]]-Table3[[#This Row],[Order Date]]</f>
        <v>6</v>
      </c>
      <c r="N1866" s="23" t="s">
        <v>45</v>
      </c>
      <c r="O1866" s="23" t="s">
        <v>23</v>
      </c>
      <c r="P1866" s="23" t="s">
        <v>38</v>
      </c>
      <c r="Q1866" s="23" t="s">
        <v>39</v>
      </c>
      <c r="R1866" s="23" t="s">
        <v>37</v>
      </c>
      <c r="S1866" s="33">
        <v>0.2</v>
      </c>
      <c r="T1866" s="13">
        <v>184.75200000000001</v>
      </c>
      <c r="U1866" s="13">
        <v>-20.784600000000001</v>
      </c>
      <c r="V1866" s="55">
        <f>Table3[[#This Row],[Profit]]/Table3[[#This Row],[Sales]]</f>
        <v>-0.1125</v>
      </c>
    </row>
    <row r="1867" spans="1:22" x14ac:dyDescent="0.2">
      <c r="A1867">
        <v>1866</v>
      </c>
      <c r="B1867" t="s">
        <v>7929</v>
      </c>
      <c r="C1867" s="1">
        <v>42993</v>
      </c>
      <c r="D1867" s="22">
        <f>MONTH(Table3[[#This Row],[Order Date]])</f>
        <v>9</v>
      </c>
      <c r="E1867" t="s">
        <v>5840</v>
      </c>
      <c r="F1867" t="s">
        <v>5841</v>
      </c>
      <c r="G1867" s="23" t="s">
        <v>41</v>
      </c>
      <c r="H1867" s="23" t="s">
        <v>82</v>
      </c>
      <c r="I1867" t="s">
        <v>1976</v>
      </c>
      <c r="J1867" t="s">
        <v>22</v>
      </c>
      <c r="K1867" s="22">
        <v>5</v>
      </c>
      <c r="L1867" s="1">
        <v>42998</v>
      </c>
      <c r="M1867" s="22">
        <f>Table3[[#This Row],[Ship Date]]-Table3[[#This Row],[Order Date]]</f>
        <v>5</v>
      </c>
      <c r="N1867" s="23" t="s">
        <v>45</v>
      </c>
      <c r="O1867" s="23" t="s">
        <v>23</v>
      </c>
      <c r="P1867" s="23" t="s">
        <v>299</v>
      </c>
      <c r="Q1867" s="23" t="s">
        <v>26</v>
      </c>
      <c r="R1867" s="23" t="s">
        <v>7930</v>
      </c>
      <c r="S1867" s="33">
        <v>0.2</v>
      </c>
      <c r="T1867" s="13">
        <v>163.96</v>
      </c>
      <c r="U1867" s="13">
        <v>59.435499999999998</v>
      </c>
      <c r="V1867" s="55">
        <f>Table3[[#This Row],[Profit]]/Table3[[#This Row],[Sales]]</f>
        <v>0.36249999999999999</v>
      </c>
    </row>
    <row r="1868" spans="1:22" x14ac:dyDescent="0.2">
      <c r="A1868">
        <v>1867</v>
      </c>
      <c r="B1868" t="s">
        <v>8163</v>
      </c>
      <c r="C1868" s="1">
        <v>42993</v>
      </c>
      <c r="D1868" s="22">
        <f>MONTH(Table3[[#This Row],[Order Date]])</f>
        <v>9</v>
      </c>
      <c r="E1868" t="s">
        <v>3300</v>
      </c>
      <c r="F1868" t="s">
        <v>3301</v>
      </c>
      <c r="G1868" s="23" t="s">
        <v>28</v>
      </c>
      <c r="H1868" s="23" t="s">
        <v>32</v>
      </c>
      <c r="I1868" t="s">
        <v>3703</v>
      </c>
      <c r="J1868" t="s">
        <v>22</v>
      </c>
      <c r="K1868" s="22">
        <v>3</v>
      </c>
      <c r="L1868" s="1">
        <v>42997</v>
      </c>
      <c r="M1868" s="22">
        <f>Table3[[#This Row],[Ship Date]]-Table3[[#This Row],[Order Date]]</f>
        <v>4</v>
      </c>
      <c r="N1868" s="23" t="s">
        <v>45</v>
      </c>
      <c r="O1868" s="23" t="s">
        <v>23</v>
      </c>
      <c r="P1868" s="23" t="s">
        <v>38</v>
      </c>
      <c r="Q1868" s="23" t="s">
        <v>39</v>
      </c>
      <c r="R1868" s="23" t="s">
        <v>114</v>
      </c>
      <c r="S1868" s="33">
        <v>0.2</v>
      </c>
      <c r="T1868" s="13">
        <v>218.352</v>
      </c>
      <c r="U1868" s="13">
        <v>0</v>
      </c>
      <c r="V1868" s="55">
        <f>Table3[[#This Row],[Profit]]/Table3[[#This Row],[Sales]]</f>
        <v>0</v>
      </c>
    </row>
    <row r="1869" spans="1:22" x14ac:dyDescent="0.2">
      <c r="A1869">
        <v>1868</v>
      </c>
      <c r="B1869" t="s">
        <v>8163</v>
      </c>
      <c r="C1869" s="1">
        <v>42993</v>
      </c>
      <c r="D1869" s="22">
        <f>MONTH(Table3[[#This Row],[Order Date]])</f>
        <v>9</v>
      </c>
      <c r="E1869" t="s">
        <v>3722</v>
      </c>
      <c r="F1869" t="s">
        <v>3723</v>
      </c>
      <c r="G1869" s="23" t="s">
        <v>28</v>
      </c>
      <c r="H1869" s="23" t="s">
        <v>58</v>
      </c>
      <c r="I1869" t="s">
        <v>3703</v>
      </c>
      <c r="J1869" t="s">
        <v>22</v>
      </c>
      <c r="K1869" s="22">
        <v>5</v>
      </c>
      <c r="L1869" s="1">
        <v>42997</v>
      </c>
      <c r="M1869" s="22">
        <f>Table3[[#This Row],[Ship Date]]-Table3[[#This Row],[Order Date]]</f>
        <v>4</v>
      </c>
      <c r="N1869" s="23" t="s">
        <v>45</v>
      </c>
      <c r="O1869" s="23" t="s">
        <v>23</v>
      </c>
      <c r="P1869" s="23" t="s">
        <v>38</v>
      </c>
      <c r="Q1869" s="23" t="s">
        <v>39</v>
      </c>
      <c r="R1869" s="23" t="s">
        <v>114</v>
      </c>
      <c r="S1869" s="33">
        <v>0</v>
      </c>
      <c r="T1869" s="13">
        <v>529.9</v>
      </c>
      <c r="U1869" s="13">
        <v>105.98</v>
      </c>
      <c r="V1869" s="55">
        <f>Table3[[#This Row],[Profit]]/Table3[[#This Row],[Sales]]</f>
        <v>0.2</v>
      </c>
    </row>
    <row r="1870" spans="1:22" x14ac:dyDescent="0.2">
      <c r="A1870">
        <v>1869</v>
      </c>
      <c r="B1870" t="s">
        <v>8163</v>
      </c>
      <c r="C1870" s="1">
        <v>42993</v>
      </c>
      <c r="D1870" s="22">
        <f>MONTH(Table3[[#This Row],[Order Date]])</f>
        <v>9</v>
      </c>
      <c r="E1870" t="s">
        <v>3746</v>
      </c>
      <c r="F1870" t="s">
        <v>3747</v>
      </c>
      <c r="G1870" s="23" t="s">
        <v>41</v>
      </c>
      <c r="H1870" s="23" t="s">
        <v>61</v>
      </c>
      <c r="I1870" t="s">
        <v>3703</v>
      </c>
      <c r="J1870" t="s">
        <v>22</v>
      </c>
      <c r="K1870" s="22">
        <v>10</v>
      </c>
      <c r="L1870" s="1">
        <v>42997</v>
      </c>
      <c r="M1870" s="22">
        <f>Table3[[#This Row],[Ship Date]]-Table3[[#This Row],[Order Date]]</f>
        <v>4</v>
      </c>
      <c r="N1870" s="23" t="s">
        <v>45</v>
      </c>
      <c r="O1870" s="23" t="s">
        <v>23</v>
      </c>
      <c r="P1870" s="23" t="s">
        <v>38</v>
      </c>
      <c r="Q1870" s="23" t="s">
        <v>39</v>
      </c>
      <c r="R1870" s="23" t="s">
        <v>114</v>
      </c>
      <c r="S1870" s="33">
        <v>0</v>
      </c>
      <c r="T1870" s="13">
        <v>99.3</v>
      </c>
      <c r="U1870" s="13">
        <v>41.706000000000003</v>
      </c>
      <c r="V1870" s="55">
        <f>Table3[[#This Row],[Profit]]/Table3[[#This Row],[Sales]]</f>
        <v>0.42000000000000004</v>
      </c>
    </row>
    <row r="1871" spans="1:22" x14ac:dyDescent="0.2">
      <c r="A1871">
        <v>1870</v>
      </c>
      <c r="B1871" t="s">
        <v>8163</v>
      </c>
      <c r="C1871" s="1">
        <v>42993</v>
      </c>
      <c r="D1871" s="22">
        <f>MONTH(Table3[[#This Row],[Order Date]])</f>
        <v>9</v>
      </c>
      <c r="E1871" t="s">
        <v>4763</v>
      </c>
      <c r="F1871" t="s">
        <v>4764</v>
      </c>
      <c r="G1871" s="23" t="s">
        <v>41</v>
      </c>
      <c r="H1871" s="23" t="s">
        <v>71</v>
      </c>
      <c r="I1871" t="s">
        <v>3703</v>
      </c>
      <c r="J1871" t="s">
        <v>22</v>
      </c>
      <c r="K1871" s="22">
        <v>2</v>
      </c>
      <c r="L1871" s="1">
        <v>42997</v>
      </c>
      <c r="M1871" s="22">
        <f>Table3[[#This Row],[Ship Date]]-Table3[[#This Row],[Order Date]]</f>
        <v>4</v>
      </c>
      <c r="N1871" s="23" t="s">
        <v>45</v>
      </c>
      <c r="O1871" s="23" t="s">
        <v>23</v>
      </c>
      <c r="P1871" s="23" t="s">
        <v>38</v>
      </c>
      <c r="Q1871" s="23" t="s">
        <v>39</v>
      </c>
      <c r="R1871" s="23" t="s">
        <v>114</v>
      </c>
      <c r="S1871" s="33">
        <v>0</v>
      </c>
      <c r="T1871" s="13">
        <v>108.96</v>
      </c>
      <c r="U1871" s="13">
        <v>30.508800000000001</v>
      </c>
      <c r="V1871" s="55">
        <f>Table3[[#This Row],[Profit]]/Table3[[#This Row],[Sales]]</f>
        <v>0.28000000000000003</v>
      </c>
    </row>
    <row r="1872" spans="1:22" x14ac:dyDescent="0.2">
      <c r="A1872">
        <v>1871</v>
      </c>
      <c r="B1872" t="s">
        <v>8163</v>
      </c>
      <c r="C1872" s="1">
        <v>42993</v>
      </c>
      <c r="D1872" s="22">
        <f>MONTH(Table3[[#This Row],[Order Date]])</f>
        <v>9</v>
      </c>
      <c r="E1872" t="s">
        <v>1621</v>
      </c>
      <c r="F1872" t="s">
        <v>1622</v>
      </c>
      <c r="G1872" s="23" t="s">
        <v>41</v>
      </c>
      <c r="H1872" s="23" t="s">
        <v>68</v>
      </c>
      <c r="I1872" t="s">
        <v>3703</v>
      </c>
      <c r="J1872" t="s">
        <v>22</v>
      </c>
      <c r="K1872" s="22">
        <v>1</v>
      </c>
      <c r="L1872" s="1">
        <v>42997</v>
      </c>
      <c r="M1872" s="22">
        <f>Table3[[#This Row],[Ship Date]]-Table3[[#This Row],[Order Date]]</f>
        <v>4</v>
      </c>
      <c r="N1872" s="23" t="s">
        <v>45</v>
      </c>
      <c r="O1872" s="23" t="s">
        <v>23</v>
      </c>
      <c r="P1872" s="23" t="s">
        <v>38</v>
      </c>
      <c r="Q1872" s="23" t="s">
        <v>39</v>
      </c>
      <c r="R1872" s="23" t="s">
        <v>114</v>
      </c>
      <c r="S1872" s="33">
        <v>0.2</v>
      </c>
      <c r="T1872" s="13">
        <v>2.6880000000000002</v>
      </c>
      <c r="U1872" s="13">
        <v>0.84</v>
      </c>
      <c r="V1872" s="55">
        <f>Table3[[#This Row],[Profit]]/Table3[[#This Row],[Sales]]</f>
        <v>0.31249999999999994</v>
      </c>
    </row>
    <row r="1873" spans="1:22" x14ac:dyDescent="0.2">
      <c r="A1873">
        <v>1872</v>
      </c>
      <c r="B1873" t="s">
        <v>8299</v>
      </c>
      <c r="C1873" s="1">
        <v>42993</v>
      </c>
      <c r="D1873" s="22">
        <f>MONTH(Table3[[#This Row],[Order Date]])</f>
        <v>9</v>
      </c>
      <c r="E1873" t="s">
        <v>5490</v>
      </c>
      <c r="F1873" t="s">
        <v>5491</v>
      </c>
      <c r="G1873" s="23" t="s">
        <v>28</v>
      </c>
      <c r="H1873" s="23" t="s">
        <v>58</v>
      </c>
      <c r="I1873" t="s">
        <v>8300</v>
      </c>
      <c r="J1873" t="s">
        <v>36</v>
      </c>
      <c r="K1873" s="22">
        <v>5</v>
      </c>
      <c r="L1873" s="1">
        <v>42997</v>
      </c>
      <c r="M1873" s="22">
        <f>Table3[[#This Row],[Ship Date]]-Table3[[#This Row],[Order Date]]</f>
        <v>4</v>
      </c>
      <c r="N1873" s="23" t="s">
        <v>45</v>
      </c>
      <c r="O1873" s="23" t="s">
        <v>23</v>
      </c>
      <c r="P1873" s="23" t="s">
        <v>695</v>
      </c>
      <c r="Q1873" s="23" t="s">
        <v>133</v>
      </c>
      <c r="R1873" s="23" t="s">
        <v>990</v>
      </c>
      <c r="S1873" s="33">
        <v>0</v>
      </c>
      <c r="T1873" s="13">
        <v>47.4</v>
      </c>
      <c r="U1873" s="13">
        <v>18.96</v>
      </c>
      <c r="V1873" s="55">
        <f>Table3[[#This Row],[Profit]]/Table3[[#This Row],[Sales]]</f>
        <v>0.4</v>
      </c>
    </row>
    <row r="1874" spans="1:22" x14ac:dyDescent="0.2">
      <c r="A1874">
        <v>1873</v>
      </c>
      <c r="B1874" t="s">
        <v>8299</v>
      </c>
      <c r="C1874" s="1">
        <v>42993</v>
      </c>
      <c r="D1874" s="22">
        <f>MONTH(Table3[[#This Row],[Order Date]])</f>
        <v>9</v>
      </c>
      <c r="E1874" t="s">
        <v>6237</v>
      </c>
      <c r="F1874" t="s">
        <v>6238</v>
      </c>
      <c r="G1874" s="23" t="s">
        <v>28</v>
      </c>
      <c r="H1874" s="23" t="s">
        <v>32</v>
      </c>
      <c r="I1874" t="s">
        <v>8300</v>
      </c>
      <c r="J1874" t="s">
        <v>36</v>
      </c>
      <c r="K1874" s="22">
        <v>4</v>
      </c>
      <c r="L1874" s="1">
        <v>42997</v>
      </c>
      <c r="M1874" s="22">
        <f>Table3[[#This Row],[Ship Date]]-Table3[[#This Row],[Order Date]]</f>
        <v>4</v>
      </c>
      <c r="N1874" s="23" t="s">
        <v>45</v>
      </c>
      <c r="O1874" s="23" t="s">
        <v>23</v>
      </c>
      <c r="P1874" s="23" t="s">
        <v>695</v>
      </c>
      <c r="Q1874" s="23" t="s">
        <v>133</v>
      </c>
      <c r="R1874" s="23" t="s">
        <v>990</v>
      </c>
      <c r="S1874" s="33">
        <v>0</v>
      </c>
      <c r="T1874" s="13">
        <v>512.96</v>
      </c>
      <c r="U1874" s="13">
        <v>143.62880000000001</v>
      </c>
      <c r="V1874" s="55">
        <f>Table3[[#This Row],[Profit]]/Table3[[#This Row],[Sales]]</f>
        <v>0.28000000000000003</v>
      </c>
    </row>
    <row r="1875" spans="1:22" x14ac:dyDescent="0.2">
      <c r="A1875">
        <v>1874</v>
      </c>
      <c r="B1875" t="s">
        <v>8299</v>
      </c>
      <c r="C1875" s="1">
        <v>42993</v>
      </c>
      <c r="D1875" s="22">
        <f>MONTH(Table3[[#This Row],[Order Date]])</f>
        <v>9</v>
      </c>
      <c r="E1875" t="s">
        <v>2766</v>
      </c>
      <c r="F1875" t="s">
        <v>2767</v>
      </c>
      <c r="G1875" s="23" t="s">
        <v>64</v>
      </c>
      <c r="H1875" s="23" t="s">
        <v>65</v>
      </c>
      <c r="I1875" t="s">
        <v>8300</v>
      </c>
      <c r="J1875" t="s">
        <v>36</v>
      </c>
      <c r="K1875" s="22">
        <v>6</v>
      </c>
      <c r="L1875" s="1">
        <v>42997</v>
      </c>
      <c r="M1875" s="22">
        <f>Table3[[#This Row],[Ship Date]]-Table3[[#This Row],[Order Date]]</f>
        <v>4</v>
      </c>
      <c r="N1875" s="23" t="s">
        <v>45</v>
      </c>
      <c r="O1875" s="23" t="s">
        <v>23</v>
      </c>
      <c r="P1875" s="23" t="s">
        <v>695</v>
      </c>
      <c r="Q1875" s="23" t="s">
        <v>133</v>
      </c>
      <c r="R1875" s="23" t="s">
        <v>990</v>
      </c>
      <c r="S1875" s="33">
        <v>0</v>
      </c>
      <c r="T1875" s="13">
        <v>395.94</v>
      </c>
      <c r="U1875" s="13">
        <v>102.9444</v>
      </c>
      <c r="V1875" s="55">
        <f>Table3[[#This Row],[Profit]]/Table3[[#This Row],[Sales]]</f>
        <v>0.26</v>
      </c>
    </row>
    <row r="1876" spans="1:22" x14ac:dyDescent="0.2">
      <c r="A1876">
        <v>1875</v>
      </c>
      <c r="B1876" t="s">
        <v>8299</v>
      </c>
      <c r="C1876" s="1">
        <v>42993</v>
      </c>
      <c r="D1876" s="22">
        <f>MONTH(Table3[[#This Row],[Order Date]])</f>
        <v>9</v>
      </c>
      <c r="E1876" t="s">
        <v>1247</v>
      </c>
      <c r="F1876" t="s">
        <v>1248</v>
      </c>
      <c r="G1876" s="23" t="s">
        <v>41</v>
      </c>
      <c r="H1876" s="23" t="s">
        <v>53</v>
      </c>
      <c r="I1876" t="s">
        <v>8300</v>
      </c>
      <c r="J1876" t="s">
        <v>36</v>
      </c>
      <c r="K1876" s="22">
        <v>2</v>
      </c>
      <c r="L1876" s="1">
        <v>42997</v>
      </c>
      <c r="M1876" s="22">
        <f>Table3[[#This Row],[Ship Date]]-Table3[[#This Row],[Order Date]]</f>
        <v>4</v>
      </c>
      <c r="N1876" s="23" t="s">
        <v>45</v>
      </c>
      <c r="O1876" s="23" t="s">
        <v>23</v>
      </c>
      <c r="P1876" s="23" t="s">
        <v>695</v>
      </c>
      <c r="Q1876" s="23" t="s">
        <v>133</v>
      </c>
      <c r="R1876" s="23" t="s">
        <v>990</v>
      </c>
      <c r="S1876" s="33">
        <v>0</v>
      </c>
      <c r="T1876" s="13">
        <v>81.96</v>
      </c>
      <c r="U1876" s="13">
        <v>0</v>
      </c>
      <c r="V1876" s="55">
        <f>Table3[[#This Row],[Profit]]/Table3[[#This Row],[Sales]]</f>
        <v>0</v>
      </c>
    </row>
    <row r="1877" spans="1:22" x14ac:dyDescent="0.2">
      <c r="A1877">
        <v>1876</v>
      </c>
      <c r="B1877" t="s">
        <v>8439</v>
      </c>
      <c r="C1877" s="1">
        <v>42993</v>
      </c>
      <c r="D1877" s="22">
        <f>MONTH(Table3[[#This Row],[Order Date]])</f>
        <v>9</v>
      </c>
      <c r="E1877" t="s">
        <v>6135</v>
      </c>
      <c r="F1877" t="s">
        <v>6136</v>
      </c>
      <c r="G1877" s="23" t="s">
        <v>41</v>
      </c>
      <c r="H1877" s="23" t="s">
        <v>61</v>
      </c>
      <c r="I1877" t="s">
        <v>1729</v>
      </c>
      <c r="J1877" t="s">
        <v>22</v>
      </c>
      <c r="K1877" s="22">
        <v>2</v>
      </c>
      <c r="L1877" s="1">
        <v>42997</v>
      </c>
      <c r="M1877" s="22">
        <f>Table3[[#This Row],[Ship Date]]-Table3[[#This Row],[Order Date]]</f>
        <v>4</v>
      </c>
      <c r="N1877" s="23" t="s">
        <v>45</v>
      </c>
      <c r="O1877" s="23" t="s">
        <v>23</v>
      </c>
      <c r="P1877" s="23" t="s">
        <v>94</v>
      </c>
      <c r="Q1877" s="23" t="s">
        <v>95</v>
      </c>
      <c r="R1877" s="23" t="s">
        <v>165</v>
      </c>
      <c r="S1877" s="33">
        <v>0.2</v>
      </c>
      <c r="T1877" s="13">
        <v>31.744</v>
      </c>
      <c r="U1877" s="13">
        <v>8.3328000000000007</v>
      </c>
      <c r="V1877" s="55">
        <f>Table3[[#This Row],[Profit]]/Table3[[#This Row],[Sales]]</f>
        <v>0.26250000000000001</v>
      </c>
    </row>
    <row r="1878" spans="1:22" x14ac:dyDescent="0.2">
      <c r="A1878">
        <v>1877</v>
      </c>
      <c r="B1878" t="s">
        <v>8853</v>
      </c>
      <c r="C1878" s="1">
        <v>42993</v>
      </c>
      <c r="D1878" s="22">
        <f>MONTH(Table3[[#This Row],[Order Date]])</f>
        <v>9</v>
      </c>
      <c r="E1878" t="s">
        <v>599</v>
      </c>
      <c r="F1878" t="s">
        <v>600</v>
      </c>
      <c r="G1878" s="23" t="s">
        <v>41</v>
      </c>
      <c r="H1878" s="23" t="s">
        <v>61</v>
      </c>
      <c r="I1878" t="s">
        <v>3160</v>
      </c>
      <c r="J1878" t="s">
        <v>22</v>
      </c>
      <c r="K1878" s="22">
        <v>3</v>
      </c>
      <c r="L1878" s="1">
        <v>42998</v>
      </c>
      <c r="M1878" s="22">
        <f>Table3[[#This Row],[Ship Date]]-Table3[[#This Row],[Order Date]]</f>
        <v>5</v>
      </c>
      <c r="N1878" s="23" t="s">
        <v>45</v>
      </c>
      <c r="O1878" s="23" t="s">
        <v>23</v>
      </c>
      <c r="P1878" s="23" t="s">
        <v>87</v>
      </c>
      <c r="Q1878" s="23" t="s">
        <v>39</v>
      </c>
      <c r="R1878" s="23" t="s">
        <v>86</v>
      </c>
      <c r="S1878" s="33">
        <v>0</v>
      </c>
      <c r="T1878" s="13">
        <v>12.42</v>
      </c>
      <c r="U1878" s="13">
        <v>5.2164000000000001</v>
      </c>
      <c r="V1878" s="55">
        <f>Table3[[#This Row],[Profit]]/Table3[[#This Row],[Sales]]</f>
        <v>0.42000000000000004</v>
      </c>
    </row>
    <row r="1879" spans="1:22" x14ac:dyDescent="0.2">
      <c r="A1879">
        <v>1878</v>
      </c>
      <c r="B1879" t="s">
        <v>8962</v>
      </c>
      <c r="C1879" s="1">
        <v>42993</v>
      </c>
      <c r="D1879" s="22">
        <f>MONTH(Table3[[#This Row],[Order Date]])</f>
        <v>9</v>
      </c>
      <c r="E1879" t="s">
        <v>4334</v>
      </c>
      <c r="F1879" t="s">
        <v>4335</v>
      </c>
      <c r="G1879" s="23" t="s">
        <v>41</v>
      </c>
      <c r="H1879" s="23" t="s">
        <v>53</v>
      </c>
      <c r="I1879" t="s">
        <v>5277</v>
      </c>
      <c r="J1879" t="s">
        <v>92</v>
      </c>
      <c r="K1879" s="22">
        <v>2</v>
      </c>
      <c r="L1879" s="1">
        <v>42999</v>
      </c>
      <c r="M1879" s="22">
        <f>Table3[[#This Row],[Ship Date]]-Table3[[#This Row],[Order Date]]</f>
        <v>6</v>
      </c>
      <c r="N1879" s="23" t="s">
        <v>45</v>
      </c>
      <c r="O1879" s="23" t="s">
        <v>23</v>
      </c>
      <c r="P1879" s="23" t="s">
        <v>660</v>
      </c>
      <c r="Q1879" s="23" t="s">
        <v>133</v>
      </c>
      <c r="R1879" s="23" t="s">
        <v>6962</v>
      </c>
      <c r="S1879" s="33">
        <v>0</v>
      </c>
      <c r="T1879" s="13">
        <v>38.619999999999997</v>
      </c>
      <c r="U1879" s="13">
        <v>10.813599999999999</v>
      </c>
      <c r="V1879" s="55">
        <f>Table3[[#This Row],[Profit]]/Table3[[#This Row],[Sales]]</f>
        <v>0.27999999999999997</v>
      </c>
    </row>
    <row r="1880" spans="1:22" x14ac:dyDescent="0.2">
      <c r="A1880">
        <v>1879</v>
      </c>
      <c r="B1880" t="s">
        <v>8962</v>
      </c>
      <c r="C1880" s="1">
        <v>42993</v>
      </c>
      <c r="D1880" s="22">
        <f>MONTH(Table3[[#This Row],[Order Date]])</f>
        <v>9</v>
      </c>
      <c r="E1880" t="s">
        <v>6326</v>
      </c>
      <c r="F1880" t="s">
        <v>6327</v>
      </c>
      <c r="G1880" s="23" t="s">
        <v>64</v>
      </c>
      <c r="H1880" s="23" t="s">
        <v>144</v>
      </c>
      <c r="I1880" t="s">
        <v>5277</v>
      </c>
      <c r="J1880" t="s">
        <v>92</v>
      </c>
      <c r="K1880" s="22">
        <v>2</v>
      </c>
      <c r="L1880" s="1">
        <v>42999</v>
      </c>
      <c r="M1880" s="22">
        <f>Table3[[#This Row],[Ship Date]]-Table3[[#This Row],[Order Date]]</f>
        <v>6</v>
      </c>
      <c r="N1880" s="23" t="s">
        <v>45</v>
      </c>
      <c r="O1880" s="23" t="s">
        <v>23</v>
      </c>
      <c r="P1880" s="23" t="s">
        <v>660</v>
      </c>
      <c r="Q1880" s="23" t="s">
        <v>133</v>
      </c>
      <c r="R1880" s="23" t="s">
        <v>6962</v>
      </c>
      <c r="S1880" s="33">
        <v>0</v>
      </c>
      <c r="T1880" s="13">
        <v>59.98</v>
      </c>
      <c r="U1880" s="13">
        <v>10.7964</v>
      </c>
      <c r="V1880" s="55">
        <f>Table3[[#This Row],[Profit]]/Table3[[#This Row],[Sales]]</f>
        <v>0.18000000000000002</v>
      </c>
    </row>
    <row r="1881" spans="1:22" x14ac:dyDescent="0.2">
      <c r="A1881">
        <v>1880</v>
      </c>
      <c r="B1881" t="s">
        <v>9020</v>
      </c>
      <c r="C1881" s="1">
        <v>42993</v>
      </c>
      <c r="D1881" s="22">
        <f>MONTH(Table3[[#This Row],[Order Date]])</f>
        <v>9</v>
      </c>
      <c r="E1881" t="s">
        <v>410</v>
      </c>
      <c r="F1881" t="s">
        <v>411</v>
      </c>
      <c r="G1881" s="23" t="s">
        <v>41</v>
      </c>
      <c r="H1881" s="23" t="s">
        <v>68</v>
      </c>
      <c r="I1881" t="s">
        <v>7752</v>
      </c>
      <c r="J1881" t="s">
        <v>22</v>
      </c>
      <c r="K1881" s="22">
        <v>9</v>
      </c>
      <c r="L1881" s="1">
        <v>42995</v>
      </c>
      <c r="M1881" s="22">
        <f>Table3[[#This Row],[Ship Date]]-Table3[[#This Row],[Order Date]]</f>
        <v>2</v>
      </c>
      <c r="N1881" s="23" t="s">
        <v>20</v>
      </c>
      <c r="O1881" s="23" t="s">
        <v>23</v>
      </c>
      <c r="P1881" s="23" t="s">
        <v>109</v>
      </c>
      <c r="Q1881" s="23" t="s">
        <v>39</v>
      </c>
      <c r="R1881" s="23" t="s">
        <v>4541</v>
      </c>
      <c r="S1881" s="33">
        <v>0.2</v>
      </c>
      <c r="T1881" s="13">
        <v>295.05599999999998</v>
      </c>
      <c r="U1881" s="13">
        <v>106.95780000000001</v>
      </c>
      <c r="V1881" s="55">
        <f>Table3[[#This Row],[Profit]]/Table3[[#This Row],[Sales]]</f>
        <v>0.36250000000000004</v>
      </c>
    </row>
    <row r="1882" spans="1:22" x14ac:dyDescent="0.2">
      <c r="A1882">
        <v>1881</v>
      </c>
      <c r="B1882" t="s">
        <v>9405</v>
      </c>
      <c r="C1882" s="1">
        <v>42993</v>
      </c>
      <c r="D1882" s="22">
        <f>MONTH(Table3[[#This Row],[Order Date]])</f>
        <v>9</v>
      </c>
      <c r="E1882" t="s">
        <v>796</v>
      </c>
      <c r="F1882" t="s">
        <v>797</v>
      </c>
      <c r="G1882" s="23" t="s">
        <v>28</v>
      </c>
      <c r="H1882" s="23" t="s">
        <v>50</v>
      </c>
      <c r="I1882" t="s">
        <v>337</v>
      </c>
      <c r="J1882" t="s">
        <v>92</v>
      </c>
      <c r="K1882" s="22">
        <v>1</v>
      </c>
      <c r="L1882" s="1">
        <v>42995</v>
      </c>
      <c r="M1882" s="22">
        <f>Table3[[#This Row],[Ship Date]]-Table3[[#This Row],[Order Date]]</f>
        <v>2</v>
      </c>
      <c r="N1882" s="23" t="s">
        <v>20</v>
      </c>
      <c r="O1882" s="23" t="s">
        <v>23</v>
      </c>
      <c r="P1882" s="23" t="s">
        <v>38</v>
      </c>
      <c r="Q1882" s="23" t="s">
        <v>39</v>
      </c>
      <c r="R1882" s="23" t="s">
        <v>114</v>
      </c>
      <c r="S1882" s="33">
        <v>0.2</v>
      </c>
      <c r="T1882" s="13">
        <v>300.904</v>
      </c>
      <c r="U1882" s="13">
        <v>11.283899999999999</v>
      </c>
      <c r="V1882" s="55">
        <f>Table3[[#This Row],[Profit]]/Table3[[#This Row],[Sales]]</f>
        <v>3.7499999999999999E-2</v>
      </c>
    </row>
    <row r="1883" spans="1:22" x14ac:dyDescent="0.2">
      <c r="A1883">
        <v>1882</v>
      </c>
      <c r="B1883" t="s">
        <v>903</v>
      </c>
      <c r="C1883" s="1">
        <v>42994</v>
      </c>
      <c r="D1883" s="22">
        <f>MONTH(Table3[[#This Row],[Order Date]])</f>
        <v>9</v>
      </c>
      <c r="E1883" t="s">
        <v>906</v>
      </c>
      <c r="F1883" t="s">
        <v>907</v>
      </c>
      <c r="G1883" s="23" t="s">
        <v>41</v>
      </c>
      <c r="H1883" s="23" t="s">
        <v>82</v>
      </c>
      <c r="I1883" t="s">
        <v>904</v>
      </c>
      <c r="J1883" t="s">
        <v>36</v>
      </c>
      <c r="K1883" s="22">
        <v>2</v>
      </c>
      <c r="L1883" s="1">
        <v>42995</v>
      </c>
      <c r="M1883" s="22">
        <f>Table3[[#This Row],[Ship Date]]-Table3[[#This Row],[Order Date]]</f>
        <v>1</v>
      </c>
      <c r="N1883" s="23" t="s">
        <v>169</v>
      </c>
      <c r="O1883" s="23" t="s">
        <v>23</v>
      </c>
      <c r="P1883" s="23" t="s">
        <v>38</v>
      </c>
      <c r="Q1883" s="23" t="s">
        <v>39</v>
      </c>
      <c r="R1883" s="23" t="s">
        <v>905</v>
      </c>
      <c r="S1883" s="33">
        <v>0</v>
      </c>
      <c r="T1883" s="13">
        <v>8.82</v>
      </c>
      <c r="U1883" s="13">
        <v>4.0571999999999999</v>
      </c>
      <c r="V1883" s="55">
        <f>Table3[[#This Row],[Profit]]/Table3[[#This Row],[Sales]]</f>
        <v>0.45999999999999996</v>
      </c>
    </row>
    <row r="1884" spans="1:22" x14ac:dyDescent="0.2">
      <c r="A1884">
        <v>1883</v>
      </c>
      <c r="B1884" t="s">
        <v>903</v>
      </c>
      <c r="C1884" s="1">
        <v>42994</v>
      </c>
      <c r="D1884" s="22">
        <f>MONTH(Table3[[#This Row],[Order Date]])</f>
        <v>9</v>
      </c>
      <c r="E1884" t="s">
        <v>908</v>
      </c>
      <c r="F1884" t="s">
        <v>909</v>
      </c>
      <c r="G1884" s="23" t="s">
        <v>41</v>
      </c>
      <c r="H1884" s="23" t="s">
        <v>61</v>
      </c>
      <c r="I1884" t="s">
        <v>904</v>
      </c>
      <c r="J1884" t="s">
        <v>36</v>
      </c>
      <c r="K1884" s="22">
        <v>1</v>
      </c>
      <c r="L1884" s="1">
        <v>42995</v>
      </c>
      <c r="M1884" s="22">
        <f>Table3[[#This Row],[Ship Date]]-Table3[[#This Row],[Order Date]]</f>
        <v>1</v>
      </c>
      <c r="N1884" s="23" t="s">
        <v>169</v>
      </c>
      <c r="O1884" s="23" t="s">
        <v>23</v>
      </c>
      <c r="P1884" s="23" t="s">
        <v>38</v>
      </c>
      <c r="Q1884" s="23" t="s">
        <v>39</v>
      </c>
      <c r="R1884" s="23" t="s">
        <v>905</v>
      </c>
      <c r="S1884" s="33">
        <v>0</v>
      </c>
      <c r="T1884" s="13">
        <v>5.98</v>
      </c>
      <c r="U1884" s="13">
        <v>1.5548</v>
      </c>
      <c r="V1884" s="55">
        <f>Table3[[#This Row],[Profit]]/Table3[[#This Row],[Sales]]</f>
        <v>0.25999999999999995</v>
      </c>
    </row>
    <row r="1885" spans="1:22" x14ac:dyDescent="0.2">
      <c r="A1885">
        <v>1884</v>
      </c>
      <c r="B1885" t="s">
        <v>2053</v>
      </c>
      <c r="C1885" s="1">
        <v>42994</v>
      </c>
      <c r="D1885" s="22">
        <f>MONTH(Table3[[#This Row],[Order Date]])</f>
        <v>9</v>
      </c>
      <c r="E1885" t="s">
        <v>2055</v>
      </c>
      <c r="F1885" t="s">
        <v>2056</v>
      </c>
      <c r="G1885" s="23" t="s">
        <v>41</v>
      </c>
      <c r="H1885" s="23" t="s">
        <v>155</v>
      </c>
      <c r="I1885" t="s">
        <v>2054</v>
      </c>
      <c r="J1885" t="s">
        <v>22</v>
      </c>
      <c r="K1885" s="22">
        <v>2</v>
      </c>
      <c r="L1885" s="1">
        <v>42998</v>
      </c>
      <c r="M1885" s="22">
        <f>Table3[[#This Row],[Ship Date]]-Table3[[#This Row],[Order Date]]</f>
        <v>4</v>
      </c>
      <c r="N1885" s="23" t="s">
        <v>45</v>
      </c>
      <c r="O1885" s="23" t="s">
        <v>23</v>
      </c>
      <c r="P1885" s="23" t="s">
        <v>94</v>
      </c>
      <c r="Q1885" s="23" t="s">
        <v>95</v>
      </c>
      <c r="R1885" s="23" t="s">
        <v>1095</v>
      </c>
      <c r="S1885" s="33">
        <v>0.2</v>
      </c>
      <c r="T1885" s="13">
        <v>17.568000000000001</v>
      </c>
      <c r="U1885" s="13">
        <v>6.3684000000000003</v>
      </c>
      <c r="V1885" s="55">
        <f>Table3[[#This Row],[Profit]]/Table3[[#This Row],[Sales]]</f>
        <v>0.36249999999999999</v>
      </c>
    </row>
    <row r="1886" spans="1:22" x14ac:dyDescent="0.2">
      <c r="A1886">
        <v>1885</v>
      </c>
      <c r="B1886" t="s">
        <v>2053</v>
      </c>
      <c r="C1886" s="1">
        <v>42994</v>
      </c>
      <c r="D1886" s="22">
        <f>MONTH(Table3[[#This Row],[Order Date]])</f>
        <v>9</v>
      </c>
      <c r="E1886" t="s">
        <v>2057</v>
      </c>
      <c r="F1886" t="s">
        <v>2058</v>
      </c>
      <c r="G1886" s="23" t="s">
        <v>64</v>
      </c>
      <c r="H1886" s="23" t="s">
        <v>65</v>
      </c>
      <c r="I1886" t="s">
        <v>2054</v>
      </c>
      <c r="J1886" t="s">
        <v>22</v>
      </c>
      <c r="K1886" s="22">
        <v>1</v>
      </c>
      <c r="L1886" s="1">
        <v>42998</v>
      </c>
      <c r="M1886" s="22">
        <f>Table3[[#This Row],[Ship Date]]-Table3[[#This Row],[Order Date]]</f>
        <v>4</v>
      </c>
      <c r="N1886" s="23" t="s">
        <v>45</v>
      </c>
      <c r="O1886" s="23" t="s">
        <v>23</v>
      </c>
      <c r="P1886" s="23" t="s">
        <v>94</v>
      </c>
      <c r="Q1886" s="23" t="s">
        <v>95</v>
      </c>
      <c r="R1886" s="23" t="s">
        <v>1095</v>
      </c>
      <c r="S1886" s="33">
        <v>0.2</v>
      </c>
      <c r="T1886" s="13">
        <v>55.991999999999997</v>
      </c>
      <c r="U1886" s="13">
        <v>5.5991999999999997</v>
      </c>
      <c r="V1886" s="55">
        <f>Table3[[#This Row],[Profit]]/Table3[[#This Row],[Sales]]</f>
        <v>0.1</v>
      </c>
    </row>
    <row r="1887" spans="1:22" x14ac:dyDescent="0.2">
      <c r="A1887">
        <v>1886</v>
      </c>
      <c r="B1887" t="s">
        <v>5562</v>
      </c>
      <c r="C1887" s="1">
        <v>42994</v>
      </c>
      <c r="D1887" s="22">
        <f>MONTH(Table3[[#This Row],[Order Date]])</f>
        <v>9</v>
      </c>
      <c r="E1887" t="s">
        <v>3926</v>
      </c>
      <c r="F1887" t="s">
        <v>3927</v>
      </c>
      <c r="G1887" s="23" t="s">
        <v>41</v>
      </c>
      <c r="H1887" s="23" t="s">
        <v>82</v>
      </c>
      <c r="I1887" t="s">
        <v>1105</v>
      </c>
      <c r="J1887" t="s">
        <v>92</v>
      </c>
      <c r="K1887" s="22">
        <v>4</v>
      </c>
      <c r="L1887" s="1">
        <v>42999</v>
      </c>
      <c r="M1887" s="22">
        <f>Table3[[#This Row],[Ship Date]]-Table3[[#This Row],[Order Date]]</f>
        <v>5</v>
      </c>
      <c r="N1887" s="23" t="s">
        <v>45</v>
      </c>
      <c r="O1887" s="23" t="s">
        <v>23</v>
      </c>
      <c r="P1887" s="23" t="s">
        <v>132</v>
      </c>
      <c r="Q1887" s="23" t="s">
        <v>133</v>
      </c>
      <c r="R1887" s="23" t="s">
        <v>131</v>
      </c>
      <c r="S1887" s="33">
        <v>0.2</v>
      </c>
      <c r="T1887" s="13">
        <v>20.736000000000001</v>
      </c>
      <c r="U1887" s="13">
        <v>7.2576000000000001</v>
      </c>
      <c r="V1887" s="55">
        <f>Table3[[#This Row],[Profit]]/Table3[[#This Row],[Sales]]</f>
        <v>0.35</v>
      </c>
    </row>
    <row r="1888" spans="1:22" x14ac:dyDescent="0.2">
      <c r="A1888">
        <v>1887</v>
      </c>
      <c r="B1888" t="s">
        <v>5951</v>
      </c>
      <c r="C1888" s="1">
        <v>42994</v>
      </c>
      <c r="D1888" s="22">
        <f>MONTH(Table3[[#This Row],[Order Date]])</f>
        <v>9</v>
      </c>
      <c r="E1888" t="s">
        <v>3525</v>
      </c>
      <c r="F1888" t="s">
        <v>3526</v>
      </c>
      <c r="G1888" s="23" t="s">
        <v>64</v>
      </c>
      <c r="H1888" s="23" t="s">
        <v>144</v>
      </c>
      <c r="I1888" t="s">
        <v>4166</v>
      </c>
      <c r="J1888" t="s">
        <v>22</v>
      </c>
      <c r="K1888" s="22">
        <v>3</v>
      </c>
      <c r="L1888" s="1">
        <v>42996</v>
      </c>
      <c r="M1888" s="22">
        <f>Table3[[#This Row],[Ship Date]]-Table3[[#This Row],[Order Date]]</f>
        <v>2</v>
      </c>
      <c r="N1888" s="23" t="s">
        <v>169</v>
      </c>
      <c r="O1888" s="23" t="s">
        <v>23</v>
      </c>
      <c r="P1888" s="23" t="s">
        <v>132</v>
      </c>
      <c r="Q1888" s="23" t="s">
        <v>133</v>
      </c>
      <c r="R1888" s="23" t="s">
        <v>131</v>
      </c>
      <c r="S1888" s="33">
        <v>0.2</v>
      </c>
      <c r="T1888" s="13">
        <v>71.975999999999999</v>
      </c>
      <c r="U1888" s="13">
        <v>19.793399999999998</v>
      </c>
      <c r="V1888" s="55">
        <f>Table3[[#This Row],[Profit]]/Table3[[#This Row],[Sales]]</f>
        <v>0.27499999999999997</v>
      </c>
    </row>
    <row r="1889" spans="1:22" x14ac:dyDescent="0.2">
      <c r="A1889">
        <v>1888</v>
      </c>
      <c r="B1889" t="s">
        <v>5951</v>
      </c>
      <c r="C1889" s="1">
        <v>42994</v>
      </c>
      <c r="D1889" s="22">
        <f>MONTH(Table3[[#This Row],[Order Date]])</f>
        <v>9</v>
      </c>
      <c r="E1889" t="s">
        <v>5371</v>
      </c>
      <c r="F1889" t="s">
        <v>5372</v>
      </c>
      <c r="G1889" s="23" t="s">
        <v>28</v>
      </c>
      <c r="H1889" s="23" t="s">
        <v>58</v>
      </c>
      <c r="I1889" t="s">
        <v>4166</v>
      </c>
      <c r="J1889" t="s">
        <v>22</v>
      </c>
      <c r="K1889" s="22">
        <v>3</v>
      </c>
      <c r="L1889" s="1">
        <v>42996</v>
      </c>
      <c r="M1889" s="22">
        <f>Table3[[#This Row],[Ship Date]]-Table3[[#This Row],[Order Date]]</f>
        <v>2</v>
      </c>
      <c r="N1889" s="23" t="s">
        <v>169</v>
      </c>
      <c r="O1889" s="23" t="s">
        <v>23</v>
      </c>
      <c r="P1889" s="23" t="s">
        <v>132</v>
      </c>
      <c r="Q1889" s="23" t="s">
        <v>133</v>
      </c>
      <c r="R1889" s="23" t="s">
        <v>131</v>
      </c>
      <c r="S1889" s="33">
        <v>0.2</v>
      </c>
      <c r="T1889" s="13">
        <v>22.512</v>
      </c>
      <c r="U1889" s="13">
        <v>2.2511999999999999</v>
      </c>
      <c r="V1889" s="55">
        <f>Table3[[#This Row],[Profit]]/Table3[[#This Row],[Sales]]</f>
        <v>9.9999999999999992E-2</v>
      </c>
    </row>
    <row r="1890" spans="1:22" x14ac:dyDescent="0.2">
      <c r="A1890">
        <v>1889</v>
      </c>
      <c r="B1890" t="s">
        <v>5951</v>
      </c>
      <c r="C1890" s="1">
        <v>42994</v>
      </c>
      <c r="D1890" s="22">
        <f>MONTH(Table3[[#This Row],[Order Date]])</f>
        <v>9</v>
      </c>
      <c r="E1890" t="s">
        <v>4302</v>
      </c>
      <c r="F1890" t="s">
        <v>4303</v>
      </c>
      <c r="G1890" s="23" t="s">
        <v>41</v>
      </c>
      <c r="H1890" s="23" t="s">
        <v>68</v>
      </c>
      <c r="I1890" t="s">
        <v>4166</v>
      </c>
      <c r="J1890" t="s">
        <v>22</v>
      </c>
      <c r="K1890" s="22">
        <v>2</v>
      </c>
      <c r="L1890" s="1">
        <v>42996</v>
      </c>
      <c r="M1890" s="22">
        <f>Table3[[#This Row],[Ship Date]]-Table3[[#This Row],[Order Date]]</f>
        <v>2</v>
      </c>
      <c r="N1890" s="23" t="s">
        <v>169</v>
      </c>
      <c r="O1890" s="23" t="s">
        <v>23</v>
      </c>
      <c r="P1890" s="23" t="s">
        <v>132</v>
      </c>
      <c r="Q1890" s="23" t="s">
        <v>133</v>
      </c>
      <c r="R1890" s="23" t="s">
        <v>131</v>
      </c>
      <c r="S1890" s="33">
        <v>0.7</v>
      </c>
      <c r="T1890" s="13">
        <v>3.444</v>
      </c>
      <c r="U1890" s="13">
        <v>-2.7551999999999999</v>
      </c>
      <c r="V1890" s="55">
        <f>Table3[[#This Row],[Profit]]/Table3[[#This Row],[Sales]]</f>
        <v>-0.79999999999999993</v>
      </c>
    </row>
    <row r="1891" spans="1:22" x14ac:dyDescent="0.2">
      <c r="A1891">
        <v>1890</v>
      </c>
      <c r="B1891" t="s">
        <v>5951</v>
      </c>
      <c r="C1891" s="1">
        <v>42994</v>
      </c>
      <c r="D1891" s="22">
        <f>MONTH(Table3[[#This Row],[Order Date]])</f>
        <v>9</v>
      </c>
      <c r="E1891" t="s">
        <v>4174</v>
      </c>
      <c r="F1891" t="s">
        <v>4175</v>
      </c>
      <c r="G1891" s="23" t="s">
        <v>41</v>
      </c>
      <c r="H1891" s="23" t="s">
        <v>68</v>
      </c>
      <c r="I1891" t="s">
        <v>4166</v>
      </c>
      <c r="J1891" t="s">
        <v>22</v>
      </c>
      <c r="K1891" s="22">
        <v>2</v>
      </c>
      <c r="L1891" s="1">
        <v>42996</v>
      </c>
      <c r="M1891" s="22">
        <f>Table3[[#This Row],[Ship Date]]-Table3[[#This Row],[Order Date]]</f>
        <v>2</v>
      </c>
      <c r="N1891" s="23" t="s">
        <v>169</v>
      </c>
      <c r="O1891" s="23" t="s">
        <v>23</v>
      </c>
      <c r="P1891" s="23" t="s">
        <v>132</v>
      </c>
      <c r="Q1891" s="23" t="s">
        <v>133</v>
      </c>
      <c r="R1891" s="23" t="s">
        <v>131</v>
      </c>
      <c r="S1891" s="33">
        <v>0.7</v>
      </c>
      <c r="T1891" s="13">
        <v>538.19399999999996</v>
      </c>
      <c r="U1891" s="13">
        <v>-412.61540000000002</v>
      </c>
      <c r="V1891" s="55">
        <f>Table3[[#This Row],[Profit]]/Table3[[#This Row],[Sales]]</f>
        <v>-0.76666666666666672</v>
      </c>
    </row>
    <row r="1892" spans="1:22" x14ac:dyDescent="0.2">
      <c r="A1892">
        <v>1891</v>
      </c>
      <c r="B1892" t="s">
        <v>5951</v>
      </c>
      <c r="C1892" s="1">
        <v>42994</v>
      </c>
      <c r="D1892" s="22">
        <f>MONTH(Table3[[#This Row],[Order Date]])</f>
        <v>9</v>
      </c>
      <c r="E1892" t="s">
        <v>897</v>
      </c>
      <c r="F1892" t="s">
        <v>898</v>
      </c>
      <c r="G1892" s="23" t="s">
        <v>64</v>
      </c>
      <c r="H1892" s="23" t="s">
        <v>144</v>
      </c>
      <c r="I1892" t="s">
        <v>4166</v>
      </c>
      <c r="J1892" t="s">
        <v>22</v>
      </c>
      <c r="K1892" s="22">
        <v>2</v>
      </c>
      <c r="L1892" s="1">
        <v>42996</v>
      </c>
      <c r="M1892" s="22">
        <f>Table3[[#This Row],[Ship Date]]-Table3[[#This Row],[Order Date]]</f>
        <v>2</v>
      </c>
      <c r="N1892" s="23" t="s">
        <v>169</v>
      </c>
      <c r="O1892" s="23" t="s">
        <v>23</v>
      </c>
      <c r="P1892" s="23" t="s">
        <v>132</v>
      </c>
      <c r="Q1892" s="23" t="s">
        <v>133</v>
      </c>
      <c r="R1892" s="23" t="s">
        <v>131</v>
      </c>
      <c r="S1892" s="33">
        <v>0.2</v>
      </c>
      <c r="T1892" s="13">
        <v>47.984000000000002</v>
      </c>
      <c r="U1892" s="13">
        <v>14.395200000000001</v>
      </c>
      <c r="V1892" s="55">
        <f>Table3[[#This Row],[Profit]]/Table3[[#This Row],[Sales]]</f>
        <v>0.3</v>
      </c>
    </row>
    <row r="1893" spans="1:22" x14ac:dyDescent="0.2">
      <c r="A1893">
        <v>1892</v>
      </c>
      <c r="B1893" t="s">
        <v>7841</v>
      </c>
      <c r="C1893" s="1">
        <v>42994</v>
      </c>
      <c r="D1893" s="22">
        <f>MONTH(Table3[[#This Row],[Order Date]])</f>
        <v>9</v>
      </c>
      <c r="E1893" t="s">
        <v>2162</v>
      </c>
      <c r="F1893" t="s">
        <v>2163</v>
      </c>
      <c r="G1893" s="23" t="s">
        <v>41</v>
      </c>
      <c r="H1893" s="23" t="s">
        <v>82</v>
      </c>
      <c r="I1893" t="s">
        <v>5796</v>
      </c>
      <c r="J1893" t="s">
        <v>22</v>
      </c>
      <c r="K1893" s="22">
        <v>6</v>
      </c>
      <c r="L1893" s="1">
        <v>42996</v>
      </c>
      <c r="M1893" s="22">
        <f>Table3[[#This Row],[Ship Date]]-Table3[[#This Row],[Order Date]]</f>
        <v>2</v>
      </c>
      <c r="N1893" s="23" t="s">
        <v>20</v>
      </c>
      <c r="O1893" s="23" t="s">
        <v>23</v>
      </c>
      <c r="P1893" s="23" t="s">
        <v>132</v>
      </c>
      <c r="Q1893" s="23" t="s">
        <v>133</v>
      </c>
      <c r="R1893" s="23" t="s">
        <v>131</v>
      </c>
      <c r="S1893" s="33">
        <v>0.2</v>
      </c>
      <c r="T1893" s="13">
        <v>20.544</v>
      </c>
      <c r="U1893" s="13">
        <v>6.42</v>
      </c>
      <c r="V1893" s="55">
        <f>Table3[[#This Row],[Profit]]/Table3[[#This Row],[Sales]]</f>
        <v>0.3125</v>
      </c>
    </row>
    <row r="1894" spans="1:22" x14ac:dyDescent="0.2">
      <c r="A1894">
        <v>1893</v>
      </c>
      <c r="B1894" t="s">
        <v>9775</v>
      </c>
      <c r="C1894" s="1">
        <v>42994</v>
      </c>
      <c r="D1894" s="22">
        <f>MONTH(Table3[[#This Row],[Order Date]])</f>
        <v>9</v>
      </c>
      <c r="E1894" t="s">
        <v>442</v>
      </c>
      <c r="F1894" t="s">
        <v>443</v>
      </c>
      <c r="G1894" s="23" t="s">
        <v>41</v>
      </c>
      <c r="H1894" s="23" t="s">
        <v>240</v>
      </c>
      <c r="I1894" t="s">
        <v>2814</v>
      </c>
      <c r="J1894" t="s">
        <v>36</v>
      </c>
      <c r="K1894" s="22">
        <v>5</v>
      </c>
      <c r="L1894" s="1">
        <v>42998</v>
      </c>
      <c r="M1894" s="22">
        <f>Table3[[#This Row],[Ship Date]]-Table3[[#This Row],[Order Date]]</f>
        <v>4</v>
      </c>
      <c r="N1894" s="23" t="s">
        <v>45</v>
      </c>
      <c r="O1894" s="23" t="s">
        <v>23</v>
      </c>
      <c r="P1894" s="23" t="s">
        <v>38</v>
      </c>
      <c r="Q1894" s="23" t="s">
        <v>39</v>
      </c>
      <c r="R1894" s="23" t="s">
        <v>114</v>
      </c>
      <c r="S1894" s="33">
        <v>0</v>
      </c>
      <c r="T1894" s="13">
        <v>17.899999999999999</v>
      </c>
      <c r="U1894" s="13">
        <v>8.7710000000000008</v>
      </c>
      <c r="V1894" s="55">
        <f>Table3[[#This Row],[Profit]]/Table3[[#This Row],[Sales]]</f>
        <v>0.4900000000000001</v>
      </c>
    </row>
    <row r="1895" spans="1:22" x14ac:dyDescent="0.2">
      <c r="A1895">
        <v>1894</v>
      </c>
      <c r="B1895" t="s">
        <v>10127</v>
      </c>
      <c r="C1895" s="1">
        <v>42994</v>
      </c>
      <c r="D1895" s="22">
        <f>MONTH(Table3[[#This Row],[Order Date]])</f>
        <v>9</v>
      </c>
      <c r="E1895" t="s">
        <v>5981</v>
      </c>
      <c r="F1895" t="s">
        <v>5982</v>
      </c>
      <c r="G1895" s="23" t="s">
        <v>64</v>
      </c>
      <c r="H1895" s="23" t="s">
        <v>144</v>
      </c>
      <c r="I1895" t="s">
        <v>5152</v>
      </c>
      <c r="J1895" t="s">
        <v>92</v>
      </c>
      <c r="K1895" s="22">
        <v>1</v>
      </c>
      <c r="L1895" s="1">
        <v>42996</v>
      </c>
      <c r="M1895" s="22">
        <f>Table3[[#This Row],[Ship Date]]-Table3[[#This Row],[Order Date]]</f>
        <v>2</v>
      </c>
      <c r="N1895" s="23" t="s">
        <v>20</v>
      </c>
      <c r="O1895" s="23" t="s">
        <v>23</v>
      </c>
      <c r="P1895" s="23" t="s">
        <v>25</v>
      </c>
      <c r="Q1895" s="23" t="s">
        <v>26</v>
      </c>
      <c r="R1895" s="23" t="s">
        <v>2271</v>
      </c>
      <c r="S1895" s="33">
        <v>0</v>
      </c>
      <c r="T1895" s="13">
        <v>18</v>
      </c>
      <c r="U1895" s="13">
        <v>3.24</v>
      </c>
      <c r="V1895" s="55">
        <f>Table3[[#This Row],[Profit]]/Table3[[#This Row],[Sales]]</f>
        <v>0.18000000000000002</v>
      </c>
    </row>
    <row r="1896" spans="1:22" x14ac:dyDescent="0.2">
      <c r="A1896">
        <v>1895</v>
      </c>
      <c r="B1896" t="s">
        <v>4664</v>
      </c>
      <c r="C1896" s="1">
        <v>42995</v>
      </c>
      <c r="D1896" s="22">
        <f>MONTH(Table3[[#This Row],[Order Date]])</f>
        <v>9</v>
      </c>
      <c r="E1896" t="s">
        <v>4666</v>
      </c>
      <c r="F1896" t="s">
        <v>4667</v>
      </c>
      <c r="G1896" s="23" t="s">
        <v>41</v>
      </c>
      <c r="H1896" s="23" t="s">
        <v>82</v>
      </c>
      <c r="I1896" t="s">
        <v>4665</v>
      </c>
      <c r="J1896" t="s">
        <v>22</v>
      </c>
      <c r="K1896" s="22">
        <v>2</v>
      </c>
      <c r="L1896" s="1">
        <v>42995</v>
      </c>
      <c r="M1896" s="22">
        <f>Table3[[#This Row],[Ship Date]]-Table3[[#This Row],[Order Date]]</f>
        <v>0</v>
      </c>
      <c r="N1896" s="23" t="s">
        <v>1141</v>
      </c>
      <c r="O1896" s="23" t="s">
        <v>23</v>
      </c>
      <c r="P1896" s="23" t="s">
        <v>87</v>
      </c>
      <c r="Q1896" s="23" t="s">
        <v>39</v>
      </c>
      <c r="R1896" s="23" t="s">
        <v>86</v>
      </c>
      <c r="S1896" s="33">
        <v>0</v>
      </c>
      <c r="T1896" s="13">
        <v>12.96</v>
      </c>
      <c r="U1896" s="13">
        <v>6.3503999999999996</v>
      </c>
      <c r="V1896" s="55">
        <f>Table3[[#This Row],[Profit]]/Table3[[#This Row],[Sales]]</f>
        <v>0.48999999999999994</v>
      </c>
    </row>
    <row r="1897" spans="1:22" x14ac:dyDescent="0.2">
      <c r="A1897">
        <v>1896</v>
      </c>
      <c r="B1897" t="s">
        <v>4715</v>
      </c>
      <c r="C1897" s="1">
        <v>42995</v>
      </c>
      <c r="D1897" s="22">
        <f>MONTH(Table3[[#This Row],[Order Date]])</f>
        <v>9</v>
      </c>
      <c r="E1897" t="s">
        <v>1132</v>
      </c>
      <c r="F1897" t="s">
        <v>1133</v>
      </c>
      <c r="G1897" s="23" t="s">
        <v>28</v>
      </c>
      <c r="H1897" s="23" t="s">
        <v>32</v>
      </c>
      <c r="I1897" t="s">
        <v>1823</v>
      </c>
      <c r="J1897" t="s">
        <v>92</v>
      </c>
      <c r="K1897" s="22">
        <v>4</v>
      </c>
      <c r="L1897" s="1">
        <v>43000</v>
      </c>
      <c r="M1897" s="22">
        <f>Table3[[#This Row],[Ship Date]]-Table3[[#This Row],[Order Date]]</f>
        <v>5</v>
      </c>
      <c r="N1897" s="23" t="s">
        <v>20</v>
      </c>
      <c r="O1897" s="23" t="s">
        <v>23</v>
      </c>
      <c r="P1897" s="23" t="s">
        <v>1125</v>
      </c>
      <c r="Q1897" s="23" t="s">
        <v>26</v>
      </c>
      <c r="R1897" s="23" t="s">
        <v>2871</v>
      </c>
      <c r="S1897" s="33">
        <v>0</v>
      </c>
      <c r="T1897" s="13">
        <v>723.92</v>
      </c>
      <c r="U1897" s="13">
        <v>188.2192</v>
      </c>
      <c r="V1897" s="55">
        <f>Table3[[#This Row],[Profit]]/Table3[[#This Row],[Sales]]</f>
        <v>0.26</v>
      </c>
    </row>
    <row r="1898" spans="1:22" x14ac:dyDescent="0.2">
      <c r="A1898">
        <v>1897</v>
      </c>
      <c r="B1898" t="s">
        <v>4715</v>
      </c>
      <c r="C1898" s="1">
        <v>42995</v>
      </c>
      <c r="D1898" s="22">
        <f>MONTH(Table3[[#This Row],[Order Date]])</f>
        <v>9</v>
      </c>
      <c r="E1898" t="s">
        <v>930</v>
      </c>
      <c r="F1898" t="s">
        <v>167</v>
      </c>
      <c r="G1898" s="23" t="s">
        <v>41</v>
      </c>
      <c r="H1898" s="23" t="s">
        <v>82</v>
      </c>
      <c r="I1898" t="s">
        <v>1823</v>
      </c>
      <c r="J1898" t="s">
        <v>92</v>
      </c>
      <c r="K1898" s="22">
        <v>3</v>
      </c>
      <c r="L1898" s="1">
        <v>43000</v>
      </c>
      <c r="M1898" s="22">
        <f>Table3[[#This Row],[Ship Date]]-Table3[[#This Row],[Order Date]]</f>
        <v>5</v>
      </c>
      <c r="N1898" s="23" t="s">
        <v>20</v>
      </c>
      <c r="O1898" s="23" t="s">
        <v>23</v>
      </c>
      <c r="P1898" s="23" t="s">
        <v>1125</v>
      </c>
      <c r="Q1898" s="23" t="s">
        <v>26</v>
      </c>
      <c r="R1898" s="23" t="s">
        <v>2871</v>
      </c>
      <c r="S1898" s="33">
        <v>0</v>
      </c>
      <c r="T1898" s="13">
        <v>106.32</v>
      </c>
      <c r="U1898" s="13">
        <v>49.970399999999998</v>
      </c>
      <c r="V1898" s="55">
        <f>Table3[[#This Row],[Profit]]/Table3[[#This Row],[Sales]]</f>
        <v>0.47000000000000003</v>
      </c>
    </row>
    <row r="1899" spans="1:22" x14ac:dyDescent="0.2">
      <c r="A1899">
        <v>1898</v>
      </c>
      <c r="B1899" t="s">
        <v>5139</v>
      </c>
      <c r="C1899" s="1">
        <v>42995</v>
      </c>
      <c r="D1899" s="22">
        <f>MONTH(Table3[[#This Row],[Order Date]])</f>
        <v>9</v>
      </c>
      <c r="E1899" t="s">
        <v>4998</v>
      </c>
      <c r="F1899" t="s">
        <v>1078</v>
      </c>
      <c r="G1899" s="23" t="s">
        <v>41</v>
      </c>
      <c r="H1899" s="23" t="s">
        <v>68</v>
      </c>
      <c r="I1899" t="s">
        <v>981</v>
      </c>
      <c r="J1899" t="s">
        <v>36</v>
      </c>
      <c r="K1899" s="22">
        <v>3</v>
      </c>
      <c r="L1899" s="1">
        <v>42999</v>
      </c>
      <c r="M1899" s="22">
        <f>Table3[[#This Row],[Ship Date]]-Table3[[#This Row],[Order Date]]</f>
        <v>4</v>
      </c>
      <c r="N1899" s="23" t="s">
        <v>20</v>
      </c>
      <c r="O1899" s="23" t="s">
        <v>23</v>
      </c>
      <c r="P1899" s="23" t="s">
        <v>109</v>
      </c>
      <c r="Q1899" s="23" t="s">
        <v>39</v>
      </c>
      <c r="R1899" s="23" t="s">
        <v>3326</v>
      </c>
      <c r="S1899" s="33">
        <v>0.2</v>
      </c>
      <c r="T1899" s="13">
        <v>10.776</v>
      </c>
      <c r="U1899" s="13">
        <v>3.5022000000000002</v>
      </c>
      <c r="V1899" s="55">
        <f>Table3[[#This Row],[Profit]]/Table3[[#This Row],[Sales]]</f>
        <v>0.32500000000000001</v>
      </c>
    </row>
    <row r="1900" spans="1:22" x14ac:dyDescent="0.2">
      <c r="A1900">
        <v>1899</v>
      </c>
      <c r="B1900" t="s">
        <v>5139</v>
      </c>
      <c r="C1900" s="1">
        <v>42995</v>
      </c>
      <c r="D1900" s="22">
        <f>MONTH(Table3[[#This Row],[Order Date]])</f>
        <v>9</v>
      </c>
      <c r="E1900" t="s">
        <v>2386</v>
      </c>
      <c r="F1900" t="s">
        <v>2387</v>
      </c>
      <c r="G1900" s="23" t="s">
        <v>41</v>
      </c>
      <c r="H1900" s="23" t="s">
        <v>68</v>
      </c>
      <c r="I1900" t="s">
        <v>981</v>
      </c>
      <c r="J1900" t="s">
        <v>36</v>
      </c>
      <c r="K1900" s="22">
        <v>3</v>
      </c>
      <c r="L1900" s="1">
        <v>42999</v>
      </c>
      <c r="M1900" s="22">
        <f>Table3[[#This Row],[Ship Date]]-Table3[[#This Row],[Order Date]]</f>
        <v>4</v>
      </c>
      <c r="N1900" s="23" t="s">
        <v>20</v>
      </c>
      <c r="O1900" s="23" t="s">
        <v>23</v>
      </c>
      <c r="P1900" s="23" t="s">
        <v>109</v>
      </c>
      <c r="Q1900" s="23" t="s">
        <v>39</v>
      </c>
      <c r="R1900" s="23" t="s">
        <v>3326</v>
      </c>
      <c r="S1900" s="33">
        <v>0.2</v>
      </c>
      <c r="T1900" s="13">
        <v>11.784000000000001</v>
      </c>
      <c r="U1900" s="13">
        <v>4.2717000000000001</v>
      </c>
      <c r="V1900" s="55">
        <f>Table3[[#This Row],[Profit]]/Table3[[#This Row],[Sales]]</f>
        <v>0.36249999999999999</v>
      </c>
    </row>
    <row r="1901" spans="1:22" x14ac:dyDescent="0.2">
      <c r="A1901">
        <v>1900</v>
      </c>
      <c r="B1901" t="s">
        <v>5139</v>
      </c>
      <c r="C1901" s="1">
        <v>42995</v>
      </c>
      <c r="D1901" s="22">
        <f>MONTH(Table3[[#This Row],[Order Date]])</f>
        <v>9</v>
      </c>
      <c r="E1901" t="s">
        <v>5140</v>
      </c>
      <c r="F1901" t="s">
        <v>5141</v>
      </c>
      <c r="G1901" s="23" t="s">
        <v>41</v>
      </c>
      <c r="H1901" s="23" t="s">
        <v>82</v>
      </c>
      <c r="I1901" t="s">
        <v>981</v>
      </c>
      <c r="J1901" t="s">
        <v>36</v>
      </c>
      <c r="K1901" s="22">
        <v>3</v>
      </c>
      <c r="L1901" s="1">
        <v>42999</v>
      </c>
      <c r="M1901" s="22">
        <f>Table3[[#This Row],[Ship Date]]-Table3[[#This Row],[Order Date]]</f>
        <v>4</v>
      </c>
      <c r="N1901" s="23" t="s">
        <v>20</v>
      </c>
      <c r="O1901" s="23" t="s">
        <v>23</v>
      </c>
      <c r="P1901" s="23" t="s">
        <v>109</v>
      </c>
      <c r="Q1901" s="23" t="s">
        <v>39</v>
      </c>
      <c r="R1901" s="23" t="s">
        <v>3326</v>
      </c>
      <c r="S1901" s="33">
        <v>0</v>
      </c>
      <c r="T1901" s="13">
        <v>164.88</v>
      </c>
      <c r="U1901" s="13">
        <v>80.791200000000003</v>
      </c>
      <c r="V1901" s="55">
        <f>Table3[[#This Row],[Profit]]/Table3[[#This Row],[Sales]]</f>
        <v>0.49000000000000005</v>
      </c>
    </row>
    <row r="1902" spans="1:22" x14ac:dyDescent="0.2">
      <c r="A1902">
        <v>1901</v>
      </c>
      <c r="B1902" t="s">
        <v>5139</v>
      </c>
      <c r="C1902" s="1">
        <v>42995</v>
      </c>
      <c r="D1902" s="22">
        <f>MONTH(Table3[[#This Row],[Order Date]])</f>
        <v>9</v>
      </c>
      <c r="E1902" t="s">
        <v>5142</v>
      </c>
      <c r="F1902" t="s">
        <v>5143</v>
      </c>
      <c r="G1902" s="23" t="s">
        <v>28</v>
      </c>
      <c r="H1902" s="23" t="s">
        <v>29</v>
      </c>
      <c r="I1902" t="s">
        <v>981</v>
      </c>
      <c r="J1902" t="s">
        <v>36</v>
      </c>
      <c r="K1902" s="22">
        <v>3</v>
      </c>
      <c r="L1902" s="1">
        <v>42999</v>
      </c>
      <c r="M1902" s="22">
        <f>Table3[[#This Row],[Ship Date]]-Table3[[#This Row],[Order Date]]</f>
        <v>4</v>
      </c>
      <c r="N1902" s="23" t="s">
        <v>20</v>
      </c>
      <c r="O1902" s="23" t="s">
        <v>23</v>
      </c>
      <c r="P1902" s="23" t="s">
        <v>109</v>
      </c>
      <c r="Q1902" s="23" t="s">
        <v>39</v>
      </c>
      <c r="R1902" s="23" t="s">
        <v>3326</v>
      </c>
      <c r="S1902" s="33">
        <v>0</v>
      </c>
      <c r="T1902" s="13">
        <v>1292.94</v>
      </c>
      <c r="U1902" s="13">
        <v>77.576400000000007</v>
      </c>
      <c r="V1902" s="55">
        <f>Table3[[#This Row],[Profit]]/Table3[[#This Row],[Sales]]</f>
        <v>6.0000000000000005E-2</v>
      </c>
    </row>
    <row r="1903" spans="1:22" x14ac:dyDescent="0.2">
      <c r="A1903">
        <v>1902</v>
      </c>
      <c r="B1903" t="s">
        <v>5139</v>
      </c>
      <c r="C1903" s="1">
        <v>42995</v>
      </c>
      <c r="D1903" s="22">
        <f>MONTH(Table3[[#This Row],[Order Date]])</f>
        <v>9</v>
      </c>
      <c r="E1903" t="s">
        <v>5144</v>
      </c>
      <c r="F1903" t="s">
        <v>5145</v>
      </c>
      <c r="G1903" s="23" t="s">
        <v>41</v>
      </c>
      <c r="H1903" s="23" t="s">
        <v>68</v>
      </c>
      <c r="I1903" t="s">
        <v>981</v>
      </c>
      <c r="J1903" t="s">
        <v>36</v>
      </c>
      <c r="K1903" s="22">
        <v>2</v>
      </c>
      <c r="L1903" s="1">
        <v>42999</v>
      </c>
      <c r="M1903" s="22">
        <f>Table3[[#This Row],[Ship Date]]-Table3[[#This Row],[Order Date]]</f>
        <v>4</v>
      </c>
      <c r="N1903" s="23" t="s">
        <v>20</v>
      </c>
      <c r="O1903" s="23" t="s">
        <v>23</v>
      </c>
      <c r="P1903" s="23" t="s">
        <v>109</v>
      </c>
      <c r="Q1903" s="23" t="s">
        <v>39</v>
      </c>
      <c r="R1903" s="23" t="s">
        <v>3326</v>
      </c>
      <c r="S1903" s="33">
        <v>0.2</v>
      </c>
      <c r="T1903" s="13">
        <v>25.584</v>
      </c>
      <c r="U1903" s="13">
        <v>8.9543999999999997</v>
      </c>
      <c r="V1903" s="55">
        <f>Table3[[#This Row],[Profit]]/Table3[[#This Row],[Sales]]</f>
        <v>0.35</v>
      </c>
    </row>
    <row r="1904" spans="1:22" x14ac:dyDescent="0.2">
      <c r="A1904">
        <v>1903</v>
      </c>
      <c r="B1904" t="s">
        <v>5139</v>
      </c>
      <c r="C1904" s="1">
        <v>42995</v>
      </c>
      <c r="D1904" s="22">
        <f>MONTH(Table3[[#This Row],[Order Date]])</f>
        <v>9</v>
      </c>
      <c r="E1904" t="s">
        <v>1820</v>
      </c>
      <c r="F1904" t="s">
        <v>1821</v>
      </c>
      <c r="G1904" s="23" t="s">
        <v>41</v>
      </c>
      <c r="H1904" s="23" t="s">
        <v>53</v>
      </c>
      <c r="I1904" t="s">
        <v>981</v>
      </c>
      <c r="J1904" t="s">
        <v>36</v>
      </c>
      <c r="K1904" s="22">
        <v>2</v>
      </c>
      <c r="L1904" s="1">
        <v>42999</v>
      </c>
      <c r="M1904" s="22">
        <f>Table3[[#This Row],[Ship Date]]-Table3[[#This Row],[Order Date]]</f>
        <v>4</v>
      </c>
      <c r="N1904" s="23" t="s">
        <v>20</v>
      </c>
      <c r="O1904" s="23" t="s">
        <v>23</v>
      </c>
      <c r="P1904" s="23" t="s">
        <v>109</v>
      </c>
      <c r="Q1904" s="23" t="s">
        <v>39</v>
      </c>
      <c r="R1904" s="23" t="s">
        <v>3326</v>
      </c>
      <c r="S1904" s="33">
        <v>0</v>
      </c>
      <c r="T1904" s="13">
        <v>261.74</v>
      </c>
      <c r="U1904" s="13">
        <v>65.435000000000002</v>
      </c>
      <c r="V1904" s="55">
        <f>Table3[[#This Row],[Profit]]/Table3[[#This Row],[Sales]]</f>
        <v>0.25</v>
      </c>
    </row>
    <row r="1905" spans="1:22" x14ac:dyDescent="0.2">
      <c r="A1905">
        <v>1904</v>
      </c>
      <c r="B1905" t="s">
        <v>5139</v>
      </c>
      <c r="C1905" s="1">
        <v>42995</v>
      </c>
      <c r="D1905" s="22">
        <f>MONTH(Table3[[#This Row],[Order Date]])</f>
        <v>9</v>
      </c>
      <c r="E1905" t="s">
        <v>2696</v>
      </c>
      <c r="F1905" t="s">
        <v>2697</v>
      </c>
      <c r="G1905" s="23" t="s">
        <v>41</v>
      </c>
      <c r="H1905" s="23" t="s">
        <v>42</v>
      </c>
      <c r="I1905" t="s">
        <v>981</v>
      </c>
      <c r="J1905" t="s">
        <v>36</v>
      </c>
      <c r="K1905" s="22">
        <v>5</v>
      </c>
      <c r="L1905" s="1">
        <v>42999</v>
      </c>
      <c r="M1905" s="22">
        <f>Table3[[#This Row],[Ship Date]]-Table3[[#This Row],[Order Date]]</f>
        <v>4</v>
      </c>
      <c r="N1905" s="23" t="s">
        <v>20</v>
      </c>
      <c r="O1905" s="23" t="s">
        <v>23</v>
      </c>
      <c r="P1905" s="23" t="s">
        <v>109</v>
      </c>
      <c r="Q1905" s="23" t="s">
        <v>39</v>
      </c>
      <c r="R1905" s="23" t="s">
        <v>3326</v>
      </c>
      <c r="S1905" s="33">
        <v>0</v>
      </c>
      <c r="T1905" s="13">
        <v>14.4</v>
      </c>
      <c r="U1905" s="13">
        <v>7.056</v>
      </c>
      <c r="V1905" s="55">
        <f>Table3[[#This Row],[Profit]]/Table3[[#This Row],[Sales]]</f>
        <v>0.49</v>
      </c>
    </row>
    <row r="1906" spans="1:22" x14ac:dyDescent="0.2">
      <c r="A1906">
        <v>1905</v>
      </c>
      <c r="B1906" t="s">
        <v>8708</v>
      </c>
      <c r="C1906" s="1">
        <v>42995</v>
      </c>
      <c r="D1906" s="22">
        <f>MONTH(Table3[[#This Row],[Order Date]])</f>
        <v>9</v>
      </c>
      <c r="E1906" t="s">
        <v>419</v>
      </c>
      <c r="F1906" t="s">
        <v>420</v>
      </c>
      <c r="G1906" s="23" t="s">
        <v>41</v>
      </c>
      <c r="H1906" s="23" t="s">
        <v>61</v>
      </c>
      <c r="I1906" t="s">
        <v>2341</v>
      </c>
      <c r="J1906" t="s">
        <v>92</v>
      </c>
      <c r="K1906" s="22">
        <v>3</v>
      </c>
      <c r="L1906" s="1">
        <v>43000</v>
      </c>
      <c r="M1906" s="22">
        <f>Table3[[#This Row],[Ship Date]]-Table3[[#This Row],[Order Date]]</f>
        <v>5</v>
      </c>
      <c r="N1906" s="23" t="s">
        <v>20</v>
      </c>
      <c r="O1906" s="23" t="s">
        <v>23</v>
      </c>
      <c r="P1906" s="23" t="s">
        <v>94</v>
      </c>
      <c r="Q1906" s="23" t="s">
        <v>95</v>
      </c>
      <c r="R1906" s="23" t="s">
        <v>165</v>
      </c>
      <c r="S1906" s="33">
        <v>0.2</v>
      </c>
      <c r="T1906" s="13">
        <v>9.9120000000000008</v>
      </c>
      <c r="U1906" s="13">
        <v>3.2214</v>
      </c>
      <c r="V1906" s="55">
        <f>Table3[[#This Row],[Profit]]/Table3[[#This Row],[Sales]]</f>
        <v>0.32499999999999996</v>
      </c>
    </row>
    <row r="1907" spans="1:22" x14ac:dyDescent="0.2">
      <c r="A1907">
        <v>1906</v>
      </c>
      <c r="B1907" t="s">
        <v>8708</v>
      </c>
      <c r="C1907" s="1">
        <v>42995</v>
      </c>
      <c r="D1907" s="22">
        <f>MONTH(Table3[[#This Row],[Order Date]])</f>
        <v>9</v>
      </c>
      <c r="E1907" t="s">
        <v>4287</v>
      </c>
      <c r="F1907" t="s">
        <v>4288</v>
      </c>
      <c r="G1907" s="23" t="s">
        <v>28</v>
      </c>
      <c r="H1907" s="23" t="s">
        <v>32</v>
      </c>
      <c r="I1907" t="s">
        <v>2341</v>
      </c>
      <c r="J1907" t="s">
        <v>92</v>
      </c>
      <c r="K1907" s="22">
        <v>5</v>
      </c>
      <c r="L1907" s="1">
        <v>43000</v>
      </c>
      <c r="M1907" s="22">
        <f>Table3[[#This Row],[Ship Date]]-Table3[[#This Row],[Order Date]]</f>
        <v>5</v>
      </c>
      <c r="N1907" s="23" t="s">
        <v>20</v>
      </c>
      <c r="O1907" s="23" t="s">
        <v>23</v>
      </c>
      <c r="P1907" s="23" t="s">
        <v>94</v>
      </c>
      <c r="Q1907" s="23" t="s">
        <v>95</v>
      </c>
      <c r="R1907" s="23" t="s">
        <v>165</v>
      </c>
      <c r="S1907" s="33">
        <v>0.3</v>
      </c>
      <c r="T1907" s="13">
        <v>318.43</v>
      </c>
      <c r="U1907" s="13">
        <v>-77.332999999999998</v>
      </c>
      <c r="V1907" s="55">
        <f>Table3[[#This Row],[Profit]]/Table3[[#This Row],[Sales]]</f>
        <v>-0.24285714285714285</v>
      </c>
    </row>
    <row r="1908" spans="1:22" x14ac:dyDescent="0.2">
      <c r="A1908">
        <v>1907</v>
      </c>
      <c r="B1908" t="s">
        <v>8708</v>
      </c>
      <c r="C1908" s="1">
        <v>42995</v>
      </c>
      <c r="D1908" s="22">
        <f>MONTH(Table3[[#This Row],[Order Date]])</f>
        <v>9</v>
      </c>
      <c r="E1908" t="s">
        <v>1144</v>
      </c>
      <c r="F1908" t="s">
        <v>1145</v>
      </c>
      <c r="G1908" s="23" t="s">
        <v>41</v>
      </c>
      <c r="H1908" s="23" t="s">
        <v>68</v>
      </c>
      <c r="I1908" t="s">
        <v>2341</v>
      </c>
      <c r="J1908" t="s">
        <v>92</v>
      </c>
      <c r="K1908" s="22">
        <v>5</v>
      </c>
      <c r="L1908" s="1">
        <v>43000</v>
      </c>
      <c r="M1908" s="22">
        <f>Table3[[#This Row],[Ship Date]]-Table3[[#This Row],[Order Date]]</f>
        <v>5</v>
      </c>
      <c r="N1908" s="23" t="s">
        <v>20</v>
      </c>
      <c r="O1908" s="23" t="s">
        <v>23</v>
      </c>
      <c r="P1908" s="23" t="s">
        <v>94</v>
      </c>
      <c r="Q1908" s="23" t="s">
        <v>95</v>
      </c>
      <c r="R1908" s="23" t="s">
        <v>165</v>
      </c>
      <c r="S1908" s="33">
        <v>0.8</v>
      </c>
      <c r="T1908" s="13">
        <v>5.8</v>
      </c>
      <c r="U1908" s="13">
        <v>-10.15</v>
      </c>
      <c r="V1908" s="55">
        <f>Table3[[#This Row],[Profit]]/Table3[[#This Row],[Sales]]</f>
        <v>-1.7500000000000002</v>
      </c>
    </row>
    <row r="1909" spans="1:22" x14ac:dyDescent="0.2">
      <c r="A1909">
        <v>1908</v>
      </c>
      <c r="B1909" t="s">
        <v>8708</v>
      </c>
      <c r="C1909" s="1">
        <v>42995</v>
      </c>
      <c r="D1909" s="22">
        <f>MONTH(Table3[[#This Row],[Order Date]])</f>
        <v>9</v>
      </c>
      <c r="E1909" t="s">
        <v>5942</v>
      </c>
      <c r="F1909" t="s">
        <v>5943</v>
      </c>
      <c r="G1909" s="23" t="s">
        <v>64</v>
      </c>
      <c r="H1909" s="23" t="s">
        <v>65</v>
      </c>
      <c r="I1909" t="s">
        <v>2341</v>
      </c>
      <c r="J1909" t="s">
        <v>92</v>
      </c>
      <c r="K1909" s="22">
        <v>6</v>
      </c>
      <c r="L1909" s="1">
        <v>43000</v>
      </c>
      <c r="M1909" s="22">
        <f>Table3[[#This Row],[Ship Date]]-Table3[[#This Row],[Order Date]]</f>
        <v>5</v>
      </c>
      <c r="N1909" s="23" t="s">
        <v>20</v>
      </c>
      <c r="O1909" s="23" t="s">
        <v>23</v>
      </c>
      <c r="P1909" s="23" t="s">
        <v>94</v>
      </c>
      <c r="Q1909" s="23" t="s">
        <v>95</v>
      </c>
      <c r="R1909" s="23" t="s">
        <v>165</v>
      </c>
      <c r="S1909" s="33">
        <v>0.2</v>
      </c>
      <c r="T1909" s="13">
        <v>1415.76</v>
      </c>
      <c r="U1909" s="13">
        <v>88.484999999999999</v>
      </c>
      <c r="V1909" s="55">
        <f>Table3[[#This Row],[Profit]]/Table3[[#This Row],[Sales]]</f>
        <v>6.25E-2</v>
      </c>
    </row>
    <row r="1910" spans="1:22" x14ac:dyDescent="0.2">
      <c r="A1910">
        <v>1909</v>
      </c>
      <c r="B1910" t="s">
        <v>9506</v>
      </c>
      <c r="C1910" s="1">
        <v>42995</v>
      </c>
      <c r="D1910" s="22">
        <f>MONTH(Table3[[#This Row],[Order Date]])</f>
        <v>9</v>
      </c>
      <c r="E1910" t="s">
        <v>9507</v>
      </c>
      <c r="F1910" t="s">
        <v>9508</v>
      </c>
      <c r="G1910" s="23" t="s">
        <v>64</v>
      </c>
      <c r="H1910" s="23" t="s">
        <v>602</v>
      </c>
      <c r="I1910" t="s">
        <v>399</v>
      </c>
      <c r="J1910" t="s">
        <v>22</v>
      </c>
      <c r="K1910" s="22">
        <v>4</v>
      </c>
      <c r="L1910" s="1">
        <v>43001</v>
      </c>
      <c r="M1910" s="22">
        <f>Table3[[#This Row],[Ship Date]]-Table3[[#This Row],[Order Date]]</f>
        <v>6</v>
      </c>
      <c r="N1910" s="23" t="s">
        <v>45</v>
      </c>
      <c r="O1910" s="23" t="s">
        <v>23</v>
      </c>
      <c r="P1910" s="23" t="s">
        <v>695</v>
      </c>
      <c r="Q1910" s="23" t="s">
        <v>133</v>
      </c>
      <c r="R1910" s="23" t="s">
        <v>882</v>
      </c>
      <c r="S1910" s="33">
        <v>0</v>
      </c>
      <c r="T1910" s="13">
        <v>480</v>
      </c>
      <c r="U1910" s="13">
        <v>225.6</v>
      </c>
      <c r="V1910" s="55">
        <f>Table3[[#This Row],[Profit]]/Table3[[#This Row],[Sales]]</f>
        <v>0.47</v>
      </c>
    </row>
    <row r="1911" spans="1:22" x14ac:dyDescent="0.2">
      <c r="A1911">
        <v>1910</v>
      </c>
      <c r="B1911" t="s">
        <v>9506</v>
      </c>
      <c r="C1911" s="1">
        <v>42995</v>
      </c>
      <c r="D1911" s="22">
        <f>MONTH(Table3[[#This Row],[Order Date]])</f>
        <v>9</v>
      </c>
      <c r="E1911" t="s">
        <v>312</v>
      </c>
      <c r="F1911" t="s">
        <v>313</v>
      </c>
      <c r="G1911" s="23" t="s">
        <v>41</v>
      </c>
      <c r="H1911" s="23" t="s">
        <v>53</v>
      </c>
      <c r="I1911" t="s">
        <v>399</v>
      </c>
      <c r="J1911" t="s">
        <v>22</v>
      </c>
      <c r="K1911" s="22">
        <v>3</v>
      </c>
      <c r="L1911" s="1">
        <v>43001</v>
      </c>
      <c r="M1911" s="22">
        <f>Table3[[#This Row],[Ship Date]]-Table3[[#This Row],[Order Date]]</f>
        <v>6</v>
      </c>
      <c r="N1911" s="23" t="s">
        <v>45</v>
      </c>
      <c r="O1911" s="23" t="s">
        <v>23</v>
      </c>
      <c r="P1911" s="23" t="s">
        <v>695</v>
      </c>
      <c r="Q1911" s="23" t="s">
        <v>133</v>
      </c>
      <c r="R1911" s="23" t="s">
        <v>882</v>
      </c>
      <c r="S1911" s="33">
        <v>0</v>
      </c>
      <c r="T1911" s="13">
        <v>34.049999999999997</v>
      </c>
      <c r="U1911" s="13">
        <v>9.5340000000000007</v>
      </c>
      <c r="V1911" s="55">
        <f>Table3[[#This Row],[Profit]]/Table3[[#This Row],[Sales]]</f>
        <v>0.28000000000000003</v>
      </c>
    </row>
    <row r="1912" spans="1:22" x14ac:dyDescent="0.2">
      <c r="A1912">
        <v>1911</v>
      </c>
      <c r="B1912" t="s">
        <v>10015</v>
      </c>
      <c r="C1912" s="1">
        <v>42995</v>
      </c>
      <c r="D1912" s="22">
        <f>MONTH(Table3[[#This Row],[Order Date]])</f>
        <v>9</v>
      </c>
      <c r="E1912" t="s">
        <v>3525</v>
      </c>
      <c r="F1912" t="s">
        <v>3526</v>
      </c>
      <c r="G1912" s="23" t="s">
        <v>64</v>
      </c>
      <c r="H1912" s="23" t="s">
        <v>144</v>
      </c>
      <c r="I1912" t="s">
        <v>4910</v>
      </c>
      <c r="J1912" t="s">
        <v>22</v>
      </c>
      <c r="K1912" s="22">
        <v>3</v>
      </c>
      <c r="L1912" s="1">
        <v>42998</v>
      </c>
      <c r="M1912" s="22">
        <f>Table3[[#This Row],[Ship Date]]-Table3[[#This Row],[Order Date]]</f>
        <v>3</v>
      </c>
      <c r="N1912" s="23" t="s">
        <v>169</v>
      </c>
      <c r="O1912" s="23" t="s">
        <v>23</v>
      </c>
      <c r="P1912" s="23" t="s">
        <v>5585</v>
      </c>
      <c r="Q1912" s="23" t="s">
        <v>39</v>
      </c>
      <c r="R1912" s="23" t="s">
        <v>6566</v>
      </c>
      <c r="S1912" s="33">
        <v>0</v>
      </c>
      <c r="T1912" s="13">
        <v>89.97</v>
      </c>
      <c r="U1912" s="13">
        <v>37.787399999999998</v>
      </c>
      <c r="V1912" s="55">
        <f>Table3[[#This Row],[Profit]]/Table3[[#This Row],[Sales]]</f>
        <v>0.42</v>
      </c>
    </row>
    <row r="1913" spans="1:22" x14ac:dyDescent="0.2">
      <c r="A1913">
        <v>1912</v>
      </c>
      <c r="B1913" t="s">
        <v>517</v>
      </c>
      <c r="C1913" s="1">
        <v>42996</v>
      </c>
      <c r="D1913" s="22">
        <f>MONTH(Table3[[#This Row],[Order Date]])</f>
        <v>9</v>
      </c>
      <c r="E1913" t="s">
        <v>519</v>
      </c>
      <c r="F1913" t="s">
        <v>520</v>
      </c>
      <c r="G1913" s="23" t="s">
        <v>41</v>
      </c>
      <c r="H1913" s="23" t="s">
        <v>61</v>
      </c>
      <c r="I1913" t="s">
        <v>518</v>
      </c>
      <c r="J1913" t="s">
        <v>36</v>
      </c>
      <c r="K1913" s="22">
        <v>3</v>
      </c>
      <c r="L1913" s="1">
        <v>43001</v>
      </c>
      <c r="M1913" s="22">
        <f>Table3[[#This Row],[Ship Date]]-Table3[[#This Row],[Order Date]]</f>
        <v>5</v>
      </c>
      <c r="N1913" s="23" t="s">
        <v>45</v>
      </c>
      <c r="O1913" s="23" t="s">
        <v>23</v>
      </c>
      <c r="P1913" s="23" t="s">
        <v>38</v>
      </c>
      <c r="Q1913" s="23" t="s">
        <v>39</v>
      </c>
      <c r="R1913" s="23" t="s">
        <v>114</v>
      </c>
      <c r="S1913" s="33">
        <v>0</v>
      </c>
      <c r="T1913" s="13">
        <v>8.82</v>
      </c>
      <c r="U1913" s="13">
        <v>2.3814000000000002</v>
      </c>
      <c r="V1913" s="55">
        <f>Table3[[#This Row],[Profit]]/Table3[[#This Row],[Sales]]</f>
        <v>0.27</v>
      </c>
    </row>
    <row r="1914" spans="1:22" x14ac:dyDescent="0.2">
      <c r="A1914">
        <v>1913</v>
      </c>
      <c r="B1914" t="s">
        <v>517</v>
      </c>
      <c r="C1914" s="1">
        <v>42996</v>
      </c>
      <c r="D1914" s="22">
        <f>MONTH(Table3[[#This Row],[Order Date]])</f>
        <v>9</v>
      </c>
      <c r="E1914" t="s">
        <v>521</v>
      </c>
      <c r="F1914" t="s">
        <v>522</v>
      </c>
      <c r="G1914" s="23" t="s">
        <v>41</v>
      </c>
      <c r="H1914" s="23" t="s">
        <v>155</v>
      </c>
      <c r="I1914" t="s">
        <v>518</v>
      </c>
      <c r="J1914" t="s">
        <v>36</v>
      </c>
      <c r="K1914" s="22">
        <v>3</v>
      </c>
      <c r="L1914" s="1">
        <v>43001</v>
      </c>
      <c r="M1914" s="22">
        <f>Table3[[#This Row],[Ship Date]]-Table3[[#This Row],[Order Date]]</f>
        <v>5</v>
      </c>
      <c r="N1914" s="23" t="s">
        <v>45</v>
      </c>
      <c r="O1914" s="23" t="s">
        <v>23</v>
      </c>
      <c r="P1914" s="23" t="s">
        <v>38</v>
      </c>
      <c r="Q1914" s="23" t="s">
        <v>39</v>
      </c>
      <c r="R1914" s="23" t="s">
        <v>114</v>
      </c>
      <c r="S1914" s="33">
        <v>0</v>
      </c>
      <c r="T1914" s="13">
        <v>10.86</v>
      </c>
      <c r="U1914" s="13">
        <v>5.1041999999999996</v>
      </c>
      <c r="V1914" s="55">
        <f>Table3[[#This Row],[Profit]]/Table3[[#This Row],[Sales]]</f>
        <v>0.47</v>
      </c>
    </row>
    <row r="1915" spans="1:22" x14ac:dyDescent="0.2">
      <c r="A1915">
        <v>1914</v>
      </c>
      <c r="B1915" t="s">
        <v>517</v>
      </c>
      <c r="C1915" s="1">
        <v>42996</v>
      </c>
      <c r="D1915" s="22">
        <f>MONTH(Table3[[#This Row],[Order Date]])</f>
        <v>9</v>
      </c>
      <c r="E1915" t="s">
        <v>523</v>
      </c>
      <c r="F1915" t="s">
        <v>524</v>
      </c>
      <c r="G1915" s="23" t="s">
        <v>41</v>
      </c>
      <c r="H1915" s="23" t="s">
        <v>82</v>
      </c>
      <c r="I1915" t="s">
        <v>518</v>
      </c>
      <c r="J1915" t="s">
        <v>36</v>
      </c>
      <c r="K1915" s="22">
        <v>3</v>
      </c>
      <c r="L1915" s="1">
        <v>43001</v>
      </c>
      <c r="M1915" s="22">
        <f>Table3[[#This Row],[Ship Date]]-Table3[[#This Row],[Order Date]]</f>
        <v>5</v>
      </c>
      <c r="N1915" s="23" t="s">
        <v>45</v>
      </c>
      <c r="O1915" s="23" t="s">
        <v>23</v>
      </c>
      <c r="P1915" s="23" t="s">
        <v>38</v>
      </c>
      <c r="Q1915" s="23" t="s">
        <v>39</v>
      </c>
      <c r="R1915" s="23" t="s">
        <v>114</v>
      </c>
      <c r="S1915" s="33">
        <v>0</v>
      </c>
      <c r="T1915" s="13">
        <v>143.69999999999999</v>
      </c>
      <c r="U1915" s="13">
        <v>68.975999999999999</v>
      </c>
      <c r="V1915" s="55">
        <f>Table3[[#This Row],[Profit]]/Table3[[#This Row],[Sales]]</f>
        <v>0.48000000000000004</v>
      </c>
    </row>
    <row r="1916" spans="1:22" x14ac:dyDescent="0.2">
      <c r="A1916">
        <v>1915</v>
      </c>
      <c r="B1916" t="s">
        <v>2119</v>
      </c>
      <c r="C1916" s="1">
        <v>42996</v>
      </c>
      <c r="D1916" s="22">
        <f>MONTH(Table3[[#This Row],[Order Date]])</f>
        <v>9</v>
      </c>
      <c r="E1916" t="s">
        <v>495</v>
      </c>
      <c r="F1916" t="s">
        <v>1928</v>
      </c>
      <c r="G1916" s="23" t="s">
        <v>41</v>
      </c>
      <c r="H1916" s="23" t="s">
        <v>82</v>
      </c>
      <c r="I1916" t="s">
        <v>2120</v>
      </c>
      <c r="J1916" t="s">
        <v>36</v>
      </c>
      <c r="K1916" s="22">
        <v>4</v>
      </c>
      <c r="L1916" s="1">
        <v>43000</v>
      </c>
      <c r="M1916" s="22">
        <f>Table3[[#This Row],[Ship Date]]-Table3[[#This Row],[Order Date]]</f>
        <v>4</v>
      </c>
      <c r="N1916" s="23" t="s">
        <v>45</v>
      </c>
      <c r="O1916" s="23" t="s">
        <v>23</v>
      </c>
      <c r="P1916" s="23" t="s">
        <v>103</v>
      </c>
      <c r="Q1916" s="23" t="s">
        <v>95</v>
      </c>
      <c r="R1916" s="23" t="s">
        <v>1631</v>
      </c>
      <c r="S1916" s="33">
        <v>0</v>
      </c>
      <c r="T1916" s="13">
        <v>22.72</v>
      </c>
      <c r="U1916" s="13">
        <v>10.224</v>
      </c>
      <c r="V1916" s="55">
        <f>Table3[[#This Row],[Profit]]/Table3[[#This Row],[Sales]]</f>
        <v>0.45</v>
      </c>
    </row>
    <row r="1917" spans="1:22" x14ac:dyDescent="0.2">
      <c r="A1917">
        <v>1916</v>
      </c>
      <c r="B1917" t="s">
        <v>5342</v>
      </c>
      <c r="C1917" s="1">
        <v>42996</v>
      </c>
      <c r="D1917" s="22">
        <f>MONTH(Table3[[#This Row],[Order Date]])</f>
        <v>9</v>
      </c>
      <c r="E1917" t="s">
        <v>1090</v>
      </c>
      <c r="F1917" t="s">
        <v>1091</v>
      </c>
      <c r="G1917" s="23" t="s">
        <v>41</v>
      </c>
      <c r="H1917" s="23" t="s">
        <v>61</v>
      </c>
      <c r="I1917" t="s">
        <v>3122</v>
      </c>
      <c r="J1917" t="s">
        <v>22</v>
      </c>
      <c r="K1917" s="22">
        <v>2</v>
      </c>
      <c r="L1917" s="1">
        <v>42998</v>
      </c>
      <c r="M1917" s="22">
        <f>Table3[[#This Row],[Ship Date]]-Table3[[#This Row],[Order Date]]</f>
        <v>2</v>
      </c>
      <c r="N1917" s="23" t="s">
        <v>169</v>
      </c>
      <c r="O1917" s="23" t="s">
        <v>23</v>
      </c>
      <c r="P1917" s="23" t="s">
        <v>94</v>
      </c>
      <c r="Q1917" s="23" t="s">
        <v>95</v>
      </c>
      <c r="R1917" s="23" t="s">
        <v>997</v>
      </c>
      <c r="S1917" s="33">
        <v>0.2</v>
      </c>
      <c r="T1917" s="13">
        <v>8.9280000000000008</v>
      </c>
      <c r="U1917" s="13">
        <v>0.55800000000000005</v>
      </c>
      <c r="V1917" s="55">
        <f>Table3[[#This Row],[Profit]]/Table3[[#This Row],[Sales]]</f>
        <v>6.25E-2</v>
      </c>
    </row>
    <row r="1918" spans="1:22" x14ac:dyDescent="0.2">
      <c r="A1918">
        <v>1917</v>
      </c>
      <c r="B1918" t="s">
        <v>5342</v>
      </c>
      <c r="C1918" s="1">
        <v>42996</v>
      </c>
      <c r="D1918" s="22">
        <f>MONTH(Table3[[#This Row],[Order Date]])</f>
        <v>9</v>
      </c>
      <c r="E1918" t="s">
        <v>3749</v>
      </c>
      <c r="F1918" t="s">
        <v>3750</v>
      </c>
      <c r="G1918" s="23" t="s">
        <v>41</v>
      </c>
      <c r="H1918" s="23" t="s">
        <v>53</v>
      </c>
      <c r="I1918" t="s">
        <v>3122</v>
      </c>
      <c r="J1918" t="s">
        <v>22</v>
      </c>
      <c r="K1918" s="22">
        <v>2</v>
      </c>
      <c r="L1918" s="1">
        <v>42998</v>
      </c>
      <c r="M1918" s="22">
        <f>Table3[[#This Row],[Ship Date]]-Table3[[#This Row],[Order Date]]</f>
        <v>2</v>
      </c>
      <c r="N1918" s="23" t="s">
        <v>169</v>
      </c>
      <c r="O1918" s="23" t="s">
        <v>23</v>
      </c>
      <c r="P1918" s="23" t="s">
        <v>94</v>
      </c>
      <c r="Q1918" s="23" t="s">
        <v>95</v>
      </c>
      <c r="R1918" s="23" t="s">
        <v>997</v>
      </c>
      <c r="S1918" s="33">
        <v>0.2</v>
      </c>
      <c r="T1918" s="13">
        <v>47.584000000000003</v>
      </c>
      <c r="U1918" s="13">
        <v>-2.9740000000000002</v>
      </c>
      <c r="V1918" s="55">
        <f>Table3[[#This Row],[Profit]]/Table3[[#This Row],[Sales]]</f>
        <v>-6.25E-2</v>
      </c>
    </row>
    <row r="1919" spans="1:22" x14ac:dyDescent="0.2">
      <c r="A1919">
        <v>1918</v>
      </c>
      <c r="B1919" t="s">
        <v>6336</v>
      </c>
      <c r="C1919" s="1">
        <v>42996</v>
      </c>
      <c r="D1919" s="22">
        <f>MONTH(Table3[[#This Row],[Order Date]])</f>
        <v>9</v>
      </c>
      <c r="E1919" t="s">
        <v>3415</v>
      </c>
      <c r="F1919" t="s">
        <v>3416</v>
      </c>
      <c r="G1919" s="23" t="s">
        <v>41</v>
      </c>
      <c r="H1919" s="23" t="s">
        <v>82</v>
      </c>
      <c r="I1919" t="s">
        <v>1167</v>
      </c>
      <c r="J1919" t="s">
        <v>36</v>
      </c>
      <c r="K1919" s="22">
        <v>3</v>
      </c>
      <c r="L1919" s="1">
        <v>43003</v>
      </c>
      <c r="M1919" s="22">
        <f>Table3[[#This Row],[Ship Date]]-Table3[[#This Row],[Order Date]]</f>
        <v>7</v>
      </c>
      <c r="N1919" s="23" t="s">
        <v>45</v>
      </c>
      <c r="O1919" s="23" t="s">
        <v>23</v>
      </c>
      <c r="P1919" s="23" t="s">
        <v>238</v>
      </c>
      <c r="Q1919" s="23" t="s">
        <v>133</v>
      </c>
      <c r="R1919" s="23" t="s">
        <v>237</v>
      </c>
      <c r="S1919" s="33">
        <v>0</v>
      </c>
      <c r="T1919" s="13">
        <v>19.440000000000001</v>
      </c>
      <c r="U1919" s="13">
        <v>9.3312000000000008</v>
      </c>
      <c r="V1919" s="55">
        <f>Table3[[#This Row],[Profit]]/Table3[[#This Row],[Sales]]</f>
        <v>0.48000000000000004</v>
      </c>
    </row>
    <row r="1920" spans="1:22" x14ac:dyDescent="0.2">
      <c r="A1920">
        <v>1919</v>
      </c>
      <c r="B1920" t="s">
        <v>6336</v>
      </c>
      <c r="C1920" s="1">
        <v>42996</v>
      </c>
      <c r="D1920" s="22">
        <f>MONTH(Table3[[#This Row],[Order Date]])</f>
        <v>9</v>
      </c>
      <c r="E1920" t="s">
        <v>3007</v>
      </c>
      <c r="F1920" t="s">
        <v>3008</v>
      </c>
      <c r="G1920" s="23" t="s">
        <v>28</v>
      </c>
      <c r="H1920" s="23" t="s">
        <v>58</v>
      </c>
      <c r="I1920" t="s">
        <v>1167</v>
      </c>
      <c r="J1920" t="s">
        <v>36</v>
      </c>
      <c r="K1920" s="22">
        <v>2</v>
      </c>
      <c r="L1920" s="1">
        <v>43003</v>
      </c>
      <c r="M1920" s="22">
        <f>Table3[[#This Row],[Ship Date]]-Table3[[#This Row],[Order Date]]</f>
        <v>7</v>
      </c>
      <c r="N1920" s="23" t="s">
        <v>45</v>
      </c>
      <c r="O1920" s="23" t="s">
        <v>23</v>
      </c>
      <c r="P1920" s="23" t="s">
        <v>238</v>
      </c>
      <c r="Q1920" s="23" t="s">
        <v>133</v>
      </c>
      <c r="R1920" s="23" t="s">
        <v>237</v>
      </c>
      <c r="S1920" s="33">
        <v>0</v>
      </c>
      <c r="T1920" s="13">
        <v>9.82</v>
      </c>
      <c r="U1920" s="13">
        <v>3.2406000000000001</v>
      </c>
      <c r="V1920" s="55">
        <f>Table3[[#This Row],[Profit]]/Table3[[#This Row],[Sales]]</f>
        <v>0.33</v>
      </c>
    </row>
    <row r="1921" spans="1:22" x14ac:dyDescent="0.2">
      <c r="A1921">
        <v>1920</v>
      </c>
      <c r="B1921" t="s">
        <v>7390</v>
      </c>
      <c r="C1921" s="1">
        <v>42996</v>
      </c>
      <c r="D1921" s="22">
        <f>MONTH(Table3[[#This Row],[Order Date]])</f>
        <v>9</v>
      </c>
      <c r="E1921" t="s">
        <v>826</v>
      </c>
      <c r="F1921" t="s">
        <v>827</v>
      </c>
      <c r="G1921" s="23" t="s">
        <v>41</v>
      </c>
      <c r="H1921" s="23" t="s">
        <v>82</v>
      </c>
      <c r="I1921" t="s">
        <v>4845</v>
      </c>
      <c r="J1921" t="s">
        <v>22</v>
      </c>
      <c r="K1921" s="22">
        <v>2</v>
      </c>
      <c r="L1921" s="1">
        <v>43001</v>
      </c>
      <c r="M1921" s="22">
        <f>Table3[[#This Row],[Ship Date]]-Table3[[#This Row],[Order Date]]</f>
        <v>5</v>
      </c>
      <c r="N1921" s="23" t="s">
        <v>20</v>
      </c>
      <c r="O1921" s="23" t="s">
        <v>23</v>
      </c>
      <c r="P1921" s="23" t="s">
        <v>124</v>
      </c>
      <c r="Q1921" s="23" t="s">
        <v>95</v>
      </c>
      <c r="R1921" s="23" t="s">
        <v>7391</v>
      </c>
      <c r="S1921" s="33">
        <v>0</v>
      </c>
      <c r="T1921" s="13">
        <v>15.96</v>
      </c>
      <c r="U1921" s="13">
        <v>7.98</v>
      </c>
      <c r="V1921" s="55">
        <f>Table3[[#This Row],[Profit]]/Table3[[#This Row],[Sales]]</f>
        <v>0.5</v>
      </c>
    </row>
    <row r="1922" spans="1:22" x14ac:dyDescent="0.2">
      <c r="A1922">
        <v>1921</v>
      </c>
      <c r="B1922" t="s">
        <v>7451</v>
      </c>
      <c r="C1922" s="1">
        <v>42996</v>
      </c>
      <c r="D1922" s="22">
        <f>MONTH(Table3[[#This Row],[Order Date]])</f>
        <v>9</v>
      </c>
      <c r="E1922" t="s">
        <v>2585</v>
      </c>
      <c r="F1922" t="s">
        <v>2586</v>
      </c>
      <c r="G1922" s="23" t="s">
        <v>41</v>
      </c>
      <c r="H1922" s="23" t="s">
        <v>68</v>
      </c>
      <c r="I1922" t="s">
        <v>5837</v>
      </c>
      <c r="J1922" t="s">
        <v>22</v>
      </c>
      <c r="K1922" s="22">
        <v>7</v>
      </c>
      <c r="L1922" s="1">
        <v>43000</v>
      </c>
      <c r="M1922" s="22">
        <f>Table3[[#This Row],[Ship Date]]-Table3[[#This Row],[Order Date]]</f>
        <v>4</v>
      </c>
      <c r="N1922" s="23" t="s">
        <v>45</v>
      </c>
      <c r="O1922" s="23" t="s">
        <v>23</v>
      </c>
      <c r="P1922" s="23" t="s">
        <v>589</v>
      </c>
      <c r="Q1922" s="23" t="s">
        <v>39</v>
      </c>
      <c r="R1922" s="23" t="s">
        <v>7452</v>
      </c>
      <c r="S1922" s="33">
        <v>0.2</v>
      </c>
      <c r="T1922" s="13">
        <v>10.08</v>
      </c>
      <c r="U1922" s="13">
        <v>3.528</v>
      </c>
      <c r="V1922" s="55">
        <f>Table3[[#This Row],[Profit]]/Table3[[#This Row],[Sales]]</f>
        <v>0.35</v>
      </c>
    </row>
    <row r="1923" spans="1:22" x14ac:dyDescent="0.2">
      <c r="A1923">
        <v>1922</v>
      </c>
      <c r="B1923" t="s">
        <v>7451</v>
      </c>
      <c r="C1923" s="1">
        <v>42996</v>
      </c>
      <c r="D1923" s="22">
        <f>MONTH(Table3[[#This Row],[Order Date]])</f>
        <v>9</v>
      </c>
      <c r="E1923" t="s">
        <v>7453</v>
      </c>
      <c r="F1923" t="s">
        <v>7454</v>
      </c>
      <c r="G1923" s="23" t="s">
        <v>64</v>
      </c>
      <c r="H1923" s="23" t="s">
        <v>144</v>
      </c>
      <c r="I1923" t="s">
        <v>5837</v>
      </c>
      <c r="J1923" t="s">
        <v>22</v>
      </c>
      <c r="K1923" s="22">
        <v>3</v>
      </c>
      <c r="L1923" s="1">
        <v>43000</v>
      </c>
      <c r="M1923" s="22">
        <f>Table3[[#This Row],[Ship Date]]-Table3[[#This Row],[Order Date]]</f>
        <v>4</v>
      </c>
      <c r="N1923" s="23" t="s">
        <v>45</v>
      </c>
      <c r="O1923" s="23" t="s">
        <v>23</v>
      </c>
      <c r="P1923" s="23" t="s">
        <v>589</v>
      </c>
      <c r="Q1923" s="23" t="s">
        <v>39</v>
      </c>
      <c r="R1923" s="23" t="s">
        <v>7452</v>
      </c>
      <c r="S1923" s="33">
        <v>0</v>
      </c>
      <c r="T1923" s="13">
        <v>101.34</v>
      </c>
      <c r="U1923" s="13">
        <v>8.1072000000000006</v>
      </c>
      <c r="V1923" s="55">
        <f>Table3[[#This Row],[Profit]]/Table3[[#This Row],[Sales]]</f>
        <v>0.08</v>
      </c>
    </row>
    <row r="1924" spans="1:22" x14ac:dyDescent="0.2">
      <c r="A1924">
        <v>1923</v>
      </c>
      <c r="B1924" t="s">
        <v>8378</v>
      </c>
      <c r="C1924" s="1">
        <v>42996</v>
      </c>
      <c r="D1924" s="22">
        <f>MONTH(Table3[[#This Row],[Order Date]])</f>
        <v>9</v>
      </c>
      <c r="E1924" t="s">
        <v>676</v>
      </c>
      <c r="F1924" t="s">
        <v>677</v>
      </c>
      <c r="G1924" s="23" t="s">
        <v>64</v>
      </c>
      <c r="H1924" s="23" t="s">
        <v>65</v>
      </c>
      <c r="I1924" t="s">
        <v>1233</v>
      </c>
      <c r="J1924" t="s">
        <v>36</v>
      </c>
      <c r="K1924" s="22">
        <v>8</v>
      </c>
      <c r="L1924" s="1">
        <v>43000</v>
      </c>
      <c r="M1924" s="22">
        <f>Table3[[#This Row],[Ship Date]]-Table3[[#This Row],[Order Date]]</f>
        <v>4</v>
      </c>
      <c r="N1924" s="23" t="s">
        <v>45</v>
      </c>
      <c r="O1924" s="23" t="s">
        <v>23</v>
      </c>
      <c r="P1924" s="23" t="s">
        <v>1125</v>
      </c>
      <c r="Q1924" s="23" t="s">
        <v>26</v>
      </c>
      <c r="R1924" s="23" t="s">
        <v>440</v>
      </c>
      <c r="S1924" s="33">
        <v>0</v>
      </c>
      <c r="T1924" s="13">
        <v>95.68</v>
      </c>
      <c r="U1924" s="13">
        <v>26.790400000000002</v>
      </c>
      <c r="V1924" s="55">
        <f>Table3[[#This Row],[Profit]]/Table3[[#This Row],[Sales]]</f>
        <v>0.27999999999999997</v>
      </c>
    </row>
    <row r="1925" spans="1:22" x14ac:dyDescent="0.2">
      <c r="A1925">
        <v>1924</v>
      </c>
      <c r="B1925" t="s">
        <v>8378</v>
      </c>
      <c r="C1925" s="1">
        <v>42996</v>
      </c>
      <c r="D1925" s="22">
        <f>MONTH(Table3[[#This Row],[Order Date]])</f>
        <v>9</v>
      </c>
      <c r="E1925" t="s">
        <v>912</v>
      </c>
      <c r="F1925" t="s">
        <v>913</v>
      </c>
      <c r="G1925" s="23" t="s">
        <v>41</v>
      </c>
      <c r="H1925" s="23" t="s">
        <v>82</v>
      </c>
      <c r="I1925" t="s">
        <v>1233</v>
      </c>
      <c r="J1925" t="s">
        <v>36</v>
      </c>
      <c r="K1925" s="22">
        <v>7</v>
      </c>
      <c r="L1925" s="1">
        <v>43000</v>
      </c>
      <c r="M1925" s="22">
        <f>Table3[[#This Row],[Ship Date]]-Table3[[#This Row],[Order Date]]</f>
        <v>4</v>
      </c>
      <c r="N1925" s="23" t="s">
        <v>45</v>
      </c>
      <c r="O1925" s="23" t="s">
        <v>23</v>
      </c>
      <c r="P1925" s="23" t="s">
        <v>1125</v>
      </c>
      <c r="Q1925" s="23" t="s">
        <v>26</v>
      </c>
      <c r="R1925" s="23" t="s">
        <v>440</v>
      </c>
      <c r="S1925" s="33">
        <v>0</v>
      </c>
      <c r="T1925" s="13">
        <v>50.96</v>
      </c>
      <c r="U1925" s="13">
        <v>24.460799999999999</v>
      </c>
      <c r="V1925" s="55">
        <f>Table3[[#This Row],[Profit]]/Table3[[#This Row],[Sales]]</f>
        <v>0.48</v>
      </c>
    </row>
    <row r="1926" spans="1:22" x14ac:dyDescent="0.2">
      <c r="A1926">
        <v>1925</v>
      </c>
      <c r="B1926" t="s">
        <v>8378</v>
      </c>
      <c r="C1926" s="1">
        <v>42996</v>
      </c>
      <c r="D1926" s="22">
        <f>MONTH(Table3[[#This Row],[Order Date]])</f>
        <v>9</v>
      </c>
      <c r="E1926" t="s">
        <v>434</v>
      </c>
      <c r="F1926" t="s">
        <v>435</v>
      </c>
      <c r="G1926" s="23" t="s">
        <v>41</v>
      </c>
      <c r="H1926" s="23" t="s">
        <v>61</v>
      </c>
      <c r="I1926" t="s">
        <v>1233</v>
      </c>
      <c r="J1926" t="s">
        <v>36</v>
      </c>
      <c r="K1926" s="22">
        <v>3</v>
      </c>
      <c r="L1926" s="1">
        <v>43000</v>
      </c>
      <c r="M1926" s="22">
        <f>Table3[[#This Row],[Ship Date]]-Table3[[#This Row],[Order Date]]</f>
        <v>4</v>
      </c>
      <c r="N1926" s="23" t="s">
        <v>45</v>
      </c>
      <c r="O1926" s="23" t="s">
        <v>23</v>
      </c>
      <c r="P1926" s="23" t="s">
        <v>1125</v>
      </c>
      <c r="Q1926" s="23" t="s">
        <v>26</v>
      </c>
      <c r="R1926" s="23" t="s">
        <v>440</v>
      </c>
      <c r="S1926" s="33">
        <v>0</v>
      </c>
      <c r="T1926" s="13">
        <v>113.94</v>
      </c>
      <c r="U1926" s="13">
        <v>34.182000000000002</v>
      </c>
      <c r="V1926" s="55">
        <f>Table3[[#This Row],[Profit]]/Table3[[#This Row],[Sales]]</f>
        <v>0.30000000000000004</v>
      </c>
    </row>
    <row r="1927" spans="1:22" x14ac:dyDescent="0.2">
      <c r="A1927">
        <v>1926</v>
      </c>
      <c r="B1927" t="s">
        <v>8378</v>
      </c>
      <c r="C1927" s="1">
        <v>42996</v>
      </c>
      <c r="D1927" s="22">
        <f>MONTH(Table3[[#This Row],[Order Date]])</f>
        <v>9</v>
      </c>
      <c r="E1927" t="s">
        <v>5506</v>
      </c>
      <c r="F1927" t="s">
        <v>5507</v>
      </c>
      <c r="G1927" s="23" t="s">
        <v>41</v>
      </c>
      <c r="H1927" s="23" t="s">
        <v>82</v>
      </c>
      <c r="I1927" t="s">
        <v>1233</v>
      </c>
      <c r="J1927" t="s">
        <v>36</v>
      </c>
      <c r="K1927" s="22">
        <v>4</v>
      </c>
      <c r="L1927" s="1">
        <v>43000</v>
      </c>
      <c r="M1927" s="22">
        <f>Table3[[#This Row],[Ship Date]]-Table3[[#This Row],[Order Date]]</f>
        <v>4</v>
      </c>
      <c r="N1927" s="23" t="s">
        <v>45</v>
      </c>
      <c r="O1927" s="23" t="s">
        <v>23</v>
      </c>
      <c r="P1927" s="23" t="s">
        <v>1125</v>
      </c>
      <c r="Q1927" s="23" t="s">
        <v>26</v>
      </c>
      <c r="R1927" s="23" t="s">
        <v>440</v>
      </c>
      <c r="S1927" s="33">
        <v>0</v>
      </c>
      <c r="T1927" s="13">
        <v>25.92</v>
      </c>
      <c r="U1927" s="13">
        <v>12.441599999999999</v>
      </c>
      <c r="V1927" s="55">
        <f>Table3[[#This Row],[Profit]]/Table3[[#This Row],[Sales]]</f>
        <v>0.47999999999999993</v>
      </c>
    </row>
    <row r="1928" spans="1:22" x14ac:dyDescent="0.2">
      <c r="A1928">
        <v>1927</v>
      </c>
      <c r="B1928" t="s">
        <v>8378</v>
      </c>
      <c r="C1928" s="1">
        <v>42996</v>
      </c>
      <c r="D1928" s="22">
        <f>MONTH(Table3[[#This Row],[Order Date]])</f>
        <v>9</v>
      </c>
      <c r="E1928" t="s">
        <v>5845</v>
      </c>
      <c r="F1928" t="s">
        <v>5846</v>
      </c>
      <c r="G1928" s="23" t="s">
        <v>28</v>
      </c>
      <c r="H1928" s="23" t="s">
        <v>58</v>
      </c>
      <c r="I1928" t="s">
        <v>1233</v>
      </c>
      <c r="J1928" t="s">
        <v>36</v>
      </c>
      <c r="K1928" s="22">
        <v>4</v>
      </c>
      <c r="L1928" s="1">
        <v>43000</v>
      </c>
      <c r="M1928" s="22">
        <f>Table3[[#This Row],[Ship Date]]-Table3[[#This Row],[Order Date]]</f>
        <v>4</v>
      </c>
      <c r="N1928" s="23" t="s">
        <v>45</v>
      </c>
      <c r="O1928" s="23" t="s">
        <v>23</v>
      </c>
      <c r="P1928" s="23" t="s">
        <v>1125</v>
      </c>
      <c r="Q1928" s="23" t="s">
        <v>26</v>
      </c>
      <c r="R1928" s="23" t="s">
        <v>440</v>
      </c>
      <c r="S1928" s="33">
        <v>0</v>
      </c>
      <c r="T1928" s="13">
        <v>20.32</v>
      </c>
      <c r="U1928" s="13">
        <v>6.9088000000000003</v>
      </c>
      <c r="V1928" s="55">
        <f>Table3[[#This Row],[Profit]]/Table3[[#This Row],[Sales]]</f>
        <v>0.34</v>
      </c>
    </row>
    <row r="1929" spans="1:22" x14ac:dyDescent="0.2">
      <c r="A1929">
        <v>1928</v>
      </c>
      <c r="B1929" t="s">
        <v>8378</v>
      </c>
      <c r="C1929" s="1">
        <v>42996</v>
      </c>
      <c r="D1929" s="22">
        <f>MONTH(Table3[[#This Row],[Order Date]])</f>
        <v>9</v>
      </c>
      <c r="E1929" t="s">
        <v>242</v>
      </c>
      <c r="F1929" t="s">
        <v>243</v>
      </c>
      <c r="G1929" s="23" t="s">
        <v>64</v>
      </c>
      <c r="H1929" s="23" t="s">
        <v>65</v>
      </c>
      <c r="I1929" t="s">
        <v>1233</v>
      </c>
      <c r="J1929" t="s">
        <v>36</v>
      </c>
      <c r="K1929" s="22">
        <v>2</v>
      </c>
      <c r="L1929" s="1">
        <v>43000</v>
      </c>
      <c r="M1929" s="22">
        <f>Table3[[#This Row],[Ship Date]]-Table3[[#This Row],[Order Date]]</f>
        <v>4</v>
      </c>
      <c r="N1929" s="23" t="s">
        <v>45</v>
      </c>
      <c r="O1929" s="23" t="s">
        <v>23</v>
      </c>
      <c r="P1929" s="23" t="s">
        <v>1125</v>
      </c>
      <c r="Q1929" s="23" t="s">
        <v>26</v>
      </c>
      <c r="R1929" s="23" t="s">
        <v>440</v>
      </c>
      <c r="S1929" s="33">
        <v>0</v>
      </c>
      <c r="T1929" s="13">
        <v>411.98</v>
      </c>
      <c r="U1929" s="13">
        <v>119.4742</v>
      </c>
      <c r="V1929" s="55">
        <f>Table3[[#This Row],[Profit]]/Table3[[#This Row],[Sales]]</f>
        <v>0.28999999999999998</v>
      </c>
    </row>
    <row r="1930" spans="1:22" x14ac:dyDescent="0.2">
      <c r="A1930">
        <v>1929</v>
      </c>
      <c r="B1930" t="s">
        <v>8378</v>
      </c>
      <c r="C1930" s="1">
        <v>42996</v>
      </c>
      <c r="D1930" s="22">
        <f>MONTH(Table3[[#This Row],[Order Date]])</f>
        <v>9</v>
      </c>
      <c r="E1930" t="s">
        <v>2089</v>
      </c>
      <c r="F1930" t="s">
        <v>2090</v>
      </c>
      <c r="G1930" s="23" t="s">
        <v>41</v>
      </c>
      <c r="H1930" s="23" t="s">
        <v>513</v>
      </c>
      <c r="I1930" t="s">
        <v>1233</v>
      </c>
      <c r="J1930" t="s">
        <v>36</v>
      </c>
      <c r="K1930" s="22">
        <v>2</v>
      </c>
      <c r="L1930" s="1">
        <v>43000</v>
      </c>
      <c r="M1930" s="22">
        <f>Table3[[#This Row],[Ship Date]]-Table3[[#This Row],[Order Date]]</f>
        <v>4</v>
      </c>
      <c r="N1930" s="23" t="s">
        <v>45</v>
      </c>
      <c r="O1930" s="23" t="s">
        <v>23</v>
      </c>
      <c r="P1930" s="23" t="s">
        <v>1125</v>
      </c>
      <c r="Q1930" s="23" t="s">
        <v>26</v>
      </c>
      <c r="R1930" s="23" t="s">
        <v>440</v>
      </c>
      <c r="S1930" s="33">
        <v>0</v>
      </c>
      <c r="T1930" s="13">
        <v>34.479999999999997</v>
      </c>
      <c r="U1930" s="13">
        <v>9.9992000000000001</v>
      </c>
      <c r="V1930" s="55">
        <f>Table3[[#This Row],[Profit]]/Table3[[#This Row],[Sales]]</f>
        <v>0.29000000000000004</v>
      </c>
    </row>
    <row r="1931" spans="1:22" x14ac:dyDescent="0.2">
      <c r="A1931">
        <v>1930</v>
      </c>
      <c r="B1931" t="s">
        <v>8378</v>
      </c>
      <c r="C1931" s="1">
        <v>42996</v>
      </c>
      <c r="D1931" s="22">
        <f>MONTH(Table3[[#This Row],[Order Date]])</f>
        <v>9</v>
      </c>
      <c r="E1931" t="s">
        <v>6931</v>
      </c>
      <c r="F1931" t="s">
        <v>6932</v>
      </c>
      <c r="G1931" s="23" t="s">
        <v>41</v>
      </c>
      <c r="H1931" s="23" t="s">
        <v>82</v>
      </c>
      <c r="I1931" t="s">
        <v>1233</v>
      </c>
      <c r="J1931" t="s">
        <v>36</v>
      </c>
      <c r="K1931" s="22">
        <v>5</v>
      </c>
      <c r="L1931" s="1">
        <v>43000</v>
      </c>
      <c r="M1931" s="22">
        <f>Table3[[#This Row],[Ship Date]]-Table3[[#This Row],[Order Date]]</f>
        <v>4</v>
      </c>
      <c r="N1931" s="23" t="s">
        <v>45</v>
      </c>
      <c r="O1931" s="23" t="s">
        <v>23</v>
      </c>
      <c r="P1931" s="23" t="s">
        <v>1125</v>
      </c>
      <c r="Q1931" s="23" t="s">
        <v>26</v>
      </c>
      <c r="R1931" s="23" t="s">
        <v>440</v>
      </c>
      <c r="S1931" s="33">
        <v>0</v>
      </c>
      <c r="T1931" s="13">
        <v>244.55</v>
      </c>
      <c r="U1931" s="13">
        <v>114.9385</v>
      </c>
      <c r="V1931" s="55">
        <f>Table3[[#This Row],[Profit]]/Table3[[#This Row],[Sales]]</f>
        <v>0.47</v>
      </c>
    </row>
    <row r="1932" spans="1:22" x14ac:dyDescent="0.2">
      <c r="A1932">
        <v>1931</v>
      </c>
      <c r="B1932" t="s">
        <v>8850</v>
      </c>
      <c r="C1932" s="1">
        <v>42996</v>
      </c>
      <c r="D1932" s="22">
        <f>MONTH(Table3[[#This Row],[Order Date]])</f>
        <v>9</v>
      </c>
      <c r="E1932" t="s">
        <v>334</v>
      </c>
      <c r="F1932" t="s">
        <v>335</v>
      </c>
      <c r="G1932" s="23" t="s">
        <v>41</v>
      </c>
      <c r="H1932" s="23" t="s">
        <v>155</v>
      </c>
      <c r="I1932" t="s">
        <v>422</v>
      </c>
      <c r="J1932" t="s">
        <v>92</v>
      </c>
      <c r="K1932" s="22">
        <v>4</v>
      </c>
      <c r="L1932" s="1">
        <v>42999</v>
      </c>
      <c r="M1932" s="22">
        <f>Table3[[#This Row],[Ship Date]]-Table3[[#This Row],[Order Date]]</f>
        <v>3</v>
      </c>
      <c r="N1932" s="23" t="s">
        <v>169</v>
      </c>
      <c r="O1932" s="23" t="s">
        <v>23</v>
      </c>
      <c r="P1932" s="23" t="s">
        <v>94</v>
      </c>
      <c r="Q1932" s="23" t="s">
        <v>95</v>
      </c>
      <c r="R1932" s="23" t="s">
        <v>718</v>
      </c>
      <c r="S1932" s="33">
        <v>0.2</v>
      </c>
      <c r="T1932" s="13">
        <v>114.848</v>
      </c>
      <c r="U1932" s="13">
        <v>35.89</v>
      </c>
      <c r="V1932" s="55">
        <f>Table3[[#This Row],[Profit]]/Table3[[#This Row],[Sales]]</f>
        <v>0.3125</v>
      </c>
    </row>
    <row r="1933" spans="1:22" x14ac:dyDescent="0.2">
      <c r="A1933">
        <v>1932</v>
      </c>
      <c r="B1933" t="s">
        <v>196</v>
      </c>
      <c r="C1933" s="1">
        <v>42997</v>
      </c>
      <c r="D1933" s="22">
        <f>MONTH(Table3[[#This Row],[Order Date]])</f>
        <v>9</v>
      </c>
      <c r="E1933" t="s">
        <v>199</v>
      </c>
      <c r="F1933" t="s">
        <v>200</v>
      </c>
      <c r="G1933" s="23" t="s">
        <v>41</v>
      </c>
      <c r="H1933" s="23" t="s">
        <v>53</v>
      </c>
      <c r="I1933" t="s">
        <v>197</v>
      </c>
      <c r="J1933" t="s">
        <v>36</v>
      </c>
      <c r="K1933" s="22">
        <v>2</v>
      </c>
      <c r="L1933" s="1">
        <v>43001</v>
      </c>
      <c r="M1933" s="22">
        <f>Table3[[#This Row],[Ship Date]]-Table3[[#This Row],[Order Date]]</f>
        <v>4</v>
      </c>
      <c r="N1933" s="23" t="s">
        <v>45</v>
      </c>
      <c r="O1933" s="23" t="s">
        <v>23</v>
      </c>
      <c r="P1933" s="23" t="s">
        <v>48</v>
      </c>
      <c r="Q1933" s="23" t="s">
        <v>26</v>
      </c>
      <c r="R1933" s="23" t="s">
        <v>198</v>
      </c>
      <c r="S1933" s="33">
        <v>0.2</v>
      </c>
      <c r="T1933" s="13">
        <v>95.616</v>
      </c>
      <c r="U1933" s="13">
        <v>9.5616000000000003</v>
      </c>
      <c r="V1933" s="55">
        <f>Table3[[#This Row],[Profit]]/Table3[[#This Row],[Sales]]</f>
        <v>0.1</v>
      </c>
    </row>
    <row r="1934" spans="1:22" x14ac:dyDescent="0.2">
      <c r="A1934">
        <v>1933</v>
      </c>
      <c r="B1934" t="s">
        <v>7918</v>
      </c>
      <c r="C1934" s="1">
        <v>42997</v>
      </c>
      <c r="D1934" s="22">
        <f>MONTH(Table3[[#This Row],[Order Date]])</f>
        <v>9</v>
      </c>
      <c r="E1934" t="s">
        <v>1768</v>
      </c>
      <c r="F1934" t="s">
        <v>1769</v>
      </c>
      <c r="G1934" s="23" t="s">
        <v>64</v>
      </c>
      <c r="H1934" s="23" t="s">
        <v>65</v>
      </c>
      <c r="I1934" t="s">
        <v>2434</v>
      </c>
      <c r="J1934" t="s">
        <v>36</v>
      </c>
      <c r="K1934" s="22">
        <v>3</v>
      </c>
      <c r="L1934" s="1">
        <v>43003</v>
      </c>
      <c r="M1934" s="22">
        <f>Table3[[#This Row],[Ship Date]]-Table3[[#This Row],[Order Date]]</f>
        <v>6</v>
      </c>
      <c r="N1934" s="23" t="s">
        <v>45</v>
      </c>
      <c r="O1934" s="23" t="s">
        <v>23</v>
      </c>
      <c r="P1934" s="23" t="s">
        <v>374</v>
      </c>
      <c r="Q1934" s="23" t="s">
        <v>39</v>
      </c>
      <c r="R1934" s="23" t="s">
        <v>284</v>
      </c>
      <c r="S1934" s="33">
        <v>0.2</v>
      </c>
      <c r="T1934" s="13">
        <v>191.976</v>
      </c>
      <c r="U1934" s="13">
        <v>19.197600000000001</v>
      </c>
      <c r="V1934" s="55">
        <f>Table3[[#This Row],[Profit]]/Table3[[#This Row],[Sales]]</f>
        <v>0.1</v>
      </c>
    </row>
    <row r="1935" spans="1:22" x14ac:dyDescent="0.2">
      <c r="A1935">
        <v>1934</v>
      </c>
      <c r="B1935" t="s">
        <v>7918</v>
      </c>
      <c r="C1935" s="1">
        <v>42997</v>
      </c>
      <c r="D1935" s="22">
        <f>MONTH(Table3[[#This Row],[Order Date]])</f>
        <v>9</v>
      </c>
      <c r="E1935" t="s">
        <v>3746</v>
      </c>
      <c r="F1935" t="s">
        <v>3747</v>
      </c>
      <c r="G1935" s="23" t="s">
        <v>41</v>
      </c>
      <c r="H1935" s="23" t="s">
        <v>61</v>
      </c>
      <c r="I1935" t="s">
        <v>2434</v>
      </c>
      <c r="J1935" t="s">
        <v>36</v>
      </c>
      <c r="K1935" s="22">
        <v>3</v>
      </c>
      <c r="L1935" s="1">
        <v>43003</v>
      </c>
      <c r="M1935" s="22">
        <f>Table3[[#This Row],[Ship Date]]-Table3[[#This Row],[Order Date]]</f>
        <v>6</v>
      </c>
      <c r="N1935" s="23" t="s">
        <v>45</v>
      </c>
      <c r="O1935" s="23" t="s">
        <v>23</v>
      </c>
      <c r="P1935" s="23" t="s">
        <v>374</v>
      </c>
      <c r="Q1935" s="23" t="s">
        <v>39</v>
      </c>
      <c r="R1935" s="23" t="s">
        <v>284</v>
      </c>
      <c r="S1935" s="33">
        <v>0.2</v>
      </c>
      <c r="T1935" s="13">
        <v>23.832000000000001</v>
      </c>
      <c r="U1935" s="13">
        <v>6.5537999999999998</v>
      </c>
      <c r="V1935" s="55">
        <f>Table3[[#This Row],[Profit]]/Table3[[#This Row],[Sales]]</f>
        <v>0.27499999999999997</v>
      </c>
    </row>
    <row r="1936" spans="1:22" x14ac:dyDescent="0.2">
      <c r="A1936">
        <v>1935</v>
      </c>
      <c r="B1936" t="s">
        <v>7918</v>
      </c>
      <c r="C1936" s="1">
        <v>42997</v>
      </c>
      <c r="D1936" s="22">
        <f>MONTH(Table3[[#This Row],[Order Date]])</f>
        <v>9</v>
      </c>
      <c r="E1936" t="s">
        <v>1517</v>
      </c>
      <c r="F1936" t="s">
        <v>1518</v>
      </c>
      <c r="G1936" s="23" t="s">
        <v>28</v>
      </c>
      <c r="H1936" s="23" t="s">
        <v>58</v>
      </c>
      <c r="I1936" t="s">
        <v>2434</v>
      </c>
      <c r="J1936" t="s">
        <v>36</v>
      </c>
      <c r="K1936" s="22">
        <v>8</v>
      </c>
      <c r="L1936" s="1">
        <v>43003</v>
      </c>
      <c r="M1936" s="22">
        <f>Table3[[#This Row],[Ship Date]]-Table3[[#This Row],[Order Date]]</f>
        <v>6</v>
      </c>
      <c r="N1936" s="23" t="s">
        <v>45</v>
      </c>
      <c r="O1936" s="23" t="s">
        <v>23</v>
      </c>
      <c r="P1936" s="23" t="s">
        <v>374</v>
      </c>
      <c r="Q1936" s="23" t="s">
        <v>39</v>
      </c>
      <c r="R1936" s="23" t="s">
        <v>284</v>
      </c>
      <c r="S1936" s="33">
        <v>0.2</v>
      </c>
      <c r="T1936" s="13">
        <v>409.21600000000001</v>
      </c>
      <c r="U1936" s="13">
        <v>61.382399999999997</v>
      </c>
      <c r="V1936" s="55">
        <f>Table3[[#This Row],[Profit]]/Table3[[#This Row],[Sales]]</f>
        <v>0.15</v>
      </c>
    </row>
    <row r="1937" spans="1:22" x14ac:dyDescent="0.2">
      <c r="A1937">
        <v>1936</v>
      </c>
      <c r="B1937" t="s">
        <v>7918</v>
      </c>
      <c r="C1937" s="1">
        <v>42997</v>
      </c>
      <c r="D1937" s="22">
        <f>MONTH(Table3[[#This Row],[Order Date]])</f>
        <v>9</v>
      </c>
      <c r="E1937" t="s">
        <v>1276</v>
      </c>
      <c r="F1937" t="s">
        <v>1277</v>
      </c>
      <c r="G1937" s="23" t="s">
        <v>28</v>
      </c>
      <c r="H1937" s="23" t="s">
        <v>29</v>
      </c>
      <c r="I1937" t="s">
        <v>2434</v>
      </c>
      <c r="J1937" t="s">
        <v>36</v>
      </c>
      <c r="K1937" s="22">
        <v>2</v>
      </c>
      <c r="L1937" s="1">
        <v>43003</v>
      </c>
      <c r="M1937" s="22">
        <f>Table3[[#This Row],[Ship Date]]-Table3[[#This Row],[Order Date]]</f>
        <v>6</v>
      </c>
      <c r="N1937" s="23" t="s">
        <v>45</v>
      </c>
      <c r="O1937" s="23" t="s">
        <v>23</v>
      </c>
      <c r="P1937" s="23" t="s">
        <v>374</v>
      </c>
      <c r="Q1937" s="23" t="s">
        <v>39</v>
      </c>
      <c r="R1937" s="23" t="s">
        <v>284</v>
      </c>
      <c r="S1937" s="33">
        <v>0.7</v>
      </c>
      <c r="T1937" s="13">
        <v>72.587999999999994</v>
      </c>
      <c r="U1937" s="13">
        <v>-128.2388</v>
      </c>
      <c r="V1937" s="55">
        <f>Table3[[#This Row],[Profit]]/Table3[[#This Row],[Sales]]</f>
        <v>-1.7666666666666668</v>
      </c>
    </row>
    <row r="1938" spans="1:22" x14ac:dyDescent="0.2">
      <c r="A1938">
        <v>1937</v>
      </c>
      <c r="B1938" t="s">
        <v>8150</v>
      </c>
      <c r="C1938" s="1">
        <v>42997</v>
      </c>
      <c r="D1938" s="22">
        <f>MONTH(Table3[[#This Row],[Order Date]])</f>
        <v>9</v>
      </c>
      <c r="E1938" t="s">
        <v>5332</v>
      </c>
      <c r="F1938" t="s">
        <v>5333</v>
      </c>
      <c r="G1938" s="23" t="s">
        <v>41</v>
      </c>
      <c r="H1938" s="23" t="s">
        <v>82</v>
      </c>
      <c r="I1938" t="s">
        <v>2488</v>
      </c>
      <c r="J1938" t="s">
        <v>22</v>
      </c>
      <c r="K1938" s="22">
        <v>5</v>
      </c>
      <c r="L1938" s="1">
        <v>43002</v>
      </c>
      <c r="M1938" s="22">
        <f>Table3[[#This Row],[Ship Date]]-Table3[[#This Row],[Order Date]]</f>
        <v>5</v>
      </c>
      <c r="N1938" s="23" t="s">
        <v>45</v>
      </c>
      <c r="O1938" s="23" t="s">
        <v>23</v>
      </c>
      <c r="P1938" s="23" t="s">
        <v>238</v>
      </c>
      <c r="Q1938" s="23" t="s">
        <v>133</v>
      </c>
      <c r="R1938" s="23" t="s">
        <v>237</v>
      </c>
      <c r="S1938" s="33">
        <v>0</v>
      </c>
      <c r="T1938" s="13">
        <v>32.4</v>
      </c>
      <c r="U1938" s="13">
        <v>15.552</v>
      </c>
      <c r="V1938" s="55">
        <f>Table3[[#This Row],[Profit]]/Table3[[#This Row],[Sales]]</f>
        <v>0.48</v>
      </c>
    </row>
    <row r="1939" spans="1:22" x14ac:dyDescent="0.2">
      <c r="A1939">
        <v>1938</v>
      </c>
      <c r="B1939" t="s">
        <v>8283</v>
      </c>
      <c r="C1939" s="1">
        <v>42997</v>
      </c>
      <c r="D1939" s="22">
        <f>MONTH(Table3[[#This Row],[Order Date]])</f>
        <v>9</v>
      </c>
      <c r="E1939" t="s">
        <v>2168</v>
      </c>
      <c r="F1939" t="s">
        <v>2169</v>
      </c>
      <c r="G1939" s="23" t="s">
        <v>64</v>
      </c>
      <c r="H1939" s="23" t="s">
        <v>144</v>
      </c>
      <c r="I1939" t="s">
        <v>2324</v>
      </c>
      <c r="J1939" t="s">
        <v>36</v>
      </c>
      <c r="K1939" s="22">
        <v>5</v>
      </c>
      <c r="L1939" s="1">
        <v>43002</v>
      </c>
      <c r="M1939" s="22">
        <f>Table3[[#This Row],[Ship Date]]-Table3[[#This Row],[Order Date]]</f>
        <v>5</v>
      </c>
      <c r="N1939" s="23" t="s">
        <v>45</v>
      </c>
      <c r="O1939" s="23" t="s">
        <v>23</v>
      </c>
      <c r="P1939" s="23" t="s">
        <v>38</v>
      </c>
      <c r="Q1939" s="23" t="s">
        <v>39</v>
      </c>
      <c r="R1939" s="23" t="s">
        <v>37</v>
      </c>
      <c r="S1939" s="33">
        <v>0</v>
      </c>
      <c r="T1939" s="13">
        <v>149.94999999999999</v>
      </c>
      <c r="U1939" s="13">
        <v>31.4895</v>
      </c>
      <c r="V1939" s="55">
        <f>Table3[[#This Row],[Profit]]/Table3[[#This Row],[Sales]]</f>
        <v>0.21000000000000002</v>
      </c>
    </row>
    <row r="1940" spans="1:22" x14ac:dyDescent="0.2">
      <c r="A1940">
        <v>1939</v>
      </c>
      <c r="B1940" t="s">
        <v>8283</v>
      </c>
      <c r="C1940" s="1">
        <v>42997</v>
      </c>
      <c r="D1940" s="22">
        <f>MONTH(Table3[[#This Row],[Order Date]])</f>
        <v>9</v>
      </c>
      <c r="E1940" t="s">
        <v>7647</v>
      </c>
      <c r="F1940" t="s">
        <v>7648</v>
      </c>
      <c r="G1940" s="23" t="s">
        <v>41</v>
      </c>
      <c r="H1940" s="23" t="s">
        <v>61</v>
      </c>
      <c r="I1940" t="s">
        <v>2324</v>
      </c>
      <c r="J1940" t="s">
        <v>36</v>
      </c>
      <c r="K1940" s="22">
        <v>2</v>
      </c>
      <c r="L1940" s="1">
        <v>43002</v>
      </c>
      <c r="M1940" s="22">
        <f>Table3[[#This Row],[Ship Date]]-Table3[[#This Row],[Order Date]]</f>
        <v>5</v>
      </c>
      <c r="N1940" s="23" t="s">
        <v>45</v>
      </c>
      <c r="O1940" s="23" t="s">
        <v>23</v>
      </c>
      <c r="P1940" s="23" t="s">
        <v>38</v>
      </c>
      <c r="Q1940" s="23" t="s">
        <v>39</v>
      </c>
      <c r="R1940" s="23" t="s">
        <v>37</v>
      </c>
      <c r="S1940" s="33">
        <v>0</v>
      </c>
      <c r="T1940" s="13">
        <v>23.32</v>
      </c>
      <c r="U1940" s="13">
        <v>6.0632000000000001</v>
      </c>
      <c r="V1940" s="55">
        <f>Table3[[#This Row],[Profit]]/Table3[[#This Row],[Sales]]</f>
        <v>0.26</v>
      </c>
    </row>
    <row r="1941" spans="1:22" x14ac:dyDescent="0.2">
      <c r="A1941">
        <v>1940</v>
      </c>
      <c r="B1941" t="s">
        <v>8283</v>
      </c>
      <c r="C1941" s="1">
        <v>42997</v>
      </c>
      <c r="D1941" s="22">
        <f>MONTH(Table3[[#This Row],[Order Date]])</f>
        <v>9</v>
      </c>
      <c r="E1941" t="s">
        <v>4516</v>
      </c>
      <c r="F1941" t="s">
        <v>4517</v>
      </c>
      <c r="G1941" s="23" t="s">
        <v>41</v>
      </c>
      <c r="H1941" s="23" t="s">
        <v>61</v>
      </c>
      <c r="I1941" t="s">
        <v>2324</v>
      </c>
      <c r="J1941" t="s">
        <v>36</v>
      </c>
      <c r="K1941" s="22">
        <v>3</v>
      </c>
      <c r="L1941" s="1">
        <v>43002</v>
      </c>
      <c r="M1941" s="22">
        <f>Table3[[#This Row],[Ship Date]]-Table3[[#This Row],[Order Date]]</f>
        <v>5</v>
      </c>
      <c r="N1941" s="23" t="s">
        <v>45</v>
      </c>
      <c r="O1941" s="23" t="s">
        <v>23</v>
      </c>
      <c r="P1941" s="23" t="s">
        <v>38</v>
      </c>
      <c r="Q1941" s="23" t="s">
        <v>39</v>
      </c>
      <c r="R1941" s="23" t="s">
        <v>37</v>
      </c>
      <c r="S1941" s="33">
        <v>0</v>
      </c>
      <c r="T1941" s="13">
        <v>16.739999999999998</v>
      </c>
      <c r="U1941" s="13">
        <v>4.8545999999999996</v>
      </c>
      <c r="V1941" s="55">
        <f>Table3[[#This Row],[Profit]]/Table3[[#This Row],[Sales]]</f>
        <v>0.28999999999999998</v>
      </c>
    </row>
    <row r="1942" spans="1:22" x14ac:dyDescent="0.2">
      <c r="A1942">
        <v>1941</v>
      </c>
      <c r="B1942" t="s">
        <v>8309</v>
      </c>
      <c r="C1942" s="1">
        <v>42997</v>
      </c>
      <c r="D1942" s="22">
        <f>MONTH(Table3[[#This Row],[Order Date]])</f>
        <v>9</v>
      </c>
      <c r="E1942" t="s">
        <v>6735</v>
      </c>
      <c r="F1942" t="s">
        <v>6736</v>
      </c>
      <c r="G1942" s="23" t="s">
        <v>41</v>
      </c>
      <c r="H1942" s="23" t="s">
        <v>61</v>
      </c>
      <c r="I1942" t="s">
        <v>5275</v>
      </c>
      <c r="J1942" t="s">
        <v>92</v>
      </c>
      <c r="K1942" s="22">
        <v>5</v>
      </c>
      <c r="L1942" s="1">
        <v>43001</v>
      </c>
      <c r="M1942" s="22">
        <f>Table3[[#This Row],[Ship Date]]-Table3[[#This Row],[Order Date]]</f>
        <v>4</v>
      </c>
      <c r="N1942" s="23" t="s">
        <v>45</v>
      </c>
      <c r="O1942" s="23" t="s">
        <v>23</v>
      </c>
      <c r="P1942" s="23" t="s">
        <v>1125</v>
      </c>
      <c r="Q1942" s="23" t="s">
        <v>26</v>
      </c>
      <c r="R1942" s="23" t="s">
        <v>440</v>
      </c>
      <c r="S1942" s="33">
        <v>0</v>
      </c>
      <c r="T1942" s="13">
        <v>35.4</v>
      </c>
      <c r="U1942" s="13">
        <v>13.452</v>
      </c>
      <c r="V1942" s="55">
        <f>Table3[[#This Row],[Profit]]/Table3[[#This Row],[Sales]]</f>
        <v>0.38</v>
      </c>
    </row>
    <row r="1943" spans="1:22" x14ac:dyDescent="0.2">
      <c r="A1943">
        <v>1942</v>
      </c>
      <c r="B1943" t="s">
        <v>8438</v>
      </c>
      <c r="C1943" s="1">
        <v>42997</v>
      </c>
      <c r="D1943" s="22">
        <f>MONTH(Table3[[#This Row],[Order Date]])</f>
        <v>9</v>
      </c>
      <c r="E1943" t="s">
        <v>6051</v>
      </c>
      <c r="F1943" t="s">
        <v>6052</v>
      </c>
      <c r="G1943" s="23" t="s">
        <v>41</v>
      </c>
      <c r="H1943" s="23" t="s">
        <v>53</v>
      </c>
      <c r="I1943" t="s">
        <v>3378</v>
      </c>
      <c r="J1943" t="s">
        <v>22</v>
      </c>
      <c r="K1943" s="22">
        <v>2</v>
      </c>
      <c r="L1943" s="1">
        <v>43003</v>
      </c>
      <c r="M1943" s="22">
        <f>Table3[[#This Row],[Ship Date]]-Table3[[#This Row],[Order Date]]</f>
        <v>6</v>
      </c>
      <c r="N1943" s="23" t="s">
        <v>45</v>
      </c>
      <c r="O1943" s="23" t="s">
        <v>23</v>
      </c>
      <c r="P1943" s="23" t="s">
        <v>277</v>
      </c>
      <c r="Q1943" s="23" t="s">
        <v>39</v>
      </c>
      <c r="R1943" s="23" t="s">
        <v>481</v>
      </c>
      <c r="S1943" s="33">
        <v>0.2</v>
      </c>
      <c r="T1943" s="13">
        <v>12.624000000000001</v>
      </c>
      <c r="U1943" s="13">
        <v>-2.5247999999999999</v>
      </c>
      <c r="V1943" s="55">
        <f>Table3[[#This Row],[Profit]]/Table3[[#This Row],[Sales]]</f>
        <v>-0.19999999999999998</v>
      </c>
    </row>
    <row r="1944" spans="1:22" x14ac:dyDescent="0.2">
      <c r="A1944">
        <v>1943</v>
      </c>
      <c r="B1944" t="s">
        <v>8438</v>
      </c>
      <c r="C1944" s="1">
        <v>42997</v>
      </c>
      <c r="D1944" s="22">
        <f>MONTH(Table3[[#This Row],[Order Date]])</f>
        <v>9</v>
      </c>
      <c r="E1944" t="s">
        <v>754</v>
      </c>
      <c r="F1944" t="s">
        <v>755</v>
      </c>
      <c r="G1944" s="23" t="s">
        <v>64</v>
      </c>
      <c r="H1944" s="23" t="s">
        <v>144</v>
      </c>
      <c r="I1944" t="s">
        <v>3378</v>
      </c>
      <c r="J1944" t="s">
        <v>22</v>
      </c>
      <c r="K1944" s="22">
        <v>2</v>
      </c>
      <c r="L1944" s="1">
        <v>43003</v>
      </c>
      <c r="M1944" s="22">
        <f>Table3[[#This Row],[Ship Date]]-Table3[[#This Row],[Order Date]]</f>
        <v>6</v>
      </c>
      <c r="N1944" s="23" t="s">
        <v>45</v>
      </c>
      <c r="O1944" s="23" t="s">
        <v>23</v>
      </c>
      <c r="P1944" s="23" t="s">
        <v>277</v>
      </c>
      <c r="Q1944" s="23" t="s">
        <v>39</v>
      </c>
      <c r="R1944" s="23" t="s">
        <v>481</v>
      </c>
      <c r="S1944" s="33">
        <v>0.2</v>
      </c>
      <c r="T1944" s="13">
        <v>89.584000000000003</v>
      </c>
      <c r="U1944" s="13">
        <v>4.4791999999999996</v>
      </c>
      <c r="V1944" s="55">
        <f>Table3[[#This Row],[Profit]]/Table3[[#This Row],[Sales]]</f>
        <v>4.9999999999999996E-2</v>
      </c>
    </row>
    <row r="1945" spans="1:22" x14ac:dyDescent="0.2">
      <c r="A1945">
        <v>1944</v>
      </c>
      <c r="B1945" t="s">
        <v>8438</v>
      </c>
      <c r="C1945" s="1">
        <v>42997</v>
      </c>
      <c r="D1945" s="22">
        <f>MONTH(Table3[[#This Row],[Order Date]])</f>
        <v>9</v>
      </c>
      <c r="E1945" t="s">
        <v>5942</v>
      </c>
      <c r="F1945" t="s">
        <v>5943</v>
      </c>
      <c r="G1945" s="23" t="s">
        <v>64</v>
      </c>
      <c r="H1945" s="23" t="s">
        <v>65</v>
      </c>
      <c r="I1945" t="s">
        <v>3378</v>
      </c>
      <c r="J1945" t="s">
        <v>22</v>
      </c>
      <c r="K1945" s="22">
        <v>2</v>
      </c>
      <c r="L1945" s="1">
        <v>43003</v>
      </c>
      <c r="M1945" s="22">
        <f>Table3[[#This Row],[Ship Date]]-Table3[[#This Row],[Order Date]]</f>
        <v>6</v>
      </c>
      <c r="N1945" s="23" t="s">
        <v>45</v>
      </c>
      <c r="O1945" s="23" t="s">
        <v>23</v>
      </c>
      <c r="P1945" s="23" t="s">
        <v>277</v>
      </c>
      <c r="Q1945" s="23" t="s">
        <v>39</v>
      </c>
      <c r="R1945" s="23" t="s">
        <v>481</v>
      </c>
      <c r="S1945" s="33">
        <v>0.2</v>
      </c>
      <c r="T1945" s="13">
        <v>471.92</v>
      </c>
      <c r="U1945" s="13">
        <v>29.495000000000001</v>
      </c>
      <c r="V1945" s="55">
        <f>Table3[[#This Row],[Profit]]/Table3[[#This Row],[Sales]]</f>
        <v>6.25E-2</v>
      </c>
    </row>
    <row r="1946" spans="1:22" x14ac:dyDescent="0.2">
      <c r="A1946">
        <v>1945</v>
      </c>
      <c r="B1946" t="s">
        <v>8438</v>
      </c>
      <c r="C1946" s="1">
        <v>42997</v>
      </c>
      <c r="D1946" s="22">
        <f>MONTH(Table3[[#This Row],[Order Date]])</f>
        <v>9</v>
      </c>
      <c r="E1946" t="s">
        <v>255</v>
      </c>
      <c r="F1946" t="s">
        <v>256</v>
      </c>
      <c r="G1946" s="23" t="s">
        <v>41</v>
      </c>
      <c r="H1946" s="23" t="s">
        <v>68</v>
      </c>
      <c r="I1946" t="s">
        <v>3378</v>
      </c>
      <c r="J1946" t="s">
        <v>22</v>
      </c>
      <c r="K1946" s="22">
        <v>4</v>
      </c>
      <c r="L1946" s="1">
        <v>43003</v>
      </c>
      <c r="M1946" s="22">
        <f>Table3[[#This Row],[Ship Date]]-Table3[[#This Row],[Order Date]]</f>
        <v>6</v>
      </c>
      <c r="N1946" s="23" t="s">
        <v>45</v>
      </c>
      <c r="O1946" s="23" t="s">
        <v>23</v>
      </c>
      <c r="P1946" s="23" t="s">
        <v>277</v>
      </c>
      <c r="Q1946" s="23" t="s">
        <v>39</v>
      </c>
      <c r="R1946" s="23" t="s">
        <v>481</v>
      </c>
      <c r="S1946" s="33">
        <v>0.7</v>
      </c>
      <c r="T1946" s="13">
        <v>18.18</v>
      </c>
      <c r="U1946" s="13">
        <v>-13.938000000000001</v>
      </c>
      <c r="V1946" s="55">
        <f>Table3[[#This Row],[Profit]]/Table3[[#This Row],[Sales]]</f>
        <v>-0.76666666666666672</v>
      </c>
    </row>
    <row r="1947" spans="1:22" x14ac:dyDescent="0.2">
      <c r="A1947">
        <v>1946</v>
      </c>
      <c r="B1947" t="s">
        <v>8890</v>
      </c>
      <c r="C1947" s="1">
        <v>42997</v>
      </c>
      <c r="D1947" s="22">
        <f>MONTH(Table3[[#This Row],[Order Date]])</f>
        <v>9</v>
      </c>
      <c r="E1947" t="s">
        <v>2182</v>
      </c>
      <c r="F1947" t="s">
        <v>2183</v>
      </c>
      <c r="G1947" s="23" t="s">
        <v>41</v>
      </c>
      <c r="H1947" s="23" t="s">
        <v>68</v>
      </c>
      <c r="I1947" t="s">
        <v>3239</v>
      </c>
      <c r="J1947" t="s">
        <v>92</v>
      </c>
      <c r="K1947" s="22">
        <v>3</v>
      </c>
      <c r="L1947" s="1">
        <v>42997</v>
      </c>
      <c r="M1947" s="22">
        <f>Table3[[#This Row],[Ship Date]]-Table3[[#This Row],[Order Date]]</f>
        <v>0</v>
      </c>
      <c r="N1947" s="23" t="s">
        <v>1141</v>
      </c>
      <c r="O1947" s="23" t="s">
        <v>23</v>
      </c>
      <c r="P1947" s="23" t="s">
        <v>132</v>
      </c>
      <c r="Q1947" s="23" t="s">
        <v>133</v>
      </c>
      <c r="R1947" s="23" t="s">
        <v>131</v>
      </c>
      <c r="S1947" s="33">
        <v>0.7</v>
      </c>
      <c r="T1947" s="13">
        <v>4.8419999999999996</v>
      </c>
      <c r="U1947" s="13">
        <v>-3.3894000000000002</v>
      </c>
      <c r="V1947" s="55">
        <f>Table3[[#This Row],[Profit]]/Table3[[#This Row],[Sales]]</f>
        <v>-0.70000000000000007</v>
      </c>
    </row>
    <row r="1948" spans="1:22" x14ac:dyDescent="0.2">
      <c r="A1948">
        <v>1947</v>
      </c>
      <c r="B1948" t="s">
        <v>7905</v>
      </c>
      <c r="C1948" s="1">
        <v>42998</v>
      </c>
      <c r="D1948" s="22">
        <f>MONTH(Table3[[#This Row],[Order Date]])</f>
        <v>9</v>
      </c>
      <c r="E1948" t="s">
        <v>3199</v>
      </c>
      <c r="F1948" t="s">
        <v>3200</v>
      </c>
      <c r="G1948" s="23" t="s">
        <v>28</v>
      </c>
      <c r="H1948" s="23" t="s">
        <v>32</v>
      </c>
      <c r="I1948" t="s">
        <v>2029</v>
      </c>
      <c r="J1948" t="s">
        <v>22</v>
      </c>
      <c r="K1948" s="22">
        <v>3</v>
      </c>
      <c r="L1948" s="1">
        <v>43004</v>
      </c>
      <c r="M1948" s="22">
        <f>Table3[[#This Row],[Ship Date]]-Table3[[#This Row],[Order Date]]</f>
        <v>6</v>
      </c>
      <c r="N1948" s="23" t="s">
        <v>45</v>
      </c>
      <c r="O1948" s="23" t="s">
        <v>23</v>
      </c>
      <c r="P1948" s="23" t="s">
        <v>238</v>
      </c>
      <c r="Q1948" s="23" t="s">
        <v>133</v>
      </c>
      <c r="R1948" s="23" t="s">
        <v>237</v>
      </c>
      <c r="S1948" s="33">
        <v>0.1</v>
      </c>
      <c r="T1948" s="13">
        <v>272.64600000000002</v>
      </c>
      <c r="U1948" s="13">
        <v>18.176400000000001</v>
      </c>
      <c r="V1948" s="55">
        <f>Table3[[#This Row],[Profit]]/Table3[[#This Row],[Sales]]</f>
        <v>6.6666666666666666E-2</v>
      </c>
    </row>
    <row r="1949" spans="1:22" x14ac:dyDescent="0.2">
      <c r="A1949">
        <v>1948</v>
      </c>
      <c r="B1949" t="s">
        <v>7905</v>
      </c>
      <c r="C1949" s="1">
        <v>42998</v>
      </c>
      <c r="D1949" s="22">
        <f>MONTH(Table3[[#This Row],[Order Date]])</f>
        <v>9</v>
      </c>
      <c r="E1949" t="s">
        <v>7906</v>
      </c>
      <c r="F1949" t="s">
        <v>7907</v>
      </c>
      <c r="G1949" s="23" t="s">
        <v>64</v>
      </c>
      <c r="H1949" s="23" t="s">
        <v>144</v>
      </c>
      <c r="I1949" t="s">
        <v>2029</v>
      </c>
      <c r="J1949" t="s">
        <v>22</v>
      </c>
      <c r="K1949" s="22">
        <v>2</v>
      </c>
      <c r="L1949" s="1">
        <v>43004</v>
      </c>
      <c r="M1949" s="22">
        <f>Table3[[#This Row],[Ship Date]]-Table3[[#This Row],[Order Date]]</f>
        <v>6</v>
      </c>
      <c r="N1949" s="23" t="s">
        <v>45</v>
      </c>
      <c r="O1949" s="23" t="s">
        <v>23</v>
      </c>
      <c r="P1949" s="23" t="s">
        <v>238</v>
      </c>
      <c r="Q1949" s="23" t="s">
        <v>133</v>
      </c>
      <c r="R1949" s="23" t="s">
        <v>237</v>
      </c>
      <c r="S1949" s="33">
        <v>0</v>
      </c>
      <c r="T1949" s="13">
        <v>212.8</v>
      </c>
      <c r="U1949" s="13">
        <v>95.76</v>
      </c>
      <c r="V1949" s="55">
        <f>Table3[[#This Row],[Profit]]/Table3[[#This Row],[Sales]]</f>
        <v>0.45</v>
      </c>
    </row>
    <row r="1950" spans="1:22" x14ac:dyDescent="0.2">
      <c r="A1950">
        <v>1949</v>
      </c>
      <c r="B1950" t="s">
        <v>7905</v>
      </c>
      <c r="C1950" s="1">
        <v>42998</v>
      </c>
      <c r="D1950" s="22">
        <f>MONTH(Table3[[#This Row],[Order Date]])</f>
        <v>9</v>
      </c>
      <c r="E1950" t="s">
        <v>6818</v>
      </c>
      <c r="F1950" t="s">
        <v>6819</v>
      </c>
      <c r="G1950" s="23" t="s">
        <v>41</v>
      </c>
      <c r="H1950" s="23" t="s">
        <v>82</v>
      </c>
      <c r="I1950" t="s">
        <v>2029</v>
      </c>
      <c r="J1950" t="s">
        <v>22</v>
      </c>
      <c r="K1950" s="22">
        <v>9</v>
      </c>
      <c r="L1950" s="1">
        <v>43004</v>
      </c>
      <c r="M1950" s="22">
        <f>Table3[[#This Row],[Ship Date]]-Table3[[#This Row],[Order Date]]</f>
        <v>6</v>
      </c>
      <c r="N1950" s="23" t="s">
        <v>45</v>
      </c>
      <c r="O1950" s="23" t="s">
        <v>23</v>
      </c>
      <c r="P1950" s="23" t="s">
        <v>238</v>
      </c>
      <c r="Q1950" s="23" t="s">
        <v>133</v>
      </c>
      <c r="R1950" s="23" t="s">
        <v>237</v>
      </c>
      <c r="S1950" s="33">
        <v>0</v>
      </c>
      <c r="T1950" s="13">
        <v>38.520000000000003</v>
      </c>
      <c r="U1950" s="13">
        <v>18.104399999999998</v>
      </c>
      <c r="V1950" s="55">
        <f>Table3[[#This Row],[Profit]]/Table3[[#This Row],[Sales]]</f>
        <v>0.46999999999999992</v>
      </c>
    </row>
    <row r="1951" spans="1:22" x14ac:dyDescent="0.2">
      <c r="A1951">
        <v>1950</v>
      </c>
      <c r="B1951" t="s">
        <v>7905</v>
      </c>
      <c r="C1951" s="1">
        <v>42998</v>
      </c>
      <c r="D1951" s="22">
        <f>MONTH(Table3[[#This Row],[Order Date]])</f>
        <v>9</v>
      </c>
      <c r="E1951" t="s">
        <v>1640</v>
      </c>
      <c r="F1951" t="s">
        <v>1641</v>
      </c>
      <c r="G1951" s="23" t="s">
        <v>64</v>
      </c>
      <c r="H1951" s="23" t="s">
        <v>144</v>
      </c>
      <c r="I1951" t="s">
        <v>2029</v>
      </c>
      <c r="J1951" t="s">
        <v>22</v>
      </c>
      <c r="K1951" s="22">
        <v>2</v>
      </c>
      <c r="L1951" s="1">
        <v>43004</v>
      </c>
      <c r="M1951" s="22">
        <f>Table3[[#This Row],[Ship Date]]-Table3[[#This Row],[Order Date]]</f>
        <v>6</v>
      </c>
      <c r="N1951" s="23" t="s">
        <v>45</v>
      </c>
      <c r="O1951" s="23" t="s">
        <v>23</v>
      </c>
      <c r="P1951" s="23" t="s">
        <v>238</v>
      </c>
      <c r="Q1951" s="23" t="s">
        <v>133</v>
      </c>
      <c r="R1951" s="23" t="s">
        <v>237</v>
      </c>
      <c r="S1951" s="33">
        <v>0</v>
      </c>
      <c r="T1951" s="13">
        <v>72.64</v>
      </c>
      <c r="U1951" s="13">
        <v>21.792000000000002</v>
      </c>
      <c r="V1951" s="55">
        <f>Table3[[#This Row],[Profit]]/Table3[[#This Row],[Sales]]</f>
        <v>0.30000000000000004</v>
      </c>
    </row>
    <row r="1952" spans="1:22" x14ac:dyDescent="0.2">
      <c r="A1952">
        <v>1951</v>
      </c>
      <c r="B1952" t="s">
        <v>7905</v>
      </c>
      <c r="C1952" s="1">
        <v>42998</v>
      </c>
      <c r="D1952" s="22">
        <f>MONTH(Table3[[#This Row],[Order Date]])</f>
        <v>9</v>
      </c>
      <c r="E1952" t="s">
        <v>312</v>
      </c>
      <c r="F1952" t="s">
        <v>313</v>
      </c>
      <c r="G1952" s="23" t="s">
        <v>41</v>
      </c>
      <c r="H1952" s="23" t="s">
        <v>53</v>
      </c>
      <c r="I1952" t="s">
        <v>2029</v>
      </c>
      <c r="J1952" t="s">
        <v>22</v>
      </c>
      <c r="K1952" s="22">
        <v>4</v>
      </c>
      <c r="L1952" s="1">
        <v>43004</v>
      </c>
      <c r="M1952" s="22">
        <f>Table3[[#This Row],[Ship Date]]-Table3[[#This Row],[Order Date]]</f>
        <v>6</v>
      </c>
      <c r="N1952" s="23" t="s">
        <v>45</v>
      </c>
      <c r="O1952" s="23" t="s">
        <v>23</v>
      </c>
      <c r="P1952" s="23" t="s">
        <v>238</v>
      </c>
      <c r="Q1952" s="23" t="s">
        <v>133</v>
      </c>
      <c r="R1952" s="23" t="s">
        <v>237</v>
      </c>
      <c r="S1952" s="33">
        <v>0</v>
      </c>
      <c r="T1952" s="13">
        <v>45.4</v>
      </c>
      <c r="U1952" s="13">
        <v>12.712</v>
      </c>
      <c r="V1952" s="55">
        <f>Table3[[#This Row],[Profit]]/Table3[[#This Row],[Sales]]</f>
        <v>0.28000000000000003</v>
      </c>
    </row>
    <row r="1953" spans="1:22" x14ac:dyDescent="0.2">
      <c r="A1953">
        <v>1952</v>
      </c>
      <c r="B1953" t="s">
        <v>7905</v>
      </c>
      <c r="C1953" s="1">
        <v>42998</v>
      </c>
      <c r="D1953" s="22">
        <f>MONTH(Table3[[#This Row],[Order Date]])</f>
        <v>9</v>
      </c>
      <c r="E1953" t="s">
        <v>1120</v>
      </c>
      <c r="F1953" t="s">
        <v>1121</v>
      </c>
      <c r="G1953" s="23" t="s">
        <v>41</v>
      </c>
      <c r="H1953" s="23" t="s">
        <v>82</v>
      </c>
      <c r="I1953" t="s">
        <v>2029</v>
      </c>
      <c r="J1953" t="s">
        <v>22</v>
      </c>
      <c r="K1953" s="22">
        <v>2</v>
      </c>
      <c r="L1953" s="1">
        <v>43004</v>
      </c>
      <c r="M1953" s="22">
        <f>Table3[[#This Row],[Ship Date]]-Table3[[#This Row],[Order Date]]</f>
        <v>6</v>
      </c>
      <c r="N1953" s="23" t="s">
        <v>45</v>
      </c>
      <c r="O1953" s="23" t="s">
        <v>23</v>
      </c>
      <c r="P1953" s="23" t="s">
        <v>238</v>
      </c>
      <c r="Q1953" s="23" t="s">
        <v>133</v>
      </c>
      <c r="R1953" s="23" t="s">
        <v>237</v>
      </c>
      <c r="S1953" s="33">
        <v>0</v>
      </c>
      <c r="T1953" s="13">
        <v>13.76</v>
      </c>
      <c r="U1953" s="13">
        <v>6.3296000000000001</v>
      </c>
      <c r="V1953" s="55">
        <f>Table3[[#This Row],[Profit]]/Table3[[#This Row],[Sales]]</f>
        <v>0.46</v>
      </c>
    </row>
    <row r="1954" spans="1:22" x14ac:dyDescent="0.2">
      <c r="A1954">
        <v>1953</v>
      </c>
      <c r="B1954" t="s">
        <v>7905</v>
      </c>
      <c r="C1954" s="1">
        <v>42998</v>
      </c>
      <c r="D1954" s="22">
        <f>MONTH(Table3[[#This Row],[Order Date]])</f>
        <v>9</v>
      </c>
      <c r="E1954" t="s">
        <v>233</v>
      </c>
      <c r="F1954" t="s">
        <v>234</v>
      </c>
      <c r="G1954" s="23" t="s">
        <v>28</v>
      </c>
      <c r="H1954" s="23" t="s">
        <v>32</v>
      </c>
      <c r="I1954" t="s">
        <v>2029</v>
      </c>
      <c r="J1954" t="s">
        <v>22</v>
      </c>
      <c r="K1954" s="22">
        <v>1</v>
      </c>
      <c r="L1954" s="1">
        <v>43004</v>
      </c>
      <c r="M1954" s="22">
        <f>Table3[[#This Row],[Ship Date]]-Table3[[#This Row],[Order Date]]</f>
        <v>6</v>
      </c>
      <c r="N1954" s="23" t="s">
        <v>45</v>
      </c>
      <c r="O1954" s="23" t="s">
        <v>23</v>
      </c>
      <c r="P1954" s="23" t="s">
        <v>238</v>
      </c>
      <c r="Q1954" s="23" t="s">
        <v>133</v>
      </c>
      <c r="R1954" s="23" t="s">
        <v>237</v>
      </c>
      <c r="S1954" s="33">
        <v>0.1</v>
      </c>
      <c r="T1954" s="13">
        <v>80.991</v>
      </c>
      <c r="U1954" s="13">
        <v>8.0991</v>
      </c>
      <c r="V1954" s="55">
        <f>Table3[[#This Row],[Profit]]/Table3[[#This Row],[Sales]]</f>
        <v>0.1</v>
      </c>
    </row>
    <row r="1955" spans="1:22" x14ac:dyDescent="0.2">
      <c r="A1955">
        <v>1954</v>
      </c>
      <c r="B1955" t="s">
        <v>7905</v>
      </c>
      <c r="C1955" s="1">
        <v>42998</v>
      </c>
      <c r="D1955" s="22">
        <f>MONTH(Table3[[#This Row],[Order Date]])</f>
        <v>9</v>
      </c>
      <c r="E1955" t="s">
        <v>700</v>
      </c>
      <c r="F1955" t="s">
        <v>701</v>
      </c>
      <c r="G1955" s="23" t="s">
        <v>41</v>
      </c>
      <c r="H1955" s="23" t="s">
        <v>68</v>
      </c>
      <c r="I1955" t="s">
        <v>2029</v>
      </c>
      <c r="J1955" t="s">
        <v>22</v>
      </c>
      <c r="K1955" s="22">
        <v>3</v>
      </c>
      <c r="L1955" s="1">
        <v>43004</v>
      </c>
      <c r="M1955" s="22">
        <f>Table3[[#This Row],[Ship Date]]-Table3[[#This Row],[Order Date]]</f>
        <v>6</v>
      </c>
      <c r="N1955" s="23" t="s">
        <v>45</v>
      </c>
      <c r="O1955" s="23" t="s">
        <v>23</v>
      </c>
      <c r="P1955" s="23" t="s">
        <v>238</v>
      </c>
      <c r="Q1955" s="23" t="s">
        <v>133</v>
      </c>
      <c r="R1955" s="23" t="s">
        <v>237</v>
      </c>
      <c r="S1955" s="33">
        <v>0.2</v>
      </c>
      <c r="T1955" s="13">
        <v>11.784000000000001</v>
      </c>
      <c r="U1955" s="13">
        <v>3.9771000000000001</v>
      </c>
      <c r="V1955" s="55">
        <f>Table3[[#This Row],[Profit]]/Table3[[#This Row],[Sales]]</f>
        <v>0.33749999999999997</v>
      </c>
    </row>
    <row r="1956" spans="1:22" x14ac:dyDescent="0.2">
      <c r="A1956">
        <v>1955</v>
      </c>
      <c r="B1956" t="s">
        <v>7905</v>
      </c>
      <c r="C1956" s="1">
        <v>42998</v>
      </c>
      <c r="D1956" s="22">
        <f>MONTH(Table3[[#This Row],[Order Date]])</f>
        <v>9</v>
      </c>
      <c r="E1956" t="s">
        <v>239</v>
      </c>
      <c r="F1956" t="s">
        <v>241</v>
      </c>
      <c r="G1956" s="23" t="s">
        <v>41</v>
      </c>
      <c r="H1956" s="23" t="s">
        <v>240</v>
      </c>
      <c r="I1956" t="s">
        <v>2029</v>
      </c>
      <c r="J1956" t="s">
        <v>22</v>
      </c>
      <c r="K1956" s="22">
        <v>2</v>
      </c>
      <c r="L1956" s="1">
        <v>43004</v>
      </c>
      <c r="M1956" s="22">
        <f>Table3[[#This Row],[Ship Date]]-Table3[[#This Row],[Order Date]]</f>
        <v>6</v>
      </c>
      <c r="N1956" s="23" t="s">
        <v>45</v>
      </c>
      <c r="O1956" s="23" t="s">
        <v>23</v>
      </c>
      <c r="P1956" s="23" t="s">
        <v>238</v>
      </c>
      <c r="Q1956" s="23" t="s">
        <v>133</v>
      </c>
      <c r="R1956" s="23" t="s">
        <v>237</v>
      </c>
      <c r="S1956" s="33">
        <v>0</v>
      </c>
      <c r="T1956" s="13">
        <v>4.3600000000000003</v>
      </c>
      <c r="U1956" s="13">
        <v>1.7876000000000001</v>
      </c>
      <c r="V1956" s="55">
        <f>Table3[[#This Row],[Profit]]/Table3[[#This Row],[Sales]]</f>
        <v>0.41</v>
      </c>
    </row>
    <row r="1957" spans="1:22" x14ac:dyDescent="0.2">
      <c r="A1957">
        <v>1956</v>
      </c>
      <c r="B1957" t="s">
        <v>7905</v>
      </c>
      <c r="C1957" s="1">
        <v>42998</v>
      </c>
      <c r="D1957" s="22">
        <f>MONTH(Table3[[#This Row],[Order Date]])</f>
        <v>9</v>
      </c>
      <c r="E1957" t="s">
        <v>1005</v>
      </c>
      <c r="F1957" t="s">
        <v>1006</v>
      </c>
      <c r="G1957" s="23" t="s">
        <v>28</v>
      </c>
      <c r="H1957" s="23" t="s">
        <v>32</v>
      </c>
      <c r="I1957" t="s">
        <v>2029</v>
      </c>
      <c r="J1957" t="s">
        <v>22</v>
      </c>
      <c r="K1957" s="22">
        <v>11</v>
      </c>
      <c r="L1957" s="1">
        <v>43004</v>
      </c>
      <c r="M1957" s="22">
        <f>Table3[[#This Row],[Ship Date]]-Table3[[#This Row],[Order Date]]</f>
        <v>6</v>
      </c>
      <c r="N1957" s="23" t="s">
        <v>45</v>
      </c>
      <c r="O1957" s="23" t="s">
        <v>23</v>
      </c>
      <c r="P1957" s="23" t="s">
        <v>238</v>
      </c>
      <c r="Q1957" s="23" t="s">
        <v>133</v>
      </c>
      <c r="R1957" s="23" t="s">
        <v>237</v>
      </c>
      <c r="S1957" s="33">
        <v>0.1</v>
      </c>
      <c r="T1957" s="13">
        <v>2888.127</v>
      </c>
      <c r="U1957" s="13">
        <v>609.71569999999997</v>
      </c>
      <c r="V1957" s="55">
        <f>Table3[[#This Row],[Profit]]/Table3[[#This Row],[Sales]]</f>
        <v>0.21111111111111111</v>
      </c>
    </row>
    <row r="1958" spans="1:22" x14ac:dyDescent="0.2">
      <c r="A1958">
        <v>1957</v>
      </c>
      <c r="B1958" t="s">
        <v>7905</v>
      </c>
      <c r="C1958" s="1">
        <v>42998</v>
      </c>
      <c r="D1958" s="22">
        <f>MONTH(Table3[[#This Row],[Order Date]])</f>
        <v>9</v>
      </c>
      <c r="E1958" t="s">
        <v>4060</v>
      </c>
      <c r="F1958" t="s">
        <v>4061</v>
      </c>
      <c r="G1958" s="23" t="s">
        <v>64</v>
      </c>
      <c r="H1958" s="23" t="s">
        <v>65</v>
      </c>
      <c r="I1958" t="s">
        <v>2029</v>
      </c>
      <c r="J1958" t="s">
        <v>22</v>
      </c>
      <c r="K1958" s="22">
        <v>2</v>
      </c>
      <c r="L1958" s="1">
        <v>43004</v>
      </c>
      <c r="M1958" s="22">
        <f>Table3[[#This Row],[Ship Date]]-Table3[[#This Row],[Order Date]]</f>
        <v>6</v>
      </c>
      <c r="N1958" s="23" t="s">
        <v>45</v>
      </c>
      <c r="O1958" s="23" t="s">
        <v>23</v>
      </c>
      <c r="P1958" s="23" t="s">
        <v>238</v>
      </c>
      <c r="Q1958" s="23" t="s">
        <v>133</v>
      </c>
      <c r="R1958" s="23" t="s">
        <v>237</v>
      </c>
      <c r="S1958" s="33">
        <v>0</v>
      </c>
      <c r="T1958" s="13">
        <v>1299.6600000000001</v>
      </c>
      <c r="U1958" s="13">
        <v>350.90820000000002</v>
      </c>
      <c r="V1958" s="55">
        <f>Table3[[#This Row],[Profit]]/Table3[[#This Row],[Sales]]</f>
        <v>0.27</v>
      </c>
    </row>
    <row r="1959" spans="1:22" x14ac:dyDescent="0.2">
      <c r="A1959">
        <v>1958</v>
      </c>
      <c r="B1959" t="s">
        <v>7905</v>
      </c>
      <c r="C1959" s="1">
        <v>42998</v>
      </c>
      <c r="D1959" s="22">
        <f>MONTH(Table3[[#This Row],[Order Date]])</f>
        <v>9</v>
      </c>
      <c r="E1959" t="s">
        <v>1528</v>
      </c>
      <c r="F1959" t="s">
        <v>1529</v>
      </c>
      <c r="G1959" s="23" t="s">
        <v>28</v>
      </c>
      <c r="H1959" s="23" t="s">
        <v>32</v>
      </c>
      <c r="I1959" t="s">
        <v>2029</v>
      </c>
      <c r="J1959" t="s">
        <v>22</v>
      </c>
      <c r="K1959" s="22">
        <v>5</v>
      </c>
      <c r="L1959" s="1">
        <v>43004</v>
      </c>
      <c r="M1959" s="22">
        <f>Table3[[#This Row],[Ship Date]]-Table3[[#This Row],[Order Date]]</f>
        <v>6</v>
      </c>
      <c r="N1959" s="23" t="s">
        <v>45</v>
      </c>
      <c r="O1959" s="23" t="s">
        <v>23</v>
      </c>
      <c r="P1959" s="23" t="s">
        <v>238</v>
      </c>
      <c r="Q1959" s="23" t="s">
        <v>133</v>
      </c>
      <c r="R1959" s="23" t="s">
        <v>237</v>
      </c>
      <c r="S1959" s="33">
        <v>0.1</v>
      </c>
      <c r="T1959" s="13">
        <v>2254.41</v>
      </c>
      <c r="U1959" s="13">
        <v>375.73500000000001</v>
      </c>
      <c r="V1959" s="55">
        <f>Table3[[#This Row],[Profit]]/Table3[[#This Row],[Sales]]</f>
        <v>0.16666666666666669</v>
      </c>
    </row>
    <row r="1960" spans="1:22" x14ac:dyDescent="0.2">
      <c r="A1960">
        <v>1959</v>
      </c>
      <c r="B1960" t="s">
        <v>7905</v>
      </c>
      <c r="C1960" s="1">
        <v>42998</v>
      </c>
      <c r="D1960" s="22">
        <f>MONTH(Table3[[#This Row],[Order Date]])</f>
        <v>9</v>
      </c>
      <c r="E1960" t="s">
        <v>542</v>
      </c>
      <c r="F1960" t="s">
        <v>543</v>
      </c>
      <c r="G1960" s="23" t="s">
        <v>64</v>
      </c>
      <c r="H1960" s="23" t="s">
        <v>65</v>
      </c>
      <c r="I1960" t="s">
        <v>2029</v>
      </c>
      <c r="J1960" t="s">
        <v>22</v>
      </c>
      <c r="K1960" s="22">
        <v>3</v>
      </c>
      <c r="L1960" s="1">
        <v>43004</v>
      </c>
      <c r="M1960" s="22">
        <f>Table3[[#This Row],[Ship Date]]-Table3[[#This Row],[Order Date]]</f>
        <v>6</v>
      </c>
      <c r="N1960" s="23" t="s">
        <v>45</v>
      </c>
      <c r="O1960" s="23" t="s">
        <v>23</v>
      </c>
      <c r="P1960" s="23" t="s">
        <v>238</v>
      </c>
      <c r="Q1960" s="23" t="s">
        <v>133</v>
      </c>
      <c r="R1960" s="23" t="s">
        <v>237</v>
      </c>
      <c r="S1960" s="33">
        <v>0</v>
      </c>
      <c r="T1960" s="13">
        <v>104.85</v>
      </c>
      <c r="U1960" s="13">
        <v>28.3095</v>
      </c>
      <c r="V1960" s="55">
        <f>Table3[[#This Row],[Profit]]/Table3[[#This Row],[Sales]]</f>
        <v>0.27</v>
      </c>
    </row>
    <row r="1961" spans="1:22" x14ac:dyDescent="0.2">
      <c r="A1961">
        <v>1960</v>
      </c>
      <c r="B1961" t="s">
        <v>7905</v>
      </c>
      <c r="C1961" s="1">
        <v>42998</v>
      </c>
      <c r="D1961" s="22">
        <f>MONTH(Table3[[#This Row],[Order Date]])</f>
        <v>9</v>
      </c>
      <c r="E1961" t="s">
        <v>348</v>
      </c>
      <c r="F1961" t="s">
        <v>349</v>
      </c>
      <c r="G1961" s="23" t="s">
        <v>64</v>
      </c>
      <c r="H1961" s="23" t="s">
        <v>144</v>
      </c>
      <c r="I1961" t="s">
        <v>2029</v>
      </c>
      <c r="J1961" t="s">
        <v>22</v>
      </c>
      <c r="K1961" s="22">
        <v>3</v>
      </c>
      <c r="L1961" s="1">
        <v>43004</v>
      </c>
      <c r="M1961" s="22">
        <f>Table3[[#This Row],[Ship Date]]-Table3[[#This Row],[Order Date]]</f>
        <v>6</v>
      </c>
      <c r="N1961" s="23" t="s">
        <v>45</v>
      </c>
      <c r="O1961" s="23" t="s">
        <v>23</v>
      </c>
      <c r="P1961" s="23" t="s">
        <v>238</v>
      </c>
      <c r="Q1961" s="23" t="s">
        <v>133</v>
      </c>
      <c r="R1961" s="23" t="s">
        <v>237</v>
      </c>
      <c r="S1961" s="33">
        <v>0</v>
      </c>
      <c r="T1961" s="13">
        <v>59.97</v>
      </c>
      <c r="U1961" s="13">
        <v>20.389800000000001</v>
      </c>
      <c r="V1961" s="55">
        <f>Table3[[#This Row],[Profit]]/Table3[[#This Row],[Sales]]</f>
        <v>0.34</v>
      </c>
    </row>
    <row r="1962" spans="1:22" x14ac:dyDescent="0.2">
      <c r="A1962">
        <v>1961</v>
      </c>
      <c r="B1962" t="s">
        <v>2195</v>
      </c>
      <c r="C1962" s="1">
        <v>42999</v>
      </c>
      <c r="D1962" s="22">
        <f>MONTH(Table3[[#This Row],[Order Date]])</f>
        <v>9</v>
      </c>
      <c r="E1962" t="s">
        <v>2104</v>
      </c>
      <c r="F1962" t="s">
        <v>2105</v>
      </c>
      <c r="G1962" s="23" t="s">
        <v>41</v>
      </c>
      <c r="H1962" s="23" t="s">
        <v>68</v>
      </c>
      <c r="I1962" t="s">
        <v>2196</v>
      </c>
      <c r="J1962" t="s">
        <v>22</v>
      </c>
      <c r="K1962" s="22">
        <v>7</v>
      </c>
      <c r="L1962" s="1">
        <v>43004</v>
      </c>
      <c r="M1962" s="22">
        <f>Table3[[#This Row],[Ship Date]]-Table3[[#This Row],[Order Date]]</f>
        <v>5</v>
      </c>
      <c r="N1962" s="23" t="s">
        <v>45</v>
      </c>
      <c r="O1962" s="23" t="s">
        <v>23</v>
      </c>
      <c r="P1962" s="23" t="s">
        <v>204</v>
      </c>
      <c r="Q1962" s="23" t="s">
        <v>95</v>
      </c>
      <c r="R1962" s="23" t="s">
        <v>347</v>
      </c>
      <c r="S1962" s="33">
        <v>0</v>
      </c>
      <c r="T1962" s="13">
        <v>20.16</v>
      </c>
      <c r="U1962" s="13">
        <v>9.8783999999999992</v>
      </c>
      <c r="V1962" s="55">
        <f>Table3[[#This Row],[Profit]]/Table3[[#This Row],[Sales]]</f>
        <v>0.48999999999999994</v>
      </c>
    </row>
    <row r="1963" spans="1:22" x14ac:dyDescent="0.2">
      <c r="A1963">
        <v>1962</v>
      </c>
      <c r="B1963" t="s">
        <v>6627</v>
      </c>
      <c r="C1963" s="1">
        <v>42999</v>
      </c>
      <c r="D1963" s="22">
        <f>MONTH(Table3[[#This Row],[Order Date]])</f>
        <v>9</v>
      </c>
      <c r="E1963" t="s">
        <v>5291</v>
      </c>
      <c r="F1963" t="s">
        <v>5292</v>
      </c>
      <c r="G1963" s="23" t="s">
        <v>41</v>
      </c>
      <c r="H1963" s="23" t="s">
        <v>71</v>
      </c>
      <c r="I1963" t="s">
        <v>3047</v>
      </c>
      <c r="J1963" t="s">
        <v>22</v>
      </c>
      <c r="K1963" s="22">
        <v>1</v>
      </c>
      <c r="L1963" s="1">
        <v>43003</v>
      </c>
      <c r="M1963" s="22">
        <f>Table3[[#This Row],[Ship Date]]-Table3[[#This Row],[Order Date]]</f>
        <v>4</v>
      </c>
      <c r="N1963" s="23" t="s">
        <v>45</v>
      </c>
      <c r="O1963" s="23" t="s">
        <v>23</v>
      </c>
      <c r="P1963" s="23" t="s">
        <v>1125</v>
      </c>
      <c r="Q1963" s="23" t="s">
        <v>26</v>
      </c>
      <c r="R1963" s="23" t="s">
        <v>440</v>
      </c>
      <c r="S1963" s="33">
        <v>0</v>
      </c>
      <c r="T1963" s="13">
        <v>80.48</v>
      </c>
      <c r="U1963" s="13">
        <v>24.143999999999998</v>
      </c>
      <c r="V1963" s="55">
        <f>Table3[[#This Row],[Profit]]/Table3[[#This Row],[Sales]]</f>
        <v>0.3</v>
      </c>
    </row>
    <row r="1964" spans="1:22" x14ac:dyDescent="0.2">
      <c r="A1964">
        <v>1963</v>
      </c>
      <c r="B1964" t="s">
        <v>7002</v>
      </c>
      <c r="C1964" s="1">
        <v>42999</v>
      </c>
      <c r="D1964" s="22">
        <f>MONTH(Table3[[#This Row],[Order Date]])</f>
        <v>9</v>
      </c>
      <c r="E1964" t="s">
        <v>4767</v>
      </c>
      <c r="F1964" t="s">
        <v>4768</v>
      </c>
      <c r="G1964" s="23" t="s">
        <v>41</v>
      </c>
      <c r="H1964" s="23" t="s">
        <v>68</v>
      </c>
      <c r="I1964" t="s">
        <v>137</v>
      </c>
      <c r="J1964" t="s">
        <v>22</v>
      </c>
      <c r="K1964" s="22">
        <v>2</v>
      </c>
      <c r="L1964" s="1">
        <v>43003</v>
      </c>
      <c r="M1964" s="22">
        <f>Table3[[#This Row],[Ship Date]]-Table3[[#This Row],[Order Date]]</f>
        <v>4</v>
      </c>
      <c r="N1964" s="23" t="s">
        <v>45</v>
      </c>
      <c r="O1964" s="23" t="s">
        <v>23</v>
      </c>
      <c r="P1964" s="23" t="s">
        <v>132</v>
      </c>
      <c r="Q1964" s="23" t="s">
        <v>133</v>
      </c>
      <c r="R1964" s="23" t="s">
        <v>131</v>
      </c>
      <c r="S1964" s="33">
        <v>0.7</v>
      </c>
      <c r="T1964" s="13">
        <v>1.9079999999999999</v>
      </c>
      <c r="U1964" s="13">
        <v>-1.5264</v>
      </c>
      <c r="V1964" s="55">
        <f>Table3[[#This Row],[Profit]]/Table3[[#This Row],[Sales]]</f>
        <v>-0.8</v>
      </c>
    </row>
    <row r="1965" spans="1:22" x14ac:dyDescent="0.2">
      <c r="A1965">
        <v>1964</v>
      </c>
      <c r="B1965" t="s">
        <v>7445</v>
      </c>
      <c r="C1965" s="1">
        <v>42999</v>
      </c>
      <c r="D1965" s="22">
        <f>MONTH(Table3[[#This Row],[Order Date]])</f>
        <v>9</v>
      </c>
      <c r="E1965" t="s">
        <v>1249</v>
      </c>
      <c r="F1965" t="s">
        <v>1250</v>
      </c>
      <c r="G1965" s="23" t="s">
        <v>64</v>
      </c>
      <c r="H1965" s="23" t="s">
        <v>144</v>
      </c>
      <c r="I1965" t="s">
        <v>7446</v>
      </c>
      <c r="J1965" t="s">
        <v>22</v>
      </c>
      <c r="K1965" s="22">
        <v>2</v>
      </c>
      <c r="L1965" s="1">
        <v>43001</v>
      </c>
      <c r="M1965" s="22">
        <f>Table3[[#This Row],[Ship Date]]-Table3[[#This Row],[Order Date]]</f>
        <v>2</v>
      </c>
      <c r="N1965" s="23" t="s">
        <v>169</v>
      </c>
      <c r="O1965" s="23" t="s">
        <v>23</v>
      </c>
      <c r="P1965" s="23" t="s">
        <v>87</v>
      </c>
      <c r="Q1965" s="23" t="s">
        <v>39</v>
      </c>
      <c r="R1965" s="23" t="s">
        <v>86</v>
      </c>
      <c r="S1965" s="33">
        <v>0</v>
      </c>
      <c r="T1965" s="13">
        <v>71.98</v>
      </c>
      <c r="U1965" s="13">
        <v>15.1158</v>
      </c>
      <c r="V1965" s="55">
        <f>Table3[[#This Row],[Profit]]/Table3[[#This Row],[Sales]]</f>
        <v>0.21</v>
      </c>
    </row>
    <row r="1966" spans="1:22" x14ac:dyDescent="0.2">
      <c r="A1966">
        <v>1965</v>
      </c>
      <c r="B1966" t="s">
        <v>7445</v>
      </c>
      <c r="C1966" s="1">
        <v>42999</v>
      </c>
      <c r="D1966" s="22">
        <f>MONTH(Table3[[#This Row],[Order Date]])</f>
        <v>9</v>
      </c>
      <c r="E1966" t="s">
        <v>1491</v>
      </c>
      <c r="F1966" t="s">
        <v>1492</v>
      </c>
      <c r="G1966" s="23" t="s">
        <v>64</v>
      </c>
      <c r="H1966" s="23" t="s">
        <v>144</v>
      </c>
      <c r="I1966" t="s">
        <v>7446</v>
      </c>
      <c r="J1966" t="s">
        <v>22</v>
      </c>
      <c r="K1966" s="22">
        <v>2</v>
      </c>
      <c r="L1966" s="1">
        <v>43001</v>
      </c>
      <c r="M1966" s="22">
        <f>Table3[[#This Row],[Ship Date]]-Table3[[#This Row],[Order Date]]</f>
        <v>2</v>
      </c>
      <c r="N1966" s="23" t="s">
        <v>169</v>
      </c>
      <c r="O1966" s="23" t="s">
        <v>23</v>
      </c>
      <c r="P1966" s="23" t="s">
        <v>87</v>
      </c>
      <c r="Q1966" s="23" t="s">
        <v>39</v>
      </c>
      <c r="R1966" s="23" t="s">
        <v>86</v>
      </c>
      <c r="S1966" s="33">
        <v>0</v>
      </c>
      <c r="T1966" s="13">
        <v>79.98</v>
      </c>
      <c r="U1966" s="13">
        <v>26.3934</v>
      </c>
      <c r="V1966" s="55">
        <f>Table3[[#This Row],[Profit]]/Table3[[#This Row],[Sales]]</f>
        <v>0.32999999999999996</v>
      </c>
    </row>
    <row r="1967" spans="1:22" x14ac:dyDescent="0.2">
      <c r="A1967">
        <v>1966</v>
      </c>
      <c r="B1967" t="s">
        <v>7848</v>
      </c>
      <c r="C1967" s="1">
        <v>42999</v>
      </c>
      <c r="D1967" s="22">
        <f>MONTH(Table3[[#This Row],[Order Date]])</f>
        <v>9</v>
      </c>
      <c r="E1967" t="s">
        <v>410</v>
      </c>
      <c r="F1967" t="s">
        <v>411</v>
      </c>
      <c r="G1967" s="23" t="s">
        <v>41</v>
      </c>
      <c r="H1967" s="23" t="s">
        <v>68</v>
      </c>
      <c r="I1967" t="s">
        <v>2156</v>
      </c>
      <c r="J1967" t="s">
        <v>22</v>
      </c>
      <c r="K1967" s="22">
        <v>1</v>
      </c>
      <c r="L1967" s="1">
        <v>43005</v>
      </c>
      <c r="M1967" s="22">
        <f>Table3[[#This Row],[Ship Date]]-Table3[[#This Row],[Order Date]]</f>
        <v>6</v>
      </c>
      <c r="N1967" s="23" t="s">
        <v>45</v>
      </c>
      <c r="O1967" s="23" t="s">
        <v>23</v>
      </c>
      <c r="P1967" s="23" t="s">
        <v>48</v>
      </c>
      <c r="Q1967" s="23" t="s">
        <v>26</v>
      </c>
      <c r="R1967" s="23" t="s">
        <v>1253</v>
      </c>
      <c r="S1967" s="33">
        <v>0.7</v>
      </c>
      <c r="T1967" s="13">
        <v>12.294</v>
      </c>
      <c r="U1967" s="13">
        <v>-8.6058000000000003</v>
      </c>
      <c r="V1967" s="55">
        <f>Table3[[#This Row],[Profit]]/Table3[[#This Row],[Sales]]</f>
        <v>-0.7</v>
      </c>
    </row>
    <row r="1968" spans="1:22" x14ac:dyDescent="0.2">
      <c r="A1968">
        <v>1967</v>
      </c>
      <c r="B1968" t="s">
        <v>8651</v>
      </c>
      <c r="C1968" s="1">
        <v>42999</v>
      </c>
      <c r="D1968" s="22">
        <f>MONTH(Table3[[#This Row],[Order Date]])</f>
        <v>9</v>
      </c>
      <c r="E1968" t="s">
        <v>3540</v>
      </c>
      <c r="F1968" t="s">
        <v>5887</v>
      </c>
      <c r="G1968" s="23" t="s">
        <v>41</v>
      </c>
      <c r="H1968" s="23" t="s">
        <v>53</v>
      </c>
      <c r="I1968" t="s">
        <v>4734</v>
      </c>
      <c r="J1968" t="s">
        <v>36</v>
      </c>
      <c r="K1968" s="22">
        <v>1</v>
      </c>
      <c r="L1968" s="1">
        <v>43001</v>
      </c>
      <c r="M1968" s="22">
        <f>Table3[[#This Row],[Ship Date]]-Table3[[#This Row],[Order Date]]</f>
        <v>2</v>
      </c>
      <c r="N1968" s="23" t="s">
        <v>169</v>
      </c>
      <c r="O1968" s="23" t="s">
        <v>23</v>
      </c>
      <c r="P1968" s="23" t="s">
        <v>38</v>
      </c>
      <c r="Q1968" s="23" t="s">
        <v>39</v>
      </c>
      <c r="R1968" s="23" t="s">
        <v>37</v>
      </c>
      <c r="S1968" s="33">
        <v>0</v>
      </c>
      <c r="T1968" s="13">
        <v>15.51</v>
      </c>
      <c r="U1968" s="13">
        <v>3.8774999999999999</v>
      </c>
      <c r="V1968" s="55">
        <f>Table3[[#This Row],[Profit]]/Table3[[#This Row],[Sales]]</f>
        <v>0.25</v>
      </c>
    </row>
    <row r="1969" spans="1:22" x14ac:dyDescent="0.2">
      <c r="A1969">
        <v>1968</v>
      </c>
      <c r="B1969" t="s">
        <v>9303</v>
      </c>
      <c r="C1969" s="1">
        <v>42999</v>
      </c>
      <c r="D1969" s="22">
        <f>MONTH(Table3[[#This Row],[Order Date]])</f>
        <v>9</v>
      </c>
      <c r="E1969" t="s">
        <v>826</v>
      </c>
      <c r="F1969" t="s">
        <v>827</v>
      </c>
      <c r="G1969" s="23" t="s">
        <v>41</v>
      </c>
      <c r="H1969" s="23" t="s">
        <v>82</v>
      </c>
      <c r="I1969" t="s">
        <v>1071</v>
      </c>
      <c r="J1969" t="s">
        <v>22</v>
      </c>
      <c r="K1969" s="22">
        <v>7</v>
      </c>
      <c r="L1969" s="1">
        <v>43003</v>
      </c>
      <c r="M1969" s="22">
        <f>Table3[[#This Row],[Ship Date]]-Table3[[#This Row],[Order Date]]</f>
        <v>4</v>
      </c>
      <c r="N1969" s="23" t="s">
        <v>45</v>
      </c>
      <c r="O1969" s="23" t="s">
        <v>23</v>
      </c>
      <c r="P1969" s="23" t="s">
        <v>38</v>
      </c>
      <c r="Q1969" s="23" t="s">
        <v>39</v>
      </c>
      <c r="R1969" s="23" t="s">
        <v>114</v>
      </c>
      <c r="S1969" s="33">
        <v>0</v>
      </c>
      <c r="T1969" s="13">
        <v>55.86</v>
      </c>
      <c r="U1969" s="13">
        <v>27.93</v>
      </c>
      <c r="V1969" s="55">
        <f>Table3[[#This Row],[Profit]]/Table3[[#This Row],[Sales]]</f>
        <v>0.5</v>
      </c>
    </row>
    <row r="1970" spans="1:22" x14ac:dyDescent="0.2">
      <c r="A1970">
        <v>1969</v>
      </c>
      <c r="B1970" t="s">
        <v>3981</v>
      </c>
      <c r="C1970" s="1">
        <v>43000</v>
      </c>
      <c r="D1970" s="22">
        <f>MONTH(Table3[[#This Row],[Order Date]])</f>
        <v>9</v>
      </c>
      <c r="E1970" t="s">
        <v>3800</v>
      </c>
      <c r="F1970" t="s">
        <v>3801</v>
      </c>
      <c r="G1970" s="23" t="s">
        <v>41</v>
      </c>
      <c r="H1970" s="23" t="s">
        <v>82</v>
      </c>
      <c r="I1970" t="s">
        <v>3982</v>
      </c>
      <c r="J1970" t="s">
        <v>36</v>
      </c>
      <c r="K1970" s="22">
        <v>4</v>
      </c>
      <c r="L1970" s="1">
        <v>43004</v>
      </c>
      <c r="M1970" s="22">
        <f>Table3[[#This Row],[Ship Date]]-Table3[[#This Row],[Order Date]]</f>
        <v>4</v>
      </c>
      <c r="N1970" s="23" t="s">
        <v>45</v>
      </c>
      <c r="O1970" s="23" t="s">
        <v>23</v>
      </c>
      <c r="P1970" s="23" t="s">
        <v>103</v>
      </c>
      <c r="Q1970" s="23" t="s">
        <v>95</v>
      </c>
      <c r="R1970" s="23" t="s">
        <v>2242</v>
      </c>
      <c r="S1970" s="33">
        <v>0</v>
      </c>
      <c r="T1970" s="13">
        <v>219.84</v>
      </c>
      <c r="U1970" s="13">
        <v>107.7216</v>
      </c>
      <c r="V1970" s="55">
        <f>Table3[[#This Row],[Profit]]/Table3[[#This Row],[Sales]]</f>
        <v>0.49</v>
      </c>
    </row>
    <row r="1971" spans="1:22" x14ac:dyDescent="0.2">
      <c r="A1971">
        <v>1970</v>
      </c>
      <c r="B1971" t="s">
        <v>3981</v>
      </c>
      <c r="C1971" s="1">
        <v>43000</v>
      </c>
      <c r="D1971" s="22">
        <f>MONTH(Table3[[#This Row],[Order Date]])</f>
        <v>9</v>
      </c>
      <c r="E1971" t="s">
        <v>3320</v>
      </c>
      <c r="F1971" t="s">
        <v>3321</v>
      </c>
      <c r="G1971" s="23" t="s">
        <v>64</v>
      </c>
      <c r="H1971" s="23" t="s">
        <v>144</v>
      </c>
      <c r="I1971" t="s">
        <v>3982</v>
      </c>
      <c r="J1971" t="s">
        <v>36</v>
      </c>
      <c r="K1971" s="22">
        <v>6</v>
      </c>
      <c r="L1971" s="1">
        <v>43004</v>
      </c>
      <c r="M1971" s="22">
        <f>Table3[[#This Row],[Ship Date]]-Table3[[#This Row],[Order Date]]</f>
        <v>4</v>
      </c>
      <c r="N1971" s="23" t="s">
        <v>45</v>
      </c>
      <c r="O1971" s="23" t="s">
        <v>23</v>
      </c>
      <c r="P1971" s="23" t="s">
        <v>103</v>
      </c>
      <c r="Q1971" s="23" t="s">
        <v>95</v>
      </c>
      <c r="R1971" s="23" t="s">
        <v>2242</v>
      </c>
      <c r="S1971" s="33">
        <v>0</v>
      </c>
      <c r="T1971" s="13">
        <v>98.16</v>
      </c>
      <c r="U1971" s="13">
        <v>9.8160000000000007</v>
      </c>
      <c r="V1971" s="55">
        <f>Table3[[#This Row],[Profit]]/Table3[[#This Row],[Sales]]</f>
        <v>0.1</v>
      </c>
    </row>
    <row r="1972" spans="1:22" x14ac:dyDescent="0.2">
      <c r="A1972">
        <v>1971</v>
      </c>
      <c r="B1972" t="s">
        <v>3981</v>
      </c>
      <c r="C1972" s="1">
        <v>43000</v>
      </c>
      <c r="D1972" s="22">
        <f>MONTH(Table3[[#This Row],[Order Date]])</f>
        <v>9</v>
      </c>
      <c r="E1972" t="s">
        <v>2966</v>
      </c>
      <c r="F1972" t="s">
        <v>2967</v>
      </c>
      <c r="G1972" s="23" t="s">
        <v>41</v>
      </c>
      <c r="H1972" s="23" t="s">
        <v>68</v>
      </c>
      <c r="I1972" t="s">
        <v>3982</v>
      </c>
      <c r="J1972" t="s">
        <v>36</v>
      </c>
      <c r="K1972" s="22">
        <v>8</v>
      </c>
      <c r="L1972" s="1">
        <v>43004</v>
      </c>
      <c r="M1972" s="22">
        <f>Table3[[#This Row],[Ship Date]]-Table3[[#This Row],[Order Date]]</f>
        <v>4</v>
      </c>
      <c r="N1972" s="23" t="s">
        <v>45</v>
      </c>
      <c r="O1972" s="23" t="s">
        <v>23</v>
      </c>
      <c r="P1972" s="23" t="s">
        <v>103</v>
      </c>
      <c r="Q1972" s="23" t="s">
        <v>95</v>
      </c>
      <c r="R1972" s="23" t="s">
        <v>2242</v>
      </c>
      <c r="S1972" s="33">
        <v>0</v>
      </c>
      <c r="T1972" s="13">
        <v>33.04</v>
      </c>
      <c r="U1972" s="13">
        <v>15.5288</v>
      </c>
      <c r="V1972" s="55">
        <f>Table3[[#This Row],[Profit]]/Table3[[#This Row],[Sales]]</f>
        <v>0.47000000000000003</v>
      </c>
    </row>
    <row r="1973" spans="1:22" x14ac:dyDescent="0.2">
      <c r="A1973">
        <v>1972</v>
      </c>
      <c r="B1973" t="s">
        <v>3981</v>
      </c>
      <c r="C1973" s="1">
        <v>43000</v>
      </c>
      <c r="D1973" s="22">
        <f>MONTH(Table3[[#This Row],[Order Date]])</f>
        <v>9</v>
      </c>
      <c r="E1973" t="s">
        <v>3983</v>
      </c>
      <c r="F1973" t="s">
        <v>3984</v>
      </c>
      <c r="G1973" s="23" t="s">
        <v>64</v>
      </c>
      <c r="H1973" s="23" t="s">
        <v>65</v>
      </c>
      <c r="I1973" t="s">
        <v>3982</v>
      </c>
      <c r="J1973" t="s">
        <v>36</v>
      </c>
      <c r="K1973" s="22">
        <v>3</v>
      </c>
      <c r="L1973" s="1">
        <v>43004</v>
      </c>
      <c r="M1973" s="22">
        <f>Table3[[#This Row],[Ship Date]]-Table3[[#This Row],[Order Date]]</f>
        <v>4</v>
      </c>
      <c r="N1973" s="23" t="s">
        <v>45</v>
      </c>
      <c r="O1973" s="23" t="s">
        <v>23</v>
      </c>
      <c r="P1973" s="23" t="s">
        <v>103</v>
      </c>
      <c r="Q1973" s="23" t="s">
        <v>95</v>
      </c>
      <c r="R1973" s="23" t="s">
        <v>2242</v>
      </c>
      <c r="S1973" s="33">
        <v>0</v>
      </c>
      <c r="T1973" s="13">
        <v>86.97</v>
      </c>
      <c r="U1973" s="13">
        <v>25.221299999999999</v>
      </c>
      <c r="V1973" s="55">
        <f>Table3[[#This Row],[Profit]]/Table3[[#This Row],[Sales]]</f>
        <v>0.28999999999999998</v>
      </c>
    </row>
    <row r="1974" spans="1:22" x14ac:dyDescent="0.2">
      <c r="A1974">
        <v>1973</v>
      </c>
      <c r="B1974" t="s">
        <v>4011</v>
      </c>
      <c r="C1974" s="1">
        <v>43000</v>
      </c>
      <c r="D1974" s="22">
        <f>MONTH(Table3[[#This Row],[Order Date]])</f>
        <v>9</v>
      </c>
      <c r="E1974" t="s">
        <v>1515</v>
      </c>
      <c r="F1974" t="s">
        <v>1516</v>
      </c>
      <c r="G1974" s="23" t="s">
        <v>41</v>
      </c>
      <c r="H1974" s="23" t="s">
        <v>68</v>
      </c>
      <c r="I1974" t="s">
        <v>2550</v>
      </c>
      <c r="J1974" t="s">
        <v>22</v>
      </c>
      <c r="K1974" s="22">
        <v>1</v>
      </c>
      <c r="L1974" s="1">
        <v>43004</v>
      </c>
      <c r="M1974" s="22">
        <f>Table3[[#This Row],[Ship Date]]-Table3[[#This Row],[Order Date]]</f>
        <v>4</v>
      </c>
      <c r="N1974" s="23" t="s">
        <v>20</v>
      </c>
      <c r="O1974" s="23" t="s">
        <v>23</v>
      </c>
      <c r="P1974" s="23" t="s">
        <v>132</v>
      </c>
      <c r="Q1974" s="23" t="s">
        <v>133</v>
      </c>
      <c r="R1974" s="23" t="s">
        <v>131</v>
      </c>
      <c r="S1974" s="33">
        <v>0.7</v>
      </c>
      <c r="T1974" s="13">
        <v>5.6070000000000002</v>
      </c>
      <c r="U1974" s="13">
        <v>-4.2987000000000002</v>
      </c>
      <c r="V1974" s="55">
        <f>Table3[[#This Row],[Profit]]/Table3[[#This Row],[Sales]]</f>
        <v>-0.76666666666666672</v>
      </c>
    </row>
    <row r="1975" spans="1:22" x14ac:dyDescent="0.2">
      <c r="A1975">
        <v>1974</v>
      </c>
      <c r="B1975" t="s">
        <v>4011</v>
      </c>
      <c r="C1975" s="1">
        <v>43000</v>
      </c>
      <c r="D1975" s="22">
        <f>MONTH(Table3[[#This Row],[Order Date]])</f>
        <v>9</v>
      </c>
      <c r="E1975" t="s">
        <v>1594</v>
      </c>
      <c r="F1975" t="s">
        <v>1595</v>
      </c>
      <c r="G1975" s="23" t="s">
        <v>41</v>
      </c>
      <c r="H1975" s="23" t="s">
        <v>513</v>
      </c>
      <c r="I1975" t="s">
        <v>2550</v>
      </c>
      <c r="J1975" t="s">
        <v>22</v>
      </c>
      <c r="K1975" s="22">
        <v>7</v>
      </c>
      <c r="L1975" s="1">
        <v>43004</v>
      </c>
      <c r="M1975" s="22">
        <f>Table3[[#This Row],[Ship Date]]-Table3[[#This Row],[Order Date]]</f>
        <v>4</v>
      </c>
      <c r="N1975" s="23" t="s">
        <v>20</v>
      </c>
      <c r="O1975" s="23" t="s">
        <v>23</v>
      </c>
      <c r="P1975" s="23" t="s">
        <v>132</v>
      </c>
      <c r="Q1975" s="23" t="s">
        <v>133</v>
      </c>
      <c r="R1975" s="23" t="s">
        <v>131</v>
      </c>
      <c r="S1975" s="33">
        <v>0.2</v>
      </c>
      <c r="T1975" s="13">
        <v>4663.7359999999999</v>
      </c>
      <c r="U1975" s="13">
        <v>-1049.3406</v>
      </c>
      <c r="V1975" s="55">
        <f>Table3[[#This Row],[Profit]]/Table3[[#This Row],[Sales]]</f>
        <v>-0.22500000000000001</v>
      </c>
    </row>
    <row r="1976" spans="1:22" x14ac:dyDescent="0.2">
      <c r="A1976">
        <v>1975</v>
      </c>
      <c r="B1976" t="s">
        <v>4011</v>
      </c>
      <c r="C1976" s="1">
        <v>43000</v>
      </c>
      <c r="D1976" s="22">
        <f>MONTH(Table3[[#This Row],[Order Date]])</f>
        <v>9</v>
      </c>
      <c r="E1976" t="s">
        <v>4012</v>
      </c>
      <c r="F1976" t="s">
        <v>4013</v>
      </c>
      <c r="G1976" s="23" t="s">
        <v>64</v>
      </c>
      <c r="H1976" s="23" t="s">
        <v>144</v>
      </c>
      <c r="I1976" t="s">
        <v>2550</v>
      </c>
      <c r="J1976" t="s">
        <v>22</v>
      </c>
      <c r="K1976" s="22">
        <v>2</v>
      </c>
      <c r="L1976" s="1">
        <v>43004</v>
      </c>
      <c r="M1976" s="22">
        <f>Table3[[#This Row],[Ship Date]]-Table3[[#This Row],[Order Date]]</f>
        <v>4</v>
      </c>
      <c r="N1976" s="23" t="s">
        <v>20</v>
      </c>
      <c r="O1976" s="23" t="s">
        <v>23</v>
      </c>
      <c r="P1976" s="23" t="s">
        <v>132</v>
      </c>
      <c r="Q1976" s="23" t="s">
        <v>133</v>
      </c>
      <c r="R1976" s="23" t="s">
        <v>131</v>
      </c>
      <c r="S1976" s="33">
        <v>0.2</v>
      </c>
      <c r="T1976" s="13">
        <v>79.983999999999995</v>
      </c>
      <c r="U1976" s="13">
        <v>22.9954</v>
      </c>
      <c r="V1976" s="55">
        <f>Table3[[#This Row],[Profit]]/Table3[[#This Row],[Sales]]</f>
        <v>0.28750000000000003</v>
      </c>
    </row>
    <row r="1977" spans="1:22" x14ac:dyDescent="0.2">
      <c r="A1977">
        <v>1976</v>
      </c>
      <c r="B1977" t="s">
        <v>4463</v>
      </c>
      <c r="C1977" s="1">
        <v>43000</v>
      </c>
      <c r="D1977" s="22">
        <f>MONTH(Table3[[#This Row],[Order Date]])</f>
        <v>9</v>
      </c>
      <c r="E1977" t="s">
        <v>1276</v>
      </c>
      <c r="F1977" t="s">
        <v>1277</v>
      </c>
      <c r="G1977" s="23" t="s">
        <v>28</v>
      </c>
      <c r="H1977" s="23" t="s">
        <v>29</v>
      </c>
      <c r="I1977" t="s">
        <v>2781</v>
      </c>
      <c r="J1977" t="s">
        <v>92</v>
      </c>
      <c r="K1977" s="22">
        <v>2</v>
      </c>
      <c r="L1977" s="1">
        <v>43002</v>
      </c>
      <c r="M1977" s="22">
        <f>Table3[[#This Row],[Ship Date]]-Table3[[#This Row],[Order Date]]</f>
        <v>2</v>
      </c>
      <c r="N1977" s="23" t="s">
        <v>20</v>
      </c>
      <c r="O1977" s="23" t="s">
        <v>23</v>
      </c>
      <c r="P1977" s="23" t="s">
        <v>212</v>
      </c>
      <c r="Q1977" s="23" t="s">
        <v>95</v>
      </c>
      <c r="R1977" s="23" t="s">
        <v>2912</v>
      </c>
      <c r="S1977" s="33">
        <v>0</v>
      </c>
      <c r="T1977" s="13">
        <v>241.96</v>
      </c>
      <c r="U1977" s="13">
        <v>41.133200000000002</v>
      </c>
      <c r="V1977" s="55">
        <f>Table3[[#This Row],[Profit]]/Table3[[#This Row],[Sales]]</f>
        <v>0.17</v>
      </c>
    </row>
    <row r="1978" spans="1:22" x14ac:dyDescent="0.2">
      <c r="A1978">
        <v>1977</v>
      </c>
      <c r="B1978" t="s">
        <v>4463</v>
      </c>
      <c r="C1978" s="1">
        <v>43000</v>
      </c>
      <c r="D1978" s="22">
        <f>MONTH(Table3[[#This Row],[Order Date]])</f>
        <v>9</v>
      </c>
      <c r="E1978" t="s">
        <v>350</v>
      </c>
      <c r="F1978" t="s">
        <v>351</v>
      </c>
      <c r="G1978" s="23" t="s">
        <v>41</v>
      </c>
      <c r="H1978" s="23" t="s">
        <v>42</v>
      </c>
      <c r="I1978" t="s">
        <v>2781</v>
      </c>
      <c r="J1978" t="s">
        <v>92</v>
      </c>
      <c r="K1978" s="22">
        <v>9</v>
      </c>
      <c r="L1978" s="1">
        <v>43002</v>
      </c>
      <c r="M1978" s="22">
        <f>Table3[[#This Row],[Ship Date]]-Table3[[#This Row],[Order Date]]</f>
        <v>2</v>
      </c>
      <c r="N1978" s="23" t="s">
        <v>20</v>
      </c>
      <c r="O1978" s="23" t="s">
        <v>23</v>
      </c>
      <c r="P1978" s="23" t="s">
        <v>212</v>
      </c>
      <c r="Q1978" s="23" t="s">
        <v>95</v>
      </c>
      <c r="R1978" s="23" t="s">
        <v>2912</v>
      </c>
      <c r="S1978" s="33">
        <v>0</v>
      </c>
      <c r="T1978" s="13">
        <v>27.72</v>
      </c>
      <c r="U1978" s="13">
        <v>13.3056</v>
      </c>
      <c r="V1978" s="55">
        <f>Table3[[#This Row],[Profit]]/Table3[[#This Row],[Sales]]</f>
        <v>0.48000000000000004</v>
      </c>
    </row>
    <row r="1979" spans="1:22" x14ac:dyDescent="0.2">
      <c r="A1979">
        <v>1978</v>
      </c>
      <c r="B1979" t="s">
        <v>5741</v>
      </c>
      <c r="C1979" s="1">
        <v>43000</v>
      </c>
      <c r="D1979" s="22">
        <f>MONTH(Table3[[#This Row],[Order Date]])</f>
        <v>9</v>
      </c>
      <c r="E1979" t="s">
        <v>1408</v>
      </c>
      <c r="F1979" t="s">
        <v>591</v>
      </c>
      <c r="G1979" s="23" t="s">
        <v>41</v>
      </c>
      <c r="H1979" s="23" t="s">
        <v>155</v>
      </c>
      <c r="I1979" t="s">
        <v>518</v>
      </c>
      <c r="J1979" t="s">
        <v>36</v>
      </c>
      <c r="K1979" s="22">
        <v>3</v>
      </c>
      <c r="L1979" s="1">
        <v>43005</v>
      </c>
      <c r="M1979" s="22">
        <f>Table3[[#This Row],[Ship Date]]-Table3[[#This Row],[Order Date]]</f>
        <v>5</v>
      </c>
      <c r="N1979" s="23" t="s">
        <v>45</v>
      </c>
      <c r="O1979" s="23" t="s">
        <v>23</v>
      </c>
      <c r="P1979" s="23" t="s">
        <v>94</v>
      </c>
      <c r="Q1979" s="23" t="s">
        <v>95</v>
      </c>
      <c r="R1979" s="23" t="s">
        <v>5742</v>
      </c>
      <c r="S1979" s="33">
        <v>0.2</v>
      </c>
      <c r="T1979" s="13">
        <v>13.391999999999999</v>
      </c>
      <c r="U1979" s="13">
        <v>5.0220000000000002</v>
      </c>
      <c r="V1979" s="55">
        <f>Table3[[#This Row],[Profit]]/Table3[[#This Row],[Sales]]</f>
        <v>0.37500000000000006</v>
      </c>
    </row>
    <row r="1980" spans="1:22" x14ac:dyDescent="0.2">
      <c r="A1980">
        <v>1979</v>
      </c>
      <c r="B1980" t="s">
        <v>5741</v>
      </c>
      <c r="C1980" s="1">
        <v>43000</v>
      </c>
      <c r="D1980" s="22">
        <f>MONTH(Table3[[#This Row],[Order Date]])</f>
        <v>9</v>
      </c>
      <c r="E1980" t="s">
        <v>1346</v>
      </c>
      <c r="F1980" t="s">
        <v>1347</v>
      </c>
      <c r="G1980" s="23" t="s">
        <v>41</v>
      </c>
      <c r="H1980" s="23" t="s">
        <v>68</v>
      </c>
      <c r="I1980" t="s">
        <v>518</v>
      </c>
      <c r="J1980" t="s">
        <v>36</v>
      </c>
      <c r="K1980" s="22">
        <v>7</v>
      </c>
      <c r="L1980" s="1">
        <v>43005</v>
      </c>
      <c r="M1980" s="22">
        <f>Table3[[#This Row],[Ship Date]]-Table3[[#This Row],[Order Date]]</f>
        <v>5</v>
      </c>
      <c r="N1980" s="23" t="s">
        <v>45</v>
      </c>
      <c r="O1980" s="23" t="s">
        <v>23</v>
      </c>
      <c r="P1980" s="23" t="s">
        <v>94</v>
      </c>
      <c r="Q1980" s="23" t="s">
        <v>95</v>
      </c>
      <c r="R1980" s="23" t="s">
        <v>5742</v>
      </c>
      <c r="S1980" s="33">
        <v>0.8</v>
      </c>
      <c r="T1980" s="13">
        <v>11.228</v>
      </c>
      <c r="U1980" s="13">
        <v>-18.526199999999999</v>
      </c>
      <c r="V1980" s="55">
        <f>Table3[[#This Row],[Profit]]/Table3[[#This Row],[Sales]]</f>
        <v>-1.65</v>
      </c>
    </row>
    <row r="1981" spans="1:22" x14ac:dyDescent="0.2">
      <c r="A1981">
        <v>1980</v>
      </c>
      <c r="B1981" t="s">
        <v>6270</v>
      </c>
      <c r="C1981" s="1">
        <v>43000</v>
      </c>
      <c r="D1981" s="22">
        <f>MONTH(Table3[[#This Row],[Order Date]])</f>
        <v>9</v>
      </c>
      <c r="E1981" t="s">
        <v>6271</v>
      </c>
      <c r="F1981" t="s">
        <v>6272</v>
      </c>
      <c r="G1981" s="23" t="s">
        <v>41</v>
      </c>
      <c r="H1981" s="23" t="s">
        <v>68</v>
      </c>
      <c r="I1981" t="s">
        <v>297</v>
      </c>
      <c r="J1981" t="s">
        <v>22</v>
      </c>
      <c r="K1981" s="22">
        <v>4</v>
      </c>
      <c r="L1981" s="1">
        <v>43001</v>
      </c>
      <c r="M1981" s="22">
        <f>Table3[[#This Row],[Ship Date]]-Table3[[#This Row],[Order Date]]</f>
        <v>1</v>
      </c>
      <c r="N1981" s="23" t="s">
        <v>169</v>
      </c>
      <c r="O1981" s="23" t="s">
        <v>23</v>
      </c>
      <c r="P1981" s="23" t="s">
        <v>1510</v>
      </c>
      <c r="Q1981" s="23" t="s">
        <v>26</v>
      </c>
      <c r="R1981" s="23" t="s">
        <v>1509</v>
      </c>
      <c r="S1981" s="33">
        <v>0</v>
      </c>
      <c r="T1981" s="13">
        <v>691.96</v>
      </c>
      <c r="U1981" s="13">
        <v>318.30160000000001</v>
      </c>
      <c r="V1981" s="55">
        <f>Table3[[#This Row],[Profit]]/Table3[[#This Row],[Sales]]</f>
        <v>0.45999999999999996</v>
      </c>
    </row>
    <row r="1982" spans="1:22" x14ac:dyDescent="0.2">
      <c r="A1982">
        <v>1981</v>
      </c>
      <c r="B1982" t="s">
        <v>6270</v>
      </c>
      <c r="C1982" s="1">
        <v>43000</v>
      </c>
      <c r="D1982" s="22">
        <f>MONTH(Table3[[#This Row],[Order Date]])</f>
        <v>9</v>
      </c>
      <c r="E1982" t="s">
        <v>261</v>
      </c>
      <c r="F1982" t="s">
        <v>262</v>
      </c>
      <c r="G1982" s="23" t="s">
        <v>64</v>
      </c>
      <c r="H1982" s="23" t="s">
        <v>144</v>
      </c>
      <c r="I1982" t="s">
        <v>297</v>
      </c>
      <c r="J1982" t="s">
        <v>22</v>
      </c>
      <c r="K1982" s="22">
        <v>5</v>
      </c>
      <c r="L1982" s="1">
        <v>43001</v>
      </c>
      <c r="M1982" s="22">
        <f>Table3[[#This Row],[Ship Date]]-Table3[[#This Row],[Order Date]]</f>
        <v>1</v>
      </c>
      <c r="N1982" s="23" t="s">
        <v>169</v>
      </c>
      <c r="O1982" s="23" t="s">
        <v>23</v>
      </c>
      <c r="P1982" s="23" t="s">
        <v>1510</v>
      </c>
      <c r="Q1982" s="23" t="s">
        <v>26</v>
      </c>
      <c r="R1982" s="23" t="s">
        <v>1509</v>
      </c>
      <c r="S1982" s="33">
        <v>0</v>
      </c>
      <c r="T1982" s="13">
        <v>34.950000000000003</v>
      </c>
      <c r="U1982" s="13">
        <v>15.378</v>
      </c>
      <c r="V1982" s="55">
        <f>Table3[[#This Row],[Profit]]/Table3[[#This Row],[Sales]]</f>
        <v>0.43999999999999995</v>
      </c>
    </row>
    <row r="1983" spans="1:22" x14ac:dyDescent="0.2">
      <c r="A1983">
        <v>1982</v>
      </c>
      <c r="B1983" t="s">
        <v>6754</v>
      </c>
      <c r="C1983" s="1">
        <v>43000</v>
      </c>
      <c r="D1983" s="22">
        <f>MONTH(Table3[[#This Row],[Order Date]])</f>
        <v>9</v>
      </c>
      <c r="E1983" t="s">
        <v>707</v>
      </c>
      <c r="F1983" t="s">
        <v>708</v>
      </c>
      <c r="G1983" s="23" t="s">
        <v>41</v>
      </c>
      <c r="H1983" s="23" t="s">
        <v>82</v>
      </c>
      <c r="I1983" t="s">
        <v>5765</v>
      </c>
      <c r="J1983" t="s">
        <v>36</v>
      </c>
      <c r="K1983" s="22">
        <v>3</v>
      </c>
      <c r="L1983" s="1">
        <v>43006</v>
      </c>
      <c r="M1983" s="22">
        <f>Table3[[#This Row],[Ship Date]]-Table3[[#This Row],[Order Date]]</f>
        <v>6</v>
      </c>
      <c r="N1983" s="23" t="s">
        <v>45</v>
      </c>
      <c r="O1983" s="23" t="s">
        <v>23</v>
      </c>
      <c r="P1983" s="23" t="s">
        <v>589</v>
      </c>
      <c r="Q1983" s="23" t="s">
        <v>39</v>
      </c>
      <c r="R1983" s="23" t="s">
        <v>4858</v>
      </c>
      <c r="S1983" s="33">
        <v>0</v>
      </c>
      <c r="T1983" s="13">
        <v>27.18</v>
      </c>
      <c r="U1983" s="13">
        <v>12.231</v>
      </c>
      <c r="V1983" s="55">
        <f>Table3[[#This Row],[Profit]]/Table3[[#This Row],[Sales]]</f>
        <v>0.45</v>
      </c>
    </row>
    <row r="1984" spans="1:22" x14ac:dyDescent="0.2">
      <c r="A1984">
        <v>1983</v>
      </c>
      <c r="B1984" t="s">
        <v>7219</v>
      </c>
      <c r="C1984" s="1">
        <v>43000</v>
      </c>
      <c r="D1984" s="22">
        <f>MONTH(Table3[[#This Row],[Order Date]])</f>
        <v>9</v>
      </c>
      <c r="E1984" t="s">
        <v>172</v>
      </c>
      <c r="F1984" t="s">
        <v>173</v>
      </c>
      <c r="G1984" s="23" t="s">
        <v>64</v>
      </c>
      <c r="H1984" s="23" t="s">
        <v>65</v>
      </c>
      <c r="I1984" t="s">
        <v>1810</v>
      </c>
      <c r="J1984" t="s">
        <v>22</v>
      </c>
      <c r="K1984" s="22">
        <v>2</v>
      </c>
      <c r="L1984" s="1">
        <v>43002</v>
      </c>
      <c r="M1984" s="22">
        <f>Table3[[#This Row],[Ship Date]]-Table3[[#This Row],[Order Date]]</f>
        <v>2</v>
      </c>
      <c r="N1984" s="23" t="s">
        <v>169</v>
      </c>
      <c r="O1984" s="23" t="s">
        <v>23</v>
      </c>
      <c r="P1984" s="23" t="s">
        <v>218</v>
      </c>
      <c r="Q1984" s="23" t="s">
        <v>133</v>
      </c>
      <c r="R1984" s="23" t="s">
        <v>461</v>
      </c>
      <c r="S1984" s="33">
        <v>0</v>
      </c>
      <c r="T1984" s="13">
        <v>391.98</v>
      </c>
      <c r="U1984" s="13">
        <v>113.6742</v>
      </c>
      <c r="V1984" s="55">
        <f>Table3[[#This Row],[Profit]]/Table3[[#This Row],[Sales]]</f>
        <v>0.28999999999999998</v>
      </c>
    </row>
    <row r="1985" spans="1:22" x14ac:dyDescent="0.2">
      <c r="A1985">
        <v>1984</v>
      </c>
      <c r="B1985" t="s">
        <v>7557</v>
      </c>
      <c r="C1985" s="1">
        <v>43000</v>
      </c>
      <c r="D1985" s="22">
        <f>MONTH(Table3[[#This Row],[Order Date]])</f>
        <v>9</v>
      </c>
      <c r="E1985" t="s">
        <v>562</v>
      </c>
      <c r="F1985" t="s">
        <v>563</v>
      </c>
      <c r="G1985" s="23" t="s">
        <v>41</v>
      </c>
      <c r="H1985" s="23" t="s">
        <v>53</v>
      </c>
      <c r="I1985" t="s">
        <v>3319</v>
      </c>
      <c r="J1985" t="s">
        <v>92</v>
      </c>
      <c r="K1985" s="22">
        <v>5</v>
      </c>
      <c r="L1985" s="1">
        <v>43004</v>
      </c>
      <c r="M1985" s="22">
        <f>Table3[[#This Row],[Ship Date]]-Table3[[#This Row],[Order Date]]</f>
        <v>4</v>
      </c>
      <c r="N1985" s="23" t="s">
        <v>45</v>
      </c>
      <c r="O1985" s="23" t="s">
        <v>23</v>
      </c>
      <c r="P1985" s="23" t="s">
        <v>2373</v>
      </c>
      <c r="Q1985" s="23" t="s">
        <v>133</v>
      </c>
      <c r="R1985" s="23" t="s">
        <v>79</v>
      </c>
      <c r="S1985" s="33">
        <v>0</v>
      </c>
      <c r="T1985" s="13">
        <v>67.400000000000006</v>
      </c>
      <c r="U1985" s="13">
        <v>17.524000000000001</v>
      </c>
      <c r="V1985" s="55">
        <f>Table3[[#This Row],[Profit]]/Table3[[#This Row],[Sales]]</f>
        <v>0.26</v>
      </c>
    </row>
    <row r="1986" spans="1:22" x14ac:dyDescent="0.2">
      <c r="A1986">
        <v>1985</v>
      </c>
      <c r="B1986" t="s">
        <v>7671</v>
      </c>
      <c r="C1986" s="1">
        <v>43000</v>
      </c>
      <c r="D1986" s="22">
        <f>MONTH(Table3[[#This Row],[Order Date]])</f>
        <v>9</v>
      </c>
      <c r="E1986" t="s">
        <v>6289</v>
      </c>
      <c r="F1986" t="s">
        <v>6290</v>
      </c>
      <c r="G1986" s="23" t="s">
        <v>41</v>
      </c>
      <c r="H1986" s="23" t="s">
        <v>68</v>
      </c>
      <c r="I1986" t="s">
        <v>3429</v>
      </c>
      <c r="J1986" t="s">
        <v>36</v>
      </c>
      <c r="K1986" s="22">
        <v>3</v>
      </c>
      <c r="L1986" s="1">
        <v>43003</v>
      </c>
      <c r="M1986" s="22">
        <f>Table3[[#This Row],[Ship Date]]-Table3[[#This Row],[Order Date]]</f>
        <v>3</v>
      </c>
      <c r="N1986" s="23" t="s">
        <v>20</v>
      </c>
      <c r="O1986" s="23" t="s">
        <v>23</v>
      </c>
      <c r="P1986" s="23" t="s">
        <v>238</v>
      </c>
      <c r="Q1986" s="23" t="s">
        <v>133</v>
      </c>
      <c r="R1986" s="23" t="s">
        <v>237</v>
      </c>
      <c r="S1986" s="33">
        <v>0.2</v>
      </c>
      <c r="T1986" s="13">
        <v>40.176000000000002</v>
      </c>
      <c r="U1986" s="13">
        <v>14.563800000000001</v>
      </c>
      <c r="V1986" s="55">
        <f>Table3[[#This Row],[Profit]]/Table3[[#This Row],[Sales]]</f>
        <v>0.36249999999999999</v>
      </c>
    </row>
    <row r="1987" spans="1:22" x14ac:dyDescent="0.2">
      <c r="A1987">
        <v>1986</v>
      </c>
      <c r="B1987" t="s">
        <v>8476</v>
      </c>
      <c r="C1987" s="1">
        <v>43000</v>
      </c>
      <c r="D1987" s="22">
        <f>MONTH(Table3[[#This Row],[Order Date]])</f>
        <v>9</v>
      </c>
      <c r="E1987" t="s">
        <v>4828</v>
      </c>
      <c r="F1987" t="s">
        <v>4829</v>
      </c>
      <c r="G1987" s="23" t="s">
        <v>41</v>
      </c>
      <c r="H1987" s="23" t="s">
        <v>82</v>
      </c>
      <c r="I1987" t="s">
        <v>2093</v>
      </c>
      <c r="J1987" t="s">
        <v>22</v>
      </c>
      <c r="K1987" s="22">
        <v>2</v>
      </c>
      <c r="L1987" s="1">
        <v>43005</v>
      </c>
      <c r="M1987" s="22">
        <f>Table3[[#This Row],[Ship Date]]-Table3[[#This Row],[Order Date]]</f>
        <v>5</v>
      </c>
      <c r="N1987" s="23" t="s">
        <v>45</v>
      </c>
      <c r="O1987" s="23" t="s">
        <v>23</v>
      </c>
      <c r="P1987" s="23" t="s">
        <v>1125</v>
      </c>
      <c r="Q1987" s="23" t="s">
        <v>26</v>
      </c>
      <c r="R1987" s="23" t="s">
        <v>3345</v>
      </c>
      <c r="S1987" s="33">
        <v>0</v>
      </c>
      <c r="T1987" s="13">
        <v>12.96</v>
      </c>
      <c r="U1987" s="13">
        <v>6.2207999999999997</v>
      </c>
      <c r="V1987" s="55">
        <f>Table3[[#This Row],[Profit]]/Table3[[#This Row],[Sales]]</f>
        <v>0.47999999999999993</v>
      </c>
    </row>
    <row r="1988" spans="1:22" x14ac:dyDescent="0.2">
      <c r="A1988">
        <v>1987</v>
      </c>
      <c r="B1988" t="s">
        <v>8476</v>
      </c>
      <c r="C1988" s="1">
        <v>43000</v>
      </c>
      <c r="D1988" s="22">
        <f>MONTH(Table3[[#This Row],[Order Date]])</f>
        <v>9</v>
      </c>
      <c r="E1988" t="s">
        <v>8477</v>
      </c>
      <c r="F1988" t="s">
        <v>8478</v>
      </c>
      <c r="G1988" s="23" t="s">
        <v>41</v>
      </c>
      <c r="H1988" s="23" t="s">
        <v>61</v>
      </c>
      <c r="I1988" t="s">
        <v>2093</v>
      </c>
      <c r="J1988" t="s">
        <v>22</v>
      </c>
      <c r="K1988" s="22">
        <v>3</v>
      </c>
      <c r="L1988" s="1">
        <v>43005</v>
      </c>
      <c r="M1988" s="22">
        <f>Table3[[#This Row],[Ship Date]]-Table3[[#This Row],[Order Date]]</f>
        <v>5</v>
      </c>
      <c r="N1988" s="23" t="s">
        <v>45</v>
      </c>
      <c r="O1988" s="23" t="s">
        <v>23</v>
      </c>
      <c r="P1988" s="23" t="s">
        <v>1125</v>
      </c>
      <c r="Q1988" s="23" t="s">
        <v>26</v>
      </c>
      <c r="R1988" s="23" t="s">
        <v>3345</v>
      </c>
      <c r="S1988" s="33">
        <v>0</v>
      </c>
      <c r="T1988" s="13">
        <v>17.940000000000001</v>
      </c>
      <c r="U1988" s="13">
        <v>6.4584000000000001</v>
      </c>
      <c r="V1988" s="55">
        <f>Table3[[#This Row],[Profit]]/Table3[[#This Row],[Sales]]</f>
        <v>0.36</v>
      </c>
    </row>
    <row r="1989" spans="1:22" x14ac:dyDescent="0.2">
      <c r="A1989">
        <v>1988</v>
      </c>
      <c r="B1989" t="s">
        <v>9614</v>
      </c>
      <c r="C1989" s="1">
        <v>43000</v>
      </c>
      <c r="D1989" s="22">
        <f>MONTH(Table3[[#This Row],[Order Date]])</f>
        <v>9</v>
      </c>
      <c r="E1989" t="s">
        <v>512</v>
      </c>
      <c r="F1989" t="s">
        <v>514</v>
      </c>
      <c r="G1989" s="23" t="s">
        <v>41</v>
      </c>
      <c r="H1989" s="23" t="s">
        <v>513</v>
      </c>
      <c r="I1989" t="s">
        <v>2333</v>
      </c>
      <c r="J1989" t="s">
        <v>22</v>
      </c>
      <c r="K1989" s="22">
        <v>2</v>
      </c>
      <c r="L1989" s="1">
        <v>43006</v>
      </c>
      <c r="M1989" s="22">
        <f>Table3[[#This Row],[Ship Date]]-Table3[[#This Row],[Order Date]]</f>
        <v>6</v>
      </c>
      <c r="N1989" s="23" t="s">
        <v>45</v>
      </c>
      <c r="O1989" s="23" t="s">
        <v>23</v>
      </c>
      <c r="P1989" s="23" t="s">
        <v>38</v>
      </c>
      <c r="Q1989" s="23" t="s">
        <v>39</v>
      </c>
      <c r="R1989" s="23" t="s">
        <v>2237</v>
      </c>
      <c r="S1989" s="33">
        <v>0</v>
      </c>
      <c r="T1989" s="13">
        <v>21.96</v>
      </c>
      <c r="U1989" s="13">
        <v>6.1487999999999996</v>
      </c>
      <c r="V1989" s="55">
        <f>Table3[[#This Row],[Profit]]/Table3[[#This Row],[Sales]]</f>
        <v>0.27999999999999997</v>
      </c>
    </row>
    <row r="1990" spans="1:22" x14ac:dyDescent="0.2">
      <c r="A1990">
        <v>1989</v>
      </c>
      <c r="B1990" t="s">
        <v>9815</v>
      </c>
      <c r="C1990" s="1">
        <v>43000</v>
      </c>
      <c r="D1990" s="22">
        <f>MONTH(Table3[[#This Row],[Order Date]])</f>
        <v>9</v>
      </c>
      <c r="E1990" t="s">
        <v>4261</v>
      </c>
      <c r="F1990" t="s">
        <v>4262</v>
      </c>
      <c r="G1990" s="23" t="s">
        <v>64</v>
      </c>
      <c r="H1990" s="23" t="s">
        <v>144</v>
      </c>
      <c r="I1990" t="s">
        <v>717</v>
      </c>
      <c r="J1990" t="s">
        <v>22</v>
      </c>
      <c r="K1990" s="22">
        <v>9</v>
      </c>
      <c r="L1990" s="1">
        <v>43002</v>
      </c>
      <c r="M1990" s="22">
        <f>Table3[[#This Row],[Ship Date]]-Table3[[#This Row],[Order Date]]</f>
        <v>2</v>
      </c>
      <c r="N1990" s="23" t="s">
        <v>20</v>
      </c>
      <c r="O1990" s="23" t="s">
        <v>23</v>
      </c>
      <c r="P1990" s="23" t="s">
        <v>238</v>
      </c>
      <c r="Q1990" s="23" t="s">
        <v>133</v>
      </c>
      <c r="R1990" s="23" t="s">
        <v>237</v>
      </c>
      <c r="S1990" s="33">
        <v>0</v>
      </c>
      <c r="T1990" s="13">
        <v>1071</v>
      </c>
      <c r="U1990" s="13">
        <v>171.36</v>
      </c>
      <c r="V1990" s="55">
        <f>Table3[[#This Row],[Profit]]/Table3[[#This Row],[Sales]]</f>
        <v>0.16</v>
      </c>
    </row>
    <row r="1991" spans="1:22" x14ac:dyDescent="0.2">
      <c r="A1991">
        <v>1990</v>
      </c>
      <c r="B1991" t="s">
        <v>9815</v>
      </c>
      <c r="C1991" s="1">
        <v>43000</v>
      </c>
      <c r="D1991" s="22">
        <f>MONTH(Table3[[#This Row],[Order Date]])</f>
        <v>9</v>
      </c>
      <c r="E1991" t="s">
        <v>1517</v>
      </c>
      <c r="F1991" t="s">
        <v>7389</v>
      </c>
      <c r="G1991" s="23" t="s">
        <v>28</v>
      </c>
      <c r="H1991" s="23" t="s">
        <v>58</v>
      </c>
      <c r="I1991" t="s">
        <v>717</v>
      </c>
      <c r="J1991" t="s">
        <v>22</v>
      </c>
      <c r="K1991" s="22">
        <v>1</v>
      </c>
      <c r="L1991" s="1">
        <v>43002</v>
      </c>
      <c r="M1991" s="22">
        <f>Table3[[#This Row],[Ship Date]]-Table3[[#This Row],[Order Date]]</f>
        <v>2</v>
      </c>
      <c r="N1991" s="23" t="s">
        <v>20</v>
      </c>
      <c r="O1991" s="23" t="s">
        <v>23</v>
      </c>
      <c r="P1991" s="23" t="s">
        <v>238</v>
      </c>
      <c r="Q1991" s="23" t="s">
        <v>133</v>
      </c>
      <c r="R1991" s="23" t="s">
        <v>237</v>
      </c>
      <c r="S1991" s="33">
        <v>0</v>
      </c>
      <c r="T1991" s="13">
        <v>12.07</v>
      </c>
      <c r="U1991" s="13">
        <v>3.9830999999999999</v>
      </c>
      <c r="V1991" s="55">
        <f>Table3[[#This Row],[Profit]]/Table3[[#This Row],[Sales]]</f>
        <v>0.32999999999999996</v>
      </c>
    </row>
    <row r="1992" spans="1:22" x14ac:dyDescent="0.2">
      <c r="A1992">
        <v>1991</v>
      </c>
      <c r="B1992" t="s">
        <v>2796</v>
      </c>
      <c r="C1992" s="1">
        <v>43001</v>
      </c>
      <c r="D1992" s="22">
        <f>MONTH(Table3[[#This Row],[Order Date]])</f>
        <v>9</v>
      </c>
      <c r="E1992" t="s">
        <v>2798</v>
      </c>
      <c r="F1992" t="s">
        <v>2799</v>
      </c>
      <c r="G1992" s="23" t="s">
        <v>41</v>
      </c>
      <c r="H1992" s="23" t="s">
        <v>71</v>
      </c>
      <c r="I1992" t="s">
        <v>2797</v>
      </c>
      <c r="J1992" t="s">
        <v>22</v>
      </c>
      <c r="K1992" s="22">
        <v>2</v>
      </c>
      <c r="L1992" s="1">
        <v>43003</v>
      </c>
      <c r="M1992" s="22">
        <f>Table3[[#This Row],[Ship Date]]-Table3[[#This Row],[Order Date]]</f>
        <v>2</v>
      </c>
      <c r="N1992" s="23" t="s">
        <v>20</v>
      </c>
      <c r="O1992" s="23" t="s">
        <v>23</v>
      </c>
      <c r="P1992" s="23" t="s">
        <v>87</v>
      </c>
      <c r="Q1992" s="23" t="s">
        <v>39</v>
      </c>
      <c r="R1992" s="23" t="s">
        <v>86</v>
      </c>
      <c r="S1992" s="33">
        <v>0</v>
      </c>
      <c r="T1992" s="13">
        <v>119.96</v>
      </c>
      <c r="U1992" s="13">
        <v>33.588799999999999</v>
      </c>
      <c r="V1992" s="55">
        <f>Table3[[#This Row],[Profit]]/Table3[[#This Row],[Sales]]</f>
        <v>0.28000000000000003</v>
      </c>
    </row>
    <row r="1993" spans="1:22" x14ac:dyDescent="0.2">
      <c r="A1993">
        <v>1992</v>
      </c>
      <c r="B1993" t="s">
        <v>2796</v>
      </c>
      <c r="C1993" s="1">
        <v>43001</v>
      </c>
      <c r="D1993" s="22">
        <f>MONTH(Table3[[#This Row],[Order Date]])</f>
        <v>9</v>
      </c>
      <c r="E1993" t="s">
        <v>1614</v>
      </c>
      <c r="F1993" t="s">
        <v>1615</v>
      </c>
      <c r="G1993" s="23" t="s">
        <v>41</v>
      </c>
      <c r="H1993" s="23" t="s">
        <v>53</v>
      </c>
      <c r="I1993" t="s">
        <v>2797</v>
      </c>
      <c r="J1993" t="s">
        <v>22</v>
      </c>
      <c r="K1993" s="22">
        <v>3</v>
      </c>
      <c r="L1993" s="1">
        <v>43003</v>
      </c>
      <c r="M1993" s="22">
        <f>Table3[[#This Row],[Ship Date]]-Table3[[#This Row],[Order Date]]</f>
        <v>2</v>
      </c>
      <c r="N1993" s="23" t="s">
        <v>20</v>
      </c>
      <c r="O1993" s="23" t="s">
        <v>23</v>
      </c>
      <c r="P1993" s="23" t="s">
        <v>87</v>
      </c>
      <c r="Q1993" s="23" t="s">
        <v>39</v>
      </c>
      <c r="R1993" s="23" t="s">
        <v>86</v>
      </c>
      <c r="S1993" s="33">
        <v>0</v>
      </c>
      <c r="T1993" s="13">
        <v>31.44</v>
      </c>
      <c r="U1993" s="13">
        <v>8.4887999999999995</v>
      </c>
      <c r="V1993" s="55">
        <f>Table3[[#This Row],[Profit]]/Table3[[#This Row],[Sales]]</f>
        <v>0.26999999999999996</v>
      </c>
    </row>
    <row r="1994" spans="1:22" x14ac:dyDescent="0.2">
      <c r="A1994">
        <v>1993</v>
      </c>
      <c r="B1994" t="s">
        <v>2796</v>
      </c>
      <c r="C1994" s="1">
        <v>43001</v>
      </c>
      <c r="D1994" s="22">
        <f>MONTH(Table3[[#This Row],[Order Date]])</f>
        <v>9</v>
      </c>
      <c r="E1994" t="s">
        <v>1648</v>
      </c>
      <c r="F1994" t="s">
        <v>1649</v>
      </c>
      <c r="G1994" s="23" t="s">
        <v>41</v>
      </c>
      <c r="H1994" s="23" t="s">
        <v>68</v>
      </c>
      <c r="I1994" t="s">
        <v>2797</v>
      </c>
      <c r="J1994" t="s">
        <v>22</v>
      </c>
      <c r="K1994" s="22">
        <v>1</v>
      </c>
      <c r="L1994" s="1">
        <v>43003</v>
      </c>
      <c r="M1994" s="22">
        <f>Table3[[#This Row],[Ship Date]]-Table3[[#This Row],[Order Date]]</f>
        <v>2</v>
      </c>
      <c r="N1994" s="23" t="s">
        <v>20</v>
      </c>
      <c r="O1994" s="23" t="s">
        <v>23</v>
      </c>
      <c r="P1994" s="23" t="s">
        <v>87</v>
      </c>
      <c r="Q1994" s="23" t="s">
        <v>39</v>
      </c>
      <c r="R1994" s="23" t="s">
        <v>86</v>
      </c>
      <c r="S1994" s="33">
        <v>0.2</v>
      </c>
      <c r="T1994" s="13">
        <v>6.88</v>
      </c>
      <c r="U1994" s="13">
        <v>2.3220000000000001</v>
      </c>
      <c r="V1994" s="55">
        <f>Table3[[#This Row],[Profit]]/Table3[[#This Row],[Sales]]</f>
        <v>0.33750000000000002</v>
      </c>
    </row>
    <row r="1995" spans="1:22" x14ac:dyDescent="0.2">
      <c r="A1995">
        <v>1994</v>
      </c>
      <c r="B1995" t="s">
        <v>3120</v>
      </c>
      <c r="C1995" s="1">
        <v>43001</v>
      </c>
      <c r="D1995" s="22">
        <f>MONTH(Table3[[#This Row],[Order Date]])</f>
        <v>9</v>
      </c>
      <c r="E1995" t="s">
        <v>1362</v>
      </c>
      <c r="F1995" t="s">
        <v>1363</v>
      </c>
      <c r="G1995" s="23" t="s">
        <v>28</v>
      </c>
      <c r="H1995" s="23" t="s">
        <v>58</v>
      </c>
      <c r="I1995" t="s">
        <v>3052</v>
      </c>
      <c r="J1995" t="s">
        <v>36</v>
      </c>
      <c r="K1995" s="22">
        <v>3</v>
      </c>
      <c r="L1995" s="1">
        <v>43005</v>
      </c>
      <c r="M1995" s="22">
        <f>Table3[[#This Row],[Ship Date]]-Table3[[#This Row],[Order Date]]</f>
        <v>4</v>
      </c>
      <c r="N1995" s="23" t="s">
        <v>45</v>
      </c>
      <c r="O1995" s="23" t="s">
        <v>23</v>
      </c>
      <c r="P1995" s="23" t="s">
        <v>405</v>
      </c>
      <c r="Q1995" s="23" t="s">
        <v>39</v>
      </c>
      <c r="R1995" s="23" t="s">
        <v>1303</v>
      </c>
      <c r="S1995" s="33">
        <v>0.2</v>
      </c>
      <c r="T1995" s="13">
        <v>29.327999999999999</v>
      </c>
      <c r="U1995" s="13">
        <v>3.6659999999999999</v>
      </c>
      <c r="V1995" s="55">
        <f>Table3[[#This Row],[Profit]]/Table3[[#This Row],[Sales]]</f>
        <v>0.125</v>
      </c>
    </row>
    <row r="1996" spans="1:22" x14ac:dyDescent="0.2">
      <c r="A1996">
        <v>1995</v>
      </c>
      <c r="B1996" t="s">
        <v>4276</v>
      </c>
      <c r="C1996" s="1">
        <v>43001</v>
      </c>
      <c r="D1996" s="22">
        <f>MONTH(Table3[[#This Row],[Order Date]])</f>
        <v>9</v>
      </c>
      <c r="E1996" t="s">
        <v>645</v>
      </c>
      <c r="F1996" t="s">
        <v>646</v>
      </c>
      <c r="G1996" s="23" t="s">
        <v>64</v>
      </c>
      <c r="H1996" s="23" t="s">
        <v>144</v>
      </c>
      <c r="I1996" t="s">
        <v>1655</v>
      </c>
      <c r="J1996" t="s">
        <v>22</v>
      </c>
      <c r="K1996" s="22">
        <v>4</v>
      </c>
      <c r="L1996" s="1">
        <v>43007</v>
      </c>
      <c r="M1996" s="22">
        <f>Table3[[#This Row],[Ship Date]]-Table3[[#This Row],[Order Date]]</f>
        <v>6</v>
      </c>
      <c r="N1996" s="23" t="s">
        <v>45</v>
      </c>
      <c r="O1996" s="23" t="s">
        <v>23</v>
      </c>
      <c r="P1996" s="23" t="s">
        <v>573</v>
      </c>
      <c r="Q1996" s="23" t="s">
        <v>95</v>
      </c>
      <c r="R1996" s="23" t="s">
        <v>4017</v>
      </c>
      <c r="S1996" s="33">
        <v>0</v>
      </c>
      <c r="T1996" s="13">
        <v>291.95999999999998</v>
      </c>
      <c r="U1996" s="13">
        <v>102.18600000000001</v>
      </c>
      <c r="V1996" s="55">
        <f>Table3[[#This Row],[Profit]]/Table3[[#This Row],[Sales]]</f>
        <v>0.35000000000000003</v>
      </c>
    </row>
    <row r="1997" spans="1:22" x14ac:dyDescent="0.2">
      <c r="A1997">
        <v>1996</v>
      </c>
      <c r="B1997" t="s">
        <v>4735</v>
      </c>
      <c r="C1997" s="1">
        <v>43001</v>
      </c>
      <c r="D1997" s="22">
        <f>MONTH(Table3[[#This Row],[Order Date]])</f>
        <v>9</v>
      </c>
      <c r="E1997" t="s">
        <v>4738</v>
      </c>
      <c r="F1997" t="s">
        <v>4739</v>
      </c>
      <c r="G1997" s="23" t="s">
        <v>41</v>
      </c>
      <c r="H1997" s="23" t="s">
        <v>155</v>
      </c>
      <c r="I1997" t="s">
        <v>4736</v>
      </c>
      <c r="J1997" t="s">
        <v>92</v>
      </c>
      <c r="K1997" s="22">
        <v>3</v>
      </c>
      <c r="L1997" s="1">
        <v>43004</v>
      </c>
      <c r="M1997" s="22">
        <f>Table3[[#This Row],[Ship Date]]-Table3[[#This Row],[Order Date]]</f>
        <v>3</v>
      </c>
      <c r="N1997" s="23" t="s">
        <v>169</v>
      </c>
      <c r="O1997" s="23" t="s">
        <v>23</v>
      </c>
      <c r="P1997" s="23" t="s">
        <v>405</v>
      </c>
      <c r="Q1997" s="23" t="s">
        <v>39</v>
      </c>
      <c r="R1997" s="23" t="s">
        <v>4737</v>
      </c>
      <c r="S1997" s="33">
        <v>0.2</v>
      </c>
      <c r="T1997" s="13">
        <v>14.352</v>
      </c>
      <c r="U1997" s="13">
        <v>5.2026000000000003</v>
      </c>
      <c r="V1997" s="55">
        <f>Table3[[#This Row],[Profit]]/Table3[[#This Row],[Sales]]</f>
        <v>0.36249999999999999</v>
      </c>
    </row>
    <row r="1998" spans="1:22" x14ac:dyDescent="0.2">
      <c r="A1998">
        <v>1997</v>
      </c>
      <c r="B1998" t="s">
        <v>5705</v>
      </c>
      <c r="C1998" s="1">
        <v>43001</v>
      </c>
      <c r="D1998" s="22">
        <f>MONTH(Table3[[#This Row],[Order Date]])</f>
        <v>9</v>
      </c>
      <c r="E1998" t="s">
        <v>2722</v>
      </c>
      <c r="F1998" t="s">
        <v>2723</v>
      </c>
      <c r="G1998" s="23" t="s">
        <v>28</v>
      </c>
      <c r="H1998" s="23" t="s">
        <v>29</v>
      </c>
      <c r="I1998" t="s">
        <v>2014</v>
      </c>
      <c r="J1998" t="s">
        <v>22</v>
      </c>
      <c r="K1998" s="22">
        <v>2</v>
      </c>
      <c r="L1998" s="1">
        <v>43007</v>
      </c>
      <c r="M1998" s="22">
        <f>Table3[[#This Row],[Ship Date]]-Table3[[#This Row],[Order Date]]</f>
        <v>6</v>
      </c>
      <c r="N1998" s="23" t="s">
        <v>45</v>
      </c>
      <c r="O1998" s="23" t="s">
        <v>23</v>
      </c>
      <c r="P1998" s="23" t="s">
        <v>405</v>
      </c>
      <c r="Q1998" s="23" t="s">
        <v>39</v>
      </c>
      <c r="R1998" s="23" t="s">
        <v>4737</v>
      </c>
      <c r="S1998" s="33">
        <v>0.7</v>
      </c>
      <c r="T1998" s="13">
        <v>180.58799999999999</v>
      </c>
      <c r="U1998" s="13">
        <v>-240.78399999999999</v>
      </c>
      <c r="V1998" s="55">
        <f>Table3[[#This Row],[Profit]]/Table3[[#This Row],[Sales]]</f>
        <v>-1.3333333333333333</v>
      </c>
    </row>
    <row r="1999" spans="1:22" x14ac:dyDescent="0.2">
      <c r="A1999">
        <v>1998</v>
      </c>
      <c r="B1999" t="s">
        <v>5705</v>
      </c>
      <c r="C1999" s="1">
        <v>43001</v>
      </c>
      <c r="D1999" s="22">
        <f>MONTH(Table3[[#This Row],[Order Date]])</f>
        <v>9</v>
      </c>
      <c r="E1999" t="s">
        <v>3675</v>
      </c>
      <c r="F1999" t="s">
        <v>3676</v>
      </c>
      <c r="G1999" s="23" t="s">
        <v>64</v>
      </c>
      <c r="H1999" s="23" t="s">
        <v>144</v>
      </c>
      <c r="I1999" t="s">
        <v>2014</v>
      </c>
      <c r="J1999" t="s">
        <v>22</v>
      </c>
      <c r="K1999" s="22">
        <v>2</v>
      </c>
      <c r="L1999" s="1">
        <v>43007</v>
      </c>
      <c r="M1999" s="22">
        <f>Table3[[#This Row],[Ship Date]]-Table3[[#This Row],[Order Date]]</f>
        <v>6</v>
      </c>
      <c r="N1999" s="23" t="s">
        <v>45</v>
      </c>
      <c r="O1999" s="23" t="s">
        <v>23</v>
      </c>
      <c r="P1999" s="23" t="s">
        <v>405</v>
      </c>
      <c r="Q1999" s="23" t="s">
        <v>39</v>
      </c>
      <c r="R1999" s="23" t="s">
        <v>4737</v>
      </c>
      <c r="S1999" s="33">
        <v>0.2</v>
      </c>
      <c r="T1999" s="13">
        <v>47.984000000000002</v>
      </c>
      <c r="U1999" s="13">
        <v>0.5998</v>
      </c>
      <c r="V1999" s="55">
        <f>Table3[[#This Row],[Profit]]/Table3[[#This Row],[Sales]]</f>
        <v>1.2499999999999999E-2</v>
      </c>
    </row>
    <row r="2000" spans="1:22" x14ac:dyDescent="0.2">
      <c r="A2000">
        <v>1999</v>
      </c>
      <c r="B2000" t="s">
        <v>5882</v>
      </c>
      <c r="C2000" s="1">
        <v>43001</v>
      </c>
      <c r="D2000" s="22">
        <f>MONTH(Table3[[#This Row],[Order Date]])</f>
        <v>9</v>
      </c>
      <c r="E2000" t="s">
        <v>3361</v>
      </c>
      <c r="F2000" t="s">
        <v>3362</v>
      </c>
      <c r="G2000" s="23" t="s">
        <v>41</v>
      </c>
      <c r="H2000" s="23" t="s">
        <v>68</v>
      </c>
      <c r="I2000" t="s">
        <v>710</v>
      </c>
      <c r="J2000" t="s">
        <v>22</v>
      </c>
      <c r="K2000" s="22">
        <v>6</v>
      </c>
      <c r="L2000" s="1">
        <v>43008</v>
      </c>
      <c r="M2000" s="22">
        <f>Table3[[#This Row],[Ship Date]]-Table3[[#This Row],[Order Date]]</f>
        <v>7</v>
      </c>
      <c r="N2000" s="23" t="s">
        <v>45</v>
      </c>
      <c r="O2000" s="23" t="s">
        <v>23</v>
      </c>
      <c r="P2000" s="23" t="s">
        <v>38</v>
      </c>
      <c r="Q2000" s="23" t="s">
        <v>39</v>
      </c>
      <c r="R2000" s="23" t="s">
        <v>114</v>
      </c>
      <c r="S2000" s="33">
        <v>0.2</v>
      </c>
      <c r="T2000" s="13">
        <v>25.824000000000002</v>
      </c>
      <c r="U2000" s="13">
        <v>9.0383999999999993</v>
      </c>
      <c r="V2000" s="55">
        <f>Table3[[#This Row],[Profit]]/Table3[[#This Row],[Sales]]</f>
        <v>0.35</v>
      </c>
    </row>
    <row r="2001" spans="1:22" x14ac:dyDescent="0.2">
      <c r="A2001">
        <v>2000</v>
      </c>
      <c r="B2001" t="s">
        <v>5882</v>
      </c>
      <c r="C2001" s="1">
        <v>43001</v>
      </c>
      <c r="D2001" s="22">
        <f>MONTH(Table3[[#This Row],[Order Date]])</f>
        <v>9</v>
      </c>
      <c r="E2001" t="s">
        <v>5291</v>
      </c>
      <c r="F2001" t="s">
        <v>5292</v>
      </c>
      <c r="G2001" s="23" t="s">
        <v>41</v>
      </c>
      <c r="H2001" s="23" t="s">
        <v>71</v>
      </c>
      <c r="I2001" t="s">
        <v>710</v>
      </c>
      <c r="J2001" t="s">
        <v>22</v>
      </c>
      <c r="K2001" s="22">
        <v>2</v>
      </c>
      <c r="L2001" s="1">
        <v>43008</v>
      </c>
      <c r="M2001" s="22">
        <f>Table3[[#This Row],[Ship Date]]-Table3[[#This Row],[Order Date]]</f>
        <v>7</v>
      </c>
      <c r="N2001" s="23" t="s">
        <v>45</v>
      </c>
      <c r="O2001" s="23" t="s">
        <v>23</v>
      </c>
      <c r="P2001" s="23" t="s">
        <v>38</v>
      </c>
      <c r="Q2001" s="23" t="s">
        <v>39</v>
      </c>
      <c r="R2001" s="23" t="s">
        <v>114</v>
      </c>
      <c r="S2001" s="33">
        <v>0</v>
      </c>
      <c r="T2001" s="13">
        <v>160.96</v>
      </c>
      <c r="U2001" s="13">
        <v>48.287999999999997</v>
      </c>
      <c r="V2001" s="55">
        <f>Table3[[#This Row],[Profit]]/Table3[[#This Row],[Sales]]</f>
        <v>0.3</v>
      </c>
    </row>
    <row r="2002" spans="1:22" x14ac:dyDescent="0.2">
      <c r="A2002">
        <v>2001</v>
      </c>
      <c r="B2002" t="s">
        <v>6233</v>
      </c>
      <c r="C2002" s="1">
        <v>43001</v>
      </c>
      <c r="D2002" s="22">
        <f>MONTH(Table3[[#This Row],[Order Date]])</f>
        <v>9</v>
      </c>
      <c r="E2002" t="s">
        <v>2253</v>
      </c>
      <c r="F2002" t="s">
        <v>2254</v>
      </c>
      <c r="G2002" s="23" t="s">
        <v>41</v>
      </c>
      <c r="H2002" s="23" t="s">
        <v>82</v>
      </c>
      <c r="I2002" t="s">
        <v>5195</v>
      </c>
      <c r="J2002" t="s">
        <v>22</v>
      </c>
      <c r="K2002" s="22">
        <v>3</v>
      </c>
      <c r="L2002" s="1">
        <v>43004</v>
      </c>
      <c r="M2002" s="22">
        <f>Table3[[#This Row],[Ship Date]]-Table3[[#This Row],[Order Date]]</f>
        <v>3</v>
      </c>
      <c r="N2002" s="23" t="s">
        <v>169</v>
      </c>
      <c r="O2002" s="23" t="s">
        <v>23</v>
      </c>
      <c r="P2002" s="23" t="s">
        <v>48</v>
      </c>
      <c r="Q2002" s="23" t="s">
        <v>26</v>
      </c>
      <c r="R2002" s="23" t="s">
        <v>1253</v>
      </c>
      <c r="S2002" s="33">
        <v>0.2</v>
      </c>
      <c r="T2002" s="13">
        <v>251.64</v>
      </c>
      <c r="U2002" s="13">
        <v>88.073999999999998</v>
      </c>
      <c r="V2002" s="55">
        <f>Table3[[#This Row],[Profit]]/Table3[[#This Row],[Sales]]</f>
        <v>0.35000000000000003</v>
      </c>
    </row>
    <row r="2003" spans="1:22" x14ac:dyDescent="0.2">
      <c r="A2003">
        <v>2002</v>
      </c>
      <c r="B2003" t="s">
        <v>7456</v>
      </c>
      <c r="C2003" s="1">
        <v>43001</v>
      </c>
      <c r="D2003" s="22">
        <f>MONTH(Table3[[#This Row],[Order Date]])</f>
        <v>9</v>
      </c>
      <c r="E2003" t="s">
        <v>7168</v>
      </c>
      <c r="F2003" t="s">
        <v>7169</v>
      </c>
      <c r="G2003" s="23" t="s">
        <v>41</v>
      </c>
      <c r="H2003" s="23" t="s">
        <v>71</v>
      </c>
      <c r="I2003" t="s">
        <v>403</v>
      </c>
      <c r="J2003" t="s">
        <v>22</v>
      </c>
      <c r="K2003" s="22">
        <v>6</v>
      </c>
      <c r="L2003" s="1">
        <v>43006</v>
      </c>
      <c r="M2003" s="22">
        <f>Table3[[#This Row],[Ship Date]]-Table3[[#This Row],[Order Date]]</f>
        <v>5</v>
      </c>
      <c r="N2003" s="23" t="s">
        <v>45</v>
      </c>
      <c r="O2003" s="23" t="s">
        <v>23</v>
      </c>
      <c r="P2003" s="23" t="s">
        <v>189</v>
      </c>
      <c r="Q2003" s="23" t="s">
        <v>95</v>
      </c>
      <c r="R2003" s="23" t="s">
        <v>271</v>
      </c>
      <c r="S2003" s="33">
        <v>0.8</v>
      </c>
      <c r="T2003" s="13">
        <v>73.176000000000002</v>
      </c>
      <c r="U2003" s="13">
        <v>-197.5752</v>
      </c>
      <c r="V2003" s="55">
        <f>Table3[[#This Row],[Profit]]/Table3[[#This Row],[Sales]]</f>
        <v>-2.6999999999999997</v>
      </c>
    </row>
    <row r="2004" spans="1:22" x14ac:dyDescent="0.2">
      <c r="A2004">
        <v>2003</v>
      </c>
      <c r="B2004" t="s">
        <v>7456</v>
      </c>
      <c r="C2004" s="1">
        <v>43001</v>
      </c>
      <c r="D2004" s="22">
        <f>MONTH(Table3[[#This Row],[Order Date]])</f>
        <v>9</v>
      </c>
      <c r="E2004" t="s">
        <v>3363</v>
      </c>
      <c r="F2004" t="s">
        <v>3364</v>
      </c>
      <c r="G2004" s="23" t="s">
        <v>41</v>
      </c>
      <c r="H2004" s="23" t="s">
        <v>82</v>
      </c>
      <c r="I2004" t="s">
        <v>403</v>
      </c>
      <c r="J2004" t="s">
        <v>22</v>
      </c>
      <c r="K2004" s="22">
        <v>4</v>
      </c>
      <c r="L2004" s="1">
        <v>43006</v>
      </c>
      <c r="M2004" s="22">
        <f>Table3[[#This Row],[Ship Date]]-Table3[[#This Row],[Order Date]]</f>
        <v>5</v>
      </c>
      <c r="N2004" s="23" t="s">
        <v>45</v>
      </c>
      <c r="O2004" s="23" t="s">
        <v>23</v>
      </c>
      <c r="P2004" s="23" t="s">
        <v>189</v>
      </c>
      <c r="Q2004" s="23" t="s">
        <v>95</v>
      </c>
      <c r="R2004" s="23" t="s">
        <v>271</v>
      </c>
      <c r="S2004" s="33">
        <v>0.2</v>
      </c>
      <c r="T2004" s="13">
        <v>20.736000000000001</v>
      </c>
      <c r="U2004" s="13">
        <v>7.2576000000000001</v>
      </c>
      <c r="V2004" s="55">
        <f>Table3[[#This Row],[Profit]]/Table3[[#This Row],[Sales]]</f>
        <v>0.35</v>
      </c>
    </row>
    <row r="2005" spans="1:22" x14ac:dyDescent="0.2">
      <c r="A2005">
        <v>2004</v>
      </c>
      <c r="B2005" t="s">
        <v>7456</v>
      </c>
      <c r="C2005" s="1">
        <v>43001</v>
      </c>
      <c r="D2005" s="22">
        <f>MONTH(Table3[[#This Row],[Order Date]])</f>
        <v>9</v>
      </c>
      <c r="E2005" t="s">
        <v>2666</v>
      </c>
      <c r="F2005" t="s">
        <v>2667</v>
      </c>
      <c r="G2005" s="23" t="s">
        <v>64</v>
      </c>
      <c r="H2005" s="23" t="s">
        <v>65</v>
      </c>
      <c r="I2005" t="s">
        <v>403</v>
      </c>
      <c r="J2005" t="s">
        <v>22</v>
      </c>
      <c r="K2005" s="22">
        <v>2</v>
      </c>
      <c r="L2005" s="1">
        <v>43006</v>
      </c>
      <c r="M2005" s="22">
        <f>Table3[[#This Row],[Ship Date]]-Table3[[#This Row],[Order Date]]</f>
        <v>5</v>
      </c>
      <c r="N2005" s="23" t="s">
        <v>45</v>
      </c>
      <c r="O2005" s="23" t="s">
        <v>23</v>
      </c>
      <c r="P2005" s="23" t="s">
        <v>189</v>
      </c>
      <c r="Q2005" s="23" t="s">
        <v>95</v>
      </c>
      <c r="R2005" s="23" t="s">
        <v>271</v>
      </c>
      <c r="S2005" s="33">
        <v>0.2</v>
      </c>
      <c r="T2005" s="13">
        <v>39.984000000000002</v>
      </c>
      <c r="U2005" s="13">
        <v>-8.9963999999999995</v>
      </c>
      <c r="V2005" s="55">
        <f>Table3[[#This Row],[Profit]]/Table3[[#This Row],[Sales]]</f>
        <v>-0.22499999999999998</v>
      </c>
    </row>
    <row r="2006" spans="1:22" x14ac:dyDescent="0.2">
      <c r="A2006">
        <v>2005</v>
      </c>
      <c r="B2006" t="s">
        <v>9726</v>
      </c>
      <c r="C2006" s="1">
        <v>43001</v>
      </c>
      <c r="D2006" s="22">
        <f>MONTH(Table3[[#This Row],[Order Date]])</f>
        <v>9</v>
      </c>
      <c r="E2006" t="s">
        <v>4374</v>
      </c>
      <c r="F2006" t="s">
        <v>4375</v>
      </c>
      <c r="G2006" s="23" t="s">
        <v>64</v>
      </c>
      <c r="H2006" s="23" t="s">
        <v>144</v>
      </c>
      <c r="I2006" t="s">
        <v>7752</v>
      </c>
      <c r="J2006" t="s">
        <v>22</v>
      </c>
      <c r="K2006" s="22">
        <v>5</v>
      </c>
      <c r="L2006" s="1">
        <v>43003</v>
      </c>
      <c r="M2006" s="22">
        <f>Table3[[#This Row],[Ship Date]]-Table3[[#This Row],[Order Date]]</f>
        <v>2</v>
      </c>
      <c r="N2006" s="23" t="s">
        <v>20</v>
      </c>
      <c r="O2006" s="23" t="s">
        <v>23</v>
      </c>
      <c r="P2006" s="23" t="s">
        <v>1510</v>
      </c>
      <c r="Q2006" s="23" t="s">
        <v>26</v>
      </c>
      <c r="R2006" s="23" t="s">
        <v>9727</v>
      </c>
      <c r="S2006" s="33">
        <v>0</v>
      </c>
      <c r="T2006" s="13">
        <v>199.95</v>
      </c>
      <c r="U2006" s="13">
        <v>63.984000000000002</v>
      </c>
      <c r="V2006" s="55">
        <f>Table3[[#This Row],[Profit]]/Table3[[#This Row],[Sales]]</f>
        <v>0.32</v>
      </c>
    </row>
    <row r="2007" spans="1:22" x14ac:dyDescent="0.2">
      <c r="A2007">
        <v>2006</v>
      </c>
      <c r="B2007" t="s">
        <v>9726</v>
      </c>
      <c r="C2007" s="1">
        <v>43001</v>
      </c>
      <c r="D2007" s="22">
        <f>MONTH(Table3[[#This Row],[Order Date]])</f>
        <v>9</v>
      </c>
      <c r="E2007" t="s">
        <v>1747</v>
      </c>
      <c r="F2007" t="s">
        <v>1748</v>
      </c>
      <c r="G2007" s="23" t="s">
        <v>41</v>
      </c>
      <c r="H2007" s="23" t="s">
        <v>82</v>
      </c>
      <c r="I2007" t="s">
        <v>7752</v>
      </c>
      <c r="J2007" t="s">
        <v>22</v>
      </c>
      <c r="K2007" s="22">
        <v>2</v>
      </c>
      <c r="L2007" s="1">
        <v>43003</v>
      </c>
      <c r="M2007" s="22">
        <f>Table3[[#This Row],[Ship Date]]-Table3[[#This Row],[Order Date]]</f>
        <v>2</v>
      </c>
      <c r="N2007" s="23" t="s">
        <v>20</v>
      </c>
      <c r="O2007" s="23" t="s">
        <v>23</v>
      </c>
      <c r="P2007" s="23" t="s">
        <v>1510</v>
      </c>
      <c r="Q2007" s="23" t="s">
        <v>26</v>
      </c>
      <c r="R2007" s="23" t="s">
        <v>9727</v>
      </c>
      <c r="S2007" s="33">
        <v>0</v>
      </c>
      <c r="T2007" s="13">
        <v>12.96</v>
      </c>
      <c r="U2007" s="13">
        <v>6.2207999999999997</v>
      </c>
      <c r="V2007" s="55">
        <f>Table3[[#This Row],[Profit]]/Table3[[#This Row],[Sales]]</f>
        <v>0.47999999999999993</v>
      </c>
    </row>
    <row r="2008" spans="1:22" x14ac:dyDescent="0.2">
      <c r="A2008">
        <v>2007</v>
      </c>
      <c r="B2008" t="s">
        <v>9768</v>
      </c>
      <c r="C2008" s="1">
        <v>43001</v>
      </c>
      <c r="D2008" s="22">
        <f>MONTH(Table3[[#This Row],[Order Date]])</f>
        <v>9</v>
      </c>
      <c r="E2008" t="s">
        <v>3294</v>
      </c>
      <c r="F2008" t="s">
        <v>3295</v>
      </c>
      <c r="G2008" s="23" t="s">
        <v>41</v>
      </c>
      <c r="H2008" s="23" t="s">
        <v>82</v>
      </c>
      <c r="I2008" t="s">
        <v>4198</v>
      </c>
      <c r="J2008" t="s">
        <v>22</v>
      </c>
      <c r="K2008" s="22">
        <v>8</v>
      </c>
      <c r="L2008" s="1">
        <v>43007</v>
      </c>
      <c r="M2008" s="22">
        <f>Table3[[#This Row],[Ship Date]]-Table3[[#This Row],[Order Date]]</f>
        <v>6</v>
      </c>
      <c r="N2008" s="23" t="s">
        <v>45</v>
      </c>
      <c r="O2008" s="23" t="s">
        <v>23</v>
      </c>
      <c r="P2008" s="23" t="s">
        <v>38</v>
      </c>
      <c r="Q2008" s="23" t="s">
        <v>39</v>
      </c>
      <c r="R2008" s="23" t="s">
        <v>37</v>
      </c>
      <c r="S2008" s="33">
        <v>0</v>
      </c>
      <c r="T2008" s="13">
        <v>211.04</v>
      </c>
      <c r="U2008" s="13">
        <v>97.078400000000002</v>
      </c>
      <c r="V2008" s="55">
        <f>Table3[[#This Row],[Profit]]/Table3[[#This Row],[Sales]]</f>
        <v>0.46</v>
      </c>
    </row>
    <row r="2009" spans="1:22" x14ac:dyDescent="0.2">
      <c r="A2009">
        <v>2008</v>
      </c>
      <c r="B2009" t="s">
        <v>9768</v>
      </c>
      <c r="C2009" s="1">
        <v>43001</v>
      </c>
      <c r="D2009" s="22">
        <f>MONTH(Table3[[#This Row],[Order Date]])</f>
        <v>9</v>
      </c>
      <c r="E2009" t="s">
        <v>3001</v>
      </c>
      <c r="F2009" t="s">
        <v>3002</v>
      </c>
      <c r="G2009" s="23" t="s">
        <v>28</v>
      </c>
      <c r="H2009" s="23" t="s">
        <v>32</v>
      </c>
      <c r="I2009" t="s">
        <v>4198</v>
      </c>
      <c r="J2009" t="s">
        <v>22</v>
      </c>
      <c r="K2009" s="22">
        <v>2</v>
      </c>
      <c r="L2009" s="1">
        <v>43007</v>
      </c>
      <c r="M2009" s="22">
        <f>Table3[[#This Row],[Ship Date]]-Table3[[#This Row],[Order Date]]</f>
        <v>6</v>
      </c>
      <c r="N2009" s="23" t="s">
        <v>45</v>
      </c>
      <c r="O2009" s="23" t="s">
        <v>23</v>
      </c>
      <c r="P2009" s="23" t="s">
        <v>38</v>
      </c>
      <c r="Q2009" s="23" t="s">
        <v>39</v>
      </c>
      <c r="R2009" s="23" t="s">
        <v>37</v>
      </c>
      <c r="S2009" s="33">
        <v>0.2</v>
      </c>
      <c r="T2009" s="13">
        <v>594.81600000000003</v>
      </c>
      <c r="U2009" s="13">
        <v>59.4816</v>
      </c>
      <c r="V2009" s="55">
        <f>Table3[[#This Row],[Profit]]/Table3[[#This Row],[Sales]]</f>
        <v>9.9999999999999992E-2</v>
      </c>
    </row>
    <row r="2010" spans="1:22" x14ac:dyDescent="0.2">
      <c r="A2010">
        <v>2009</v>
      </c>
      <c r="B2010" t="s">
        <v>9768</v>
      </c>
      <c r="C2010" s="1">
        <v>43001</v>
      </c>
      <c r="D2010" s="22">
        <f>MONTH(Table3[[#This Row],[Order Date]])</f>
        <v>9</v>
      </c>
      <c r="E2010" t="s">
        <v>3455</v>
      </c>
      <c r="F2010" t="s">
        <v>3456</v>
      </c>
      <c r="G2010" s="23" t="s">
        <v>41</v>
      </c>
      <c r="H2010" s="23" t="s">
        <v>68</v>
      </c>
      <c r="I2010" t="s">
        <v>4198</v>
      </c>
      <c r="J2010" t="s">
        <v>22</v>
      </c>
      <c r="K2010" s="22">
        <v>3</v>
      </c>
      <c r="L2010" s="1">
        <v>43007</v>
      </c>
      <c r="M2010" s="22">
        <f>Table3[[#This Row],[Ship Date]]-Table3[[#This Row],[Order Date]]</f>
        <v>6</v>
      </c>
      <c r="N2010" s="23" t="s">
        <v>45</v>
      </c>
      <c r="O2010" s="23" t="s">
        <v>23</v>
      </c>
      <c r="P2010" s="23" t="s">
        <v>38</v>
      </c>
      <c r="Q2010" s="23" t="s">
        <v>39</v>
      </c>
      <c r="R2010" s="23" t="s">
        <v>37</v>
      </c>
      <c r="S2010" s="33">
        <v>0.2</v>
      </c>
      <c r="T2010" s="13">
        <v>72.959999999999994</v>
      </c>
      <c r="U2010" s="13">
        <v>23.712</v>
      </c>
      <c r="V2010" s="55">
        <f>Table3[[#This Row],[Profit]]/Table3[[#This Row],[Sales]]</f>
        <v>0.32500000000000001</v>
      </c>
    </row>
    <row r="2011" spans="1:22" x14ac:dyDescent="0.2">
      <c r="A2011">
        <v>2010</v>
      </c>
      <c r="B2011" t="s">
        <v>9954</v>
      </c>
      <c r="C2011" s="1">
        <v>43001</v>
      </c>
      <c r="D2011" s="22">
        <f>MONTH(Table3[[#This Row],[Order Date]])</f>
        <v>9</v>
      </c>
      <c r="E2011" t="s">
        <v>8930</v>
      </c>
      <c r="F2011" t="s">
        <v>8931</v>
      </c>
      <c r="G2011" s="23" t="s">
        <v>41</v>
      </c>
      <c r="H2011" s="23" t="s">
        <v>82</v>
      </c>
      <c r="I2011" t="s">
        <v>1437</v>
      </c>
      <c r="J2011" t="s">
        <v>36</v>
      </c>
      <c r="K2011" s="22">
        <v>2</v>
      </c>
      <c r="L2011" s="1">
        <v>43003</v>
      </c>
      <c r="M2011" s="22">
        <f>Table3[[#This Row],[Ship Date]]-Table3[[#This Row],[Order Date]]</f>
        <v>2</v>
      </c>
      <c r="N2011" s="23" t="s">
        <v>169</v>
      </c>
      <c r="O2011" s="23" t="s">
        <v>23</v>
      </c>
      <c r="P2011" s="23" t="s">
        <v>94</v>
      </c>
      <c r="Q2011" s="23" t="s">
        <v>95</v>
      </c>
      <c r="R2011" s="23" t="s">
        <v>4325</v>
      </c>
      <c r="S2011" s="33">
        <v>0.2</v>
      </c>
      <c r="T2011" s="13">
        <v>9.2479999999999993</v>
      </c>
      <c r="U2011" s="13">
        <v>3.3523999999999998</v>
      </c>
      <c r="V2011" s="55">
        <f>Table3[[#This Row],[Profit]]/Table3[[#This Row],[Sales]]</f>
        <v>0.36249999999999999</v>
      </c>
    </row>
    <row r="2012" spans="1:22" x14ac:dyDescent="0.2">
      <c r="A2012">
        <v>2011</v>
      </c>
      <c r="B2012" t="s">
        <v>1841</v>
      </c>
      <c r="C2012" s="1">
        <v>43002</v>
      </c>
      <c r="D2012" s="22">
        <f>MONTH(Table3[[#This Row],[Order Date]])</f>
        <v>9</v>
      </c>
      <c r="E2012" t="s">
        <v>1842</v>
      </c>
      <c r="F2012" t="s">
        <v>1843</v>
      </c>
      <c r="G2012" s="23" t="s">
        <v>64</v>
      </c>
      <c r="H2012" s="23" t="s">
        <v>144</v>
      </c>
      <c r="I2012" t="s">
        <v>1583</v>
      </c>
      <c r="J2012" t="s">
        <v>22</v>
      </c>
      <c r="K2012" s="22">
        <v>3</v>
      </c>
      <c r="L2012" s="1">
        <v>43004</v>
      </c>
      <c r="M2012" s="22">
        <f>Table3[[#This Row],[Ship Date]]-Table3[[#This Row],[Order Date]]</f>
        <v>2</v>
      </c>
      <c r="N2012" s="23" t="s">
        <v>20</v>
      </c>
      <c r="O2012" s="23" t="s">
        <v>23</v>
      </c>
      <c r="P2012" s="23" t="s">
        <v>48</v>
      </c>
      <c r="Q2012" s="23" t="s">
        <v>26</v>
      </c>
      <c r="R2012" s="23" t="s">
        <v>1253</v>
      </c>
      <c r="S2012" s="33">
        <v>0.2</v>
      </c>
      <c r="T2012" s="13">
        <v>17.88</v>
      </c>
      <c r="U2012" s="13">
        <v>2.4584999999999999</v>
      </c>
      <c r="V2012" s="55">
        <f>Table3[[#This Row],[Profit]]/Table3[[#This Row],[Sales]]</f>
        <v>0.13750000000000001</v>
      </c>
    </row>
    <row r="2013" spans="1:22" x14ac:dyDescent="0.2">
      <c r="A2013">
        <v>2012</v>
      </c>
      <c r="B2013" t="s">
        <v>1841</v>
      </c>
      <c r="C2013" s="1">
        <v>43002</v>
      </c>
      <c r="D2013" s="22">
        <f>MONTH(Table3[[#This Row],[Order Date]])</f>
        <v>9</v>
      </c>
      <c r="E2013" t="s">
        <v>1740</v>
      </c>
      <c r="F2013" t="s">
        <v>1741</v>
      </c>
      <c r="G2013" s="23" t="s">
        <v>41</v>
      </c>
      <c r="H2013" s="23" t="s">
        <v>42</v>
      </c>
      <c r="I2013" t="s">
        <v>1583</v>
      </c>
      <c r="J2013" t="s">
        <v>22</v>
      </c>
      <c r="K2013" s="22">
        <v>3</v>
      </c>
      <c r="L2013" s="1">
        <v>43004</v>
      </c>
      <c r="M2013" s="22">
        <f>Table3[[#This Row],[Ship Date]]-Table3[[#This Row],[Order Date]]</f>
        <v>2</v>
      </c>
      <c r="N2013" s="23" t="s">
        <v>20</v>
      </c>
      <c r="O2013" s="23" t="s">
        <v>23</v>
      </c>
      <c r="P2013" s="23" t="s">
        <v>48</v>
      </c>
      <c r="Q2013" s="23" t="s">
        <v>26</v>
      </c>
      <c r="R2013" s="23" t="s">
        <v>1253</v>
      </c>
      <c r="S2013" s="33">
        <v>0.2</v>
      </c>
      <c r="T2013" s="13">
        <v>235.94399999999999</v>
      </c>
      <c r="U2013" s="13">
        <v>85.529700000000005</v>
      </c>
      <c r="V2013" s="55">
        <f>Table3[[#This Row],[Profit]]/Table3[[#This Row],[Sales]]</f>
        <v>0.36250000000000004</v>
      </c>
    </row>
    <row r="2014" spans="1:22" x14ac:dyDescent="0.2">
      <c r="A2014">
        <v>2013</v>
      </c>
      <c r="B2014" t="s">
        <v>2030</v>
      </c>
      <c r="C2014" s="1">
        <v>43002</v>
      </c>
      <c r="D2014" s="22">
        <f>MONTH(Table3[[#This Row],[Order Date]])</f>
        <v>9</v>
      </c>
      <c r="E2014" t="s">
        <v>2031</v>
      </c>
      <c r="F2014" t="s">
        <v>2032</v>
      </c>
      <c r="G2014" s="23" t="s">
        <v>28</v>
      </c>
      <c r="H2014" s="23" t="s">
        <v>58</v>
      </c>
      <c r="I2014" t="s">
        <v>835</v>
      </c>
      <c r="J2014" t="s">
        <v>22</v>
      </c>
      <c r="K2014" s="22">
        <v>3</v>
      </c>
      <c r="L2014" s="1">
        <v>43007</v>
      </c>
      <c r="M2014" s="22">
        <f>Table3[[#This Row],[Ship Date]]-Table3[[#This Row],[Order Date]]</f>
        <v>5</v>
      </c>
      <c r="N2014" s="23" t="s">
        <v>45</v>
      </c>
      <c r="O2014" s="23" t="s">
        <v>23</v>
      </c>
      <c r="P2014" s="23" t="s">
        <v>441</v>
      </c>
      <c r="Q2014" s="23" t="s">
        <v>133</v>
      </c>
      <c r="R2014" s="23" t="s">
        <v>536</v>
      </c>
      <c r="S2014" s="33">
        <v>0.2</v>
      </c>
      <c r="T2014" s="13">
        <v>103.056</v>
      </c>
      <c r="U2014" s="13">
        <v>24.4758</v>
      </c>
      <c r="V2014" s="55">
        <f>Table3[[#This Row],[Profit]]/Table3[[#This Row],[Sales]]</f>
        <v>0.23749999999999999</v>
      </c>
    </row>
    <row r="2015" spans="1:22" x14ac:dyDescent="0.2">
      <c r="A2015">
        <v>2014</v>
      </c>
      <c r="B2015" t="s">
        <v>5979</v>
      </c>
      <c r="C2015" s="1">
        <v>43002</v>
      </c>
      <c r="D2015" s="22">
        <f>MONTH(Table3[[#This Row],[Order Date]])</f>
        <v>9</v>
      </c>
      <c r="E2015" t="s">
        <v>5981</v>
      </c>
      <c r="F2015" t="s">
        <v>5982</v>
      </c>
      <c r="G2015" s="23" t="s">
        <v>64</v>
      </c>
      <c r="H2015" s="23" t="s">
        <v>144</v>
      </c>
      <c r="I2015" t="s">
        <v>1599</v>
      </c>
      <c r="J2015" t="s">
        <v>36</v>
      </c>
      <c r="K2015" s="22">
        <v>4</v>
      </c>
      <c r="L2015" s="1">
        <v>43006</v>
      </c>
      <c r="M2015" s="22">
        <f>Table3[[#This Row],[Ship Date]]-Table3[[#This Row],[Order Date]]</f>
        <v>4</v>
      </c>
      <c r="N2015" s="23" t="s">
        <v>45</v>
      </c>
      <c r="O2015" s="23" t="s">
        <v>23</v>
      </c>
      <c r="P2015" s="23" t="s">
        <v>204</v>
      </c>
      <c r="Q2015" s="23" t="s">
        <v>95</v>
      </c>
      <c r="R2015" s="23" t="s">
        <v>5980</v>
      </c>
      <c r="S2015" s="33">
        <v>0</v>
      </c>
      <c r="T2015" s="13">
        <v>72</v>
      </c>
      <c r="U2015" s="13">
        <v>12.96</v>
      </c>
      <c r="V2015" s="55">
        <f>Table3[[#This Row],[Profit]]/Table3[[#This Row],[Sales]]</f>
        <v>0.18000000000000002</v>
      </c>
    </row>
    <row r="2016" spans="1:22" x14ac:dyDescent="0.2">
      <c r="A2016">
        <v>2015</v>
      </c>
      <c r="B2016" t="s">
        <v>5979</v>
      </c>
      <c r="C2016" s="1">
        <v>43002</v>
      </c>
      <c r="D2016" s="22">
        <f>MONTH(Table3[[#This Row],[Order Date]])</f>
        <v>9</v>
      </c>
      <c r="E2016" t="s">
        <v>5983</v>
      </c>
      <c r="F2016" t="s">
        <v>5984</v>
      </c>
      <c r="G2016" s="23" t="s">
        <v>64</v>
      </c>
      <c r="H2016" s="23" t="s">
        <v>144</v>
      </c>
      <c r="I2016" t="s">
        <v>1599</v>
      </c>
      <c r="J2016" t="s">
        <v>36</v>
      </c>
      <c r="K2016" s="22">
        <v>5</v>
      </c>
      <c r="L2016" s="1">
        <v>43006</v>
      </c>
      <c r="M2016" s="22">
        <f>Table3[[#This Row],[Ship Date]]-Table3[[#This Row],[Order Date]]</f>
        <v>4</v>
      </c>
      <c r="N2016" s="23" t="s">
        <v>45</v>
      </c>
      <c r="O2016" s="23" t="s">
        <v>23</v>
      </c>
      <c r="P2016" s="23" t="s">
        <v>204</v>
      </c>
      <c r="Q2016" s="23" t="s">
        <v>95</v>
      </c>
      <c r="R2016" s="23" t="s">
        <v>5980</v>
      </c>
      <c r="S2016" s="33">
        <v>0</v>
      </c>
      <c r="T2016" s="13">
        <v>655.9</v>
      </c>
      <c r="U2016" s="13">
        <v>275.47800000000001</v>
      </c>
      <c r="V2016" s="55">
        <f>Table3[[#This Row],[Profit]]/Table3[[#This Row],[Sales]]</f>
        <v>0.42000000000000004</v>
      </c>
    </row>
    <row r="2017" spans="1:22" x14ac:dyDescent="0.2">
      <c r="A2017">
        <v>2016</v>
      </c>
      <c r="B2017" t="s">
        <v>5979</v>
      </c>
      <c r="C2017" s="1">
        <v>43002</v>
      </c>
      <c r="D2017" s="22">
        <f>MONTH(Table3[[#This Row],[Order Date]])</f>
        <v>9</v>
      </c>
      <c r="E2017" t="s">
        <v>2272</v>
      </c>
      <c r="F2017" t="s">
        <v>2273</v>
      </c>
      <c r="G2017" s="23" t="s">
        <v>28</v>
      </c>
      <c r="H2017" s="23" t="s">
        <v>32</v>
      </c>
      <c r="I2017" t="s">
        <v>1599</v>
      </c>
      <c r="J2017" t="s">
        <v>36</v>
      </c>
      <c r="K2017" s="22">
        <v>4</v>
      </c>
      <c r="L2017" s="1">
        <v>43006</v>
      </c>
      <c r="M2017" s="22">
        <f>Table3[[#This Row],[Ship Date]]-Table3[[#This Row],[Order Date]]</f>
        <v>4</v>
      </c>
      <c r="N2017" s="23" t="s">
        <v>45</v>
      </c>
      <c r="O2017" s="23" t="s">
        <v>23</v>
      </c>
      <c r="P2017" s="23" t="s">
        <v>204</v>
      </c>
      <c r="Q2017" s="23" t="s">
        <v>95</v>
      </c>
      <c r="R2017" s="23" t="s">
        <v>5980</v>
      </c>
      <c r="S2017" s="33">
        <v>0</v>
      </c>
      <c r="T2017" s="13">
        <v>603.91999999999996</v>
      </c>
      <c r="U2017" s="13">
        <v>181.17599999999999</v>
      </c>
      <c r="V2017" s="55">
        <f>Table3[[#This Row],[Profit]]/Table3[[#This Row],[Sales]]</f>
        <v>0.3</v>
      </c>
    </row>
    <row r="2018" spans="1:22" x14ac:dyDescent="0.2">
      <c r="A2018">
        <v>2017</v>
      </c>
      <c r="B2018" t="s">
        <v>6057</v>
      </c>
      <c r="C2018" s="1">
        <v>43002</v>
      </c>
      <c r="D2018" s="22">
        <f>MONTH(Table3[[#This Row],[Order Date]])</f>
        <v>9</v>
      </c>
      <c r="E2018" t="s">
        <v>4060</v>
      </c>
      <c r="F2018" t="s">
        <v>4061</v>
      </c>
      <c r="G2018" s="23" t="s">
        <v>64</v>
      </c>
      <c r="H2018" s="23" t="s">
        <v>65</v>
      </c>
      <c r="I2018" t="s">
        <v>3095</v>
      </c>
      <c r="J2018" t="s">
        <v>92</v>
      </c>
      <c r="K2018" s="22">
        <v>3</v>
      </c>
      <c r="L2018" s="1">
        <v>43006</v>
      </c>
      <c r="M2018" s="22">
        <f>Table3[[#This Row],[Ship Date]]-Table3[[#This Row],[Order Date]]</f>
        <v>4</v>
      </c>
      <c r="N2018" s="23" t="s">
        <v>45</v>
      </c>
      <c r="O2018" s="23" t="s">
        <v>23</v>
      </c>
      <c r="P2018" s="23" t="s">
        <v>441</v>
      </c>
      <c r="Q2018" s="23" t="s">
        <v>133</v>
      </c>
      <c r="R2018" s="23" t="s">
        <v>2174</v>
      </c>
      <c r="S2018" s="33">
        <v>0.4</v>
      </c>
      <c r="T2018" s="13">
        <v>1169.694</v>
      </c>
      <c r="U2018" s="13">
        <v>-253.43369999999999</v>
      </c>
      <c r="V2018" s="55">
        <f>Table3[[#This Row],[Profit]]/Table3[[#This Row],[Sales]]</f>
        <v>-0.21666666666666667</v>
      </c>
    </row>
    <row r="2019" spans="1:22" x14ac:dyDescent="0.2">
      <c r="A2019">
        <v>2018</v>
      </c>
      <c r="B2019" t="s">
        <v>7295</v>
      </c>
      <c r="C2019" s="1">
        <v>43002</v>
      </c>
      <c r="D2019" s="22">
        <f>MONTH(Table3[[#This Row],[Order Date]])</f>
        <v>9</v>
      </c>
      <c r="E2019" t="s">
        <v>6868</v>
      </c>
      <c r="F2019" t="s">
        <v>6869</v>
      </c>
      <c r="G2019" s="23" t="s">
        <v>41</v>
      </c>
      <c r="H2019" s="23" t="s">
        <v>53</v>
      </c>
      <c r="I2019" t="s">
        <v>1244</v>
      </c>
      <c r="J2019" t="s">
        <v>22</v>
      </c>
      <c r="K2019" s="22">
        <v>3</v>
      </c>
      <c r="L2019" s="1">
        <v>43005</v>
      </c>
      <c r="M2019" s="22">
        <f>Table3[[#This Row],[Ship Date]]-Table3[[#This Row],[Order Date]]</f>
        <v>3</v>
      </c>
      <c r="N2019" s="23" t="s">
        <v>169</v>
      </c>
      <c r="O2019" s="23" t="s">
        <v>23</v>
      </c>
      <c r="P2019" s="23" t="s">
        <v>1125</v>
      </c>
      <c r="Q2019" s="23" t="s">
        <v>26</v>
      </c>
      <c r="R2019" s="23" t="s">
        <v>440</v>
      </c>
      <c r="S2019" s="33">
        <v>0</v>
      </c>
      <c r="T2019" s="13">
        <v>40.29</v>
      </c>
      <c r="U2019" s="13">
        <v>10.0725</v>
      </c>
      <c r="V2019" s="55">
        <f>Table3[[#This Row],[Profit]]/Table3[[#This Row],[Sales]]</f>
        <v>0.25</v>
      </c>
    </row>
    <row r="2020" spans="1:22" x14ac:dyDescent="0.2">
      <c r="A2020">
        <v>2019</v>
      </c>
      <c r="B2020" t="s">
        <v>7295</v>
      </c>
      <c r="C2020" s="1">
        <v>43002</v>
      </c>
      <c r="D2020" s="22">
        <f>MONTH(Table3[[#This Row],[Order Date]])</f>
        <v>9</v>
      </c>
      <c r="E2020" t="s">
        <v>1900</v>
      </c>
      <c r="F2020" t="s">
        <v>1901</v>
      </c>
      <c r="G2020" s="23" t="s">
        <v>41</v>
      </c>
      <c r="H2020" s="23" t="s">
        <v>68</v>
      </c>
      <c r="I2020" t="s">
        <v>1244</v>
      </c>
      <c r="J2020" t="s">
        <v>22</v>
      </c>
      <c r="K2020" s="22">
        <v>7</v>
      </c>
      <c r="L2020" s="1">
        <v>43005</v>
      </c>
      <c r="M2020" s="22">
        <f>Table3[[#This Row],[Ship Date]]-Table3[[#This Row],[Order Date]]</f>
        <v>3</v>
      </c>
      <c r="N2020" s="23" t="s">
        <v>169</v>
      </c>
      <c r="O2020" s="23" t="s">
        <v>23</v>
      </c>
      <c r="P2020" s="23" t="s">
        <v>1125</v>
      </c>
      <c r="Q2020" s="23" t="s">
        <v>26</v>
      </c>
      <c r="R2020" s="23" t="s">
        <v>440</v>
      </c>
      <c r="S2020" s="33">
        <v>0</v>
      </c>
      <c r="T2020" s="13">
        <v>38.71</v>
      </c>
      <c r="U2020" s="13">
        <v>17.8066</v>
      </c>
      <c r="V2020" s="55">
        <f>Table3[[#This Row],[Profit]]/Table3[[#This Row],[Sales]]</f>
        <v>0.45999999999999996</v>
      </c>
    </row>
    <row r="2021" spans="1:22" x14ac:dyDescent="0.2">
      <c r="A2021">
        <v>2020</v>
      </c>
      <c r="B2021" t="s">
        <v>7591</v>
      </c>
      <c r="C2021" s="1">
        <v>43002</v>
      </c>
      <c r="D2021" s="22">
        <f>MONTH(Table3[[#This Row],[Order Date]])</f>
        <v>9</v>
      </c>
      <c r="E2021" t="s">
        <v>1609</v>
      </c>
      <c r="F2021" t="s">
        <v>1610</v>
      </c>
      <c r="G2021" s="23" t="s">
        <v>64</v>
      </c>
      <c r="H2021" s="23" t="s">
        <v>65</v>
      </c>
      <c r="I2021" t="s">
        <v>1222</v>
      </c>
      <c r="J2021" t="s">
        <v>36</v>
      </c>
      <c r="K2021" s="22">
        <v>2</v>
      </c>
      <c r="L2021" s="1">
        <v>43002</v>
      </c>
      <c r="M2021" s="22">
        <f>Table3[[#This Row],[Ship Date]]-Table3[[#This Row],[Order Date]]</f>
        <v>0</v>
      </c>
      <c r="N2021" s="23" t="s">
        <v>1141</v>
      </c>
      <c r="O2021" s="23" t="s">
        <v>23</v>
      </c>
      <c r="P2021" s="23" t="s">
        <v>1101</v>
      </c>
      <c r="Q2021" s="23" t="s">
        <v>133</v>
      </c>
      <c r="R2021" s="23" t="s">
        <v>1308</v>
      </c>
      <c r="S2021" s="33">
        <v>0</v>
      </c>
      <c r="T2021" s="13">
        <v>391.98</v>
      </c>
      <c r="U2021" s="13">
        <v>109.7544</v>
      </c>
      <c r="V2021" s="55">
        <f>Table3[[#This Row],[Profit]]/Table3[[#This Row],[Sales]]</f>
        <v>0.27999999999999997</v>
      </c>
    </row>
    <row r="2022" spans="1:22" x14ac:dyDescent="0.2">
      <c r="A2022">
        <v>2021</v>
      </c>
      <c r="B2022" t="s">
        <v>7591</v>
      </c>
      <c r="C2022" s="1">
        <v>43002</v>
      </c>
      <c r="D2022" s="22">
        <f>MONTH(Table3[[#This Row],[Order Date]])</f>
        <v>9</v>
      </c>
      <c r="E2022" t="s">
        <v>4646</v>
      </c>
      <c r="F2022" t="s">
        <v>4647</v>
      </c>
      <c r="G2022" s="23" t="s">
        <v>64</v>
      </c>
      <c r="H2022" s="23" t="s">
        <v>65</v>
      </c>
      <c r="I2022" t="s">
        <v>1222</v>
      </c>
      <c r="J2022" t="s">
        <v>36</v>
      </c>
      <c r="K2022" s="22">
        <v>3</v>
      </c>
      <c r="L2022" s="1">
        <v>43002</v>
      </c>
      <c r="M2022" s="22">
        <f>Table3[[#This Row],[Ship Date]]-Table3[[#This Row],[Order Date]]</f>
        <v>0</v>
      </c>
      <c r="N2022" s="23" t="s">
        <v>1141</v>
      </c>
      <c r="O2022" s="23" t="s">
        <v>23</v>
      </c>
      <c r="P2022" s="23" t="s">
        <v>1101</v>
      </c>
      <c r="Q2022" s="23" t="s">
        <v>133</v>
      </c>
      <c r="R2022" s="23" t="s">
        <v>1308</v>
      </c>
      <c r="S2022" s="33">
        <v>0</v>
      </c>
      <c r="T2022" s="13">
        <v>437.85</v>
      </c>
      <c r="U2022" s="13">
        <v>131.35499999999999</v>
      </c>
      <c r="V2022" s="55">
        <f>Table3[[#This Row],[Profit]]/Table3[[#This Row],[Sales]]</f>
        <v>0.29999999999999993</v>
      </c>
    </row>
    <row r="2023" spans="1:22" x14ac:dyDescent="0.2">
      <c r="A2023">
        <v>2022</v>
      </c>
      <c r="B2023" t="s">
        <v>7872</v>
      </c>
      <c r="C2023" s="1">
        <v>43002</v>
      </c>
      <c r="D2023" s="22">
        <f>MONTH(Table3[[#This Row],[Order Date]])</f>
        <v>9</v>
      </c>
      <c r="E2023" t="s">
        <v>3942</v>
      </c>
      <c r="F2023" t="s">
        <v>3943</v>
      </c>
      <c r="G2023" s="23" t="s">
        <v>64</v>
      </c>
      <c r="H2023" s="23" t="s">
        <v>65</v>
      </c>
      <c r="I2023" t="s">
        <v>1036</v>
      </c>
      <c r="J2023" t="s">
        <v>36</v>
      </c>
      <c r="K2023" s="22">
        <v>3</v>
      </c>
      <c r="L2023" s="1">
        <v>43007</v>
      </c>
      <c r="M2023" s="22">
        <f>Table3[[#This Row],[Ship Date]]-Table3[[#This Row],[Order Date]]</f>
        <v>5</v>
      </c>
      <c r="N2023" s="23" t="s">
        <v>45</v>
      </c>
      <c r="O2023" s="23" t="s">
        <v>23</v>
      </c>
      <c r="P2023" s="23" t="s">
        <v>38</v>
      </c>
      <c r="Q2023" s="23" t="s">
        <v>39</v>
      </c>
      <c r="R2023" s="23" t="s">
        <v>37</v>
      </c>
      <c r="S2023" s="33">
        <v>0.2</v>
      </c>
      <c r="T2023" s="13">
        <v>859.2</v>
      </c>
      <c r="U2023" s="13">
        <v>75.180000000000007</v>
      </c>
      <c r="V2023" s="55">
        <f>Table3[[#This Row],[Profit]]/Table3[[#This Row],[Sales]]</f>
        <v>8.7500000000000008E-2</v>
      </c>
    </row>
    <row r="2024" spans="1:22" x14ac:dyDescent="0.2">
      <c r="A2024">
        <v>2023</v>
      </c>
      <c r="B2024" t="s">
        <v>7872</v>
      </c>
      <c r="C2024" s="1">
        <v>43002</v>
      </c>
      <c r="D2024" s="22">
        <f>MONTH(Table3[[#This Row],[Order Date]])</f>
        <v>9</v>
      </c>
      <c r="E2024" t="s">
        <v>7873</v>
      </c>
      <c r="F2024" t="s">
        <v>7874</v>
      </c>
      <c r="G2024" s="23" t="s">
        <v>64</v>
      </c>
      <c r="H2024" s="23" t="s">
        <v>602</v>
      </c>
      <c r="I2024" t="s">
        <v>1036</v>
      </c>
      <c r="J2024" t="s">
        <v>36</v>
      </c>
      <c r="K2024" s="22">
        <v>3</v>
      </c>
      <c r="L2024" s="1">
        <v>43007</v>
      </c>
      <c r="M2024" s="22">
        <f>Table3[[#This Row],[Ship Date]]-Table3[[#This Row],[Order Date]]</f>
        <v>5</v>
      </c>
      <c r="N2024" s="23" t="s">
        <v>45</v>
      </c>
      <c r="O2024" s="23" t="s">
        <v>23</v>
      </c>
      <c r="P2024" s="23" t="s">
        <v>38</v>
      </c>
      <c r="Q2024" s="23" t="s">
        <v>39</v>
      </c>
      <c r="R2024" s="23" t="s">
        <v>37</v>
      </c>
      <c r="S2024" s="33">
        <v>0.2</v>
      </c>
      <c r="T2024" s="13">
        <v>506.28</v>
      </c>
      <c r="U2024" s="13">
        <v>177.19800000000001</v>
      </c>
      <c r="V2024" s="55">
        <f>Table3[[#This Row],[Profit]]/Table3[[#This Row],[Sales]]</f>
        <v>0.35000000000000003</v>
      </c>
    </row>
    <row r="2025" spans="1:22" x14ac:dyDescent="0.2">
      <c r="A2025">
        <v>2024</v>
      </c>
      <c r="B2025" t="s">
        <v>8964</v>
      </c>
      <c r="C2025" s="1">
        <v>43002</v>
      </c>
      <c r="D2025" s="22">
        <f>MONTH(Table3[[#This Row],[Order Date]])</f>
        <v>9</v>
      </c>
      <c r="E2025" t="s">
        <v>5622</v>
      </c>
      <c r="F2025" t="s">
        <v>5623</v>
      </c>
      <c r="G2025" s="23" t="s">
        <v>64</v>
      </c>
      <c r="H2025" s="23" t="s">
        <v>65</v>
      </c>
      <c r="I2025" t="s">
        <v>3344</v>
      </c>
      <c r="J2025" t="s">
        <v>92</v>
      </c>
      <c r="K2025" s="22">
        <v>5</v>
      </c>
      <c r="L2025" s="1">
        <v>43007</v>
      </c>
      <c r="M2025" s="22">
        <f>Table3[[#This Row],[Ship Date]]-Table3[[#This Row],[Order Date]]</f>
        <v>5</v>
      </c>
      <c r="N2025" s="23" t="s">
        <v>45</v>
      </c>
      <c r="O2025" s="23" t="s">
        <v>23</v>
      </c>
      <c r="P2025" s="23" t="s">
        <v>48</v>
      </c>
      <c r="Q2025" s="23" t="s">
        <v>26</v>
      </c>
      <c r="R2025" s="23" t="s">
        <v>6510</v>
      </c>
      <c r="S2025" s="33">
        <v>0.2</v>
      </c>
      <c r="T2025" s="13">
        <v>383.96</v>
      </c>
      <c r="U2025" s="13">
        <v>38.396000000000001</v>
      </c>
      <c r="V2025" s="55">
        <f>Table3[[#This Row],[Profit]]/Table3[[#This Row],[Sales]]</f>
        <v>0.1</v>
      </c>
    </row>
    <row r="2026" spans="1:22" x14ac:dyDescent="0.2">
      <c r="A2026">
        <v>2025</v>
      </c>
      <c r="B2026" t="s">
        <v>8964</v>
      </c>
      <c r="C2026" s="1">
        <v>43002</v>
      </c>
      <c r="D2026" s="22">
        <f>MONTH(Table3[[#This Row],[Order Date]])</f>
        <v>9</v>
      </c>
      <c r="E2026" t="s">
        <v>594</v>
      </c>
      <c r="F2026" t="s">
        <v>595</v>
      </c>
      <c r="G2026" s="23" t="s">
        <v>41</v>
      </c>
      <c r="H2026" s="23" t="s">
        <v>68</v>
      </c>
      <c r="I2026" t="s">
        <v>3344</v>
      </c>
      <c r="J2026" t="s">
        <v>92</v>
      </c>
      <c r="K2026" s="22">
        <v>3</v>
      </c>
      <c r="L2026" s="1">
        <v>43007</v>
      </c>
      <c r="M2026" s="22">
        <f>Table3[[#This Row],[Ship Date]]-Table3[[#This Row],[Order Date]]</f>
        <v>5</v>
      </c>
      <c r="N2026" s="23" t="s">
        <v>45</v>
      </c>
      <c r="O2026" s="23" t="s">
        <v>23</v>
      </c>
      <c r="P2026" s="23" t="s">
        <v>48</v>
      </c>
      <c r="Q2026" s="23" t="s">
        <v>26</v>
      </c>
      <c r="R2026" s="23" t="s">
        <v>6510</v>
      </c>
      <c r="S2026" s="33">
        <v>0.7</v>
      </c>
      <c r="T2026" s="13">
        <v>15.57</v>
      </c>
      <c r="U2026" s="13">
        <v>-11.417999999999999</v>
      </c>
      <c r="V2026" s="55">
        <f>Table3[[#This Row],[Profit]]/Table3[[#This Row],[Sales]]</f>
        <v>-0.73333333333333328</v>
      </c>
    </row>
    <row r="2027" spans="1:22" x14ac:dyDescent="0.2">
      <c r="A2027">
        <v>2026</v>
      </c>
      <c r="B2027" t="s">
        <v>9281</v>
      </c>
      <c r="C2027" s="1">
        <v>43002</v>
      </c>
      <c r="D2027" s="22">
        <f>MONTH(Table3[[#This Row],[Order Date]])</f>
        <v>9</v>
      </c>
      <c r="E2027" t="s">
        <v>1924</v>
      </c>
      <c r="F2027" t="s">
        <v>1925</v>
      </c>
      <c r="G2027" s="23" t="s">
        <v>28</v>
      </c>
      <c r="H2027" s="23" t="s">
        <v>58</v>
      </c>
      <c r="I2027" t="s">
        <v>1290</v>
      </c>
      <c r="J2027" t="s">
        <v>22</v>
      </c>
      <c r="K2027" s="22">
        <v>10</v>
      </c>
      <c r="L2027" s="1">
        <v>43002</v>
      </c>
      <c r="M2027" s="22">
        <f>Table3[[#This Row],[Ship Date]]-Table3[[#This Row],[Order Date]]</f>
        <v>0</v>
      </c>
      <c r="N2027" s="23" t="s">
        <v>1141</v>
      </c>
      <c r="O2027" s="23" t="s">
        <v>23</v>
      </c>
      <c r="P2027" s="23" t="s">
        <v>87</v>
      </c>
      <c r="Q2027" s="23" t="s">
        <v>39</v>
      </c>
      <c r="R2027" s="23" t="s">
        <v>86</v>
      </c>
      <c r="S2027" s="33">
        <v>0</v>
      </c>
      <c r="T2027" s="13">
        <v>199.8</v>
      </c>
      <c r="U2027" s="13">
        <v>71.927999999999997</v>
      </c>
      <c r="V2027" s="55">
        <f>Table3[[#This Row],[Profit]]/Table3[[#This Row],[Sales]]</f>
        <v>0.36</v>
      </c>
    </row>
    <row r="2028" spans="1:22" x14ac:dyDescent="0.2">
      <c r="A2028">
        <v>2027</v>
      </c>
      <c r="B2028" t="s">
        <v>9485</v>
      </c>
      <c r="C2028" s="1">
        <v>43002</v>
      </c>
      <c r="D2028" s="22">
        <f>MONTH(Table3[[#This Row],[Order Date]])</f>
        <v>9</v>
      </c>
      <c r="E2028" t="s">
        <v>3540</v>
      </c>
      <c r="F2028" t="s">
        <v>5887</v>
      </c>
      <c r="G2028" s="23" t="s">
        <v>41</v>
      </c>
      <c r="H2028" s="23" t="s">
        <v>53</v>
      </c>
      <c r="I2028" t="s">
        <v>4524</v>
      </c>
      <c r="J2028" t="s">
        <v>92</v>
      </c>
      <c r="K2028" s="22">
        <v>1</v>
      </c>
      <c r="L2028" s="1">
        <v>43006</v>
      </c>
      <c r="M2028" s="22">
        <f>Table3[[#This Row],[Ship Date]]-Table3[[#This Row],[Order Date]]</f>
        <v>4</v>
      </c>
      <c r="N2028" s="23" t="s">
        <v>45</v>
      </c>
      <c r="O2028" s="23" t="s">
        <v>23</v>
      </c>
      <c r="P2028" s="23" t="s">
        <v>1125</v>
      </c>
      <c r="Q2028" s="23" t="s">
        <v>26</v>
      </c>
      <c r="R2028" s="23" t="s">
        <v>6751</v>
      </c>
      <c r="S2028" s="33">
        <v>0</v>
      </c>
      <c r="T2028" s="13">
        <v>15.51</v>
      </c>
      <c r="U2028" s="13">
        <v>3.8774999999999999</v>
      </c>
      <c r="V2028" s="55">
        <f>Table3[[#This Row],[Profit]]/Table3[[#This Row],[Sales]]</f>
        <v>0.25</v>
      </c>
    </row>
    <row r="2029" spans="1:22" x14ac:dyDescent="0.2">
      <c r="A2029">
        <v>2028</v>
      </c>
      <c r="B2029" t="s">
        <v>9485</v>
      </c>
      <c r="C2029" s="1">
        <v>43002</v>
      </c>
      <c r="D2029" s="22">
        <f>MONTH(Table3[[#This Row],[Order Date]])</f>
        <v>9</v>
      </c>
      <c r="E2029" t="s">
        <v>5797</v>
      </c>
      <c r="F2029" t="s">
        <v>5798</v>
      </c>
      <c r="G2029" s="23" t="s">
        <v>64</v>
      </c>
      <c r="H2029" s="23" t="s">
        <v>65</v>
      </c>
      <c r="I2029" t="s">
        <v>4524</v>
      </c>
      <c r="J2029" t="s">
        <v>92</v>
      </c>
      <c r="K2029" s="22">
        <v>2</v>
      </c>
      <c r="L2029" s="1">
        <v>43006</v>
      </c>
      <c r="M2029" s="22">
        <f>Table3[[#This Row],[Ship Date]]-Table3[[#This Row],[Order Date]]</f>
        <v>4</v>
      </c>
      <c r="N2029" s="23" t="s">
        <v>45</v>
      </c>
      <c r="O2029" s="23" t="s">
        <v>23</v>
      </c>
      <c r="P2029" s="23" t="s">
        <v>1125</v>
      </c>
      <c r="Q2029" s="23" t="s">
        <v>26</v>
      </c>
      <c r="R2029" s="23" t="s">
        <v>6751</v>
      </c>
      <c r="S2029" s="33">
        <v>0</v>
      </c>
      <c r="T2029" s="13">
        <v>89.9</v>
      </c>
      <c r="U2029" s="13">
        <v>25.172000000000001</v>
      </c>
      <c r="V2029" s="55">
        <f>Table3[[#This Row],[Profit]]/Table3[[#This Row],[Sales]]</f>
        <v>0.27999999999999997</v>
      </c>
    </row>
    <row r="2030" spans="1:22" x14ac:dyDescent="0.2">
      <c r="A2030">
        <v>2029</v>
      </c>
      <c r="B2030" t="s">
        <v>9485</v>
      </c>
      <c r="C2030" s="1">
        <v>43002</v>
      </c>
      <c r="D2030" s="22">
        <f>MONTH(Table3[[#This Row],[Order Date]])</f>
        <v>9</v>
      </c>
      <c r="E2030" t="s">
        <v>7490</v>
      </c>
      <c r="F2030" t="s">
        <v>7491</v>
      </c>
      <c r="G2030" s="23" t="s">
        <v>41</v>
      </c>
      <c r="H2030" s="23" t="s">
        <v>61</v>
      </c>
      <c r="I2030" t="s">
        <v>4524</v>
      </c>
      <c r="J2030" t="s">
        <v>92</v>
      </c>
      <c r="K2030" s="22">
        <v>4</v>
      </c>
      <c r="L2030" s="1">
        <v>43006</v>
      </c>
      <c r="M2030" s="22">
        <f>Table3[[#This Row],[Ship Date]]-Table3[[#This Row],[Order Date]]</f>
        <v>4</v>
      </c>
      <c r="N2030" s="23" t="s">
        <v>45</v>
      </c>
      <c r="O2030" s="23" t="s">
        <v>23</v>
      </c>
      <c r="P2030" s="23" t="s">
        <v>1125</v>
      </c>
      <c r="Q2030" s="23" t="s">
        <v>26</v>
      </c>
      <c r="R2030" s="23" t="s">
        <v>6751</v>
      </c>
      <c r="S2030" s="33">
        <v>0</v>
      </c>
      <c r="T2030" s="13">
        <v>14.28</v>
      </c>
      <c r="U2030" s="13">
        <v>3.7128000000000001</v>
      </c>
      <c r="V2030" s="55">
        <f>Table3[[#This Row],[Profit]]/Table3[[#This Row],[Sales]]</f>
        <v>0.26</v>
      </c>
    </row>
    <row r="2031" spans="1:22" x14ac:dyDescent="0.2">
      <c r="A2031">
        <v>2030</v>
      </c>
      <c r="B2031" t="s">
        <v>9485</v>
      </c>
      <c r="C2031" s="1">
        <v>43002</v>
      </c>
      <c r="D2031" s="22">
        <f>MONTH(Table3[[#This Row],[Order Date]])</f>
        <v>9</v>
      </c>
      <c r="E2031" t="s">
        <v>2596</v>
      </c>
      <c r="F2031" t="s">
        <v>2597</v>
      </c>
      <c r="G2031" s="23" t="s">
        <v>41</v>
      </c>
      <c r="H2031" s="23" t="s">
        <v>61</v>
      </c>
      <c r="I2031" t="s">
        <v>4524</v>
      </c>
      <c r="J2031" t="s">
        <v>92</v>
      </c>
      <c r="K2031" s="22">
        <v>3</v>
      </c>
      <c r="L2031" s="1">
        <v>43006</v>
      </c>
      <c r="M2031" s="22">
        <f>Table3[[#This Row],[Ship Date]]-Table3[[#This Row],[Order Date]]</f>
        <v>4</v>
      </c>
      <c r="N2031" s="23" t="s">
        <v>45</v>
      </c>
      <c r="O2031" s="23" t="s">
        <v>23</v>
      </c>
      <c r="P2031" s="23" t="s">
        <v>1125</v>
      </c>
      <c r="Q2031" s="23" t="s">
        <v>26</v>
      </c>
      <c r="R2031" s="23" t="s">
        <v>6751</v>
      </c>
      <c r="S2031" s="33">
        <v>0</v>
      </c>
      <c r="T2031" s="13">
        <v>12.72</v>
      </c>
      <c r="U2031" s="13">
        <v>4.9607999999999999</v>
      </c>
      <c r="V2031" s="55">
        <f>Table3[[#This Row],[Profit]]/Table3[[#This Row],[Sales]]</f>
        <v>0.38999999999999996</v>
      </c>
    </row>
    <row r="2032" spans="1:22" x14ac:dyDescent="0.2">
      <c r="A2032">
        <v>2031</v>
      </c>
      <c r="B2032" t="s">
        <v>9485</v>
      </c>
      <c r="C2032" s="1">
        <v>43002</v>
      </c>
      <c r="D2032" s="22">
        <f>MONTH(Table3[[#This Row],[Order Date]])</f>
        <v>9</v>
      </c>
      <c r="E2032" t="s">
        <v>1273</v>
      </c>
      <c r="F2032" t="s">
        <v>1274</v>
      </c>
      <c r="G2032" s="23" t="s">
        <v>41</v>
      </c>
      <c r="H2032" s="23" t="s">
        <v>42</v>
      </c>
      <c r="I2032" t="s">
        <v>4524</v>
      </c>
      <c r="J2032" t="s">
        <v>92</v>
      </c>
      <c r="K2032" s="22">
        <v>5</v>
      </c>
      <c r="L2032" s="1">
        <v>43006</v>
      </c>
      <c r="M2032" s="22">
        <f>Table3[[#This Row],[Ship Date]]-Table3[[#This Row],[Order Date]]</f>
        <v>4</v>
      </c>
      <c r="N2032" s="23" t="s">
        <v>45</v>
      </c>
      <c r="O2032" s="23" t="s">
        <v>23</v>
      </c>
      <c r="P2032" s="23" t="s">
        <v>1125</v>
      </c>
      <c r="Q2032" s="23" t="s">
        <v>26</v>
      </c>
      <c r="R2032" s="23" t="s">
        <v>6751</v>
      </c>
      <c r="S2032" s="33">
        <v>0</v>
      </c>
      <c r="T2032" s="13">
        <v>15.75</v>
      </c>
      <c r="U2032" s="13">
        <v>7.56</v>
      </c>
      <c r="V2032" s="55">
        <f>Table3[[#This Row],[Profit]]/Table3[[#This Row],[Sales]]</f>
        <v>0.48</v>
      </c>
    </row>
    <row r="2033" spans="1:22" x14ac:dyDescent="0.2">
      <c r="A2033">
        <v>2032</v>
      </c>
      <c r="B2033" t="s">
        <v>9781</v>
      </c>
      <c r="C2033" s="1">
        <v>43002</v>
      </c>
      <c r="D2033" s="22">
        <f>MONTH(Table3[[#This Row],[Order Date]])</f>
        <v>9</v>
      </c>
      <c r="E2033" t="s">
        <v>3001</v>
      </c>
      <c r="F2033" t="s">
        <v>3002</v>
      </c>
      <c r="G2033" s="23" t="s">
        <v>28</v>
      </c>
      <c r="H2033" s="23" t="s">
        <v>32</v>
      </c>
      <c r="I2033" t="s">
        <v>1504</v>
      </c>
      <c r="J2033" t="s">
        <v>22</v>
      </c>
      <c r="K2033" s="22">
        <v>2</v>
      </c>
      <c r="L2033" s="1">
        <v>43004</v>
      </c>
      <c r="M2033" s="22">
        <f>Table3[[#This Row],[Ship Date]]-Table3[[#This Row],[Order Date]]</f>
        <v>2</v>
      </c>
      <c r="N2033" s="23" t="s">
        <v>169</v>
      </c>
      <c r="O2033" s="23" t="s">
        <v>23</v>
      </c>
      <c r="P2033" s="23" t="s">
        <v>189</v>
      </c>
      <c r="Q2033" s="23" t="s">
        <v>95</v>
      </c>
      <c r="R2033" s="23" t="s">
        <v>271</v>
      </c>
      <c r="S2033" s="33">
        <v>0.3</v>
      </c>
      <c r="T2033" s="13">
        <v>520.46400000000006</v>
      </c>
      <c r="U2033" s="13">
        <v>-14.8704</v>
      </c>
      <c r="V2033" s="55">
        <f>Table3[[#This Row],[Profit]]/Table3[[#This Row],[Sales]]</f>
        <v>-2.8571428571428567E-2</v>
      </c>
    </row>
    <row r="2034" spans="1:22" x14ac:dyDescent="0.2">
      <c r="A2034">
        <v>2033</v>
      </c>
      <c r="B2034" t="s">
        <v>9781</v>
      </c>
      <c r="C2034" s="1">
        <v>43002</v>
      </c>
      <c r="D2034" s="22">
        <f>MONTH(Table3[[#This Row],[Order Date]])</f>
        <v>9</v>
      </c>
      <c r="E2034" t="s">
        <v>8184</v>
      </c>
      <c r="F2034" t="s">
        <v>8185</v>
      </c>
      <c r="G2034" s="23" t="s">
        <v>41</v>
      </c>
      <c r="H2034" s="23" t="s">
        <v>82</v>
      </c>
      <c r="I2034" t="s">
        <v>1504</v>
      </c>
      <c r="J2034" t="s">
        <v>22</v>
      </c>
      <c r="K2034" s="22">
        <v>3</v>
      </c>
      <c r="L2034" s="1">
        <v>43004</v>
      </c>
      <c r="M2034" s="22">
        <f>Table3[[#This Row],[Ship Date]]-Table3[[#This Row],[Order Date]]</f>
        <v>2</v>
      </c>
      <c r="N2034" s="23" t="s">
        <v>169</v>
      </c>
      <c r="O2034" s="23" t="s">
        <v>23</v>
      </c>
      <c r="P2034" s="23" t="s">
        <v>189</v>
      </c>
      <c r="Q2034" s="23" t="s">
        <v>95</v>
      </c>
      <c r="R2034" s="23" t="s">
        <v>271</v>
      </c>
      <c r="S2034" s="33">
        <v>0.2</v>
      </c>
      <c r="T2034" s="13">
        <v>11.423999999999999</v>
      </c>
      <c r="U2034" s="13">
        <v>3.7128000000000001</v>
      </c>
      <c r="V2034" s="55">
        <f>Table3[[#This Row],[Profit]]/Table3[[#This Row],[Sales]]</f>
        <v>0.32500000000000001</v>
      </c>
    </row>
    <row r="2035" spans="1:22" x14ac:dyDescent="0.2">
      <c r="A2035">
        <v>2034</v>
      </c>
      <c r="B2035" t="s">
        <v>9996</v>
      </c>
      <c r="C2035" s="1">
        <v>43002</v>
      </c>
      <c r="D2035" s="22">
        <f>MONTH(Table3[[#This Row],[Order Date]])</f>
        <v>9</v>
      </c>
      <c r="E2035" t="s">
        <v>4527</v>
      </c>
      <c r="F2035" t="s">
        <v>4528</v>
      </c>
      <c r="G2035" s="23" t="s">
        <v>41</v>
      </c>
      <c r="H2035" s="23" t="s">
        <v>82</v>
      </c>
      <c r="I2035" t="s">
        <v>565</v>
      </c>
      <c r="J2035" t="s">
        <v>92</v>
      </c>
      <c r="K2035" s="22">
        <v>6</v>
      </c>
      <c r="L2035" s="1">
        <v>43006</v>
      </c>
      <c r="M2035" s="22">
        <f>Table3[[#This Row],[Ship Date]]-Table3[[#This Row],[Order Date]]</f>
        <v>4</v>
      </c>
      <c r="N2035" s="23" t="s">
        <v>20</v>
      </c>
      <c r="O2035" s="23" t="s">
        <v>23</v>
      </c>
      <c r="P2035" s="23" t="s">
        <v>38</v>
      </c>
      <c r="Q2035" s="23" t="s">
        <v>39</v>
      </c>
      <c r="R2035" s="23" t="s">
        <v>114</v>
      </c>
      <c r="S2035" s="33">
        <v>0</v>
      </c>
      <c r="T2035" s="13">
        <v>31.08</v>
      </c>
      <c r="U2035" s="13">
        <v>15.229200000000001</v>
      </c>
      <c r="V2035" s="55">
        <f>Table3[[#This Row],[Profit]]/Table3[[#This Row],[Sales]]</f>
        <v>0.49000000000000005</v>
      </c>
    </row>
    <row r="2036" spans="1:22" x14ac:dyDescent="0.2">
      <c r="A2036">
        <v>2035</v>
      </c>
      <c r="B2036" t="s">
        <v>9996</v>
      </c>
      <c r="C2036" s="1">
        <v>43002</v>
      </c>
      <c r="D2036" s="22">
        <f>MONTH(Table3[[#This Row],[Order Date]])</f>
        <v>9</v>
      </c>
      <c r="E2036" t="s">
        <v>1722</v>
      </c>
      <c r="F2036" t="s">
        <v>1723</v>
      </c>
      <c r="G2036" s="23" t="s">
        <v>41</v>
      </c>
      <c r="H2036" s="23" t="s">
        <v>513</v>
      </c>
      <c r="I2036" t="s">
        <v>565</v>
      </c>
      <c r="J2036" t="s">
        <v>92</v>
      </c>
      <c r="K2036" s="22">
        <v>2</v>
      </c>
      <c r="L2036" s="1">
        <v>43006</v>
      </c>
      <c r="M2036" s="22">
        <f>Table3[[#This Row],[Ship Date]]-Table3[[#This Row],[Order Date]]</f>
        <v>4</v>
      </c>
      <c r="N2036" s="23" t="s">
        <v>20</v>
      </c>
      <c r="O2036" s="23" t="s">
        <v>23</v>
      </c>
      <c r="P2036" s="23" t="s">
        <v>38</v>
      </c>
      <c r="Q2036" s="23" t="s">
        <v>39</v>
      </c>
      <c r="R2036" s="23" t="s">
        <v>114</v>
      </c>
      <c r="S2036" s="33">
        <v>0</v>
      </c>
      <c r="T2036" s="13">
        <v>7.3</v>
      </c>
      <c r="U2036" s="13">
        <v>2.19</v>
      </c>
      <c r="V2036" s="55">
        <f>Table3[[#This Row],[Profit]]/Table3[[#This Row],[Sales]]</f>
        <v>0.3</v>
      </c>
    </row>
    <row r="2037" spans="1:22" x14ac:dyDescent="0.2">
      <c r="A2037">
        <v>2036</v>
      </c>
      <c r="B2037" t="s">
        <v>1130</v>
      </c>
      <c r="C2037" s="1">
        <v>43003</v>
      </c>
      <c r="D2037" s="22">
        <f>MONTH(Table3[[#This Row],[Order Date]])</f>
        <v>9</v>
      </c>
      <c r="E2037" t="s">
        <v>1128</v>
      </c>
      <c r="F2037" t="s">
        <v>1129</v>
      </c>
      <c r="G2037" s="23" t="s">
        <v>41</v>
      </c>
      <c r="H2037" s="23" t="s">
        <v>42</v>
      </c>
      <c r="I2037" t="s">
        <v>1131</v>
      </c>
      <c r="J2037" t="s">
        <v>22</v>
      </c>
      <c r="K2037" s="22">
        <v>2</v>
      </c>
      <c r="L2037" s="1">
        <v>43009</v>
      </c>
      <c r="M2037" s="22">
        <f>Table3[[#This Row],[Ship Date]]-Table3[[#This Row],[Order Date]]</f>
        <v>6</v>
      </c>
      <c r="N2037" s="23" t="s">
        <v>45</v>
      </c>
      <c r="O2037" s="23" t="s">
        <v>23</v>
      </c>
      <c r="P2037" s="23" t="s">
        <v>238</v>
      </c>
      <c r="Q2037" s="23" t="s">
        <v>133</v>
      </c>
      <c r="R2037" s="23" t="s">
        <v>237</v>
      </c>
      <c r="S2037" s="33">
        <v>0</v>
      </c>
      <c r="T2037" s="13">
        <v>20.7</v>
      </c>
      <c r="U2037" s="13">
        <v>9.9359999999999999</v>
      </c>
      <c r="V2037" s="55">
        <f>Table3[[#This Row],[Profit]]/Table3[[#This Row],[Sales]]</f>
        <v>0.48000000000000004</v>
      </c>
    </row>
    <row r="2038" spans="1:22" x14ac:dyDescent="0.2">
      <c r="A2038">
        <v>2037</v>
      </c>
      <c r="B2038" t="s">
        <v>1130</v>
      </c>
      <c r="C2038" s="1">
        <v>43003</v>
      </c>
      <c r="D2038" s="22">
        <f>MONTH(Table3[[#This Row],[Order Date]])</f>
        <v>9</v>
      </c>
      <c r="E2038" t="s">
        <v>1132</v>
      </c>
      <c r="F2038" t="s">
        <v>1133</v>
      </c>
      <c r="G2038" s="23" t="s">
        <v>28</v>
      </c>
      <c r="H2038" s="23" t="s">
        <v>32</v>
      </c>
      <c r="I2038" t="s">
        <v>1131</v>
      </c>
      <c r="J2038" t="s">
        <v>22</v>
      </c>
      <c r="K2038" s="22">
        <v>3</v>
      </c>
      <c r="L2038" s="1">
        <v>43009</v>
      </c>
      <c r="M2038" s="22">
        <f>Table3[[#This Row],[Ship Date]]-Table3[[#This Row],[Order Date]]</f>
        <v>6</v>
      </c>
      <c r="N2038" s="23" t="s">
        <v>45</v>
      </c>
      <c r="O2038" s="23" t="s">
        <v>23</v>
      </c>
      <c r="P2038" s="23" t="s">
        <v>238</v>
      </c>
      <c r="Q2038" s="23" t="s">
        <v>133</v>
      </c>
      <c r="R2038" s="23" t="s">
        <v>237</v>
      </c>
      <c r="S2038" s="33">
        <v>0.1</v>
      </c>
      <c r="T2038" s="13">
        <v>488.64600000000002</v>
      </c>
      <c r="U2038" s="13">
        <v>86.870400000000004</v>
      </c>
      <c r="V2038" s="55">
        <f>Table3[[#This Row],[Profit]]/Table3[[#This Row],[Sales]]</f>
        <v>0.17777777777777778</v>
      </c>
    </row>
    <row r="2039" spans="1:22" x14ac:dyDescent="0.2">
      <c r="A2039">
        <v>2038</v>
      </c>
      <c r="B2039" t="s">
        <v>1130</v>
      </c>
      <c r="C2039" s="1">
        <v>43003</v>
      </c>
      <c r="D2039" s="22">
        <f>MONTH(Table3[[#This Row],[Order Date]])</f>
        <v>9</v>
      </c>
      <c r="E2039" t="s">
        <v>1134</v>
      </c>
      <c r="F2039" t="s">
        <v>1135</v>
      </c>
      <c r="G2039" s="23" t="s">
        <v>41</v>
      </c>
      <c r="H2039" s="23" t="s">
        <v>61</v>
      </c>
      <c r="I2039" t="s">
        <v>1131</v>
      </c>
      <c r="J2039" t="s">
        <v>22</v>
      </c>
      <c r="K2039" s="22">
        <v>2</v>
      </c>
      <c r="L2039" s="1">
        <v>43009</v>
      </c>
      <c r="M2039" s="22">
        <f>Table3[[#This Row],[Ship Date]]-Table3[[#This Row],[Order Date]]</f>
        <v>6</v>
      </c>
      <c r="N2039" s="23" t="s">
        <v>45</v>
      </c>
      <c r="O2039" s="23" t="s">
        <v>23</v>
      </c>
      <c r="P2039" s="23" t="s">
        <v>238</v>
      </c>
      <c r="Q2039" s="23" t="s">
        <v>133</v>
      </c>
      <c r="R2039" s="23" t="s">
        <v>237</v>
      </c>
      <c r="S2039" s="33">
        <v>0</v>
      </c>
      <c r="T2039" s="13">
        <v>5.56</v>
      </c>
      <c r="U2039" s="13">
        <v>1.4456</v>
      </c>
      <c r="V2039" s="55">
        <f>Table3[[#This Row],[Profit]]/Table3[[#This Row],[Sales]]</f>
        <v>0.26</v>
      </c>
    </row>
    <row r="2040" spans="1:22" x14ac:dyDescent="0.2">
      <c r="A2040">
        <v>2039</v>
      </c>
      <c r="B2040" t="s">
        <v>1130</v>
      </c>
      <c r="C2040" s="1">
        <v>43003</v>
      </c>
      <c r="D2040" s="22">
        <f>MONTH(Table3[[#This Row],[Order Date]])</f>
        <v>9</v>
      </c>
      <c r="E2040" t="s">
        <v>1136</v>
      </c>
      <c r="F2040" t="s">
        <v>1137</v>
      </c>
      <c r="G2040" s="23" t="s">
        <v>28</v>
      </c>
      <c r="H2040" s="23" t="s">
        <v>58</v>
      </c>
      <c r="I2040" t="s">
        <v>1131</v>
      </c>
      <c r="J2040" t="s">
        <v>22</v>
      </c>
      <c r="K2040" s="22">
        <v>8</v>
      </c>
      <c r="L2040" s="1">
        <v>43009</v>
      </c>
      <c r="M2040" s="22">
        <f>Table3[[#This Row],[Ship Date]]-Table3[[#This Row],[Order Date]]</f>
        <v>6</v>
      </c>
      <c r="N2040" s="23" t="s">
        <v>45</v>
      </c>
      <c r="O2040" s="23" t="s">
        <v>23</v>
      </c>
      <c r="P2040" s="23" t="s">
        <v>238</v>
      </c>
      <c r="Q2040" s="23" t="s">
        <v>133</v>
      </c>
      <c r="R2040" s="23" t="s">
        <v>237</v>
      </c>
      <c r="S2040" s="33">
        <v>0</v>
      </c>
      <c r="T2040" s="13">
        <v>47.12</v>
      </c>
      <c r="U2040" s="13">
        <v>20.732800000000001</v>
      </c>
      <c r="V2040" s="55">
        <f>Table3[[#This Row],[Profit]]/Table3[[#This Row],[Sales]]</f>
        <v>0.44000000000000006</v>
      </c>
    </row>
    <row r="2041" spans="1:22" x14ac:dyDescent="0.2">
      <c r="A2041">
        <v>2040</v>
      </c>
      <c r="B2041" t="s">
        <v>4352</v>
      </c>
      <c r="C2041" s="1">
        <v>43003</v>
      </c>
      <c r="D2041" s="22">
        <f>MONTH(Table3[[#This Row],[Order Date]])</f>
        <v>9</v>
      </c>
      <c r="E2041" t="s">
        <v>2966</v>
      </c>
      <c r="F2041" t="s">
        <v>2967</v>
      </c>
      <c r="G2041" s="23" t="s">
        <v>41</v>
      </c>
      <c r="H2041" s="23" t="s">
        <v>68</v>
      </c>
      <c r="I2041" t="s">
        <v>4353</v>
      </c>
      <c r="J2041" t="s">
        <v>22</v>
      </c>
      <c r="K2041" s="22">
        <v>2</v>
      </c>
      <c r="L2041" s="1">
        <v>43007</v>
      </c>
      <c r="M2041" s="22">
        <f>Table3[[#This Row],[Ship Date]]-Table3[[#This Row],[Order Date]]</f>
        <v>4</v>
      </c>
      <c r="N2041" s="23" t="s">
        <v>45</v>
      </c>
      <c r="O2041" s="23" t="s">
        <v>23</v>
      </c>
      <c r="P2041" s="23" t="s">
        <v>204</v>
      </c>
      <c r="Q2041" s="23" t="s">
        <v>95</v>
      </c>
      <c r="R2041" s="23" t="s">
        <v>347</v>
      </c>
      <c r="S2041" s="33">
        <v>0</v>
      </c>
      <c r="T2041" s="13">
        <v>8.26</v>
      </c>
      <c r="U2041" s="13">
        <v>3.8822000000000001</v>
      </c>
      <c r="V2041" s="55">
        <f>Table3[[#This Row],[Profit]]/Table3[[#This Row],[Sales]]</f>
        <v>0.47000000000000003</v>
      </c>
    </row>
    <row r="2042" spans="1:22" x14ac:dyDescent="0.2">
      <c r="A2042">
        <v>2041</v>
      </c>
      <c r="B2042" t="s">
        <v>4352</v>
      </c>
      <c r="C2042" s="1">
        <v>43003</v>
      </c>
      <c r="D2042" s="22">
        <f>MONTH(Table3[[#This Row],[Order Date]])</f>
        <v>9</v>
      </c>
      <c r="E2042" t="s">
        <v>233</v>
      </c>
      <c r="F2042" t="s">
        <v>234</v>
      </c>
      <c r="G2042" s="23" t="s">
        <v>28</v>
      </c>
      <c r="H2042" s="23" t="s">
        <v>32</v>
      </c>
      <c r="I2042" t="s">
        <v>4353</v>
      </c>
      <c r="J2042" t="s">
        <v>22</v>
      </c>
      <c r="K2042" s="22">
        <v>3</v>
      </c>
      <c r="L2042" s="1">
        <v>43007</v>
      </c>
      <c r="M2042" s="22">
        <f>Table3[[#This Row],[Ship Date]]-Table3[[#This Row],[Order Date]]</f>
        <v>4</v>
      </c>
      <c r="N2042" s="23" t="s">
        <v>45</v>
      </c>
      <c r="O2042" s="23" t="s">
        <v>23</v>
      </c>
      <c r="P2042" s="23" t="s">
        <v>204</v>
      </c>
      <c r="Q2042" s="23" t="s">
        <v>95</v>
      </c>
      <c r="R2042" s="23" t="s">
        <v>347</v>
      </c>
      <c r="S2042" s="33">
        <v>0</v>
      </c>
      <c r="T2042" s="13">
        <v>269.97000000000003</v>
      </c>
      <c r="U2042" s="13">
        <v>51.2943</v>
      </c>
      <c r="V2042" s="55">
        <f>Table3[[#This Row],[Profit]]/Table3[[#This Row],[Sales]]</f>
        <v>0.18999999999999997</v>
      </c>
    </row>
    <row r="2043" spans="1:22" x14ac:dyDescent="0.2">
      <c r="A2043">
        <v>2042</v>
      </c>
      <c r="B2043" t="s">
        <v>5669</v>
      </c>
      <c r="C2043" s="1">
        <v>43003</v>
      </c>
      <c r="D2043" s="22">
        <f>MONTH(Table3[[#This Row],[Order Date]])</f>
        <v>9</v>
      </c>
      <c r="E2043" t="s">
        <v>897</v>
      </c>
      <c r="F2043" t="s">
        <v>898</v>
      </c>
      <c r="G2043" s="23" t="s">
        <v>64</v>
      </c>
      <c r="H2043" s="23" t="s">
        <v>144</v>
      </c>
      <c r="I2043" t="s">
        <v>1379</v>
      </c>
      <c r="J2043" t="s">
        <v>22</v>
      </c>
      <c r="K2043" s="22">
        <v>5</v>
      </c>
      <c r="L2043" s="1">
        <v>43005</v>
      </c>
      <c r="M2043" s="22">
        <f>Table3[[#This Row],[Ship Date]]-Table3[[#This Row],[Order Date]]</f>
        <v>2</v>
      </c>
      <c r="N2043" s="23" t="s">
        <v>20</v>
      </c>
      <c r="O2043" s="23" t="s">
        <v>23</v>
      </c>
      <c r="P2043" s="23" t="s">
        <v>441</v>
      </c>
      <c r="Q2043" s="23" t="s">
        <v>133</v>
      </c>
      <c r="R2043" s="23" t="s">
        <v>887</v>
      </c>
      <c r="S2043" s="33">
        <v>0.2</v>
      </c>
      <c r="T2043" s="13">
        <v>119.96</v>
      </c>
      <c r="U2043" s="13">
        <v>35.988</v>
      </c>
      <c r="V2043" s="55">
        <f>Table3[[#This Row],[Profit]]/Table3[[#This Row],[Sales]]</f>
        <v>0.3</v>
      </c>
    </row>
    <row r="2044" spans="1:22" x14ac:dyDescent="0.2">
      <c r="A2044">
        <v>2043</v>
      </c>
      <c r="B2044" t="s">
        <v>5669</v>
      </c>
      <c r="C2044" s="1">
        <v>43003</v>
      </c>
      <c r="D2044" s="22">
        <f>MONTH(Table3[[#This Row],[Order Date]])</f>
        <v>9</v>
      </c>
      <c r="E2044" t="s">
        <v>566</v>
      </c>
      <c r="F2044" t="s">
        <v>567</v>
      </c>
      <c r="G2044" s="23" t="s">
        <v>41</v>
      </c>
      <c r="H2044" s="23" t="s">
        <v>61</v>
      </c>
      <c r="I2044" t="s">
        <v>1379</v>
      </c>
      <c r="J2044" t="s">
        <v>22</v>
      </c>
      <c r="K2044" s="22">
        <v>6</v>
      </c>
      <c r="L2044" s="1">
        <v>43005</v>
      </c>
      <c r="M2044" s="22">
        <f>Table3[[#This Row],[Ship Date]]-Table3[[#This Row],[Order Date]]</f>
        <v>2</v>
      </c>
      <c r="N2044" s="23" t="s">
        <v>20</v>
      </c>
      <c r="O2044" s="23" t="s">
        <v>23</v>
      </c>
      <c r="P2044" s="23" t="s">
        <v>441</v>
      </c>
      <c r="Q2044" s="23" t="s">
        <v>133</v>
      </c>
      <c r="R2044" s="23" t="s">
        <v>887</v>
      </c>
      <c r="S2044" s="33">
        <v>0.2</v>
      </c>
      <c r="T2044" s="13">
        <v>10.608000000000001</v>
      </c>
      <c r="U2044" s="13">
        <v>0.92820000000000003</v>
      </c>
      <c r="V2044" s="55">
        <f>Table3[[#This Row],[Profit]]/Table3[[#This Row],[Sales]]</f>
        <v>8.7499999999999994E-2</v>
      </c>
    </row>
    <row r="2045" spans="1:22" x14ac:dyDescent="0.2">
      <c r="A2045">
        <v>2044</v>
      </c>
      <c r="B2045" t="s">
        <v>7276</v>
      </c>
      <c r="C2045" s="1">
        <v>43003</v>
      </c>
      <c r="D2045" s="22">
        <f>MONTH(Table3[[#This Row],[Order Date]])</f>
        <v>9</v>
      </c>
      <c r="E2045" t="s">
        <v>2959</v>
      </c>
      <c r="F2045" t="s">
        <v>2960</v>
      </c>
      <c r="G2045" s="23" t="s">
        <v>41</v>
      </c>
      <c r="H2045" s="23" t="s">
        <v>53</v>
      </c>
      <c r="I2045" t="s">
        <v>4965</v>
      </c>
      <c r="J2045" t="s">
        <v>36</v>
      </c>
      <c r="K2045" s="22">
        <v>5</v>
      </c>
      <c r="L2045" s="1">
        <v>43006</v>
      </c>
      <c r="M2045" s="22">
        <f>Table3[[#This Row],[Ship Date]]-Table3[[#This Row],[Order Date]]</f>
        <v>3</v>
      </c>
      <c r="N2045" s="23" t="s">
        <v>169</v>
      </c>
      <c r="O2045" s="23" t="s">
        <v>23</v>
      </c>
      <c r="P2045" s="23" t="s">
        <v>1561</v>
      </c>
      <c r="Q2045" s="23" t="s">
        <v>39</v>
      </c>
      <c r="R2045" s="23" t="s">
        <v>7277</v>
      </c>
      <c r="S2045" s="33">
        <v>0</v>
      </c>
      <c r="T2045" s="13">
        <v>39.9</v>
      </c>
      <c r="U2045" s="13">
        <v>10.374000000000001</v>
      </c>
      <c r="V2045" s="55">
        <f>Table3[[#This Row],[Profit]]/Table3[[#This Row],[Sales]]</f>
        <v>0.26</v>
      </c>
    </row>
    <row r="2046" spans="1:22" x14ac:dyDescent="0.2">
      <c r="A2046">
        <v>2045</v>
      </c>
      <c r="B2046" t="s">
        <v>7675</v>
      </c>
      <c r="C2046" s="1">
        <v>43003</v>
      </c>
      <c r="D2046" s="22">
        <f>MONTH(Table3[[#This Row],[Order Date]])</f>
        <v>9</v>
      </c>
      <c r="E2046" t="s">
        <v>2894</v>
      </c>
      <c r="F2046" t="s">
        <v>2895</v>
      </c>
      <c r="G2046" s="23" t="s">
        <v>41</v>
      </c>
      <c r="H2046" s="23" t="s">
        <v>53</v>
      </c>
      <c r="I2046" t="s">
        <v>1158</v>
      </c>
      <c r="J2046" t="s">
        <v>22</v>
      </c>
      <c r="K2046" s="22">
        <v>5</v>
      </c>
      <c r="L2046" s="1">
        <v>43007</v>
      </c>
      <c r="M2046" s="22">
        <f>Table3[[#This Row],[Ship Date]]-Table3[[#This Row],[Order Date]]</f>
        <v>4</v>
      </c>
      <c r="N2046" s="23" t="s">
        <v>45</v>
      </c>
      <c r="O2046" s="23" t="s">
        <v>23</v>
      </c>
      <c r="P2046" s="23" t="s">
        <v>285</v>
      </c>
      <c r="Q2046" s="23" t="s">
        <v>26</v>
      </c>
      <c r="R2046" s="23" t="s">
        <v>1294</v>
      </c>
      <c r="S2046" s="33">
        <v>0</v>
      </c>
      <c r="T2046" s="13">
        <v>177.55</v>
      </c>
      <c r="U2046" s="13">
        <v>47.938499999999998</v>
      </c>
      <c r="V2046" s="55">
        <f>Table3[[#This Row],[Profit]]/Table3[[#This Row],[Sales]]</f>
        <v>0.26999999999999996</v>
      </c>
    </row>
    <row r="2047" spans="1:22" x14ac:dyDescent="0.2">
      <c r="A2047">
        <v>2046</v>
      </c>
      <c r="B2047" t="s">
        <v>8501</v>
      </c>
      <c r="C2047" s="1">
        <v>43003</v>
      </c>
      <c r="D2047" s="22">
        <f>MONTH(Table3[[#This Row],[Order Date]])</f>
        <v>9</v>
      </c>
      <c r="E2047" t="s">
        <v>6008</v>
      </c>
      <c r="F2047" t="s">
        <v>6009</v>
      </c>
      <c r="G2047" s="23" t="s">
        <v>41</v>
      </c>
      <c r="H2047" s="23" t="s">
        <v>68</v>
      </c>
      <c r="I2047" t="s">
        <v>2486</v>
      </c>
      <c r="J2047" t="s">
        <v>36</v>
      </c>
      <c r="K2047" s="22">
        <v>5</v>
      </c>
      <c r="L2047" s="1">
        <v>43006</v>
      </c>
      <c r="M2047" s="22">
        <f>Table3[[#This Row],[Ship Date]]-Table3[[#This Row],[Order Date]]</f>
        <v>3</v>
      </c>
      <c r="N2047" s="23" t="s">
        <v>169</v>
      </c>
      <c r="O2047" s="23" t="s">
        <v>23</v>
      </c>
      <c r="P2047" s="23" t="s">
        <v>132</v>
      </c>
      <c r="Q2047" s="23" t="s">
        <v>133</v>
      </c>
      <c r="R2047" s="23" t="s">
        <v>1983</v>
      </c>
      <c r="S2047" s="33">
        <v>0.7</v>
      </c>
      <c r="T2047" s="13">
        <v>8.5950000000000006</v>
      </c>
      <c r="U2047" s="13">
        <v>-6.3029999999999999</v>
      </c>
      <c r="V2047" s="55">
        <f>Table3[[#This Row],[Profit]]/Table3[[#This Row],[Sales]]</f>
        <v>-0.73333333333333328</v>
      </c>
    </row>
    <row r="2048" spans="1:22" x14ac:dyDescent="0.2">
      <c r="A2048">
        <v>2047</v>
      </c>
      <c r="B2048" t="s">
        <v>8501</v>
      </c>
      <c r="C2048" s="1">
        <v>43003</v>
      </c>
      <c r="D2048" s="22">
        <f>MONTH(Table3[[#This Row],[Order Date]])</f>
        <v>9</v>
      </c>
      <c r="E2048" t="s">
        <v>5247</v>
      </c>
      <c r="F2048" t="s">
        <v>5248</v>
      </c>
      <c r="G2048" s="23" t="s">
        <v>41</v>
      </c>
      <c r="H2048" s="23" t="s">
        <v>513</v>
      </c>
      <c r="I2048" t="s">
        <v>2486</v>
      </c>
      <c r="J2048" t="s">
        <v>36</v>
      </c>
      <c r="K2048" s="22">
        <v>2</v>
      </c>
      <c r="L2048" s="1">
        <v>43006</v>
      </c>
      <c r="M2048" s="22">
        <f>Table3[[#This Row],[Ship Date]]-Table3[[#This Row],[Order Date]]</f>
        <v>3</v>
      </c>
      <c r="N2048" s="23" t="s">
        <v>169</v>
      </c>
      <c r="O2048" s="23" t="s">
        <v>23</v>
      </c>
      <c r="P2048" s="23" t="s">
        <v>132</v>
      </c>
      <c r="Q2048" s="23" t="s">
        <v>133</v>
      </c>
      <c r="R2048" s="23" t="s">
        <v>1983</v>
      </c>
      <c r="S2048" s="33">
        <v>0.2</v>
      </c>
      <c r="T2048" s="13">
        <v>190.89599999999999</v>
      </c>
      <c r="U2048" s="13">
        <v>-42.951599999999999</v>
      </c>
      <c r="V2048" s="55">
        <f>Table3[[#This Row],[Profit]]/Table3[[#This Row],[Sales]]</f>
        <v>-0.22500000000000001</v>
      </c>
    </row>
    <row r="2049" spans="1:22" x14ac:dyDescent="0.2">
      <c r="A2049">
        <v>2048</v>
      </c>
      <c r="B2049" t="s">
        <v>8935</v>
      </c>
      <c r="C2049" s="1">
        <v>43003</v>
      </c>
      <c r="D2049" s="22">
        <f>MONTH(Table3[[#This Row],[Order Date]])</f>
        <v>9</v>
      </c>
      <c r="E2049" t="s">
        <v>2268</v>
      </c>
      <c r="F2049" t="s">
        <v>2269</v>
      </c>
      <c r="G2049" s="23" t="s">
        <v>41</v>
      </c>
      <c r="H2049" s="23" t="s">
        <v>155</v>
      </c>
      <c r="I2049" t="s">
        <v>5355</v>
      </c>
      <c r="J2049" t="s">
        <v>36</v>
      </c>
      <c r="K2049" s="22">
        <v>4</v>
      </c>
      <c r="L2049" s="1">
        <v>43007</v>
      </c>
      <c r="M2049" s="22">
        <f>Table3[[#This Row],[Ship Date]]-Table3[[#This Row],[Order Date]]</f>
        <v>4</v>
      </c>
      <c r="N2049" s="23" t="s">
        <v>45</v>
      </c>
      <c r="O2049" s="23" t="s">
        <v>23</v>
      </c>
      <c r="P2049" s="23" t="s">
        <v>441</v>
      </c>
      <c r="Q2049" s="23" t="s">
        <v>133</v>
      </c>
      <c r="R2049" s="23" t="s">
        <v>990</v>
      </c>
      <c r="S2049" s="33">
        <v>0.2</v>
      </c>
      <c r="T2049" s="13">
        <v>24.448</v>
      </c>
      <c r="U2049" s="13">
        <v>8.8623999999999992</v>
      </c>
      <c r="V2049" s="55">
        <f>Table3[[#This Row],[Profit]]/Table3[[#This Row],[Sales]]</f>
        <v>0.36249999999999993</v>
      </c>
    </row>
    <row r="2050" spans="1:22" x14ac:dyDescent="0.2">
      <c r="A2050">
        <v>2049</v>
      </c>
      <c r="B2050" t="s">
        <v>6860</v>
      </c>
      <c r="C2050" s="1">
        <v>43004</v>
      </c>
      <c r="D2050" s="22">
        <f>MONTH(Table3[[#This Row],[Order Date]])</f>
        <v>9</v>
      </c>
      <c r="E2050" t="s">
        <v>6240</v>
      </c>
      <c r="F2050" t="s">
        <v>6241</v>
      </c>
      <c r="G2050" s="23" t="s">
        <v>28</v>
      </c>
      <c r="H2050" s="23" t="s">
        <v>32</v>
      </c>
      <c r="I2050" t="s">
        <v>2341</v>
      </c>
      <c r="J2050" t="s">
        <v>92</v>
      </c>
      <c r="K2050" s="22">
        <v>4</v>
      </c>
      <c r="L2050" s="1">
        <v>43008</v>
      </c>
      <c r="M2050" s="22">
        <f>Table3[[#This Row],[Ship Date]]-Table3[[#This Row],[Order Date]]</f>
        <v>4</v>
      </c>
      <c r="N2050" s="23" t="s">
        <v>45</v>
      </c>
      <c r="O2050" s="23" t="s">
        <v>23</v>
      </c>
      <c r="P2050" s="23" t="s">
        <v>48</v>
      </c>
      <c r="Q2050" s="23" t="s">
        <v>26</v>
      </c>
      <c r="R2050" s="23" t="s">
        <v>6467</v>
      </c>
      <c r="S2050" s="33">
        <v>0.2</v>
      </c>
      <c r="T2050" s="13">
        <v>419.13600000000002</v>
      </c>
      <c r="U2050" s="13">
        <v>-57.6312</v>
      </c>
      <c r="V2050" s="55">
        <f>Table3[[#This Row],[Profit]]/Table3[[#This Row],[Sales]]</f>
        <v>-0.13749999999999998</v>
      </c>
    </row>
    <row r="2051" spans="1:22" x14ac:dyDescent="0.2">
      <c r="A2051">
        <v>2050</v>
      </c>
      <c r="B2051" t="s">
        <v>8742</v>
      </c>
      <c r="C2051" s="1">
        <v>43004</v>
      </c>
      <c r="D2051" s="22">
        <f>MONTH(Table3[[#This Row],[Order Date]])</f>
        <v>9</v>
      </c>
      <c r="E2051" t="s">
        <v>6352</v>
      </c>
      <c r="F2051" t="s">
        <v>591</v>
      </c>
      <c r="G2051" s="23" t="s">
        <v>41</v>
      </c>
      <c r="H2051" s="23" t="s">
        <v>155</v>
      </c>
      <c r="I2051" t="s">
        <v>193</v>
      </c>
      <c r="J2051" t="s">
        <v>36</v>
      </c>
      <c r="K2051" s="22">
        <v>6</v>
      </c>
      <c r="L2051" s="1">
        <v>43004</v>
      </c>
      <c r="M2051" s="22">
        <f>Table3[[#This Row],[Ship Date]]-Table3[[#This Row],[Order Date]]</f>
        <v>0</v>
      </c>
      <c r="N2051" s="23" t="s">
        <v>1141</v>
      </c>
      <c r="O2051" s="23" t="s">
        <v>23</v>
      </c>
      <c r="P2051" s="23" t="s">
        <v>38</v>
      </c>
      <c r="Q2051" s="23" t="s">
        <v>39</v>
      </c>
      <c r="R2051" s="23" t="s">
        <v>114</v>
      </c>
      <c r="S2051" s="33">
        <v>0</v>
      </c>
      <c r="T2051" s="13">
        <v>71.88</v>
      </c>
      <c r="U2051" s="13">
        <v>33.064799999999998</v>
      </c>
      <c r="V2051" s="55">
        <f>Table3[[#This Row],[Profit]]/Table3[[#This Row],[Sales]]</f>
        <v>0.46</v>
      </c>
    </row>
    <row r="2052" spans="1:22" x14ac:dyDescent="0.2">
      <c r="A2052">
        <v>2051</v>
      </c>
      <c r="B2052" t="s">
        <v>8742</v>
      </c>
      <c r="C2052" s="1">
        <v>43004</v>
      </c>
      <c r="D2052" s="22">
        <f>MONTH(Table3[[#This Row],[Order Date]])</f>
        <v>9</v>
      </c>
      <c r="E2052" t="s">
        <v>5118</v>
      </c>
      <c r="F2052" t="s">
        <v>5119</v>
      </c>
      <c r="G2052" s="23" t="s">
        <v>28</v>
      </c>
      <c r="H2052" s="23" t="s">
        <v>58</v>
      </c>
      <c r="I2052" t="s">
        <v>193</v>
      </c>
      <c r="J2052" t="s">
        <v>36</v>
      </c>
      <c r="K2052" s="22">
        <v>3</v>
      </c>
      <c r="L2052" s="1">
        <v>43004</v>
      </c>
      <c r="M2052" s="22">
        <f>Table3[[#This Row],[Ship Date]]-Table3[[#This Row],[Order Date]]</f>
        <v>0</v>
      </c>
      <c r="N2052" s="23" t="s">
        <v>1141</v>
      </c>
      <c r="O2052" s="23" t="s">
        <v>23</v>
      </c>
      <c r="P2052" s="23" t="s">
        <v>38</v>
      </c>
      <c r="Q2052" s="23" t="s">
        <v>39</v>
      </c>
      <c r="R2052" s="23" t="s">
        <v>114</v>
      </c>
      <c r="S2052" s="33">
        <v>0</v>
      </c>
      <c r="T2052" s="13">
        <v>9.24</v>
      </c>
      <c r="U2052" s="13">
        <v>2.9567999999999999</v>
      </c>
      <c r="V2052" s="55">
        <f>Table3[[#This Row],[Profit]]/Table3[[#This Row],[Sales]]</f>
        <v>0.31999999999999995</v>
      </c>
    </row>
    <row r="2053" spans="1:22" x14ac:dyDescent="0.2">
      <c r="A2053">
        <v>2052</v>
      </c>
      <c r="B2053" t="s">
        <v>8742</v>
      </c>
      <c r="C2053" s="1">
        <v>43004</v>
      </c>
      <c r="D2053" s="22">
        <f>MONTH(Table3[[#This Row],[Order Date]])</f>
        <v>9</v>
      </c>
      <c r="E2053" t="s">
        <v>4949</v>
      </c>
      <c r="F2053" t="s">
        <v>4950</v>
      </c>
      <c r="G2053" s="23" t="s">
        <v>41</v>
      </c>
      <c r="H2053" s="23" t="s">
        <v>82</v>
      </c>
      <c r="I2053" t="s">
        <v>193</v>
      </c>
      <c r="J2053" t="s">
        <v>36</v>
      </c>
      <c r="K2053" s="22">
        <v>6</v>
      </c>
      <c r="L2053" s="1">
        <v>43004</v>
      </c>
      <c r="M2053" s="22">
        <f>Table3[[#This Row],[Ship Date]]-Table3[[#This Row],[Order Date]]</f>
        <v>0</v>
      </c>
      <c r="N2053" s="23" t="s">
        <v>1141</v>
      </c>
      <c r="O2053" s="23" t="s">
        <v>23</v>
      </c>
      <c r="P2053" s="23" t="s">
        <v>38</v>
      </c>
      <c r="Q2053" s="23" t="s">
        <v>39</v>
      </c>
      <c r="R2053" s="23" t="s">
        <v>114</v>
      </c>
      <c r="S2053" s="33">
        <v>0</v>
      </c>
      <c r="T2053" s="13">
        <v>35.880000000000003</v>
      </c>
      <c r="U2053" s="13">
        <v>16.146000000000001</v>
      </c>
      <c r="V2053" s="55">
        <f>Table3[[#This Row],[Profit]]/Table3[[#This Row],[Sales]]</f>
        <v>0.45</v>
      </c>
    </row>
    <row r="2054" spans="1:22" x14ac:dyDescent="0.2">
      <c r="A2054">
        <v>2053</v>
      </c>
      <c r="B2054" t="s">
        <v>8742</v>
      </c>
      <c r="C2054" s="1">
        <v>43004</v>
      </c>
      <c r="D2054" s="22">
        <f>MONTH(Table3[[#This Row],[Order Date]])</f>
        <v>9</v>
      </c>
      <c r="E2054" t="s">
        <v>119</v>
      </c>
      <c r="F2054" t="s">
        <v>120</v>
      </c>
      <c r="G2054" s="23" t="s">
        <v>41</v>
      </c>
      <c r="H2054" s="23" t="s">
        <v>68</v>
      </c>
      <c r="I2054" t="s">
        <v>193</v>
      </c>
      <c r="J2054" t="s">
        <v>36</v>
      </c>
      <c r="K2054" s="22">
        <v>3</v>
      </c>
      <c r="L2054" s="1">
        <v>43004</v>
      </c>
      <c r="M2054" s="22">
        <f>Table3[[#This Row],[Ship Date]]-Table3[[#This Row],[Order Date]]</f>
        <v>0</v>
      </c>
      <c r="N2054" s="23" t="s">
        <v>1141</v>
      </c>
      <c r="O2054" s="23" t="s">
        <v>23</v>
      </c>
      <c r="P2054" s="23" t="s">
        <v>38</v>
      </c>
      <c r="Q2054" s="23" t="s">
        <v>39</v>
      </c>
      <c r="R2054" s="23" t="s">
        <v>114</v>
      </c>
      <c r="S2054" s="33">
        <v>0.2</v>
      </c>
      <c r="T2054" s="13">
        <v>17.04</v>
      </c>
      <c r="U2054" s="13">
        <v>5.5380000000000003</v>
      </c>
      <c r="V2054" s="55">
        <f>Table3[[#This Row],[Profit]]/Table3[[#This Row],[Sales]]</f>
        <v>0.32500000000000001</v>
      </c>
    </row>
    <row r="2055" spans="1:22" x14ac:dyDescent="0.2">
      <c r="A2055">
        <v>2054</v>
      </c>
      <c r="B2055" t="s">
        <v>8742</v>
      </c>
      <c r="C2055" s="1">
        <v>43004</v>
      </c>
      <c r="D2055" s="22">
        <f>MONTH(Table3[[#This Row],[Order Date]])</f>
        <v>9</v>
      </c>
      <c r="E2055" t="s">
        <v>2622</v>
      </c>
      <c r="F2055" t="s">
        <v>2623</v>
      </c>
      <c r="G2055" s="23" t="s">
        <v>41</v>
      </c>
      <c r="H2055" s="23" t="s">
        <v>68</v>
      </c>
      <c r="I2055" t="s">
        <v>193</v>
      </c>
      <c r="J2055" t="s">
        <v>36</v>
      </c>
      <c r="K2055" s="22">
        <v>3</v>
      </c>
      <c r="L2055" s="1">
        <v>43004</v>
      </c>
      <c r="M2055" s="22">
        <f>Table3[[#This Row],[Ship Date]]-Table3[[#This Row],[Order Date]]</f>
        <v>0</v>
      </c>
      <c r="N2055" s="23" t="s">
        <v>1141</v>
      </c>
      <c r="O2055" s="23" t="s">
        <v>23</v>
      </c>
      <c r="P2055" s="23" t="s">
        <v>38</v>
      </c>
      <c r="Q2055" s="23" t="s">
        <v>39</v>
      </c>
      <c r="R2055" s="23" t="s">
        <v>114</v>
      </c>
      <c r="S2055" s="33">
        <v>0.2</v>
      </c>
      <c r="T2055" s="13">
        <v>931.17600000000004</v>
      </c>
      <c r="U2055" s="13">
        <v>314.27190000000002</v>
      </c>
      <c r="V2055" s="55">
        <f>Table3[[#This Row],[Profit]]/Table3[[#This Row],[Sales]]</f>
        <v>0.33750000000000002</v>
      </c>
    </row>
    <row r="2056" spans="1:22" x14ac:dyDescent="0.2">
      <c r="A2056">
        <v>2055</v>
      </c>
      <c r="B2056" t="s">
        <v>8874</v>
      </c>
      <c r="C2056" s="1">
        <v>43004</v>
      </c>
      <c r="D2056" s="22">
        <f>MONTH(Table3[[#This Row],[Order Date]])</f>
        <v>9</v>
      </c>
      <c r="E2056" t="s">
        <v>3725</v>
      </c>
      <c r="F2056" t="s">
        <v>3726</v>
      </c>
      <c r="G2056" s="23" t="s">
        <v>41</v>
      </c>
      <c r="H2056" s="23" t="s">
        <v>61</v>
      </c>
      <c r="I2056" t="s">
        <v>2614</v>
      </c>
      <c r="J2056" t="s">
        <v>92</v>
      </c>
      <c r="K2056" s="22">
        <v>1</v>
      </c>
      <c r="L2056" s="1">
        <v>43006</v>
      </c>
      <c r="M2056" s="22">
        <f>Table3[[#This Row],[Ship Date]]-Table3[[#This Row],[Order Date]]</f>
        <v>2</v>
      </c>
      <c r="N2056" s="23" t="s">
        <v>169</v>
      </c>
      <c r="O2056" s="23" t="s">
        <v>23</v>
      </c>
      <c r="P2056" s="23" t="s">
        <v>374</v>
      </c>
      <c r="Q2056" s="23" t="s">
        <v>39</v>
      </c>
      <c r="R2056" s="23" t="s">
        <v>1744</v>
      </c>
      <c r="S2056" s="33">
        <v>0.2</v>
      </c>
      <c r="T2056" s="13">
        <v>2.2240000000000002</v>
      </c>
      <c r="U2056" s="13">
        <v>0.55600000000000005</v>
      </c>
      <c r="V2056" s="55">
        <f>Table3[[#This Row],[Profit]]/Table3[[#This Row],[Sales]]</f>
        <v>0.25</v>
      </c>
    </row>
    <row r="2057" spans="1:22" x14ac:dyDescent="0.2">
      <c r="A2057">
        <v>2056</v>
      </c>
      <c r="B2057" t="s">
        <v>2774</v>
      </c>
      <c r="C2057" s="1">
        <v>43006</v>
      </c>
      <c r="D2057" s="22">
        <f>MONTH(Table3[[#This Row],[Order Date]])</f>
        <v>9</v>
      </c>
      <c r="E2057" t="s">
        <v>1653</v>
      </c>
      <c r="F2057" t="s">
        <v>1147</v>
      </c>
      <c r="G2057" s="23" t="s">
        <v>41</v>
      </c>
      <c r="H2057" s="23" t="s">
        <v>513</v>
      </c>
      <c r="I2057" t="s">
        <v>2775</v>
      </c>
      <c r="J2057" t="s">
        <v>22</v>
      </c>
      <c r="K2057" s="22">
        <v>1</v>
      </c>
      <c r="L2057" s="1">
        <v>43008</v>
      </c>
      <c r="M2057" s="22">
        <f>Table3[[#This Row],[Ship Date]]-Table3[[#This Row],[Order Date]]</f>
        <v>2</v>
      </c>
      <c r="N2057" s="23" t="s">
        <v>20</v>
      </c>
      <c r="O2057" s="23" t="s">
        <v>23</v>
      </c>
      <c r="P2057" s="23" t="s">
        <v>94</v>
      </c>
      <c r="Q2057" s="23" t="s">
        <v>95</v>
      </c>
      <c r="R2057" s="23" t="s">
        <v>2776</v>
      </c>
      <c r="S2057" s="33">
        <v>0.2</v>
      </c>
      <c r="T2057" s="13">
        <v>1.744</v>
      </c>
      <c r="U2057" s="13">
        <v>-0.3488</v>
      </c>
      <c r="V2057" s="55">
        <f>Table3[[#This Row],[Profit]]/Table3[[#This Row],[Sales]]</f>
        <v>-0.2</v>
      </c>
    </row>
    <row r="2058" spans="1:22" x14ac:dyDescent="0.2">
      <c r="A2058">
        <v>2057</v>
      </c>
      <c r="B2058" t="s">
        <v>6777</v>
      </c>
      <c r="C2058" s="1">
        <v>43006</v>
      </c>
      <c r="D2058" s="22">
        <f>MONTH(Table3[[#This Row],[Order Date]])</f>
        <v>9</v>
      </c>
      <c r="E2058" t="s">
        <v>1760</v>
      </c>
      <c r="F2058" t="s">
        <v>1761</v>
      </c>
      <c r="G2058" s="23" t="s">
        <v>28</v>
      </c>
      <c r="H2058" s="23" t="s">
        <v>58</v>
      </c>
      <c r="I2058" t="s">
        <v>2069</v>
      </c>
      <c r="J2058" t="s">
        <v>92</v>
      </c>
      <c r="K2058" s="22">
        <v>1</v>
      </c>
      <c r="L2058" s="1">
        <v>43009</v>
      </c>
      <c r="M2058" s="22">
        <f>Table3[[#This Row],[Ship Date]]-Table3[[#This Row],[Order Date]]</f>
        <v>3</v>
      </c>
      <c r="N2058" s="23" t="s">
        <v>169</v>
      </c>
      <c r="O2058" s="23" t="s">
        <v>23</v>
      </c>
      <c r="P2058" s="23" t="s">
        <v>405</v>
      </c>
      <c r="Q2058" s="23" t="s">
        <v>39</v>
      </c>
      <c r="R2058" s="23" t="s">
        <v>404</v>
      </c>
      <c r="S2058" s="33">
        <v>0.2</v>
      </c>
      <c r="T2058" s="13">
        <v>32.776000000000003</v>
      </c>
      <c r="U2058" s="13">
        <v>3.2776000000000001</v>
      </c>
      <c r="V2058" s="55">
        <f>Table3[[#This Row],[Profit]]/Table3[[#This Row],[Sales]]</f>
        <v>9.9999999999999992E-2</v>
      </c>
    </row>
    <row r="2059" spans="1:22" x14ac:dyDescent="0.2">
      <c r="A2059">
        <v>2058</v>
      </c>
      <c r="B2059" t="s">
        <v>6777</v>
      </c>
      <c r="C2059" s="1">
        <v>43006</v>
      </c>
      <c r="D2059" s="22">
        <f>MONTH(Table3[[#This Row],[Order Date]])</f>
        <v>9</v>
      </c>
      <c r="E2059" t="s">
        <v>739</v>
      </c>
      <c r="F2059" t="s">
        <v>740</v>
      </c>
      <c r="G2059" s="23" t="s">
        <v>41</v>
      </c>
      <c r="H2059" s="23" t="s">
        <v>53</v>
      </c>
      <c r="I2059" t="s">
        <v>2069</v>
      </c>
      <c r="J2059" t="s">
        <v>92</v>
      </c>
      <c r="K2059" s="22">
        <v>2</v>
      </c>
      <c r="L2059" s="1">
        <v>43009</v>
      </c>
      <c r="M2059" s="22">
        <f>Table3[[#This Row],[Ship Date]]-Table3[[#This Row],[Order Date]]</f>
        <v>3</v>
      </c>
      <c r="N2059" s="23" t="s">
        <v>169</v>
      </c>
      <c r="O2059" s="23" t="s">
        <v>23</v>
      </c>
      <c r="P2059" s="23" t="s">
        <v>405</v>
      </c>
      <c r="Q2059" s="23" t="s">
        <v>39</v>
      </c>
      <c r="R2059" s="23" t="s">
        <v>404</v>
      </c>
      <c r="S2059" s="33">
        <v>0.2</v>
      </c>
      <c r="T2059" s="13">
        <v>147.184</v>
      </c>
      <c r="U2059" s="13">
        <v>-29.436800000000002</v>
      </c>
      <c r="V2059" s="55">
        <f>Table3[[#This Row],[Profit]]/Table3[[#This Row],[Sales]]</f>
        <v>-0.2</v>
      </c>
    </row>
    <row r="2060" spans="1:22" x14ac:dyDescent="0.2">
      <c r="A2060">
        <v>2059</v>
      </c>
      <c r="B2060" t="s">
        <v>6777</v>
      </c>
      <c r="C2060" s="1">
        <v>43006</v>
      </c>
      <c r="D2060" s="22">
        <f>MONTH(Table3[[#This Row],[Order Date]])</f>
        <v>9</v>
      </c>
      <c r="E2060" t="s">
        <v>584</v>
      </c>
      <c r="F2060" t="s">
        <v>585</v>
      </c>
      <c r="G2060" s="23" t="s">
        <v>64</v>
      </c>
      <c r="H2060" s="23" t="s">
        <v>144</v>
      </c>
      <c r="I2060" t="s">
        <v>2069</v>
      </c>
      <c r="J2060" t="s">
        <v>92</v>
      </c>
      <c r="K2060" s="22">
        <v>2</v>
      </c>
      <c r="L2060" s="1">
        <v>43009</v>
      </c>
      <c r="M2060" s="22">
        <f>Table3[[#This Row],[Ship Date]]-Table3[[#This Row],[Order Date]]</f>
        <v>3</v>
      </c>
      <c r="N2060" s="23" t="s">
        <v>169</v>
      </c>
      <c r="O2060" s="23" t="s">
        <v>23</v>
      </c>
      <c r="P2060" s="23" t="s">
        <v>405</v>
      </c>
      <c r="Q2060" s="23" t="s">
        <v>39</v>
      </c>
      <c r="R2060" s="23" t="s">
        <v>404</v>
      </c>
      <c r="S2060" s="33">
        <v>0.2</v>
      </c>
      <c r="T2060" s="13">
        <v>54.384</v>
      </c>
      <c r="U2060" s="13">
        <v>1.3595999999999999</v>
      </c>
      <c r="V2060" s="55">
        <f>Table3[[#This Row],[Profit]]/Table3[[#This Row],[Sales]]</f>
        <v>2.4999999999999998E-2</v>
      </c>
    </row>
    <row r="2061" spans="1:22" x14ac:dyDescent="0.2">
      <c r="A2061">
        <v>2060</v>
      </c>
      <c r="B2061" t="s">
        <v>6777</v>
      </c>
      <c r="C2061" s="1">
        <v>43006</v>
      </c>
      <c r="D2061" s="22">
        <f>MONTH(Table3[[#This Row],[Order Date]])</f>
        <v>9</v>
      </c>
      <c r="E2061" t="s">
        <v>4429</v>
      </c>
      <c r="F2061" t="s">
        <v>4430</v>
      </c>
      <c r="G2061" s="23" t="s">
        <v>41</v>
      </c>
      <c r="H2061" s="23" t="s">
        <v>68</v>
      </c>
      <c r="I2061" t="s">
        <v>2069</v>
      </c>
      <c r="J2061" t="s">
        <v>92</v>
      </c>
      <c r="K2061" s="22">
        <v>4</v>
      </c>
      <c r="L2061" s="1">
        <v>43009</v>
      </c>
      <c r="M2061" s="22">
        <f>Table3[[#This Row],[Ship Date]]-Table3[[#This Row],[Order Date]]</f>
        <v>3</v>
      </c>
      <c r="N2061" s="23" t="s">
        <v>169</v>
      </c>
      <c r="O2061" s="23" t="s">
        <v>23</v>
      </c>
      <c r="P2061" s="23" t="s">
        <v>405</v>
      </c>
      <c r="Q2061" s="23" t="s">
        <v>39</v>
      </c>
      <c r="R2061" s="23" t="s">
        <v>404</v>
      </c>
      <c r="S2061" s="33">
        <v>0.7</v>
      </c>
      <c r="T2061" s="13">
        <v>76.775999999999996</v>
      </c>
      <c r="U2061" s="13">
        <v>-58.861600000000003</v>
      </c>
      <c r="V2061" s="55">
        <f>Table3[[#This Row],[Profit]]/Table3[[#This Row],[Sales]]</f>
        <v>-0.76666666666666672</v>
      </c>
    </row>
    <row r="2062" spans="1:22" x14ac:dyDescent="0.2">
      <c r="A2062">
        <v>2061</v>
      </c>
      <c r="B2062" t="s">
        <v>6777</v>
      </c>
      <c r="C2062" s="1">
        <v>43006</v>
      </c>
      <c r="D2062" s="22">
        <f>MONTH(Table3[[#This Row],[Order Date]])</f>
        <v>9</v>
      </c>
      <c r="E2062" t="s">
        <v>6778</v>
      </c>
      <c r="F2062" t="s">
        <v>6779</v>
      </c>
      <c r="G2062" s="23" t="s">
        <v>41</v>
      </c>
      <c r="H2062" s="23" t="s">
        <v>82</v>
      </c>
      <c r="I2062" t="s">
        <v>2069</v>
      </c>
      <c r="J2062" t="s">
        <v>92</v>
      </c>
      <c r="K2062" s="22">
        <v>3</v>
      </c>
      <c r="L2062" s="1">
        <v>43009</v>
      </c>
      <c r="M2062" s="22">
        <f>Table3[[#This Row],[Ship Date]]-Table3[[#This Row],[Order Date]]</f>
        <v>3</v>
      </c>
      <c r="N2062" s="23" t="s">
        <v>169</v>
      </c>
      <c r="O2062" s="23" t="s">
        <v>23</v>
      </c>
      <c r="P2062" s="23" t="s">
        <v>405</v>
      </c>
      <c r="Q2062" s="23" t="s">
        <v>39</v>
      </c>
      <c r="R2062" s="23" t="s">
        <v>404</v>
      </c>
      <c r="S2062" s="33">
        <v>0.2</v>
      </c>
      <c r="T2062" s="13">
        <v>14.352</v>
      </c>
      <c r="U2062" s="13">
        <v>5.2026000000000003</v>
      </c>
      <c r="V2062" s="55">
        <f>Table3[[#This Row],[Profit]]/Table3[[#This Row],[Sales]]</f>
        <v>0.36249999999999999</v>
      </c>
    </row>
    <row r="2063" spans="1:22" x14ac:dyDescent="0.2">
      <c r="A2063">
        <v>2062</v>
      </c>
      <c r="B2063" t="s">
        <v>6777</v>
      </c>
      <c r="C2063" s="1">
        <v>43006</v>
      </c>
      <c r="D2063" s="22">
        <f>MONTH(Table3[[#This Row],[Order Date]])</f>
        <v>9</v>
      </c>
      <c r="E2063" t="s">
        <v>624</v>
      </c>
      <c r="F2063" t="s">
        <v>625</v>
      </c>
      <c r="G2063" s="23" t="s">
        <v>41</v>
      </c>
      <c r="H2063" s="23" t="s">
        <v>71</v>
      </c>
      <c r="I2063" t="s">
        <v>2069</v>
      </c>
      <c r="J2063" t="s">
        <v>92</v>
      </c>
      <c r="K2063" s="22">
        <v>2</v>
      </c>
      <c r="L2063" s="1">
        <v>43009</v>
      </c>
      <c r="M2063" s="22">
        <f>Table3[[#This Row],[Ship Date]]-Table3[[#This Row],[Order Date]]</f>
        <v>3</v>
      </c>
      <c r="N2063" s="23" t="s">
        <v>169</v>
      </c>
      <c r="O2063" s="23" t="s">
        <v>23</v>
      </c>
      <c r="P2063" s="23" t="s">
        <v>405</v>
      </c>
      <c r="Q2063" s="23" t="s">
        <v>39</v>
      </c>
      <c r="R2063" s="23" t="s">
        <v>404</v>
      </c>
      <c r="S2063" s="33">
        <v>0.2</v>
      </c>
      <c r="T2063" s="13">
        <v>209.792</v>
      </c>
      <c r="U2063" s="13">
        <v>26.224</v>
      </c>
      <c r="V2063" s="55">
        <f>Table3[[#This Row],[Profit]]/Table3[[#This Row],[Sales]]</f>
        <v>0.125</v>
      </c>
    </row>
    <row r="2064" spans="1:22" x14ac:dyDescent="0.2">
      <c r="A2064">
        <v>2063</v>
      </c>
      <c r="B2064" t="s">
        <v>7505</v>
      </c>
      <c r="C2064" s="1">
        <v>43006</v>
      </c>
      <c r="D2064" s="22">
        <f>MONTH(Table3[[#This Row],[Order Date]])</f>
        <v>9</v>
      </c>
      <c r="E2064" t="s">
        <v>231</v>
      </c>
      <c r="F2064" t="s">
        <v>232</v>
      </c>
      <c r="G2064" s="23" t="s">
        <v>28</v>
      </c>
      <c r="H2064" s="23" t="s">
        <v>58</v>
      </c>
      <c r="I2064" t="s">
        <v>1739</v>
      </c>
      <c r="J2064" t="s">
        <v>22</v>
      </c>
      <c r="K2064" s="22">
        <v>3</v>
      </c>
      <c r="L2064" s="1">
        <v>43012</v>
      </c>
      <c r="M2064" s="22">
        <f>Table3[[#This Row],[Ship Date]]-Table3[[#This Row],[Order Date]]</f>
        <v>6</v>
      </c>
      <c r="N2064" s="23" t="s">
        <v>45</v>
      </c>
      <c r="O2064" s="23" t="s">
        <v>23</v>
      </c>
      <c r="P2064" s="23" t="s">
        <v>38</v>
      </c>
      <c r="Q2064" s="23" t="s">
        <v>39</v>
      </c>
      <c r="R2064" s="23" t="s">
        <v>37</v>
      </c>
      <c r="S2064" s="33">
        <v>0</v>
      </c>
      <c r="T2064" s="13">
        <v>9.24</v>
      </c>
      <c r="U2064" s="13">
        <v>4.4352</v>
      </c>
      <c r="V2064" s="55">
        <f>Table3[[#This Row],[Profit]]/Table3[[#This Row],[Sales]]</f>
        <v>0.48</v>
      </c>
    </row>
    <row r="2065" spans="1:22" x14ac:dyDescent="0.2">
      <c r="A2065">
        <v>2064</v>
      </c>
      <c r="B2065" t="s">
        <v>8059</v>
      </c>
      <c r="C2065" s="1">
        <v>43006</v>
      </c>
      <c r="D2065" s="22">
        <f>MONTH(Table3[[#This Row],[Order Date]])</f>
        <v>9</v>
      </c>
      <c r="E2065" t="s">
        <v>2003</v>
      </c>
      <c r="F2065" t="s">
        <v>2004</v>
      </c>
      <c r="G2065" s="23" t="s">
        <v>41</v>
      </c>
      <c r="H2065" s="23" t="s">
        <v>82</v>
      </c>
      <c r="I2065" t="s">
        <v>1024</v>
      </c>
      <c r="J2065" t="s">
        <v>36</v>
      </c>
      <c r="K2065" s="22">
        <v>2</v>
      </c>
      <c r="L2065" s="1">
        <v>43010</v>
      </c>
      <c r="M2065" s="22">
        <f>Table3[[#This Row],[Ship Date]]-Table3[[#This Row],[Order Date]]</f>
        <v>4</v>
      </c>
      <c r="N2065" s="23" t="s">
        <v>45</v>
      </c>
      <c r="O2065" s="23" t="s">
        <v>23</v>
      </c>
      <c r="P2065" s="23" t="s">
        <v>48</v>
      </c>
      <c r="Q2065" s="23" t="s">
        <v>26</v>
      </c>
      <c r="R2065" s="23" t="s">
        <v>1345</v>
      </c>
      <c r="S2065" s="33">
        <v>0.2</v>
      </c>
      <c r="T2065" s="13">
        <v>10.368</v>
      </c>
      <c r="U2065" s="13">
        <v>3.6288</v>
      </c>
      <c r="V2065" s="55">
        <f>Table3[[#This Row],[Profit]]/Table3[[#This Row],[Sales]]</f>
        <v>0.35</v>
      </c>
    </row>
    <row r="2066" spans="1:22" x14ac:dyDescent="0.2">
      <c r="A2066">
        <v>2065</v>
      </c>
      <c r="B2066" t="s">
        <v>9027</v>
      </c>
      <c r="C2066" s="1">
        <v>43006</v>
      </c>
      <c r="D2066" s="22">
        <f>MONTH(Table3[[#This Row],[Order Date]])</f>
        <v>9</v>
      </c>
      <c r="E2066" t="s">
        <v>2083</v>
      </c>
      <c r="F2066" t="s">
        <v>2084</v>
      </c>
      <c r="G2066" s="23" t="s">
        <v>41</v>
      </c>
      <c r="H2066" s="23" t="s">
        <v>68</v>
      </c>
      <c r="I2066" t="s">
        <v>1814</v>
      </c>
      <c r="J2066" t="s">
        <v>36</v>
      </c>
      <c r="K2066" s="22">
        <v>1</v>
      </c>
      <c r="L2066" s="1">
        <v>43013</v>
      </c>
      <c r="M2066" s="22">
        <f>Table3[[#This Row],[Ship Date]]-Table3[[#This Row],[Order Date]]</f>
        <v>7</v>
      </c>
      <c r="N2066" s="23" t="s">
        <v>45</v>
      </c>
      <c r="O2066" s="23" t="s">
        <v>23</v>
      </c>
      <c r="P2066" s="23" t="s">
        <v>132</v>
      </c>
      <c r="Q2066" s="23" t="s">
        <v>133</v>
      </c>
      <c r="R2066" s="23" t="s">
        <v>131</v>
      </c>
      <c r="S2066" s="33">
        <v>0.7</v>
      </c>
      <c r="T2066" s="13">
        <v>2.6549999999999998</v>
      </c>
      <c r="U2066" s="13">
        <v>-1.8585</v>
      </c>
      <c r="V2066" s="55">
        <f>Table3[[#This Row],[Profit]]/Table3[[#This Row],[Sales]]</f>
        <v>-0.70000000000000007</v>
      </c>
    </row>
    <row r="2067" spans="1:22" x14ac:dyDescent="0.2">
      <c r="A2067">
        <v>2066</v>
      </c>
      <c r="B2067" t="s">
        <v>2600</v>
      </c>
      <c r="C2067" s="1">
        <v>43007</v>
      </c>
      <c r="D2067" s="22">
        <f>MONTH(Table3[[#This Row],[Order Date]])</f>
        <v>9</v>
      </c>
      <c r="E2067" t="s">
        <v>2193</v>
      </c>
      <c r="F2067" t="s">
        <v>2194</v>
      </c>
      <c r="G2067" s="23" t="s">
        <v>41</v>
      </c>
      <c r="H2067" s="23" t="s">
        <v>42</v>
      </c>
      <c r="I2067" t="s">
        <v>2601</v>
      </c>
      <c r="J2067" t="s">
        <v>92</v>
      </c>
      <c r="K2067" s="22">
        <v>2</v>
      </c>
      <c r="L2067" s="1">
        <v>43013</v>
      </c>
      <c r="M2067" s="22">
        <f>Table3[[#This Row],[Ship Date]]-Table3[[#This Row],[Order Date]]</f>
        <v>6</v>
      </c>
      <c r="N2067" s="23" t="s">
        <v>45</v>
      </c>
      <c r="O2067" s="23" t="s">
        <v>23</v>
      </c>
      <c r="P2067" s="23" t="s">
        <v>94</v>
      </c>
      <c r="Q2067" s="23" t="s">
        <v>95</v>
      </c>
      <c r="R2067" s="23" t="s">
        <v>533</v>
      </c>
      <c r="S2067" s="33">
        <v>0.2</v>
      </c>
      <c r="T2067" s="13">
        <v>7.968</v>
      </c>
      <c r="U2067" s="13">
        <v>2.5895999999999999</v>
      </c>
      <c r="V2067" s="55">
        <f>Table3[[#This Row],[Profit]]/Table3[[#This Row],[Sales]]</f>
        <v>0.32500000000000001</v>
      </c>
    </row>
    <row r="2068" spans="1:22" x14ac:dyDescent="0.2">
      <c r="A2068">
        <v>2067</v>
      </c>
      <c r="B2068" t="s">
        <v>2600</v>
      </c>
      <c r="C2068" s="1">
        <v>43007</v>
      </c>
      <c r="D2068" s="22">
        <f>MONTH(Table3[[#This Row],[Order Date]])</f>
        <v>9</v>
      </c>
      <c r="E2068" t="s">
        <v>2602</v>
      </c>
      <c r="F2068" t="s">
        <v>2603</v>
      </c>
      <c r="G2068" s="23" t="s">
        <v>41</v>
      </c>
      <c r="H2068" s="23" t="s">
        <v>155</v>
      </c>
      <c r="I2068" t="s">
        <v>2601</v>
      </c>
      <c r="J2068" t="s">
        <v>92</v>
      </c>
      <c r="K2068" s="22">
        <v>4</v>
      </c>
      <c r="L2068" s="1">
        <v>43013</v>
      </c>
      <c r="M2068" s="22">
        <f>Table3[[#This Row],[Ship Date]]-Table3[[#This Row],[Order Date]]</f>
        <v>6</v>
      </c>
      <c r="N2068" s="23" t="s">
        <v>45</v>
      </c>
      <c r="O2068" s="23" t="s">
        <v>23</v>
      </c>
      <c r="P2068" s="23" t="s">
        <v>94</v>
      </c>
      <c r="Q2068" s="23" t="s">
        <v>95</v>
      </c>
      <c r="R2068" s="23" t="s">
        <v>533</v>
      </c>
      <c r="S2068" s="33">
        <v>0.2</v>
      </c>
      <c r="T2068" s="13">
        <v>27.968</v>
      </c>
      <c r="U2068" s="13">
        <v>9.4391999999999996</v>
      </c>
      <c r="V2068" s="55">
        <f>Table3[[#This Row],[Profit]]/Table3[[#This Row],[Sales]]</f>
        <v>0.33749999999999997</v>
      </c>
    </row>
    <row r="2069" spans="1:22" x14ac:dyDescent="0.2">
      <c r="A2069">
        <v>2068</v>
      </c>
      <c r="B2069" t="s">
        <v>2600</v>
      </c>
      <c r="C2069" s="1">
        <v>43007</v>
      </c>
      <c r="D2069" s="22">
        <f>MONTH(Table3[[#This Row],[Order Date]])</f>
        <v>9</v>
      </c>
      <c r="E2069" t="s">
        <v>2604</v>
      </c>
      <c r="F2069" t="s">
        <v>2605</v>
      </c>
      <c r="G2069" s="23" t="s">
        <v>64</v>
      </c>
      <c r="H2069" s="23" t="s">
        <v>602</v>
      </c>
      <c r="I2069" t="s">
        <v>2601</v>
      </c>
      <c r="J2069" t="s">
        <v>92</v>
      </c>
      <c r="K2069" s="22">
        <v>3</v>
      </c>
      <c r="L2069" s="1">
        <v>43013</v>
      </c>
      <c r="M2069" s="22">
        <f>Table3[[#This Row],[Ship Date]]-Table3[[#This Row],[Order Date]]</f>
        <v>6</v>
      </c>
      <c r="N2069" s="23" t="s">
        <v>45</v>
      </c>
      <c r="O2069" s="23" t="s">
        <v>23</v>
      </c>
      <c r="P2069" s="23" t="s">
        <v>94</v>
      </c>
      <c r="Q2069" s="23" t="s">
        <v>95</v>
      </c>
      <c r="R2069" s="23" t="s">
        <v>533</v>
      </c>
      <c r="S2069" s="33">
        <v>0.4</v>
      </c>
      <c r="T2069" s="13">
        <v>336.51</v>
      </c>
      <c r="U2069" s="13">
        <v>44.868000000000002</v>
      </c>
      <c r="V2069" s="55">
        <f>Table3[[#This Row],[Profit]]/Table3[[#This Row],[Sales]]</f>
        <v>0.13333333333333333</v>
      </c>
    </row>
    <row r="2070" spans="1:22" x14ac:dyDescent="0.2">
      <c r="A2070">
        <v>2069</v>
      </c>
      <c r="B2070" t="s">
        <v>6783</v>
      </c>
      <c r="C2070" s="1">
        <v>43007</v>
      </c>
      <c r="D2070" s="22">
        <f>MONTH(Table3[[#This Row],[Order Date]])</f>
        <v>9</v>
      </c>
      <c r="E2070" t="s">
        <v>4287</v>
      </c>
      <c r="F2070" t="s">
        <v>4288</v>
      </c>
      <c r="G2070" s="23" t="s">
        <v>28</v>
      </c>
      <c r="H2070" s="23" t="s">
        <v>32</v>
      </c>
      <c r="I2070" t="s">
        <v>535</v>
      </c>
      <c r="J2070" t="s">
        <v>92</v>
      </c>
      <c r="K2070" s="22">
        <v>1</v>
      </c>
      <c r="L2070" s="1">
        <v>43007</v>
      </c>
      <c r="M2070" s="22">
        <f>Table3[[#This Row],[Ship Date]]-Table3[[#This Row],[Order Date]]</f>
        <v>0</v>
      </c>
      <c r="N2070" s="23" t="s">
        <v>1141</v>
      </c>
      <c r="O2070" s="23" t="s">
        <v>23</v>
      </c>
      <c r="P2070" s="23" t="s">
        <v>441</v>
      </c>
      <c r="Q2070" s="23" t="s">
        <v>133</v>
      </c>
      <c r="R2070" s="23" t="s">
        <v>6784</v>
      </c>
      <c r="S2070" s="33">
        <v>0.3</v>
      </c>
      <c r="T2070" s="13">
        <v>63.686</v>
      </c>
      <c r="U2070" s="13">
        <v>-15.4666</v>
      </c>
      <c r="V2070" s="55">
        <f>Table3[[#This Row],[Profit]]/Table3[[#This Row],[Sales]]</f>
        <v>-0.24285714285714285</v>
      </c>
    </row>
    <row r="2071" spans="1:22" x14ac:dyDescent="0.2">
      <c r="A2071">
        <v>2070</v>
      </c>
      <c r="B2071" t="s">
        <v>6783</v>
      </c>
      <c r="C2071" s="1">
        <v>43007</v>
      </c>
      <c r="D2071" s="22">
        <f>MONTH(Table3[[#This Row],[Order Date]])</f>
        <v>9</v>
      </c>
      <c r="E2071" t="s">
        <v>1412</v>
      </c>
      <c r="F2071" t="s">
        <v>1413</v>
      </c>
      <c r="G2071" s="23" t="s">
        <v>64</v>
      </c>
      <c r="H2071" s="23" t="s">
        <v>144</v>
      </c>
      <c r="I2071" t="s">
        <v>535</v>
      </c>
      <c r="J2071" t="s">
        <v>92</v>
      </c>
      <c r="K2071" s="22">
        <v>3</v>
      </c>
      <c r="L2071" s="1">
        <v>43007</v>
      </c>
      <c r="M2071" s="22">
        <f>Table3[[#This Row],[Ship Date]]-Table3[[#This Row],[Order Date]]</f>
        <v>0</v>
      </c>
      <c r="N2071" s="23" t="s">
        <v>1141</v>
      </c>
      <c r="O2071" s="23" t="s">
        <v>23</v>
      </c>
      <c r="P2071" s="23" t="s">
        <v>441</v>
      </c>
      <c r="Q2071" s="23" t="s">
        <v>133</v>
      </c>
      <c r="R2071" s="23" t="s">
        <v>6784</v>
      </c>
      <c r="S2071" s="33">
        <v>0.2</v>
      </c>
      <c r="T2071" s="13">
        <v>239.976</v>
      </c>
      <c r="U2071" s="13">
        <v>65.993399999999994</v>
      </c>
      <c r="V2071" s="55">
        <f>Table3[[#This Row],[Profit]]/Table3[[#This Row],[Sales]]</f>
        <v>0.27499999999999997</v>
      </c>
    </row>
    <row r="2072" spans="1:22" x14ac:dyDescent="0.2">
      <c r="A2072">
        <v>2071</v>
      </c>
      <c r="B2072" t="s">
        <v>6783</v>
      </c>
      <c r="C2072" s="1">
        <v>43007</v>
      </c>
      <c r="D2072" s="22">
        <f>MONTH(Table3[[#This Row],[Order Date]])</f>
        <v>9</v>
      </c>
      <c r="E2072" t="s">
        <v>6785</v>
      </c>
      <c r="F2072" t="s">
        <v>6786</v>
      </c>
      <c r="G2072" s="23" t="s">
        <v>28</v>
      </c>
      <c r="H2072" s="23" t="s">
        <v>50</v>
      </c>
      <c r="I2072" t="s">
        <v>535</v>
      </c>
      <c r="J2072" t="s">
        <v>92</v>
      </c>
      <c r="K2072" s="22">
        <v>2</v>
      </c>
      <c r="L2072" s="1">
        <v>43007</v>
      </c>
      <c r="M2072" s="22">
        <f>Table3[[#This Row],[Ship Date]]-Table3[[#This Row],[Order Date]]</f>
        <v>0</v>
      </c>
      <c r="N2072" s="23" t="s">
        <v>1141</v>
      </c>
      <c r="O2072" s="23" t="s">
        <v>23</v>
      </c>
      <c r="P2072" s="23" t="s">
        <v>441</v>
      </c>
      <c r="Q2072" s="23" t="s">
        <v>133</v>
      </c>
      <c r="R2072" s="23" t="s">
        <v>6784</v>
      </c>
      <c r="S2072" s="33">
        <v>0.4</v>
      </c>
      <c r="T2072" s="13">
        <v>344.22</v>
      </c>
      <c r="U2072" s="13">
        <v>-189.321</v>
      </c>
      <c r="V2072" s="55">
        <f>Table3[[#This Row],[Profit]]/Table3[[#This Row],[Sales]]</f>
        <v>-0.54999999999999993</v>
      </c>
    </row>
    <row r="2073" spans="1:22" x14ac:dyDescent="0.2">
      <c r="A2073">
        <v>2072</v>
      </c>
      <c r="B2073" t="s">
        <v>6783</v>
      </c>
      <c r="C2073" s="1">
        <v>43007</v>
      </c>
      <c r="D2073" s="22">
        <f>MONTH(Table3[[#This Row],[Order Date]])</f>
        <v>9</v>
      </c>
      <c r="E2073" t="s">
        <v>4669</v>
      </c>
      <c r="F2073" t="s">
        <v>4670</v>
      </c>
      <c r="G2073" s="23" t="s">
        <v>41</v>
      </c>
      <c r="H2073" s="23" t="s">
        <v>82</v>
      </c>
      <c r="I2073" t="s">
        <v>535</v>
      </c>
      <c r="J2073" t="s">
        <v>92</v>
      </c>
      <c r="K2073" s="22">
        <v>3</v>
      </c>
      <c r="L2073" s="1">
        <v>43007</v>
      </c>
      <c r="M2073" s="22">
        <f>Table3[[#This Row],[Ship Date]]-Table3[[#This Row],[Order Date]]</f>
        <v>0</v>
      </c>
      <c r="N2073" s="23" t="s">
        <v>1141</v>
      </c>
      <c r="O2073" s="23" t="s">
        <v>23</v>
      </c>
      <c r="P2073" s="23" t="s">
        <v>441</v>
      </c>
      <c r="Q2073" s="23" t="s">
        <v>133</v>
      </c>
      <c r="R2073" s="23" t="s">
        <v>6784</v>
      </c>
      <c r="S2073" s="33">
        <v>0.2</v>
      </c>
      <c r="T2073" s="13">
        <v>15.552</v>
      </c>
      <c r="U2073" s="13">
        <v>5.4432</v>
      </c>
      <c r="V2073" s="55">
        <f>Table3[[#This Row],[Profit]]/Table3[[#This Row],[Sales]]</f>
        <v>0.35000000000000003</v>
      </c>
    </row>
    <row r="2074" spans="1:22" x14ac:dyDescent="0.2">
      <c r="A2074">
        <v>2073</v>
      </c>
      <c r="B2074" t="s">
        <v>6783</v>
      </c>
      <c r="C2074" s="1">
        <v>43007</v>
      </c>
      <c r="D2074" s="22">
        <f>MONTH(Table3[[#This Row],[Order Date]])</f>
        <v>9</v>
      </c>
      <c r="E2074" t="s">
        <v>5662</v>
      </c>
      <c r="F2074" t="s">
        <v>5663</v>
      </c>
      <c r="G2074" s="23" t="s">
        <v>28</v>
      </c>
      <c r="H2074" s="23" t="s">
        <v>58</v>
      </c>
      <c r="I2074" t="s">
        <v>535</v>
      </c>
      <c r="J2074" t="s">
        <v>92</v>
      </c>
      <c r="K2074" s="22">
        <v>4</v>
      </c>
      <c r="L2074" s="1">
        <v>43007</v>
      </c>
      <c r="M2074" s="22">
        <f>Table3[[#This Row],[Ship Date]]-Table3[[#This Row],[Order Date]]</f>
        <v>0</v>
      </c>
      <c r="N2074" s="23" t="s">
        <v>1141</v>
      </c>
      <c r="O2074" s="23" t="s">
        <v>23</v>
      </c>
      <c r="P2074" s="23" t="s">
        <v>441</v>
      </c>
      <c r="Q2074" s="23" t="s">
        <v>133</v>
      </c>
      <c r="R2074" s="23" t="s">
        <v>6784</v>
      </c>
      <c r="S2074" s="33">
        <v>0.2</v>
      </c>
      <c r="T2074" s="13">
        <v>21.248000000000001</v>
      </c>
      <c r="U2074" s="13">
        <v>7.4367999999999999</v>
      </c>
      <c r="V2074" s="55">
        <f>Table3[[#This Row],[Profit]]/Table3[[#This Row],[Sales]]</f>
        <v>0.35</v>
      </c>
    </row>
    <row r="2075" spans="1:22" x14ac:dyDescent="0.2">
      <c r="A2075">
        <v>2074</v>
      </c>
      <c r="B2075" t="s">
        <v>6783</v>
      </c>
      <c r="C2075" s="1">
        <v>43007</v>
      </c>
      <c r="D2075" s="22">
        <f>MONTH(Table3[[#This Row],[Order Date]])</f>
        <v>9</v>
      </c>
      <c r="E2075" t="s">
        <v>6381</v>
      </c>
      <c r="F2075" t="s">
        <v>6382</v>
      </c>
      <c r="G2075" s="23" t="s">
        <v>41</v>
      </c>
      <c r="H2075" s="23" t="s">
        <v>82</v>
      </c>
      <c r="I2075" t="s">
        <v>535</v>
      </c>
      <c r="J2075" t="s">
        <v>92</v>
      </c>
      <c r="K2075" s="22">
        <v>2</v>
      </c>
      <c r="L2075" s="1">
        <v>43007</v>
      </c>
      <c r="M2075" s="22">
        <f>Table3[[#This Row],[Ship Date]]-Table3[[#This Row],[Order Date]]</f>
        <v>0</v>
      </c>
      <c r="N2075" s="23" t="s">
        <v>1141</v>
      </c>
      <c r="O2075" s="23" t="s">
        <v>23</v>
      </c>
      <c r="P2075" s="23" t="s">
        <v>441</v>
      </c>
      <c r="Q2075" s="23" t="s">
        <v>133</v>
      </c>
      <c r="R2075" s="23" t="s">
        <v>6784</v>
      </c>
      <c r="S2075" s="33">
        <v>0.2</v>
      </c>
      <c r="T2075" s="13">
        <v>8.4480000000000004</v>
      </c>
      <c r="U2075" s="13">
        <v>2.64</v>
      </c>
      <c r="V2075" s="55">
        <f>Table3[[#This Row],[Profit]]/Table3[[#This Row],[Sales]]</f>
        <v>0.3125</v>
      </c>
    </row>
    <row r="2076" spans="1:22" x14ac:dyDescent="0.2">
      <c r="A2076">
        <v>2075</v>
      </c>
      <c r="B2076" t="s">
        <v>7066</v>
      </c>
      <c r="C2076" s="1">
        <v>43007</v>
      </c>
      <c r="D2076" s="22">
        <f>MONTH(Table3[[#This Row],[Order Date]])</f>
        <v>9</v>
      </c>
      <c r="E2076" t="s">
        <v>3039</v>
      </c>
      <c r="F2076" t="s">
        <v>3040</v>
      </c>
      <c r="G2076" s="23" t="s">
        <v>41</v>
      </c>
      <c r="H2076" s="23" t="s">
        <v>53</v>
      </c>
      <c r="I2076" t="s">
        <v>926</v>
      </c>
      <c r="J2076" t="s">
        <v>22</v>
      </c>
      <c r="K2076" s="22">
        <v>5</v>
      </c>
      <c r="L2076" s="1">
        <v>43012</v>
      </c>
      <c r="M2076" s="22">
        <f>Table3[[#This Row],[Ship Date]]-Table3[[#This Row],[Order Date]]</f>
        <v>5</v>
      </c>
      <c r="N2076" s="23" t="s">
        <v>45</v>
      </c>
      <c r="O2076" s="23" t="s">
        <v>23</v>
      </c>
      <c r="P2076" s="23" t="s">
        <v>299</v>
      </c>
      <c r="Q2076" s="23" t="s">
        <v>26</v>
      </c>
      <c r="R2076" s="23" t="s">
        <v>298</v>
      </c>
      <c r="S2076" s="33">
        <v>0.2</v>
      </c>
      <c r="T2076" s="13">
        <v>243.92</v>
      </c>
      <c r="U2076" s="13">
        <v>-54.881999999999998</v>
      </c>
      <c r="V2076" s="55">
        <f>Table3[[#This Row],[Profit]]/Table3[[#This Row],[Sales]]</f>
        <v>-0.22500000000000001</v>
      </c>
    </row>
    <row r="2077" spans="1:22" x14ac:dyDescent="0.2">
      <c r="A2077">
        <v>2076</v>
      </c>
      <c r="B2077" t="s">
        <v>7268</v>
      </c>
      <c r="C2077" s="1">
        <v>43007</v>
      </c>
      <c r="D2077" s="22">
        <f>MONTH(Table3[[#This Row],[Order Date]])</f>
        <v>9</v>
      </c>
      <c r="E2077" t="s">
        <v>2880</v>
      </c>
      <c r="F2077" t="s">
        <v>591</v>
      </c>
      <c r="G2077" s="23" t="s">
        <v>41</v>
      </c>
      <c r="H2077" s="23" t="s">
        <v>155</v>
      </c>
      <c r="I2077" t="s">
        <v>2550</v>
      </c>
      <c r="J2077" t="s">
        <v>22</v>
      </c>
      <c r="K2077" s="22">
        <v>3</v>
      </c>
      <c r="L2077" s="1">
        <v>43013</v>
      </c>
      <c r="M2077" s="22">
        <f>Table3[[#This Row],[Ship Date]]-Table3[[#This Row],[Order Date]]</f>
        <v>6</v>
      </c>
      <c r="N2077" s="23" t="s">
        <v>45</v>
      </c>
      <c r="O2077" s="23" t="s">
        <v>23</v>
      </c>
      <c r="P2077" s="23" t="s">
        <v>238</v>
      </c>
      <c r="Q2077" s="23" t="s">
        <v>133</v>
      </c>
      <c r="R2077" s="23" t="s">
        <v>2020</v>
      </c>
      <c r="S2077" s="33">
        <v>0</v>
      </c>
      <c r="T2077" s="13">
        <v>23.34</v>
      </c>
      <c r="U2077" s="13">
        <v>10.969799999999999</v>
      </c>
      <c r="V2077" s="55">
        <f>Table3[[#This Row],[Profit]]/Table3[[#This Row],[Sales]]</f>
        <v>0.47</v>
      </c>
    </row>
    <row r="2078" spans="1:22" x14ac:dyDescent="0.2">
      <c r="A2078">
        <v>2077</v>
      </c>
      <c r="B2078" t="s">
        <v>7268</v>
      </c>
      <c r="C2078" s="1">
        <v>43007</v>
      </c>
      <c r="D2078" s="22">
        <f>MONTH(Table3[[#This Row],[Order Date]])</f>
        <v>9</v>
      </c>
      <c r="E2078" t="s">
        <v>5949</v>
      </c>
      <c r="F2078" t="s">
        <v>5950</v>
      </c>
      <c r="G2078" s="23" t="s">
        <v>41</v>
      </c>
      <c r="H2078" s="23" t="s">
        <v>82</v>
      </c>
      <c r="I2078" t="s">
        <v>2550</v>
      </c>
      <c r="J2078" t="s">
        <v>22</v>
      </c>
      <c r="K2078" s="22">
        <v>5</v>
      </c>
      <c r="L2078" s="1">
        <v>43013</v>
      </c>
      <c r="M2078" s="22">
        <f>Table3[[#This Row],[Ship Date]]-Table3[[#This Row],[Order Date]]</f>
        <v>6</v>
      </c>
      <c r="N2078" s="23" t="s">
        <v>45</v>
      </c>
      <c r="O2078" s="23" t="s">
        <v>23</v>
      </c>
      <c r="P2078" s="23" t="s">
        <v>238</v>
      </c>
      <c r="Q2078" s="23" t="s">
        <v>133</v>
      </c>
      <c r="R2078" s="23" t="s">
        <v>2020</v>
      </c>
      <c r="S2078" s="33">
        <v>0</v>
      </c>
      <c r="T2078" s="13">
        <v>51.55</v>
      </c>
      <c r="U2078" s="13">
        <v>24.2285</v>
      </c>
      <c r="V2078" s="55">
        <f>Table3[[#This Row],[Profit]]/Table3[[#This Row],[Sales]]</f>
        <v>0.47000000000000003</v>
      </c>
    </row>
    <row r="2079" spans="1:22" x14ac:dyDescent="0.2">
      <c r="A2079">
        <v>2078</v>
      </c>
      <c r="B2079" t="s">
        <v>7728</v>
      </c>
      <c r="C2079" s="1">
        <v>43007</v>
      </c>
      <c r="D2079" s="22">
        <f>MONTH(Table3[[#This Row],[Order Date]])</f>
        <v>9</v>
      </c>
      <c r="E2079" t="s">
        <v>2264</v>
      </c>
      <c r="F2079" t="s">
        <v>2265</v>
      </c>
      <c r="G2079" s="23" t="s">
        <v>41</v>
      </c>
      <c r="H2079" s="23" t="s">
        <v>240</v>
      </c>
      <c r="I2079" t="s">
        <v>2260</v>
      </c>
      <c r="J2079" t="s">
        <v>22</v>
      </c>
      <c r="K2079" s="22">
        <v>7</v>
      </c>
      <c r="L2079" s="1">
        <v>43010</v>
      </c>
      <c r="M2079" s="22">
        <f>Table3[[#This Row],[Ship Date]]-Table3[[#This Row],[Order Date]]</f>
        <v>3</v>
      </c>
      <c r="N2079" s="23" t="s">
        <v>169</v>
      </c>
      <c r="O2079" s="23" t="s">
        <v>23</v>
      </c>
      <c r="P2079" s="23" t="s">
        <v>38</v>
      </c>
      <c r="Q2079" s="23" t="s">
        <v>39</v>
      </c>
      <c r="R2079" s="23" t="s">
        <v>5301</v>
      </c>
      <c r="S2079" s="33">
        <v>0</v>
      </c>
      <c r="T2079" s="13">
        <v>35</v>
      </c>
      <c r="U2079" s="13">
        <v>16.8</v>
      </c>
      <c r="V2079" s="55">
        <f>Table3[[#This Row],[Profit]]/Table3[[#This Row],[Sales]]</f>
        <v>0.48000000000000004</v>
      </c>
    </row>
    <row r="2080" spans="1:22" x14ac:dyDescent="0.2">
      <c r="A2080">
        <v>2079</v>
      </c>
      <c r="B2080" t="s">
        <v>7728</v>
      </c>
      <c r="C2080" s="1">
        <v>43007</v>
      </c>
      <c r="D2080" s="22">
        <f>MONTH(Table3[[#This Row],[Order Date]])</f>
        <v>9</v>
      </c>
      <c r="E2080" t="s">
        <v>3300</v>
      </c>
      <c r="F2080" t="s">
        <v>3301</v>
      </c>
      <c r="G2080" s="23" t="s">
        <v>28</v>
      </c>
      <c r="H2080" s="23" t="s">
        <v>32</v>
      </c>
      <c r="I2080" t="s">
        <v>2260</v>
      </c>
      <c r="J2080" t="s">
        <v>22</v>
      </c>
      <c r="K2080" s="22">
        <v>1</v>
      </c>
      <c r="L2080" s="1">
        <v>43010</v>
      </c>
      <c r="M2080" s="22">
        <f>Table3[[#This Row],[Ship Date]]-Table3[[#This Row],[Order Date]]</f>
        <v>3</v>
      </c>
      <c r="N2080" s="23" t="s">
        <v>169</v>
      </c>
      <c r="O2080" s="23" t="s">
        <v>23</v>
      </c>
      <c r="P2080" s="23" t="s">
        <v>38</v>
      </c>
      <c r="Q2080" s="23" t="s">
        <v>39</v>
      </c>
      <c r="R2080" s="23" t="s">
        <v>5301</v>
      </c>
      <c r="S2080" s="33">
        <v>0.2</v>
      </c>
      <c r="T2080" s="13">
        <v>72.784000000000006</v>
      </c>
      <c r="U2080" s="13">
        <v>0</v>
      </c>
      <c r="V2080" s="55">
        <f>Table3[[#This Row],[Profit]]/Table3[[#This Row],[Sales]]</f>
        <v>0</v>
      </c>
    </row>
    <row r="2081" spans="1:22" x14ac:dyDescent="0.2">
      <c r="A2081">
        <v>2080</v>
      </c>
      <c r="B2081" t="s">
        <v>7728</v>
      </c>
      <c r="C2081" s="1">
        <v>43007</v>
      </c>
      <c r="D2081" s="22">
        <f>MONTH(Table3[[#This Row],[Order Date]])</f>
        <v>9</v>
      </c>
      <c r="E2081" t="s">
        <v>1424</v>
      </c>
      <c r="F2081" t="s">
        <v>1425</v>
      </c>
      <c r="G2081" s="23" t="s">
        <v>41</v>
      </c>
      <c r="H2081" s="23" t="s">
        <v>71</v>
      </c>
      <c r="I2081" t="s">
        <v>2260</v>
      </c>
      <c r="J2081" t="s">
        <v>22</v>
      </c>
      <c r="K2081" s="22">
        <v>2</v>
      </c>
      <c r="L2081" s="1">
        <v>43010</v>
      </c>
      <c r="M2081" s="22">
        <f>Table3[[#This Row],[Ship Date]]-Table3[[#This Row],[Order Date]]</f>
        <v>3</v>
      </c>
      <c r="N2081" s="23" t="s">
        <v>169</v>
      </c>
      <c r="O2081" s="23" t="s">
        <v>23</v>
      </c>
      <c r="P2081" s="23" t="s">
        <v>38</v>
      </c>
      <c r="Q2081" s="23" t="s">
        <v>39</v>
      </c>
      <c r="R2081" s="23" t="s">
        <v>5301</v>
      </c>
      <c r="S2081" s="33">
        <v>0</v>
      </c>
      <c r="T2081" s="13">
        <v>97.84</v>
      </c>
      <c r="U2081" s="13">
        <v>25.438400000000001</v>
      </c>
      <c r="V2081" s="55">
        <f>Table3[[#This Row],[Profit]]/Table3[[#This Row],[Sales]]</f>
        <v>0.26</v>
      </c>
    </row>
    <row r="2082" spans="1:22" x14ac:dyDescent="0.2">
      <c r="A2082">
        <v>2081</v>
      </c>
      <c r="B2082" t="s">
        <v>7728</v>
      </c>
      <c r="C2082" s="1">
        <v>43007</v>
      </c>
      <c r="D2082" s="22">
        <f>MONTH(Table3[[#This Row],[Order Date]])</f>
        <v>9</v>
      </c>
      <c r="E2082" t="s">
        <v>152</v>
      </c>
      <c r="F2082" t="s">
        <v>153</v>
      </c>
      <c r="G2082" s="23" t="s">
        <v>28</v>
      </c>
      <c r="H2082" s="23" t="s">
        <v>58</v>
      </c>
      <c r="I2082" t="s">
        <v>2260</v>
      </c>
      <c r="J2082" t="s">
        <v>22</v>
      </c>
      <c r="K2082" s="22">
        <v>1</v>
      </c>
      <c r="L2082" s="1">
        <v>43010</v>
      </c>
      <c r="M2082" s="22">
        <f>Table3[[#This Row],[Ship Date]]-Table3[[#This Row],[Order Date]]</f>
        <v>3</v>
      </c>
      <c r="N2082" s="23" t="s">
        <v>169</v>
      </c>
      <c r="O2082" s="23" t="s">
        <v>23</v>
      </c>
      <c r="P2082" s="23" t="s">
        <v>38</v>
      </c>
      <c r="Q2082" s="23" t="s">
        <v>39</v>
      </c>
      <c r="R2082" s="23" t="s">
        <v>5301</v>
      </c>
      <c r="S2082" s="33">
        <v>0</v>
      </c>
      <c r="T2082" s="13">
        <v>51.75</v>
      </c>
      <c r="U2082" s="13">
        <v>15.525</v>
      </c>
      <c r="V2082" s="55">
        <f>Table3[[#This Row],[Profit]]/Table3[[#This Row],[Sales]]</f>
        <v>0.3</v>
      </c>
    </row>
    <row r="2083" spans="1:22" x14ac:dyDescent="0.2">
      <c r="A2083">
        <v>2082</v>
      </c>
      <c r="B2083" t="s">
        <v>7728</v>
      </c>
      <c r="C2083" s="1">
        <v>43007</v>
      </c>
      <c r="D2083" s="22">
        <f>MONTH(Table3[[#This Row],[Order Date]])</f>
        <v>9</v>
      </c>
      <c r="E2083" t="s">
        <v>2422</v>
      </c>
      <c r="F2083" t="s">
        <v>2423</v>
      </c>
      <c r="G2083" s="23" t="s">
        <v>41</v>
      </c>
      <c r="H2083" s="23" t="s">
        <v>68</v>
      </c>
      <c r="I2083" t="s">
        <v>2260</v>
      </c>
      <c r="J2083" t="s">
        <v>22</v>
      </c>
      <c r="K2083" s="22">
        <v>2</v>
      </c>
      <c r="L2083" s="1">
        <v>43010</v>
      </c>
      <c r="M2083" s="22">
        <f>Table3[[#This Row],[Ship Date]]-Table3[[#This Row],[Order Date]]</f>
        <v>3</v>
      </c>
      <c r="N2083" s="23" t="s">
        <v>169</v>
      </c>
      <c r="O2083" s="23" t="s">
        <v>23</v>
      </c>
      <c r="P2083" s="23" t="s">
        <v>38</v>
      </c>
      <c r="Q2083" s="23" t="s">
        <v>39</v>
      </c>
      <c r="R2083" s="23" t="s">
        <v>5301</v>
      </c>
      <c r="S2083" s="33">
        <v>0.2</v>
      </c>
      <c r="T2083" s="13">
        <v>46.671999999999997</v>
      </c>
      <c r="U2083" s="13">
        <v>16.3352</v>
      </c>
      <c r="V2083" s="55">
        <f>Table3[[#This Row],[Profit]]/Table3[[#This Row],[Sales]]</f>
        <v>0.35000000000000003</v>
      </c>
    </row>
    <row r="2084" spans="1:22" x14ac:dyDescent="0.2">
      <c r="A2084">
        <v>2083</v>
      </c>
      <c r="B2084" t="s">
        <v>7978</v>
      </c>
      <c r="C2084" s="1">
        <v>43007</v>
      </c>
      <c r="D2084" s="22">
        <f>MONTH(Table3[[#This Row],[Order Date]])</f>
        <v>9</v>
      </c>
      <c r="E2084" t="s">
        <v>3126</v>
      </c>
      <c r="F2084" t="s">
        <v>3127</v>
      </c>
      <c r="G2084" s="23" t="s">
        <v>41</v>
      </c>
      <c r="H2084" s="23" t="s">
        <v>53</v>
      </c>
      <c r="I2084" t="s">
        <v>4128</v>
      </c>
      <c r="J2084" t="s">
        <v>36</v>
      </c>
      <c r="K2084" s="22">
        <v>2</v>
      </c>
      <c r="L2084" s="1">
        <v>43011</v>
      </c>
      <c r="M2084" s="22">
        <f>Table3[[#This Row],[Ship Date]]-Table3[[#This Row],[Order Date]]</f>
        <v>4</v>
      </c>
      <c r="N2084" s="23" t="s">
        <v>45</v>
      </c>
      <c r="O2084" s="23" t="s">
        <v>23</v>
      </c>
      <c r="P2084" s="23" t="s">
        <v>441</v>
      </c>
      <c r="Q2084" s="23" t="s">
        <v>133</v>
      </c>
      <c r="R2084" s="23" t="s">
        <v>4594</v>
      </c>
      <c r="S2084" s="33">
        <v>0.2</v>
      </c>
      <c r="T2084" s="13">
        <v>51.167999999999999</v>
      </c>
      <c r="U2084" s="13">
        <v>-6.3959999999999999</v>
      </c>
      <c r="V2084" s="55">
        <f>Table3[[#This Row],[Profit]]/Table3[[#This Row],[Sales]]</f>
        <v>-0.125</v>
      </c>
    </row>
    <row r="2085" spans="1:22" x14ac:dyDescent="0.2">
      <c r="A2085">
        <v>2084</v>
      </c>
      <c r="B2085" t="s">
        <v>8811</v>
      </c>
      <c r="C2085" s="1">
        <v>43007</v>
      </c>
      <c r="D2085" s="22">
        <f>MONTH(Table3[[#This Row],[Order Date]])</f>
        <v>9</v>
      </c>
      <c r="E2085" t="s">
        <v>4129</v>
      </c>
      <c r="F2085" t="s">
        <v>4130</v>
      </c>
      <c r="G2085" s="23" t="s">
        <v>41</v>
      </c>
      <c r="H2085" s="23" t="s">
        <v>61</v>
      </c>
      <c r="I2085" t="s">
        <v>4957</v>
      </c>
      <c r="J2085" t="s">
        <v>22</v>
      </c>
      <c r="K2085" s="22">
        <v>5</v>
      </c>
      <c r="L2085" s="1">
        <v>43009</v>
      </c>
      <c r="M2085" s="22">
        <f>Table3[[#This Row],[Ship Date]]-Table3[[#This Row],[Order Date]]</f>
        <v>2</v>
      </c>
      <c r="N2085" s="23" t="s">
        <v>169</v>
      </c>
      <c r="O2085" s="23" t="s">
        <v>23</v>
      </c>
      <c r="P2085" s="23" t="s">
        <v>38</v>
      </c>
      <c r="Q2085" s="23" t="s">
        <v>39</v>
      </c>
      <c r="R2085" s="23" t="s">
        <v>37</v>
      </c>
      <c r="S2085" s="33">
        <v>0</v>
      </c>
      <c r="T2085" s="13">
        <v>99.2</v>
      </c>
      <c r="U2085" s="13">
        <v>25.792000000000002</v>
      </c>
      <c r="V2085" s="55">
        <f>Table3[[#This Row],[Profit]]/Table3[[#This Row],[Sales]]</f>
        <v>0.26</v>
      </c>
    </row>
    <row r="2086" spans="1:22" x14ac:dyDescent="0.2">
      <c r="A2086">
        <v>2085</v>
      </c>
      <c r="B2086" t="s">
        <v>9344</v>
      </c>
      <c r="C2086" s="1">
        <v>43007</v>
      </c>
      <c r="D2086" s="22">
        <f>MONTH(Table3[[#This Row],[Order Date]])</f>
        <v>9</v>
      </c>
      <c r="E2086" t="s">
        <v>5751</v>
      </c>
      <c r="F2086" t="s">
        <v>5752</v>
      </c>
      <c r="G2086" s="23" t="s">
        <v>41</v>
      </c>
      <c r="H2086" s="23" t="s">
        <v>155</v>
      </c>
      <c r="I2086" t="s">
        <v>699</v>
      </c>
      <c r="J2086" t="s">
        <v>36</v>
      </c>
      <c r="K2086" s="22">
        <v>3</v>
      </c>
      <c r="L2086" s="1">
        <v>43009</v>
      </c>
      <c r="M2086" s="22">
        <f>Table3[[#This Row],[Ship Date]]-Table3[[#This Row],[Order Date]]</f>
        <v>2</v>
      </c>
      <c r="N2086" s="23" t="s">
        <v>169</v>
      </c>
      <c r="O2086" s="23" t="s">
        <v>23</v>
      </c>
      <c r="P2086" s="23" t="s">
        <v>238</v>
      </c>
      <c r="Q2086" s="23" t="s">
        <v>133</v>
      </c>
      <c r="R2086" s="23" t="s">
        <v>5438</v>
      </c>
      <c r="S2086" s="33">
        <v>0</v>
      </c>
      <c r="T2086" s="13">
        <v>7.98</v>
      </c>
      <c r="U2086" s="13">
        <v>3.9102000000000001</v>
      </c>
      <c r="V2086" s="55">
        <f>Table3[[#This Row],[Profit]]/Table3[[#This Row],[Sales]]</f>
        <v>0.49</v>
      </c>
    </row>
    <row r="2087" spans="1:22" x14ac:dyDescent="0.2">
      <c r="A2087">
        <v>2086</v>
      </c>
      <c r="B2087" t="s">
        <v>10053</v>
      </c>
      <c r="C2087" s="1">
        <v>43007</v>
      </c>
      <c r="D2087" s="22">
        <f>MONTH(Table3[[#This Row],[Order Date]])</f>
        <v>9</v>
      </c>
      <c r="E2087" t="s">
        <v>4274</v>
      </c>
      <c r="F2087" t="s">
        <v>4275</v>
      </c>
      <c r="G2087" s="23" t="s">
        <v>41</v>
      </c>
      <c r="H2087" s="23" t="s">
        <v>513</v>
      </c>
      <c r="I2087" t="s">
        <v>2187</v>
      </c>
      <c r="J2087" t="s">
        <v>22</v>
      </c>
      <c r="K2087" s="22">
        <v>7</v>
      </c>
      <c r="L2087" s="1">
        <v>43014</v>
      </c>
      <c r="M2087" s="22">
        <f>Table3[[#This Row],[Ship Date]]-Table3[[#This Row],[Order Date]]</f>
        <v>7</v>
      </c>
      <c r="N2087" s="23" t="s">
        <v>45</v>
      </c>
      <c r="O2087" s="23" t="s">
        <v>23</v>
      </c>
      <c r="P2087" s="23" t="s">
        <v>38</v>
      </c>
      <c r="Q2087" s="23" t="s">
        <v>39</v>
      </c>
      <c r="R2087" s="23" t="s">
        <v>10054</v>
      </c>
      <c r="S2087" s="33">
        <v>0</v>
      </c>
      <c r="T2087" s="13">
        <v>97.3</v>
      </c>
      <c r="U2087" s="13">
        <v>28.216999999999999</v>
      </c>
      <c r="V2087" s="55">
        <f>Table3[[#This Row],[Profit]]/Table3[[#This Row],[Sales]]</f>
        <v>0.28999999999999998</v>
      </c>
    </row>
    <row r="2088" spans="1:22" x14ac:dyDescent="0.2">
      <c r="A2088">
        <v>2087</v>
      </c>
      <c r="B2088" t="s">
        <v>7350</v>
      </c>
      <c r="C2088" s="1">
        <v>43008</v>
      </c>
      <c r="D2088" s="22">
        <f>MONTH(Table3[[#This Row],[Order Date]])</f>
        <v>9</v>
      </c>
      <c r="E2088" t="s">
        <v>3532</v>
      </c>
      <c r="F2088" t="s">
        <v>3533</v>
      </c>
      <c r="G2088" s="23" t="s">
        <v>41</v>
      </c>
      <c r="H2088" s="23" t="s">
        <v>82</v>
      </c>
      <c r="I2088" t="s">
        <v>5672</v>
      </c>
      <c r="J2088" t="s">
        <v>36</v>
      </c>
      <c r="K2088" s="22">
        <v>2</v>
      </c>
      <c r="L2088" s="1">
        <v>43011</v>
      </c>
      <c r="M2088" s="22">
        <f>Table3[[#This Row],[Ship Date]]-Table3[[#This Row],[Order Date]]</f>
        <v>3</v>
      </c>
      <c r="N2088" s="23" t="s">
        <v>169</v>
      </c>
      <c r="O2088" s="23" t="s">
        <v>23</v>
      </c>
      <c r="P2088" s="23" t="s">
        <v>87</v>
      </c>
      <c r="Q2088" s="23" t="s">
        <v>39</v>
      </c>
      <c r="R2088" s="23" t="s">
        <v>86</v>
      </c>
      <c r="S2088" s="33">
        <v>0</v>
      </c>
      <c r="T2088" s="13">
        <v>11.76</v>
      </c>
      <c r="U2088" s="13">
        <v>5.7624000000000004</v>
      </c>
      <c r="V2088" s="55">
        <f>Table3[[#This Row],[Profit]]/Table3[[#This Row],[Sales]]</f>
        <v>0.49000000000000005</v>
      </c>
    </row>
    <row r="2089" spans="1:22" x14ac:dyDescent="0.2">
      <c r="A2089">
        <v>2088</v>
      </c>
      <c r="B2089" t="s">
        <v>7350</v>
      </c>
      <c r="C2089" s="1">
        <v>43008</v>
      </c>
      <c r="D2089" s="22">
        <f>MONTH(Table3[[#This Row],[Order Date]])</f>
        <v>9</v>
      </c>
      <c r="E2089" t="s">
        <v>6090</v>
      </c>
      <c r="F2089" t="s">
        <v>6091</v>
      </c>
      <c r="G2089" s="23" t="s">
        <v>41</v>
      </c>
      <c r="H2089" s="23" t="s">
        <v>82</v>
      </c>
      <c r="I2089" t="s">
        <v>5672</v>
      </c>
      <c r="J2089" t="s">
        <v>36</v>
      </c>
      <c r="K2089" s="22">
        <v>3</v>
      </c>
      <c r="L2089" s="1">
        <v>43011</v>
      </c>
      <c r="M2089" s="22">
        <f>Table3[[#This Row],[Ship Date]]-Table3[[#This Row],[Order Date]]</f>
        <v>3</v>
      </c>
      <c r="N2089" s="23" t="s">
        <v>169</v>
      </c>
      <c r="O2089" s="23" t="s">
        <v>23</v>
      </c>
      <c r="P2089" s="23" t="s">
        <v>87</v>
      </c>
      <c r="Q2089" s="23" t="s">
        <v>39</v>
      </c>
      <c r="R2089" s="23" t="s">
        <v>86</v>
      </c>
      <c r="S2089" s="33">
        <v>0</v>
      </c>
      <c r="T2089" s="13">
        <v>167.94</v>
      </c>
      <c r="U2089" s="13">
        <v>82.290599999999998</v>
      </c>
      <c r="V2089" s="55">
        <f>Table3[[#This Row],[Profit]]/Table3[[#This Row],[Sales]]</f>
        <v>0.49</v>
      </c>
    </row>
    <row r="2090" spans="1:22" x14ac:dyDescent="0.2">
      <c r="A2090">
        <v>2089</v>
      </c>
      <c r="B2090" t="s">
        <v>7350</v>
      </c>
      <c r="C2090" s="1">
        <v>43008</v>
      </c>
      <c r="D2090" s="22">
        <f>MONTH(Table3[[#This Row],[Order Date]])</f>
        <v>9</v>
      </c>
      <c r="E2090" t="s">
        <v>3609</v>
      </c>
      <c r="F2090" t="s">
        <v>3610</v>
      </c>
      <c r="G2090" s="23" t="s">
        <v>41</v>
      </c>
      <c r="H2090" s="23" t="s">
        <v>71</v>
      </c>
      <c r="I2090" t="s">
        <v>5672</v>
      </c>
      <c r="J2090" t="s">
        <v>36</v>
      </c>
      <c r="K2090" s="22">
        <v>1</v>
      </c>
      <c r="L2090" s="1">
        <v>43011</v>
      </c>
      <c r="M2090" s="22">
        <f>Table3[[#This Row],[Ship Date]]-Table3[[#This Row],[Order Date]]</f>
        <v>3</v>
      </c>
      <c r="N2090" s="23" t="s">
        <v>169</v>
      </c>
      <c r="O2090" s="23" t="s">
        <v>23</v>
      </c>
      <c r="P2090" s="23" t="s">
        <v>87</v>
      </c>
      <c r="Q2090" s="23" t="s">
        <v>39</v>
      </c>
      <c r="R2090" s="23" t="s">
        <v>86</v>
      </c>
      <c r="S2090" s="33">
        <v>0</v>
      </c>
      <c r="T2090" s="13">
        <v>3.89</v>
      </c>
      <c r="U2090" s="13">
        <v>1.0114000000000001</v>
      </c>
      <c r="V2090" s="55">
        <f>Table3[[#This Row],[Profit]]/Table3[[#This Row],[Sales]]</f>
        <v>0.26</v>
      </c>
    </row>
    <row r="2091" spans="1:22" x14ac:dyDescent="0.2">
      <c r="A2091">
        <v>2090</v>
      </c>
      <c r="B2091" t="s">
        <v>8263</v>
      </c>
      <c r="C2091" s="1">
        <v>43008</v>
      </c>
      <c r="D2091" s="22">
        <f>MONTH(Table3[[#This Row],[Order Date]])</f>
        <v>9</v>
      </c>
      <c r="E2091" t="s">
        <v>5140</v>
      </c>
      <c r="F2091" t="s">
        <v>5141</v>
      </c>
      <c r="G2091" s="23" t="s">
        <v>41</v>
      </c>
      <c r="H2091" s="23" t="s">
        <v>82</v>
      </c>
      <c r="I2091" t="s">
        <v>5763</v>
      </c>
      <c r="J2091" t="s">
        <v>22</v>
      </c>
      <c r="K2091" s="22">
        <v>3</v>
      </c>
      <c r="L2091" s="1">
        <v>43010</v>
      </c>
      <c r="M2091" s="22">
        <f>Table3[[#This Row],[Ship Date]]-Table3[[#This Row],[Order Date]]</f>
        <v>2</v>
      </c>
      <c r="N2091" s="23" t="s">
        <v>20</v>
      </c>
      <c r="O2091" s="23" t="s">
        <v>23</v>
      </c>
      <c r="P2091" s="23" t="s">
        <v>2408</v>
      </c>
      <c r="Q2091" s="23" t="s">
        <v>133</v>
      </c>
      <c r="R2091" s="23" t="s">
        <v>3967</v>
      </c>
      <c r="S2091" s="33">
        <v>0</v>
      </c>
      <c r="T2091" s="13">
        <v>164.88</v>
      </c>
      <c r="U2091" s="13">
        <v>80.791200000000003</v>
      </c>
      <c r="V2091" s="55">
        <f>Table3[[#This Row],[Profit]]/Table3[[#This Row],[Sales]]</f>
        <v>0.49000000000000005</v>
      </c>
    </row>
    <row r="2092" spans="1:22" x14ac:dyDescent="0.2">
      <c r="A2092">
        <v>2091</v>
      </c>
      <c r="B2092" t="s">
        <v>9666</v>
      </c>
      <c r="C2092" s="1">
        <v>43008</v>
      </c>
      <c r="D2092" s="22">
        <f>MONTH(Table3[[#This Row],[Order Date]])</f>
        <v>9</v>
      </c>
      <c r="E2092" t="s">
        <v>2257</v>
      </c>
      <c r="F2092" t="s">
        <v>2258</v>
      </c>
      <c r="G2092" s="23" t="s">
        <v>64</v>
      </c>
      <c r="H2092" s="23" t="s">
        <v>144</v>
      </c>
      <c r="I2092" t="s">
        <v>2998</v>
      </c>
      <c r="J2092" t="s">
        <v>92</v>
      </c>
      <c r="K2092" s="22">
        <v>2</v>
      </c>
      <c r="L2092" s="1">
        <v>43010</v>
      </c>
      <c r="M2092" s="22">
        <f>Table3[[#This Row],[Ship Date]]-Table3[[#This Row],[Order Date]]</f>
        <v>2</v>
      </c>
      <c r="N2092" s="23" t="s">
        <v>20</v>
      </c>
      <c r="O2092" s="23" t="s">
        <v>23</v>
      </c>
      <c r="P2092" s="23" t="s">
        <v>38</v>
      </c>
      <c r="Q2092" s="23" t="s">
        <v>39</v>
      </c>
      <c r="R2092" s="23" t="s">
        <v>37</v>
      </c>
      <c r="S2092" s="33">
        <v>0</v>
      </c>
      <c r="T2092" s="13">
        <v>159.97999999999999</v>
      </c>
      <c r="U2092" s="13">
        <v>47.994</v>
      </c>
      <c r="V2092" s="55">
        <f>Table3[[#This Row],[Profit]]/Table3[[#This Row],[Sales]]</f>
        <v>0.30000000000000004</v>
      </c>
    </row>
    <row r="2093" spans="1:22" x14ac:dyDescent="0.2">
      <c r="A2093">
        <v>2092</v>
      </c>
      <c r="B2093" t="s">
        <v>9704</v>
      </c>
      <c r="C2093" s="1">
        <v>43008</v>
      </c>
      <c r="D2093" s="22">
        <f>MONTH(Table3[[#This Row],[Order Date]])</f>
        <v>9</v>
      </c>
      <c r="E2093" t="s">
        <v>9705</v>
      </c>
      <c r="F2093" t="s">
        <v>9706</v>
      </c>
      <c r="G2093" s="23" t="s">
        <v>41</v>
      </c>
      <c r="H2093" s="23" t="s">
        <v>42</v>
      </c>
      <c r="I2093" t="s">
        <v>4076</v>
      </c>
      <c r="J2093" t="s">
        <v>36</v>
      </c>
      <c r="K2093" s="22">
        <v>7</v>
      </c>
      <c r="L2093" s="1">
        <v>43010</v>
      </c>
      <c r="M2093" s="22">
        <f>Table3[[#This Row],[Ship Date]]-Table3[[#This Row],[Order Date]]</f>
        <v>2</v>
      </c>
      <c r="N2093" s="23" t="s">
        <v>169</v>
      </c>
      <c r="O2093" s="23" t="s">
        <v>23</v>
      </c>
      <c r="P2093" s="23" t="s">
        <v>132</v>
      </c>
      <c r="Q2093" s="23" t="s">
        <v>133</v>
      </c>
      <c r="R2093" s="23" t="s">
        <v>131</v>
      </c>
      <c r="S2093" s="33">
        <v>0.2</v>
      </c>
      <c r="T2093" s="13">
        <v>20.664000000000001</v>
      </c>
      <c r="U2093" s="13">
        <v>6.9741</v>
      </c>
      <c r="V2093" s="55">
        <f>Table3[[#This Row],[Profit]]/Table3[[#This Row],[Sales]]</f>
        <v>0.33749999999999997</v>
      </c>
    </row>
    <row r="2094" spans="1:22" x14ac:dyDescent="0.2">
      <c r="A2094">
        <v>2093</v>
      </c>
      <c r="B2094" t="s">
        <v>9991</v>
      </c>
      <c r="C2094" s="1">
        <v>43008</v>
      </c>
      <c r="D2094" s="22">
        <f>MONTH(Table3[[#This Row],[Order Date]])</f>
        <v>9</v>
      </c>
      <c r="E2094" t="s">
        <v>2149</v>
      </c>
      <c r="F2094" t="s">
        <v>2150</v>
      </c>
      <c r="G2094" s="23" t="s">
        <v>41</v>
      </c>
      <c r="H2094" s="23" t="s">
        <v>68</v>
      </c>
      <c r="I2094" t="s">
        <v>2465</v>
      </c>
      <c r="J2094" t="s">
        <v>92</v>
      </c>
      <c r="K2094" s="22">
        <v>9</v>
      </c>
      <c r="L2094" s="1">
        <v>43014</v>
      </c>
      <c r="M2094" s="22">
        <f>Table3[[#This Row],[Ship Date]]-Table3[[#This Row],[Order Date]]</f>
        <v>6</v>
      </c>
      <c r="N2094" s="23" t="s">
        <v>45</v>
      </c>
      <c r="O2094" s="23" t="s">
        <v>23</v>
      </c>
      <c r="P2094" s="23" t="s">
        <v>94</v>
      </c>
      <c r="Q2094" s="23" t="s">
        <v>95</v>
      </c>
      <c r="R2094" s="23" t="s">
        <v>997</v>
      </c>
      <c r="S2094" s="33">
        <v>0.8</v>
      </c>
      <c r="T2094" s="13">
        <v>11.646000000000001</v>
      </c>
      <c r="U2094" s="13">
        <v>-17.469000000000001</v>
      </c>
      <c r="V2094" s="55">
        <f>Table3[[#This Row],[Profit]]/Table3[[#This Row],[Sales]]</f>
        <v>-1.5</v>
      </c>
    </row>
    <row r="2095" spans="1:22" x14ac:dyDescent="0.2">
      <c r="A2095">
        <v>2094</v>
      </c>
      <c r="B2095" t="s">
        <v>1329</v>
      </c>
      <c r="C2095" s="1">
        <v>43009</v>
      </c>
      <c r="D2095" s="22">
        <f>MONTH(Table3[[#This Row],[Order Date]])</f>
        <v>10</v>
      </c>
      <c r="E2095" t="s">
        <v>1331</v>
      </c>
      <c r="F2095" t="s">
        <v>1332</v>
      </c>
      <c r="G2095" s="23" t="s">
        <v>41</v>
      </c>
      <c r="H2095" s="23" t="s">
        <v>61</v>
      </c>
      <c r="I2095" t="s">
        <v>1330</v>
      </c>
      <c r="J2095" t="s">
        <v>36</v>
      </c>
      <c r="K2095" s="22">
        <v>6</v>
      </c>
      <c r="L2095" s="1">
        <v>43016</v>
      </c>
      <c r="M2095" s="22">
        <f>Table3[[#This Row],[Ship Date]]-Table3[[#This Row],[Order Date]]</f>
        <v>7</v>
      </c>
      <c r="N2095" s="23" t="s">
        <v>45</v>
      </c>
      <c r="O2095" s="23" t="s">
        <v>23</v>
      </c>
      <c r="P2095" s="23" t="s">
        <v>94</v>
      </c>
      <c r="Q2095" s="23" t="s">
        <v>95</v>
      </c>
      <c r="R2095" s="23" t="s">
        <v>598</v>
      </c>
      <c r="S2095" s="33">
        <v>0.2</v>
      </c>
      <c r="T2095" s="13">
        <v>6.6719999999999997</v>
      </c>
      <c r="U2095" s="13">
        <v>0.50039999999999996</v>
      </c>
      <c r="V2095" s="55">
        <f>Table3[[#This Row],[Profit]]/Table3[[#This Row],[Sales]]</f>
        <v>7.4999999999999997E-2</v>
      </c>
    </row>
    <row r="2096" spans="1:22" x14ac:dyDescent="0.2">
      <c r="A2096">
        <v>2095</v>
      </c>
      <c r="B2096" t="s">
        <v>1699</v>
      </c>
      <c r="C2096" s="1">
        <v>43009</v>
      </c>
      <c r="D2096" s="22">
        <f>MONTH(Table3[[#This Row],[Order Date]])</f>
        <v>10</v>
      </c>
      <c r="E2096" t="s">
        <v>1701</v>
      </c>
      <c r="F2096" t="s">
        <v>1702</v>
      </c>
      <c r="G2096" s="23" t="s">
        <v>41</v>
      </c>
      <c r="H2096" s="23" t="s">
        <v>82</v>
      </c>
      <c r="I2096" t="s">
        <v>1700</v>
      </c>
      <c r="J2096" t="s">
        <v>36</v>
      </c>
      <c r="K2096" s="22">
        <v>8</v>
      </c>
      <c r="L2096" s="1">
        <v>43016</v>
      </c>
      <c r="M2096" s="22">
        <f>Table3[[#This Row],[Ship Date]]-Table3[[#This Row],[Order Date]]</f>
        <v>7</v>
      </c>
      <c r="N2096" s="23" t="s">
        <v>45</v>
      </c>
      <c r="O2096" s="23" t="s">
        <v>23</v>
      </c>
      <c r="P2096" s="23" t="s">
        <v>87</v>
      </c>
      <c r="Q2096" s="23" t="s">
        <v>39</v>
      </c>
      <c r="R2096" s="23" t="s">
        <v>86</v>
      </c>
      <c r="S2096" s="33">
        <v>0</v>
      </c>
      <c r="T2096" s="13">
        <v>91.84</v>
      </c>
      <c r="U2096" s="13">
        <v>45.001600000000003</v>
      </c>
      <c r="V2096" s="55">
        <f>Table3[[#This Row],[Profit]]/Table3[[#This Row],[Sales]]</f>
        <v>0.49</v>
      </c>
    </row>
    <row r="2097" spans="1:22" x14ac:dyDescent="0.2">
      <c r="A2097">
        <v>2096</v>
      </c>
      <c r="B2097" t="s">
        <v>1699</v>
      </c>
      <c r="C2097" s="1">
        <v>43009</v>
      </c>
      <c r="D2097" s="22">
        <f>MONTH(Table3[[#This Row],[Order Date]])</f>
        <v>10</v>
      </c>
      <c r="E2097" t="s">
        <v>1703</v>
      </c>
      <c r="F2097" t="s">
        <v>1704</v>
      </c>
      <c r="G2097" s="23" t="s">
        <v>41</v>
      </c>
      <c r="H2097" s="23" t="s">
        <v>68</v>
      </c>
      <c r="I2097" t="s">
        <v>1700</v>
      </c>
      <c r="J2097" t="s">
        <v>36</v>
      </c>
      <c r="K2097" s="22">
        <v>7</v>
      </c>
      <c r="L2097" s="1">
        <v>43016</v>
      </c>
      <c r="M2097" s="22">
        <f>Table3[[#This Row],[Ship Date]]-Table3[[#This Row],[Order Date]]</f>
        <v>7</v>
      </c>
      <c r="N2097" s="23" t="s">
        <v>45</v>
      </c>
      <c r="O2097" s="23" t="s">
        <v>23</v>
      </c>
      <c r="P2097" s="23" t="s">
        <v>87</v>
      </c>
      <c r="Q2097" s="23" t="s">
        <v>39</v>
      </c>
      <c r="R2097" s="23" t="s">
        <v>86</v>
      </c>
      <c r="S2097" s="33">
        <v>0.2</v>
      </c>
      <c r="T2097" s="13">
        <v>81.087999999999994</v>
      </c>
      <c r="U2097" s="13">
        <v>27.3672</v>
      </c>
      <c r="V2097" s="55">
        <f>Table3[[#This Row],[Profit]]/Table3[[#This Row],[Sales]]</f>
        <v>0.33750000000000002</v>
      </c>
    </row>
    <row r="2098" spans="1:22" x14ac:dyDescent="0.2">
      <c r="A2098">
        <v>2097</v>
      </c>
      <c r="B2098" t="s">
        <v>1699</v>
      </c>
      <c r="C2098" s="1">
        <v>43009</v>
      </c>
      <c r="D2098" s="22">
        <f>MONTH(Table3[[#This Row],[Order Date]])</f>
        <v>10</v>
      </c>
      <c r="E2098" t="s">
        <v>1705</v>
      </c>
      <c r="F2098" t="s">
        <v>1706</v>
      </c>
      <c r="G2098" s="23" t="s">
        <v>41</v>
      </c>
      <c r="H2098" s="23" t="s">
        <v>82</v>
      </c>
      <c r="I2098" t="s">
        <v>1700</v>
      </c>
      <c r="J2098" t="s">
        <v>36</v>
      </c>
      <c r="K2098" s="22">
        <v>3</v>
      </c>
      <c r="L2098" s="1">
        <v>43016</v>
      </c>
      <c r="M2098" s="22">
        <f>Table3[[#This Row],[Ship Date]]-Table3[[#This Row],[Order Date]]</f>
        <v>7</v>
      </c>
      <c r="N2098" s="23" t="s">
        <v>45</v>
      </c>
      <c r="O2098" s="23" t="s">
        <v>23</v>
      </c>
      <c r="P2098" s="23" t="s">
        <v>87</v>
      </c>
      <c r="Q2098" s="23" t="s">
        <v>39</v>
      </c>
      <c r="R2098" s="23" t="s">
        <v>86</v>
      </c>
      <c r="S2098" s="33">
        <v>0</v>
      </c>
      <c r="T2098" s="13">
        <v>19.440000000000001</v>
      </c>
      <c r="U2098" s="13">
        <v>9.3312000000000008</v>
      </c>
      <c r="V2098" s="55">
        <f>Table3[[#This Row],[Profit]]/Table3[[#This Row],[Sales]]</f>
        <v>0.48000000000000004</v>
      </c>
    </row>
    <row r="2099" spans="1:22" x14ac:dyDescent="0.2">
      <c r="A2099">
        <v>2098</v>
      </c>
      <c r="B2099" t="s">
        <v>1699</v>
      </c>
      <c r="C2099" s="1">
        <v>43009</v>
      </c>
      <c r="D2099" s="22">
        <f>MONTH(Table3[[#This Row],[Order Date]])</f>
        <v>10</v>
      </c>
      <c r="E2099" t="s">
        <v>1707</v>
      </c>
      <c r="F2099" t="s">
        <v>1708</v>
      </c>
      <c r="G2099" s="23" t="s">
        <v>28</v>
      </c>
      <c r="H2099" s="23" t="s">
        <v>32</v>
      </c>
      <c r="I2099" t="s">
        <v>1700</v>
      </c>
      <c r="J2099" t="s">
        <v>36</v>
      </c>
      <c r="K2099" s="22">
        <v>3</v>
      </c>
      <c r="L2099" s="1">
        <v>43016</v>
      </c>
      <c r="M2099" s="22">
        <f>Table3[[#This Row],[Ship Date]]-Table3[[#This Row],[Order Date]]</f>
        <v>7</v>
      </c>
      <c r="N2099" s="23" t="s">
        <v>45</v>
      </c>
      <c r="O2099" s="23" t="s">
        <v>23</v>
      </c>
      <c r="P2099" s="23" t="s">
        <v>87</v>
      </c>
      <c r="Q2099" s="23" t="s">
        <v>39</v>
      </c>
      <c r="R2099" s="23" t="s">
        <v>86</v>
      </c>
      <c r="S2099" s="33">
        <v>0.2</v>
      </c>
      <c r="T2099" s="13">
        <v>451.15199999999999</v>
      </c>
      <c r="U2099" s="13">
        <v>0</v>
      </c>
      <c r="V2099" s="55">
        <f>Table3[[#This Row],[Profit]]/Table3[[#This Row],[Sales]]</f>
        <v>0</v>
      </c>
    </row>
    <row r="2100" spans="1:22" x14ac:dyDescent="0.2">
      <c r="A2100">
        <v>2099</v>
      </c>
      <c r="B2100" t="s">
        <v>4583</v>
      </c>
      <c r="C2100" s="1">
        <v>43009</v>
      </c>
      <c r="D2100" s="22">
        <f>MONTH(Table3[[#This Row],[Order Date]])</f>
        <v>10</v>
      </c>
      <c r="E2100" t="s">
        <v>2585</v>
      </c>
      <c r="F2100" t="s">
        <v>2586</v>
      </c>
      <c r="G2100" s="23" t="s">
        <v>41</v>
      </c>
      <c r="H2100" s="23" t="s">
        <v>68</v>
      </c>
      <c r="I2100" t="s">
        <v>3821</v>
      </c>
      <c r="J2100" t="s">
        <v>22</v>
      </c>
      <c r="K2100" s="22">
        <v>1</v>
      </c>
      <c r="L2100" s="1">
        <v>43010</v>
      </c>
      <c r="M2100" s="22">
        <f>Table3[[#This Row],[Ship Date]]-Table3[[#This Row],[Order Date]]</f>
        <v>1</v>
      </c>
      <c r="N2100" s="23" t="s">
        <v>169</v>
      </c>
      <c r="O2100" s="23" t="s">
        <v>23</v>
      </c>
      <c r="P2100" s="23" t="s">
        <v>38</v>
      </c>
      <c r="Q2100" s="23" t="s">
        <v>39</v>
      </c>
      <c r="R2100" s="23" t="s">
        <v>557</v>
      </c>
      <c r="S2100" s="33">
        <v>0.2</v>
      </c>
      <c r="T2100" s="13">
        <v>1.44</v>
      </c>
      <c r="U2100" s="13">
        <v>0.504</v>
      </c>
      <c r="V2100" s="55">
        <f>Table3[[#This Row],[Profit]]/Table3[[#This Row],[Sales]]</f>
        <v>0.35000000000000003</v>
      </c>
    </row>
    <row r="2101" spans="1:22" x14ac:dyDescent="0.2">
      <c r="A2101">
        <v>2100</v>
      </c>
      <c r="B2101" t="s">
        <v>4583</v>
      </c>
      <c r="C2101" s="1">
        <v>43009</v>
      </c>
      <c r="D2101" s="22">
        <f>MONTH(Table3[[#This Row],[Order Date]])</f>
        <v>10</v>
      </c>
      <c r="E2101" t="s">
        <v>1072</v>
      </c>
      <c r="F2101" t="s">
        <v>1073</v>
      </c>
      <c r="G2101" s="23" t="s">
        <v>41</v>
      </c>
      <c r="H2101" s="23" t="s">
        <v>68</v>
      </c>
      <c r="I2101" t="s">
        <v>3821</v>
      </c>
      <c r="J2101" t="s">
        <v>22</v>
      </c>
      <c r="K2101" s="22">
        <v>13</v>
      </c>
      <c r="L2101" s="1">
        <v>43010</v>
      </c>
      <c r="M2101" s="22">
        <f>Table3[[#This Row],[Ship Date]]-Table3[[#This Row],[Order Date]]</f>
        <v>1</v>
      </c>
      <c r="N2101" s="23" t="s">
        <v>169</v>
      </c>
      <c r="O2101" s="23" t="s">
        <v>23</v>
      </c>
      <c r="P2101" s="23" t="s">
        <v>38</v>
      </c>
      <c r="Q2101" s="23" t="s">
        <v>39</v>
      </c>
      <c r="R2101" s="23" t="s">
        <v>557</v>
      </c>
      <c r="S2101" s="33">
        <v>0.2</v>
      </c>
      <c r="T2101" s="13">
        <v>61.776000000000003</v>
      </c>
      <c r="U2101" s="13">
        <v>20.849399999999999</v>
      </c>
      <c r="V2101" s="55">
        <f>Table3[[#This Row],[Profit]]/Table3[[#This Row],[Sales]]</f>
        <v>0.33749999999999997</v>
      </c>
    </row>
    <row r="2102" spans="1:22" x14ac:dyDescent="0.2">
      <c r="A2102">
        <v>2101</v>
      </c>
      <c r="B2102" t="s">
        <v>4583</v>
      </c>
      <c r="C2102" s="1">
        <v>43009</v>
      </c>
      <c r="D2102" s="22">
        <f>MONTH(Table3[[#This Row],[Order Date]])</f>
        <v>10</v>
      </c>
      <c r="E2102" t="s">
        <v>2210</v>
      </c>
      <c r="F2102" t="s">
        <v>2941</v>
      </c>
      <c r="G2102" s="23" t="s">
        <v>41</v>
      </c>
      <c r="H2102" s="23" t="s">
        <v>71</v>
      </c>
      <c r="I2102" t="s">
        <v>3821</v>
      </c>
      <c r="J2102" t="s">
        <v>22</v>
      </c>
      <c r="K2102" s="22">
        <v>2</v>
      </c>
      <c r="L2102" s="1">
        <v>43010</v>
      </c>
      <c r="M2102" s="22">
        <f>Table3[[#This Row],[Ship Date]]-Table3[[#This Row],[Order Date]]</f>
        <v>1</v>
      </c>
      <c r="N2102" s="23" t="s">
        <v>169</v>
      </c>
      <c r="O2102" s="23" t="s">
        <v>23</v>
      </c>
      <c r="P2102" s="23" t="s">
        <v>38</v>
      </c>
      <c r="Q2102" s="23" t="s">
        <v>39</v>
      </c>
      <c r="R2102" s="23" t="s">
        <v>557</v>
      </c>
      <c r="S2102" s="33">
        <v>0</v>
      </c>
      <c r="T2102" s="13">
        <v>241.96</v>
      </c>
      <c r="U2102" s="13">
        <v>60.49</v>
      </c>
      <c r="V2102" s="55">
        <f>Table3[[#This Row],[Profit]]/Table3[[#This Row],[Sales]]</f>
        <v>0.25</v>
      </c>
    </row>
    <row r="2103" spans="1:22" x14ac:dyDescent="0.2">
      <c r="A2103">
        <v>2102</v>
      </c>
      <c r="B2103" t="s">
        <v>4583</v>
      </c>
      <c r="C2103" s="1">
        <v>43009</v>
      </c>
      <c r="D2103" s="22">
        <f>MONTH(Table3[[#This Row],[Order Date]])</f>
        <v>10</v>
      </c>
      <c r="E2103" t="s">
        <v>4584</v>
      </c>
      <c r="F2103" t="s">
        <v>4585</v>
      </c>
      <c r="G2103" s="23" t="s">
        <v>28</v>
      </c>
      <c r="H2103" s="23" t="s">
        <v>32</v>
      </c>
      <c r="I2103" t="s">
        <v>3821</v>
      </c>
      <c r="J2103" t="s">
        <v>22</v>
      </c>
      <c r="K2103" s="22">
        <v>4</v>
      </c>
      <c r="L2103" s="1">
        <v>43010</v>
      </c>
      <c r="M2103" s="22">
        <f>Table3[[#This Row],[Ship Date]]-Table3[[#This Row],[Order Date]]</f>
        <v>1</v>
      </c>
      <c r="N2103" s="23" t="s">
        <v>169</v>
      </c>
      <c r="O2103" s="23" t="s">
        <v>23</v>
      </c>
      <c r="P2103" s="23" t="s">
        <v>38</v>
      </c>
      <c r="Q2103" s="23" t="s">
        <v>39</v>
      </c>
      <c r="R2103" s="23" t="s">
        <v>557</v>
      </c>
      <c r="S2103" s="33">
        <v>0.2</v>
      </c>
      <c r="T2103" s="13">
        <v>108.608</v>
      </c>
      <c r="U2103" s="13">
        <v>9.5031999999999996</v>
      </c>
      <c r="V2103" s="55">
        <f>Table3[[#This Row],[Profit]]/Table3[[#This Row],[Sales]]</f>
        <v>8.7499999999999994E-2</v>
      </c>
    </row>
    <row r="2104" spans="1:22" x14ac:dyDescent="0.2">
      <c r="A2104">
        <v>2103</v>
      </c>
      <c r="B2104" t="s">
        <v>5820</v>
      </c>
      <c r="C2104" s="1">
        <v>43009</v>
      </c>
      <c r="D2104" s="22">
        <f>MONTH(Table3[[#This Row],[Order Date]])</f>
        <v>10</v>
      </c>
      <c r="E2104" t="s">
        <v>5821</v>
      </c>
      <c r="F2104" t="s">
        <v>5822</v>
      </c>
      <c r="G2104" s="23" t="s">
        <v>64</v>
      </c>
      <c r="H2104" s="23" t="s">
        <v>602</v>
      </c>
      <c r="I2104" t="s">
        <v>3522</v>
      </c>
      <c r="J2104" t="s">
        <v>92</v>
      </c>
      <c r="K2104" s="22">
        <v>11</v>
      </c>
      <c r="L2104" s="1">
        <v>43011</v>
      </c>
      <c r="M2104" s="22">
        <f>Table3[[#This Row],[Ship Date]]-Table3[[#This Row],[Order Date]]</f>
        <v>2</v>
      </c>
      <c r="N2104" s="23" t="s">
        <v>169</v>
      </c>
      <c r="O2104" s="23" t="s">
        <v>23</v>
      </c>
      <c r="P2104" s="23" t="s">
        <v>238</v>
      </c>
      <c r="Q2104" s="23" t="s">
        <v>133</v>
      </c>
      <c r="R2104" s="23" t="s">
        <v>237</v>
      </c>
      <c r="S2104" s="33">
        <v>0</v>
      </c>
      <c r="T2104" s="13">
        <v>1704.89</v>
      </c>
      <c r="U2104" s="13">
        <v>767.20050000000003</v>
      </c>
      <c r="V2104" s="55">
        <f>Table3[[#This Row],[Profit]]/Table3[[#This Row],[Sales]]</f>
        <v>0.45</v>
      </c>
    </row>
    <row r="2105" spans="1:22" x14ac:dyDescent="0.2">
      <c r="A2105">
        <v>2104</v>
      </c>
      <c r="B2105" t="s">
        <v>6053</v>
      </c>
      <c r="C2105" s="1">
        <v>43009</v>
      </c>
      <c r="D2105" s="22">
        <f>MONTH(Table3[[#This Row],[Order Date]])</f>
        <v>10</v>
      </c>
      <c r="E2105" t="s">
        <v>3154</v>
      </c>
      <c r="F2105" t="s">
        <v>3155</v>
      </c>
      <c r="G2105" s="23" t="s">
        <v>41</v>
      </c>
      <c r="H2105" s="23" t="s">
        <v>82</v>
      </c>
      <c r="I2105" t="s">
        <v>451</v>
      </c>
      <c r="J2105" t="s">
        <v>22</v>
      </c>
      <c r="K2105" s="22">
        <v>1</v>
      </c>
      <c r="L2105" s="1">
        <v>43015</v>
      </c>
      <c r="M2105" s="22">
        <f>Table3[[#This Row],[Ship Date]]-Table3[[#This Row],[Order Date]]</f>
        <v>6</v>
      </c>
      <c r="N2105" s="23" t="s">
        <v>45</v>
      </c>
      <c r="O2105" s="23" t="s">
        <v>23</v>
      </c>
      <c r="P2105" s="23" t="s">
        <v>124</v>
      </c>
      <c r="Q2105" s="23" t="s">
        <v>95</v>
      </c>
      <c r="R2105" s="23" t="s">
        <v>123</v>
      </c>
      <c r="S2105" s="33">
        <v>0</v>
      </c>
      <c r="T2105" s="13">
        <v>104.85</v>
      </c>
      <c r="U2105" s="13">
        <v>50.328000000000003</v>
      </c>
      <c r="V2105" s="55">
        <f>Table3[[#This Row],[Profit]]/Table3[[#This Row],[Sales]]</f>
        <v>0.48000000000000004</v>
      </c>
    </row>
    <row r="2106" spans="1:22" x14ac:dyDescent="0.2">
      <c r="A2106">
        <v>2105</v>
      </c>
      <c r="B2106" t="s">
        <v>9574</v>
      </c>
      <c r="C2106" s="1">
        <v>43009</v>
      </c>
      <c r="D2106" s="22">
        <f>MONTH(Table3[[#This Row],[Order Date]])</f>
        <v>10</v>
      </c>
      <c r="E2106" t="s">
        <v>1191</v>
      </c>
      <c r="F2106" t="s">
        <v>1192</v>
      </c>
      <c r="G2106" s="23" t="s">
        <v>64</v>
      </c>
      <c r="H2106" s="23" t="s">
        <v>144</v>
      </c>
      <c r="I2106" t="s">
        <v>1417</v>
      </c>
      <c r="J2106" t="s">
        <v>92</v>
      </c>
      <c r="K2106" s="22">
        <v>5</v>
      </c>
      <c r="L2106" s="1">
        <v>43014</v>
      </c>
      <c r="M2106" s="22">
        <f>Table3[[#This Row],[Ship Date]]-Table3[[#This Row],[Order Date]]</f>
        <v>5</v>
      </c>
      <c r="N2106" s="23" t="s">
        <v>45</v>
      </c>
      <c r="O2106" s="23" t="s">
        <v>23</v>
      </c>
      <c r="P2106" s="23" t="s">
        <v>38</v>
      </c>
      <c r="Q2106" s="23" t="s">
        <v>39</v>
      </c>
      <c r="R2106" s="23" t="s">
        <v>114</v>
      </c>
      <c r="S2106" s="33">
        <v>0</v>
      </c>
      <c r="T2106" s="13">
        <v>104.75</v>
      </c>
      <c r="U2106" s="13">
        <v>21.997499999999999</v>
      </c>
      <c r="V2106" s="55">
        <f>Table3[[#This Row],[Profit]]/Table3[[#This Row],[Sales]]</f>
        <v>0.21</v>
      </c>
    </row>
    <row r="2107" spans="1:22" x14ac:dyDescent="0.2">
      <c r="A2107">
        <v>2106</v>
      </c>
      <c r="B2107" t="s">
        <v>2097</v>
      </c>
      <c r="C2107" s="1">
        <v>43010</v>
      </c>
      <c r="D2107" s="22">
        <f>MONTH(Table3[[#This Row],[Order Date]])</f>
        <v>10</v>
      </c>
      <c r="E2107" t="s">
        <v>2100</v>
      </c>
      <c r="F2107" t="s">
        <v>2101</v>
      </c>
      <c r="G2107" s="23" t="s">
        <v>41</v>
      </c>
      <c r="H2107" s="23" t="s">
        <v>68</v>
      </c>
      <c r="I2107" t="s">
        <v>2098</v>
      </c>
      <c r="J2107" t="s">
        <v>22</v>
      </c>
      <c r="K2107" s="22">
        <v>3</v>
      </c>
      <c r="L2107" s="1">
        <v>43014</v>
      </c>
      <c r="M2107" s="22">
        <f>Table3[[#This Row],[Ship Date]]-Table3[[#This Row],[Order Date]]</f>
        <v>4</v>
      </c>
      <c r="N2107" s="23" t="s">
        <v>45</v>
      </c>
      <c r="O2107" s="23" t="s">
        <v>23</v>
      </c>
      <c r="P2107" s="23" t="s">
        <v>212</v>
      </c>
      <c r="Q2107" s="23" t="s">
        <v>95</v>
      </c>
      <c r="R2107" s="23" t="s">
        <v>2099</v>
      </c>
      <c r="S2107" s="33">
        <v>0</v>
      </c>
      <c r="T2107" s="13">
        <v>58.05</v>
      </c>
      <c r="U2107" s="13">
        <v>26.702999999999999</v>
      </c>
      <c r="V2107" s="55">
        <f>Table3[[#This Row],[Profit]]/Table3[[#This Row],[Sales]]</f>
        <v>0.46</v>
      </c>
    </row>
    <row r="2108" spans="1:22" x14ac:dyDescent="0.2">
      <c r="A2108">
        <v>2107</v>
      </c>
      <c r="B2108" t="s">
        <v>2097</v>
      </c>
      <c r="C2108" s="1">
        <v>43010</v>
      </c>
      <c r="D2108" s="22">
        <f>MONTH(Table3[[#This Row],[Order Date]])</f>
        <v>10</v>
      </c>
      <c r="E2108" t="s">
        <v>2102</v>
      </c>
      <c r="F2108" t="s">
        <v>2103</v>
      </c>
      <c r="G2108" s="23" t="s">
        <v>28</v>
      </c>
      <c r="H2108" s="23" t="s">
        <v>58</v>
      </c>
      <c r="I2108" t="s">
        <v>2098</v>
      </c>
      <c r="J2108" t="s">
        <v>22</v>
      </c>
      <c r="K2108" s="22">
        <v>11</v>
      </c>
      <c r="L2108" s="1">
        <v>43014</v>
      </c>
      <c r="M2108" s="22">
        <f>Table3[[#This Row],[Ship Date]]-Table3[[#This Row],[Order Date]]</f>
        <v>4</v>
      </c>
      <c r="N2108" s="23" t="s">
        <v>45</v>
      </c>
      <c r="O2108" s="23" t="s">
        <v>23</v>
      </c>
      <c r="P2108" s="23" t="s">
        <v>212</v>
      </c>
      <c r="Q2108" s="23" t="s">
        <v>95</v>
      </c>
      <c r="R2108" s="23" t="s">
        <v>2099</v>
      </c>
      <c r="S2108" s="33">
        <v>0</v>
      </c>
      <c r="T2108" s="13">
        <v>157.74</v>
      </c>
      <c r="U2108" s="13">
        <v>56.7864</v>
      </c>
      <c r="V2108" s="55">
        <f>Table3[[#This Row],[Profit]]/Table3[[#This Row],[Sales]]</f>
        <v>0.36</v>
      </c>
    </row>
    <row r="2109" spans="1:22" x14ac:dyDescent="0.2">
      <c r="A2109">
        <v>2108</v>
      </c>
      <c r="B2109" t="s">
        <v>2097</v>
      </c>
      <c r="C2109" s="1">
        <v>43010</v>
      </c>
      <c r="D2109" s="22">
        <f>MONTH(Table3[[#This Row],[Order Date]])</f>
        <v>10</v>
      </c>
      <c r="E2109" t="s">
        <v>1257</v>
      </c>
      <c r="F2109" t="s">
        <v>1258</v>
      </c>
      <c r="G2109" s="23" t="s">
        <v>41</v>
      </c>
      <c r="H2109" s="23" t="s">
        <v>61</v>
      </c>
      <c r="I2109" t="s">
        <v>2098</v>
      </c>
      <c r="J2109" t="s">
        <v>22</v>
      </c>
      <c r="K2109" s="22">
        <v>7</v>
      </c>
      <c r="L2109" s="1">
        <v>43014</v>
      </c>
      <c r="M2109" s="22">
        <f>Table3[[#This Row],[Ship Date]]-Table3[[#This Row],[Order Date]]</f>
        <v>4</v>
      </c>
      <c r="N2109" s="23" t="s">
        <v>45</v>
      </c>
      <c r="O2109" s="23" t="s">
        <v>23</v>
      </c>
      <c r="P2109" s="23" t="s">
        <v>212</v>
      </c>
      <c r="Q2109" s="23" t="s">
        <v>95</v>
      </c>
      <c r="R2109" s="23" t="s">
        <v>2099</v>
      </c>
      <c r="S2109" s="33">
        <v>0</v>
      </c>
      <c r="T2109" s="13">
        <v>56.98</v>
      </c>
      <c r="U2109" s="13">
        <v>22.792000000000002</v>
      </c>
      <c r="V2109" s="55">
        <f>Table3[[#This Row],[Profit]]/Table3[[#This Row],[Sales]]</f>
        <v>0.4</v>
      </c>
    </row>
    <row r="2110" spans="1:22" x14ac:dyDescent="0.2">
      <c r="A2110">
        <v>2109</v>
      </c>
      <c r="B2110" t="s">
        <v>2097</v>
      </c>
      <c r="C2110" s="1">
        <v>43010</v>
      </c>
      <c r="D2110" s="22">
        <f>MONTH(Table3[[#This Row],[Order Date]])</f>
        <v>10</v>
      </c>
      <c r="E2110" t="s">
        <v>2104</v>
      </c>
      <c r="F2110" t="s">
        <v>2105</v>
      </c>
      <c r="G2110" s="23" t="s">
        <v>41</v>
      </c>
      <c r="H2110" s="23" t="s">
        <v>68</v>
      </c>
      <c r="I2110" t="s">
        <v>2098</v>
      </c>
      <c r="J2110" t="s">
        <v>22</v>
      </c>
      <c r="K2110" s="22">
        <v>1</v>
      </c>
      <c r="L2110" s="1">
        <v>43014</v>
      </c>
      <c r="M2110" s="22">
        <f>Table3[[#This Row],[Ship Date]]-Table3[[#This Row],[Order Date]]</f>
        <v>4</v>
      </c>
      <c r="N2110" s="23" t="s">
        <v>45</v>
      </c>
      <c r="O2110" s="23" t="s">
        <v>23</v>
      </c>
      <c r="P2110" s="23" t="s">
        <v>212</v>
      </c>
      <c r="Q2110" s="23" t="s">
        <v>95</v>
      </c>
      <c r="R2110" s="23" t="s">
        <v>2099</v>
      </c>
      <c r="S2110" s="33">
        <v>0</v>
      </c>
      <c r="T2110" s="13">
        <v>2.88</v>
      </c>
      <c r="U2110" s="13">
        <v>1.4112</v>
      </c>
      <c r="V2110" s="55">
        <f>Table3[[#This Row],[Profit]]/Table3[[#This Row],[Sales]]</f>
        <v>0.49000000000000005</v>
      </c>
    </row>
    <row r="2111" spans="1:22" x14ac:dyDescent="0.2">
      <c r="A2111">
        <v>2110</v>
      </c>
      <c r="B2111" t="s">
        <v>5656</v>
      </c>
      <c r="C2111" s="1">
        <v>43010</v>
      </c>
      <c r="D2111" s="22">
        <f>MONTH(Table3[[#This Row],[Order Date]])</f>
        <v>10</v>
      </c>
      <c r="E2111" t="s">
        <v>5657</v>
      </c>
      <c r="F2111" t="s">
        <v>5658</v>
      </c>
      <c r="G2111" s="23" t="s">
        <v>41</v>
      </c>
      <c r="H2111" s="23" t="s">
        <v>82</v>
      </c>
      <c r="I2111" t="s">
        <v>5455</v>
      </c>
      <c r="J2111" t="s">
        <v>22</v>
      </c>
      <c r="K2111" s="22">
        <v>4</v>
      </c>
      <c r="L2111" s="1">
        <v>43014</v>
      </c>
      <c r="M2111" s="22">
        <f>Table3[[#This Row],[Ship Date]]-Table3[[#This Row],[Order Date]]</f>
        <v>4</v>
      </c>
      <c r="N2111" s="23" t="s">
        <v>45</v>
      </c>
      <c r="O2111" s="23" t="s">
        <v>23</v>
      </c>
      <c r="P2111" s="23" t="s">
        <v>238</v>
      </c>
      <c r="Q2111" s="23" t="s">
        <v>133</v>
      </c>
      <c r="R2111" s="23" t="s">
        <v>237</v>
      </c>
      <c r="S2111" s="33">
        <v>0</v>
      </c>
      <c r="T2111" s="13">
        <v>49.12</v>
      </c>
      <c r="U2111" s="13">
        <v>23.086400000000001</v>
      </c>
      <c r="V2111" s="55">
        <f>Table3[[#This Row],[Profit]]/Table3[[#This Row],[Sales]]</f>
        <v>0.47000000000000003</v>
      </c>
    </row>
    <row r="2112" spans="1:22" x14ac:dyDescent="0.2">
      <c r="A2112">
        <v>2111</v>
      </c>
      <c r="B2112" t="s">
        <v>5719</v>
      </c>
      <c r="C2112" s="1">
        <v>43010</v>
      </c>
      <c r="D2112" s="22">
        <f>MONTH(Table3[[#This Row],[Order Date]])</f>
        <v>10</v>
      </c>
      <c r="E2112" t="s">
        <v>2766</v>
      </c>
      <c r="F2112" t="s">
        <v>2767</v>
      </c>
      <c r="G2112" s="23" t="s">
        <v>64</v>
      </c>
      <c r="H2112" s="23" t="s">
        <v>65</v>
      </c>
      <c r="I2112" t="s">
        <v>2472</v>
      </c>
      <c r="J2112" t="s">
        <v>36</v>
      </c>
      <c r="K2112" s="22">
        <v>1</v>
      </c>
      <c r="L2112" s="1">
        <v>43016</v>
      </c>
      <c r="M2112" s="22">
        <f>Table3[[#This Row],[Ship Date]]-Table3[[#This Row],[Order Date]]</f>
        <v>6</v>
      </c>
      <c r="N2112" s="23" t="s">
        <v>45</v>
      </c>
      <c r="O2112" s="23" t="s">
        <v>23</v>
      </c>
      <c r="P2112" s="23" t="s">
        <v>238</v>
      </c>
      <c r="Q2112" s="23" t="s">
        <v>133</v>
      </c>
      <c r="R2112" s="23" t="s">
        <v>237</v>
      </c>
      <c r="S2112" s="33">
        <v>0</v>
      </c>
      <c r="T2112" s="13">
        <v>65.989999999999995</v>
      </c>
      <c r="U2112" s="13">
        <v>17.157399999999999</v>
      </c>
      <c r="V2112" s="55">
        <f>Table3[[#This Row],[Profit]]/Table3[[#This Row],[Sales]]</f>
        <v>0.26</v>
      </c>
    </row>
    <row r="2113" spans="1:22" x14ac:dyDescent="0.2">
      <c r="A2113">
        <v>2112</v>
      </c>
      <c r="B2113" t="s">
        <v>6390</v>
      </c>
      <c r="C2113" s="1">
        <v>43010</v>
      </c>
      <c r="D2113" s="22">
        <f>MONTH(Table3[[#This Row],[Order Date]])</f>
        <v>10</v>
      </c>
      <c r="E2113" t="s">
        <v>497</v>
      </c>
      <c r="F2113" t="s">
        <v>498</v>
      </c>
      <c r="G2113" s="23" t="s">
        <v>41</v>
      </c>
      <c r="H2113" s="23" t="s">
        <v>240</v>
      </c>
      <c r="I2113" t="s">
        <v>3239</v>
      </c>
      <c r="J2113" t="s">
        <v>92</v>
      </c>
      <c r="K2113" s="22">
        <v>3</v>
      </c>
      <c r="L2113" s="1">
        <v>43015</v>
      </c>
      <c r="M2113" s="22">
        <f>Table3[[#This Row],[Ship Date]]-Table3[[#This Row],[Order Date]]</f>
        <v>5</v>
      </c>
      <c r="N2113" s="23" t="s">
        <v>45</v>
      </c>
      <c r="O2113" s="23" t="s">
        <v>23</v>
      </c>
      <c r="P2113" s="23" t="s">
        <v>87</v>
      </c>
      <c r="Q2113" s="23" t="s">
        <v>39</v>
      </c>
      <c r="R2113" s="23" t="s">
        <v>86</v>
      </c>
      <c r="S2113" s="33">
        <v>0</v>
      </c>
      <c r="T2113" s="13">
        <v>8.94</v>
      </c>
      <c r="U2113" s="13">
        <v>4.1124000000000001</v>
      </c>
      <c r="V2113" s="55">
        <f>Table3[[#This Row],[Profit]]/Table3[[#This Row],[Sales]]</f>
        <v>0.46</v>
      </c>
    </row>
    <row r="2114" spans="1:22" x14ac:dyDescent="0.2">
      <c r="A2114">
        <v>2113</v>
      </c>
      <c r="B2114" t="s">
        <v>6390</v>
      </c>
      <c r="C2114" s="1">
        <v>43010</v>
      </c>
      <c r="D2114" s="22">
        <f>MONTH(Table3[[#This Row],[Order Date]])</f>
        <v>10</v>
      </c>
      <c r="E2114" t="s">
        <v>1745</v>
      </c>
      <c r="F2114" t="s">
        <v>1746</v>
      </c>
      <c r="G2114" s="23" t="s">
        <v>64</v>
      </c>
      <c r="H2114" s="23" t="s">
        <v>65</v>
      </c>
      <c r="I2114" t="s">
        <v>3239</v>
      </c>
      <c r="J2114" t="s">
        <v>92</v>
      </c>
      <c r="K2114" s="22">
        <v>2</v>
      </c>
      <c r="L2114" s="1">
        <v>43015</v>
      </c>
      <c r="M2114" s="22">
        <f>Table3[[#This Row],[Ship Date]]-Table3[[#This Row],[Order Date]]</f>
        <v>5</v>
      </c>
      <c r="N2114" s="23" t="s">
        <v>45</v>
      </c>
      <c r="O2114" s="23" t="s">
        <v>23</v>
      </c>
      <c r="P2114" s="23" t="s">
        <v>87</v>
      </c>
      <c r="Q2114" s="23" t="s">
        <v>39</v>
      </c>
      <c r="R2114" s="23" t="s">
        <v>86</v>
      </c>
      <c r="S2114" s="33">
        <v>0.2</v>
      </c>
      <c r="T2114" s="13">
        <v>84.784000000000006</v>
      </c>
      <c r="U2114" s="13">
        <v>-20.136199999999999</v>
      </c>
      <c r="V2114" s="55">
        <f>Table3[[#This Row],[Profit]]/Table3[[#This Row],[Sales]]</f>
        <v>-0.23749999999999996</v>
      </c>
    </row>
    <row r="2115" spans="1:22" x14ac:dyDescent="0.2">
      <c r="A2115">
        <v>2114</v>
      </c>
      <c r="B2115" t="s">
        <v>6512</v>
      </c>
      <c r="C2115" s="1">
        <v>43010</v>
      </c>
      <c r="D2115" s="22">
        <f>MONTH(Table3[[#This Row],[Order Date]])</f>
        <v>10</v>
      </c>
      <c r="E2115" t="s">
        <v>3128</v>
      </c>
      <c r="F2115" t="s">
        <v>3129</v>
      </c>
      <c r="G2115" s="23" t="s">
        <v>41</v>
      </c>
      <c r="H2115" s="23" t="s">
        <v>68</v>
      </c>
      <c r="I2115" t="s">
        <v>2841</v>
      </c>
      <c r="J2115" t="s">
        <v>92</v>
      </c>
      <c r="K2115" s="22">
        <v>5</v>
      </c>
      <c r="L2115" s="1">
        <v>43016</v>
      </c>
      <c r="M2115" s="22">
        <f>Table3[[#This Row],[Ship Date]]-Table3[[#This Row],[Order Date]]</f>
        <v>6</v>
      </c>
      <c r="N2115" s="23" t="s">
        <v>45</v>
      </c>
      <c r="O2115" s="23" t="s">
        <v>23</v>
      </c>
      <c r="P2115" s="23" t="s">
        <v>38</v>
      </c>
      <c r="Q2115" s="23" t="s">
        <v>39</v>
      </c>
      <c r="R2115" s="23" t="s">
        <v>37</v>
      </c>
      <c r="S2115" s="33">
        <v>0.2</v>
      </c>
      <c r="T2115" s="13">
        <v>112.12</v>
      </c>
      <c r="U2115" s="13">
        <v>42.045000000000002</v>
      </c>
      <c r="V2115" s="55">
        <f>Table3[[#This Row],[Profit]]/Table3[[#This Row],[Sales]]</f>
        <v>0.375</v>
      </c>
    </row>
    <row r="2116" spans="1:22" x14ac:dyDescent="0.2">
      <c r="A2116">
        <v>2115</v>
      </c>
      <c r="B2116" t="s">
        <v>6512</v>
      </c>
      <c r="C2116" s="1">
        <v>43010</v>
      </c>
      <c r="D2116" s="22">
        <f>MONTH(Table3[[#This Row],[Order Date]])</f>
        <v>10</v>
      </c>
      <c r="E2116" t="s">
        <v>3101</v>
      </c>
      <c r="F2116" t="s">
        <v>3102</v>
      </c>
      <c r="G2116" s="23" t="s">
        <v>41</v>
      </c>
      <c r="H2116" s="23" t="s">
        <v>53</v>
      </c>
      <c r="I2116" t="s">
        <v>2841</v>
      </c>
      <c r="J2116" t="s">
        <v>92</v>
      </c>
      <c r="K2116" s="22">
        <v>7</v>
      </c>
      <c r="L2116" s="1">
        <v>43016</v>
      </c>
      <c r="M2116" s="22">
        <f>Table3[[#This Row],[Ship Date]]-Table3[[#This Row],[Order Date]]</f>
        <v>6</v>
      </c>
      <c r="N2116" s="23" t="s">
        <v>45</v>
      </c>
      <c r="O2116" s="23" t="s">
        <v>23</v>
      </c>
      <c r="P2116" s="23" t="s">
        <v>38</v>
      </c>
      <c r="Q2116" s="23" t="s">
        <v>39</v>
      </c>
      <c r="R2116" s="23" t="s">
        <v>37</v>
      </c>
      <c r="S2116" s="33">
        <v>0</v>
      </c>
      <c r="T2116" s="13">
        <v>1575.14</v>
      </c>
      <c r="U2116" s="13">
        <v>204.76820000000001</v>
      </c>
      <c r="V2116" s="55">
        <f>Table3[[#This Row],[Profit]]/Table3[[#This Row],[Sales]]</f>
        <v>0.13</v>
      </c>
    </row>
    <row r="2117" spans="1:22" x14ac:dyDescent="0.2">
      <c r="A2117">
        <v>2116</v>
      </c>
      <c r="B2117" t="s">
        <v>7388</v>
      </c>
      <c r="C2117" s="1">
        <v>43010</v>
      </c>
      <c r="D2117" s="22">
        <f>MONTH(Table3[[#This Row],[Order Date]])</f>
        <v>10</v>
      </c>
      <c r="E2117" t="s">
        <v>4489</v>
      </c>
      <c r="F2117" t="s">
        <v>4490</v>
      </c>
      <c r="G2117" s="23" t="s">
        <v>28</v>
      </c>
      <c r="H2117" s="23" t="s">
        <v>58</v>
      </c>
      <c r="I2117" t="s">
        <v>5277</v>
      </c>
      <c r="J2117" t="s">
        <v>92</v>
      </c>
      <c r="K2117" s="22">
        <v>2</v>
      </c>
      <c r="L2117" s="1">
        <v>43013</v>
      </c>
      <c r="M2117" s="22">
        <f>Table3[[#This Row],[Ship Date]]-Table3[[#This Row],[Order Date]]</f>
        <v>3</v>
      </c>
      <c r="N2117" s="23" t="s">
        <v>169</v>
      </c>
      <c r="O2117" s="23" t="s">
        <v>23</v>
      </c>
      <c r="P2117" s="23" t="s">
        <v>299</v>
      </c>
      <c r="Q2117" s="23" t="s">
        <v>26</v>
      </c>
      <c r="R2117" s="23" t="s">
        <v>4558</v>
      </c>
      <c r="S2117" s="33">
        <v>0.2</v>
      </c>
      <c r="T2117" s="13">
        <v>11.808</v>
      </c>
      <c r="U2117" s="13">
        <v>1.3284</v>
      </c>
      <c r="V2117" s="55">
        <f>Table3[[#This Row],[Profit]]/Table3[[#This Row],[Sales]]</f>
        <v>0.1125</v>
      </c>
    </row>
    <row r="2118" spans="1:22" x14ac:dyDescent="0.2">
      <c r="A2118">
        <v>2117</v>
      </c>
      <c r="B2118" t="s">
        <v>7388</v>
      </c>
      <c r="C2118" s="1">
        <v>43010</v>
      </c>
      <c r="D2118" s="22">
        <f>MONTH(Table3[[#This Row],[Order Date]])</f>
        <v>10</v>
      </c>
      <c r="E2118" t="s">
        <v>1517</v>
      </c>
      <c r="F2118" t="s">
        <v>7389</v>
      </c>
      <c r="G2118" s="23" t="s">
        <v>28</v>
      </c>
      <c r="H2118" s="23" t="s">
        <v>58</v>
      </c>
      <c r="I2118" t="s">
        <v>5277</v>
      </c>
      <c r="J2118" t="s">
        <v>92</v>
      </c>
      <c r="K2118" s="22">
        <v>1</v>
      </c>
      <c r="L2118" s="1">
        <v>43013</v>
      </c>
      <c r="M2118" s="22">
        <f>Table3[[#This Row],[Ship Date]]-Table3[[#This Row],[Order Date]]</f>
        <v>3</v>
      </c>
      <c r="N2118" s="23" t="s">
        <v>169</v>
      </c>
      <c r="O2118" s="23" t="s">
        <v>23</v>
      </c>
      <c r="P2118" s="23" t="s">
        <v>299</v>
      </c>
      <c r="Q2118" s="23" t="s">
        <v>26</v>
      </c>
      <c r="R2118" s="23" t="s">
        <v>4558</v>
      </c>
      <c r="S2118" s="33">
        <v>0.2</v>
      </c>
      <c r="T2118" s="13">
        <v>9.6560000000000006</v>
      </c>
      <c r="U2118" s="13">
        <v>1.5690999999999999</v>
      </c>
      <c r="V2118" s="55">
        <f>Table3[[#This Row],[Profit]]/Table3[[#This Row],[Sales]]</f>
        <v>0.16249999999999998</v>
      </c>
    </row>
    <row r="2119" spans="1:22" x14ac:dyDescent="0.2">
      <c r="A2119">
        <v>2118</v>
      </c>
      <c r="B2119" t="s">
        <v>7388</v>
      </c>
      <c r="C2119" s="1">
        <v>43010</v>
      </c>
      <c r="D2119" s="22">
        <f>MONTH(Table3[[#This Row],[Order Date]])</f>
        <v>10</v>
      </c>
      <c r="E2119" t="s">
        <v>2957</v>
      </c>
      <c r="F2119" t="s">
        <v>2958</v>
      </c>
      <c r="G2119" s="23" t="s">
        <v>41</v>
      </c>
      <c r="H2119" s="23" t="s">
        <v>82</v>
      </c>
      <c r="I2119" t="s">
        <v>5277</v>
      </c>
      <c r="J2119" t="s">
        <v>92</v>
      </c>
      <c r="K2119" s="22">
        <v>4</v>
      </c>
      <c r="L2119" s="1">
        <v>43013</v>
      </c>
      <c r="M2119" s="22">
        <f>Table3[[#This Row],[Ship Date]]-Table3[[#This Row],[Order Date]]</f>
        <v>3</v>
      </c>
      <c r="N2119" s="23" t="s">
        <v>169</v>
      </c>
      <c r="O2119" s="23" t="s">
        <v>23</v>
      </c>
      <c r="P2119" s="23" t="s">
        <v>299</v>
      </c>
      <c r="Q2119" s="23" t="s">
        <v>26</v>
      </c>
      <c r="R2119" s="23" t="s">
        <v>4558</v>
      </c>
      <c r="S2119" s="33">
        <v>0.2</v>
      </c>
      <c r="T2119" s="13">
        <v>20.736000000000001</v>
      </c>
      <c r="U2119" s="13">
        <v>7.2576000000000001</v>
      </c>
      <c r="V2119" s="55">
        <f>Table3[[#This Row],[Profit]]/Table3[[#This Row],[Sales]]</f>
        <v>0.35</v>
      </c>
    </row>
    <row r="2120" spans="1:22" x14ac:dyDescent="0.2">
      <c r="A2120">
        <v>2119</v>
      </c>
      <c r="B2120" t="s">
        <v>7388</v>
      </c>
      <c r="C2120" s="1">
        <v>43010</v>
      </c>
      <c r="D2120" s="22">
        <f>MONTH(Table3[[#This Row],[Order Date]])</f>
        <v>10</v>
      </c>
      <c r="E2120" t="s">
        <v>3455</v>
      </c>
      <c r="F2120" t="s">
        <v>3456</v>
      </c>
      <c r="G2120" s="23" t="s">
        <v>41</v>
      </c>
      <c r="H2120" s="23" t="s">
        <v>68</v>
      </c>
      <c r="I2120" t="s">
        <v>5277</v>
      </c>
      <c r="J2120" t="s">
        <v>92</v>
      </c>
      <c r="K2120" s="22">
        <v>3</v>
      </c>
      <c r="L2120" s="1">
        <v>43013</v>
      </c>
      <c r="M2120" s="22">
        <f>Table3[[#This Row],[Ship Date]]-Table3[[#This Row],[Order Date]]</f>
        <v>3</v>
      </c>
      <c r="N2120" s="23" t="s">
        <v>169</v>
      </c>
      <c r="O2120" s="23" t="s">
        <v>23</v>
      </c>
      <c r="P2120" s="23" t="s">
        <v>299</v>
      </c>
      <c r="Q2120" s="23" t="s">
        <v>26</v>
      </c>
      <c r="R2120" s="23" t="s">
        <v>4558</v>
      </c>
      <c r="S2120" s="33">
        <v>0.7</v>
      </c>
      <c r="T2120" s="13">
        <v>27.36</v>
      </c>
      <c r="U2120" s="13">
        <v>-21.888000000000002</v>
      </c>
      <c r="V2120" s="55">
        <f>Table3[[#This Row],[Profit]]/Table3[[#This Row],[Sales]]</f>
        <v>-0.8</v>
      </c>
    </row>
    <row r="2121" spans="1:22" x14ac:dyDescent="0.2">
      <c r="A2121">
        <v>2120</v>
      </c>
      <c r="B2121" t="s">
        <v>7388</v>
      </c>
      <c r="C2121" s="1">
        <v>43010</v>
      </c>
      <c r="D2121" s="22">
        <f>MONTH(Table3[[#This Row],[Order Date]])</f>
        <v>10</v>
      </c>
      <c r="E2121" t="s">
        <v>2040</v>
      </c>
      <c r="F2121" t="s">
        <v>2041</v>
      </c>
      <c r="G2121" s="23" t="s">
        <v>28</v>
      </c>
      <c r="H2121" s="23" t="s">
        <v>50</v>
      </c>
      <c r="I2121" t="s">
        <v>5277</v>
      </c>
      <c r="J2121" t="s">
        <v>92</v>
      </c>
      <c r="K2121" s="22">
        <v>7</v>
      </c>
      <c r="L2121" s="1">
        <v>43013</v>
      </c>
      <c r="M2121" s="22">
        <f>Table3[[#This Row],[Ship Date]]-Table3[[#This Row],[Order Date]]</f>
        <v>3</v>
      </c>
      <c r="N2121" s="23" t="s">
        <v>169</v>
      </c>
      <c r="O2121" s="23" t="s">
        <v>23</v>
      </c>
      <c r="P2121" s="23" t="s">
        <v>299</v>
      </c>
      <c r="Q2121" s="23" t="s">
        <v>26</v>
      </c>
      <c r="R2121" s="23" t="s">
        <v>4558</v>
      </c>
      <c r="S2121" s="33">
        <v>0.4</v>
      </c>
      <c r="T2121" s="13">
        <v>2314.116</v>
      </c>
      <c r="U2121" s="13">
        <v>-1002.7836</v>
      </c>
      <c r="V2121" s="55">
        <f>Table3[[#This Row],[Profit]]/Table3[[#This Row],[Sales]]</f>
        <v>-0.43333333333333335</v>
      </c>
    </row>
    <row r="2122" spans="1:22" x14ac:dyDescent="0.2">
      <c r="A2122">
        <v>2121</v>
      </c>
      <c r="B2122" t="s">
        <v>7388</v>
      </c>
      <c r="C2122" s="1">
        <v>43010</v>
      </c>
      <c r="D2122" s="22">
        <f>MONTH(Table3[[#This Row],[Order Date]])</f>
        <v>10</v>
      </c>
      <c r="E2122" t="s">
        <v>2389</v>
      </c>
      <c r="F2122" t="s">
        <v>2390</v>
      </c>
      <c r="G2122" s="23" t="s">
        <v>41</v>
      </c>
      <c r="H2122" s="23" t="s">
        <v>68</v>
      </c>
      <c r="I2122" t="s">
        <v>5277</v>
      </c>
      <c r="J2122" t="s">
        <v>92</v>
      </c>
      <c r="K2122" s="22">
        <v>4</v>
      </c>
      <c r="L2122" s="1">
        <v>43013</v>
      </c>
      <c r="M2122" s="22">
        <f>Table3[[#This Row],[Ship Date]]-Table3[[#This Row],[Order Date]]</f>
        <v>3</v>
      </c>
      <c r="N2122" s="23" t="s">
        <v>169</v>
      </c>
      <c r="O2122" s="23" t="s">
        <v>23</v>
      </c>
      <c r="P2122" s="23" t="s">
        <v>299</v>
      </c>
      <c r="Q2122" s="23" t="s">
        <v>26</v>
      </c>
      <c r="R2122" s="23" t="s">
        <v>4558</v>
      </c>
      <c r="S2122" s="33">
        <v>0.7</v>
      </c>
      <c r="T2122" s="13">
        <v>34.235999999999997</v>
      </c>
      <c r="U2122" s="13">
        <v>-26.247599999999998</v>
      </c>
      <c r="V2122" s="55">
        <f>Table3[[#This Row],[Profit]]/Table3[[#This Row],[Sales]]</f>
        <v>-0.76666666666666672</v>
      </c>
    </row>
    <row r="2123" spans="1:22" x14ac:dyDescent="0.2">
      <c r="A2123">
        <v>2122</v>
      </c>
      <c r="B2123" t="s">
        <v>7388</v>
      </c>
      <c r="C2123" s="1">
        <v>43010</v>
      </c>
      <c r="D2123" s="22">
        <f>MONTH(Table3[[#This Row],[Order Date]])</f>
        <v>10</v>
      </c>
      <c r="E2123" t="s">
        <v>3063</v>
      </c>
      <c r="F2123" t="s">
        <v>3064</v>
      </c>
      <c r="G2123" s="23" t="s">
        <v>28</v>
      </c>
      <c r="H2123" s="23" t="s">
        <v>58</v>
      </c>
      <c r="I2123" t="s">
        <v>5277</v>
      </c>
      <c r="J2123" t="s">
        <v>92</v>
      </c>
      <c r="K2123" s="22">
        <v>2</v>
      </c>
      <c r="L2123" s="1">
        <v>43013</v>
      </c>
      <c r="M2123" s="22">
        <f>Table3[[#This Row],[Ship Date]]-Table3[[#This Row],[Order Date]]</f>
        <v>3</v>
      </c>
      <c r="N2123" s="23" t="s">
        <v>169</v>
      </c>
      <c r="O2123" s="23" t="s">
        <v>23</v>
      </c>
      <c r="P2123" s="23" t="s">
        <v>299</v>
      </c>
      <c r="Q2123" s="23" t="s">
        <v>26</v>
      </c>
      <c r="R2123" s="23" t="s">
        <v>4558</v>
      </c>
      <c r="S2123" s="33">
        <v>0.2</v>
      </c>
      <c r="T2123" s="13">
        <v>19.760000000000002</v>
      </c>
      <c r="U2123" s="13">
        <v>5.9279999999999999</v>
      </c>
      <c r="V2123" s="55">
        <f>Table3[[#This Row],[Profit]]/Table3[[#This Row],[Sales]]</f>
        <v>0.3</v>
      </c>
    </row>
    <row r="2124" spans="1:22" x14ac:dyDescent="0.2">
      <c r="A2124">
        <v>2123</v>
      </c>
      <c r="B2124" t="s">
        <v>7562</v>
      </c>
      <c r="C2124" s="1">
        <v>43010</v>
      </c>
      <c r="D2124" s="22">
        <f>MONTH(Table3[[#This Row],[Order Date]])</f>
        <v>10</v>
      </c>
      <c r="E2124" t="s">
        <v>5845</v>
      </c>
      <c r="F2124" t="s">
        <v>5846</v>
      </c>
      <c r="G2124" s="23" t="s">
        <v>28</v>
      </c>
      <c r="H2124" s="23" t="s">
        <v>58</v>
      </c>
      <c r="I2124" t="s">
        <v>3535</v>
      </c>
      <c r="J2124" t="s">
        <v>36</v>
      </c>
      <c r="K2124" s="22">
        <v>2</v>
      </c>
      <c r="L2124" s="1">
        <v>43014</v>
      </c>
      <c r="M2124" s="22">
        <f>Table3[[#This Row],[Ship Date]]-Table3[[#This Row],[Order Date]]</f>
        <v>4</v>
      </c>
      <c r="N2124" s="23" t="s">
        <v>20</v>
      </c>
      <c r="O2124" s="23" t="s">
        <v>23</v>
      </c>
      <c r="P2124" s="23" t="s">
        <v>320</v>
      </c>
      <c r="Q2124" s="23" t="s">
        <v>26</v>
      </c>
      <c r="R2124" s="23" t="s">
        <v>1608</v>
      </c>
      <c r="S2124" s="33">
        <v>0</v>
      </c>
      <c r="T2124" s="13">
        <v>10.16</v>
      </c>
      <c r="U2124" s="13">
        <v>3.4544000000000001</v>
      </c>
      <c r="V2124" s="55">
        <f>Table3[[#This Row],[Profit]]/Table3[[#This Row],[Sales]]</f>
        <v>0.34</v>
      </c>
    </row>
    <row r="2125" spans="1:22" x14ac:dyDescent="0.2">
      <c r="A2125">
        <v>2124</v>
      </c>
      <c r="B2125" t="s">
        <v>7725</v>
      </c>
      <c r="C2125" s="1">
        <v>43010</v>
      </c>
      <c r="D2125" s="22">
        <f>MONTH(Table3[[#This Row],[Order Date]])</f>
        <v>10</v>
      </c>
      <c r="E2125" t="s">
        <v>1276</v>
      </c>
      <c r="F2125" t="s">
        <v>1277</v>
      </c>
      <c r="G2125" s="23" t="s">
        <v>28</v>
      </c>
      <c r="H2125" s="23" t="s">
        <v>29</v>
      </c>
      <c r="I2125" t="s">
        <v>7549</v>
      </c>
      <c r="J2125" t="s">
        <v>22</v>
      </c>
      <c r="K2125" s="22">
        <v>6</v>
      </c>
      <c r="L2125" s="1">
        <v>43016</v>
      </c>
      <c r="M2125" s="22">
        <f>Table3[[#This Row],[Ship Date]]-Table3[[#This Row],[Order Date]]</f>
        <v>6</v>
      </c>
      <c r="N2125" s="23" t="s">
        <v>45</v>
      </c>
      <c r="O2125" s="23" t="s">
        <v>23</v>
      </c>
      <c r="P2125" s="23" t="s">
        <v>374</v>
      </c>
      <c r="Q2125" s="23" t="s">
        <v>39</v>
      </c>
      <c r="R2125" s="23" t="s">
        <v>284</v>
      </c>
      <c r="S2125" s="33">
        <v>0.7</v>
      </c>
      <c r="T2125" s="13">
        <v>217.76400000000001</v>
      </c>
      <c r="U2125" s="13">
        <v>-384.71640000000002</v>
      </c>
      <c r="V2125" s="55">
        <f>Table3[[#This Row],[Profit]]/Table3[[#This Row],[Sales]]</f>
        <v>-1.7666666666666666</v>
      </c>
    </row>
    <row r="2126" spans="1:22" x14ac:dyDescent="0.2">
      <c r="A2126">
        <v>2125</v>
      </c>
      <c r="B2126" t="s">
        <v>7725</v>
      </c>
      <c r="C2126" s="1">
        <v>43010</v>
      </c>
      <c r="D2126" s="22">
        <f>MONTH(Table3[[#This Row],[Order Date]])</f>
        <v>10</v>
      </c>
      <c r="E2126" t="s">
        <v>2051</v>
      </c>
      <c r="F2126" t="s">
        <v>2052</v>
      </c>
      <c r="G2126" s="23" t="s">
        <v>41</v>
      </c>
      <c r="H2126" s="23" t="s">
        <v>513</v>
      </c>
      <c r="I2126" t="s">
        <v>7549</v>
      </c>
      <c r="J2126" t="s">
        <v>22</v>
      </c>
      <c r="K2126" s="22">
        <v>6</v>
      </c>
      <c r="L2126" s="1">
        <v>43016</v>
      </c>
      <c r="M2126" s="22">
        <f>Table3[[#This Row],[Ship Date]]-Table3[[#This Row],[Order Date]]</f>
        <v>6</v>
      </c>
      <c r="N2126" s="23" t="s">
        <v>45</v>
      </c>
      <c r="O2126" s="23" t="s">
        <v>23</v>
      </c>
      <c r="P2126" s="23" t="s">
        <v>374</v>
      </c>
      <c r="Q2126" s="23" t="s">
        <v>39</v>
      </c>
      <c r="R2126" s="23" t="s">
        <v>284</v>
      </c>
      <c r="S2126" s="33">
        <v>0.2</v>
      </c>
      <c r="T2126" s="13">
        <v>39.072000000000003</v>
      </c>
      <c r="U2126" s="13">
        <v>4.3956</v>
      </c>
      <c r="V2126" s="55">
        <f>Table3[[#This Row],[Profit]]/Table3[[#This Row],[Sales]]</f>
        <v>0.11249999999999999</v>
      </c>
    </row>
    <row r="2127" spans="1:22" x14ac:dyDescent="0.2">
      <c r="A2127">
        <v>2126</v>
      </c>
      <c r="B2127" t="s">
        <v>7725</v>
      </c>
      <c r="C2127" s="1">
        <v>43010</v>
      </c>
      <c r="D2127" s="22">
        <f>MONTH(Table3[[#This Row],[Order Date]])</f>
        <v>10</v>
      </c>
      <c r="E2127" t="s">
        <v>2854</v>
      </c>
      <c r="F2127" t="s">
        <v>2855</v>
      </c>
      <c r="G2127" s="23" t="s">
        <v>41</v>
      </c>
      <c r="H2127" s="23" t="s">
        <v>68</v>
      </c>
      <c r="I2127" t="s">
        <v>7549</v>
      </c>
      <c r="J2127" t="s">
        <v>22</v>
      </c>
      <c r="K2127" s="22">
        <v>7</v>
      </c>
      <c r="L2127" s="1">
        <v>43016</v>
      </c>
      <c r="M2127" s="22">
        <f>Table3[[#This Row],[Ship Date]]-Table3[[#This Row],[Order Date]]</f>
        <v>6</v>
      </c>
      <c r="N2127" s="23" t="s">
        <v>45</v>
      </c>
      <c r="O2127" s="23" t="s">
        <v>23</v>
      </c>
      <c r="P2127" s="23" t="s">
        <v>374</v>
      </c>
      <c r="Q2127" s="23" t="s">
        <v>39</v>
      </c>
      <c r="R2127" s="23" t="s">
        <v>284</v>
      </c>
      <c r="S2127" s="33">
        <v>0.7</v>
      </c>
      <c r="T2127" s="13">
        <v>22.638000000000002</v>
      </c>
      <c r="U2127" s="13">
        <v>-16.601199999999999</v>
      </c>
      <c r="V2127" s="55">
        <f>Table3[[#This Row],[Profit]]/Table3[[#This Row],[Sales]]</f>
        <v>-0.73333333333333317</v>
      </c>
    </row>
    <row r="2128" spans="1:22" x14ac:dyDescent="0.2">
      <c r="A2128">
        <v>2127</v>
      </c>
      <c r="B2128" t="s">
        <v>7725</v>
      </c>
      <c r="C2128" s="1">
        <v>43010</v>
      </c>
      <c r="D2128" s="22">
        <f>MONTH(Table3[[#This Row],[Order Date]])</f>
        <v>10</v>
      </c>
      <c r="E2128" t="s">
        <v>5088</v>
      </c>
      <c r="F2128" t="s">
        <v>5089</v>
      </c>
      <c r="G2128" s="23" t="s">
        <v>41</v>
      </c>
      <c r="H2128" s="23" t="s">
        <v>61</v>
      </c>
      <c r="I2128" t="s">
        <v>7549</v>
      </c>
      <c r="J2128" t="s">
        <v>22</v>
      </c>
      <c r="K2128" s="22">
        <v>7</v>
      </c>
      <c r="L2128" s="1">
        <v>43016</v>
      </c>
      <c r="M2128" s="22">
        <f>Table3[[#This Row],[Ship Date]]-Table3[[#This Row],[Order Date]]</f>
        <v>6</v>
      </c>
      <c r="N2128" s="23" t="s">
        <v>45</v>
      </c>
      <c r="O2128" s="23" t="s">
        <v>23</v>
      </c>
      <c r="P2128" s="23" t="s">
        <v>374</v>
      </c>
      <c r="Q2128" s="23" t="s">
        <v>39</v>
      </c>
      <c r="R2128" s="23" t="s">
        <v>284</v>
      </c>
      <c r="S2128" s="33">
        <v>0.2</v>
      </c>
      <c r="T2128" s="13">
        <v>95.144000000000005</v>
      </c>
      <c r="U2128" s="13">
        <v>10.7037</v>
      </c>
      <c r="V2128" s="55">
        <f>Table3[[#This Row],[Profit]]/Table3[[#This Row],[Sales]]</f>
        <v>0.11249999999999999</v>
      </c>
    </row>
    <row r="2129" spans="1:22" x14ac:dyDescent="0.2">
      <c r="A2129">
        <v>2128</v>
      </c>
      <c r="B2129" t="s">
        <v>8570</v>
      </c>
      <c r="C2129" s="1">
        <v>43010</v>
      </c>
      <c r="D2129" s="22">
        <f>MONTH(Table3[[#This Row],[Order Date]])</f>
        <v>10</v>
      </c>
      <c r="E2129" t="s">
        <v>2397</v>
      </c>
      <c r="F2129" t="s">
        <v>2398</v>
      </c>
      <c r="G2129" s="23" t="s">
        <v>28</v>
      </c>
      <c r="H2129" s="23" t="s">
        <v>58</v>
      </c>
      <c r="I2129" t="s">
        <v>3259</v>
      </c>
      <c r="J2129" t="s">
        <v>22</v>
      </c>
      <c r="K2129" s="22">
        <v>2</v>
      </c>
      <c r="L2129" s="1">
        <v>43014</v>
      </c>
      <c r="M2129" s="22">
        <f>Table3[[#This Row],[Ship Date]]-Table3[[#This Row],[Order Date]]</f>
        <v>4</v>
      </c>
      <c r="N2129" s="23" t="s">
        <v>45</v>
      </c>
      <c r="O2129" s="23" t="s">
        <v>23</v>
      </c>
      <c r="P2129" s="23" t="s">
        <v>38</v>
      </c>
      <c r="Q2129" s="23" t="s">
        <v>39</v>
      </c>
      <c r="R2129" s="23" t="s">
        <v>114</v>
      </c>
      <c r="S2129" s="33">
        <v>0</v>
      </c>
      <c r="T2129" s="13">
        <v>17.46</v>
      </c>
      <c r="U2129" s="13">
        <v>5.9363999999999999</v>
      </c>
      <c r="V2129" s="55">
        <f>Table3[[#This Row],[Profit]]/Table3[[#This Row],[Sales]]</f>
        <v>0.33999999999999997</v>
      </c>
    </row>
    <row r="2130" spans="1:22" x14ac:dyDescent="0.2">
      <c r="A2130">
        <v>2129</v>
      </c>
      <c r="B2130" t="s">
        <v>8570</v>
      </c>
      <c r="C2130" s="1">
        <v>43010</v>
      </c>
      <c r="D2130" s="22">
        <f>MONTH(Table3[[#This Row],[Order Date]])</f>
        <v>10</v>
      </c>
      <c r="E2130" t="s">
        <v>8251</v>
      </c>
      <c r="F2130" t="s">
        <v>8252</v>
      </c>
      <c r="G2130" s="23" t="s">
        <v>64</v>
      </c>
      <c r="H2130" s="23" t="s">
        <v>602</v>
      </c>
      <c r="I2130" t="s">
        <v>3259</v>
      </c>
      <c r="J2130" t="s">
        <v>22</v>
      </c>
      <c r="K2130" s="22">
        <v>11</v>
      </c>
      <c r="L2130" s="1">
        <v>43014</v>
      </c>
      <c r="M2130" s="22">
        <f>Table3[[#This Row],[Ship Date]]-Table3[[#This Row],[Order Date]]</f>
        <v>4</v>
      </c>
      <c r="N2130" s="23" t="s">
        <v>45</v>
      </c>
      <c r="O2130" s="23" t="s">
        <v>23</v>
      </c>
      <c r="P2130" s="23" t="s">
        <v>38</v>
      </c>
      <c r="Q2130" s="23" t="s">
        <v>39</v>
      </c>
      <c r="R2130" s="23" t="s">
        <v>114</v>
      </c>
      <c r="S2130" s="33">
        <v>0.2</v>
      </c>
      <c r="T2130" s="13">
        <v>369.16</v>
      </c>
      <c r="U2130" s="13">
        <v>32.301499999999997</v>
      </c>
      <c r="V2130" s="55">
        <f>Table3[[#This Row],[Profit]]/Table3[[#This Row],[Sales]]</f>
        <v>8.7499999999999981E-2</v>
      </c>
    </row>
    <row r="2131" spans="1:22" x14ac:dyDescent="0.2">
      <c r="A2131">
        <v>2130</v>
      </c>
      <c r="B2131" t="s">
        <v>9822</v>
      </c>
      <c r="C2131" s="1">
        <v>43010</v>
      </c>
      <c r="D2131" s="22">
        <f>MONTH(Table3[[#This Row],[Order Date]])</f>
        <v>10</v>
      </c>
      <c r="E2131" t="s">
        <v>1758</v>
      </c>
      <c r="F2131" t="s">
        <v>1759</v>
      </c>
      <c r="G2131" s="23" t="s">
        <v>41</v>
      </c>
      <c r="H2131" s="23" t="s">
        <v>71</v>
      </c>
      <c r="I2131" t="s">
        <v>2049</v>
      </c>
      <c r="J2131" t="s">
        <v>36</v>
      </c>
      <c r="K2131" s="22">
        <v>2</v>
      </c>
      <c r="L2131" s="1">
        <v>43012</v>
      </c>
      <c r="M2131" s="22">
        <f>Table3[[#This Row],[Ship Date]]-Table3[[#This Row],[Order Date]]</f>
        <v>2</v>
      </c>
      <c r="N2131" s="23" t="s">
        <v>20</v>
      </c>
      <c r="O2131" s="23" t="s">
        <v>23</v>
      </c>
      <c r="P2131" s="23" t="s">
        <v>94</v>
      </c>
      <c r="Q2131" s="23" t="s">
        <v>95</v>
      </c>
      <c r="R2131" s="23" t="s">
        <v>165</v>
      </c>
      <c r="S2131" s="33">
        <v>0.8</v>
      </c>
      <c r="T2131" s="13">
        <v>15.224</v>
      </c>
      <c r="U2131" s="13">
        <v>-38.821199999999997</v>
      </c>
      <c r="V2131" s="55">
        <f>Table3[[#This Row],[Profit]]/Table3[[#This Row],[Sales]]</f>
        <v>-2.5499999999999998</v>
      </c>
    </row>
    <row r="2132" spans="1:22" x14ac:dyDescent="0.2">
      <c r="A2132">
        <v>2131</v>
      </c>
      <c r="B2132" t="s">
        <v>9822</v>
      </c>
      <c r="C2132" s="1">
        <v>43010</v>
      </c>
      <c r="D2132" s="22">
        <f>MONTH(Table3[[#This Row],[Order Date]])</f>
        <v>10</v>
      </c>
      <c r="E2132" t="s">
        <v>6021</v>
      </c>
      <c r="F2132" t="s">
        <v>6022</v>
      </c>
      <c r="G2132" s="23" t="s">
        <v>41</v>
      </c>
      <c r="H2132" s="23" t="s">
        <v>71</v>
      </c>
      <c r="I2132" t="s">
        <v>2049</v>
      </c>
      <c r="J2132" t="s">
        <v>36</v>
      </c>
      <c r="K2132" s="22">
        <v>6</v>
      </c>
      <c r="L2132" s="1">
        <v>43012</v>
      </c>
      <c r="M2132" s="22">
        <f>Table3[[#This Row],[Ship Date]]-Table3[[#This Row],[Order Date]]</f>
        <v>2</v>
      </c>
      <c r="N2132" s="23" t="s">
        <v>20</v>
      </c>
      <c r="O2132" s="23" t="s">
        <v>23</v>
      </c>
      <c r="P2132" s="23" t="s">
        <v>94</v>
      </c>
      <c r="Q2132" s="23" t="s">
        <v>95</v>
      </c>
      <c r="R2132" s="23" t="s">
        <v>165</v>
      </c>
      <c r="S2132" s="33">
        <v>0.8</v>
      </c>
      <c r="T2132" s="13">
        <v>21.984000000000002</v>
      </c>
      <c r="U2132" s="13">
        <v>-56.059199999999997</v>
      </c>
      <c r="V2132" s="55">
        <f>Table3[[#This Row],[Profit]]/Table3[[#This Row],[Sales]]</f>
        <v>-2.5499999999999998</v>
      </c>
    </row>
    <row r="2133" spans="1:22" x14ac:dyDescent="0.2">
      <c r="A2133">
        <v>2132</v>
      </c>
      <c r="B2133" t="s">
        <v>4172</v>
      </c>
      <c r="C2133" s="1">
        <v>43011</v>
      </c>
      <c r="D2133" s="22">
        <f>MONTH(Table3[[#This Row],[Order Date]])</f>
        <v>10</v>
      </c>
      <c r="E2133" t="s">
        <v>4174</v>
      </c>
      <c r="F2133" t="s">
        <v>4175</v>
      </c>
      <c r="G2133" s="23" t="s">
        <v>41</v>
      </c>
      <c r="H2133" s="23" t="s">
        <v>68</v>
      </c>
      <c r="I2133" t="s">
        <v>4173</v>
      </c>
      <c r="J2133" t="s">
        <v>22</v>
      </c>
      <c r="K2133" s="22">
        <v>2</v>
      </c>
      <c r="L2133" s="1">
        <v>43014</v>
      </c>
      <c r="M2133" s="22">
        <f>Table3[[#This Row],[Ship Date]]-Table3[[#This Row],[Order Date]]</f>
        <v>3</v>
      </c>
      <c r="N2133" s="23" t="s">
        <v>169</v>
      </c>
      <c r="O2133" s="23" t="s">
        <v>23</v>
      </c>
      <c r="P2133" s="23" t="s">
        <v>204</v>
      </c>
      <c r="Q2133" s="23" t="s">
        <v>95</v>
      </c>
      <c r="R2133" s="23" t="s">
        <v>364</v>
      </c>
      <c r="S2133" s="33">
        <v>0</v>
      </c>
      <c r="T2133" s="13">
        <v>1793.98</v>
      </c>
      <c r="U2133" s="13">
        <v>843.17060000000004</v>
      </c>
      <c r="V2133" s="55">
        <f>Table3[[#This Row],[Profit]]/Table3[[#This Row],[Sales]]</f>
        <v>0.47000000000000003</v>
      </c>
    </row>
    <row r="2134" spans="1:22" x14ac:dyDescent="0.2">
      <c r="A2134">
        <v>2133</v>
      </c>
      <c r="B2134" t="s">
        <v>5501</v>
      </c>
      <c r="C2134" s="1">
        <v>43011</v>
      </c>
      <c r="D2134" s="22">
        <f>MONTH(Table3[[#This Row],[Order Date]])</f>
        <v>10</v>
      </c>
      <c r="E2134" t="s">
        <v>3510</v>
      </c>
      <c r="F2134" t="s">
        <v>3511</v>
      </c>
      <c r="G2134" s="23" t="s">
        <v>41</v>
      </c>
      <c r="H2134" s="23" t="s">
        <v>53</v>
      </c>
      <c r="I2134" t="s">
        <v>2425</v>
      </c>
      <c r="J2134" t="s">
        <v>22</v>
      </c>
      <c r="K2134" s="22">
        <v>2</v>
      </c>
      <c r="L2134" s="1">
        <v>43016</v>
      </c>
      <c r="M2134" s="22">
        <f>Table3[[#This Row],[Ship Date]]-Table3[[#This Row],[Order Date]]</f>
        <v>5</v>
      </c>
      <c r="N2134" s="23" t="s">
        <v>20</v>
      </c>
      <c r="O2134" s="23" t="s">
        <v>23</v>
      </c>
      <c r="P2134" s="23" t="s">
        <v>238</v>
      </c>
      <c r="Q2134" s="23" t="s">
        <v>133</v>
      </c>
      <c r="R2134" s="23" t="s">
        <v>347</v>
      </c>
      <c r="S2134" s="33">
        <v>0</v>
      </c>
      <c r="T2134" s="13">
        <v>22.58</v>
      </c>
      <c r="U2134" s="13">
        <v>5.8708</v>
      </c>
      <c r="V2134" s="55">
        <f>Table3[[#This Row],[Profit]]/Table3[[#This Row],[Sales]]</f>
        <v>0.26</v>
      </c>
    </row>
    <row r="2135" spans="1:22" x14ac:dyDescent="0.2">
      <c r="A2135">
        <v>2134</v>
      </c>
      <c r="B2135" t="s">
        <v>5568</v>
      </c>
      <c r="C2135" s="1">
        <v>43011</v>
      </c>
      <c r="D2135" s="22">
        <f>MONTH(Table3[[#This Row],[Order Date]])</f>
        <v>10</v>
      </c>
      <c r="E2135" t="s">
        <v>2469</v>
      </c>
      <c r="F2135" t="s">
        <v>2470</v>
      </c>
      <c r="G2135" s="23" t="s">
        <v>28</v>
      </c>
      <c r="H2135" s="23" t="s">
        <v>50</v>
      </c>
      <c r="I2135" t="s">
        <v>3267</v>
      </c>
      <c r="J2135" t="s">
        <v>36</v>
      </c>
      <c r="K2135" s="22">
        <v>3</v>
      </c>
      <c r="L2135" s="1">
        <v>43016</v>
      </c>
      <c r="M2135" s="22">
        <f>Table3[[#This Row],[Ship Date]]-Table3[[#This Row],[Order Date]]</f>
        <v>5</v>
      </c>
      <c r="N2135" s="23" t="s">
        <v>45</v>
      </c>
      <c r="O2135" s="23" t="s">
        <v>23</v>
      </c>
      <c r="P2135" s="23" t="s">
        <v>38</v>
      </c>
      <c r="Q2135" s="23" t="s">
        <v>39</v>
      </c>
      <c r="R2135" s="23" t="s">
        <v>533</v>
      </c>
      <c r="S2135" s="33">
        <v>0.2</v>
      </c>
      <c r="T2135" s="13">
        <v>171.28800000000001</v>
      </c>
      <c r="U2135" s="13">
        <v>-6.4233000000000002</v>
      </c>
      <c r="V2135" s="55">
        <f>Table3[[#This Row],[Profit]]/Table3[[#This Row],[Sales]]</f>
        <v>-3.7499999999999999E-2</v>
      </c>
    </row>
    <row r="2136" spans="1:22" x14ac:dyDescent="0.2">
      <c r="A2136">
        <v>2135</v>
      </c>
      <c r="B2136" t="s">
        <v>6676</v>
      </c>
      <c r="C2136" s="1">
        <v>43011</v>
      </c>
      <c r="D2136" s="22">
        <f>MONTH(Table3[[#This Row],[Order Date]])</f>
        <v>10</v>
      </c>
      <c r="E2136" t="s">
        <v>6677</v>
      </c>
      <c r="F2136" t="s">
        <v>6678</v>
      </c>
      <c r="G2136" s="23" t="s">
        <v>41</v>
      </c>
      <c r="H2136" s="23" t="s">
        <v>82</v>
      </c>
      <c r="I2136" t="s">
        <v>1051</v>
      </c>
      <c r="J2136" t="s">
        <v>22</v>
      </c>
      <c r="K2136" s="22">
        <v>3</v>
      </c>
      <c r="L2136" s="1">
        <v>43017</v>
      </c>
      <c r="M2136" s="22">
        <f>Table3[[#This Row],[Ship Date]]-Table3[[#This Row],[Order Date]]</f>
        <v>6</v>
      </c>
      <c r="N2136" s="23" t="s">
        <v>45</v>
      </c>
      <c r="O2136" s="23" t="s">
        <v>23</v>
      </c>
      <c r="P2136" s="23" t="s">
        <v>48</v>
      </c>
      <c r="Q2136" s="23" t="s">
        <v>26</v>
      </c>
      <c r="R2136" s="23" t="s">
        <v>2050</v>
      </c>
      <c r="S2136" s="33">
        <v>0.2</v>
      </c>
      <c r="T2136" s="13">
        <v>15.552</v>
      </c>
      <c r="U2136" s="13">
        <v>5.4432</v>
      </c>
      <c r="V2136" s="55">
        <f>Table3[[#This Row],[Profit]]/Table3[[#This Row],[Sales]]</f>
        <v>0.35000000000000003</v>
      </c>
    </row>
    <row r="2137" spans="1:22" x14ac:dyDescent="0.2">
      <c r="A2137">
        <v>2136</v>
      </c>
      <c r="B2137" t="s">
        <v>6676</v>
      </c>
      <c r="C2137" s="1">
        <v>43011</v>
      </c>
      <c r="D2137" s="22">
        <f>MONTH(Table3[[#This Row],[Order Date]])</f>
        <v>10</v>
      </c>
      <c r="E2137" t="s">
        <v>1941</v>
      </c>
      <c r="F2137" t="s">
        <v>1942</v>
      </c>
      <c r="G2137" s="23" t="s">
        <v>41</v>
      </c>
      <c r="H2137" s="23" t="s">
        <v>71</v>
      </c>
      <c r="I2137" t="s">
        <v>1051</v>
      </c>
      <c r="J2137" t="s">
        <v>22</v>
      </c>
      <c r="K2137" s="22">
        <v>5</v>
      </c>
      <c r="L2137" s="1">
        <v>43017</v>
      </c>
      <c r="M2137" s="22">
        <f>Table3[[#This Row],[Ship Date]]-Table3[[#This Row],[Order Date]]</f>
        <v>6</v>
      </c>
      <c r="N2137" s="23" t="s">
        <v>45</v>
      </c>
      <c r="O2137" s="23" t="s">
        <v>23</v>
      </c>
      <c r="P2137" s="23" t="s">
        <v>48</v>
      </c>
      <c r="Q2137" s="23" t="s">
        <v>26</v>
      </c>
      <c r="R2137" s="23" t="s">
        <v>2050</v>
      </c>
      <c r="S2137" s="33">
        <v>0.2</v>
      </c>
      <c r="T2137" s="13">
        <v>17.920000000000002</v>
      </c>
      <c r="U2137" s="13">
        <v>1.1200000000000001</v>
      </c>
      <c r="V2137" s="55">
        <f>Table3[[#This Row],[Profit]]/Table3[[#This Row],[Sales]]</f>
        <v>6.25E-2</v>
      </c>
    </row>
    <row r="2138" spans="1:22" x14ac:dyDescent="0.2">
      <c r="A2138">
        <v>2137</v>
      </c>
      <c r="B2138" t="s">
        <v>8090</v>
      </c>
      <c r="C2138" s="1">
        <v>43011</v>
      </c>
      <c r="D2138" s="22">
        <f>MONTH(Table3[[#This Row],[Order Date]])</f>
        <v>10</v>
      </c>
      <c r="E2138" t="s">
        <v>428</v>
      </c>
      <c r="F2138" t="s">
        <v>429</v>
      </c>
      <c r="G2138" s="23" t="s">
        <v>28</v>
      </c>
      <c r="H2138" s="23" t="s">
        <v>58</v>
      </c>
      <c r="I2138" t="s">
        <v>1878</v>
      </c>
      <c r="J2138" t="s">
        <v>92</v>
      </c>
      <c r="K2138" s="22">
        <v>4</v>
      </c>
      <c r="L2138" s="1">
        <v>43013</v>
      </c>
      <c r="M2138" s="22">
        <f>Table3[[#This Row],[Ship Date]]-Table3[[#This Row],[Order Date]]</f>
        <v>2</v>
      </c>
      <c r="N2138" s="23" t="s">
        <v>20</v>
      </c>
      <c r="O2138" s="23" t="s">
        <v>23</v>
      </c>
      <c r="P2138" s="23" t="s">
        <v>238</v>
      </c>
      <c r="Q2138" s="23" t="s">
        <v>133</v>
      </c>
      <c r="R2138" s="23" t="s">
        <v>237</v>
      </c>
      <c r="S2138" s="33">
        <v>0</v>
      </c>
      <c r="T2138" s="13">
        <v>83.92</v>
      </c>
      <c r="U2138" s="13">
        <v>21.819199999999999</v>
      </c>
      <c r="V2138" s="55">
        <f>Table3[[#This Row],[Profit]]/Table3[[#This Row],[Sales]]</f>
        <v>0.25999999999999995</v>
      </c>
    </row>
    <row r="2139" spans="1:22" x14ac:dyDescent="0.2">
      <c r="A2139">
        <v>2138</v>
      </c>
      <c r="B2139" t="s">
        <v>8090</v>
      </c>
      <c r="C2139" s="1">
        <v>43011</v>
      </c>
      <c r="D2139" s="22">
        <f>MONTH(Table3[[#This Row],[Order Date]])</f>
        <v>10</v>
      </c>
      <c r="E2139" t="s">
        <v>2726</v>
      </c>
      <c r="F2139" t="s">
        <v>2727</v>
      </c>
      <c r="G2139" s="23" t="s">
        <v>41</v>
      </c>
      <c r="H2139" s="23" t="s">
        <v>61</v>
      </c>
      <c r="I2139" t="s">
        <v>1878</v>
      </c>
      <c r="J2139" t="s">
        <v>92</v>
      </c>
      <c r="K2139" s="22">
        <v>3</v>
      </c>
      <c r="L2139" s="1">
        <v>43013</v>
      </c>
      <c r="M2139" s="22">
        <f>Table3[[#This Row],[Ship Date]]-Table3[[#This Row],[Order Date]]</f>
        <v>2</v>
      </c>
      <c r="N2139" s="23" t="s">
        <v>20</v>
      </c>
      <c r="O2139" s="23" t="s">
        <v>23</v>
      </c>
      <c r="P2139" s="23" t="s">
        <v>238</v>
      </c>
      <c r="Q2139" s="23" t="s">
        <v>133</v>
      </c>
      <c r="R2139" s="23" t="s">
        <v>237</v>
      </c>
      <c r="S2139" s="33">
        <v>0</v>
      </c>
      <c r="T2139" s="13">
        <v>6.63</v>
      </c>
      <c r="U2139" s="13">
        <v>3.1160999999999999</v>
      </c>
      <c r="V2139" s="55">
        <f>Table3[[#This Row],[Profit]]/Table3[[#This Row],[Sales]]</f>
        <v>0.47</v>
      </c>
    </row>
    <row r="2140" spans="1:22" x14ac:dyDescent="0.2">
      <c r="A2140">
        <v>2139</v>
      </c>
      <c r="B2140" t="s">
        <v>8090</v>
      </c>
      <c r="C2140" s="1">
        <v>43011</v>
      </c>
      <c r="D2140" s="22">
        <f>MONTH(Table3[[#This Row],[Order Date]])</f>
        <v>10</v>
      </c>
      <c r="E2140" t="s">
        <v>2382</v>
      </c>
      <c r="F2140" t="s">
        <v>2383</v>
      </c>
      <c r="G2140" s="23" t="s">
        <v>64</v>
      </c>
      <c r="H2140" s="23" t="s">
        <v>144</v>
      </c>
      <c r="I2140" t="s">
        <v>1878</v>
      </c>
      <c r="J2140" t="s">
        <v>92</v>
      </c>
      <c r="K2140" s="22">
        <v>3</v>
      </c>
      <c r="L2140" s="1">
        <v>43013</v>
      </c>
      <c r="M2140" s="22">
        <f>Table3[[#This Row],[Ship Date]]-Table3[[#This Row],[Order Date]]</f>
        <v>2</v>
      </c>
      <c r="N2140" s="23" t="s">
        <v>20</v>
      </c>
      <c r="O2140" s="23" t="s">
        <v>23</v>
      </c>
      <c r="P2140" s="23" t="s">
        <v>238</v>
      </c>
      <c r="Q2140" s="23" t="s">
        <v>133</v>
      </c>
      <c r="R2140" s="23" t="s">
        <v>237</v>
      </c>
      <c r="S2140" s="33">
        <v>0</v>
      </c>
      <c r="T2140" s="13">
        <v>371.97</v>
      </c>
      <c r="U2140" s="13">
        <v>66.954599999999999</v>
      </c>
      <c r="V2140" s="55">
        <f>Table3[[#This Row],[Profit]]/Table3[[#This Row],[Sales]]</f>
        <v>0.18</v>
      </c>
    </row>
    <row r="2141" spans="1:22" x14ac:dyDescent="0.2">
      <c r="A2141">
        <v>2140</v>
      </c>
      <c r="B2141" t="s">
        <v>9058</v>
      </c>
      <c r="C2141" s="1">
        <v>43011</v>
      </c>
      <c r="D2141" s="22">
        <f>MONTH(Table3[[#This Row],[Order Date]])</f>
        <v>10</v>
      </c>
      <c r="E2141" t="s">
        <v>3163</v>
      </c>
      <c r="F2141" t="s">
        <v>3164</v>
      </c>
      <c r="G2141" s="23" t="s">
        <v>41</v>
      </c>
      <c r="H2141" s="23" t="s">
        <v>61</v>
      </c>
      <c r="I2141" t="s">
        <v>3217</v>
      </c>
      <c r="J2141" t="s">
        <v>36</v>
      </c>
      <c r="K2141" s="22">
        <v>5</v>
      </c>
      <c r="L2141" s="1">
        <v>43015</v>
      </c>
      <c r="M2141" s="22">
        <f>Table3[[#This Row],[Ship Date]]-Table3[[#This Row],[Order Date]]</f>
        <v>4</v>
      </c>
      <c r="N2141" s="23" t="s">
        <v>20</v>
      </c>
      <c r="O2141" s="23" t="s">
        <v>23</v>
      </c>
      <c r="P2141" s="23" t="s">
        <v>94</v>
      </c>
      <c r="Q2141" s="23" t="s">
        <v>95</v>
      </c>
      <c r="R2141" s="23" t="s">
        <v>533</v>
      </c>
      <c r="S2141" s="33">
        <v>0.2</v>
      </c>
      <c r="T2141" s="13">
        <v>20.64</v>
      </c>
      <c r="U2141" s="13">
        <v>2.3220000000000001</v>
      </c>
      <c r="V2141" s="55">
        <f>Table3[[#This Row],[Profit]]/Table3[[#This Row],[Sales]]</f>
        <v>0.1125</v>
      </c>
    </row>
    <row r="2142" spans="1:22" x14ac:dyDescent="0.2">
      <c r="A2142">
        <v>2141</v>
      </c>
      <c r="B2142" t="s">
        <v>7578</v>
      </c>
      <c r="C2142" s="1">
        <v>43012</v>
      </c>
      <c r="D2142" s="22">
        <f>MONTH(Table3[[#This Row],[Order Date]])</f>
        <v>10</v>
      </c>
      <c r="E2142" t="s">
        <v>3057</v>
      </c>
      <c r="F2142" t="s">
        <v>3058</v>
      </c>
      <c r="G2142" s="23" t="s">
        <v>28</v>
      </c>
      <c r="H2142" s="23" t="s">
        <v>58</v>
      </c>
      <c r="I2142" t="s">
        <v>270</v>
      </c>
      <c r="J2142" t="s">
        <v>92</v>
      </c>
      <c r="K2142" s="22">
        <v>1</v>
      </c>
      <c r="L2142" s="1">
        <v>43016</v>
      </c>
      <c r="M2142" s="22">
        <f>Table3[[#This Row],[Ship Date]]-Table3[[#This Row],[Order Date]]</f>
        <v>4</v>
      </c>
      <c r="N2142" s="23" t="s">
        <v>45</v>
      </c>
      <c r="O2142" s="23" t="s">
        <v>23</v>
      </c>
      <c r="P2142" s="23" t="s">
        <v>2408</v>
      </c>
      <c r="Q2142" s="23" t="s">
        <v>133</v>
      </c>
      <c r="R2142" s="23" t="s">
        <v>2828</v>
      </c>
      <c r="S2142" s="33">
        <v>0</v>
      </c>
      <c r="T2142" s="13">
        <v>19.98</v>
      </c>
      <c r="U2142" s="13">
        <v>8.5914000000000001</v>
      </c>
      <c r="V2142" s="55">
        <f>Table3[[#This Row],[Profit]]/Table3[[#This Row],[Sales]]</f>
        <v>0.43</v>
      </c>
    </row>
    <row r="2143" spans="1:22" x14ac:dyDescent="0.2">
      <c r="A2143">
        <v>2142</v>
      </c>
      <c r="B2143" t="s">
        <v>2583</v>
      </c>
      <c r="C2143" s="1">
        <v>43013</v>
      </c>
      <c r="D2143" s="22">
        <f>MONTH(Table3[[#This Row],[Order Date]])</f>
        <v>10</v>
      </c>
      <c r="E2143" t="s">
        <v>1579</v>
      </c>
      <c r="F2143" t="s">
        <v>1580</v>
      </c>
      <c r="G2143" s="23" t="s">
        <v>64</v>
      </c>
      <c r="H2143" s="23" t="s">
        <v>65</v>
      </c>
      <c r="I2143" t="s">
        <v>2080</v>
      </c>
      <c r="J2143" t="s">
        <v>92</v>
      </c>
      <c r="K2143" s="22">
        <v>7</v>
      </c>
      <c r="L2143" s="1">
        <v>43016</v>
      </c>
      <c r="M2143" s="22">
        <f>Table3[[#This Row],[Ship Date]]-Table3[[#This Row],[Order Date]]</f>
        <v>3</v>
      </c>
      <c r="N2143" s="23" t="s">
        <v>20</v>
      </c>
      <c r="O2143" s="23" t="s">
        <v>23</v>
      </c>
      <c r="P2143" s="23" t="s">
        <v>238</v>
      </c>
      <c r="Q2143" s="23" t="s">
        <v>133</v>
      </c>
      <c r="R2143" s="23" t="s">
        <v>237</v>
      </c>
      <c r="S2143" s="33">
        <v>0</v>
      </c>
      <c r="T2143" s="13">
        <v>160.93</v>
      </c>
      <c r="U2143" s="13">
        <v>3.2185999999999999</v>
      </c>
      <c r="V2143" s="55">
        <f>Table3[[#This Row],[Profit]]/Table3[[#This Row],[Sales]]</f>
        <v>1.9999999999999997E-2</v>
      </c>
    </row>
    <row r="2144" spans="1:22" x14ac:dyDescent="0.2">
      <c r="A2144">
        <v>2143</v>
      </c>
      <c r="B2144" t="s">
        <v>2583</v>
      </c>
      <c r="C2144" s="1">
        <v>43013</v>
      </c>
      <c r="D2144" s="22">
        <f>MONTH(Table3[[#This Row],[Order Date]])</f>
        <v>10</v>
      </c>
      <c r="E2144" t="s">
        <v>1230</v>
      </c>
      <c r="F2144" t="s">
        <v>1231</v>
      </c>
      <c r="G2144" s="23" t="s">
        <v>41</v>
      </c>
      <c r="H2144" s="23" t="s">
        <v>68</v>
      </c>
      <c r="I2144" t="s">
        <v>2080</v>
      </c>
      <c r="J2144" t="s">
        <v>92</v>
      </c>
      <c r="K2144" s="22">
        <v>3</v>
      </c>
      <c r="L2144" s="1">
        <v>43016</v>
      </c>
      <c r="M2144" s="22">
        <f>Table3[[#This Row],[Ship Date]]-Table3[[#This Row],[Order Date]]</f>
        <v>3</v>
      </c>
      <c r="N2144" s="23" t="s">
        <v>20</v>
      </c>
      <c r="O2144" s="23" t="s">
        <v>23</v>
      </c>
      <c r="P2144" s="23" t="s">
        <v>238</v>
      </c>
      <c r="Q2144" s="23" t="s">
        <v>133</v>
      </c>
      <c r="R2144" s="23" t="s">
        <v>237</v>
      </c>
      <c r="S2144" s="33">
        <v>0.2</v>
      </c>
      <c r="T2144" s="13">
        <v>75.792000000000002</v>
      </c>
      <c r="U2144" s="13">
        <v>25.579799999999999</v>
      </c>
      <c r="V2144" s="55">
        <f>Table3[[#This Row],[Profit]]/Table3[[#This Row],[Sales]]</f>
        <v>0.33749999999999997</v>
      </c>
    </row>
    <row r="2145" spans="1:22" x14ac:dyDescent="0.2">
      <c r="A2145">
        <v>2144</v>
      </c>
      <c r="B2145" t="s">
        <v>7062</v>
      </c>
      <c r="C2145" s="1">
        <v>43013</v>
      </c>
      <c r="D2145" s="22">
        <f>MONTH(Table3[[#This Row],[Order Date]])</f>
        <v>10</v>
      </c>
      <c r="E2145" t="s">
        <v>4380</v>
      </c>
      <c r="F2145" t="s">
        <v>4381</v>
      </c>
      <c r="G2145" s="23" t="s">
        <v>41</v>
      </c>
      <c r="H2145" s="23" t="s">
        <v>68</v>
      </c>
      <c r="I2145" t="s">
        <v>3602</v>
      </c>
      <c r="J2145" t="s">
        <v>92</v>
      </c>
      <c r="K2145" s="22">
        <v>5</v>
      </c>
      <c r="L2145" s="1">
        <v>43018</v>
      </c>
      <c r="M2145" s="22">
        <f>Table3[[#This Row],[Ship Date]]-Table3[[#This Row],[Order Date]]</f>
        <v>5</v>
      </c>
      <c r="N2145" s="23" t="s">
        <v>45</v>
      </c>
      <c r="O2145" s="23" t="s">
        <v>23</v>
      </c>
      <c r="P2145" s="23" t="s">
        <v>38</v>
      </c>
      <c r="Q2145" s="23" t="s">
        <v>39</v>
      </c>
      <c r="R2145" s="23" t="s">
        <v>114</v>
      </c>
      <c r="S2145" s="33">
        <v>0.2</v>
      </c>
      <c r="T2145" s="13">
        <v>39.92</v>
      </c>
      <c r="U2145" s="13">
        <v>13.473000000000001</v>
      </c>
      <c r="V2145" s="55">
        <f>Table3[[#This Row],[Profit]]/Table3[[#This Row],[Sales]]</f>
        <v>0.33750000000000002</v>
      </c>
    </row>
    <row r="2146" spans="1:22" x14ac:dyDescent="0.2">
      <c r="A2146">
        <v>2145</v>
      </c>
      <c r="B2146" t="s">
        <v>7062</v>
      </c>
      <c r="C2146" s="1">
        <v>43013</v>
      </c>
      <c r="D2146" s="22">
        <f>MONTH(Table3[[#This Row],[Order Date]])</f>
        <v>10</v>
      </c>
      <c r="E2146" t="s">
        <v>4810</v>
      </c>
      <c r="F2146" t="s">
        <v>4811</v>
      </c>
      <c r="G2146" s="23" t="s">
        <v>41</v>
      </c>
      <c r="H2146" s="23" t="s">
        <v>82</v>
      </c>
      <c r="I2146" t="s">
        <v>3602</v>
      </c>
      <c r="J2146" t="s">
        <v>92</v>
      </c>
      <c r="K2146" s="22">
        <v>2</v>
      </c>
      <c r="L2146" s="1">
        <v>43018</v>
      </c>
      <c r="M2146" s="22">
        <f>Table3[[#This Row],[Ship Date]]-Table3[[#This Row],[Order Date]]</f>
        <v>5</v>
      </c>
      <c r="N2146" s="23" t="s">
        <v>45</v>
      </c>
      <c r="O2146" s="23" t="s">
        <v>23</v>
      </c>
      <c r="P2146" s="23" t="s">
        <v>38</v>
      </c>
      <c r="Q2146" s="23" t="s">
        <v>39</v>
      </c>
      <c r="R2146" s="23" t="s">
        <v>114</v>
      </c>
      <c r="S2146" s="33">
        <v>0</v>
      </c>
      <c r="T2146" s="13">
        <v>61.96</v>
      </c>
      <c r="U2146" s="13">
        <v>27.882000000000001</v>
      </c>
      <c r="V2146" s="55">
        <f>Table3[[#This Row],[Profit]]/Table3[[#This Row],[Sales]]</f>
        <v>0.45</v>
      </c>
    </row>
    <row r="2147" spans="1:22" x14ac:dyDescent="0.2">
      <c r="A2147">
        <v>2146</v>
      </c>
      <c r="B2147" t="s">
        <v>7062</v>
      </c>
      <c r="C2147" s="1">
        <v>43013</v>
      </c>
      <c r="D2147" s="22">
        <f>MONTH(Table3[[#This Row],[Order Date]])</f>
        <v>10</v>
      </c>
      <c r="E2147" t="s">
        <v>2753</v>
      </c>
      <c r="F2147" t="s">
        <v>2754</v>
      </c>
      <c r="G2147" s="23" t="s">
        <v>41</v>
      </c>
      <c r="H2147" s="23" t="s">
        <v>68</v>
      </c>
      <c r="I2147" t="s">
        <v>3602</v>
      </c>
      <c r="J2147" t="s">
        <v>92</v>
      </c>
      <c r="K2147" s="22">
        <v>4</v>
      </c>
      <c r="L2147" s="1">
        <v>43018</v>
      </c>
      <c r="M2147" s="22">
        <f>Table3[[#This Row],[Ship Date]]-Table3[[#This Row],[Order Date]]</f>
        <v>5</v>
      </c>
      <c r="N2147" s="23" t="s">
        <v>45</v>
      </c>
      <c r="O2147" s="23" t="s">
        <v>23</v>
      </c>
      <c r="P2147" s="23" t="s">
        <v>38</v>
      </c>
      <c r="Q2147" s="23" t="s">
        <v>39</v>
      </c>
      <c r="R2147" s="23" t="s">
        <v>114</v>
      </c>
      <c r="S2147" s="33">
        <v>0.2</v>
      </c>
      <c r="T2147" s="13">
        <v>19.936</v>
      </c>
      <c r="U2147" s="13">
        <v>7.2267999999999999</v>
      </c>
      <c r="V2147" s="55">
        <f>Table3[[#This Row],[Profit]]/Table3[[#This Row],[Sales]]</f>
        <v>0.36249999999999999</v>
      </c>
    </row>
    <row r="2148" spans="1:22" x14ac:dyDescent="0.2">
      <c r="A2148">
        <v>2147</v>
      </c>
      <c r="B2148" t="s">
        <v>8067</v>
      </c>
      <c r="C2148" s="1">
        <v>43013</v>
      </c>
      <c r="D2148" s="22">
        <f>MONTH(Table3[[#This Row],[Order Date]])</f>
        <v>10</v>
      </c>
      <c r="E2148" t="s">
        <v>5766</v>
      </c>
      <c r="F2148" t="s">
        <v>5767</v>
      </c>
      <c r="G2148" s="23" t="s">
        <v>64</v>
      </c>
      <c r="H2148" s="23" t="s">
        <v>65</v>
      </c>
      <c r="I2148" t="s">
        <v>3531</v>
      </c>
      <c r="J2148" t="s">
        <v>36</v>
      </c>
      <c r="K2148" s="22">
        <v>4</v>
      </c>
      <c r="L2148" s="1">
        <v>43017</v>
      </c>
      <c r="M2148" s="22">
        <f>Table3[[#This Row],[Ship Date]]-Table3[[#This Row],[Order Date]]</f>
        <v>4</v>
      </c>
      <c r="N2148" s="23" t="s">
        <v>45</v>
      </c>
      <c r="O2148" s="23" t="s">
        <v>23</v>
      </c>
      <c r="P2148" s="23" t="s">
        <v>238</v>
      </c>
      <c r="Q2148" s="23" t="s">
        <v>133</v>
      </c>
      <c r="R2148" s="23" t="s">
        <v>237</v>
      </c>
      <c r="S2148" s="33">
        <v>0</v>
      </c>
      <c r="T2148" s="13">
        <v>87.8</v>
      </c>
      <c r="U2148" s="13">
        <v>43.9</v>
      </c>
      <c r="V2148" s="55">
        <f>Table3[[#This Row],[Profit]]/Table3[[#This Row],[Sales]]</f>
        <v>0.5</v>
      </c>
    </row>
    <row r="2149" spans="1:22" x14ac:dyDescent="0.2">
      <c r="A2149">
        <v>2148</v>
      </c>
      <c r="B2149" t="s">
        <v>8067</v>
      </c>
      <c r="C2149" s="1">
        <v>43013</v>
      </c>
      <c r="D2149" s="22">
        <f>MONTH(Table3[[#This Row],[Order Date]])</f>
        <v>10</v>
      </c>
      <c r="E2149" t="s">
        <v>2803</v>
      </c>
      <c r="F2149" t="s">
        <v>2804</v>
      </c>
      <c r="G2149" s="23" t="s">
        <v>28</v>
      </c>
      <c r="H2149" s="23" t="s">
        <v>32</v>
      </c>
      <c r="I2149" t="s">
        <v>3531</v>
      </c>
      <c r="J2149" t="s">
        <v>36</v>
      </c>
      <c r="K2149" s="22">
        <v>2</v>
      </c>
      <c r="L2149" s="1">
        <v>43017</v>
      </c>
      <c r="M2149" s="22">
        <f>Table3[[#This Row],[Ship Date]]-Table3[[#This Row],[Order Date]]</f>
        <v>4</v>
      </c>
      <c r="N2149" s="23" t="s">
        <v>45</v>
      </c>
      <c r="O2149" s="23" t="s">
        <v>23</v>
      </c>
      <c r="P2149" s="23" t="s">
        <v>238</v>
      </c>
      <c r="Q2149" s="23" t="s">
        <v>133</v>
      </c>
      <c r="R2149" s="23" t="s">
        <v>237</v>
      </c>
      <c r="S2149" s="33">
        <v>0.1</v>
      </c>
      <c r="T2149" s="13">
        <v>221.38200000000001</v>
      </c>
      <c r="U2149" s="13">
        <v>2.4598</v>
      </c>
      <c r="V2149" s="55">
        <f>Table3[[#This Row],[Profit]]/Table3[[#This Row],[Sales]]</f>
        <v>1.1111111111111112E-2</v>
      </c>
    </row>
    <row r="2150" spans="1:22" x14ac:dyDescent="0.2">
      <c r="A2150">
        <v>2149</v>
      </c>
      <c r="B2150" t="s">
        <v>8067</v>
      </c>
      <c r="C2150" s="1">
        <v>43013</v>
      </c>
      <c r="D2150" s="22">
        <f>MONTH(Table3[[#This Row],[Order Date]])</f>
        <v>10</v>
      </c>
      <c r="E2150" t="s">
        <v>6641</v>
      </c>
      <c r="F2150" t="s">
        <v>6642</v>
      </c>
      <c r="G2150" s="23" t="s">
        <v>64</v>
      </c>
      <c r="H2150" s="23" t="s">
        <v>602</v>
      </c>
      <c r="I2150" t="s">
        <v>3531</v>
      </c>
      <c r="J2150" t="s">
        <v>36</v>
      </c>
      <c r="K2150" s="22">
        <v>4</v>
      </c>
      <c r="L2150" s="1">
        <v>43017</v>
      </c>
      <c r="M2150" s="22">
        <f>Table3[[#This Row],[Ship Date]]-Table3[[#This Row],[Order Date]]</f>
        <v>4</v>
      </c>
      <c r="N2150" s="23" t="s">
        <v>45</v>
      </c>
      <c r="O2150" s="23" t="s">
        <v>23</v>
      </c>
      <c r="P2150" s="23" t="s">
        <v>238</v>
      </c>
      <c r="Q2150" s="23" t="s">
        <v>133</v>
      </c>
      <c r="R2150" s="23" t="s">
        <v>237</v>
      </c>
      <c r="S2150" s="33">
        <v>0</v>
      </c>
      <c r="T2150" s="13">
        <v>5199.96</v>
      </c>
      <c r="U2150" s="13">
        <v>1351.9896000000001</v>
      </c>
      <c r="V2150" s="55">
        <f>Table3[[#This Row],[Profit]]/Table3[[#This Row],[Sales]]</f>
        <v>0.26</v>
      </c>
    </row>
    <row r="2151" spans="1:22" x14ac:dyDescent="0.2">
      <c r="A2151">
        <v>2150</v>
      </c>
      <c r="B2151" t="s">
        <v>8759</v>
      </c>
      <c r="C2151" s="1">
        <v>43013</v>
      </c>
      <c r="D2151" s="22">
        <f>MONTH(Table3[[#This Row],[Order Date]])</f>
        <v>10</v>
      </c>
      <c r="E2151" t="s">
        <v>2348</v>
      </c>
      <c r="F2151" t="s">
        <v>2349</v>
      </c>
      <c r="G2151" s="23" t="s">
        <v>64</v>
      </c>
      <c r="H2151" s="23" t="s">
        <v>144</v>
      </c>
      <c r="I2151" t="s">
        <v>1334</v>
      </c>
      <c r="J2151" t="s">
        <v>92</v>
      </c>
      <c r="K2151" s="22">
        <v>2</v>
      </c>
      <c r="L2151" s="1">
        <v>43015</v>
      </c>
      <c r="M2151" s="22">
        <f>Table3[[#This Row],[Ship Date]]-Table3[[#This Row],[Order Date]]</f>
        <v>2</v>
      </c>
      <c r="N2151" s="23" t="s">
        <v>169</v>
      </c>
      <c r="O2151" s="23" t="s">
        <v>23</v>
      </c>
      <c r="P2151" s="23" t="s">
        <v>405</v>
      </c>
      <c r="Q2151" s="23" t="s">
        <v>39</v>
      </c>
      <c r="R2151" s="23" t="s">
        <v>711</v>
      </c>
      <c r="S2151" s="33">
        <v>0.2</v>
      </c>
      <c r="T2151" s="13">
        <v>63.823999999999998</v>
      </c>
      <c r="U2151" s="13">
        <v>13.5626</v>
      </c>
      <c r="V2151" s="55">
        <f>Table3[[#This Row],[Profit]]/Table3[[#This Row],[Sales]]</f>
        <v>0.21249999999999999</v>
      </c>
    </row>
    <row r="2152" spans="1:22" x14ac:dyDescent="0.2">
      <c r="A2152">
        <v>2151</v>
      </c>
      <c r="B2152" t="s">
        <v>8976</v>
      </c>
      <c r="C2152" s="1">
        <v>43013</v>
      </c>
      <c r="D2152" s="22">
        <f>MONTH(Table3[[#This Row],[Order Date]])</f>
        <v>10</v>
      </c>
      <c r="E2152" t="s">
        <v>4924</v>
      </c>
      <c r="F2152" t="s">
        <v>4925</v>
      </c>
      <c r="G2152" s="23" t="s">
        <v>28</v>
      </c>
      <c r="H2152" s="23" t="s">
        <v>32</v>
      </c>
      <c r="I2152" t="s">
        <v>455</v>
      </c>
      <c r="J2152" t="s">
        <v>36</v>
      </c>
      <c r="K2152" s="22">
        <v>4</v>
      </c>
      <c r="L2152" s="1">
        <v>43018</v>
      </c>
      <c r="M2152" s="22">
        <f>Table3[[#This Row],[Ship Date]]-Table3[[#This Row],[Order Date]]</f>
        <v>5</v>
      </c>
      <c r="N2152" s="23" t="s">
        <v>45</v>
      </c>
      <c r="O2152" s="23" t="s">
        <v>23</v>
      </c>
      <c r="P2152" s="23" t="s">
        <v>38</v>
      </c>
      <c r="Q2152" s="23" t="s">
        <v>39</v>
      </c>
      <c r="R2152" s="23" t="s">
        <v>7724</v>
      </c>
      <c r="S2152" s="33">
        <v>0.2</v>
      </c>
      <c r="T2152" s="13">
        <v>435.16800000000001</v>
      </c>
      <c r="U2152" s="13">
        <v>-59.835599999999999</v>
      </c>
      <c r="V2152" s="55">
        <f>Table3[[#This Row],[Profit]]/Table3[[#This Row],[Sales]]</f>
        <v>-0.13749999999999998</v>
      </c>
    </row>
    <row r="2153" spans="1:22" x14ac:dyDescent="0.2">
      <c r="A2153">
        <v>2152</v>
      </c>
      <c r="B2153" t="s">
        <v>8976</v>
      </c>
      <c r="C2153" s="1">
        <v>43013</v>
      </c>
      <c r="D2153" s="22">
        <f>MONTH(Table3[[#This Row],[Order Date]])</f>
        <v>10</v>
      </c>
      <c r="E2153" t="s">
        <v>497</v>
      </c>
      <c r="F2153" t="s">
        <v>498</v>
      </c>
      <c r="G2153" s="23" t="s">
        <v>41</v>
      </c>
      <c r="H2153" s="23" t="s">
        <v>240</v>
      </c>
      <c r="I2153" t="s">
        <v>455</v>
      </c>
      <c r="J2153" t="s">
        <v>36</v>
      </c>
      <c r="K2153" s="22">
        <v>5</v>
      </c>
      <c r="L2153" s="1">
        <v>43018</v>
      </c>
      <c r="M2153" s="22">
        <f>Table3[[#This Row],[Ship Date]]-Table3[[#This Row],[Order Date]]</f>
        <v>5</v>
      </c>
      <c r="N2153" s="23" t="s">
        <v>45</v>
      </c>
      <c r="O2153" s="23" t="s">
        <v>23</v>
      </c>
      <c r="P2153" s="23" t="s">
        <v>38</v>
      </c>
      <c r="Q2153" s="23" t="s">
        <v>39</v>
      </c>
      <c r="R2153" s="23" t="s">
        <v>7724</v>
      </c>
      <c r="S2153" s="33">
        <v>0</v>
      </c>
      <c r="T2153" s="13">
        <v>14.9</v>
      </c>
      <c r="U2153" s="13">
        <v>6.8540000000000001</v>
      </c>
      <c r="V2153" s="55">
        <f>Table3[[#This Row],[Profit]]/Table3[[#This Row],[Sales]]</f>
        <v>0.46</v>
      </c>
    </row>
    <row r="2154" spans="1:22" x14ac:dyDescent="0.2">
      <c r="A2154">
        <v>2153</v>
      </c>
      <c r="B2154" t="s">
        <v>8976</v>
      </c>
      <c r="C2154" s="1">
        <v>43013</v>
      </c>
      <c r="D2154" s="22">
        <f>MONTH(Table3[[#This Row],[Order Date]])</f>
        <v>10</v>
      </c>
      <c r="E2154" t="s">
        <v>6891</v>
      </c>
      <c r="F2154" t="s">
        <v>6892</v>
      </c>
      <c r="G2154" s="23" t="s">
        <v>41</v>
      </c>
      <c r="H2154" s="23" t="s">
        <v>71</v>
      </c>
      <c r="I2154" t="s">
        <v>455</v>
      </c>
      <c r="J2154" t="s">
        <v>36</v>
      </c>
      <c r="K2154" s="22">
        <v>4</v>
      </c>
      <c r="L2154" s="1">
        <v>43018</v>
      </c>
      <c r="M2154" s="22">
        <f>Table3[[#This Row],[Ship Date]]-Table3[[#This Row],[Order Date]]</f>
        <v>5</v>
      </c>
      <c r="N2154" s="23" t="s">
        <v>45</v>
      </c>
      <c r="O2154" s="23" t="s">
        <v>23</v>
      </c>
      <c r="P2154" s="23" t="s">
        <v>38</v>
      </c>
      <c r="Q2154" s="23" t="s">
        <v>39</v>
      </c>
      <c r="R2154" s="23" t="s">
        <v>7724</v>
      </c>
      <c r="S2154" s="33">
        <v>0</v>
      </c>
      <c r="T2154" s="13">
        <v>15.8</v>
      </c>
      <c r="U2154" s="13">
        <v>4.1079999999999997</v>
      </c>
      <c r="V2154" s="55">
        <f>Table3[[#This Row],[Profit]]/Table3[[#This Row],[Sales]]</f>
        <v>0.25999999999999995</v>
      </c>
    </row>
    <row r="2155" spans="1:22" x14ac:dyDescent="0.2">
      <c r="A2155">
        <v>2154</v>
      </c>
      <c r="B2155" t="s">
        <v>8976</v>
      </c>
      <c r="C2155" s="1">
        <v>43013</v>
      </c>
      <c r="D2155" s="22">
        <f>MONTH(Table3[[#This Row],[Order Date]])</f>
        <v>10</v>
      </c>
      <c r="E2155" t="s">
        <v>5566</v>
      </c>
      <c r="F2155" t="s">
        <v>5567</v>
      </c>
      <c r="G2155" s="23" t="s">
        <v>28</v>
      </c>
      <c r="H2155" s="23" t="s">
        <v>58</v>
      </c>
      <c r="I2155" t="s">
        <v>455</v>
      </c>
      <c r="J2155" t="s">
        <v>36</v>
      </c>
      <c r="K2155" s="22">
        <v>5</v>
      </c>
      <c r="L2155" s="1">
        <v>43018</v>
      </c>
      <c r="M2155" s="22">
        <f>Table3[[#This Row],[Ship Date]]-Table3[[#This Row],[Order Date]]</f>
        <v>5</v>
      </c>
      <c r="N2155" s="23" t="s">
        <v>45</v>
      </c>
      <c r="O2155" s="23" t="s">
        <v>23</v>
      </c>
      <c r="P2155" s="23" t="s">
        <v>38</v>
      </c>
      <c r="Q2155" s="23" t="s">
        <v>39</v>
      </c>
      <c r="R2155" s="23" t="s">
        <v>7724</v>
      </c>
      <c r="S2155" s="33">
        <v>0</v>
      </c>
      <c r="T2155" s="13">
        <v>72.900000000000006</v>
      </c>
      <c r="U2155" s="13">
        <v>26.972999999999999</v>
      </c>
      <c r="V2155" s="55">
        <f>Table3[[#This Row],[Profit]]/Table3[[#This Row],[Sales]]</f>
        <v>0.36999999999999994</v>
      </c>
    </row>
    <row r="2156" spans="1:22" x14ac:dyDescent="0.2">
      <c r="A2156">
        <v>2155</v>
      </c>
      <c r="B2156" t="s">
        <v>8976</v>
      </c>
      <c r="C2156" s="1">
        <v>43013</v>
      </c>
      <c r="D2156" s="22">
        <f>MONTH(Table3[[#This Row],[Order Date]])</f>
        <v>10</v>
      </c>
      <c r="E2156" t="s">
        <v>2883</v>
      </c>
      <c r="F2156" t="s">
        <v>2884</v>
      </c>
      <c r="G2156" s="23" t="s">
        <v>28</v>
      </c>
      <c r="H2156" s="23" t="s">
        <v>50</v>
      </c>
      <c r="I2156" t="s">
        <v>455</v>
      </c>
      <c r="J2156" t="s">
        <v>36</v>
      </c>
      <c r="K2156" s="22">
        <v>3</v>
      </c>
      <c r="L2156" s="1">
        <v>43018</v>
      </c>
      <c r="M2156" s="22">
        <f>Table3[[#This Row],[Ship Date]]-Table3[[#This Row],[Order Date]]</f>
        <v>5</v>
      </c>
      <c r="N2156" s="23" t="s">
        <v>45</v>
      </c>
      <c r="O2156" s="23" t="s">
        <v>23</v>
      </c>
      <c r="P2156" s="23" t="s">
        <v>38</v>
      </c>
      <c r="Q2156" s="23" t="s">
        <v>39</v>
      </c>
      <c r="R2156" s="23" t="s">
        <v>7724</v>
      </c>
      <c r="S2156" s="33">
        <v>0.2</v>
      </c>
      <c r="T2156" s="13">
        <v>206.352</v>
      </c>
      <c r="U2156" s="13">
        <v>5.1588000000000003</v>
      </c>
      <c r="V2156" s="55">
        <f>Table3[[#This Row],[Profit]]/Table3[[#This Row],[Sales]]</f>
        <v>2.5000000000000001E-2</v>
      </c>
    </row>
    <row r="2157" spans="1:22" x14ac:dyDescent="0.2">
      <c r="A2157">
        <v>2156</v>
      </c>
      <c r="B2157" t="s">
        <v>8976</v>
      </c>
      <c r="C2157" s="1">
        <v>43013</v>
      </c>
      <c r="D2157" s="22">
        <f>MONTH(Table3[[#This Row],[Order Date]])</f>
        <v>10</v>
      </c>
      <c r="E2157" t="s">
        <v>1092</v>
      </c>
      <c r="F2157" t="s">
        <v>1093</v>
      </c>
      <c r="G2157" s="23" t="s">
        <v>64</v>
      </c>
      <c r="H2157" s="23" t="s">
        <v>65</v>
      </c>
      <c r="I2157" t="s">
        <v>455</v>
      </c>
      <c r="J2157" t="s">
        <v>36</v>
      </c>
      <c r="K2157" s="22">
        <v>1</v>
      </c>
      <c r="L2157" s="1">
        <v>43018</v>
      </c>
      <c r="M2157" s="22">
        <f>Table3[[#This Row],[Ship Date]]-Table3[[#This Row],[Order Date]]</f>
        <v>5</v>
      </c>
      <c r="N2157" s="23" t="s">
        <v>45</v>
      </c>
      <c r="O2157" s="23" t="s">
        <v>23</v>
      </c>
      <c r="P2157" s="23" t="s">
        <v>38</v>
      </c>
      <c r="Q2157" s="23" t="s">
        <v>39</v>
      </c>
      <c r="R2157" s="23" t="s">
        <v>7724</v>
      </c>
      <c r="S2157" s="33">
        <v>0.2</v>
      </c>
      <c r="T2157" s="13">
        <v>7.992</v>
      </c>
      <c r="U2157" s="13">
        <v>2.6972999999999998</v>
      </c>
      <c r="V2157" s="55">
        <f>Table3[[#This Row],[Profit]]/Table3[[#This Row],[Sales]]</f>
        <v>0.33749999999999997</v>
      </c>
    </row>
    <row r="2158" spans="1:22" x14ac:dyDescent="0.2">
      <c r="A2158">
        <v>2157</v>
      </c>
      <c r="B2158" t="s">
        <v>5583</v>
      </c>
      <c r="C2158" s="1">
        <v>43014</v>
      </c>
      <c r="D2158" s="22">
        <f>MONTH(Table3[[#This Row],[Order Date]])</f>
        <v>10</v>
      </c>
      <c r="E2158" t="s">
        <v>5586</v>
      </c>
      <c r="F2158" t="s">
        <v>5587</v>
      </c>
      <c r="G2158" s="23" t="s">
        <v>28</v>
      </c>
      <c r="H2158" s="23" t="s">
        <v>58</v>
      </c>
      <c r="I2158" t="s">
        <v>943</v>
      </c>
      <c r="J2158" t="s">
        <v>92</v>
      </c>
      <c r="K2158" s="22">
        <v>2</v>
      </c>
      <c r="L2158" s="1">
        <v>43019</v>
      </c>
      <c r="M2158" s="22">
        <f>Table3[[#This Row],[Ship Date]]-Table3[[#This Row],[Order Date]]</f>
        <v>5</v>
      </c>
      <c r="N2158" s="23" t="s">
        <v>45</v>
      </c>
      <c r="O2158" s="23" t="s">
        <v>23</v>
      </c>
      <c r="P2158" s="23" t="s">
        <v>5585</v>
      </c>
      <c r="Q2158" s="23" t="s">
        <v>39</v>
      </c>
      <c r="R2158" s="23" t="s">
        <v>5584</v>
      </c>
      <c r="S2158" s="33">
        <v>0</v>
      </c>
      <c r="T2158" s="13">
        <v>41.96</v>
      </c>
      <c r="U2158" s="13">
        <v>2.9371999999999998</v>
      </c>
      <c r="V2158" s="55">
        <f>Table3[[#This Row],[Profit]]/Table3[[#This Row],[Sales]]</f>
        <v>6.9999999999999993E-2</v>
      </c>
    </row>
    <row r="2159" spans="1:22" x14ac:dyDescent="0.2">
      <c r="A2159">
        <v>2158</v>
      </c>
      <c r="B2159" t="s">
        <v>5583</v>
      </c>
      <c r="C2159" s="1">
        <v>43014</v>
      </c>
      <c r="D2159" s="22">
        <f>MONTH(Table3[[#This Row],[Order Date]])</f>
        <v>10</v>
      </c>
      <c r="E2159" t="s">
        <v>3688</v>
      </c>
      <c r="F2159" t="s">
        <v>3689</v>
      </c>
      <c r="G2159" s="23" t="s">
        <v>41</v>
      </c>
      <c r="H2159" s="23" t="s">
        <v>71</v>
      </c>
      <c r="I2159" t="s">
        <v>943</v>
      </c>
      <c r="J2159" t="s">
        <v>92</v>
      </c>
      <c r="K2159" s="22">
        <v>4</v>
      </c>
      <c r="L2159" s="1">
        <v>43019</v>
      </c>
      <c r="M2159" s="22">
        <f>Table3[[#This Row],[Ship Date]]-Table3[[#This Row],[Order Date]]</f>
        <v>5</v>
      </c>
      <c r="N2159" s="23" t="s">
        <v>45</v>
      </c>
      <c r="O2159" s="23" t="s">
        <v>23</v>
      </c>
      <c r="P2159" s="23" t="s">
        <v>5585</v>
      </c>
      <c r="Q2159" s="23" t="s">
        <v>39</v>
      </c>
      <c r="R2159" s="23" t="s">
        <v>5584</v>
      </c>
      <c r="S2159" s="33">
        <v>0</v>
      </c>
      <c r="T2159" s="13">
        <v>227.84</v>
      </c>
      <c r="U2159" s="13">
        <v>66.073599999999999</v>
      </c>
      <c r="V2159" s="55">
        <f>Table3[[#This Row],[Profit]]/Table3[[#This Row],[Sales]]</f>
        <v>0.28999999999999998</v>
      </c>
    </row>
    <row r="2160" spans="1:22" x14ac:dyDescent="0.2">
      <c r="A2160">
        <v>2159</v>
      </c>
      <c r="B2160" t="s">
        <v>5583</v>
      </c>
      <c r="C2160" s="1">
        <v>43014</v>
      </c>
      <c r="D2160" s="22">
        <f>MONTH(Table3[[#This Row],[Order Date]])</f>
        <v>10</v>
      </c>
      <c r="E2160" t="s">
        <v>4407</v>
      </c>
      <c r="F2160" t="s">
        <v>4408</v>
      </c>
      <c r="G2160" s="23" t="s">
        <v>41</v>
      </c>
      <c r="H2160" s="23" t="s">
        <v>82</v>
      </c>
      <c r="I2160" t="s">
        <v>943</v>
      </c>
      <c r="J2160" t="s">
        <v>92</v>
      </c>
      <c r="K2160" s="22">
        <v>2</v>
      </c>
      <c r="L2160" s="1">
        <v>43019</v>
      </c>
      <c r="M2160" s="22">
        <f>Table3[[#This Row],[Ship Date]]-Table3[[#This Row],[Order Date]]</f>
        <v>5</v>
      </c>
      <c r="N2160" s="23" t="s">
        <v>45</v>
      </c>
      <c r="O2160" s="23" t="s">
        <v>23</v>
      </c>
      <c r="P2160" s="23" t="s">
        <v>5585</v>
      </c>
      <c r="Q2160" s="23" t="s">
        <v>39</v>
      </c>
      <c r="R2160" s="23" t="s">
        <v>5584</v>
      </c>
      <c r="S2160" s="33">
        <v>0</v>
      </c>
      <c r="T2160" s="13">
        <v>37.94</v>
      </c>
      <c r="U2160" s="13">
        <v>18.211200000000002</v>
      </c>
      <c r="V2160" s="55">
        <f>Table3[[#This Row],[Profit]]/Table3[[#This Row],[Sales]]</f>
        <v>0.48000000000000009</v>
      </c>
    </row>
    <row r="2161" spans="1:22" x14ac:dyDescent="0.2">
      <c r="A2161">
        <v>2160</v>
      </c>
      <c r="B2161" t="s">
        <v>6548</v>
      </c>
      <c r="C2161" s="1">
        <v>43014</v>
      </c>
      <c r="D2161" s="22">
        <f>MONTH(Table3[[#This Row],[Order Date]])</f>
        <v>10</v>
      </c>
      <c r="E2161" t="s">
        <v>6283</v>
      </c>
      <c r="F2161" t="s">
        <v>6284</v>
      </c>
      <c r="G2161" s="23" t="s">
        <v>64</v>
      </c>
      <c r="H2161" s="23" t="s">
        <v>144</v>
      </c>
      <c r="I2161" t="s">
        <v>6549</v>
      </c>
      <c r="J2161" t="s">
        <v>92</v>
      </c>
      <c r="K2161" s="22">
        <v>4</v>
      </c>
      <c r="L2161" s="1">
        <v>43020</v>
      </c>
      <c r="M2161" s="22">
        <f>Table3[[#This Row],[Ship Date]]-Table3[[#This Row],[Order Date]]</f>
        <v>6</v>
      </c>
      <c r="N2161" s="23" t="s">
        <v>45</v>
      </c>
      <c r="O2161" s="23" t="s">
        <v>23</v>
      </c>
      <c r="P2161" s="23" t="s">
        <v>238</v>
      </c>
      <c r="Q2161" s="23" t="s">
        <v>133</v>
      </c>
      <c r="R2161" s="23" t="s">
        <v>237</v>
      </c>
      <c r="S2161" s="33">
        <v>0</v>
      </c>
      <c r="T2161" s="13">
        <v>319.95999999999998</v>
      </c>
      <c r="U2161" s="13">
        <v>115.18559999999999</v>
      </c>
      <c r="V2161" s="55">
        <f>Table3[[#This Row],[Profit]]/Table3[[#This Row],[Sales]]</f>
        <v>0.36</v>
      </c>
    </row>
    <row r="2162" spans="1:22" x14ac:dyDescent="0.2">
      <c r="A2162">
        <v>2161</v>
      </c>
      <c r="B2162" t="s">
        <v>6548</v>
      </c>
      <c r="C2162" s="1">
        <v>43014</v>
      </c>
      <c r="D2162" s="22">
        <f>MONTH(Table3[[#This Row],[Order Date]])</f>
        <v>10</v>
      </c>
      <c r="E2162" t="s">
        <v>495</v>
      </c>
      <c r="F2162" t="s">
        <v>1928</v>
      </c>
      <c r="G2162" s="23" t="s">
        <v>41</v>
      </c>
      <c r="H2162" s="23" t="s">
        <v>82</v>
      </c>
      <c r="I2162" t="s">
        <v>6549</v>
      </c>
      <c r="J2162" t="s">
        <v>92</v>
      </c>
      <c r="K2162" s="22">
        <v>3</v>
      </c>
      <c r="L2162" s="1">
        <v>43020</v>
      </c>
      <c r="M2162" s="22">
        <f>Table3[[#This Row],[Ship Date]]-Table3[[#This Row],[Order Date]]</f>
        <v>6</v>
      </c>
      <c r="N2162" s="23" t="s">
        <v>45</v>
      </c>
      <c r="O2162" s="23" t="s">
        <v>23</v>
      </c>
      <c r="P2162" s="23" t="s">
        <v>238</v>
      </c>
      <c r="Q2162" s="23" t="s">
        <v>133</v>
      </c>
      <c r="R2162" s="23" t="s">
        <v>237</v>
      </c>
      <c r="S2162" s="33">
        <v>0</v>
      </c>
      <c r="T2162" s="13">
        <v>17.04</v>
      </c>
      <c r="U2162" s="13">
        <v>7.6680000000000001</v>
      </c>
      <c r="V2162" s="55">
        <f>Table3[[#This Row],[Profit]]/Table3[[#This Row],[Sales]]</f>
        <v>0.45</v>
      </c>
    </row>
    <row r="2163" spans="1:22" x14ac:dyDescent="0.2">
      <c r="A2163">
        <v>2162</v>
      </c>
      <c r="B2163" t="s">
        <v>6548</v>
      </c>
      <c r="C2163" s="1">
        <v>43014</v>
      </c>
      <c r="D2163" s="22">
        <f>MONTH(Table3[[#This Row],[Order Date]])</f>
        <v>10</v>
      </c>
      <c r="E2163" t="s">
        <v>604</v>
      </c>
      <c r="F2163" t="s">
        <v>605</v>
      </c>
      <c r="G2163" s="23" t="s">
        <v>41</v>
      </c>
      <c r="H2163" s="23" t="s">
        <v>53</v>
      </c>
      <c r="I2163" t="s">
        <v>6549</v>
      </c>
      <c r="J2163" t="s">
        <v>92</v>
      </c>
      <c r="K2163" s="22">
        <v>3</v>
      </c>
      <c r="L2163" s="1">
        <v>43020</v>
      </c>
      <c r="M2163" s="22">
        <f>Table3[[#This Row],[Ship Date]]-Table3[[#This Row],[Order Date]]</f>
        <v>6</v>
      </c>
      <c r="N2163" s="23" t="s">
        <v>45</v>
      </c>
      <c r="O2163" s="23" t="s">
        <v>23</v>
      </c>
      <c r="P2163" s="23" t="s">
        <v>238</v>
      </c>
      <c r="Q2163" s="23" t="s">
        <v>133</v>
      </c>
      <c r="R2163" s="23" t="s">
        <v>237</v>
      </c>
      <c r="S2163" s="33">
        <v>0</v>
      </c>
      <c r="T2163" s="13">
        <v>344.91</v>
      </c>
      <c r="U2163" s="13">
        <v>10.347300000000001</v>
      </c>
      <c r="V2163" s="55">
        <f>Table3[[#This Row],[Profit]]/Table3[[#This Row],[Sales]]</f>
        <v>0.03</v>
      </c>
    </row>
    <row r="2164" spans="1:22" x14ac:dyDescent="0.2">
      <c r="A2164">
        <v>2163</v>
      </c>
      <c r="B2164" t="s">
        <v>7642</v>
      </c>
      <c r="C2164" s="1">
        <v>43014</v>
      </c>
      <c r="D2164" s="22">
        <f>MONTH(Table3[[#This Row],[Order Date]])</f>
        <v>10</v>
      </c>
      <c r="E2164" t="s">
        <v>5840</v>
      </c>
      <c r="F2164" t="s">
        <v>5841</v>
      </c>
      <c r="G2164" s="23" t="s">
        <v>41</v>
      </c>
      <c r="H2164" s="23" t="s">
        <v>82</v>
      </c>
      <c r="I2164" t="s">
        <v>1167</v>
      </c>
      <c r="J2164" t="s">
        <v>36</v>
      </c>
      <c r="K2164" s="22">
        <v>1</v>
      </c>
      <c r="L2164" s="1">
        <v>43019</v>
      </c>
      <c r="M2164" s="22">
        <f>Table3[[#This Row],[Ship Date]]-Table3[[#This Row],[Order Date]]</f>
        <v>5</v>
      </c>
      <c r="N2164" s="23" t="s">
        <v>45</v>
      </c>
      <c r="O2164" s="23" t="s">
        <v>23</v>
      </c>
      <c r="P2164" s="23" t="s">
        <v>238</v>
      </c>
      <c r="Q2164" s="23" t="s">
        <v>133</v>
      </c>
      <c r="R2164" s="23" t="s">
        <v>237</v>
      </c>
      <c r="S2164" s="33">
        <v>0</v>
      </c>
      <c r="T2164" s="13">
        <v>40.99</v>
      </c>
      <c r="U2164" s="13">
        <v>20.085100000000001</v>
      </c>
      <c r="V2164" s="55">
        <f>Table3[[#This Row],[Profit]]/Table3[[#This Row],[Sales]]</f>
        <v>0.49</v>
      </c>
    </row>
    <row r="2165" spans="1:22" x14ac:dyDescent="0.2">
      <c r="A2165">
        <v>2164</v>
      </c>
      <c r="B2165" t="s">
        <v>9176</v>
      </c>
      <c r="C2165" s="1">
        <v>43014</v>
      </c>
      <c r="D2165" s="22">
        <f>MONTH(Table3[[#This Row],[Order Date]])</f>
        <v>10</v>
      </c>
      <c r="E2165" t="s">
        <v>3691</v>
      </c>
      <c r="F2165" t="s">
        <v>3692</v>
      </c>
      <c r="G2165" s="23" t="s">
        <v>41</v>
      </c>
      <c r="H2165" s="23" t="s">
        <v>82</v>
      </c>
      <c r="I2165" t="s">
        <v>1467</v>
      </c>
      <c r="J2165" t="s">
        <v>22</v>
      </c>
      <c r="K2165" s="22">
        <v>3</v>
      </c>
      <c r="L2165" s="1">
        <v>43019</v>
      </c>
      <c r="M2165" s="22">
        <f>Table3[[#This Row],[Ship Date]]-Table3[[#This Row],[Order Date]]</f>
        <v>5</v>
      </c>
      <c r="N2165" s="23" t="s">
        <v>45</v>
      </c>
      <c r="O2165" s="23" t="s">
        <v>23</v>
      </c>
      <c r="P2165" s="23" t="s">
        <v>695</v>
      </c>
      <c r="Q2165" s="23" t="s">
        <v>133</v>
      </c>
      <c r="R2165" s="23" t="s">
        <v>966</v>
      </c>
      <c r="S2165" s="33">
        <v>0</v>
      </c>
      <c r="T2165" s="13">
        <v>143.69999999999999</v>
      </c>
      <c r="U2165" s="13">
        <v>68.975999999999999</v>
      </c>
      <c r="V2165" s="55">
        <f>Table3[[#This Row],[Profit]]/Table3[[#This Row],[Sales]]</f>
        <v>0.48000000000000004</v>
      </c>
    </row>
    <row r="2166" spans="1:22" x14ac:dyDescent="0.2">
      <c r="A2166">
        <v>2165</v>
      </c>
      <c r="B2166" t="s">
        <v>9176</v>
      </c>
      <c r="C2166" s="1">
        <v>43014</v>
      </c>
      <c r="D2166" s="22">
        <f>MONTH(Table3[[#This Row],[Order Date]])</f>
        <v>10</v>
      </c>
      <c r="E2166" t="s">
        <v>3363</v>
      </c>
      <c r="F2166" t="s">
        <v>3364</v>
      </c>
      <c r="G2166" s="23" t="s">
        <v>41</v>
      </c>
      <c r="H2166" s="23" t="s">
        <v>82</v>
      </c>
      <c r="I2166" t="s">
        <v>1467</v>
      </c>
      <c r="J2166" t="s">
        <v>22</v>
      </c>
      <c r="K2166" s="22">
        <v>1</v>
      </c>
      <c r="L2166" s="1">
        <v>43019</v>
      </c>
      <c r="M2166" s="22">
        <f>Table3[[#This Row],[Ship Date]]-Table3[[#This Row],[Order Date]]</f>
        <v>5</v>
      </c>
      <c r="N2166" s="23" t="s">
        <v>45</v>
      </c>
      <c r="O2166" s="23" t="s">
        <v>23</v>
      </c>
      <c r="P2166" s="23" t="s">
        <v>695</v>
      </c>
      <c r="Q2166" s="23" t="s">
        <v>133</v>
      </c>
      <c r="R2166" s="23" t="s">
        <v>966</v>
      </c>
      <c r="S2166" s="33">
        <v>0</v>
      </c>
      <c r="T2166" s="13">
        <v>6.48</v>
      </c>
      <c r="U2166" s="13">
        <v>3.1103999999999998</v>
      </c>
      <c r="V2166" s="55">
        <f>Table3[[#This Row],[Profit]]/Table3[[#This Row],[Sales]]</f>
        <v>0.47999999999999993</v>
      </c>
    </row>
    <row r="2167" spans="1:22" x14ac:dyDescent="0.2">
      <c r="A2167">
        <v>2166</v>
      </c>
      <c r="B2167" t="s">
        <v>10081</v>
      </c>
      <c r="C2167" s="1">
        <v>43014</v>
      </c>
      <c r="D2167" s="22">
        <f>MONTH(Table3[[#This Row],[Order Date]])</f>
        <v>10</v>
      </c>
      <c r="E2167" t="s">
        <v>894</v>
      </c>
      <c r="F2167" t="s">
        <v>895</v>
      </c>
      <c r="G2167" s="23" t="s">
        <v>41</v>
      </c>
      <c r="H2167" s="23" t="s">
        <v>53</v>
      </c>
      <c r="I2167" t="s">
        <v>5960</v>
      </c>
      <c r="J2167" t="s">
        <v>22</v>
      </c>
      <c r="K2167" s="22">
        <v>2</v>
      </c>
      <c r="L2167" s="1">
        <v>43014</v>
      </c>
      <c r="M2167" s="22">
        <f>Table3[[#This Row],[Ship Date]]-Table3[[#This Row],[Order Date]]</f>
        <v>0</v>
      </c>
      <c r="N2167" s="23" t="s">
        <v>1141</v>
      </c>
      <c r="O2167" s="23" t="s">
        <v>23</v>
      </c>
      <c r="P2167" s="23" t="s">
        <v>189</v>
      </c>
      <c r="Q2167" s="23" t="s">
        <v>95</v>
      </c>
      <c r="R2167" s="23" t="s">
        <v>271</v>
      </c>
      <c r="S2167" s="33">
        <v>0.2</v>
      </c>
      <c r="T2167" s="13">
        <v>290.33600000000001</v>
      </c>
      <c r="U2167" s="13">
        <v>32.662799999999997</v>
      </c>
      <c r="V2167" s="55">
        <f>Table3[[#This Row],[Profit]]/Table3[[#This Row],[Sales]]</f>
        <v>0.11249999999999999</v>
      </c>
    </row>
    <row r="2168" spans="1:22" x14ac:dyDescent="0.2">
      <c r="A2168">
        <v>2167</v>
      </c>
      <c r="B2168" t="s">
        <v>10081</v>
      </c>
      <c r="C2168" s="1">
        <v>43014</v>
      </c>
      <c r="D2168" s="22">
        <f>MONTH(Table3[[#This Row],[Order Date]])</f>
        <v>10</v>
      </c>
      <c r="E2168" t="s">
        <v>2714</v>
      </c>
      <c r="F2168" t="s">
        <v>2673</v>
      </c>
      <c r="G2168" s="23" t="s">
        <v>41</v>
      </c>
      <c r="H2168" s="23" t="s">
        <v>61</v>
      </c>
      <c r="I2168" t="s">
        <v>5960</v>
      </c>
      <c r="J2168" t="s">
        <v>22</v>
      </c>
      <c r="K2168" s="22">
        <v>2</v>
      </c>
      <c r="L2168" s="1">
        <v>43014</v>
      </c>
      <c r="M2168" s="22">
        <f>Table3[[#This Row],[Ship Date]]-Table3[[#This Row],[Order Date]]</f>
        <v>0</v>
      </c>
      <c r="N2168" s="23" t="s">
        <v>1141</v>
      </c>
      <c r="O2168" s="23" t="s">
        <v>23</v>
      </c>
      <c r="P2168" s="23" t="s">
        <v>189</v>
      </c>
      <c r="Q2168" s="23" t="s">
        <v>95</v>
      </c>
      <c r="R2168" s="23" t="s">
        <v>271</v>
      </c>
      <c r="S2168" s="33">
        <v>0.2</v>
      </c>
      <c r="T2168" s="13">
        <v>19.152000000000001</v>
      </c>
      <c r="U2168" s="13">
        <v>1.1970000000000001</v>
      </c>
      <c r="V2168" s="55">
        <f>Table3[[#This Row],[Profit]]/Table3[[#This Row],[Sales]]</f>
        <v>6.25E-2</v>
      </c>
    </row>
    <row r="2169" spans="1:22" x14ac:dyDescent="0.2">
      <c r="A2169">
        <v>2168</v>
      </c>
      <c r="B2169" t="s">
        <v>10126</v>
      </c>
      <c r="C2169" s="1">
        <v>43014</v>
      </c>
      <c r="D2169" s="22">
        <f>MONTH(Table3[[#This Row],[Order Date]])</f>
        <v>10</v>
      </c>
      <c r="E2169" t="s">
        <v>6767</v>
      </c>
      <c r="F2169" t="s">
        <v>6768</v>
      </c>
      <c r="G2169" s="23" t="s">
        <v>41</v>
      </c>
      <c r="H2169" s="23" t="s">
        <v>61</v>
      </c>
      <c r="I2169" t="s">
        <v>1670</v>
      </c>
      <c r="J2169" t="s">
        <v>22</v>
      </c>
      <c r="K2169" s="22">
        <v>2</v>
      </c>
      <c r="L2169" s="1">
        <v>43019</v>
      </c>
      <c r="M2169" s="22">
        <f>Table3[[#This Row],[Ship Date]]-Table3[[#This Row],[Order Date]]</f>
        <v>5</v>
      </c>
      <c r="N2169" s="23" t="s">
        <v>45</v>
      </c>
      <c r="O2169" s="23" t="s">
        <v>23</v>
      </c>
      <c r="P2169" s="23" t="s">
        <v>277</v>
      </c>
      <c r="Q2169" s="23" t="s">
        <v>39</v>
      </c>
      <c r="R2169" s="23" t="s">
        <v>7273</v>
      </c>
      <c r="S2169" s="33">
        <v>0.2</v>
      </c>
      <c r="T2169" s="13">
        <v>9.3439999999999994</v>
      </c>
      <c r="U2169" s="13">
        <v>1.8688</v>
      </c>
      <c r="V2169" s="55">
        <f>Table3[[#This Row],[Profit]]/Table3[[#This Row],[Sales]]</f>
        <v>0.2</v>
      </c>
    </row>
    <row r="2170" spans="1:22" x14ac:dyDescent="0.2">
      <c r="A2170">
        <v>2169</v>
      </c>
      <c r="B2170" t="s">
        <v>3889</v>
      </c>
      <c r="C2170" s="1">
        <v>43015</v>
      </c>
      <c r="D2170" s="22">
        <f>MONTH(Table3[[#This Row],[Order Date]])</f>
        <v>10</v>
      </c>
      <c r="E2170" t="s">
        <v>3890</v>
      </c>
      <c r="F2170" t="s">
        <v>3891</v>
      </c>
      <c r="G2170" s="23" t="s">
        <v>28</v>
      </c>
      <c r="H2170" s="23" t="s">
        <v>29</v>
      </c>
      <c r="I2170" t="s">
        <v>2115</v>
      </c>
      <c r="J2170" t="s">
        <v>22</v>
      </c>
      <c r="K2170" s="22">
        <v>2</v>
      </c>
      <c r="L2170" s="1">
        <v>43021</v>
      </c>
      <c r="M2170" s="22">
        <f>Table3[[#This Row],[Ship Date]]-Table3[[#This Row],[Order Date]]</f>
        <v>6</v>
      </c>
      <c r="N2170" s="23" t="s">
        <v>45</v>
      </c>
      <c r="O2170" s="23" t="s">
        <v>23</v>
      </c>
      <c r="P2170" s="23" t="s">
        <v>38</v>
      </c>
      <c r="Q2170" s="23" t="s">
        <v>39</v>
      </c>
      <c r="R2170" s="23" t="s">
        <v>114</v>
      </c>
      <c r="S2170" s="33">
        <v>0.15</v>
      </c>
      <c r="T2170" s="13">
        <v>307.666</v>
      </c>
      <c r="U2170" s="13">
        <v>-14.478400000000001</v>
      </c>
      <c r="V2170" s="55">
        <f>Table3[[#This Row],[Profit]]/Table3[[#This Row],[Sales]]</f>
        <v>-4.7058823529411764E-2</v>
      </c>
    </row>
    <row r="2171" spans="1:22" x14ac:dyDescent="0.2">
      <c r="A2171">
        <v>2170</v>
      </c>
      <c r="B2171" t="s">
        <v>4843</v>
      </c>
      <c r="C2171" s="1">
        <v>43015</v>
      </c>
      <c r="D2171" s="22">
        <f>MONTH(Table3[[#This Row],[Order Date]])</f>
        <v>10</v>
      </c>
      <c r="E2171" t="s">
        <v>2382</v>
      </c>
      <c r="F2171" t="s">
        <v>2383</v>
      </c>
      <c r="G2171" s="23" t="s">
        <v>64</v>
      </c>
      <c r="H2171" s="23" t="s">
        <v>144</v>
      </c>
      <c r="I2171" t="s">
        <v>1591</v>
      </c>
      <c r="J2171" t="s">
        <v>22</v>
      </c>
      <c r="K2171" s="22">
        <v>9</v>
      </c>
      <c r="L2171" s="1">
        <v>43019</v>
      </c>
      <c r="M2171" s="22">
        <f>Table3[[#This Row],[Ship Date]]-Table3[[#This Row],[Order Date]]</f>
        <v>4</v>
      </c>
      <c r="N2171" s="23" t="s">
        <v>45</v>
      </c>
      <c r="O2171" s="23" t="s">
        <v>23</v>
      </c>
      <c r="P2171" s="23" t="s">
        <v>38</v>
      </c>
      <c r="Q2171" s="23" t="s">
        <v>39</v>
      </c>
      <c r="R2171" s="23" t="s">
        <v>37</v>
      </c>
      <c r="S2171" s="33">
        <v>0</v>
      </c>
      <c r="T2171" s="13">
        <v>1115.9100000000001</v>
      </c>
      <c r="U2171" s="13">
        <v>200.8638</v>
      </c>
      <c r="V2171" s="55">
        <f>Table3[[#This Row],[Profit]]/Table3[[#This Row],[Sales]]</f>
        <v>0.18</v>
      </c>
    </row>
    <row r="2172" spans="1:22" x14ac:dyDescent="0.2">
      <c r="A2172">
        <v>2171</v>
      </c>
      <c r="B2172" t="s">
        <v>4843</v>
      </c>
      <c r="C2172" s="1">
        <v>43015</v>
      </c>
      <c r="D2172" s="22">
        <f>MONTH(Table3[[#This Row],[Order Date]])</f>
        <v>10</v>
      </c>
      <c r="E2172" t="s">
        <v>1579</v>
      </c>
      <c r="F2172" t="s">
        <v>1580</v>
      </c>
      <c r="G2172" s="23" t="s">
        <v>64</v>
      </c>
      <c r="H2172" s="23" t="s">
        <v>65</v>
      </c>
      <c r="I2172" t="s">
        <v>1591</v>
      </c>
      <c r="J2172" t="s">
        <v>22</v>
      </c>
      <c r="K2172" s="22">
        <v>7</v>
      </c>
      <c r="L2172" s="1">
        <v>43019</v>
      </c>
      <c r="M2172" s="22">
        <f>Table3[[#This Row],[Ship Date]]-Table3[[#This Row],[Order Date]]</f>
        <v>4</v>
      </c>
      <c r="N2172" s="23" t="s">
        <v>45</v>
      </c>
      <c r="O2172" s="23" t="s">
        <v>23</v>
      </c>
      <c r="P2172" s="23" t="s">
        <v>38</v>
      </c>
      <c r="Q2172" s="23" t="s">
        <v>39</v>
      </c>
      <c r="R2172" s="23" t="s">
        <v>37</v>
      </c>
      <c r="S2172" s="33">
        <v>0.2</v>
      </c>
      <c r="T2172" s="13">
        <v>128.744</v>
      </c>
      <c r="U2172" s="13">
        <v>-28.967400000000001</v>
      </c>
      <c r="V2172" s="55">
        <f>Table3[[#This Row],[Profit]]/Table3[[#This Row],[Sales]]</f>
        <v>-0.22500000000000001</v>
      </c>
    </row>
    <row r="2173" spans="1:22" x14ac:dyDescent="0.2">
      <c r="A2173">
        <v>2172</v>
      </c>
      <c r="B2173" t="s">
        <v>4843</v>
      </c>
      <c r="C2173" s="1">
        <v>43015</v>
      </c>
      <c r="D2173" s="22">
        <f>MONTH(Table3[[#This Row],[Order Date]])</f>
        <v>10</v>
      </c>
      <c r="E2173" t="s">
        <v>1092</v>
      </c>
      <c r="F2173" t="s">
        <v>1093</v>
      </c>
      <c r="G2173" s="23" t="s">
        <v>64</v>
      </c>
      <c r="H2173" s="23" t="s">
        <v>65</v>
      </c>
      <c r="I2173" t="s">
        <v>1591</v>
      </c>
      <c r="J2173" t="s">
        <v>22</v>
      </c>
      <c r="K2173" s="22">
        <v>10</v>
      </c>
      <c r="L2173" s="1">
        <v>43019</v>
      </c>
      <c r="M2173" s="22">
        <f>Table3[[#This Row],[Ship Date]]-Table3[[#This Row],[Order Date]]</f>
        <v>4</v>
      </c>
      <c r="N2173" s="23" t="s">
        <v>45</v>
      </c>
      <c r="O2173" s="23" t="s">
        <v>23</v>
      </c>
      <c r="P2173" s="23" t="s">
        <v>38</v>
      </c>
      <c r="Q2173" s="23" t="s">
        <v>39</v>
      </c>
      <c r="R2173" s="23" t="s">
        <v>37</v>
      </c>
      <c r="S2173" s="33">
        <v>0.2</v>
      </c>
      <c r="T2173" s="13">
        <v>79.92</v>
      </c>
      <c r="U2173" s="13">
        <v>26.972999999999999</v>
      </c>
      <c r="V2173" s="55">
        <f>Table3[[#This Row],[Profit]]/Table3[[#This Row],[Sales]]</f>
        <v>0.33749999999999997</v>
      </c>
    </row>
    <row r="2174" spans="1:22" x14ac:dyDescent="0.2">
      <c r="A2174">
        <v>2173</v>
      </c>
      <c r="B2174" t="s">
        <v>5898</v>
      </c>
      <c r="C2174" s="1">
        <v>43015</v>
      </c>
      <c r="D2174" s="22">
        <f>MONTH(Table3[[#This Row],[Order Date]])</f>
        <v>10</v>
      </c>
      <c r="E2174" t="s">
        <v>894</v>
      </c>
      <c r="F2174" t="s">
        <v>895</v>
      </c>
      <c r="G2174" s="23" t="s">
        <v>41</v>
      </c>
      <c r="H2174" s="23" t="s">
        <v>53</v>
      </c>
      <c r="I2174" t="s">
        <v>5277</v>
      </c>
      <c r="J2174" t="s">
        <v>92</v>
      </c>
      <c r="K2174" s="22">
        <v>4</v>
      </c>
      <c r="L2174" s="1">
        <v>43019</v>
      </c>
      <c r="M2174" s="22">
        <f>Table3[[#This Row],[Ship Date]]-Table3[[#This Row],[Order Date]]</f>
        <v>4</v>
      </c>
      <c r="N2174" s="23" t="s">
        <v>45</v>
      </c>
      <c r="O2174" s="23" t="s">
        <v>23</v>
      </c>
      <c r="P2174" s="23" t="s">
        <v>80</v>
      </c>
      <c r="Q2174" s="23" t="s">
        <v>26</v>
      </c>
      <c r="R2174" s="23" t="s">
        <v>414</v>
      </c>
      <c r="S2174" s="33">
        <v>0.2</v>
      </c>
      <c r="T2174" s="13">
        <v>580.67200000000003</v>
      </c>
      <c r="U2174" s="13">
        <v>65.325599999999994</v>
      </c>
      <c r="V2174" s="55">
        <f>Table3[[#This Row],[Profit]]/Table3[[#This Row],[Sales]]</f>
        <v>0.11249999999999999</v>
      </c>
    </row>
    <row r="2175" spans="1:22" x14ac:dyDescent="0.2">
      <c r="A2175">
        <v>2174</v>
      </c>
      <c r="B2175" t="s">
        <v>5898</v>
      </c>
      <c r="C2175" s="1">
        <v>43015</v>
      </c>
      <c r="D2175" s="22">
        <f>MONTH(Table3[[#This Row],[Order Date]])</f>
        <v>10</v>
      </c>
      <c r="E2175" t="s">
        <v>1883</v>
      </c>
      <c r="F2175" t="s">
        <v>498</v>
      </c>
      <c r="G2175" s="23" t="s">
        <v>41</v>
      </c>
      <c r="H2175" s="23" t="s">
        <v>240</v>
      </c>
      <c r="I2175" t="s">
        <v>5277</v>
      </c>
      <c r="J2175" t="s">
        <v>92</v>
      </c>
      <c r="K2175" s="22">
        <v>3</v>
      </c>
      <c r="L2175" s="1">
        <v>43019</v>
      </c>
      <c r="M2175" s="22">
        <f>Table3[[#This Row],[Ship Date]]-Table3[[#This Row],[Order Date]]</f>
        <v>4</v>
      </c>
      <c r="N2175" s="23" t="s">
        <v>45</v>
      </c>
      <c r="O2175" s="23" t="s">
        <v>23</v>
      </c>
      <c r="P2175" s="23" t="s">
        <v>80</v>
      </c>
      <c r="Q2175" s="23" t="s">
        <v>26</v>
      </c>
      <c r="R2175" s="23" t="s">
        <v>414</v>
      </c>
      <c r="S2175" s="33">
        <v>0.2</v>
      </c>
      <c r="T2175" s="13">
        <v>18.936</v>
      </c>
      <c r="U2175" s="13">
        <v>5.9175000000000004</v>
      </c>
      <c r="V2175" s="55">
        <f>Table3[[#This Row],[Profit]]/Table3[[#This Row],[Sales]]</f>
        <v>0.3125</v>
      </c>
    </row>
    <row r="2176" spans="1:22" x14ac:dyDescent="0.2">
      <c r="A2176">
        <v>2175</v>
      </c>
      <c r="B2176" t="s">
        <v>5898</v>
      </c>
      <c r="C2176" s="1">
        <v>43015</v>
      </c>
      <c r="D2176" s="22">
        <f>MONTH(Table3[[#This Row],[Order Date]])</f>
        <v>10</v>
      </c>
      <c r="E2176" t="s">
        <v>2999</v>
      </c>
      <c r="F2176" t="s">
        <v>3000</v>
      </c>
      <c r="G2176" s="23" t="s">
        <v>64</v>
      </c>
      <c r="H2176" s="23" t="s">
        <v>65</v>
      </c>
      <c r="I2176" t="s">
        <v>5277</v>
      </c>
      <c r="J2176" t="s">
        <v>92</v>
      </c>
      <c r="K2176" s="22">
        <v>2</v>
      </c>
      <c r="L2176" s="1">
        <v>43019</v>
      </c>
      <c r="M2176" s="22">
        <f>Table3[[#This Row],[Ship Date]]-Table3[[#This Row],[Order Date]]</f>
        <v>4</v>
      </c>
      <c r="N2176" s="23" t="s">
        <v>45</v>
      </c>
      <c r="O2176" s="23" t="s">
        <v>23</v>
      </c>
      <c r="P2176" s="23" t="s">
        <v>80</v>
      </c>
      <c r="Q2176" s="23" t="s">
        <v>26</v>
      </c>
      <c r="R2176" s="23" t="s">
        <v>414</v>
      </c>
      <c r="S2176" s="33">
        <v>0.2</v>
      </c>
      <c r="T2176" s="13">
        <v>222.38399999999999</v>
      </c>
      <c r="U2176" s="13">
        <v>16.678799999999999</v>
      </c>
      <c r="V2176" s="55">
        <f>Table3[[#This Row],[Profit]]/Table3[[#This Row],[Sales]]</f>
        <v>7.4999999999999997E-2</v>
      </c>
    </row>
    <row r="2177" spans="1:22" x14ac:dyDescent="0.2">
      <c r="A2177">
        <v>2176</v>
      </c>
      <c r="B2177" t="s">
        <v>5898</v>
      </c>
      <c r="C2177" s="1">
        <v>43015</v>
      </c>
      <c r="D2177" s="22">
        <f>MONTH(Table3[[#This Row],[Order Date]])</f>
        <v>10</v>
      </c>
      <c r="E2177" t="s">
        <v>3128</v>
      </c>
      <c r="F2177" t="s">
        <v>3129</v>
      </c>
      <c r="G2177" s="23" t="s">
        <v>41</v>
      </c>
      <c r="H2177" s="23" t="s">
        <v>68</v>
      </c>
      <c r="I2177" t="s">
        <v>5277</v>
      </c>
      <c r="J2177" t="s">
        <v>92</v>
      </c>
      <c r="K2177" s="22">
        <v>6</v>
      </c>
      <c r="L2177" s="1">
        <v>43019</v>
      </c>
      <c r="M2177" s="22">
        <f>Table3[[#This Row],[Ship Date]]-Table3[[#This Row],[Order Date]]</f>
        <v>4</v>
      </c>
      <c r="N2177" s="23" t="s">
        <v>45</v>
      </c>
      <c r="O2177" s="23" t="s">
        <v>23</v>
      </c>
      <c r="P2177" s="23" t="s">
        <v>80</v>
      </c>
      <c r="Q2177" s="23" t="s">
        <v>26</v>
      </c>
      <c r="R2177" s="23" t="s">
        <v>414</v>
      </c>
      <c r="S2177" s="33">
        <v>0.7</v>
      </c>
      <c r="T2177" s="13">
        <v>50.454000000000001</v>
      </c>
      <c r="U2177" s="13">
        <v>-33.636000000000003</v>
      </c>
      <c r="V2177" s="55">
        <f>Table3[[#This Row],[Profit]]/Table3[[#This Row],[Sales]]</f>
        <v>-0.66666666666666674</v>
      </c>
    </row>
    <row r="2178" spans="1:22" x14ac:dyDescent="0.2">
      <c r="A2178">
        <v>2177</v>
      </c>
      <c r="B2178" t="s">
        <v>5898</v>
      </c>
      <c r="C2178" s="1">
        <v>43015</v>
      </c>
      <c r="D2178" s="22">
        <f>MONTH(Table3[[#This Row],[Order Date]])</f>
        <v>10</v>
      </c>
      <c r="E2178" t="s">
        <v>3373</v>
      </c>
      <c r="F2178" t="s">
        <v>2884</v>
      </c>
      <c r="G2178" s="23" t="s">
        <v>28</v>
      </c>
      <c r="H2178" s="23" t="s">
        <v>50</v>
      </c>
      <c r="I2178" t="s">
        <v>5277</v>
      </c>
      <c r="J2178" t="s">
        <v>92</v>
      </c>
      <c r="K2178" s="22">
        <v>3</v>
      </c>
      <c r="L2178" s="1">
        <v>43019</v>
      </c>
      <c r="M2178" s="22">
        <f>Table3[[#This Row],[Ship Date]]-Table3[[#This Row],[Order Date]]</f>
        <v>4</v>
      </c>
      <c r="N2178" s="23" t="s">
        <v>45</v>
      </c>
      <c r="O2178" s="23" t="s">
        <v>23</v>
      </c>
      <c r="P2178" s="23" t="s">
        <v>80</v>
      </c>
      <c r="Q2178" s="23" t="s">
        <v>26</v>
      </c>
      <c r="R2178" s="23" t="s">
        <v>414</v>
      </c>
      <c r="S2178" s="33">
        <v>0.4</v>
      </c>
      <c r="T2178" s="13">
        <v>154.76400000000001</v>
      </c>
      <c r="U2178" s="13">
        <v>-36.111600000000003</v>
      </c>
      <c r="V2178" s="55">
        <f>Table3[[#This Row],[Profit]]/Table3[[#This Row],[Sales]]</f>
        <v>-0.23333333333333334</v>
      </c>
    </row>
    <row r="2179" spans="1:22" x14ac:dyDescent="0.2">
      <c r="A2179">
        <v>2178</v>
      </c>
      <c r="B2179" t="s">
        <v>6547</v>
      </c>
      <c r="C2179" s="1">
        <v>43015</v>
      </c>
      <c r="D2179" s="22">
        <f>MONTH(Table3[[#This Row],[Order Date]])</f>
        <v>10</v>
      </c>
      <c r="E2179" t="s">
        <v>98</v>
      </c>
      <c r="F2179" t="s">
        <v>99</v>
      </c>
      <c r="G2179" s="23" t="s">
        <v>41</v>
      </c>
      <c r="H2179" s="23" t="s">
        <v>68</v>
      </c>
      <c r="I2179" t="s">
        <v>2187</v>
      </c>
      <c r="J2179" t="s">
        <v>22</v>
      </c>
      <c r="K2179" s="22">
        <v>5</v>
      </c>
      <c r="L2179" s="1">
        <v>43019</v>
      </c>
      <c r="M2179" s="22">
        <f>Table3[[#This Row],[Ship Date]]-Table3[[#This Row],[Order Date]]</f>
        <v>4</v>
      </c>
      <c r="N2179" s="23" t="s">
        <v>45</v>
      </c>
      <c r="O2179" s="23" t="s">
        <v>23</v>
      </c>
      <c r="P2179" s="23" t="s">
        <v>94</v>
      </c>
      <c r="Q2179" s="23" t="s">
        <v>95</v>
      </c>
      <c r="R2179" s="23" t="s">
        <v>165</v>
      </c>
      <c r="S2179" s="33">
        <v>0.8</v>
      </c>
      <c r="T2179" s="13">
        <v>4.24</v>
      </c>
      <c r="U2179" s="13">
        <v>-6.36</v>
      </c>
      <c r="V2179" s="55">
        <f>Table3[[#This Row],[Profit]]/Table3[[#This Row],[Sales]]</f>
        <v>-1.5</v>
      </c>
    </row>
    <row r="2180" spans="1:22" x14ac:dyDescent="0.2">
      <c r="A2180">
        <v>2179</v>
      </c>
      <c r="B2180" t="s">
        <v>7362</v>
      </c>
      <c r="C2180" s="1">
        <v>43015</v>
      </c>
      <c r="D2180" s="22">
        <f>MONTH(Table3[[#This Row],[Order Date]])</f>
        <v>10</v>
      </c>
      <c r="E2180" t="s">
        <v>4941</v>
      </c>
      <c r="F2180" t="s">
        <v>4942</v>
      </c>
      <c r="G2180" s="23" t="s">
        <v>41</v>
      </c>
      <c r="H2180" s="23" t="s">
        <v>53</v>
      </c>
      <c r="I2180" t="s">
        <v>1571</v>
      </c>
      <c r="J2180" t="s">
        <v>22</v>
      </c>
      <c r="K2180" s="22">
        <v>2</v>
      </c>
      <c r="L2180" s="1">
        <v>43020</v>
      </c>
      <c r="M2180" s="22">
        <f>Table3[[#This Row],[Ship Date]]-Table3[[#This Row],[Order Date]]</f>
        <v>5</v>
      </c>
      <c r="N2180" s="23" t="s">
        <v>45</v>
      </c>
      <c r="O2180" s="23" t="s">
        <v>23</v>
      </c>
      <c r="P2180" s="23" t="s">
        <v>212</v>
      </c>
      <c r="Q2180" s="23" t="s">
        <v>95</v>
      </c>
      <c r="R2180" s="23" t="s">
        <v>775</v>
      </c>
      <c r="S2180" s="33">
        <v>0</v>
      </c>
      <c r="T2180" s="13">
        <v>85.52</v>
      </c>
      <c r="U2180" s="13">
        <v>22.235199999999999</v>
      </c>
      <c r="V2180" s="55">
        <f>Table3[[#This Row],[Profit]]/Table3[[#This Row],[Sales]]</f>
        <v>0.26</v>
      </c>
    </row>
    <row r="2181" spans="1:22" x14ac:dyDescent="0.2">
      <c r="A2181">
        <v>2180</v>
      </c>
      <c r="B2181" t="s">
        <v>7516</v>
      </c>
      <c r="C2181" s="1">
        <v>43016</v>
      </c>
      <c r="D2181" s="22">
        <f>MONTH(Table3[[#This Row],[Order Date]])</f>
        <v>10</v>
      </c>
      <c r="E2181" t="s">
        <v>3306</v>
      </c>
      <c r="F2181" t="s">
        <v>3307</v>
      </c>
      <c r="G2181" s="23" t="s">
        <v>64</v>
      </c>
      <c r="H2181" s="23" t="s">
        <v>65</v>
      </c>
      <c r="I2181" t="s">
        <v>2128</v>
      </c>
      <c r="J2181" t="s">
        <v>36</v>
      </c>
      <c r="K2181" s="22">
        <v>1</v>
      </c>
      <c r="L2181" s="1">
        <v>43022</v>
      </c>
      <c r="M2181" s="22">
        <f>Table3[[#This Row],[Ship Date]]-Table3[[#This Row],[Order Date]]</f>
        <v>6</v>
      </c>
      <c r="N2181" s="23" t="s">
        <v>45</v>
      </c>
      <c r="O2181" s="23" t="s">
        <v>23</v>
      </c>
      <c r="P2181" s="23" t="s">
        <v>38</v>
      </c>
      <c r="Q2181" s="23" t="s">
        <v>39</v>
      </c>
      <c r="R2181" s="23" t="s">
        <v>836</v>
      </c>
      <c r="S2181" s="33">
        <v>0.2</v>
      </c>
      <c r="T2181" s="13">
        <v>103.19199999999999</v>
      </c>
      <c r="U2181" s="13">
        <v>11.6091</v>
      </c>
      <c r="V2181" s="55">
        <f>Table3[[#This Row],[Profit]]/Table3[[#This Row],[Sales]]</f>
        <v>0.1125</v>
      </c>
    </row>
    <row r="2182" spans="1:22" x14ac:dyDescent="0.2">
      <c r="A2182">
        <v>2181</v>
      </c>
      <c r="B2182" t="s">
        <v>7516</v>
      </c>
      <c r="C2182" s="1">
        <v>43016</v>
      </c>
      <c r="D2182" s="22">
        <f>MONTH(Table3[[#This Row],[Order Date]])</f>
        <v>10</v>
      </c>
      <c r="E2182" t="s">
        <v>5981</v>
      </c>
      <c r="F2182" t="s">
        <v>5982</v>
      </c>
      <c r="G2182" s="23" t="s">
        <v>64</v>
      </c>
      <c r="H2182" s="23" t="s">
        <v>144</v>
      </c>
      <c r="I2182" t="s">
        <v>2128</v>
      </c>
      <c r="J2182" t="s">
        <v>36</v>
      </c>
      <c r="K2182" s="22">
        <v>2</v>
      </c>
      <c r="L2182" s="1">
        <v>43022</v>
      </c>
      <c r="M2182" s="22">
        <f>Table3[[#This Row],[Ship Date]]-Table3[[#This Row],[Order Date]]</f>
        <v>6</v>
      </c>
      <c r="N2182" s="23" t="s">
        <v>45</v>
      </c>
      <c r="O2182" s="23" t="s">
        <v>23</v>
      </c>
      <c r="P2182" s="23" t="s">
        <v>38</v>
      </c>
      <c r="Q2182" s="23" t="s">
        <v>39</v>
      </c>
      <c r="R2182" s="23" t="s">
        <v>836</v>
      </c>
      <c r="S2182" s="33">
        <v>0</v>
      </c>
      <c r="T2182" s="13">
        <v>36</v>
      </c>
      <c r="U2182" s="13">
        <v>6.48</v>
      </c>
      <c r="V2182" s="55">
        <f>Table3[[#This Row],[Profit]]/Table3[[#This Row],[Sales]]</f>
        <v>0.18000000000000002</v>
      </c>
    </row>
    <row r="2183" spans="1:22" x14ac:dyDescent="0.2">
      <c r="A2183">
        <v>2182</v>
      </c>
      <c r="B2183" t="s">
        <v>7516</v>
      </c>
      <c r="C2183" s="1">
        <v>43016</v>
      </c>
      <c r="D2183" s="22">
        <f>MONTH(Table3[[#This Row],[Order Date]])</f>
        <v>10</v>
      </c>
      <c r="E2183" t="s">
        <v>2070</v>
      </c>
      <c r="F2183" t="s">
        <v>2071</v>
      </c>
      <c r="G2183" s="23" t="s">
        <v>64</v>
      </c>
      <c r="H2183" s="23" t="s">
        <v>144</v>
      </c>
      <c r="I2183" t="s">
        <v>2128</v>
      </c>
      <c r="J2183" t="s">
        <v>36</v>
      </c>
      <c r="K2183" s="22">
        <v>4</v>
      </c>
      <c r="L2183" s="1">
        <v>43022</v>
      </c>
      <c r="M2183" s="22">
        <f>Table3[[#This Row],[Ship Date]]-Table3[[#This Row],[Order Date]]</f>
        <v>6</v>
      </c>
      <c r="N2183" s="23" t="s">
        <v>45</v>
      </c>
      <c r="O2183" s="23" t="s">
        <v>23</v>
      </c>
      <c r="P2183" s="23" t="s">
        <v>38</v>
      </c>
      <c r="Q2183" s="23" t="s">
        <v>39</v>
      </c>
      <c r="R2183" s="23" t="s">
        <v>836</v>
      </c>
      <c r="S2183" s="33">
        <v>0</v>
      </c>
      <c r="T2183" s="13">
        <v>239.96</v>
      </c>
      <c r="U2183" s="13">
        <v>115.1808</v>
      </c>
      <c r="V2183" s="55">
        <f>Table3[[#This Row],[Profit]]/Table3[[#This Row],[Sales]]</f>
        <v>0.48</v>
      </c>
    </row>
    <row r="2184" spans="1:22" x14ac:dyDescent="0.2">
      <c r="A2184">
        <v>2183</v>
      </c>
      <c r="B2184" t="s">
        <v>7516</v>
      </c>
      <c r="C2184" s="1">
        <v>43016</v>
      </c>
      <c r="D2184" s="22">
        <f>MONTH(Table3[[#This Row],[Order Date]])</f>
        <v>10</v>
      </c>
      <c r="E2184" t="s">
        <v>5758</v>
      </c>
      <c r="F2184" t="s">
        <v>5759</v>
      </c>
      <c r="G2184" s="23" t="s">
        <v>41</v>
      </c>
      <c r="H2184" s="23" t="s">
        <v>53</v>
      </c>
      <c r="I2184" t="s">
        <v>2128</v>
      </c>
      <c r="J2184" t="s">
        <v>36</v>
      </c>
      <c r="K2184" s="22">
        <v>2</v>
      </c>
      <c r="L2184" s="1">
        <v>43022</v>
      </c>
      <c r="M2184" s="22">
        <f>Table3[[#This Row],[Ship Date]]-Table3[[#This Row],[Order Date]]</f>
        <v>6</v>
      </c>
      <c r="N2184" s="23" t="s">
        <v>45</v>
      </c>
      <c r="O2184" s="23" t="s">
        <v>23</v>
      </c>
      <c r="P2184" s="23" t="s">
        <v>38</v>
      </c>
      <c r="Q2184" s="23" t="s">
        <v>39</v>
      </c>
      <c r="R2184" s="23" t="s">
        <v>836</v>
      </c>
      <c r="S2184" s="33">
        <v>0</v>
      </c>
      <c r="T2184" s="13">
        <v>40.68</v>
      </c>
      <c r="U2184" s="13">
        <v>0.40679999999999999</v>
      </c>
      <c r="V2184" s="55">
        <f>Table3[[#This Row],[Profit]]/Table3[[#This Row],[Sales]]</f>
        <v>0.01</v>
      </c>
    </row>
    <row r="2185" spans="1:22" x14ac:dyDescent="0.2">
      <c r="A2185">
        <v>2184</v>
      </c>
      <c r="B2185" t="s">
        <v>7787</v>
      </c>
      <c r="C2185" s="1">
        <v>43016</v>
      </c>
      <c r="D2185" s="22">
        <f>MONTH(Table3[[#This Row],[Order Date]])</f>
        <v>10</v>
      </c>
      <c r="E2185" t="s">
        <v>4941</v>
      </c>
      <c r="F2185" t="s">
        <v>4942</v>
      </c>
      <c r="G2185" s="23" t="s">
        <v>41</v>
      </c>
      <c r="H2185" s="23" t="s">
        <v>53</v>
      </c>
      <c r="I2185" t="s">
        <v>7788</v>
      </c>
      <c r="J2185" t="s">
        <v>36</v>
      </c>
      <c r="K2185" s="22">
        <v>1</v>
      </c>
      <c r="L2185" s="1">
        <v>43019</v>
      </c>
      <c r="M2185" s="22">
        <f>Table3[[#This Row],[Ship Date]]-Table3[[#This Row],[Order Date]]</f>
        <v>3</v>
      </c>
      <c r="N2185" s="23" t="s">
        <v>169</v>
      </c>
      <c r="O2185" s="23" t="s">
        <v>23</v>
      </c>
      <c r="P2185" s="23" t="s">
        <v>1235</v>
      </c>
      <c r="Q2185" s="23" t="s">
        <v>133</v>
      </c>
      <c r="R2185" s="23" t="s">
        <v>6573</v>
      </c>
      <c r="S2185" s="33">
        <v>0</v>
      </c>
      <c r="T2185" s="13">
        <v>42.76</v>
      </c>
      <c r="U2185" s="13">
        <v>11.117599999999999</v>
      </c>
      <c r="V2185" s="55">
        <f>Table3[[#This Row],[Profit]]/Table3[[#This Row],[Sales]]</f>
        <v>0.26</v>
      </c>
    </row>
    <row r="2186" spans="1:22" x14ac:dyDescent="0.2">
      <c r="A2186">
        <v>2185</v>
      </c>
      <c r="B2186" t="s">
        <v>8548</v>
      </c>
      <c r="C2186" s="1">
        <v>43016</v>
      </c>
      <c r="D2186" s="22">
        <f>MONTH(Table3[[#This Row],[Order Date]])</f>
        <v>10</v>
      </c>
      <c r="E2186" t="s">
        <v>1370</v>
      </c>
      <c r="F2186" t="s">
        <v>1371</v>
      </c>
      <c r="G2186" s="23" t="s">
        <v>28</v>
      </c>
      <c r="H2186" s="23" t="s">
        <v>32</v>
      </c>
      <c r="I2186" t="s">
        <v>2217</v>
      </c>
      <c r="J2186" t="s">
        <v>22</v>
      </c>
      <c r="K2186" s="22">
        <v>2</v>
      </c>
      <c r="L2186" s="1">
        <v>43022</v>
      </c>
      <c r="M2186" s="22">
        <f>Table3[[#This Row],[Ship Date]]-Table3[[#This Row],[Order Date]]</f>
        <v>6</v>
      </c>
      <c r="N2186" s="23" t="s">
        <v>45</v>
      </c>
      <c r="O2186" s="23" t="s">
        <v>23</v>
      </c>
      <c r="P2186" s="23" t="s">
        <v>238</v>
      </c>
      <c r="Q2186" s="23" t="s">
        <v>133</v>
      </c>
      <c r="R2186" s="23" t="s">
        <v>237</v>
      </c>
      <c r="S2186" s="33">
        <v>0.1</v>
      </c>
      <c r="T2186" s="13">
        <v>145.76400000000001</v>
      </c>
      <c r="U2186" s="13">
        <v>3.2391999999999999</v>
      </c>
      <c r="V2186" s="55">
        <f>Table3[[#This Row],[Profit]]/Table3[[#This Row],[Sales]]</f>
        <v>2.222222222222222E-2</v>
      </c>
    </row>
    <row r="2187" spans="1:22" x14ac:dyDescent="0.2">
      <c r="A2187">
        <v>2186</v>
      </c>
      <c r="B2187" t="s">
        <v>3226</v>
      </c>
      <c r="C2187" s="1">
        <v>43017</v>
      </c>
      <c r="D2187" s="22">
        <f>MONTH(Table3[[#This Row],[Order Date]])</f>
        <v>10</v>
      </c>
      <c r="E2187" t="s">
        <v>3228</v>
      </c>
      <c r="F2187" t="s">
        <v>3229</v>
      </c>
      <c r="G2187" s="23" t="s">
        <v>41</v>
      </c>
      <c r="H2187" s="23" t="s">
        <v>82</v>
      </c>
      <c r="I2187" t="s">
        <v>3227</v>
      </c>
      <c r="J2187" t="s">
        <v>22</v>
      </c>
      <c r="K2187" s="22">
        <v>4</v>
      </c>
      <c r="L2187" s="1">
        <v>43018</v>
      </c>
      <c r="M2187" s="22">
        <f>Table3[[#This Row],[Ship Date]]-Table3[[#This Row],[Order Date]]</f>
        <v>1</v>
      </c>
      <c r="N2187" s="23" t="s">
        <v>169</v>
      </c>
      <c r="O2187" s="23" t="s">
        <v>23</v>
      </c>
      <c r="P2187" s="23" t="s">
        <v>80</v>
      </c>
      <c r="Q2187" s="23" t="s">
        <v>26</v>
      </c>
      <c r="R2187" s="23" t="s">
        <v>461</v>
      </c>
      <c r="S2187" s="33">
        <v>0.2</v>
      </c>
      <c r="T2187" s="13">
        <v>10.816000000000001</v>
      </c>
      <c r="U2187" s="13">
        <v>3.5152000000000001</v>
      </c>
      <c r="V2187" s="55">
        <f>Table3[[#This Row],[Profit]]/Table3[[#This Row],[Sales]]</f>
        <v>0.32500000000000001</v>
      </c>
    </row>
    <row r="2188" spans="1:22" x14ac:dyDescent="0.2">
      <c r="A2188">
        <v>2187</v>
      </c>
      <c r="B2188" t="s">
        <v>3355</v>
      </c>
      <c r="C2188" s="1">
        <v>43017</v>
      </c>
      <c r="D2188" s="22">
        <f>MONTH(Table3[[#This Row],[Order Date]])</f>
        <v>10</v>
      </c>
      <c r="E2188" t="s">
        <v>3356</v>
      </c>
      <c r="F2188" t="s">
        <v>3357</v>
      </c>
      <c r="G2188" s="23" t="s">
        <v>28</v>
      </c>
      <c r="H2188" s="23" t="s">
        <v>50</v>
      </c>
      <c r="I2188" t="s">
        <v>2319</v>
      </c>
      <c r="J2188" t="s">
        <v>36</v>
      </c>
      <c r="K2188" s="22">
        <v>5</v>
      </c>
      <c r="L2188" s="1">
        <v>43022</v>
      </c>
      <c r="M2188" s="22">
        <f>Table3[[#This Row],[Ship Date]]-Table3[[#This Row],[Order Date]]</f>
        <v>5</v>
      </c>
      <c r="N2188" s="23" t="s">
        <v>45</v>
      </c>
      <c r="O2188" s="23" t="s">
        <v>23</v>
      </c>
      <c r="P2188" s="23" t="s">
        <v>189</v>
      </c>
      <c r="Q2188" s="23" t="s">
        <v>95</v>
      </c>
      <c r="R2188" s="23" t="s">
        <v>404</v>
      </c>
      <c r="S2188" s="33">
        <v>0.5</v>
      </c>
      <c r="T2188" s="13">
        <v>652.45000000000005</v>
      </c>
      <c r="U2188" s="13">
        <v>-430.61700000000002</v>
      </c>
      <c r="V2188" s="55">
        <f>Table3[[#This Row],[Profit]]/Table3[[#This Row],[Sales]]</f>
        <v>-0.66</v>
      </c>
    </row>
    <row r="2189" spans="1:22" x14ac:dyDescent="0.2">
      <c r="A2189">
        <v>2188</v>
      </c>
      <c r="B2189" t="s">
        <v>3355</v>
      </c>
      <c r="C2189" s="1">
        <v>43017</v>
      </c>
      <c r="D2189" s="22">
        <f>MONTH(Table3[[#This Row],[Order Date]])</f>
        <v>10</v>
      </c>
      <c r="E2189" t="s">
        <v>3358</v>
      </c>
      <c r="F2189" t="s">
        <v>3359</v>
      </c>
      <c r="G2189" s="23" t="s">
        <v>28</v>
      </c>
      <c r="H2189" s="23" t="s">
        <v>50</v>
      </c>
      <c r="I2189" t="s">
        <v>2319</v>
      </c>
      <c r="J2189" t="s">
        <v>36</v>
      </c>
      <c r="K2189" s="22">
        <v>3</v>
      </c>
      <c r="L2189" s="1">
        <v>43022</v>
      </c>
      <c r="M2189" s="22">
        <f>Table3[[#This Row],[Ship Date]]-Table3[[#This Row],[Order Date]]</f>
        <v>5</v>
      </c>
      <c r="N2189" s="23" t="s">
        <v>45</v>
      </c>
      <c r="O2189" s="23" t="s">
        <v>23</v>
      </c>
      <c r="P2189" s="23" t="s">
        <v>189</v>
      </c>
      <c r="Q2189" s="23" t="s">
        <v>95</v>
      </c>
      <c r="R2189" s="23" t="s">
        <v>404</v>
      </c>
      <c r="S2189" s="33">
        <v>0.5</v>
      </c>
      <c r="T2189" s="13">
        <v>66.644999999999996</v>
      </c>
      <c r="U2189" s="13">
        <v>-42.652799999999999</v>
      </c>
      <c r="V2189" s="55">
        <f>Table3[[#This Row],[Profit]]/Table3[[#This Row],[Sales]]</f>
        <v>-0.64</v>
      </c>
    </row>
    <row r="2190" spans="1:22" x14ac:dyDescent="0.2">
      <c r="A2190">
        <v>2189</v>
      </c>
      <c r="B2190" t="s">
        <v>5216</v>
      </c>
      <c r="C2190" s="1">
        <v>43017</v>
      </c>
      <c r="D2190" s="22">
        <f>MONTH(Table3[[#This Row],[Order Date]])</f>
        <v>10</v>
      </c>
      <c r="E2190" t="s">
        <v>2102</v>
      </c>
      <c r="F2190" t="s">
        <v>2103</v>
      </c>
      <c r="G2190" s="23" t="s">
        <v>28</v>
      </c>
      <c r="H2190" s="23" t="s">
        <v>58</v>
      </c>
      <c r="I2190" t="s">
        <v>3237</v>
      </c>
      <c r="J2190" t="s">
        <v>36</v>
      </c>
      <c r="K2190" s="22">
        <v>4</v>
      </c>
      <c r="L2190" s="1">
        <v>43019</v>
      </c>
      <c r="M2190" s="22">
        <f>Table3[[#This Row],[Ship Date]]-Table3[[#This Row],[Order Date]]</f>
        <v>2</v>
      </c>
      <c r="N2190" s="23" t="s">
        <v>169</v>
      </c>
      <c r="O2190" s="23" t="s">
        <v>23</v>
      </c>
      <c r="P2190" s="23" t="s">
        <v>441</v>
      </c>
      <c r="Q2190" s="23" t="s">
        <v>133</v>
      </c>
      <c r="R2190" s="23" t="s">
        <v>990</v>
      </c>
      <c r="S2190" s="33">
        <v>0.2</v>
      </c>
      <c r="T2190" s="13">
        <v>45.887999999999998</v>
      </c>
      <c r="U2190" s="13">
        <v>9.1776</v>
      </c>
      <c r="V2190" s="55">
        <f>Table3[[#This Row],[Profit]]/Table3[[#This Row],[Sales]]</f>
        <v>0.2</v>
      </c>
    </row>
    <row r="2191" spans="1:22" x14ac:dyDescent="0.2">
      <c r="A2191">
        <v>2190</v>
      </c>
      <c r="B2191" t="s">
        <v>6248</v>
      </c>
      <c r="C2191" s="1">
        <v>43017</v>
      </c>
      <c r="D2191" s="22">
        <f>MONTH(Table3[[#This Row],[Order Date]])</f>
        <v>10</v>
      </c>
      <c r="E2191" t="s">
        <v>3023</v>
      </c>
      <c r="F2191" t="s">
        <v>3024</v>
      </c>
      <c r="G2191" s="23" t="s">
        <v>41</v>
      </c>
      <c r="H2191" s="23" t="s">
        <v>68</v>
      </c>
      <c r="I2191" t="s">
        <v>5414</v>
      </c>
      <c r="J2191" t="s">
        <v>22</v>
      </c>
      <c r="K2191" s="22">
        <v>3</v>
      </c>
      <c r="L2191" s="1">
        <v>43022</v>
      </c>
      <c r="M2191" s="22">
        <f>Table3[[#This Row],[Ship Date]]-Table3[[#This Row],[Order Date]]</f>
        <v>5</v>
      </c>
      <c r="N2191" s="23" t="s">
        <v>45</v>
      </c>
      <c r="O2191" s="23" t="s">
        <v>23</v>
      </c>
      <c r="P2191" s="23" t="s">
        <v>238</v>
      </c>
      <c r="Q2191" s="23" t="s">
        <v>133</v>
      </c>
      <c r="R2191" s="23" t="s">
        <v>237</v>
      </c>
      <c r="S2191" s="33">
        <v>0.2</v>
      </c>
      <c r="T2191" s="13">
        <v>12.816000000000001</v>
      </c>
      <c r="U2191" s="13">
        <v>4.3254000000000001</v>
      </c>
      <c r="V2191" s="55">
        <f>Table3[[#This Row],[Profit]]/Table3[[#This Row],[Sales]]</f>
        <v>0.33749999999999997</v>
      </c>
    </row>
    <row r="2192" spans="1:22" x14ac:dyDescent="0.2">
      <c r="A2192">
        <v>2191</v>
      </c>
      <c r="B2192" t="s">
        <v>6248</v>
      </c>
      <c r="C2192" s="1">
        <v>43017</v>
      </c>
      <c r="D2192" s="22">
        <f>MONTH(Table3[[#This Row],[Order Date]])</f>
        <v>10</v>
      </c>
      <c r="E2192" t="s">
        <v>4328</v>
      </c>
      <c r="F2192" t="s">
        <v>4329</v>
      </c>
      <c r="G2192" s="23" t="s">
        <v>28</v>
      </c>
      <c r="H2192" s="23" t="s">
        <v>29</v>
      </c>
      <c r="I2192" t="s">
        <v>5414</v>
      </c>
      <c r="J2192" t="s">
        <v>22</v>
      </c>
      <c r="K2192" s="22">
        <v>3</v>
      </c>
      <c r="L2192" s="1">
        <v>43022</v>
      </c>
      <c r="M2192" s="22">
        <f>Table3[[#This Row],[Ship Date]]-Table3[[#This Row],[Order Date]]</f>
        <v>5</v>
      </c>
      <c r="N2192" s="23" t="s">
        <v>45</v>
      </c>
      <c r="O2192" s="23" t="s">
        <v>23</v>
      </c>
      <c r="P2192" s="23" t="s">
        <v>238</v>
      </c>
      <c r="Q2192" s="23" t="s">
        <v>133</v>
      </c>
      <c r="R2192" s="23" t="s">
        <v>237</v>
      </c>
      <c r="S2192" s="33">
        <v>0.2</v>
      </c>
      <c r="T2192" s="13">
        <v>314.35199999999998</v>
      </c>
      <c r="U2192" s="13">
        <v>-15.717599999999999</v>
      </c>
      <c r="V2192" s="55">
        <f>Table3[[#This Row],[Profit]]/Table3[[#This Row],[Sales]]</f>
        <v>-0.05</v>
      </c>
    </row>
    <row r="2193" spans="1:22" x14ac:dyDescent="0.2">
      <c r="A2193">
        <v>2192</v>
      </c>
      <c r="B2193" t="s">
        <v>6248</v>
      </c>
      <c r="C2193" s="1">
        <v>43017</v>
      </c>
      <c r="D2193" s="22">
        <f>MONTH(Table3[[#This Row],[Order Date]])</f>
        <v>10</v>
      </c>
      <c r="E2193" t="s">
        <v>6249</v>
      </c>
      <c r="F2193" t="s">
        <v>6250</v>
      </c>
      <c r="G2193" s="23" t="s">
        <v>41</v>
      </c>
      <c r="H2193" s="23" t="s">
        <v>82</v>
      </c>
      <c r="I2193" t="s">
        <v>5414</v>
      </c>
      <c r="J2193" t="s">
        <v>22</v>
      </c>
      <c r="K2193" s="22">
        <v>2</v>
      </c>
      <c r="L2193" s="1">
        <v>43022</v>
      </c>
      <c r="M2193" s="22">
        <f>Table3[[#This Row],[Ship Date]]-Table3[[#This Row],[Order Date]]</f>
        <v>5</v>
      </c>
      <c r="N2193" s="23" t="s">
        <v>45</v>
      </c>
      <c r="O2193" s="23" t="s">
        <v>23</v>
      </c>
      <c r="P2193" s="23" t="s">
        <v>238</v>
      </c>
      <c r="Q2193" s="23" t="s">
        <v>133</v>
      </c>
      <c r="R2193" s="23" t="s">
        <v>237</v>
      </c>
      <c r="S2193" s="33">
        <v>0</v>
      </c>
      <c r="T2193" s="13">
        <v>18.98</v>
      </c>
      <c r="U2193" s="13">
        <v>8.9206000000000003</v>
      </c>
      <c r="V2193" s="55">
        <f>Table3[[#This Row],[Profit]]/Table3[[#This Row],[Sales]]</f>
        <v>0.47000000000000003</v>
      </c>
    </row>
    <row r="2194" spans="1:22" x14ac:dyDescent="0.2">
      <c r="A2194">
        <v>2193</v>
      </c>
      <c r="B2194" t="s">
        <v>6248</v>
      </c>
      <c r="C2194" s="1">
        <v>43017</v>
      </c>
      <c r="D2194" s="22">
        <f>MONTH(Table3[[#This Row],[Order Date]])</f>
        <v>10</v>
      </c>
      <c r="E2194" t="s">
        <v>5527</v>
      </c>
      <c r="F2194" t="s">
        <v>5528</v>
      </c>
      <c r="G2194" s="23" t="s">
        <v>41</v>
      </c>
      <c r="H2194" s="23" t="s">
        <v>68</v>
      </c>
      <c r="I2194" t="s">
        <v>5414</v>
      </c>
      <c r="J2194" t="s">
        <v>22</v>
      </c>
      <c r="K2194" s="22">
        <v>6</v>
      </c>
      <c r="L2194" s="1">
        <v>43022</v>
      </c>
      <c r="M2194" s="22">
        <f>Table3[[#This Row],[Ship Date]]-Table3[[#This Row],[Order Date]]</f>
        <v>5</v>
      </c>
      <c r="N2194" s="23" t="s">
        <v>45</v>
      </c>
      <c r="O2194" s="23" t="s">
        <v>23</v>
      </c>
      <c r="P2194" s="23" t="s">
        <v>238</v>
      </c>
      <c r="Q2194" s="23" t="s">
        <v>133</v>
      </c>
      <c r="R2194" s="23" t="s">
        <v>237</v>
      </c>
      <c r="S2194" s="33">
        <v>0.2</v>
      </c>
      <c r="T2194" s="13">
        <v>18.239999999999998</v>
      </c>
      <c r="U2194" s="13">
        <v>6.1559999999999997</v>
      </c>
      <c r="V2194" s="55">
        <f>Table3[[#This Row],[Profit]]/Table3[[#This Row],[Sales]]</f>
        <v>0.33750000000000002</v>
      </c>
    </row>
    <row r="2195" spans="1:22" x14ac:dyDescent="0.2">
      <c r="A2195">
        <v>2194</v>
      </c>
      <c r="B2195" t="s">
        <v>7110</v>
      </c>
      <c r="C2195" s="1">
        <v>43017</v>
      </c>
      <c r="D2195" s="22">
        <f>MONTH(Table3[[#This Row],[Order Date]])</f>
        <v>10</v>
      </c>
      <c r="E2195" t="s">
        <v>1287</v>
      </c>
      <c r="F2195" t="s">
        <v>1288</v>
      </c>
      <c r="G2195" s="23" t="s">
        <v>41</v>
      </c>
      <c r="H2195" s="23" t="s">
        <v>61</v>
      </c>
      <c r="I2195" t="s">
        <v>705</v>
      </c>
      <c r="J2195" t="s">
        <v>22</v>
      </c>
      <c r="K2195" s="22">
        <v>7</v>
      </c>
      <c r="L2195" s="1">
        <v>43019</v>
      </c>
      <c r="M2195" s="22">
        <f>Table3[[#This Row],[Ship Date]]-Table3[[#This Row],[Order Date]]</f>
        <v>2</v>
      </c>
      <c r="N2195" s="23" t="s">
        <v>20</v>
      </c>
      <c r="O2195" s="23" t="s">
        <v>23</v>
      </c>
      <c r="P2195" s="23" t="s">
        <v>94</v>
      </c>
      <c r="Q2195" s="23" t="s">
        <v>95</v>
      </c>
      <c r="R2195" s="23" t="s">
        <v>7111</v>
      </c>
      <c r="S2195" s="33">
        <v>0.2</v>
      </c>
      <c r="T2195" s="13">
        <v>67.144000000000005</v>
      </c>
      <c r="U2195" s="13">
        <v>5.8750999999999998</v>
      </c>
      <c r="V2195" s="55">
        <f>Table3[[#This Row],[Profit]]/Table3[[#This Row],[Sales]]</f>
        <v>8.7499999999999994E-2</v>
      </c>
    </row>
    <row r="2196" spans="1:22" x14ac:dyDescent="0.2">
      <c r="A2196">
        <v>2195</v>
      </c>
      <c r="B2196" t="s">
        <v>7110</v>
      </c>
      <c r="C2196" s="1">
        <v>43017</v>
      </c>
      <c r="D2196" s="22">
        <f>MONTH(Table3[[#This Row],[Order Date]])</f>
        <v>10</v>
      </c>
      <c r="E2196" t="s">
        <v>7112</v>
      </c>
      <c r="F2196" t="s">
        <v>7113</v>
      </c>
      <c r="G2196" s="23" t="s">
        <v>28</v>
      </c>
      <c r="H2196" s="23" t="s">
        <v>32</v>
      </c>
      <c r="I2196" t="s">
        <v>705</v>
      </c>
      <c r="J2196" t="s">
        <v>22</v>
      </c>
      <c r="K2196" s="22">
        <v>3</v>
      </c>
      <c r="L2196" s="1">
        <v>43019</v>
      </c>
      <c r="M2196" s="22">
        <f>Table3[[#This Row],[Ship Date]]-Table3[[#This Row],[Order Date]]</f>
        <v>2</v>
      </c>
      <c r="N2196" s="23" t="s">
        <v>20</v>
      </c>
      <c r="O2196" s="23" t="s">
        <v>23</v>
      </c>
      <c r="P2196" s="23" t="s">
        <v>94</v>
      </c>
      <c r="Q2196" s="23" t="s">
        <v>95</v>
      </c>
      <c r="R2196" s="23" t="s">
        <v>7111</v>
      </c>
      <c r="S2196" s="33">
        <v>0.3</v>
      </c>
      <c r="T2196" s="13">
        <v>254.05799999999999</v>
      </c>
      <c r="U2196" s="13">
        <v>-32.6646</v>
      </c>
      <c r="V2196" s="55">
        <f>Table3[[#This Row],[Profit]]/Table3[[#This Row],[Sales]]</f>
        <v>-0.12857142857142859</v>
      </c>
    </row>
    <row r="2197" spans="1:22" x14ac:dyDescent="0.2">
      <c r="A2197">
        <v>2196</v>
      </c>
      <c r="B2197" t="s">
        <v>7347</v>
      </c>
      <c r="C2197" s="1">
        <v>43017</v>
      </c>
      <c r="D2197" s="22">
        <f>MONTH(Table3[[#This Row],[Order Date]])</f>
        <v>10</v>
      </c>
      <c r="E2197" t="s">
        <v>2505</v>
      </c>
      <c r="F2197" t="s">
        <v>2506</v>
      </c>
      <c r="G2197" s="23" t="s">
        <v>41</v>
      </c>
      <c r="H2197" s="23" t="s">
        <v>82</v>
      </c>
      <c r="I2197" t="s">
        <v>1467</v>
      </c>
      <c r="J2197" t="s">
        <v>22</v>
      </c>
      <c r="K2197" s="22">
        <v>5</v>
      </c>
      <c r="L2197" s="1">
        <v>43019</v>
      </c>
      <c r="M2197" s="22">
        <f>Table3[[#This Row],[Ship Date]]-Table3[[#This Row],[Order Date]]</f>
        <v>2</v>
      </c>
      <c r="N2197" s="23" t="s">
        <v>169</v>
      </c>
      <c r="O2197" s="23" t="s">
        <v>23</v>
      </c>
      <c r="P2197" s="23" t="s">
        <v>38</v>
      </c>
      <c r="Q2197" s="23" t="s">
        <v>39</v>
      </c>
      <c r="R2197" s="23" t="s">
        <v>37</v>
      </c>
      <c r="S2197" s="33">
        <v>0</v>
      </c>
      <c r="T2197" s="13">
        <v>35.200000000000003</v>
      </c>
      <c r="U2197" s="13">
        <v>16.544</v>
      </c>
      <c r="V2197" s="55">
        <f>Table3[[#This Row],[Profit]]/Table3[[#This Row],[Sales]]</f>
        <v>0.47</v>
      </c>
    </row>
    <row r="2198" spans="1:22" x14ac:dyDescent="0.2">
      <c r="A2198">
        <v>2197</v>
      </c>
      <c r="B2198" t="s">
        <v>9548</v>
      </c>
      <c r="C2198" s="1">
        <v>43018</v>
      </c>
      <c r="D2198" s="22">
        <f>MONTH(Table3[[#This Row],[Order Date]])</f>
        <v>10</v>
      </c>
      <c r="E2198" t="s">
        <v>7619</v>
      </c>
      <c r="F2198" t="s">
        <v>7620</v>
      </c>
      <c r="G2198" s="23" t="s">
        <v>28</v>
      </c>
      <c r="H2198" s="23" t="s">
        <v>32</v>
      </c>
      <c r="I2198" t="s">
        <v>4456</v>
      </c>
      <c r="J2198" t="s">
        <v>22</v>
      </c>
      <c r="K2198" s="22">
        <v>3</v>
      </c>
      <c r="L2198" s="1">
        <v>43024</v>
      </c>
      <c r="M2198" s="22">
        <f>Table3[[#This Row],[Ship Date]]-Table3[[#This Row],[Order Date]]</f>
        <v>6</v>
      </c>
      <c r="N2198" s="23" t="s">
        <v>45</v>
      </c>
      <c r="O2198" s="23" t="s">
        <v>23</v>
      </c>
      <c r="P2198" s="23" t="s">
        <v>189</v>
      </c>
      <c r="Q2198" s="23" t="s">
        <v>95</v>
      </c>
      <c r="R2198" s="23" t="s">
        <v>404</v>
      </c>
      <c r="S2198" s="33">
        <v>0.3</v>
      </c>
      <c r="T2198" s="13">
        <v>239.358</v>
      </c>
      <c r="U2198" s="13">
        <v>-47.871600000000001</v>
      </c>
      <c r="V2198" s="55">
        <f>Table3[[#This Row],[Profit]]/Table3[[#This Row],[Sales]]</f>
        <v>-0.2</v>
      </c>
    </row>
    <row r="2199" spans="1:22" x14ac:dyDescent="0.2">
      <c r="A2199">
        <v>2198</v>
      </c>
      <c r="B2199" t="s">
        <v>2730</v>
      </c>
      <c r="C2199" s="1">
        <v>43020</v>
      </c>
      <c r="D2199" s="22">
        <f>MONTH(Table3[[#This Row],[Order Date]])</f>
        <v>10</v>
      </c>
      <c r="E2199" t="s">
        <v>2732</v>
      </c>
      <c r="F2199" t="s">
        <v>2733</v>
      </c>
      <c r="G2199" s="23" t="s">
        <v>28</v>
      </c>
      <c r="H2199" s="23" t="s">
        <v>32</v>
      </c>
      <c r="I2199" t="s">
        <v>177</v>
      </c>
      <c r="J2199" t="s">
        <v>92</v>
      </c>
      <c r="K2199" s="22">
        <v>14</v>
      </c>
      <c r="L2199" s="1">
        <v>43024</v>
      </c>
      <c r="M2199" s="22">
        <f>Table3[[#This Row],[Ship Date]]-Table3[[#This Row],[Order Date]]</f>
        <v>4</v>
      </c>
      <c r="N2199" s="23" t="s">
        <v>45</v>
      </c>
      <c r="O2199" s="23" t="s">
        <v>23</v>
      </c>
      <c r="P2199" s="23" t="s">
        <v>189</v>
      </c>
      <c r="Q2199" s="23" t="s">
        <v>95</v>
      </c>
      <c r="R2199" s="23" t="s">
        <v>2731</v>
      </c>
      <c r="S2199" s="33">
        <v>0.3</v>
      </c>
      <c r="T2199" s="13">
        <v>254.60400000000001</v>
      </c>
      <c r="U2199" s="13">
        <v>-18.186</v>
      </c>
      <c r="V2199" s="55">
        <f>Table3[[#This Row],[Profit]]/Table3[[#This Row],[Sales]]</f>
        <v>-7.1428571428571425E-2</v>
      </c>
    </row>
    <row r="2200" spans="1:22" x14ac:dyDescent="0.2">
      <c r="A2200">
        <v>2199</v>
      </c>
      <c r="B2200" t="s">
        <v>4660</v>
      </c>
      <c r="C2200" s="1">
        <v>43020</v>
      </c>
      <c r="D2200" s="22">
        <f>MONTH(Table3[[#This Row],[Order Date]])</f>
        <v>10</v>
      </c>
      <c r="E2200" t="s">
        <v>4662</v>
      </c>
      <c r="F2200" t="s">
        <v>4663</v>
      </c>
      <c r="G2200" s="23" t="s">
        <v>41</v>
      </c>
      <c r="H2200" s="23" t="s">
        <v>82</v>
      </c>
      <c r="I2200" t="s">
        <v>4661</v>
      </c>
      <c r="J2200" t="s">
        <v>92</v>
      </c>
      <c r="K2200" s="22">
        <v>2</v>
      </c>
      <c r="L2200" s="1">
        <v>43020</v>
      </c>
      <c r="M2200" s="22">
        <f>Table3[[#This Row],[Ship Date]]-Table3[[#This Row],[Order Date]]</f>
        <v>0</v>
      </c>
      <c r="N2200" s="23" t="s">
        <v>1141</v>
      </c>
      <c r="O2200" s="23" t="s">
        <v>23</v>
      </c>
      <c r="P2200" s="23" t="s">
        <v>80</v>
      </c>
      <c r="Q2200" s="23" t="s">
        <v>26</v>
      </c>
      <c r="R2200" s="23" t="s">
        <v>649</v>
      </c>
      <c r="S2200" s="33">
        <v>0.2</v>
      </c>
      <c r="T2200" s="13">
        <v>7.968</v>
      </c>
      <c r="U2200" s="13">
        <v>2.6892</v>
      </c>
      <c r="V2200" s="55">
        <f>Table3[[#This Row],[Profit]]/Table3[[#This Row],[Sales]]</f>
        <v>0.33750000000000002</v>
      </c>
    </row>
    <row r="2201" spans="1:22" x14ac:dyDescent="0.2">
      <c r="A2201">
        <v>2200</v>
      </c>
      <c r="B2201" t="s">
        <v>4856</v>
      </c>
      <c r="C2201" s="1">
        <v>43020</v>
      </c>
      <c r="D2201" s="22">
        <f>MONTH(Table3[[#This Row],[Order Date]])</f>
        <v>10</v>
      </c>
      <c r="E2201" t="s">
        <v>4261</v>
      </c>
      <c r="F2201" t="s">
        <v>4262</v>
      </c>
      <c r="G2201" s="23" t="s">
        <v>64</v>
      </c>
      <c r="H2201" s="23" t="s">
        <v>144</v>
      </c>
      <c r="I2201" t="s">
        <v>4857</v>
      </c>
      <c r="J2201" t="s">
        <v>36</v>
      </c>
      <c r="K2201" s="22">
        <v>5</v>
      </c>
      <c r="L2201" s="1">
        <v>43026</v>
      </c>
      <c r="M2201" s="22">
        <f>Table3[[#This Row],[Ship Date]]-Table3[[#This Row],[Order Date]]</f>
        <v>6</v>
      </c>
      <c r="N2201" s="23" t="s">
        <v>45</v>
      </c>
      <c r="O2201" s="23" t="s">
        <v>23</v>
      </c>
      <c r="P2201" s="23" t="s">
        <v>589</v>
      </c>
      <c r="Q2201" s="23" t="s">
        <v>39</v>
      </c>
      <c r="R2201" s="23" t="s">
        <v>4858</v>
      </c>
      <c r="S2201" s="33">
        <v>0</v>
      </c>
      <c r="T2201" s="13">
        <v>595</v>
      </c>
      <c r="U2201" s="13">
        <v>95.2</v>
      </c>
      <c r="V2201" s="55">
        <f>Table3[[#This Row],[Profit]]/Table3[[#This Row],[Sales]]</f>
        <v>0.16</v>
      </c>
    </row>
    <row r="2202" spans="1:22" x14ac:dyDescent="0.2">
      <c r="A2202">
        <v>2201</v>
      </c>
      <c r="B2202" t="s">
        <v>4856</v>
      </c>
      <c r="C2202" s="1">
        <v>43020</v>
      </c>
      <c r="D2202" s="22">
        <f>MONTH(Table3[[#This Row],[Order Date]])</f>
        <v>10</v>
      </c>
      <c r="E2202" t="s">
        <v>4251</v>
      </c>
      <c r="F2202" t="s">
        <v>4252</v>
      </c>
      <c r="G2202" s="23" t="s">
        <v>41</v>
      </c>
      <c r="H2202" s="23" t="s">
        <v>68</v>
      </c>
      <c r="I2202" t="s">
        <v>4857</v>
      </c>
      <c r="J2202" t="s">
        <v>36</v>
      </c>
      <c r="K2202" s="22">
        <v>3</v>
      </c>
      <c r="L2202" s="1">
        <v>43026</v>
      </c>
      <c r="M2202" s="22">
        <f>Table3[[#This Row],[Ship Date]]-Table3[[#This Row],[Order Date]]</f>
        <v>6</v>
      </c>
      <c r="N2202" s="23" t="s">
        <v>45</v>
      </c>
      <c r="O2202" s="23" t="s">
        <v>23</v>
      </c>
      <c r="P2202" s="23" t="s">
        <v>589</v>
      </c>
      <c r="Q2202" s="23" t="s">
        <v>39</v>
      </c>
      <c r="R2202" s="23" t="s">
        <v>4858</v>
      </c>
      <c r="S2202" s="33">
        <v>0.2</v>
      </c>
      <c r="T2202" s="13">
        <v>79.872</v>
      </c>
      <c r="U2202" s="13">
        <v>29.952000000000002</v>
      </c>
      <c r="V2202" s="55">
        <f>Table3[[#This Row],[Profit]]/Table3[[#This Row],[Sales]]</f>
        <v>0.375</v>
      </c>
    </row>
    <row r="2203" spans="1:22" x14ac:dyDescent="0.2">
      <c r="A2203">
        <v>2202</v>
      </c>
      <c r="B2203" t="s">
        <v>5278</v>
      </c>
      <c r="C2203" s="1">
        <v>43020</v>
      </c>
      <c r="D2203" s="22">
        <f>MONTH(Table3[[#This Row],[Order Date]])</f>
        <v>10</v>
      </c>
      <c r="E2203" t="s">
        <v>5279</v>
      </c>
      <c r="F2203" t="s">
        <v>5280</v>
      </c>
      <c r="G2203" s="23" t="s">
        <v>64</v>
      </c>
      <c r="H2203" s="23" t="s">
        <v>144</v>
      </c>
      <c r="I2203" t="s">
        <v>565</v>
      </c>
      <c r="J2203" t="s">
        <v>92</v>
      </c>
      <c r="K2203" s="22">
        <v>1</v>
      </c>
      <c r="L2203" s="1">
        <v>43022</v>
      </c>
      <c r="M2203" s="22">
        <f>Table3[[#This Row],[Ship Date]]-Table3[[#This Row],[Order Date]]</f>
        <v>2</v>
      </c>
      <c r="N2203" s="23" t="s">
        <v>169</v>
      </c>
      <c r="O2203" s="23" t="s">
        <v>23</v>
      </c>
      <c r="P2203" s="23" t="s">
        <v>38</v>
      </c>
      <c r="Q2203" s="23" t="s">
        <v>39</v>
      </c>
      <c r="R2203" s="23" t="s">
        <v>114</v>
      </c>
      <c r="S2203" s="33">
        <v>0</v>
      </c>
      <c r="T2203" s="13">
        <v>0.99</v>
      </c>
      <c r="U2203" s="13">
        <v>0.43559999999999999</v>
      </c>
      <c r="V2203" s="55">
        <f>Table3[[#This Row],[Profit]]/Table3[[#This Row],[Sales]]</f>
        <v>0.44</v>
      </c>
    </row>
    <row r="2204" spans="1:22" x14ac:dyDescent="0.2">
      <c r="A2204">
        <v>2203</v>
      </c>
      <c r="B2204" t="s">
        <v>5278</v>
      </c>
      <c r="C2204" s="1">
        <v>43020</v>
      </c>
      <c r="D2204" s="22">
        <f>MONTH(Table3[[#This Row],[Order Date]])</f>
        <v>10</v>
      </c>
      <c r="E2204" t="s">
        <v>3407</v>
      </c>
      <c r="F2204" t="s">
        <v>3408</v>
      </c>
      <c r="G2204" s="23" t="s">
        <v>41</v>
      </c>
      <c r="H2204" s="23" t="s">
        <v>68</v>
      </c>
      <c r="I2204" t="s">
        <v>565</v>
      </c>
      <c r="J2204" t="s">
        <v>92</v>
      </c>
      <c r="K2204" s="22">
        <v>5</v>
      </c>
      <c r="L2204" s="1">
        <v>43022</v>
      </c>
      <c r="M2204" s="22">
        <f>Table3[[#This Row],[Ship Date]]-Table3[[#This Row],[Order Date]]</f>
        <v>2</v>
      </c>
      <c r="N2204" s="23" t="s">
        <v>169</v>
      </c>
      <c r="O2204" s="23" t="s">
        <v>23</v>
      </c>
      <c r="P2204" s="23" t="s">
        <v>38</v>
      </c>
      <c r="Q2204" s="23" t="s">
        <v>39</v>
      </c>
      <c r="R2204" s="23" t="s">
        <v>114</v>
      </c>
      <c r="S2204" s="33">
        <v>0.2</v>
      </c>
      <c r="T2204" s="13">
        <v>101.84</v>
      </c>
      <c r="U2204" s="13">
        <v>36.917000000000002</v>
      </c>
      <c r="V2204" s="55">
        <f>Table3[[#This Row],[Profit]]/Table3[[#This Row],[Sales]]</f>
        <v>0.36249999999999999</v>
      </c>
    </row>
    <row r="2205" spans="1:22" x14ac:dyDescent="0.2">
      <c r="A2205">
        <v>2204</v>
      </c>
      <c r="B2205" t="s">
        <v>7817</v>
      </c>
      <c r="C2205" s="1">
        <v>43020</v>
      </c>
      <c r="D2205" s="22">
        <f>MONTH(Table3[[#This Row],[Order Date]])</f>
        <v>10</v>
      </c>
      <c r="E2205" t="s">
        <v>1640</v>
      </c>
      <c r="F2205" t="s">
        <v>1641</v>
      </c>
      <c r="G2205" s="23" t="s">
        <v>64</v>
      </c>
      <c r="H2205" s="23" t="s">
        <v>144</v>
      </c>
      <c r="I2205" t="s">
        <v>2589</v>
      </c>
      <c r="J2205" t="s">
        <v>22</v>
      </c>
      <c r="K2205" s="22">
        <v>12</v>
      </c>
      <c r="L2205" s="1">
        <v>43022</v>
      </c>
      <c r="M2205" s="22">
        <f>Table3[[#This Row],[Ship Date]]-Table3[[#This Row],[Order Date]]</f>
        <v>2</v>
      </c>
      <c r="N2205" s="23" t="s">
        <v>20</v>
      </c>
      <c r="O2205" s="23" t="s">
        <v>23</v>
      </c>
      <c r="P2205" s="23" t="s">
        <v>38</v>
      </c>
      <c r="Q2205" s="23" t="s">
        <v>39</v>
      </c>
      <c r="R2205" s="23" t="s">
        <v>37</v>
      </c>
      <c r="S2205" s="33">
        <v>0</v>
      </c>
      <c r="T2205" s="13">
        <v>435.84</v>
      </c>
      <c r="U2205" s="13">
        <v>130.75200000000001</v>
      </c>
      <c r="V2205" s="55">
        <f>Table3[[#This Row],[Profit]]/Table3[[#This Row],[Sales]]</f>
        <v>0.30000000000000004</v>
      </c>
    </row>
    <row r="2206" spans="1:22" x14ac:dyDescent="0.2">
      <c r="A2206">
        <v>2205</v>
      </c>
      <c r="B2206" t="s">
        <v>7817</v>
      </c>
      <c r="C2206" s="1">
        <v>43020</v>
      </c>
      <c r="D2206" s="22">
        <f>MONTH(Table3[[#This Row],[Order Date]])</f>
        <v>10</v>
      </c>
      <c r="E2206" t="s">
        <v>519</v>
      </c>
      <c r="F2206" t="s">
        <v>520</v>
      </c>
      <c r="G2206" s="23" t="s">
        <v>41</v>
      </c>
      <c r="H2206" s="23" t="s">
        <v>61</v>
      </c>
      <c r="I2206" t="s">
        <v>2589</v>
      </c>
      <c r="J2206" t="s">
        <v>22</v>
      </c>
      <c r="K2206" s="22">
        <v>2</v>
      </c>
      <c r="L2206" s="1">
        <v>43022</v>
      </c>
      <c r="M2206" s="22">
        <f>Table3[[#This Row],[Ship Date]]-Table3[[#This Row],[Order Date]]</f>
        <v>2</v>
      </c>
      <c r="N2206" s="23" t="s">
        <v>20</v>
      </c>
      <c r="O2206" s="23" t="s">
        <v>23</v>
      </c>
      <c r="P2206" s="23" t="s">
        <v>38</v>
      </c>
      <c r="Q2206" s="23" t="s">
        <v>39</v>
      </c>
      <c r="R2206" s="23" t="s">
        <v>37</v>
      </c>
      <c r="S2206" s="33">
        <v>0</v>
      </c>
      <c r="T2206" s="13">
        <v>5.88</v>
      </c>
      <c r="U2206" s="13">
        <v>1.5875999999999999</v>
      </c>
      <c r="V2206" s="55">
        <f>Table3[[#This Row],[Profit]]/Table3[[#This Row],[Sales]]</f>
        <v>0.26999999999999996</v>
      </c>
    </row>
    <row r="2207" spans="1:22" x14ac:dyDescent="0.2">
      <c r="A2207">
        <v>2206</v>
      </c>
      <c r="B2207" t="s">
        <v>8892</v>
      </c>
      <c r="C2207" s="1">
        <v>43020</v>
      </c>
      <c r="D2207" s="22">
        <f>MONTH(Table3[[#This Row],[Order Date]])</f>
        <v>10</v>
      </c>
      <c r="E2207" t="s">
        <v>2077</v>
      </c>
      <c r="F2207" t="s">
        <v>2078</v>
      </c>
      <c r="G2207" s="23" t="s">
        <v>64</v>
      </c>
      <c r="H2207" s="23" t="s">
        <v>144</v>
      </c>
      <c r="I2207" t="s">
        <v>1024</v>
      </c>
      <c r="J2207" t="s">
        <v>36</v>
      </c>
      <c r="K2207" s="22">
        <v>2</v>
      </c>
      <c r="L2207" s="1">
        <v>43023</v>
      </c>
      <c r="M2207" s="22">
        <f>Table3[[#This Row],[Ship Date]]-Table3[[#This Row],[Order Date]]</f>
        <v>3</v>
      </c>
      <c r="N2207" s="23" t="s">
        <v>169</v>
      </c>
      <c r="O2207" s="23" t="s">
        <v>23</v>
      </c>
      <c r="P2207" s="23" t="s">
        <v>94</v>
      </c>
      <c r="Q2207" s="23" t="s">
        <v>95</v>
      </c>
      <c r="R2207" s="23" t="s">
        <v>718</v>
      </c>
      <c r="S2207" s="33">
        <v>0.2</v>
      </c>
      <c r="T2207" s="13">
        <v>39.984000000000002</v>
      </c>
      <c r="U2207" s="13">
        <v>-1.4994000000000001</v>
      </c>
      <c r="V2207" s="55">
        <f>Table3[[#This Row],[Profit]]/Table3[[#This Row],[Sales]]</f>
        <v>-3.7499999999999999E-2</v>
      </c>
    </row>
    <row r="2208" spans="1:22" x14ac:dyDescent="0.2">
      <c r="A2208">
        <v>2207</v>
      </c>
      <c r="B2208" t="s">
        <v>9238</v>
      </c>
      <c r="C2208" s="1">
        <v>43020</v>
      </c>
      <c r="D2208" s="22">
        <f>MONTH(Table3[[#This Row],[Order Date]])</f>
        <v>10</v>
      </c>
      <c r="E2208" t="s">
        <v>219</v>
      </c>
      <c r="F2208" t="s">
        <v>220</v>
      </c>
      <c r="G2208" s="23" t="s">
        <v>64</v>
      </c>
      <c r="H2208" s="23" t="s">
        <v>144</v>
      </c>
      <c r="I2208" t="s">
        <v>571</v>
      </c>
      <c r="J2208" t="s">
        <v>22</v>
      </c>
      <c r="K2208" s="22">
        <v>3</v>
      </c>
      <c r="L2208" s="1">
        <v>43024</v>
      </c>
      <c r="M2208" s="22">
        <f>Table3[[#This Row],[Ship Date]]-Table3[[#This Row],[Order Date]]</f>
        <v>4</v>
      </c>
      <c r="N2208" s="23" t="s">
        <v>45</v>
      </c>
      <c r="O2208" s="23" t="s">
        <v>23</v>
      </c>
      <c r="P2208" s="23" t="s">
        <v>695</v>
      </c>
      <c r="Q2208" s="23" t="s">
        <v>133</v>
      </c>
      <c r="R2208" s="23" t="s">
        <v>990</v>
      </c>
      <c r="S2208" s="33">
        <v>0</v>
      </c>
      <c r="T2208" s="13">
        <v>45</v>
      </c>
      <c r="U2208" s="13">
        <v>4.95</v>
      </c>
      <c r="V2208" s="55">
        <f>Table3[[#This Row],[Profit]]/Table3[[#This Row],[Sales]]</f>
        <v>0.11</v>
      </c>
    </row>
    <row r="2209" spans="1:22" x14ac:dyDescent="0.2">
      <c r="A2209">
        <v>2208</v>
      </c>
      <c r="B2209" t="s">
        <v>9238</v>
      </c>
      <c r="C2209" s="1">
        <v>43020</v>
      </c>
      <c r="D2209" s="22">
        <f>MONTH(Table3[[#This Row],[Order Date]])</f>
        <v>10</v>
      </c>
      <c r="E2209" t="s">
        <v>442</v>
      </c>
      <c r="F2209" t="s">
        <v>443</v>
      </c>
      <c r="G2209" s="23" t="s">
        <v>41</v>
      </c>
      <c r="H2209" s="23" t="s">
        <v>240</v>
      </c>
      <c r="I2209" t="s">
        <v>571</v>
      </c>
      <c r="J2209" t="s">
        <v>22</v>
      </c>
      <c r="K2209" s="22">
        <v>5</v>
      </c>
      <c r="L2209" s="1">
        <v>43024</v>
      </c>
      <c r="M2209" s="22">
        <f>Table3[[#This Row],[Ship Date]]-Table3[[#This Row],[Order Date]]</f>
        <v>4</v>
      </c>
      <c r="N2209" s="23" t="s">
        <v>45</v>
      </c>
      <c r="O2209" s="23" t="s">
        <v>23</v>
      </c>
      <c r="P2209" s="23" t="s">
        <v>695</v>
      </c>
      <c r="Q2209" s="23" t="s">
        <v>133</v>
      </c>
      <c r="R2209" s="23" t="s">
        <v>990</v>
      </c>
      <c r="S2209" s="33">
        <v>0</v>
      </c>
      <c r="T2209" s="13">
        <v>17.899999999999999</v>
      </c>
      <c r="U2209" s="13">
        <v>8.7710000000000008</v>
      </c>
      <c r="V2209" s="55">
        <f>Table3[[#This Row],[Profit]]/Table3[[#This Row],[Sales]]</f>
        <v>0.4900000000000001</v>
      </c>
    </row>
    <row r="2210" spans="1:22" x14ac:dyDescent="0.2">
      <c r="A2210">
        <v>2209</v>
      </c>
      <c r="B2210" t="s">
        <v>9238</v>
      </c>
      <c r="C2210" s="1">
        <v>43020</v>
      </c>
      <c r="D2210" s="22">
        <f>MONTH(Table3[[#This Row],[Order Date]])</f>
        <v>10</v>
      </c>
      <c r="E2210" t="s">
        <v>6696</v>
      </c>
      <c r="F2210" t="s">
        <v>6697</v>
      </c>
      <c r="G2210" s="23" t="s">
        <v>28</v>
      </c>
      <c r="H2210" s="23" t="s">
        <v>58</v>
      </c>
      <c r="I2210" t="s">
        <v>571</v>
      </c>
      <c r="J2210" t="s">
        <v>22</v>
      </c>
      <c r="K2210" s="22">
        <v>2</v>
      </c>
      <c r="L2210" s="1">
        <v>43024</v>
      </c>
      <c r="M2210" s="22">
        <f>Table3[[#This Row],[Ship Date]]-Table3[[#This Row],[Order Date]]</f>
        <v>4</v>
      </c>
      <c r="N2210" s="23" t="s">
        <v>45</v>
      </c>
      <c r="O2210" s="23" t="s">
        <v>23</v>
      </c>
      <c r="P2210" s="23" t="s">
        <v>695</v>
      </c>
      <c r="Q2210" s="23" t="s">
        <v>133</v>
      </c>
      <c r="R2210" s="23" t="s">
        <v>990</v>
      </c>
      <c r="S2210" s="33">
        <v>0</v>
      </c>
      <c r="T2210" s="13">
        <v>40.479999999999997</v>
      </c>
      <c r="U2210" s="13">
        <v>17.406400000000001</v>
      </c>
      <c r="V2210" s="55">
        <f>Table3[[#This Row],[Profit]]/Table3[[#This Row],[Sales]]</f>
        <v>0.43000000000000005</v>
      </c>
    </row>
    <row r="2211" spans="1:22" x14ac:dyDescent="0.2">
      <c r="A2211">
        <v>2210</v>
      </c>
      <c r="B2211" t="s">
        <v>9238</v>
      </c>
      <c r="C2211" s="1">
        <v>43020</v>
      </c>
      <c r="D2211" s="22">
        <f>MONTH(Table3[[#This Row],[Order Date]])</f>
        <v>10</v>
      </c>
      <c r="E2211" t="s">
        <v>5142</v>
      </c>
      <c r="F2211" t="s">
        <v>5143</v>
      </c>
      <c r="G2211" s="23" t="s">
        <v>28</v>
      </c>
      <c r="H2211" s="23" t="s">
        <v>29</v>
      </c>
      <c r="I2211" t="s">
        <v>571</v>
      </c>
      <c r="J2211" t="s">
        <v>22</v>
      </c>
      <c r="K2211" s="22">
        <v>5</v>
      </c>
      <c r="L2211" s="1">
        <v>43024</v>
      </c>
      <c r="M2211" s="22">
        <f>Table3[[#This Row],[Ship Date]]-Table3[[#This Row],[Order Date]]</f>
        <v>4</v>
      </c>
      <c r="N2211" s="23" t="s">
        <v>45</v>
      </c>
      <c r="O2211" s="23" t="s">
        <v>23</v>
      </c>
      <c r="P2211" s="23" t="s">
        <v>695</v>
      </c>
      <c r="Q2211" s="23" t="s">
        <v>133</v>
      </c>
      <c r="R2211" s="23" t="s">
        <v>990</v>
      </c>
      <c r="S2211" s="33">
        <v>0</v>
      </c>
      <c r="T2211" s="13">
        <v>2154.9</v>
      </c>
      <c r="U2211" s="13">
        <v>129.29400000000001</v>
      </c>
      <c r="V2211" s="55">
        <f>Table3[[#This Row],[Profit]]/Table3[[#This Row],[Sales]]</f>
        <v>6.0000000000000005E-2</v>
      </c>
    </row>
    <row r="2212" spans="1:22" x14ac:dyDescent="0.2">
      <c r="A2212">
        <v>2211</v>
      </c>
      <c r="B2212" t="s">
        <v>9643</v>
      </c>
      <c r="C2212" s="1">
        <v>43020</v>
      </c>
      <c r="D2212" s="22">
        <f>MONTH(Table3[[#This Row],[Order Date]])</f>
        <v>10</v>
      </c>
      <c r="E2212" t="s">
        <v>2278</v>
      </c>
      <c r="F2212" t="s">
        <v>2279</v>
      </c>
      <c r="G2212" s="23" t="s">
        <v>64</v>
      </c>
      <c r="H2212" s="23" t="s">
        <v>65</v>
      </c>
      <c r="I2212" t="s">
        <v>2758</v>
      </c>
      <c r="J2212" t="s">
        <v>92</v>
      </c>
      <c r="K2212" s="22">
        <v>7</v>
      </c>
      <c r="L2212" s="1">
        <v>43024</v>
      </c>
      <c r="M2212" s="22">
        <f>Table3[[#This Row],[Ship Date]]-Table3[[#This Row],[Order Date]]</f>
        <v>4</v>
      </c>
      <c r="N2212" s="23" t="s">
        <v>45</v>
      </c>
      <c r="O2212" s="23" t="s">
        <v>23</v>
      </c>
      <c r="P2212" s="23" t="s">
        <v>94</v>
      </c>
      <c r="Q2212" s="23" t="s">
        <v>95</v>
      </c>
      <c r="R2212" s="23" t="s">
        <v>718</v>
      </c>
      <c r="S2212" s="33">
        <v>0.2</v>
      </c>
      <c r="T2212" s="13">
        <v>369.54399999999998</v>
      </c>
      <c r="U2212" s="13">
        <v>27.715800000000002</v>
      </c>
      <c r="V2212" s="55">
        <f>Table3[[#This Row],[Profit]]/Table3[[#This Row],[Sales]]</f>
        <v>7.5000000000000011E-2</v>
      </c>
    </row>
    <row r="2213" spans="1:22" x14ac:dyDescent="0.2">
      <c r="A2213">
        <v>2212</v>
      </c>
      <c r="B2213" t="s">
        <v>9643</v>
      </c>
      <c r="C2213" s="1">
        <v>43020</v>
      </c>
      <c r="D2213" s="22">
        <f>MONTH(Table3[[#This Row],[Order Date]])</f>
        <v>10</v>
      </c>
      <c r="E2213" t="s">
        <v>1875</v>
      </c>
      <c r="F2213" t="s">
        <v>1876</v>
      </c>
      <c r="G2213" s="23" t="s">
        <v>41</v>
      </c>
      <c r="H2213" s="23" t="s">
        <v>82</v>
      </c>
      <c r="I2213" t="s">
        <v>2758</v>
      </c>
      <c r="J2213" t="s">
        <v>92</v>
      </c>
      <c r="K2213" s="22">
        <v>2</v>
      </c>
      <c r="L2213" s="1">
        <v>43024</v>
      </c>
      <c r="M2213" s="22">
        <f>Table3[[#This Row],[Ship Date]]-Table3[[#This Row],[Order Date]]</f>
        <v>4</v>
      </c>
      <c r="N2213" s="23" t="s">
        <v>45</v>
      </c>
      <c r="O2213" s="23" t="s">
        <v>23</v>
      </c>
      <c r="P2213" s="23" t="s">
        <v>94</v>
      </c>
      <c r="Q2213" s="23" t="s">
        <v>95</v>
      </c>
      <c r="R2213" s="23" t="s">
        <v>718</v>
      </c>
      <c r="S2213" s="33">
        <v>0.2</v>
      </c>
      <c r="T2213" s="13">
        <v>10.368</v>
      </c>
      <c r="U2213" s="13">
        <v>3.7584</v>
      </c>
      <c r="V2213" s="55">
        <f>Table3[[#This Row],[Profit]]/Table3[[#This Row],[Sales]]</f>
        <v>0.36249999999999999</v>
      </c>
    </row>
    <row r="2214" spans="1:22" x14ac:dyDescent="0.2">
      <c r="A2214">
        <v>2213</v>
      </c>
      <c r="B2214" t="s">
        <v>9643</v>
      </c>
      <c r="C2214" s="1">
        <v>43020</v>
      </c>
      <c r="D2214" s="22">
        <f>MONTH(Table3[[#This Row],[Order Date]])</f>
        <v>10</v>
      </c>
      <c r="E2214" t="s">
        <v>2635</v>
      </c>
      <c r="F2214" t="s">
        <v>2636</v>
      </c>
      <c r="G2214" s="23" t="s">
        <v>64</v>
      </c>
      <c r="H2214" s="23" t="s">
        <v>144</v>
      </c>
      <c r="I2214" t="s">
        <v>2758</v>
      </c>
      <c r="J2214" t="s">
        <v>92</v>
      </c>
      <c r="K2214" s="22">
        <v>3</v>
      </c>
      <c r="L2214" s="1">
        <v>43024</v>
      </c>
      <c r="M2214" s="22">
        <f>Table3[[#This Row],[Ship Date]]-Table3[[#This Row],[Order Date]]</f>
        <v>4</v>
      </c>
      <c r="N2214" s="23" t="s">
        <v>45</v>
      </c>
      <c r="O2214" s="23" t="s">
        <v>23</v>
      </c>
      <c r="P2214" s="23" t="s">
        <v>94</v>
      </c>
      <c r="Q2214" s="23" t="s">
        <v>95</v>
      </c>
      <c r="R2214" s="23" t="s">
        <v>718</v>
      </c>
      <c r="S2214" s="33">
        <v>0.2</v>
      </c>
      <c r="T2214" s="13">
        <v>791.88</v>
      </c>
      <c r="U2214" s="13">
        <v>128.68049999999999</v>
      </c>
      <c r="V2214" s="55">
        <f>Table3[[#This Row],[Profit]]/Table3[[#This Row],[Sales]]</f>
        <v>0.16250000000000001</v>
      </c>
    </row>
    <row r="2215" spans="1:22" x14ac:dyDescent="0.2">
      <c r="A2215">
        <v>2214</v>
      </c>
      <c r="B2215" t="s">
        <v>9868</v>
      </c>
      <c r="C2215" s="1">
        <v>43020</v>
      </c>
      <c r="D2215" s="22">
        <f>MONTH(Table3[[#This Row],[Order Date]])</f>
        <v>10</v>
      </c>
      <c r="E2215" t="s">
        <v>2934</v>
      </c>
      <c r="F2215" t="s">
        <v>2935</v>
      </c>
      <c r="G2215" s="23" t="s">
        <v>28</v>
      </c>
      <c r="H2215" s="23" t="s">
        <v>50</v>
      </c>
      <c r="I2215" t="s">
        <v>1314</v>
      </c>
      <c r="J2215" t="s">
        <v>22</v>
      </c>
      <c r="K2215" s="22">
        <v>3</v>
      </c>
      <c r="L2215" s="1">
        <v>43020</v>
      </c>
      <c r="M2215" s="22">
        <f>Table3[[#This Row],[Ship Date]]-Table3[[#This Row],[Order Date]]</f>
        <v>0</v>
      </c>
      <c r="N2215" s="23" t="s">
        <v>1141</v>
      </c>
      <c r="O2215" s="23" t="s">
        <v>23</v>
      </c>
      <c r="P2215" s="23" t="s">
        <v>8947</v>
      </c>
      <c r="Q2215" s="23" t="s">
        <v>133</v>
      </c>
      <c r="R2215" s="23" t="s">
        <v>5069</v>
      </c>
      <c r="S2215" s="33">
        <v>0.3</v>
      </c>
      <c r="T2215" s="13">
        <v>673.34400000000005</v>
      </c>
      <c r="U2215" s="13">
        <v>-76.953599999999994</v>
      </c>
      <c r="V2215" s="55">
        <f>Table3[[#This Row],[Profit]]/Table3[[#This Row],[Sales]]</f>
        <v>-0.11428571428571427</v>
      </c>
    </row>
    <row r="2216" spans="1:22" x14ac:dyDescent="0.2">
      <c r="A2216">
        <v>2215</v>
      </c>
      <c r="B2216" t="s">
        <v>10091</v>
      </c>
      <c r="C2216" s="1">
        <v>43020</v>
      </c>
      <c r="D2216" s="22">
        <f>MONTH(Table3[[#This Row],[Order Date]])</f>
        <v>10</v>
      </c>
      <c r="E2216" t="s">
        <v>4382</v>
      </c>
      <c r="F2216" t="s">
        <v>4383</v>
      </c>
      <c r="G2216" s="23" t="s">
        <v>41</v>
      </c>
      <c r="H2216" s="23" t="s">
        <v>82</v>
      </c>
      <c r="I2216" t="s">
        <v>1810</v>
      </c>
      <c r="J2216" t="s">
        <v>22</v>
      </c>
      <c r="K2216" s="22">
        <v>2</v>
      </c>
      <c r="L2216" s="1">
        <v>43023</v>
      </c>
      <c r="M2216" s="22">
        <f>Table3[[#This Row],[Ship Date]]-Table3[[#This Row],[Order Date]]</f>
        <v>3</v>
      </c>
      <c r="N2216" s="23" t="s">
        <v>169</v>
      </c>
      <c r="O2216" s="23" t="s">
        <v>23</v>
      </c>
      <c r="P2216" s="23" t="s">
        <v>238</v>
      </c>
      <c r="Q2216" s="23" t="s">
        <v>133</v>
      </c>
      <c r="R2216" s="23" t="s">
        <v>237</v>
      </c>
      <c r="S2216" s="33">
        <v>0</v>
      </c>
      <c r="T2216" s="13">
        <v>9.9600000000000009</v>
      </c>
      <c r="U2216" s="13">
        <v>4.6811999999999996</v>
      </c>
      <c r="V2216" s="55">
        <f>Table3[[#This Row],[Profit]]/Table3[[#This Row],[Sales]]</f>
        <v>0.46999999999999992</v>
      </c>
    </row>
    <row r="2217" spans="1:22" x14ac:dyDescent="0.2">
      <c r="A2217">
        <v>2216</v>
      </c>
      <c r="B2217" t="s">
        <v>910</v>
      </c>
      <c r="C2217" s="1">
        <v>43021</v>
      </c>
      <c r="D2217" s="22">
        <f>MONTH(Table3[[#This Row],[Order Date]])</f>
        <v>10</v>
      </c>
      <c r="E2217" t="s">
        <v>912</v>
      </c>
      <c r="F2217" t="s">
        <v>913</v>
      </c>
      <c r="G2217" s="23" t="s">
        <v>41</v>
      </c>
      <c r="H2217" s="23" t="s">
        <v>82</v>
      </c>
      <c r="I2217" t="s">
        <v>911</v>
      </c>
      <c r="J2217" t="s">
        <v>36</v>
      </c>
      <c r="K2217" s="22">
        <v>2</v>
      </c>
      <c r="L2217" s="1">
        <v>43025</v>
      </c>
      <c r="M2217" s="22">
        <f>Table3[[#This Row],[Ship Date]]-Table3[[#This Row],[Order Date]]</f>
        <v>4</v>
      </c>
      <c r="N2217" s="23" t="s">
        <v>45</v>
      </c>
      <c r="O2217" s="23" t="s">
        <v>23</v>
      </c>
      <c r="P2217" s="23" t="s">
        <v>132</v>
      </c>
      <c r="Q2217" s="23" t="s">
        <v>133</v>
      </c>
      <c r="R2217" s="23" t="s">
        <v>131</v>
      </c>
      <c r="S2217" s="33">
        <v>0.2</v>
      </c>
      <c r="T2217" s="13">
        <v>11.648</v>
      </c>
      <c r="U2217" s="13">
        <v>4.0768000000000004</v>
      </c>
      <c r="V2217" s="55">
        <f>Table3[[#This Row],[Profit]]/Table3[[#This Row],[Sales]]</f>
        <v>0.35000000000000003</v>
      </c>
    </row>
    <row r="2218" spans="1:22" x14ac:dyDescent="0.2">
      <c r="A2218">
        <v>2217</v>
      </c>
      <c r="B2218" t="s">
        <v>910</v>
      </c>
      <c r="C2218" s="1">
        <v>43021</v>
      </c>
      <c r="D2218" s="22">
        <f>MONTH(Table3[[#This Row],[Order Date]])</f>
        <v>10</v>
      </c>
      <c r="E2218" t="s">
        <v>914</v>
      </c>
      <c r="F2218" t="s">
        <v>915</v>
      </c>
      <c r="G2218" s="23" t="s">
        <v>41</v>
      </c>
      <c r="H2218" s="23" t="s">
        <v>82</v>
      </c>
      <c r="I2218" t="s">
        <v>911</v>
      </c>
      <c r="J2218" t="s">
        <v>36</v>
      </c>
      <c r="K2218" s="22">
        <v>4</v>
      </c>
      <c r="L2218" s="1">
        <v>43025</v>
      </c>
      <c r="M2218" s="22">
        <f>Table3[[#This Row],[Ship Date]]-Table3[[#This Row],[Order Date]]</f>
        <v>4</v>
      </c>
      <c r="N2218" s="23" t="s">
        <v>45</v>
      </c>
      <c r="O2218" s="23" t="s">
        <v>23</v>
      </c>
      <c r="P2218" s="23" t="s">
        <v>132</v>
      </c>
      <c r="Q2218" s="23" t="s">
        <v>133</v>
      </c>
      <c r="R2218" s="23" t="s">
        <v>131</v>
      </c>
      <c r="S2218" s="33">
        <v>0.2</v>
      </c>
      <c r="T2218" s="13">
        <v>18.175999999999998</v>
      </c>
      <c r="U2218" s="13">
        <v>5.9071999999999996</v>
      </c>
      <c r="V2218" s="55">
        <f>Table3[[#This Row],[Profit]]/Table3[[#This Row],[Sales]]</f>
        <v>0.32500000000000001</v>
      </c>
    </row>
    <row r="2219" spans="1:22" x14ac:dyDescent="0.2">
      <c r="A2219">
        <v>2218</v>
      </c>
      <c r="B2219" t="s">
        <v>910</v>
      </c>
      <c r="C2219" s="1">
        <v>43021</v>
      </c>
      <c r="D2219" s="22">
        <f>MONTH(Table3[[#This Row],[Order Date]])</f>
        <v>10</v>
      </c>
      <c r="E2219" t="s">
        <v>916</v>
      </c>
      <c r="F2219" t="s">
        <v>917</v>
      </c>
      <c r="G2219" s="23" t="s">
        <v>41</v>
      </c>
      <c r="H2219" s="23" t="s">
        <v>53</v>
      </c>
      <c r="I2219" t="s">
        <v>911</v>
      </c>
      <c r="J2219" t="s">
        <v>36</v>
      </c>
      <c r="K2219" s="22">
        <v>6</v>
      </c>
      <c r="L2219" s="1">
        <v>43025</v>
      </c>
      <c r="M2219" s="22">
        <f>Table3[[#This Row],[Ship Date]]-Table3[[#This Row],[Order Date]]</f>
        <v>4</v>
      </c>
      <c r="N2219" s="23" t="s">
        <v>45</v>
      </c>
      <c r="O2219" s="23" t="s">
        <v>23</v>
      </c>
      <c r="P2219" s="23" t="s">
        <v>132</v>
      </c>
      <c r="Q2219" s="23" t="s">
        <v>133</v>
      </c>
      <c r="R2219" s="23" t="s">
        <v>131</v>
      </c>
      <c r="S2219" s="33">
        <v>0.2</v>
      </c>
      <c r="T2219" s="13">
        <v>59.712000000000003</v>
      </c>
      <c r="U2219" s="13">
        <v>5.9711999999999996</v>
      </c>
      <c r="V2219" s="55">
        <f>Table3[[#This Row],[Profit]]/Table3[[#This Row],[Sales]]</f>
        <v>9.9999999999999992E-2</v>
      </c>
    </row>
    <row r="2220" spans="1:22" x14ac:dyDescent="0.2">
      <c r="A2220">
        <v>2219</v>
      </c>
      <c r="B2220" t="s">
        <v>910</v>
      </c>
      <c r="C2220" s="1">
        <v>43021</v>
      </c>
      <c r="D2220" s="22">
        <f>MONTH(Table3[[#This Row],[Order Date]])</f>
        <v>10</v>
      </c>
      <c r="E2220" t="s">
        <v>918</v>
      </c>
      <c r="F2220" t="s">
        <v>919</v>
      </c>
      <c r="G2220" s="23" t="s">
        <v>41</v>
      </c>
      <c r="H2220" s="23" t="s">
        <v>42</v>
      </c>
      <c r="I2220" t="s">
        <v>911</v>
      </c>
      <c r="J2220" t="s">
        <v>36</v>
      </c>
      <c r="K2220" s="22">
        <v>3</v>
      </c>
      <c r="L2220" s="1">
        <v>43025</v>
      </c>
      <c r="M2220" s="22">
        <f>Table3[[#This Row],[Ship Date]]-Table3[[#This Row],[Order Date]]</f>
        <v>4</v>
      </c>
      <c r="N2220" s="23" t="s">
        <v>45</v>
      </c>
      <c r="O2220" s="23" t="s">
        <v>23</v>
      </c>
      <c r="P2220" s="23" t="s">
        <v>132</v>
      </c>
      <c r="Q2220" s="23" t="s">
        <v>133</v>
      </c>
      <c r="R2220" s="23" t="s">
        <v>131</v>
      </c>
      <c r="S2220" s="33">
        <v>0.2</v>
      </c>
      <c r="T2220" s="13">
        <v>24.84</v>
      </c>
      <c r="U2220" s="13">
        <v>8.6940000000000008</v>
      </c>
      <c r="V2220" s="55">
        <f>Table3[[#This Row],[Profit]]/Table3[[#This Row],[Sales]]</f>
        <v>0.35000000000000003</v>
      </c>
    </row>
    <row r="2221" spans="1:22" x14ac:dyDescent="0.2">
      <c r="A2221">
        <v>2220</v>
      </c>
      <c r="B2221" t="s">
        <v>5536</v>
      </c>
      <c r="C2221" s="1">
        <v>43021</v>
      </c>
      <c r="D2221" s="22">
        <f>MONTH(Table3[[#This Row],[Order Date]])</f>
        <v>10</v>
      </c>
      <c r="E2221" t="s">
        <v>3902</v>
      </c>
      <c r="F2221" t="s">
        <v>3903</v>
      </c>
      <c r="G2221" s="23" t="s">
        <v>41</v>
      </c>
      <c r="H2221" s="23" t="s">
        <v>71</v>
      </c>
      <c r="I2221" t="s">
        <v>1897</v>
      </c>
      <c r="J2221" t="s">
        <v>22</v>
      </c>
      <c r="K2221" s="22">
        <v>5</v>
      </c>
      <c r="L2221" s="1">
        <v>43023</v>
      </c>
      <c r="M2221" s="22">
        <f>Table3[[#This Row],[Ship Date]]-Table3[[#This Row],[Order Date]]</f>
        <v>2</v>
      </c>
      <c r="N2221" s="23" t="s">
        <v>169</v>
      </c>
      <c r="O2221" s="23" t="s">
        <v>23</v>
      </c>
      <c r="P2221" s="23" t="s">
        <v>238</v>
      </c>
      <c r="Q2221" s="23" t="s">
        <v>133</v>
      </c>
      <c r="R2221" s="23" t="s">
        <v>237</v>
      </c>
      <c r="S2221" s="33">
        <v>0</v>
      </c>
      <c r="T2221" s="13">
        <v>904.9</v>
      </c>
      <c r="U2221" s="13">
        <v>253.37200000000001</v>
      </c>
      <c r="V2221" s="55">
        <f>Table3[[#This Row],[Profit]]/Table3[[#This Row],[Sales]]</f>
        <v>0.28000000000000003</v>
      </c>
    </row>
    <row r="2222" spans="1:22" x14ac:dyDescent="0.2">
      <c r="A2222">
        <v>2221</v>
      </c>
      <c r="B2222" t="s">
        <v>6621</v>
      </c>
      <c r="C2222" s="1">
        <v>43021</v>
      </c>
      <c r="D2222" s="22">
        <f>MONTH(Table3[[#This Row],[Order Date]])</f>
        <v>10</v>
      </c>
      <c r="E2222" t="s">
        <v>2807</v>
      </c>
      <c r="F2222" t="s">
        <v>167</v>
      </c>
      <c r="G2222" s="23" t="s">
        <v>41</v>
      </c>
      <c r="H2222" s="23" t="s">
        <v>82</v>
      </c>
      <c r="I2222" t="s">
        <v>480</v>
      </c>
      <c r="J2222" t="s">
        <v>22</v>
      </c>
      <c r="K2222" s="22">
        <v>3</v>
      </c>
      <c r="L2222" s="1">
        <v>43024</v>
      </c>
      <c r="M2222" s="22">
        <f>Table3[[#This Row],[Ship Date]]-Table3[[#This Row],[Order Date]]</f>
        <v>3</v>
      </c>
      <c r="N2222" s="23" t="s">
        <v>169</v>
      </c>
      <c r="O2222" s="23" t="s">
        <v>23</v>
      </c>
      <c r="P2222" s="23" t="s">
        <v>189</v>
      </c>
      <c r="Q2222" s="23" t="s">
        <v>95</v>
      </c>
      <c r="R2222" s="23" t="s">
        <v>3271</v>
      </c>
      <c r="S2222" s="33">
        <v>0.2</v>
      </c>
      <c r="T2222" s="13">
        <v>63.311999999999998</v>
      </c>
      <c r="U2222" s="13">
        <v>20.5764</v>
      </c>
      <c r="V2222" s="55">
        <f>Table3[[#This Row],[Profit]]/Table3[[#This Row],[Sales]]</f>
        <v>0.32500000000000001</v>
      </c>
    </row>
    <row r="2223" spans="1:22" x14ac:dyDescent="0.2">
      <c r="A2223">
        <v>2222</v>
      </c>
      <c r="B2223" t="s">
        <v>6621</v>
      </c>
      <c r="C2223" s="1">
        <v>43021</v>
      </c>
      <c r="D2223" s="22">
        <f>MONTH(Table3[[#This Row],[Order Date]])</f>
        <v>10</v>
      </c>
      <c r="E2223" t="s">
        <v>938</v>
      </c>
      <c r="F2223" t="s">
        <v>939</v>
      </c>
      <c r="G2223" s="23" t="s">
        <v>41</v>
      </c>
      <c r="H2223" s="23" t="s">
        <v>68</v>
      </c>
      <c r="I2223" t="s">
        <v>480</v>
      </c>
      <c r="J2223" t="s">
        <v>22</v>
      </c>
      <c r="K2223" s="22">
        <v>4</v>
      </c>
      <c r="L2223" s="1">
        <v>43024</v>
      </c>
      <c r="M2223" s="22">
        <f>Table3[[#This Row],[Ship Date]]-Table3[[#This Row],[Order Date]]</f>
        <v>3</v>
      </c>
      <c r="N2223" s="23" t="s">
        <v>169</v>
      </c>
      <c r="O2223" s="23" t="s">
        <v>23</v>
      </c>
      <c r="P2223" s="23" t="s">
        <v>189</v>
      </c>
      <c r="Q2223" s="23" t="s">
        <v>95</v>
      </c>
      <c r="R2223" s="23" t="s">
        <v>3271</v>
      </c>
      <c r="S2223" s="33">
        <v>0.8</v>
      </c>
      <c r="T2223" s="13">
        <v>96.784000000000006</v>
      </c>
      <c r="U2223" s="13">
        <v>-145.17599999999999</v>
      </c>
      <c r="V2223" s="55">
        <f>Table3[[#This Row],[Profit]]/Table3[[#This Row],[Sales]]</f>
        <v>-1.4999999999999998</v>
      </c>
    </row>
    <row r="2224" spans="1:22" x14ac:dyDescent="0.2">
      <c r="A2224">
        <v>2223</v>
      </c>
      <c r="B2224" t="s">
        <v>6621</v>
      </c>
      <c r="C2224" s="1">
        <v>43021</v>
      </c>
      <c r="D2224" s="22">
        <f>MONTH(Table3[[#This Row],[Order Date]])</f>
        <v>10</v>
      </c>
      <c r="E2224" t="s">
        <v>2397</v>
      </c>
      <c r="F2224" t="s">
        <v>2398</v>
      </c>
      <c r="G2224" s="23" t="s">
        <v>28</v>
      </c>
      <c r="H2224" s="23" t="s">
        <v>58</v>
      </c>
      <c r="I2224" t="s">
        <v>480</v>
      </c>
      <c r="J2224" t="s">
        <v>22</v>
      </c>
      <c r="K2224" s="22">
        <v>3</v>
      </c>
      <c r="L2224" s="1">
        <v>43024</v>
      </c>
      <c r="M2224" s="22">
        <f>Table3[[#This Row],[Ship Date]]-Table3[[#This Row],[Order Date]]</f>
        <v>3</v>
      </c>
      <c r="N2224" s="23" t="s">
        <v>169</v>
      </c>
      <c r="O2224" s="23" t="s">
        <v>23</v>
      </c>
      <c r="P2224" s="23" t="s">
        <v>189</v>
      </c>
      <c r="Q2224" s="23" t="s">
        <v>95</v>
      </c>
      <c r="R2224" s="23" t="s">
        <v>3271</v>
      </c>
      <c r="S2224" s="33">
        <v>0.6</v>
      </c>
      <c r="T2224" s="13">
        <v>10.476000000000001</v>
      </c>
      <c r="U2224" s="13">
        <v>-6.8094000000000001</v>
      </c>
      <c r="V2224" s="55">
        <f>Table3[[#This Row],[Profit]]/Table3[[#This Row],[Sales]]</f>
        <v>-0.64999999999999991</v>
      </c>
    </row>
    <row r="2225" spans="1:22" x14ac:dyDescent="0.2">
      <c r="A2225">
        <v>2224</v>
      </c>
      <c r="B2225" t="s">
        <v>9494</v>
      </c>
      <c r="C2225" s="1">
        <v>43021</v>
      </c>
      <c r="D2225" s="22">
        <f>MONTH(Table3[[#This Row],[Order Date]])</f>
        <v>10</v>
      </c>
      <c r="E2225" t="s">
        <v>1198</v>
      </c>
      <c r="F2225" t="s">
        <v>1199</v>
      </c>
      <c r="G2225" s="23" t="s">
        <v>64</v>
      </c>
      <c r="H2225" s="23" t="s">
        <v>144</v>
      </c>
      <c r="I2225" t="s">
        <v>3535</v>
      </c>
      <c r="J2225" t="s">
        <v>36</v>
      </c>
      <c r="K2225" s="22">
        <v>6</v>
      </c>
      <c r="L2225" s="1">
        <v>43028</v>
      </c>
      <c r="M2225" s="22">
        <f>Table3[[#This Row],[Ship Date]]-Table3[[#This Row],[Order Date]]</f>
        <v>7</v>
      </c>
      <c r="N2225" s="23" t="s">
        <v>45</v>
      </c>
      <c r="O2225" s="23" t="s">
        <v>23</v>
      </c>
      <c r="P2225" s="23" t="s">
        <v>38</v>
      </c>
      <c r="Q2225" s="23" t="s">
        <v>39</v>
      </c>
      <c r="R2225" s="23" t="s">
        <v>4790</v>
      </c>
      <c r="S2225" s="33">
        <v>0</v>
      </c>
      <c r="T2225" s="13">
        <v>209.94</v>
      </c>
      <c r="U2225" s="13">
        <v>39.888599999999997</v>
      </c>
      <c r="V2225" s="55">
        <f>Table3[[#This Row],[Profit]]/Table3[[#This Row],[Sales]]</f>
        <v>0.18999999999999997</v>
      </c>
    </row>
    <row r="2226" spans="1:22" x14ac:dyDescent="0.2">
      <c r="A2226">
        <v>2225</v>
      </c>
      <c r="B2226" t="s">
        <v>9494</v>
      </c>
      <c r="C2226" s="1">
        <v>43021</v>
      </c>
      <c r="D2226" s="22">
        <f>MONTH(Table3[[#This Row],[Order Date]])</f>
        <v>10</v>
      </c>
      <c r="E2226" t="s">
        <v>5310</v>
      </c>
      <c r="F2226" t="s">
        <v>5311</v>
      </c>
      <c r="G2226" s="23" t="s">
        <v>64</v>
      </c>
      <c r="H2226" s="23" t="s">
        <v>65</v>
      </c>
      <c r="I2226" t="s">
        <v>3535</v>
      </c>
      <c r="J2226" t="s">
        <v>36</v>
      </c>
      <c r="K2226" s="22">
        <v>2</v>
      </c>
      <c r="L2226" s="1">
        <v>43028</v>
      </c>
      <c r="M2226" s="22">
        <f>Table3[[#This Row],[Ship Date]]-Table3[[#This Row],[Order Date]]</f>
        <v>7</v>
      </c>
      <c r="N2226" s="23" t="s">
        <v>45</v>
      </c>
      <c r="O2226" s="23" t="s">
        <v>23</v>
      </c>
      <c r="P2226" s="23" t="s">
        <v>38</v>
      </c>
      <c r="Q2226" s="23" t="s">
        <v>39</v>
      </c>
      <c r="R2226" s="23" t="s">
        <v>4790</v>
      </c>
      <c r="S2226" s="33">
        <v>0.2</v>
      </c>
      <c r="T2226" s="13">
        <v>31.984000000000002</v>
      </c>
      <c r="U2226" s="13">
        <v>-7.9960000000000004</v>
      </c>
      <c r="V2226" s="55">
        <f>Table3[[#This Row],[Profit]]/Table3[[#This Row],[Sales]]</f>
        <v>-0.25</v>
      </c>
    </row>
    <row r="2227" spans="1:22" x14ac:dyDescent="0.2">
      <c r="A2227">
        <v>2226</v>
      </c>
      <c r="B2227" t="s">
        <v>9494</v>
      </c>
      <c r="C2227" s="1">
        <v>43021</v>
      </c>
      <c r="D2227" s="22">
        <f>MONTH(Table3[[#This Row],[Order Date]])</f>
        <v>10</v>
      </c>
      <c r="E2227" t="s">
        <v>1543</v>
      </c>
      <c r="F2227" t="s">
        <v>1544</v>
      </c>
      <c r="G2227" s="23" t="s">
        <v>41</v>
      </c>
      <c r="H2227" s="23" t="s">
        <v>68</v>
      </c>
      <c r="I2227" t="s">
        <v>3535</v>
      </c>
      <c r="J2227" t="s">
        <v>36</v>
      </c>
      <c r="K2227" s="22">
        <v>5</v>
      </c>
      <c r="L2227" s="1">
        <v>43028</v>
      </c>
      <c r="M2227" s="22">
        <f>Table3[[#This Row],[Ship Date]]-Table3[[#This Row],[Order Date]]</f>
        <v>7</v>
      </c>
      <c r="N2227" s="23" t="s">
        <v>45</v>
      </c>
      <c r="O2227" s="23" t="s">
        <v>23</v>
      </c>
      <c r="P2227" s="23" t="s">
        <v>38</v>
      </c>
      <c r="Q2227" s="23" t="s">
        <v>39</v>
      </c>
      <c r="R2227" s="23" t="s">
        <v>4790</v>
      </c>
      <c r="S2227" s="33">
        <v>0.2</v>
      </c>
      <c r="T2227" s="13">
        <v>5083.96</v>
      </c>
      <c r="U2227" s="13">
        <v>1906.4849999999999</v>
      </c>
      <c r="V2227" s="55">
        <f>Table3[[#This Row],[Profit]]/Table3[[#This Row],[Sales]]</f>
        <v>0.375</v>
      </c>
    </row>
    <row r="2228" spans="1:22" x14ac:dyDescent="0.2">
      <c r="A2228">
        <v>2227</v>
      </c>
      <c r="B2228" t="s">
        <v>9639</v>
      </c>
      <c r="C2228" s="1">
        <v>43021</v>
      </c>
      <c r="D2228" s="22">
        <f>MONTH(Table3[[#This Row],[Order Date]])</f>
        <v>10</v>
      </c>
      <c r="E2228" t="s">
        <v>484</v>
      </c>
      <c r="F2228" t="s">
        <v>485</v>
      </c>
      <c r="G2228" s="23" t="s">
        <v>41</v>
      </c>
      <c r="H2228" s="23" t="s">
        <v>53</v>
      </c>
      <c r="I2228" t="s">
        <v>872</v>
      </c>
      <c r="J2228" t="s">
        <v>22</v>
      </c>
      <c r="K2228" s="22">
        <v>8</v>
      </c>
      <c r="L2228" s="1">
        <v>43023</v>
      </c>
      <c r="M2228" s="22">
        <f>Table3[[#This Row],[Ship Date]]-Table3[[#This Row],[Order Date]]</f>
        <v>2</v>
      </c>
      <c r="N2228" s="23" t="s">
        <v>169</v>
      </c>
      <c r="O2228" s="23" t="s">
        <v>23</v>
      </c>
      <c r="P2228" s="23" t="s">
        <v>25</v>
      </c>
      <c r="Q2228" s="23" t="s">
        <v>26</v>
      </c>
      <c r="R2228" s="23" t="s">
        <v>1303</v>
      </c>
      <c r="S2228" s="33">
        <v>0</v>
      </c>
      <c r="T2228" s="13">
        <v>348.56</v>
      </c>
      <c r="U2228" s="13">
        <v>104.568</v>
      </c>
      <c r="V2228" s="55">
        <f>Table3[[#This Row],[Profit]]/Table3[[#This Row],[Sales]]</f>
        <v>0.3</v>
      </c>
    </row>
    <row r="2229" spans="1:22" x14ac:dyDescent="0.2">
      <c r="A2229">
        <v>2228</v>
      </c>
      <c r="B2229" t="s">
        <v>9711</v>
      </c>
      <c r="C2229" s="1">
        <v>43021</v>
      </c>
      <c r="D2229" s="22">
        <f>MONTH(Table3[[#This Row],[Order Date]])</f>
        <v>10</v>
      </c>
      <c r="E2229" t="s">
        <v>4412</v>
      </c>
      <c r="F2229" t="s">
        <v>4413</v>
      </c>
      <c r="G2229" s="23" t="s">
        <v>41</v>
      </c>
      <c r="H2229" s="23" t="s">
        <v>42</v>
      </c>
      <c r="I2229" t="s">
        <v>5331</v>
      </c>
      <c r="J2229" t="s">
        <v>22</v>
      </c>
      <c r="K2229" s="22">
        <v>3</v>
      </c>
      <c r="L2229" s="1">
        <v>43022</v>
      </c>
      <c r="M2229" s="22">
        <f>Table3[[#This Row],[Ship Date]]-Table3[[#This Row],[Order Date]]</f>
        <v>1</v>
      </c>
      <c r="N2229" s="23" t="s">
        <v>169</v>
      </c>
      <c r="O2229" s="23" t="s">
        <v>23</v>
      </c>
      <c r="P2229" s="23" t="s">
        <v>650</v>
      </c>
      <c r="Q2229" s="23" t="s">
        <v>26</v>
      </c>
      <c r="R2229" s="23" t="s">
        <v>3766</v>
      </c>
      <c r="S2229" s="33">
        <v>0</v>
      </c>
      <c r="T2229" s="13">
        <v>11.07</v>
      </c>
      <c r="U2229" s="13">
        <v>5.2028999999999996</v>
      </c>
      <c r="V2229" s="55">
        <f>Table3[[#This Row],[Profit]]/Table3[[#This Row],[Sales]]</f>
        <v>0.47</v>
      </c>
    </row>
    <row r="2230" spans="1:22" x14ac:dyDescent="0.2">
      <c r="A2230">
        <v>2229</v>
      </c>
      <c r="B2230" t="s">
        <v>9711</v>
      </c>
      <c r="C2230" s="1">
        <v>43021</v>
      </c>
      <c r="D2230" s="22">
        <f>MONTH(Table3[[#This Row],[Order Date]])</f>
        <v>10</v>
      </c>
      <c r="E2230" t="s">
        <v>796</v>
      </c>
      <c r="F2230" t="s">
        <v>797</v>
      </c>
      <c r="G2230" s="23" t="s">
        <v>28</v>
      </c>
      <c r="H2230" s="23" t="s">
        <v>50</v>
      </c>
      <c r="I2230" t="s">
        <v>5331</v>
      </c>
      <c r="J2230" t="s">
        <v>22</v>
      </c>
      <c r="K2230" s="22">
        <v>4</v>
      </c>
      <c r="L2230" s="1">
        <v>43022</v>
      </c>
      <c r="M2230" s="22">
        <f>Table3[[#This Row],[Ship Date]]-Table3[[#This Row],[Order Date]]</f>
        <v>1</v>
      </c>
      <c r="N2230" s="23" t="s">
        <v>169</v>
      </c>
      <c r="O2230" s="23" t="s">
        <v>23</v>
      </c>
      <c r="P2230" s="23" t="s">
        <v>650</v>
      </c>
      <c r="Q2230" s="23" t="s">
        <v>26</v>
      </c>
      <c r="R2230" s="23" t="s">
        <v>3766</v>
      </c>
      <c r="S2230" s="33">
        <v>0</v>
      </c>
      <c r="T2230" s="13">
        <v>1504.52</v>
      </c>
      <c r="U2230" s="13">
        <v>346.03960000000001</v>
      </c>
      <c r="V2230" s="55">
        <f>Table3[[#This Row],[Profit]]/Table3[[#This Row],[Sales]]</f>
        <v>0.23</v>
      </c>
    </row>
    <row r="2231" spans="1:22" x14ac:dyDescent="0.2">
      <c r="A2231">
        <v>2230</v>
      </c>
      <c r="B2231" t="s">
        <v>9711</v>
      </c>
      <c r="C2231" s="1">
        <v>43021</v>
      </c>
      <c r="D2231" s="22">
        <f>MONTH(Table3[[#This Row],[Order Date]])</f>
        <v>10</v>
      </c>
      <c r="E2231" t="s">
        <v>3926</v>
      </c>
      <c r="F2231" t="s">
        <v>3927</v>
      </c>
      <c r="G2231" s="23" t="s">
        <v>41</v>
      </c>
      <c r="H2231" s="23" t="s">
        <v>82</v>
      </c>
      <c r="I2231" t="s">
        <v>5331</v>
      </c>
      <c r="J2231" t="s">
        <v>22</v>
      </c>
      <c r="K2231" s="22">
        <v>4</v>
      </c>
      <c r="L2231" s="1">
        <v>43022</v>
      </c>
      <c r="M2231" s="22">
        <f>Table3[[#This Row],[Ship Date]]-Table3[[#This Row],[Order Date]]</f>
        <v>1</v>
      </c>
      <c r="N2231" s="23" t="s">
        <v>169</v>
      </c>
      <c r="O2231" s="23" t="s">
        <v>23</v>
      </c>
      <c r="P2231" s="23" t="s">
        <v>650</v>
      </c>
      <c r="Q2231" s="23" t="s">
        <v>26</v>
      </c>
      <c r="R2231" s="23" t="s">
        <v>3766</v>
      </c>
      <c r="S2231" s="33">
        <v>0</v>
      </c>
      <c r="T2231" s="13">
        <v>25.92</v>
      </c>
      <c r="U2231" s="13">
        <v>12.441599999999999</v>
      </c>
      <c r="V2231" s="55">
        <f>Table3[[#This Row],[Profit]]/Table3[[#This Row],[Sales]]</f>
        <v>0.47999999999999993</v>
      </c>
    </row>
    <row r="2232" spans="1:22" x14ac:dyDescent="0.2">
      <c r="A2232">
        <v>2231</v>
      </c>
      <c r="B2232" t="s">
        <v>2406</v>
      </c>
      <c r="C2232" s="1">
        <v>43022</v>
      </c>
      <c r="D2232" s="22">
        <f>MONTH(Table3[[#This Row],[Order Date]])</f>
        <v>10</v>
      </c>
      <c r="E2232" t="s">
        <v>263</v>
      </c>
      <c r="F2232" t="s">
        <v>264</v>
      </c>
      <c r="G2232" s="23" t="s">
        <v>41</v>
      </c>
      <c r="H2232" s="23" t="s">
        <v>68</v>
      </c>
      <c r="I2232" t="s">
        <v>2407</v>
      </c>
      <c r="J2232" t="s">
        <v>92</v>
      </c>
      <c r="K2232" s="22">
        <v>7</v>
      </c>
      <c r="L2232" s="1">
        <v>43027</v>
      </c>
      <c r="M2232" s="22">
        <f>Table3[[#This Row],[Ship Date]]-Table3[[#This Row],[Order Date]]</f>
        <v>5</v>
      </c>
      <c r="N2232" s="23" t="s">
        <v>45</v>
      </c>
      <c r="O2232" s="23" t="s">
        <v>23</v>
      </c>
      <c r="P2232" s="23" t="s">
        <v>2408</v>
      </c>
      <c r="Q2232" s="23" t="s">
        <v>133</v>
      </c>
      <c r="R2232" s="23" t="s">
        <v>341</v>
      </c>
      <c r="S2232" s="33">
        <v>0</v>
      </c>
      <c r="T2232" s="13">
        <v>37.659999999999997</v>
      </c>
      <c r="U2232" s="13">
        <v>18.453399999999998</v>
      </c>
      <c r="V2232" s="55">
        <f>Table3[[#This Row],[Profit]]/Table3[[#This Row],[Sales]]</f>
        <v>0.49</v>
      </c>
    </row>
    <row r="2233" spans="1:22" x14ac:dyDescent="0.2">
      <c r="A2233">
        <v>2232</v>
      </c>
      <c r="B2233" t="s">
        <v>3936</v>
      </c>
      <c r="C2233" s="1">
        <v>43022</v>
      </c>
      <c r="D2233" s="22">
        <f>MONTH(Table3[[#This Row],[Order Date]])</f>
        <v>10</v>
      </c>
      <c r="E2233" t="s">
        <v>1003</v>
      </c>
      <c r="F2233" t="s">
        <v>1004</v>
      </c>
      <c r="G2233" s="23" t="s">
        <v>28</v>
      </c>
      <c r="H2233" s="23" t="s">
        <v>58</v>
      </c>
      <c r="I2233" t="s">
        <v>3937</v>
      </c>
      <c r="J2233" t="s">
        <v>22</v>
      </c>
      <c r="K2233" s="22">
        <v>2</v>
      </c>
      <c r="L2233" s="1">
        <v>43025</v>
      </c>
      <c r="M2233" s="22">
        <f>Table3[[#This Row],[Ship Date]]-Table3[[#This Row],[Order Date]]</f>
        <v>3</v>
      </c>
      <c r="N2233" s="23" t="s">
        <v>169</v>
      </c>
      <c r="O2233" s="23" t="s">
        <v>23</v>
      </c>
      <c r="P2233" s="23" t="s">
        <v>38</v>
      </c>
      <c r="Q2233" s="23" t="s">
        <v>39</v>
      </c>
      <c r="R2233" s="23" t="s">
        <v>2815</v>
      </c>
      <c r="S2233" s="33">
        <v>0</v>
      </c>
      <c r="T2233" s="13">
        <v>9.4600000000000009</v>
      </c>
      <c r="U2233" s="13">
        <v>3.6894</v>
      </c>
      <c r="V2233" s="55">
        <f>Table3[[#This Row],[Profit]]/Table3[[#This Row],[Sales]]</f>
        <v>0.38999999999999996</v>
      </c>
    </row>
    <row r="2234" spans="1:22" x14ac:dyDescent="0.2">
      <c r="A2234">
        <v>2233</v>
      </c>
      <c r="B2234" t="s">
        <v>7665</v>
      </c>
      <c r="C2234" s="1">
        <v>43022</v>
      </c>
      <c r="D2234" s="22">
        <f>MONTH(Table3[[#This Row],[Order Date]])</f>
        <v>10</v>
      </c>
      <c r="E2234" t="s">
        <v>1181</v>
      </c>
      <c r="F2234" t="s">
        <v>1182</v>
      </c>
      <c r="G2234" s="23" t="s">
        <v>41</v>
      </c>
      <c r="H2234" s="23" t="s">
        <v>68</v>
      </c>
      <c r="I2234" t="s">
        <v>2385</v>
      </c>
      <c r="J2234" t="s">
        <v>92</v>
      </c>
      <c r="K2234" s="22">
        <v>9</v>
      </c>
      <c r="L2234" s="1">
        <v>43026</v>
      </c>
      <c r="M2234" s="22">
        <f>Table3[[#This Row],[Ship Date]]-Table3[[#This Row],[Order Date]]</f>
        <v>4</v>
      </c>
      <c r="N2234" s="23" t="s">
        <v>45</v>
      </c>
      <c r="O2234" s="23" t="s">
        <v>23</v>
      </c>
      <c r="P2234" s="23" t="s">
        <v>189</v>
      </c>
      <c r="Q2234" s="23" t="s">
        <v>95</v>
      </c>
      <c r="R2234" s="23" t="s">
        <v>271</v>
      </c>
      <c r="S2234" s="33">
        <v>0.8</v>
      </c>
      <c r="T2234" s="13">
        <v>27.396000000000001</v>
      </c>
      <c r="U2234" s="13">
        <v>-42.463799999999999</v>
      </c>
      <c r="V2234" s="55">
        <f>Table3[[#This Row],[Profit]]/Table3[[#This Row],[Sales]]</f>
        <v>-1.5499999999999998</v>
      </c>
    </row>
    <row r="2235" spans="1:22" x14ac:dyDescent="0.2">
      <c r="A2235">
        <v>2234</v>
      </c>
      <c r="B2235" t="s">
        <v>7665</v>
      </c>
      <c r="C2235" s="1">
        <v>43022</v>
      </c>
      <c r="D2235" s="22">
        <f>MONTH(Table3[[#This Row],[Order Date]])</f>
        <v>10</v>
      </c>
      <c r="E2235" t="s">
        <v>3794</v>
      </c>
      <c r="F2235" t="s">
        <v>3795</v>
      </c>
      <c r="G2235" s="23" t="s">
        <v>41</v>
      </c>
      <c r="H2235" s="23" t="s">
        <v>68</v>
      </c>
      <c r="I2235" t="s">
        <v>2385</v>
      </c>
      <c r="J2235" t="s">
        <v>92</v>
      </c>
      <c r="K2235" s="22">
        <v>1</v>
      </c>
      <c r="L2235" s="1">
        <v>43026</v>
      </c>
      <c r="M2235" s="22">
        <f>Table3[[#This Row],[Ship Date]]-Table3[[#This Row],[Order Date]]</f>
        <v>4</v>
      </c>
      <c r="N2235" s="23" t="s">
        <v>45</v>
      </c>
      <c r="O2235" s="23" t="s">
        <v>23</v>
      </c>
      <c r="P2235" s="23" t="s">
        <v>189</v>
      </c>
      <c r="Q2235" s="23" t="s">
        <v>95</v>
      </c>
      <c r="R2235" s="23" t="s">
        <v>271</v>
      </c>
      <c r="S2235" s="33">
        <v>0.8</v>
      </c>
      <c r="T2235" s="13">
        <v>13.456</v>
      </c>
      <c r="U2235" s="13">
        <v>-23.547999999999998</v>
      </c>
      <c r="V2235" s="55">
        <f>Table3[[#This Row],[Profit]]/Table3[[#This Row],[Sales]]</f>
        <v>-1.75</v>
      </c>
    </row>
    <row r="2236" spans="1:22" x14ac:dyDescent="0.2">
      <c r="A2236">
        <v>2235</v>
      </c>
      <c r="B2236" t="s">
        <v>8619</v>
      </c>
      <c r="C2236" s="1">
        <v>43022</v>
      </c>
      <c r="D2236" s="22">
        <f>MONTH(Table3[[#This Row],[Order Date]])</f>
        <v>10</v>
      </c>
      <c r="E2236" t="s">
        <v>1943</v>
      </c>
      <c r="F2236" t="s">
        <v>1944</v>
      </c>
      <c r="G2236" s="23" t="s">
        <v>64</v>
      </c>
      <c r="H2236" s="23" t="s">
        <v>144</v>
      </c>
      <c r="I2236" t="s">
        <v>2333</v>
      </c>
      <c r="J2236" t="s">
        <v>22</v>
      </c>
      <c r="K2236" s="22">
        <v>4</v>
      </c>
      <c r="L2236" s="1">
        <v>43027</v>
      </c>
      <c r="M2236" s="22">
        <f>Table3[[#This Row],[Ship Date]]-Table3[[#This Row],[Order Date]]</f>
        <v>5</v>
      </c>
      <c r="N2236" s="23" t="s">
        <v>45</v>
      </c>
      <c r="O2236" s="23" t="s">
        <v>23</v>
      </c>
      <c r="P2236" s="23" t="s">
        <v>38</v>
      </c>
      <c r="Q2236" s="23" t="s">
        <v>39</v>
      </c>
      <c r="R2236" s="23" t="s">
        <v>114</v>
      </c>
      <c r="S2236" s="33">
        <v>0</v>
      </c>
      <c r="T2236" s="13">
        <v>46.36</v>
      </c>
      <c r="U2236" s="13">
        <v>15.2988</v>
      </c>
      <c r="V2236" s="55">
        <f>Table3[[#This Row],[Profit]]/Table3[[#This Row],[Sales]]</f>
        <v>0.33</v>
      </c>
    </row>
    <row r="2237" spans="1:22" x14ac:dyDescent="0.2">
      <c r="A2237">
        <v>2236</v>
      </c>
      <c r="B2237" t="s">
        <v>3238</v>
      </c>
      <c r="C2237" s="1">
        <v>43023</v>
      </c>
      <c r="D2237" s="22">
        <f>MONTH(Table3[[#This Row],[Order Date]])</f>
        <v>10</v>
      </c>
      <c r="E2237" t="s">
        <v>3240</v>
      </c>
      <c r="F2237" t="s">
        <v>3241</v>
      </c>
      <c r="G2237" s="23" t="s">
        <v>41</v>
      </c>
      <c r="H2237" s="23" t="s">
        <v>61</v>
      </c>
      <c r="I2237" t="s">
        <v>3239</v>
      </c>
      <c r="J2237" t="s">
        <v>92</v>
      </c>
      <c r="K2237" s="22">
        <v>4</v>
      </c>
      <c r="L2237" s="1">
        <v>43026</v>
      </c>
      <c r="M2237" s="22">
        <f>Table3[[#This Row],[Ship Date]]-Table3[[#This Row],[Order Date]]</f>
        <v>3</v>
      </c>
      <c r="N2237" s="23" t="s">
        <v>20</v>
      </c>
      <c r="O2237" s="23" t="s">
        <v>23</v>
      </c>
      <c r="P2237" s="23" t="s">
        <v>38</v>
      </c>
      <c r="Q2237" s="23" t="s">
        <v>39</v>
      </c>
      <c r="R2237" s="23" t="s">
        <v>114</v>
      </c>
      <c r="S2237" s="33">
        <v>0</v>
      </c>
      <c r="T2237" s="13">
        <v>87.92</v>
      </c>
      <c r="U2237" s="13">
        <v>26.376000000000001</v>
      </c>
      <c r="V2237" s="55">
        <f>Table3[[#This Row],[Profit]]/Table3[[#This Row],[Sales]]</f>
        <v>0.3</v>
      </c>
    </row>
    <row r="2238" spans="1:22" x14ac:dyDescent="0.2">
      <c r="A2238">
        <v>2237</v>
      </c>
      <c r="B2238" t="s">
        <v>6158</v>
      </c>
      <c r="C2238" s="1">
        <v>43023</v>
      </c>
      <c r="D2238" s="22">
        <f>MONTH(Table3[[#This Row],[Order Date]])</f>
        <v>10</v>
      </c>
      <c r="E2238" t="s">
        <v>794</v>
      </c>
      <c r="F2238" t="s">
        <v>795</v>
      </c>
      <c r="G2238" s="23" t="s">
        <v>28</v>
      </c>
      <c r="H2238" s="23" t="s">
        <v>50</v>
      </c>
      <c r="I2238" t="s">
        <v>2019</v>
      </c>
      <c r="J2238" t="s">
        <v>36</v>
      </c>
      <c r="K2238" s="22">
        <v>3</v>
      </c>
      <c r="L2238" s="1">
        <v>43025</v>
      </c>
      <c r="M2238" s="22">
        <f>Table3[[#This Row],[Ship Date]]-Table3[[#This Row],[Order Date]]</f>
        <v>2</v>
      </c>
      <c r="N2238" s="23" t="s">
        <v>169</v>
      </c>
      <c r="O2238" s="23" t="s">
        <v>23</v>
      </c>
      <c r="P2238" s="23" t="s">
        <v>38</v>
      </c>
      <c r="Q2238" s="23" t="s">
        <v>39</v>
      </c>
      <c r="R2238" s="23" t="s">
        <v>37</v>
      </c>
      <c r="S2238" s="33">
        <v>0.2</v>
      </c>
      <c r="T2238" s="13">
        <v>510.24</v>
      </c>
      <c r="U2238" s="13">
        <v>6.3780000000000001</v>
      </c>
      <c r="V2238" s="55">
        <f>Table3[[#This Row],[Profit]]/Table3[[#This Row],[Sales]]</f>
        <v>1.2500000000000001E-2</v>
      </c>
    </row>
    <row r="2239" spans="1:22" x14ac:dyDescent="0.2">
      <c r="A2239">
        <v>2238</v>
      </c>
      <c r="B2239" t="s">
        <v>6158</v>
      </c>
      <c r="C2239" s="1">
        <v>43023</v>
      </c>
      <c r="D2239" s="22">
        <f>MONTH(Table3[[#This Row],[Order Date]])</f>
        <v>10</v>
      </c>
      <c r="E2239" t="s">
        <v>3975</v>
      </c>
      <c r="F2239" t="s">
        <v>3976</v>
      </c>
      <c r="G2239" s="23" t="s">
        <v>41</v>
      </c>
      <c r="H2239" s="23" t="s">
        <v>82</v>
      </c>
      <c r="I2239" t="s">
        <v>2019</v>
      </c>
      <c r="J2239" t="s">
        <v>36</v>
      </c>
      <c r="K2239" s="22">
        <v>5</v>
      </c>
      <c r="L2239" s="1">
        <v>43025</v>
      </c>
      <c r="M2239" s="22">
        <f>Table3[[#This Row],[Ship Date]]-Table3[[#This Row],[Order Date]]</f>
        <v>2</v>
      </c>
      <c r="N2239" s="23" t="s">
        <v>169</v>
      </c>
      <c r="O2239" s="23" t="s">
        <v>23</v>
      </c>
      <c r="P2239" s="23" t="s">
        <v>38</v>
      </c>
      <c r="Q2239" s="23" t="s">
        <v>39</v>
      </c>
      <c r="R2239" s="23" t="s">
        <v>37</v>
      </c>
      <c r="S2239" s="33">
        <v>0</v>
      </c>
      <c r="T2239" s="13">
        <v>204.95</v>
      </c>
      <c r="U2239" s="13">
        <v>100.4255</v>
      </c>
      <c r="V2239" s="55">
        <f>Table3[[#This Row],[Profit]]/Table3[[#This Row],[Sales]]</f>
        <v>0.49000000000000005</v>
      </c>
    </row>
    <row r="2240" spans="1:22" x14ac:dyDescent="0.2">
      <c r="A2240">
        <v>2239</v>
      </c>
      <c r="B2240" t="s">
        <v>6625</v>
      </c>
      <c r="C2240" s="1">
        <v>43023</v>
      </c>
      <c r="D2240" s="22">
        <f>MONTH(Table3[[#This Row],[Order Date]])</f>
        <v>10</v>
      </c>
      <c r="E2240" t="s">
        <v>2439</v>
      </c>
      <c r="F2240" t="s">
        <v>2440</v>
      </c>
      <c r="G2240" s="23" t="s">
        <v>41</v>
      </c>
      <c r="H2240" s="23" t="s">
        <v>42</v>
      </c>
      <c r="I2240" t="s">
        <v>4703</v>
      </c>
      <c r="J2240" t="s">
        <v>36</v>
      </c>
      <c r="K2240" s="22">
        <v>5</v>
      </c>
      <c r="L2240" s="1">
        <v>43027</v>
      </c>
      <c r="M2240" s="22">
        <f>Table3[[#This Row],[Ship Date]]-Table3[[#This Row],[Order Date]]</f>
        <v>4</v>
      </c>
      <c r="N2240" s="23" t="s">
        <v>20</v>
      </c>
      <c r="O2240" s="23" t="s">
        <v>23</v>
      </c>
      <c r="P2240" s="23" t="s">
        <v>660</v>
      </c>
      <c r="Q2240" s="23" t="s">
        <v>133</v>
      </c>
      <c r="R2240" s="23" t="s">
        <v>659</v>
      </c>
      <c r="S2240" s="33">
        <v>0</v>
      </c>
      <c r="T2240" s="13">
        <v>13.05</v>
      </c>
      <c r="U2240" s="13">
        <v>6.0030000000000001</v>
      </c>
      <c r="V2240" s="55">
        <f>Table3[[#This Row],[Profit]]/Table3[[#This Row],[Sales]]</f>
        <v>0.45999999999999996</v>
      </c>
    </row>
    <row r="2241" spans="1:22" x14ac:dyDescent="0.2">
      <c r="A2241">
        <v>2240</v>
      </c>
      <c r="B2241" t="s">
        <v>8350</v>
      </c>
      <c r="C2241" s="1">
        <v>43023</v>
      </c>
      <c r="D2241" s="22">
        <f>MONTH(Table3[[#This Row],[Order Date]])</f>
        <v>10</v>
      </c>
      <c r="E2241" t="s">
        <v>1986</v>
      </c>
      <c r="F2241" t="s">
        <v>1987</v>
      </c>
      <c r="G2241" s="23" t="s">
        <v>41</v>
      </c>
      <c r="H2241" s="23" t="s">
        <v>42</v>
      </c>
      <c r="I2241" t="s">
        <v>2868</v>
      </c>
      <c r="J2241" t="s">
        <v>36</v>
      </c>
      <c r="K2241" s="22">
        <v>5</v>
      </c>
      <c r="L2241" s="1">
        <v>43028</v>
      </c>
      <c r="M2241" s="22">
        <f>Table3[[#This Row],[Ship Date]]-Table3[[#This Row],[Order Date]]</f>
        <v>5</v>
      </c>
      <c r="N2241" s="23" t="s">
        <v>45</v>
      </c>
      <c r="O2241" s="23" t="s">
        <v>23</v>
      </c>
      <c r="P2241" s="23" t="s">
        <v>38</v>
      </c>
      <c r="Q2241" s="23" t="s">
        <v>39</v>
      </c>
      <c r="R2241" s="23" t="s">
        <v>4808</v>
      </c>
      <c r="S2241" s="33">
        <v>0</v>
      </c>
      <c r="T2241" s="13">
        <v>152.65</v>
      </c>
      <c r="U2241" s="13">
        <v>70.218999999999994</v>
      </c>
      <c r="V2241" s="55">
        <f>Table3[[#This Row],[Profit]]/Table3[[#This Row],[Sales]]</f>
        <v>0.45999999999999996</v>
      </c>
    </row>
    <row r="2242" spans="1:22" x14ac:dyDescent="0.2">
      <c r="A2242">
        <v>2241</v>
      </c>
      <c r="B2242" t="s">
        <v>8350</v>
      </c>
      <c r="C2242" s="1">
        <v>43023</v>
      </c>
      <c r="D2242" s="22">
        <f>MONTH(Table3[[#This Row],[Order Date]])</f>
        <v>10</v>
      </c>
      <c r="E2242" t="s">
        <v>767</v>
      </c>
      <c r="F2242" t="s">
        <v>768</v>
      </c>
      <c r="G2242" s="23" t="s">
        <v>28</v>
      </c>
      <c r="H2242" s="23" t="s">
        <v>58</v>
      </c>
      <c r="I2242" t="s">
        <v>2868</v>
      </c>
      <c r="J2242" t="s">
        <v>36</v>
      </c>
      <c r="K2242" s="22">
        <v>1</v>
      </c>
      <c r="L2242" s="1">
        <v>43028</v>
      </c>
      <c r="M2242" s="22">
        <f>Table3[[#This Row],[Ship Date]]-Table3[[#This Row],[Order Date]]</f>
        <v>5</v>
      </c>
      <c r="N2242" s="23" t="s">
        <v>45</v>
      </c>
      <c r="O2242" s="23" t="s">
        <v>23</v>
      </c>
      <c r="P2242" s="23" t="s">
        <v>38</v>
      </c>
      <c r="Q2242" s="23" t="s">
        <v>39</v>
      </c>
      <c r="R2242" s="23" t="s">
        <v>4808</v>
      </c>
      <c r="S2242" s="33">
        <v>0</v>
      </c>
      <c r="T2242" s="13">
        <v>22.72</v>
      </c>
      <c r="U2242" s="13">
        <v>9.3152000000000008</v>
      </c>
      <c r="V2242" s="55">
        <f>Table3[[#This Row],[Profit]]/Table3[[#This Row],[Sales]]</f>
        <v>0.41000000000000003</v>
      </c>
    </row>
    <row r="2243" spans="1:22" x14ac:dyDescent="0.2">
      <c r="A2243">
        <v>2242</v>
      </c>
      <c r="B2243" t="s">
        <v>8573</v>
      </c>
      <c r="C2243" s="1">
        <v>43023</v>
      </c>
      <c r="D2243" s="22">
        <f>MONTH(Table3[[#This Row],[Order Date]])</f>
        <v>10</v>
      </c>
      <c r="E2243" t="s">
        <v>3959</v>
      </c>
      <c r="F2243" t="s">
        <v>3960</v>
      </c>
      <c r="G2243" s="23" t="s">
        <v>41</v>
      </c>
      <c r="H2243" s="23" t="s">
        <v>42</v>
      </c>
      <c r="I2243" t="s">
        <v>3765</v>
      </c>
      <c r="J2243" t="s">
        <v>22</v>
      </c>
      <c r="K2243" s="22">
        <v>3</v>
      </c>
      <c r="L2243" s="1">
        <v>43027</v>
      </c>
      <c r="M2243" s="22">
        <f>Table3[[#This Row],[Ship Date]]-Table3[[#This Row],[Order Date]]</f>
        <v>4</v>
      </c>
      <c r="N2243" s="23" t="s">
        <v>45</v>
      </c>
      <c r="O2243" s="23" t="s">
        <v>23</v>
      </c>
      <c r="P2243" s="23" t="s">
        <v>38</v>
      </c>
      <c r="Q2243" s="23" t="s">
        <v>39</v>
      </c>
      <c r="R2243" s="23" t="s">
        <v>8574</v>
      </c>
      <c r="S2243" s="33">
        <v>0</v>
      </c>
      <c r="T2243" s="13">
        <v>14.73</v>
      </c>
      <c r="U2243" s="13">
        <v>7.2176999999999998</v>
      </c>
      <c r="V2243" s="55">
        <f>Table3[[#This Row],[Profit]]/Table3[[#This Row],[Sales]]</f>
        <v>0.49</v>
      </c>
    </row>
    <row r="2244" spans="1:22" x14ac:dyDescent="0.2">
      <c r="A2244">
        <v>2243</v>
      </c>
      <c r="B2244" t="s">
        <v>8832</v>
      </c>
      <c r="C2244" s="1">
        <v>43023</v>
      </c>
      <c r="D2244" s="22">
        <f>MONTH(Table3[[#This Row],[Order Date]])</f>
        <v>10</v>
      </c>
      <c r="E2244" t="s">
        <v>6767</v>
      </c>
      <c r="F2244" t="s">
        <v>6768</v>
      </c>
      <c r="G2244" s="23" t="s">
        <v>41</v>
      </c>
      <c r="H2244" s="23" t="s">
        <v>61</v>
      </c>
      <c r="I2244" t="s">
        <v>3390</v>
      </c>
      <c r="J2244" t="s">
        <v>36</v>
      </c>
      <c r="K2244" s="22">
        <v>2</v>
      </c>
      <c r="L2244" s="1">
        <v>43027</v>
      </c>
      <c r="M2244" s="22">
        <f>Table3[[#This Row],[Ship Date]]-Table3[[#This Row],[Order Date]]</f>
        <v>4</v>
      </c>
      <c r="N2244" s="23" t="s">
        <v>45</v>
      </c>
      <c r="O2244" s="23" t="s">
        <v>23</v>
      </c>
      <c r="P2244" s="23" t="s">
        <v>109</v>
      </c>
      <c r="Q2244" s="23" t="s">
        <v>39</v>
      </c>
      <c r="R2244" s="23" t="s">
        <v>138</v>
      </c>
      <c r="S2244" s="33">
        <v>0</v>
      </c>
      <c r="T2244" s="13">
        <v>11.68</v>
      </c>
      <c r="U2244" s="13">
        <v>4.2047999999999996</v>
      </c>
      <c r="V2244" s="55">
        <f>Table3[[#This Row],[Profit]]/Table3[[#This Row],[Sales]]</f>
        <v>0.36</v>
      </c>
    </row>
    <row r="2245" spans="1:22" x14ac:dyDescent="0.2">
      <c r="A2245">
        <v>2244</v>
      </c>
      <c r="B2245" t="s">
        <v>3633</v>
      </c>
      <c r="C2245" s="1">
        <v>43024</v>
      </c>
      <c r="D2245" s="22">
        <f>MONTH(Table3[[#This Row],[Order Date]])</f>
        <v>10</v>
      </c>
      <c r="E2245" t="s">
        <v>2366</v>
      </c>
      <c r="F2245" t="s">
        <v>2367</v>
      </c>
      <c r="G2245" s="23" t="s">
        <v>41</v>
      </c>
      <c r="H2245" s="23" t="s">
        <v>68</v>
      </c>
      <c r="I2245" t="s">
        <v>3634</v>
      </c>
      <c r="J2245" t="s">
        <v>22</v>
      </c>
      <c r="K2245" s="22">
        <v>5</v>
      </c>
      <c r="L2245" s="1">
        <v>43029</v>
      </c>
      <c r="M2245" s="22">
        <f>Table3[[#This Row],[Ship Date]]-Table3[[#This Row],[Order Date]]</f>
        <v>5</v>
      </c>
      <c r="N2245" s="23" t="s">
        <v>45</v>
      </c>
      <c r="O2245" s="23" t="s">
        <v>23</v>
      </c>
      <c r="P2245" s="23" t="s">
        <v>25</v>
      </c>
      <c r="Q2245" s="23" t="s">
        <v>26</v>
      </c>
      <c r="R2245" s="23" t="s">
        <v>1294</v>
      </c>
      <c r="S2245" s="33">
        <v>0</v>
      </c>
      <c r="T2245" s="13">
        <v>124.75</v>
      </c>
      <c r="U2245" s="13">
        <v>57.384999999999998</v>
      </c>
      <c r="V2245" s="55">
        <f>Table3[[#This Row],[Profit]]/Table3[[#This Row],[Sales]]</f>
        <v>0.45999999999999996</v>
      </c>
    </row>
    <row r="2246" spans="1:22" x14ac:dyDescent="0.2">
      <c r="A2246">
        <v>2245</v>
      </c>
      <c r="B2246" t="s">
        <v>3714</v>
      </c>
      <c r="C2246" s="1">
        <v>43024</v>
      </c>
      <c r="D2246" s="22">
        <f>MONTH(Table3[[#This Row],[Order Date]])</f>
        <v>10</v>
      </c>
      <c r="E2246" t="s">
        <v>1548</v>
      </c>
      <c r="F2246" t="s">
        <v>1549</v>
      </c>
      <c r="G2246" s="23" t="s">
        <v>28</v>
      </c>
      <c r="H2246" s="23" t="s">
        <v>58</v>
      </c>
      <c r="I2246" t="s">
        <v>1522</v>
      </c>
      <c r="J2246" t="s">
        <v>36</v>
      </c>
      <c r="K2246" s="22">
        <v>13</v>
      </c>
      <c r="L2246" s="1">
        <v>43026</v>
      </c>
      <c r="M2246" s="22">
        <f>Table3[[#This Row],[Ship Date]]-Table3[[#This Row],[Order Date]]</f>
        <v>2</v>
      </c>
      <c r="N2246" s="23" t="s">
        <v>169</v>
      </c>
      <c r="O2246" s="23" t="s">
        <v>23</v>
      </c>
      <c r="P2246" s="23" t="s">
        <v>238</v>
      </c>
      <c r="Q2246" s="23" t="s">
        <v>133</v>
      </c>
      <c r="R2246" s="23" t="s">
        <v>237</v>
      </c>
      <c r="S2246" s="33">
        <v>0</v>
      </c>
      <c r="T2246" s="13">
        <v>547.29999999999995</v>
      </c>
      <c r="U2246" s="13">
        <v>175.136</v>
      </c>
      <c r="V2246" s="55">
        <f>Table3[[#This Row],[Profit]]/Table3[[#This Row],[Sales]]</f>
        <v>0.32</v>
      </c>
    </row>
    <row r="2247" spans="1:22" x14ac:dyDescent="0.2">
      <c r="A2247">
        <v>2246</v>
      </c>
      <c r="B2247" t="s">
        <v>7400</v>
      </c>
      <c r="C2247" s="1">
        <v>43024</v>
      </c>
      <c r="D2247" s="22">
        <f>MONTH(Table3[[#This Row],[Order Date]])</f>
        <v>10</v>
      </c>
      <c r="E2247" t="s">
        <v>5140</v>
      </c>
      <c r="F2247" t="s">
        <v>5141</v>
      </c>
      <c r="G2247" s="23" t="s">
        <v>41</v>
      </c>
      <c r="H2247" s="23" t="s">
        <v>82</v>
      </c>
      <c r="I2247" t="s">
        <v>2355</v>
      </c>
      <c r="J2247" t="s">
        <v>36</v>
      </c>
      <c r="K2247" s="22">
        <v>7</v>
      </c>
      <c r="L2247" s="1">
        <v>43029</v>
      </c>
      <c r="M2247" s="22">
        <f>Table3[[#This Row],[Ship Date]]-Table3[[#This Row],[Order Date]]</f>
        <v>5</v>
      </c>
      <c r="N2247" s="23" t="s">
        <v>45</v>
      </c>
      <c r="O2247" s="23" t="s">
        <v>23</v>
      </c>
      <c r="P2247" s="23" t="s">
        <v>277</v>
      </c>
      <c r="Q2247" s="23" t="s">
        <v>39</v>
      </c>
      <c r="R2247" s="23" t="s">
        <v>550</v>
      </c>
      <c r="S2247" s="33">
        <v>0.2</v>
      </c>
      <c r="T2247" s="13">
        <v>307.77600000000001</v>
      </c>
      <c r="U2247" s="13">
        <v>111.5688</v>
      </c>
      <c r="V2247" s="55">
        <f>Table3[[#This Row],[Profit]]/Table3[[#This Row],[Sales]]</f>
        <v>0.36249999999999999</v>
      </c>
    </row>
    <row r="2248" spans="1:22" x14ac:dyDescent="0.2">
      <c r="A2248">
        <v>2247</v>
      </c>
      <c r="B2248" t="s">
        <v>8616</v>
      </c>
      <c r="C2248" s="1">
        <v>43024</v>
      </c>
      <c r="D2248" s="22">
        <f>MONTH(Table3[[#This Row],[Order Date]])</f>
        <v>10</v>
      </c>
      <c r="E2248" t="s">
        <v>769</v>
      </c>
      <c r="F2248" t="s">
        <v>770</v>
      </c>
      <c r="G2248" s="23" t="s">
        <v>64</v>
      </c>
      <c r="H2248" s="23" t="s">
        <v>602</v>
      </c>
      <c r="I2248" t="s">
        <v>5686</v>
      </c>
      <c r="J2248" t="s">
        <v>92</v>
      </c>
      <c r="K2248" s="22">
        <v>5</v>
      </c>
      <c r="L2248" s="1">
        <v>43029</v>
      </c>
      <c r="M2248" s="22">
        <f>Table3[[#This Row],[Ship Date]]-Table3[[#This Row],[Order Date]]</f>
        <v>5</v>
      </c>
      <c r="N2248" s="23" t="s">
        <v>45</v>
      </c>
      <c r="O2248" s="23" t="s">
        <v>23</v>
      </c>
      <c r="P2248" s="23" t="s">
        <v>277</v>
      </c>
      <c r="Q2248" s="23" t="s">
        <v>39</v>
      </c>
      <c r="R2248" s="23" t="s">
        <v>7053</v>
      </c>
      <c r="S2248" s="33">
        <v>0.7</v>
      </c>
      <c r="T2248" s="13">
        <v>599.98500000000001</v>
      </c>
      <c r="U2248" s="13">
        <v>-479.988</v>
      </c>
      <c r="V2248" s="55">
        <f>Table3[[#This Row],[Profit]]/Table3[[#This Row],[Sales]]</f>
        <v>-0.79999999999999993</v>
      </c>
    </row>
    <row r="2249" spans="1:22" x14ac:dyDescent="0.2">
      <c r="A2249">
        <v>2248</v>
      </c>
      <c r="B2249" t="s">
        <v>9575</v>
      </c>
      <c r="C2249" s="1">
        <v>43024</v>
      </c>
      <c r="D2249" s="22">
        <f>MONTH(Table3[[#This Row],[Order Date]])</f>
        <v>10</v>
      </c>
      <c r="E2249" t="s">
        <v>415</v>
      </c>
      <c r="F2249" t="s">
        <v>416</v>
      </c>
      <c r="G2249" s="23" t="s">
        <v>64</v>
      </c>
      <c r="H2249" s="23" t="s">
        <v>144</v>
      </c>
      <c r="I2249" t="s">
        <v>8221</v>
      </c>
      <c r="J2249" t="s">
        <v>36</v>
      </c>
      <c r="K2249" s="22">
        <v>2</v>
      </c>
      <c r="L2249" s="1">
        <v>43029</v>
      </c>
      <c r="M2249" s="22">
        <f>Table3[[#This Row],[Ship Date]]-Table3[[#This Row],[Order Date]]</f>
        <v>5</v>
      </c>
      <c r="N2249" s="23" t="s">
        <v>45</v>
      </c>
      <c r="O2249" s="23" t="s">
        <v>23</v>
      </c>
      <c r="P2249" s="23" t="s">
        <v>299</v>
      </c>
      <c r="Q2249" s="23" t="s">
        <v>26</v>
      </c>
      <c r="R2249" s="23" t="s">
        <v>341</v>
      </c>
      <c r="S2249" s="33">
        <v>0.2</v>
      </c>
      <c r="T2249" s="13">
        <v>18.527999999999999</v>
      </c>
      <c r="U2249" s="13">
        <v>4.4004000000000003</v>
      </c>
      <c r="V2249" s="55">
        <f>Table3[[#This Row],[Profit]]/Table3[[#This Row],[Sales]]</f>
        <v>0.23750000000000004</v>
      </c>
    </row>
    <row r="2250" spans="1:22" x14ac:dyDescent="0.2">
      <c r="A2250">
        <v>2249</v>
      </c>
      <c r="B2250" t="s">
        <v>9575</v>
      </c>
      <c r="C2250" s="1">
        <v>43024</v>
      </c>
      <c r="D2250" s="22">
        <f>MONTH(Table3[[#This Row],[Order Date]])</f>
        <v>10</v>
      </c>
      <c r="E2250" t="s">
        <v>4704</v>
      </c>
      <c r="F2250" t="s">
        <v>4705</v>
      </c>
      <c r="G2250" s="23" t="s">
        <v>28</v>
      </c>
      <c r="H2250" s="23" t="s">
        <v>50</v>
      </c>
      <c r="I2250" t="s">
        <v>8221</v>
      </c>
      <c r="J2250" t="s">
        <v>36</v>
      </c>
      <c r="K2250" s="22">
        <v>7</v>
      </c>
      <c r="L2250" s="1">
        <v>43029</v>
      </c>
      <c r="M2250" s="22">
        <f>Table3[[#This Row],[Ship Date]]-Table3[[#This Row],[Order Date]]</f>
        <v>5</v>
      </c>
      <c r="N2250" s="23" t="s">
        <v>45</v>
      </c>
      <c r="O2250" s="23" t="s">
        <v>23</v>
      </c>
      <c r="P2250" s="23" t="s">
        <v>299</v>
      </c>
      <c r="Q2250" s="23" t="s">
        <v>26</v>
      </c>
      <c r="R2250" s="23" t="s">
        <v>341</v>
      </c>
      <c r="S2250" s="33">
        <v>0.4</v>
      </c>
      <c r="T2250" s="13">
        <v>1875.258</v>
      </c>
      <c r="U2250" s="13">
        <v>-968.88329999999996</v>
      </c>
      <c r="V2250" s="55">
        <f>Table3[[#This Row],[Profit]]/Table3[[#This Row],[Sales]]</f>
        <v>-0.51666666666666661</v>
      </c>
    </row>
    <row r="2251" spans="1:22" x14ac:dyDescent="0.2">
      <c r="A2251">
        <v>2250</v>
      </c>
      <c r="B2251" t="s">
        <v>1232</v>
      </c>
      <c r="C2251" s="1">
        <v>43025</v>
      </c>
      <c r="D2251" s="22">
        <f>MONTH(Table3[[#This Row],[Order Date]])</f>
        <v>10</v>
      </c>
      <c r="E2251" t="s">
        <v>1236</v>
      </c>
      <c r="F2251" t="s">
        <v>1237</v>
      </c>
      <c r="G2251" s="23" t="s">
        <v>41</v>
      </c>
      <c r="H2251" s="23" t="s">
        <v>53</v>
      </c>
      <c r="I2251" t="s">
        <v>1233</v>
      </c>
      <c r="J2251" t="s">
        <v>36</v>
      </c>
      <c r="K2251" s="22">
        <v>2</v>
      </c>
      <c r="L2251" s="1">
        <v>43027</v>
      </c>
      <c r="M2251" s="22">
        <f>Table3[[#This Row],[Ship Date]]-Table3[[#This Row],[Order Date]]</f>
        <v>2</v>
      </c>
      <c r="N2251" s="23" t="s">
        <v>20</v>
      </c>
      <c r="O2251" s="23" t="s">
        <v>23</v>
      </c>
      <c r="P2251" s="23" t="s">
        <v>1235</v>
      </c>
      <c r="Q2251" s="23" t="s">
        <v>133</v>
      </c>
      <c r="R2251" s="23" t="s">
        <v>1234</v>
      </c>
      <c r="S2251" s="33">
        <v>0</v>
      </c>
      <c r="T2251" s="13">
        <v>49.96</v>
      </c>
      <c r="U2251" s="13">
        <v>9.4923999999999999</v>
      </c>
      <c r="V2251" s="55">
        <f>Table3[[#This Row],[Profit]]/Table3[[#This Row],[Sales]]</f>
        <v>0.19</v>
      </c>
    </row>
    <row r="2252" spans="1:22" x14ac:dyDescent="0.2">
      <c r="A2252">
        <v>2251</v>
      </c>
      <c r="B2252" t="s">
        <v>1232</v>
      </c>
      <c r="C2252" s="1">
        <v>43025</v>
      </c>
      <c r="D2252" s="22">
        <f>MONTH(Table3[[#This Row],[Order Date]])</f>
        <v>10</v>
      </c>
      <c r="E2252" t="s">
        <v>1238</v>
      </c>
      <c r="F2252" t="s">
        <v>1239</v>
      </c>
      <c r="G2252" s="23" t="s">
        <v>41</v>
      </c>
      <c r="H2252" s="23" t="s">
        <v>82</v>
      </c>
      <c r="I2252" t="s">
        <v>1233</v>
      </c>
      <c r="J2252" t="s">
        <v>36</v>
      </c>
      <c r="K2252" s="22">
        <v>2</v>
      </c>
      <c r="L2252" s="1">
        <v>43027</v>
      </c>
      <c r="M2252" s="22">
        <f>Table3[[#This Row],[Ship Date]]-Table3[[#This Row],[Order Date]]</f>
        <v>2</v>
      </c>
      <c r="N2252" s="23" t="s">
        <v>20</v>
      </c>
      <c r="O2252" s="23" t="s">
        <v>23</v>
      </c>
      <c r="P2252" s="23" t="s">
        <v>1235</v>
      </c>
      <c r="Q2252" s="23" t="s">
        <v>133</v>
      </c>
      <c r="R2252" s="23" t="s">
        <v>1234</v>
      </c>
      <c r="S2252" s="33">
        <v>0</v>
      </c>
      <c r="T2252" s="13">
        <v>12.96</v>
      </c>
      <c r="U2252" s="13">
        <v>6.2207999999999997</v>
      </c>
      <c r="V2252" s="55">
        <f>Table3[[#This Row],[Profit]]/Table3[[#This Row],[Sales]]</f>
        <v>0.47999999999999993</v>
      </c>
    </row>
    <row r="2253" spans="1:22" x14ac:dyDescent="0.2">
      <c r="A2253">
        <v>2252</v>
      </c>
      <c r="B2253" t="s">
        <v>6291</v>
      </c>
      <c r="C2253" s="1">
        <v>43025</v>
      </c>
      <c r="D2253" s="22">
        <f>MONTH(Table3[[#This Row],[Order Date]])</f>
        <v>10</v>
      </c>
      <c r="E2253" t="s">
        <v>6292</v>
      </c>
      <c r="F2253" t="s">
        <v>6293</v>
      </c>
      <c r="G2253" s="23" t="s">
        <v>41</v>
      </c>
      <c r="H2253" s="23" t="s">
        <v>61</v>
      </c>
      <c r="I2253" t="s">
        <v>1494</v>
      </c>
      <c r="J2253" t="s">
        <v>22</v>
      </c>
      <c r="K2253" s="22">
        <v>4</v>
      </c>
      <c r="L2253" s="1">
        <v>43027</v>
      </c>
      <c r="M2253" s="22">
        <f>Table3[[#This Row],[Ship Date]]-Table3[[#This Row],[Order Date]]</f>
        <v>2</v>
      </c>
      <c r="N2253" s="23" t="s">
        <v>20</v>
      </c>
      <c r="O2253" s="23" t="s">
        <v>23</v>
      </c>
      <c r="P2253" s="23" t="s">
        <v>38</v>
      </c>
      <c r="Q2253" s="23" t="s">
        <v>39</v>
      </c>
      <c r="R2253" s="23" t="s">
        <v>836</v>
      </c>
      <c r="S2253" s="33">
        <v>0</v>
      </c>
      <c r="T2253" s="13">
        <v>10.64</v>
      </c>
      <c r="U2253" s="13">
        <v>2.7664</v>
      </c>
      <c r="V2253" s="55">
        <f>Table3[[#This Row],[Profit]]/Table3[[#This Row],[Sales]]</f>
        <v>0.26</v>
      </c>
    </row>
    <row r="2254" spans="1:22" x14ac:dyDescent="0.2">
      <c r="A2254">
        <v>2253</v>
      </c>
      <c r="B2254" t="s">
        <v>9006</v>
      </c>
      <c r="C2254" s="1">
        <v>43025</v>
      </c>
      <c r="D2254" s="22">
        <f>MONTH(Table3[[#This Row],[Order Date]])</f>
        <v>10</v>
      </c>
      <c r="E2254" t="s">
        <v>735</v>
      </c>
      <c r="F2254" t="s">
        <v>736</v>
      </c>
      <c r="G2254" s="23" t="s">
        <v>64</v>
      </c>
      <c r="H2254" s="23" t="s">
        <v>65</v>
      </c>
      <c r="I2254" t="s">
        <v>2120</v>
      </c>
      <c r="J2254" t="s">
        <v>36</v>
      </c>
      <c r="K2254" s="22">
        <v>1</v>
      </c>
      <c r="L2254" s="1">
        <v>43027</v>
      </c>
      <c r="M2254" s="22">
        <f>Table3[[#This Row],[Ship Date]]-Table3[[#This Row],[Order Date]]</f>
        <v>2</v>
      </c>
      <c r="N2254" s="23" t="s">
        <v>20</v>
      </c>
      <c r="O2254" s="23" t="s">
        <v>23</v>
      </c>
      <c r="P2254" s="23" t="s">
        <v>38</v>
      </c>
      <c r="Q2254" s="23" t="s">
        <v>39</v>
      </c>
      <c r="R2254" s="23" t="s">
        <v>8660</v>
      </c>
      <c r="S2254" s="33">
        <v>0.2</v>
      </c>
      <c r="T2254" s="13">
        <v>52.792000000000002</v>
      </c>
      <c r="U2254" s="13">
        <v>4.6193</v>
      </c>
      <c r="V2254" s="55">
        <f>Table3[[#This Row],[Profit]]/Table3[[#This Row],[Sales]]</f>
        <v>8.7499999999999994E-2</v>
      </c>
    </row>
    <row r="2255" spans="1:22" x14ac:dyDescent="0.2">
      <c r="A2255">
        <v>2254</v>
      </c>
      <c r="B2255" t="s">
        <v>163</v>
      </c>
      <c r="C2255" s="1">
        <v>43027</v>
      </c>
      <c r="D2255" s="22">
        <f>MONTH(Table3[[#This Row],[Order Date]])</f>
        <v>10</v>
      </c>
      <c r="E2255" t="s">
        <v>166</v>
      </c>
      <c r="F2255" t="s">
        <v>167</v>
      </c>
      <c r="G2255" s="23" t="s">
        <v>41</v>
      </c>
      <c r="H2255" s="23" t="s">
        <v>82</v>
      </c>
      <c r="I2255" t="s">
        <v>164</v>
      </c>
      <c r="J2255" t="s">
        <v>92</v>
      </c>
      <c r="K2255" s="22">
        <v>3</v>
      </c>
      <c r="L2255" s="1">
        <v>43031</v>
      </c>
      <c r="M2255" s="22">
        <f>Table3[[#This Row],[Ship Date]]-Table3[[#This Row],[Order Date]]</f>
        <v>4</v>
      </c>
      <c r="N2255" s="23" t="s">
        <v>20</v>
      </c>
      <c r="O2255" s="23" t="s">
        <v>23</v>
      </c>
      <c r="P2255" s="23" t="s">
        <v>94</v>
      </c>
      <c r="Q2255" s="23" t="s">
        <v>95</v>
      </c>
      <c r="R2255" s="23" t="s">
        <v>165</v>
      </c>
      <c r="S2255" s="33">
        <v>0.2</v>
      </c>
      <c r="T2255" s="13">
        <v>29.472000000000001</v>
      </c>
      <c r="U2255" s="13">
        <v>9.9467999999999996</v>
      </c>
      <c r="V2255" s="55">
        <f>Table3[[#This Row],[Profit]]/Table3[[#This Row],[Sales]]</f>
        <v>0.33749999999999997</v>
      </c>
    </row>
    <row r="2256" spans="1:22" x14ac:dyDescent="0.2">
      <c r="A2256">
        <v>2255</v>
      </c>
      <c r="B2256" t="s">
        <v>1306</v>
      </c>
      <c r="C2256" s="1">
        <v>43027</v>
      </c>
      <c r="D2256" s="22">
        <f>MONTH(Table3[[#This Row],[Order Date]])</f>
        <v>10</v>
      </c>
      <c r="E2256" t="s">
        <v>1309</v>
      </c>
      <c r="F2256" t="s">
        <v>1310</v>
      </c>
      <c r="G2256" s="23" t="s">
        <v>28</v>
      </c>
      <c r="H2256" s="23" t="s">
        <v>58</v>
      </c>
      <c r="I2256" t="s">
        <v>1307</v>
      </c>
      <c r="J2256" t="s">
        <v>36</v>
      </c>
      <c r="K2256" s="22">
        <v>4</v>
      </c>
      <c r="L2256" s="1">
        <v>43031</v>
      </c>
      <c r="M2256" s="22">
        <f>Table3[[#This Row],[Ship Date]]-Table3[[#This Row],[Order Date]]</f>
        <v>4</v>
      </c>
      <c r="N2256" s="23" t="s">
        <v>45</v>
      </c>
      <c r="O2256" s="23" t="s">
        <v>23</v>
      </c>
      <c r="P2256" s="23" t="s">
        <v>1101</v>
      </c>
      <c r="Q2256" s="23" t="s">
        <v>133</v>
      </c>
      <c r="R2256" s="23" t="s">
        <v>1308</v>
      </c>
      <c r="S2256" s="33">
        <v>0</v>
      </c>
      <c r="T2256" s="13">
        <v>56.56</v>
      </c>
      <c r="U2256" s="13">
        <v>14.7056</v>
      </c>
      <c r="V2256" s="55">
        <f>Table3[[#This Row],[Profit]]/Table3[[#This Row],[Sales]]</f>
        <v>0.26</v>
      </c>
    </row>
    <row r="2257" spans="1:22" x14ac:dyDescent="0.2">
      <c r="A2257">
        <v>2256</v>
      </c>
      <c r="B2257" t="s">
        <v>1306</v>
      </c>
      <c r="C2257" s="1">
        <v>43027</v>
      </c>
      <c r="D2257" s="22">
        <f>MONTH(Table3[[#This Row],[Order Date]])</f>
        <v>10</v>
      </c>
      <c r="E2257" t="s">
        <v>1311</v>
      </c>
      <c r="F2257" t="s">
        <v>1312</v>
      </c>
      <c r="G2257" s="23" t="s">
        <v>41</v>
      </c>
      <c r="H2257" s="23" t="s">
        <v>53</v>
      </c>
      <c r="I2257" t="s">
        <v>1307</v>
      </c>
      <c r="J2257" t="s">
        <v>36</v>
      </c>
      <c r="K2257" s="22">
        <v>3</v>
      </c>
      <c r="L2257" s="1">
        <v>43031</v>
      </c>
      <c r="M2257" s="22">
        <f>Table3[[#This Row],[Ship Date]]-Table3[[#This Row],[Order Date]]</f>
        <v>4</v>
      </c>
      <c r="N2257" s="23" t="s">
        <v>45</v>
      </c>
      <c r="O2257" s="23" t="s">
        <v>23</v>
      </c>
      <c r="P2257" s="23" t="s">
        <v>1101</v>
      </c>
      <c r="Q2257" s="23" t="s">
        <v>133</v>
      </c>
      <c r="R2257" s="23" t="s">
        <v>1308</v>
      </c>
      <c r="S2257" s="33">
        <v>0</v>
      </c>
      <c r="T2257" s="13">
        <v>32.700000000000003</v>
      </c>
      <c r="U2257" s="13">
        <v>8.5020000000000007</v>
      </c>
      <c r="V2257" s="55">
        <f>Table3[[#This Row],[Profit]]/Table3[[#This Row],[Sales]]</f>
        <v>0.26</v>
      </c>
    </row>
    <row r="2258" spans="1:22" x14ac:dyDescent="0.2">
      <c r="A2258">
        <v>2257</v>
      </c>
      <c r="B2258" t="s">
        <v>3302</v>
      </c>
      <c r="C2258" s="1">
        <v>43027</v>
      </c>
      <c r="D2258" s="22">
        <f>MONTH(Table3[[#This Row],[Order Date]])</f>
        <v>10</v>
      </c>
      <c r="E2258" t="s">
        <v>2281</v>
      </c>
      <c r="F2258" t="s">
        <v>2282</v>
      </c>
      <c r="G2258" s="23" t="s">
        <v>41</v>
      </c>
      <c r="H2258" s="23" t="s">
        <v>61</v>
      </c>
      <c r="I2258" t="s">
        <v>3303</v>
      </c>
      <c r="J2258" t="s">
        <v>36</v>
      </c>
      <c r="K2258" s="22">
        <v>7</v>
      </c>
      <c r="L2258" s="1">
        <v>43033</v>
      </c>
      <c r="M2258" s="22">
        <f>Table3[[#This Row],[Ship Date]]-Table3[[#This Row],[Order Date]]</f>
        <v>6</v>
      </c>
      <c r="N2258" s="23" t="s">
        <v>45</v>
      </c>
      <c r="O2258" s="23" t="s">
        <v>23</v>
      </c>
      <c r="P2258" s="23" t="s">
        <v>132</v>
      </c>
      <c r="Q2258" s="23" t="s">
        <v>133</v>
      </c>
      <c r="R2258" s="23" t="s">
        <v>131</v>
      </c>
      <c r="S2258" s="33">
        <v>0.2</v>
      </c>
      <c r="T2258" s="13">
        <v>123.256</v>
      </c>
      <c r="U2258" s="13">
        <v>9.2441999999999993</v>
      </c>
      <c r="V2258" s="55">
        <f>Table3[[#This Row],[Profit]]/Table3[[#This Row],[Sales]]</f>
        <v>7.4999999999999997E-2</v>
      </c>
    </row>
    <row r="2259" spans="1:22" x14ac:dyDescent="0.2">
      <c r="A2259">
        <v>2258</v>
      </c>
      <c r="B2259" t="s">
        <v>3302</v>
      </c>
      <c r="C2259" s="1">
        <v>43027</v>
      </c>
      <c r="D2259" s="22">
        <f>MONTH(Table3[[#This Row],[Order Date]])</f>
        <v>10</v>
      </c>
      <c r="E2259" t="s">
        <v>3304</v>
      </c>
      <c r="F2259" t="s">
        <v>3305</v>
      </c>
      <c r="G2259" s="23" t="s">
        <v>41</v>
      </c>
      <c r="H2259" s="23" t="s">
        <v>82</v>
      </c>
      <c r="I2259" t="s">
        <v>3303</v>
      </c>
      <c r="J2259" t="s">
        <v>36</v>
      </c>
      <c r="K2259" s="22">
        <v>4</v>
      </c>
      <c r="L2259" s="1">
        <v>43033</v>
      </c>
      <c r="M2259" s="22">
        <f>Table3[[#This Row],[Ship Date]]-Table3[[#This Row],[Order Date]]</f>
        <v>6</v>
      </c>
      <c r="N2259" s="23" t="s">
        <v>45</v>
      </c>
      <c r="O2259" s="23" t="s">
        <v>23</v>
      </c>
      <c r="P2259" s="23" t="s">
        <v>132</v>
      </c>
      <c r="Q2259" s="23" t="s">
        <v>133</v>
      </c>
      <c r="R2259" s="23" t="s">
        <v>131</v>
      </c>
      <c r="S2259" s="33">
        <v>0.2</v>
      </c>
      <c r="T2259" s="13">
        <v>23.68</v>
      </c>
      <c r="U2259" s="13">
        <v>7.4</v>
      </c>
      <c r="V2259" s="55">
        <f>Table3[[#This Row],[Profit]]/Table3[[#This Row],[Sales]]</f>
        <v>0.3125</v>
      </c>
    </row>
    <row r="2260" spans="1:22" x14ac:dyDescent="0.2">
      <c r="A2260">
        <v>2259</v>
      </c>
      <c r="B2260" t="s">
        <v>3302</v>
      </c>
      <c r="C2260" s="1">
        <v>43027</v>
      </c>
      <c r="D2260" s="22">
        <f>MONTH(Table3[[#This Row],[Order Date]])</f>
        <v>10</v>
      </c>
      <c r="E2260" t="s">
        <v>3306</v>
      </c>
      <c r="F2260" t="s">
        <v>3307</v>
      </c>
      <c r="G2260" s="23" t="s">
        <v>64</v>
      </c>
      <c r="H2260" s="23" t="s">
        <v>65</v>
      </c>
      <c r="I2260" t="s">
        <v>3303</v>
      </c>
      <c r="J2260" t="s">
        <v>36</v>
      </c>
      <c r="K2260" s="22">
        <v>4</v>
      </c>
      <c r="L2260" s="1">
        <v>43033</v>
      </c>
      <c r="M2260" s="22">
        <f>Table3[[#This Row],[Ship Date]]-Table3[[#This Row],[Order Date]]</f>
        <v>6</v>
      </c>
      <c r="N2260" s="23" t="s">
        <v>45</v>
      </c>
      <c r="O2260" s="23" t="s">
        <v>23</v>
      </c>
      <c r="P2260" s="23" t="s">
        <v>132</v>
      </c>
      <c r="Q2260" s="23" t="s">
        <v>133</v>
      </c>
      <c r="R2260" s="23" t="s">
        <v>131</v>
      </c>
      <c r="S2260" s="33">
        <v>0.4</v>
      </c>
      <c r="T2260" s="13">
        <v>309.57600000000002</v>
      </c>
      <c r="U2260" s="13">
        <v>-56.755600000000001</v>
      </c>
      <c r="V2260" s="55">
        <f>Table3[[#This Row],[Profit]]/Table3[[#This Row],[Sales]]</f>
        <v>-0.18333333333333332</v>
      </c>
    </row>
    <row r="2261" spans="1:22" x14ac:dyDescent="0.2">
      <c r="A2261">
        <v>2260</v>
      </c>
      <c r="B2261" t="s">
        <v>3829</v>
      </c>
      <c r="C2261" s="1">
        <v>43027</v>
      </c>
      <c r="D2261" s="22">
        <f>MONTH(Table3[[#This Row],[Order Date]])</f>
        <v>10</v>
      </c>
      <c r="E2261" t="s">
        <v>3830</v>
      </c>
      <c r="F2261" t="s">
        <v>3831</v>
      </c>
      <c r="G2261" s="23" t="s">
        <v>64</v>
      </c>
      <c r="H2261" s="23" t="s">
        <v>65</v>
      </c>
      <c r="I2261" t="s">
        <v>3703</v>
      </c>
      <c r="J2261" t="s">
        <v>22</v>
      </c>
      <c r="K2261" s="22">
        <v>3</v>
      </c>
      <c r="L2261" s="1">
        <v>43034</v>
      </c>
      <c r="M2261" s="22">
        <f>Table3[[#This Row],[Ship Date]]-Table3[[#This Row],[Order Date]]</f>
        <v>7</v>
      </c>
      <c r="N2261" s="23" t="s">
        <v>45</v>
      </c>
      <c r="O2261" s="23" t="s">
        <v>23</v>
      </c>
      <c r="P2261" s="23" t="s">
        <v>94</v>
      </c>
      <c r="Q2261" s="23" t="s">
        <v>95</v>
      </c>
      <c r="R2261" s="23" t="s">
        <v>165</v>
      </c>
      <c r="S2261" s="33">
        <v>0.2</v>
      </c>
      <c r="T2261" s="13">
        <v>16.68</v>
      </c>
      <c r="U2261" s="13">
        <v>5.2125000000000004</v>
      </c>
      <c r="V2261" s="55">
        <f>Table3[[#This Row],[Profit]]/Table3[[#This Row],[Sales]]</f>
        <v>0.3125</v>
      </c>
    </row>
    <row r="2262" spans="1:22" x14ac:dyDescent="0.2">
      <c r="A2262">
        <v>2261</v>
      </c>
      <c r="B2262" t="s">
        <v>5458</v>
      </c>
      <c r="C2262" s="1">
        <v>43027</v>
      </c>
      <c r="D2262" s="22">
        <f>MONTH(Table3[[#This Row],[Order Date]])</f>
        <v>10</v>
      </c>
      <c r="E2262" t="s">
        <v>1110</v>
      </c>
      <c r="F2262" t="s">
        <v>1111</v>
      </c>
      <c r="G2262" s="23" t="s">
        <v>41</v>
      </c>
      <c r="H2262" s="23" t="s">
        <v>68</v>
      </c>
      <c r="I2262" t="s">
        <v>2012</v>
      </c>
      <c r="J2262" t="s">
        <v>92</v>
      </c>
      <c r="K2262" s="22">
        <v>4</v>
      </c>
      <c r="L2262" s="1">
        <v>43034</v>
      </c>
      <c r="M2262" s="22">
        <f>Table3[[#This Row],[Ship Date]]-Table3[[#This Row],[Order Date]]</f>
        <v>7</v>
      </c>
      <c r="N2262" s="23" t="s">
        <v>45</v>
      </c>
      <c r="O2262" s="23" t="s">
        <v>23</v>
      </c>
      <c r="P2262" s="23" t="s">
        <v>80</v>
      </c>
      <c r="Q2262" s="23" t="s">
        <v>26</v>
      </c>
      <c r="R2262" s="23" t="s">
        <v>1957</v>
      </c>
      <c r="S2262" s="33">
        <v>0.7</v>
      </c>
      <c r="T2262" s="13">
        <v>1633.1880000000001</v>
      </c>
      <c r="U2262" s="13">
        <v>-1306.5504000000001</v>
      </c>
      <c r="V2262" s="55">
        <f>Table3[[#This Row],[Profit]]/Table3[[#This Row],[Sales]]</f>
        <v>-0.8</v>
      </c>
    </row>
    <row r="2263" spans="1:22" x14ac:dyDescent="0.2">
      <c r="A2263">
        <v>2262</v>
      </c>
      <c r="B2263" t="s">
        <v>5591</v>
      </c>
      <c r="C2263" s="1">
        <v>43027</v>
      </c>
      <c r="D2263" s="22">
        <f>MONTH(Table3[[#This Row],[Order Date]])</f>
        <v>10</v>
      </c>
      <c r="E2263" t="s">
        <v>4896</v>
      </c>
      <c r="F2263" t="s">
        <v>4897</v>
      </c>
      <c r="G2263" s="23" t="s">
        <v>41</v>
      </c>
      <c r="H2263" s="23" t="s">
        <v>155</v>
      </c>
      <c r="I2263" t="s">
        <v>3799</v>
      </c>
      <c r="J2263" t="s">
        <v>36</v>
      </c>
      <c r="K2263" s="22">
        <v>2</v>
      </c>
      <c r="L2263" s="1">
        <v>43032</v>
      </c>
      <c r="M2263" s="22">
        <f>Table3[[#This Row],[Ship Date]]-Table3[[#This Row],[Order Date]]</f>
        <v>5</v>
      </c>
      <c r="N2263" s="23" t="s">
        <v>20</v>
      </c>
      <c r="O2263" s="23" t="s">
        <v>23</v>
      </c>
      <c r="P2263" s="23" t="s">
        <v>38</v>
      </c>
      <c r="Q2263" s="23" t="s">
        <v>39</v>
      </c>
      <c r="R2263" s="23" t="s">
        <v>114</v>
      </c>
      <c r="S2263" s="33">
        <v>0</v>
      </c>
      <c r="T2263" s="13">
        <v>8.9600000000000009</v>
      </c>
      <c r="U2263" s="13">
        <v>4.3007999999999997</v>
      </c>
      <c r="V2263" s="55">
        <f>Table3[[#This Row],[Profit]]/Table3[[#This Row],[Sales]]</f>
        <v>0.47999999999999993</v>
      </c>
    </row>
    <row r="2264" spans="1:22" x14ac:dyDescent="0.2">
      <c r="A2264">
        <v>2263</v>
      </c>
      <c r="B2264" t="s">
        <v>5591</v>
      </c>
      <c r="C2264" s="1">
        <v>43027</v>
      </c>
      <c r="D2264" s="22">
        <f>MONTH(Table3[[#This Row],[Order Date]])</f>
        <v>10</v>
      </c>
      <c r="E2264" t="s">
        <v>3650</v>
      </c>
      <c r="F2264" t="s">
        <v>3651</v>
      </c>
      <c r="G2264" s="23" t="s">
        <v>41</v>
      </c>
      <c r="H2264" s="23" t="s">
        <v>42</v>
      </c>
      <c r="I2264" t="s">
        <v>3799</v>
      </c>
      <c r="J2264" t="s">
        <v>36</v>
      </c>
      <c r="K2264" s="22">
        <v>10</v>
      </c>
      <c r="L2264" s="1">
        <v>43032</v>
      </c>
      <c r="M2264" s="22">
        <f>Table3[[#This Row],[Ship Date]]-Table3[[#This Row],[Order Date]]</f>
        <v>5</v>
      </c>
      <c r="N2264" s="23" t="s">
        <v>20</v>
      </c>
      <c r="O2264" s="23" t="s">
        <v>23</v>
      </c>
      <c r="P2264" s="23" t="s">
        <v>38</v>
      </c>
      <c r="Q2264" s="23" t="s">
        <v>39</v>
      </c>
      <c r="R2264" s="23" t="s">
        <v>114</v>
      </c>
      <c r="S2264" s="33">
        <v>0</v>
      </c>
      <c r="T2264" s="13">
        <v>31.5</v>
      </c>
      <c r="U2264" s="13">
        <v>15.12</v>
      </c>
      <c r="V2264" s="55">
        <f>Table3[[#This Row],[Profit]]/Table3[[#This Row],[Sales]]</f>
        <v>0.48</v>
      </c>
    </row>
    <row r="2265" spans="1:22" x14ac:dyDescent="0.2">
      <c r="A2265">
        <v>2264</v>
      </c>
      <c r="B2265" t="s">
        <v>5591</v>
      </c>
      <c r="C2265" s="1">
        <v>43027</v>
      </c>
      <c r="D2265" s="22">
        <f>MONTH(Table3[[#This Row],[Order Date]])</f>
        <v>10</v>
      </c>
      <c r="E2265" t="s">
        <v>2316</v>
      </c>
      <c r="F2265" t="s">
        <v>2317</v>
      </c>
      <c r="G2265" s="23" t="s">
        <v>28</v>
      </c>
      <c r="H2265" s="23" t="s">
        <v>58</v>
      </c>
      <c r="I2265" t="s">
        <v>3799</v>
      </c>
      <c r="J2265" t="s">
        <v>36</v>
      </c>
      <c r="K2265" s="22">
        <v>2</v>
      </c>
      <c r="L2265" s="1">
        <v>43032</v>
      </c>
      <c r="M2265" s="22">
        <f>Table3[[#This Row],[Ship Date]]-Table3[[#This Row],[Order Date]]</f>
        <v>5</v>
      </c>
      <c r="N2265" s="23" t="s">
        <v>20</v>
      </c>
      <c r="O2265" s="23" t="s">
        <v>23</v>
      </c>
      <c r="P2265" s="23" t="s">
        <v>38</v>
      </c>
      <c r="Q2265" s="23" t="s">
        <v>39</v>
      </c>
      <c r="R2265" s="23" t="s">
        <v>114</v>
      </c>
      <c r="S2265" s="33">
        <v>0</v>
      </c>
      <c r="T2265" s="13">
        <v>30.56</v>
      </c>
      <c r="U2265" s="13">
        <v>10.3904</v>
      </c>
      <c r="V2265" s="55">
        <f>Table3[[#This Row],[Profit]]/Table3[[#This Row],[Sales]]</f>
        <v>0.34</v>
      </c>
    </row>
    <row r="2266" spans="1:22" x14ac:dyDescent="0.2">
      <c r="A2266">
        <v>2265</v>
      </c>
      <c r="B2266" t="s">
        <v>5591</v>
      </c>
      <c r="C2266" s="1">
        <v>43027</v>
      </c>
      <c r="D2266" s="22">
        <f>MONTH(Table3[[#This Row],[Order Date]])</f>
        <v>10</v>
      </c>
      <c r="E2266" t="s">
        <v>5592</v>
      </c>
      <c r="F2266" t="s">
        <v>5593</v>
      </c>
      <c r="G2266" s="23" t="s">
        <v>28</v>
      </c>
      <c r="H2266" s="23" t="s">
        <v>50</v>
      </c>
      <c r="I2266" t="s">
        <v>3799</v>
      </c>
      <c r="J2266" t="s">
        <v>36</v>
      </c>
      <c r="K2266" s="22">
        <v>2</v>
      </c>
      <c r="L2266" s="1">
        <v>43032</v>
      </c>
      <c r="M2266" s="22">
        <f>Table3[[#This Row],[Ship Date]]-Table3[[#This Row],[Order Date]]</f>
        <v>5</v>
      </c>
      <c r="N2266" s="23" t="s">
        <v>20</v>
      </c>
      <c r="O2266" s="23" t="s">
        <v>23</v>
      </c>
      <c r="P2266" s="23" t="s">
        <v>38</v>
      </c>
      <c r="Q2266" s="23" t="s">
        <v>39</v>
      </c>
      <c r="R2266" s="23" t="s">
        <v>114</v>
      </c>
      <c r="S2266" s="33">
        <v>0.2</v>
      </c>
      <c r="T2266" s="13">
        <v>24.367999999999999</v>
      </c>
      <c r="U2266" s="13">
        <v>-3.3506</v>
      </c>
      <c r="V2266" s="55">
        <f>Table3[[#This Row],[Profit]]/Table3[[#This Row],[Sales]]</f>
        <v>-0.13750000000000001</v>
      </c>
    </row>
    <row r="2267" spans="1:22" x14ac:dyDescent="0.2">
      <c r="A2267">
        <v>2266</v>
      </c>
      <c r="B2267" t="s">
        <v>7120</v>
      </c>
      <c r="C2267" s="1">
        <v>43027</v>
      </c>
      <c r="D2267" s="22">
        <f>MONTH(Table3[[#This Row],[Order Date]])</f>
        <v>10</v>
      </c>
      <c r="E2267" t="s">
        <v>3327</v>
      </c>
      <c r="F2267" t="s">
        <v>3328</v>
      </c>
      <c r="G2267" s="23" t="s">
        <v>28</v>
      </c>
      <c r="H2267" s="23" t="s">
        <v>50</v>
      </c>
      <c r="I2267" t="s">
        <v>2719</v>
      </c>
      <c r="J2267" t="s">
        <v>22</v>
      </c>
      <c r="K2267" s="22">
        <v>1</v>
      </c>
      <c r="L2267" s="1">
        <v>43031</v>
      </c>
      <c r="M2267" s="22">
        <f>Table3[[#This Row],[Ship Date]]-Table3[[#This Row],[Order Date]]</f>
        <v>4</v>
      </c>
      <c r="N2267" s="23" t="s">
        <v>45</v>
      </c>
      <c r="O2267" s="23" t="s">
        <v>23</v>
      </c>
      <c r="P2267" s="23" t="s">
        <v>189</v>
      </c>
      <c r="Q2267" s="23" t="s">
        <v>95</v>
      </c>
      <c r="R2267" s="23" t="s">
        <v>271</v>
      </c>
      <c r="S2267" s="33">
        <v>0.5</v>
      </c>
      <c r="T2267" s="13">
        <v>91.275000000000006</v>
      </c>
      <c r="U2267" s="13">
        <v>-67.543499999999995</v>
      </c>
      <c r="V2267" s="55">
        <f>Table3[[#This Row],[Profit]]/Table3[[#This Row],[Sales]]</f>
        <v>-0.73999999999999988</v>
      </c>
    </row>
    <row r="2268" spans="1:22" x14ac:dyDescent="0.2">
      <c r="A2268">
        <v>2267</v>
      </c>
      <c r="B2268" t="s">
        <v>7289</v>
      </c>
      <c r="C2268" s="1">
        <v>43027</v>
      </c>
      <c r="D2268" s="22">
        <f>MONTH(Table3[[#This Row],[Order Date]])</f>
        <v>10</v>
      </c>
      <c r="E2268" t="s">
        <v>5554</v>
      </c>
      <c r="F2268" t="s">
        <v>5555</v>
      </c>
      <c r="G2268" s="23" t="s">
        <v>41</v>
      </c>
      <c r="H2268" s="23" t="s">
        <v>68</v>
      </c>
      <c r="I2268" t="s">
        <v>1810</v>
      </c>
      <c r="J2268" t="s">
        <v>22</v>
      </c>
      <c r="K2268" s="22">
        <v>2</v>
      </c>
      <c r="L2268" s="1">
        <v>43032</v>
      </c>
      <c r="M2268" s="22">
        <f>Table3[[#This Row],[Ship Date]]-Table3[[#This Row],[Order Date]]</f>
        <v>5</v>
      </c>
      <c r="N2268" s="23" t="s">
        <v>45</v>
      </c>
      <c r="O2268" s="23" t="s">
        <v>23</v>
      </c>
      <c r="P2268" s="23" t="s">
        <v>94</v>
      </c>
      <c r="Q2268" s="23" t="s">
        <v>95</v>
      </c>
      <c r="R2268" s="23" t="s">
        <v>7290</v>
      </c>
      <c r="S2268" s="33">
        <v>0.8</v>
      </c>
      <c r="T2268" s="13">
        <v>2.0720000000000001</v>
      </c>
      <c r="U2268" s="13">
        <v>-3.5224000000000002</v>
      </c>
      <c r="V2268" s="55">
        <f>Table3[[#This Row],[Profit]]/Table3[[#This Row],[Sales]]</f>
        <v>-1.7</v>
      </c>
    </row>
    <row r="2269" spans="1:22" x14ac:dyDescent="0.2">
      <c r="A2269">
        <v>2268</v>
      </c>
      <c r="B2269" t="s">
        <v>7289</v>
      </c>
      <c r="C2269" s="1">
        <v>43027</v>
      </c>
      <c r="D2269" s="22">
        <f>MONTH(Table3[[#This Row],[Order Date]])</f>
        <v>10</v>
      </c>
      <c r="E2269" t="s">
        <v>6492</v>
      </c>
      <c r="F2269" t="s">
        <v>6493</v>
      </c>
      <c r="G2269" s="23" t="s">
        <v>28</v>
      </c>
      <c r="H2269" s="23" t="s">
        <v>29</v>
      </c>
      <c r="I2269" t="s">
        <v>1810</v>
      </c>
      <c r="J2269" t="s">
        <v>22</v>
      </c>
      <c r="K2269" s="22">
        <v>3</v>
      </c>
      <c r="L2269" s="1">
        <v>43032</v>
      </c>
      <c r="M2269" s="22">
        <f>Table3[[#This Row],[Ship Date]]-Table3[[#This Row],[Order Date]]</f>
        <v>5</v>
      </c>
      <c r="N2269" s="23" t="s">
        <v>45</v>
      </c>
      <c r="O2269" s="23" t="s">
        <v>23</v>
      </c>
      <c r="P2269" s="23" t="s">
        <v>94</v>
      </c>
      <c r="Q2269" s="23" t="s">
        <v>95</v>
      </c>
      <c r="R2269" s="23" t="s">
        <v>7290</v>
      </c>
      <c r="S2269" s="33">
        <v>0.32</v>
      </c>
      <c r="T2269" s="13">
        <v>328.39920000000001</v>
      </c>
      <c r="U2269" s="13">
        <v>-91.758600000000001</v>
      </c>
      <c r="V2269" s="55">
        <f>Table3[[#This Row],[Profit]]/Table3[[#This Row],[Sales]]</f>
        <v>-0.27941176470588236</v>
      </c>
    </row>
    <row r="2270" spans="1:22" x14ac:dyDescent="0.2">
      <c r="A2270">
        <v>2269</v>
      </c>
      <c r="B2270" t="s">
        <v>10004</v>
      </c>
      <c r="C2270" s="1">
        <v>43027</v>
      </c>
      <c r="D2270" s="22">
        <f>MONTH(Table3[[#This Row],[Order Date]])</f>
        <v>10</v>
      </c>
      <c r="E2270" t="s">
        <v>2507</v>
      </c>
      <c r="F2270" t="s">
        <v>2508</v>
      </c>
      <c r="G2270" s="23" t="s">
        <v>41</v>
      </c>
      <c r="H2270" s="23" t="s">
        <v>68</v>
      </c>
      <c r="I2270" t="s">
        <v>4316</v>
      </c>
      <c r="J2270" t="s">
        <v>22</v>
      </c>
      <c r="K2270" s="22">
        <v>3</v>
      </c>
      <c r="L2270" s="1">
        <v>43031</v>
      </c>
      <c r="M2270" s="22">
        <f>Table3[[#This Row],[Ship Date]]-Table3[[#This Row],[Order Date]]</f>
        <v>4</v>
      </c>
      <c r="N2270" s="23" t="s">
        <v>45</v>
      </c>
      <c r="O2270" s="23" t="s">
        <v>23</v>
      </c>
      <c r="P2270" s="23" t="s">
        <v>38</v>
      </c>
      <c r="Q2270" s="23" t="s">
        <v>39</v>
      </c>
      <c r="R2270" s="23" t="s">
        <v>114</v>
      </c>
      <c r="S2270" s="33">
        <v>0.2</v>
      </c>
      <c r="T2270" s="13">
        <v>39.624000000000002</v>
      </c>
      <c r="U2270" s="13">
        <v>13.868399999999999</v>
      </c>
      <c r="V2270" s="55">
        <f>Table3[[#This Row],[Profit]]/Table3[[#This Row],[Sales]]</f>
        <v>0.35</v>
      </c>
    </row>
    <row r="2271" spans="1:22" x14ac:dyDescent="0.2">
      <c r="A2271">
        <v>2270</v>
      </c>
      <c r="B2271" t="s">
        <v>1393</v>
      </c>
      <c r="C2271" s="1">
        <v>43028</v>
      </c>
      <c r="D2271" s="22">
        <f>MONTH(Table3[[#This Row],[Order Date]])</f>
        <v>10</v>
      </c>
      <c r="E2271" t="s">
        <v>73</v>
      </c>
      <c r="F2271" t="s">
        <v>74</v>
      </c>
      <c r="G2271" s="23" t="s">
        <v>28</v>
      </c>
      <c r="H2271" s="23" t="s">
        <v>50</v>
      </c>
      <c r="I2271" t="s">
        <v>1394</v>
      </c>
      <c r="J2271" t="s">
        <v>36</v>
      </c>
      <c r="K2271" s="22">
        <v>2</v>
      </c>
      <c r="L2271" s="1">
        <v>43032</v>
      </c>
      <c r="M2271" s="22">
        <f>Table3[[#This Row],[Ship Date]]-Table3[[#This Row],[Order Date]]</f>
        <v>4</v>
      </c>
      <c r="N2271" s="23" t="s">
        <v>45</v>
      </c>
      <c r="O2271" s="23" t="s">
        <v>23</v>
      </c>
      <c r="P2271" s="23" t="s">
        <v>441</v>
      </c>
      <c r="Q2271" s="23" t="s">
        <v>133</v>
      </c>
      <c r="R2271" s="23" t="s">
        <v>706</v>
      </c>
      <c r="S2271" s="33">
        <v>0.4</v>
      </c>
      <c r="T2271" s="13">
        <v>284.36399999999998</v>
      </c>
      <c r="U2271" s="13">
        <v>-75.830399999999997</v>
      </c>
      <c r="V2271" s="55">
        <f>Table3[[#This Row],[Profit]]/Table3[[#This Row],[Sales]]</f>
        <v>-0.26666666666666666</v>
      </c>
    </row>
    <row r="2272" spans="1:22" x14ac:dyDescent="0.2">
      <c r="A2272">
        <v>2271</v>
      </c>
      <c r="B2272" t="s">
        <v>1393</v>
      </c>
      <c r="C2272" s="1">
        <v>43028</v>
      </c>
      <c r="D2272" s="22">
        <f>MONTH(Table3[[#This Row],[Order Date]])</f>
        <v>10</v>
      </c>
      <c r="E2272" t="s">
        <v>1395</v>
      </c>
      <c r="F2272" t="s">
        <v>1396</v>
      </c>
      <c r="G2272" s="23" t="s">
        <v>41</v>
      </c>
      <c r="H2272" s="23" t="s">
        <v>53</v>
      </c>
      <c r="I2272" t="s">
        <v>1394</v>
      </c>
      <c r="J2272" t="s">
        <v>36</v>
      </c>
      <c r="K2272" s="22">
        <v>2</v>
      </c>
      <c r="L2272" s="1">
        <v>43032</v>
      </c>
      <c r="M2272" s="22">
        <f>Table3[[#This Row],[Ship Date]]-Table3[[#This Row],[Order Date]]</f>
        <v>4</v>
      </c>
      <c r="N2272" s="23" t="s">
        <v>45</v>
      </c>
      <c r="O2272" s="23" t="s">
        <v>23</v>
      </c>
      <c r="P2272" s="23" t="s">
        <v>441</v>
      </c>
      <c r="Q2272" s="23" t="s">
        <v>133</v>
      </c>
      <c r="R2272" s="23" t="s">
        <v>706</v>
      </c>
      <c r="S2272" s="33">
        <v>0.2</v>
      </c>
      <c r="T2272" s="13">
        <v>665.40800000000002</v>
      </c>
      <c r="U2272" s="13">
        <v>66.540800000000004</v>
      </c>
      <c r="V2272" s="55">
        <f>Table3[[#This Row],[Profit]]/Table3[[#This Row],[Sales]]</f>
        <v>0.1</v>
      </c>
    </row>
    <row r="2273" spans="1:22" x14ac:dyDescent="0.2">
      <c r="A2273">
        <v>2272</v>
      </c>
      <c r="B2273" t="s">
        <v>5321</v>
      </c>
      <c r="C2273" s="1">
        <v>43028</v>
      </c>
      <c r="D2273" s="22">
        <f>MONTH(Table3[[#This Row],[Order Date]])</f>
        <v>10</v>
      </c>
      <c r="E2273" t="s">
        <v>4311</v>
      </c>
      <c r="F2273" t="s">
        <v>4312</v>
      </c>
      <c r="G2273" s="23" t="s">
        <v>41</v>
      </c>
      <c r="H2273" s="23" t="s">
        <v>61</v>
      </c>
      <c r="I2273" t="s">
        <v>3628</v>
      </c>
      <c r="J2273" t="s">
        <v>22</v>
      </c>
      <c r="K2273" s="22">
        <v>4</v>
      </c>
      <c r="L2273" s="1">
        <v>43035</v>
      </c>
      <c r="M2273" s="22">
        <f>Table3[[#This Row],[Ship Date]]-Table3[[#This Row],[Order Date]]</f>
        <v>7</v>
      </c>
      <c r="N2273" s="23" t="s">
        <v>45</v>
      </c>
      <c r="O2273" s="23" t="s">
        <v>23</v>
      </c>
      <c r="P2273" s="23" t="s">
        <v>1510</v>
      </c>
      <c r="Q2273" s="23" t="s">
        <v>26</v>
      </c>
      <c r="R2273" s="23" t="s">
        <v>4562</v>
      </c>
      <c r="S2273" s="33">
        <v>0</v>
      </c>
      <c r="T2273" s="13">
        <v>13.36</v>
      </c>
      <c r="U2273" s="13">
        <v>4.1416000000000004</v>
      </c>
      <c r="V2273" s="55">
        <f>Table3[[#This Row],[Profit]]/Table3[[#This Row],[Sales]]</f>
        <v>0.31000000000000005</v>
      </c>
    </row>
    <row r="2274" spans="1:22" x14ac:dyDescent="0.2">
      <c r="A2274">
        <v>2273</v>
      </c>
      <c r="B2274" t="s">
        <v>5321</v>
      </c>
      <c r="C2274" s="1">
        <v>43028</v>
      </c>
      <c r="D2274" s="22">
        <f>MONTH(Table3[[#This Row],[Order Date]])</f>
        <v>10</v>
      </c>
      <c r="E2274" t="s">
        <v>2334</v>
      </c>
      <c r="F2274" t="s">
        <v>2335</v>
      </c>
      <c r="G2274" s="23" t="s">
        <v>41</v>
      </c>
      <c r="H2274" s="23" t="s">
        <v>82</v>
      </c>
      <c r="I2274" t="s">
        <v>3628</v>
      </c>
      <c r="J2274" t="s">
        <v>22</v>
      </c>
      <c r="K2274" s="22">
        <v>2</v>
      </c>
      <c r="L2274" s="1">
        <v>43035</v>
      </c>
      <c r="M2274" s="22">
        <f>Table3[[#This Row],[Ship Date]]-Table3[[#This Row],[Order Date]]</f>
        <v>7</v>
      </c>
      <c r="N2274" s="23" t="s">
        <v>45</v>
      </c>
      <c r="O2274" s="23" t="s">
        <v>23</v>
      </c>
      <c r="P2274" s="23" t="s">
        <v>1510</v>
      </c>
      <c r="Q2274" s="23" t="s">
        <v>26</v>
      </c>
      <c r="R2274" s="23" t="s">
        <v>4562</v>
      </c>
      <c r="S2274" s="33">
        <v>0</v>
      </c>
      <c r="T2274" s="13">
        <v>39.96</v>
      </c>
      <c r="U2274" s="13">
        <v>18.781199999999998</v>
      </c>
      <c r="V2274" s="55">
        <f>Table3[[#This Row],[Profit]]/Table3[[#This Row],[Sales]]</f>
        <v>0.47</v>
      </c>
    </row>
    <row r="2275" spans="1:22" x14ac:dyDescent="0.2">
      <c r="A2275">
        <v>2274</v>
      </c>
      <c r="B2275" t="s">
        <v>5321</v>
      </c>
      <c r="C2275" s="1">
        <v>43028</v>
      </c>
      <c r="D2275" s="22">
        <f>MONTH(Table3[[#This Row],[Order Date]])</f>
        <v>10</v>
      </c>
      <c r="E2275" t="s">
        <v>2422</v>
      </c>
      <c r="F2275" t="s">
        <v>2423</v>
      </c>
      <c r="G2275" s="23" t="s">
        <v>41</v>
      </c>
      <c r="H2275" s="23" t="s">
        <v>68</v>
      </c>
      <c r="I2275" t="s">
        <v>3628</v>
      </c>
      <c r="J2275" t="s">
        <v>22</v>
      </c>
      <c r="K2275" s="22">
        <v>5</v>
      </c>
      <c r="L2275" s="1">
        <v>43035</v>
      </c>
      <c r="M2275" s="22">
        <f>Table3[[#This Row],[Ship Date]]-Table3[[#This Row],[Order Date]]</f>
        <v>7</v>
      </c>
      <c r="N2275" s="23" t="s">
        <v>45</v>
      </c>
      <c r="O2275" s="23" t="s">
        <v>23</v>
      </c>
      <c r="P2275" s="23" t="s">
        <v>1510</v>
      </c>
      <c r="Q2275" s="23" t="s">
        <v>26</v>
      </c>
      <c r="R2275" s="23" t="s">
        <v>4562</v>
      </c>
      <c r="S2275" s="33">
        <v>0</v>
      </c>
      <c r="T2275" s="13">
        <v>145.85</v>
      </c>
      <c r="U2275" s="13">
        <v>70.007999999999996</v>
      </c>
      <c r="V2275" s="55">
        <f>Table3[[#This Row],[Profit]]/Table3[[#This Row],[Sales]]</f>
        <v>0.48</v>
      </c>
    </row>
    <row r="2276" spans="1:22" x14ac:dyDescent="0.2">
      <c r="A2276">
        <v>2275</v>
      </c>
      <c r="B2276" t="s">
        <v>5712</v>
      </c>
      <c r="C2276" s="1">
        <v>43028</v>
      </c>
      <c r="D2276" s="22">
        <f>MONTH(Table3[[#This Row],[Order Date]])</f>
        <v>10</v>
      </c>
      <c r="E2276" t="s">
        <v>4149</v>
      </c>
      <c r="F2276" t="s">
        <v>4150</v>
      </c>
      <c r="G2276" s="23" t="s">
        <v>41</v>
      </c>
      <c r="H2276" s="23" t="s">
        <v>42</v>
      </c>
      <c r="I2276" t="s">
        <v>540</v>
      </c>
      <c r="J2276" t="s">
        <v>36</v>
      </c>
      <c r="K2276" s="22">
        <v>1</v>
      </c>
      <c r="L2276" s="1">
        <v>43030</v>
      </c>
      <c r="M2276" s="22">
        <f>Table3[[#This Row],[Ship Date]]-Table3[[#This Row],[Order Date]]</f>
        <v>2</v>
      </c>
      <c r="N2276" s="23" t="s">
        <v>20</v>
      </c>
      <c r="O2276" s="23" t="s">
        <v>23</v>
      </c>
      <c r="P2276" s="23" t="s">
        <v>38</v>
      </c>
      <c r="Q2276" s="23" t="s">
        <v>39</v>
      </c>
      <c r="R2276" s="23" t="s">
        <v>5713</v>
      </c>
      <c r="S2276" s="33">
        <v>0</v>
      </c>
      <c r="T2276" s="13">
        <v>3.75</v>
      </c>
      <c r="U2276" s="13">
        <v>1.8</v>
      </c>
      <c r="V2276" s="55">
        <f>Table3[[#This Row],[Profit]]/Table3[[#This Row],[Sales]]</f>
        <v>0.48000000000000004</v>
      </c>
    </row>
    <row r="2277" spans="1:22" x14ac:dyDescent="0.2">
      <c r="A2277">
        <v>2276</v>
      </c>
      <c r="B2277" t="s">
        <v>5712</v>
      </c>
      <c r="C2277" s="1">
        <v>43028</v>
      </c>
      <c r="D2277" s="22">
        <f>MONTH(Table3[[#This Row],[Order Date]])</f>
        <v>10</v>
      </c>
      <c r="E2277" t="s">
        <v>5714</v>
      </c>
      <c r="F2277" t="s">
        <v>5715</v>
      </c>
      <c r="G2277" s="23" t="s">
        <v>41</v>
      </c>
      <c r="H2277" s="23" t="s">
        <v>68</v>
      </c>
      <c r="I2277" t="s">
        <v>540</v>
      </c>
      <c r="J2277" t="s">
        <v>36</v>
      </c>
      <c r="K2277" s="22">
        <v>4</v>
      </c>
      <c r="L2277" s="1">
        <v>43030</v>
      </c>
      <c r="M2277" s="22">
        <f>Table3[[#This Row],[Ship Date]]-Table3[[#This Row],[Order Date]]</f>
        <v>2</v>
      </c>
      <c r="N2277" s="23" t="s">
        <v>20</v>
      </c>
      <c r="O2277" s="23" t="s">
        <v>23</v>
      </c>
      <c r="P2277" s="23" t="s">
        <v>38</v>
      </c>
      <c r="Q2277" s="23" t="s">
        <v>39</v>
      </c>
      <c r="R2277" s="23" t="s">
        <v>5713</v>
      </c>
      <c r="S2277" s="33">
        <v>0.2</v>
      </c>
      <c r="T2277" s="13">
        <v>20.928000000000001</v>
      </c>
      <c r="U2277" s="13">
        <v>7.5864000000000003</v>
      </c>
      <c r="V2277" s="55">
        <f>Table3[[#This Row],[Profit]]/Table3[[#This Row],[Sales]]</f>
        <v>0.36249999999999999</v>
      </c>
    </row>
    <row r="2278" spans="1:22" x14ac:dyDescent="0.2">
      <c r="A2278">
        <v>2277</v>
      </c>
      <c r="B2278" t="s">
        <v>7348</v>
      </c>
      <c r="C2278" s="1">
        <v>43028</v>
      </c>
      <c r="D2278" s="22">
        <f>MONTH(Table3[[#This Row],[Order Date]])</f>
        <v>10</v>
      </c>
      <c r="E2278" t="s">
        <v>2198</v>
      </c>
      <c r="F2278" t="s">
        <v>2199</v>
      </c>
      <c r="G2278" s="23" t="s">
        <v>41</v>
      </c>
      <c r="H2278" s="23" t="s">
        <v>82</v>
      </c>
      <c r="I2278" t="s">
        <v>164</v>
      </c>
      <c r="J2278" t="s">
        <v>92</v>
      </c>
      <c r="K2278" s="22">
        <v>3</v>
      </c>
      <c r="L2278" s="1">
        <v>43034</v>
      </c>
      <c r="M2278" s="22">
        <f>Table3[[#This Row],[Ship Date]]-Table3[[#This Row],[Order Date]]</f>
        <v>6</v>
      </c>
      <c r="N2278" s="23" t="s">
        <v>45</v>
      </c>
      <c r="O2278" s="23" t="s">
        <v>23</v>
      </c>
      <c r="P2278" s="23" t="s">
        <v>132</v>
      </c>
      <c r="Q2278" s="23" t="s">
        <v>133</v>
      </c>
      <c r="R2278" s="23" t="s">
        <v>131</v>
      </c>
      <c r="S2278" s="33">
        <v>0.2</v>
      </c>
      <c r="T2278" s="13">
        <v>45.527999999999999</v>
      </c>
      <c r="U2278" s="13">
        <v>15.934799999999999</v>
      </c>
      <c r="V2278" s="55">
        <f>Table3[[#This Row],[Profit]]/Table3[[#This Row],[Sales]]</f>
        <v>0.35</v>
      </c>
    </row>
    <row r="2279" spans="1:22" x14ac:dyDescent="0.2">
      <c r="A2279">
        <v>2278</v>
      </c>
      <c r="B2279" t="s">
        <v>8070</v>
      </c>
      <c r="C2279" s="1">
        <v>43028</v>
      </c>
      <c r="D2279" s="22">
        <f>MONTH(Table3[[#This Row],[Order Date]])</f>
        <v>10</v>
      </c>
      <c r="E2279" t="s">
        <v>3959</v>
      </c>
      <c r="F2279" t="s">
        <v>3960</v>
      </c>
      <c r="G2279" s="23" t="s">
        <v>41</v>
      </c>
      <c r="H2279" s="23" t="s">
        <v>42</v>
      </c>
      <c r="I2279" t="s">
        <v>391</v>
      </c>
      <c r="J2279" t="s">
        <v>92</v>
      </c>
      <c r="K2279" s="22">
        <v>5</v>
      </c>
      <c r="L2279" s="1">
        <v>43028</v>
      </c>
      <c r="M2279" s="22">
        <f>Table3[[#This Row],[Ship Date]]-Table3[[#This Row],[Order Date]]</f>
        <v>0</v>
      </c>
      <c r="N2279" s="23" t="s">
        <v>1141</v>
      </c>
      <c r="O2279" s="23" t="s">
        <v>23</v>
      </c>
      <c r="P2279" s="23" t="s">
        <v>238</v>
      </c>
      <c r="Q2279" s="23" t="s">
        <v>133</v>
      </c>
      <c r="R2279" s="23" t="s">
        <v>237</v>
      </c>
      <c r="S2279" s="33">
        <v>0</v>
      </c>
      <c r="T2279" s="13">
        <v>24.55</v>
      </c>
      <c r="U2279" s="13">
        <v>12.029500000000001</v>
      </c>
      <c r="V2279" s="55">
        <f>Table3[[#This Row],[Profit]]/Table3[[#This Row],[Sales]]</f>
        <v>0.49</v>
      </c>
    </row>
    <row r="2280" spans="1:22" x14ac:dyDescent="0.2">
      <c r="A2280">
        <v>2279</v>
      </c>
      <c r="B2280" t="s">
        <v>9128</v>
      </c>
      <c r="C2280" s="1">
        <v>43028</v>
      </c>
      <c r="D2280" s="22">
        <f>MONTH(Table3[[#This Row],[Order Date]])</f>
        <v>10</v>
      </c>
      <c r="E2280" t="s">
        <v>1338</v>
      </c>
      <c r="F2280" t="s">
        <v>1339</v>
      </c>
      <c r="G2280" s="23" t="s">
        <v>41</v>
      </c>
      <c r="H2280" s="23" t="s">
        <v>53</v>
      </c>
      <c r="I2280" t="s">
        <v>5690</v>
      </c>
      <c r="J2280" t="s">
        <v>22</v>
      </c>
      <c r="K2280" s="22">
        <v>2</v>
      </c>
      <c r="L2280" s="1">
        <v>43028</v>
      </c>
      <c r="M2280" s="22">
        <f>Table3[[#This Row],[Ship Date]]-Table3[[#This Row],[Order Date]]</f>
        <v>0</v>
      </c>
      <c r="N2280" s="23" t="s">
        <v>1141</v>
      </c>
      <c r="O2280" s="23" t="s">
        <v>23</v>
      </c>
      <c r="P2280" s="23" t="s">
        <v>48</v>
      </c>
      <c r="Q2280" s="23" t="s">
        <v>26</v>
      </c>
      <c r="R2280" s="23" t="s">
        <v>1345</v>
      </c>
      <c r="S2280" s="33">
        <v>0.2</v>
      </c>
      <c r="T2280" s="13">
        <v>4.7679999999999998</v>
      </c>
      <c r="U2280" s="13">
        <v>-0.77480000000000004</v>
      </c>
      <c r="V2280" s="55">
        <f>Table3[[#This Row],[Profit]]/Table3[[#This Row],[Sales]]</f>
        <v>-0.16250000000000001</v>
      </c>
    </row>
    <row r="2281" spans="1:22" x14ac:dyDescent="0.2">
      <c r="A2281">
        <v>2280</v>
      </c>
      <c r="B2281" t="s">
        <v>9128</v>
      </c>
      <c r="C2281" s="1">
        <v>43028</v>
      </c>
      <c r="D2281" s="22">
        <f>MONTH(Table3[[#This Row],[Order Date]])</f>
        <v>10</v>
      </c>
      <c r="E2281" t="s">
        <v>4744</v>
      </c>
      <c r="F2281" t="s">
        <v>4745</v>
      </c>
      <c r="G2281" s="23" t="s">
        <v>41</v>
      </c>
      <c r="H2281" s="23" t="s">
        <v>82</v>
      </c>
      <c r="I2281" t="s">
        <v>5690</v>
      </c>
      <c r="J2281" t="s">
        <v>22</v>
      </c>
      <c r="K2281" s="22">
        <v>1</v>
      </c>
      <c r="L2281" s="1">
        <v>43028</v>
      </c>
      <c r="M2281" s="22">
        <f>Table3[[#This Row],[Ship Date]]-Table3[[#This Row],[Order Date]]</f>
        <v>0</v>
      </c>
      <c r="N2281" s="23" t="s">
        <v>1141</v>
      </c>
      <c r="O2281" s="23" t="s">
        <v>23</v>
      </c>
      <c r="P2281" s="23" t="s">
        <v>48</v>
      </c>
      <c r="Q2281" s="23" t="s">
        <v>26</v>
      </c>
      <c r="R2281" s="23" t="s">
        <v>1345</v>
      </c>
      <c r="S2281" s="33">
        <v>0.2</v>
      </c>
      <c r="T2281" s="13">
        <v>6.6719999999999997</v>
      </c>
      <c r="U2281" s="13">
        <v>2.5019999999999998</v>
      </c>
      <c r="V2281" s="55">
        <f>Table3[[#This Row],[Profit]]/Table3[[#This Row],[Sales]]</f>
        <v>0.375</v>
      </c>
    </row>
    <row r="2282" spans="1:22" x14ac:dyDescent="0.2">
      <c r="A2282">
        <v>2281</v>
      </c>
      <c r="B2282" t="s">
        <v>9128</v>
      </c>
      <c r="C2282" s="1">
        <v>43028</v>
      </c>
      <c r="D2282" s="22">
        <f>MONTH(Table3[[#This Row],[Order Date]])</f>
        <v>10</v>
      </c>
      <c r="E2282" t="s">
        <v>3725</v>
      </c>
      <c r="F2282" t="s">
        <v>3726</v>
      </c>
      <c r="G2282" s="23" t="s">
        <v>41</v>
      </c>
      <c r="H2282" s="23" t="s">
        <v>61</v>
      </c>
      <c r="I2282" t="s">
        <v>5690</v>
      </c>
      <c r="J2282" t="s">
        <v>22</v>
      </c>
      <c r="K2282" s="22">
        <v>2</v>
      </c>
      <c r="L2282" s="1">
        <v>43028</v>
      </c>
      <c r="M2282" s="22">
        <f>Table3[[#This Row],[Ship Date]]-Table3[[#This Row],[Order Date]]</f>
        <v>0</v>
      </c>
      <c r="N2282" s="23" t="s">
        <v>1141</v>
      </c>
      <c r="O2282" s="23" t="s">
        <v>23</v>
      </c>
      <c r="P2282" s="23" t="s">
        <v>48</v>
      </c>
      <c r="Q2282" s="23" t="s">
        <v>26</v>
      </c>
      <c r="R2282" s="23" t="s">
        <v>1345</v>
      </c>
      <c r="S2282" s="33">
        <v>0.2</v>
      </c>
      <c r="T2282" s="13">
        <v>4.4480000000000004</v>
      </c>
      <c r="U2282" s="13">
        <v>1.1120000000000001</v>
      </c>
      <c r="V2282" s="55">
        <f>Table3[[#This Row],[Profit]]/Table3[[#This Row],[Sales]]</f>
        <v>0.25</v>
      </c>
    </row>
    <row r="2283" spans="1:22" x14ac:dyDescent="0.2">
      <c r="A2283">
        <v>2282</v>
      </c>
      <c r="B2283" t="s">
        <v>9128</v>
      </c>
      <c r="C2283" s="1">
        <v>43028</v>
      </c>
      <c r="D2283" s="22">
        <f>MONTH(Table3[[#This Row],[Order Date]])</f>
        <v>10</v>
      </c>
      <c r="E2283" t="s">
        <v>6670</v>
      </c>
      <c r="F2283" t="s">
        <v>6671</v>
      </c>
      <c r="G2283" s="23" t="s">
        <v>28</v>
      </c>
      <c r="H2283" s="23" t="s">
        <v>58</v>
      </c>
      <c r="I2283" t="s">
        <v>5690</v>
      </c>
      <c r="J2283" t="s">
        <v>22</v>
      </c>
      <c r="K2283" s="22">
        <v>4</v>
      </c>
      <c r="L2283" s="1">
        <v>43028</v>
      </c>
      <c r="M2283" s="22">
        <f>Table3[[#This Row],[Ship Date]]-Table3[[#This Row],[Order Date]]</f>
        <v>0</v>
      </c>
      <c r="N2283" s="23" t="s">
        <v>1141</v>
      </c>
      <c r="O2283" s="23" t="s">
        <v>23</v>
      </c>
      <c r="P2283" s="23" t="s">
        <v>48</v>
      </c>
      <c r="Q2283" s="23" t="s">
        <v>26</v>
      </c>
      <c r="R2283" s="23" t="s">
        <v>1345</v>
      </c>
      <c r="S2283" s="33">
        <v>0.2</v>
      </c>
      <c r="T2283" s="13">
        <v>43.936</v>
      </c>
      <c r="U2283" s="13">
        <v>6.0411999999999999</v>
      </c>
      <c r="V2283" s="55">
        <f>Table3[[#This Row],[Profit]]/Table3[[#This Row],[Sales]]</f>
        <v>0.13750000000000001</v>
      </c>
    </row>
    <row r="2284" spans="1:22" x14ac:dyDescent="0.2">
      <c r="A2284">
        <v>2283</v>
      </c>
      <c r="B2284" t="s">
        <v>9511</v>
      </c>
      <c r="C2284" s="1">
        <v>43028</v>
      </c>
      <c r="D2284" s="22">
        <f>MONTH(Table3[[#This Row],[Order Date]])</f>
        <v>10</v>
      </c>
      <c r="E2284" t="s">
        <v>6081</v>
      </c>
      <c r="F2284" t="s">
        <v>6082</v>
      </c>
      <c r="G2284" s="23" t="s">
        <v>64</v>
      </c>
      <c r="H2284" s="23" t="s">
        <v>65</v>
      </c>
      <c r="I2284" t="s">
        <v>3698</v>
      </c>
      <c r="J2284" t="s">
        <v>36</v>
      </c>
      <c r="K2284" s="22">
        <v>2</v>
      </c>
      <c r="L2284" s="1">
        <v>43033</v>
      </c>
      <c r="M2284" s="22">
        <f>Table3[[#This Row],[Ship Date]]-Table3[[#This Row],[Order Date]]</f>
        <v>5</v>
      </c>
      <c r="N2284" s="23" t="s">
        <v>45</v>
      </c>
      <c r="O2284" s="23" t="s">
        <v>23</v>
      </c>
      <c r="P2284" s="23" t="s">
        <v>80</v>
      </c>
      <c r="Q2284" s="23" t="s">
        <v>26</v>
      </c>
      <c r="R2284" s="23" t="s">
        <v>333</v>
      </c>
      <c r="S2284" s="33">
        <v>0.2</v>
      </c>
      <c r="T2284" s="13">
        <v>15.984</v>
      </c>
      <c r="U2284" s="13">
        <v>1.3986000000000001</v>
      </c>
      <c r="V2284" s="55">
        <f>Table3[[#This Row],[Profit]]/Table3[[#This Row],[Sales]]</f>
        <v>8.7500000000000008E-2</v>
      </c>
    </row>
    <row r="2285" spans="1:22" x14ac:dyDescent="0.2">
      <c r="A2285">
        <v>2284</v>
      </c>
      <c r="B2285" t="s">
        <v>9511</v>
      </c>
      <c r="C2285" s="1">
        <v>43028</v>
      </c>
      <c r="D2285" s="22">
        <f>MONTH(Table3[[#This Row],[Order Date]])</f>
        <v>10</v>
      </c>
      <c r="E2285" t="s">
        <v>1566</v>
      </c>
      <c r="F2285" t="s">
        <v>1567</v>
      </c>
      <c r="G2285" s="23" t="s">
        <v>41</v>
      </c>
      <c r="H2285" s="23" t="s">
        <v>82</v>
      </c>
      <c r="I2285" t="s">
        <v>3698</v>
      </c>
      <c r="J2285" t="s">
        <v>36</v>
      </c>
      <c r="K2285" s="22">
        <v>3</v>
      </c>
      <c r="L2285" s="1">
        <v>43033</v>
      </c>
      <c r="M2285" s="22">
        <f>Table3[[#This Row],[Ship Date]]-Table3[[#This Row],[Order Date]]</f>
        <v>5</v>
      </c>
      <c r="N2285" s="23" t="s">
        <v>45</v>
      </c>
      <c r="O2285" s="23" t="s">
        <v>23</v>
      </c>
      <c r="P2285" s="23" t="s">
        <v>80</v>
      </c>
      <c r="Q2285" s="23" t="s">
        <v>26</v>
      </c>
      <c r="R2285" s="23" t="s">
        <v>333</v>
      </c>
      <c r="S2285" s="33">
        <v>0.2</v>
      </c>
      <c r="T2285" s="13">
        <v>14.352</v>
      </c>
      <c r="U2285" s="13">
        <v>4.4850000000000003</v>
      </c>
      <c r="V2285" s="55">
        <f>Table3[[#This Row],[Profit]]/Table3[[#This Row],[Sales]]</f>
        <v>0.3125</v>
      </c>
    </row>
    <row r="2286" spans="1:22" x14ac:dyDescent="0.2">
      <c r="A2286">
        <v>2285</v>
      </c>
      <c r="B2286" t="s">
        <v>1585</v>
      </c>
      <c r="C2286" s="1">
        <v>43029</v>
      </c>
      <c r="D2286" s="22">
        <f>MONTH(Table3[[#This Row],[Order Date]])</f>
        <v>10</v>
      </c>
      <c r="E2286" t="s">
        <v>1588</v>
      </c>
      <c r="F2286" t="s">
        <v>1589</v>
      </c>
      <c r="G2286" s="23" t="s">
        <v>28</v>
      </c>
      <c r="H2286" s="23" t="s">
        <v>32</v>
      </c>
      <c r="I2286" t="s">
        <v>1586</v>
      </c>
      <c r="J2286" t="s">
        <v>92</v>
      </c>
      <c r="K2286" s="22">
        <v>3</v>
      </c>
      <c r="L2286" s="1">
        <v>43034</v>
      </c>
      <c r="M2286" s="22">
        <f>Table3[[#This Row],[Ship Date]]-Table3[[#This Row],[Order Date]]</f>
        <v>5</v>
      </c>
      <c r="N2286" s="23" t="s">
        <v>45</v>
      </c>
      <c r="O2286" s="23" t="s">
        <v>23</v>
      </c>
      <c r="P2286" s="23" t="s">
        <v>48</v>
      </c>
      <c r="Q2286" s="23" t="s">
        <v>26</v>
      </c>
      <c r="R2286" s="23" t="s">
        <v>1587</v>
      </c>
      <c r="S2286" s="33">
        <v>0.2</v>
      </c>
      <c r="T2286" s="13">
        <v>683.952</v>
      </c>
      <c r="U2286" s="13">
        <v>42.747</v>
      </c>
      <c r="V2286" s="55">
        <f>Table3[[#This Row],[Profit]]/Table3[[#This Row],[Sales]]</f>
        <v>6.25E-2</v>
      </c>
    </row>
    <row r="2287" spans="1:22" x14ac:dyDescent="0.2">
      <c r="A2287">
        <v>2286</v>
      </c>
      <c r="B2287" t="s">
        <v>1585</v>
      </c>
      <c r="C2287" s="1">
        <v>43029</v>
      </c>
      <c r="D2287" s="22">
        <f>MONTH(Table3[[#This Row],[Order Date]])</f>
        <v>10</v>
      </c>
      <c r="E2287" t="s">
        <v>1007</v>
      </c>
      <c r="F2287" t="s">
        <v>1008</v>
      </c>
      <c r="G2287" s="23" t="s">
        <v>28</v>
      </c>
      <c r="H2287" s="23" t="s">
        <v>58</v>
      </c>
      <c r="I2287" t="s">
        <v>1586</v>
      </c>
      <c r="J2287" t="s">
        <v>92</v>
      </c>
      <c r="K2287" s="22">
        <v>3</v>
      </c>
      <c r="L2287" s="1">
        <v>43034</v>
      </c>
      <c r="M2287" s="22">
        <f>Table3[[#This Row],[Ship Date]]-Table3[[#This Row],[Order Date]]</f>
        <v>5</v>
      </c>
      <c r="N2287" s="23" t="s">
        <v>45</v>
      </c>
      <c r="O2287" s="23" t="s">
        <v>23</v>
      </c>
      <c r="P2287" s="23" t="s">
        <v>48</v>
      </c>
      <c r="Q2287" s="23" t="s">
        <v>26</v>
      </c>
      <c r="R2287" s="23" t="s">
        <v>1587</v>
      </c>
      <c r="S2287" s="33">
        <v>0.2</v>
      </c>
      <c r="T2287" s="13">
        <v>45.695999999999998</v>
      </c>
      <c r="U2287" s="13">
        <v>5.1407999999999996</v>
      </c>
      <c r="V2287" s="55">
        <f>Table3[[#This Row],[Profit]]/Table3[[#This Row],[Sales]]</f>
        <v>0.1125</v>
      </c>
    </row>
    <row r="2288" spans="1:22" x14ac:dyDescent="0.2">
      <c r="A2288">
        <v>2287</v>
      </c>
      <c r="B2288" t="s">
        <v>4062</v>
      </c>
      <c r="C2288" s="1">
        <v>43029</v>
      </c>
      <c r="D2288" s="22">
        <f>MONTH(Table3[[#This Row],[Order Date]])</f>
        <v>10</v>
      </c>
      <c r="E2288" t="s">
        <v>4064</v>
      </c>
      <c r="F2288" t="s">
        <v>4065</v>
      </c>
      <c r="G2288" s="23" t="s">
        <v>64</v>
      </c>
      <c r="H2288" s="23" t="s">
        <v>65</v>
      </c>
      <c r="I2288" t="s">
        <v>2614</v>
      </c>
      <c r="J2288" t="s">
        <v>92</v>
      </c>
      <c r="K2288" s="22">
        <v>8</v>
      </c>
      <c r="L2288" s="1">
        <v>43029</v>
      </c>
      <c r="M2288" s="22">
        <f>Table3[[#This Row],[Ship Date]]-Table3[[#This Row],[Order Date]]</f>
        <v>0</v>
      </c>
      <c r="N2288" s="23" t="s">
        <v>1141</v>
      </c>
      <c r="O2288" s="23" t="s">
        <v>23</v>
      </c>
      <c r="P2288" s="23" t="s">
        <v>573</v>
      </c>
      <c r="Q2288" s="23" t="s">
        <v>95</v>
      </c>
      <c r="R2288" s="23" t="s">
        <v>4063</v>
      </c>
      <c r="S2288" s="33">
        <v>0</v>
      </c>
      <c r="T2288" s="13">
        <v>1439.92</v>
      </c>
      <c r="U2288" s="13">
        <v>374.37920000000003</v>
      </c>
      <c r="V2288" s="55">
        <f>Table3[[#This Row],[Profit]]/Table3[[#This Row],[Sales]]</f>
        <v>0.26</v>
      </c>
    </row>
    <row r="2289" spans="1:22" x14ac:dyDescent="0.2">
      <c r="A2289">
        <v>2288</v>
      </c>
      <c r="B2289" t="s">
        <v>4062</v>
      </c>
      <c r="C2289" s="1">
        <v>43029</v>
      </c>
      <c r="D2289" s="22">
        <f>MONTH(Table3[[#This Row],[Order Date]])</f>
        <v>10</v>
      </c>
      <c r="E2289" t="s">
        <v>2532</v>
      </c>
      <c r="F2289" t="s">
        <v>2533</v>
      </c>
      <c r="G2289" s="23" t="s">
        <v>28</v>
      </c>
      <c r="H2289" s="23" t="s">
        <v>50</v>
      </c>
      <c r="I2289" t="s">
        <v>2614</v>
      </c>
      <c r="J2289" t="s">
        <v>92</v>
      </c>
      <c r="K2289" s="22">
        <v>1</v>
      </c>
      <c r="L2289" s="1">
        <v>43029</v>
      </c>
      <c r="M2289" s="22">
        <f>Table3[[#This Row],[Ship Date]]-Table3[[#This Row],[Order Date]]</f>
        <v>0</v>
      </c>
      <c r="N2289" s="23" t="s">
        <v>1141</v>
      </c>
      <c r="O2289" s="23" t="s">
        <v>23</v>
      </c>
      <c r="P2289" s="23" t="s">
        <v>573</v>
      </c>
      <c r="Q2289" s="23" t="s">
        <v>95</v>
      </c>
      <c r="R2289" s="23" t="s">
        <v>4063</v>
      </c>
      <c r="S2289" s="33">
        <v>0</v>
      </c>
      <c r="T2289" s="13">
        <v>262.11</v>
      </c>
      <c r="U2289" s="13">
        <v>62.906399999999998</v>
      </c>
      <c r="V2289" s="55">
        <f>Table3[[#This Row],[Profit]]/Table3[[#This Row],[Sales]]</f>
        <v>0.24</v>
      </c>
    </row>
    <row r="2290" spans="1:22" x14ac:dyDescent="0.2">
      <c r="A2290">
        <v>2289</v>
      </c>
      <c r="B2290" t="s">
        <v>4185</v>
      </c>
      <c r="C2290" s="1">
        <v>43029</v>
      </c>
      <c r="D2290" s="22">
        <f>MONTH(Table3[[#This Row],[Order Date]])</f>
        <v>10</v>
      </c>
      <c r="E2290" t="s">
        <v>2214</v>
      </c>
      <c r="F2290" t="s">
        <v>2215</v>
      </c>
      <c r="G2290" s="23" t="s">
        <v>41</v>
      </c>
      <c r="H2290" s="23" t="s">
        <v>82</v>
      </c>
      <c r="I2290" t="s">
        <v>3402</v>
      </c>
      <c r="J2290" t="s">
        <v>36</v>
      </c>
      <c r="K2290" s="22">
        <v>1</v>
      </c>
      <c r="L2290" s="1">
        <v>43030</v>
      </c>
      <c r="M2290" s="22">
        <f>Table3[[#This Row],[Ship Date]]-Table3[[#This Row],[Order Date]]</f>
        <v>1</v>
      </c>
      <c r="N2290" s="23" t="s">
        <v>169</v>
      </c>
      <c r="O2290" s="23" t="s">
        <v>23</v>
      </c>
      <c r="P2290" s="23" t="s">
        <v>374</v>
      </c>
      <c r="Q2290" s="23" t="s">
        <v>39</v>
      </c>
      <c r="R2290" s="23" t="s">
        <v>284</v>
      </c>
      <c r="S2290" s="33">
        <v>0.2</v>
      </c>
      <c r="T2290" s="13">
        <v>5.1840000000000002</v>
      </c>
      <c r="U2290" s="13">
        <v>1.8144</v>
      </c>
      <c r="V2290" s="55">
        <f>Table3[[#This Row],[Profit]]/Table3[[#This Row],[Sales]]</f>
        <v>0.35</v>
      </c>
    </row>
    <row r="2291" spans="1:22" x14ac:dyDescent="0.2">
      <c r="A2291">
        <v>2290</v>
      </c>
      <c r="B2291" t="s">
        <v>4185</v>
      </c>
      <c r="C2291" s="1">
        <v>43029</v>
      </c>
      <c r="D2291" s="22">
        <f>MONTH(Table3[[#This Row],[Order Date]])</f>
        <v>10</v>
      </c>
      <c r="E2291" t="s">
        <v>4186</v>
      </c>
      <c r="F2291" t="s">
        <v>4187</v>
      </c>
      <c r="G2291" s="23" t="s">
        <v>28</v>
      </c>
      <c r="H2291" s="23" t="s">
        <v>32</v>
      </c>
      <c r="I2291" t="s">
        <v>3402</v>
      </c>
      <c r="J2291" t="s">
        <v>36</v>
      </c>
      <c r="K2291" s="22">
        <v>2</v>
      </c>
      <c r="L2291" s="1">
        <v>43030</v>
      </c>
      <c r="M2291" s="22">
        <f>Table3[[#This Row],[Ship Date]]-Table3[[#This Row],[Order Date]]</f>
        <v>1</v>
      </c>
      <c r="N2291" s="23" t="s">
        <v>169</v>
      </c>
      <c r="O2291" s="23" t="s">
        <v>23</v>
      </c>
      <c r="P2291" s="23" t="s">
        <v>374</v>
      </c>
      <c r="Q2291" s="23" t="s">
        <v>39</v>
      </c>
      <c r="R2291" s="23" t="s">
        <v>284</v>
      </c>
      <c r="S2291" s="33">
        <v>0.2</v>
      </c>
      <c r="T2291" s="13">
        <v>478.48</v>
      </c>
      <c r="U2291" s="13">
        <v>47.847999999999999</v>
      </c>
      <c r="V2291" s="55">
        <f>Table3[[#This Row],[Profit]]/Table3[[#This Row],[Sales]]</f>
        <v>9.9999999999999992E-2</v>
      </c>
    </row>
    <row r="2292" spans="1:22" x14ac:dyDescent="0.2">
      <c r="A2292">
        <v>2291</v>
      </c>
      <c r="B2292" t="s">
        <v>4185</v>
      </c>
      <c r="C2292" s="1">
        <v>43029</v>
      </c>
      <c r="D2292" s="22">
        <f>MONTH(Table3[[#This Row],[Order Date]])</f>
        <v>10</v>
      </c>
      <c r="E2292" t="s">
        <v>3214</v>
      </c>
      <c r="F2292" t="s">
        <v>3215</v>
      </c>
      <c r="G2292" s="23" t="s">
        <v>64</v>
      </c>
      <c r="H2292" s="23" t="s">
        <v>144</v>
      </c>
      <c r="I2292" t="s">
        <v>3402</v>
      </c>
      <c r="J2292" t="s">
        <v>36</v>
      </c>
      <c r="K2292" s="22">
        <v>2</v>
      </c>
      <c r="L2292" s="1">
        <v>43030</v>
      </c>
      <c r="M2292" s="22">
        <f>Table3[[#This Row],[Ship Date]]-Table3[[#This Row],[Order Date]]</f>
        <v>1</v>
      </c>
      <c r="N2292" s="23" t="s">
        <v>169</v>
      </c>
      <c r="O2292" s="23" t="s">
        <v>23</v>
      </c>
      <c r="P2292" s="23" t="s">
        <v>374</v>
      </c>
      <c r="Q2292" s="23" t="s">
        <v>39</v>
      </c>
      <c r="R2292" s="23" t="s">
        <v>284</v>
      </c>
      <c r="S2292" s="33">
        <v>0.2</v>
      </c>
      <c r="T2292" s="13">
        <v>28.4</v>
      </c>
      <c r="U2292" s="13">
        <v>6.7450000000000001</v>
      </c>
      <c r="V2292" s="55">
        <f>Table3[[#This Row],[Profit]]/Table3[[#This Row],[Sales]]</f>
        <v>0.23750000000000002</v>
      </c>
    </row>
    <row r="2293" spans="1:22" x14ac:dyDescent="0.2">
      <c r="A2293">
        <v>2292</v>
      </c>
      <c r="B2293" t="s">
        <v>4188</v>
      </c>
      <c r="C2293" s="1">
        <v>43029</v>
      </c>
      <c r="D2293" s="22">
        <f>MONTH(Table3[[#This Row],[Order Date]])</f>
        <v>10</v>
      </c>
      <c r="E2293" t="s">
        <v>1443</v>
      </c>
      <c r="F2293" t="s">
        <v>1444</v>
      </c>
      <c r="G2293" s="23" t="s">
        <v>41</v>
      </c>
      <c r="H2293" s="23" t="s">
        <v>53</v>
      </c>
      <c r="I2293" t="s">
        <v>4189</v>
      </c>
      <c r="J2293" t="s">
        <v>36</v>
      </c>
      <c r="K2293" s="22">
        <v>8</v>
      </c>
      <c r="L2293" s="1">
        <v>43032</v>
      </c>
      <c r="M2293" s="22">
        <f>Table3[[#This Row],[Ship Date]]-Table3[[#This Row],[Order Date]]</f>
        <v>3</v>
      </c>
      <c r="N2293" s="23" t="s">
        <v>169</v>
      </c>
      <c r="O2293" s="23" t="s">
        <v>23</v>
      </c>
      <c r="P2293" s="23" t="s">
        <v>226</v>
      </c>
      <c r="Q2293" s="23" t="s">
        <v>95</v>
      </c>
      <c r="R2293" s="23" t="s">
        <v>3859</v>
      </c>
      <c r="S2293" s="33">
        <v>0</v>
      </c>
      <c r="T2293" s="13">
        <v>909.12</v>
      </c>
      <c r="U2293" s="13">
        <v>9.0912000000000006</v>
      </c>
      <c r="V2293" s="55">
        <f>Table3[[#This Row],[Profit]]/Table3[[#This Row],[Sales]]</f>
        <v>0.01</v>
      </c>
    </row>
    <row r="2294" spans="1:22" x14ac:dyDescent="0.2">
      <c r="A2294">
        <v>2293</v>
      </c>
      <c r="B2294" t="s">
        <v>4515</v>
      </c>
      <c r="C2294" s="1">
        <v>43029</v>
      </c>
      <c r="D2294" s="22">
        <f>MONTH(Table3[[#This Row],[Order Date]])</f>
        <v>10</v>
      </c>
      <c r="E2294" t="s">
        <v>4516</v>
      </c>
      <c r="F2294" t="s">
        <v>4517</v>
      </c>
      <c r="G2294" s="23" t="s">
        <v>41</v>
      </c>
      <c r="H2294" s="23" t="s">
        <v>61</v>
      </c>
      <c r="I2294" t="s">
        <v>565</v>
      </c>
      <c r="J2294" t="s">
        <v>92</v>
      </c>
      <c r="K2294" s="22">
        <v>4</v>
      </c>
      <c r="L2294" s="1">
        <v>43034</v>
      </c>
      <c r="M2294" s="22">
        <f>Table3[[#This Row],[Ship Date]]-Table3[[#This Row],[Order Date]]</f>
        <v>5</v>
      </c>
      <c r="N2294" s="23" t="s">
        <v>45</v>
      </c>
      <c r="O2294" s="23" t="s">
        <v>23</v>
      </c>
      <c r="P2294" s="23" t="s">
        <v>48</v>
      </c>
      <c r="Q2294" s="23" t="s">
        <v>26</v>
      </c>
      <c r="R2294" s="23" t="s">
        <v>3218</v>
      </c>
      <c r="S2294" s="33">
        <v>0.2</v>
      </c>
      <c r="T2294" s="13">
        <v>17.856000000000002</v>
      </c>
      <c r="U2294" s="13">
        <v>2.0087999999999999</v>
      </c>
      <c r="V2294" s="55">
        <f>Table3[[#This Row],[Profit]]/Table3[[#This Row],[Sales]]</f>
        <v>0.11249999999999999</v>
      </c>
    </row>
    <row r="2295" spans="1:22" x14ac:dyDescent="0.2">
      <c r="A2295">
        <v>2294</v>
      </c>
      <c r="B2295" t="s">
        <v>6446</v>
      </c>
      <c r="C2295" s="1">
        <v>43029</v>
      </c>
      <c r="D2295" s="22">
        <f>MONTH(Table3[[#This Row],[Order Date]])</f>
        <v>10</v>
      </c>
      <c r="E2295" t="s">
        <v>2798</v>
      </c>
      <c r="F2295" t="s">
        <v>2799</v>
      </c>
      <c r="G2295" s="23" t="s">
        <v>41</v>
      </c>
      <c r="H2295" s="23" t="s">
        <v>71</v>
      </c>
      <c r="I2295" t="s">
        <v>6384</v>
      </c>
      <c r="J2295" t="s">
        <v>22</v>
      </c>
      <c r="K2295" s="22">
        <v>2</v>
      </c>
      <c r="L2295" s="1">
        <v>43033</v>
      </c>
      <c r="M2295" s="22">
        <f>Table3[[#This Row],[Ship Date]]-Table3[[#This Row],[Order Date]]</f>
        <v>4</v>
      </c>
      <c r="N2295" s="23" t="s">
        <v>45</v>
      </c>
      <c r="O2295" s="23" t="s">
        <v>23</v>
      </c>
      <c r="P2295" s="23" t="s">
        <v>189</v>
      </c>
      <c r="Q2295" s="23" t="s">
        <v>95</v>
      </c>
      <c r="R2295" s="23" t="s">
        <v>271</v>
      </c>
      <c r="S2295" s="33">
        <v>0.8</v>
      </c>
      <c r="T2295" s="13">
        <v>23.992000000000001</v>
      </c>
      <c r="U2295" s="13">
        <v>-62.379199999999997</v>
      </c>
      <c r="V2295" s="55">
        <f>Table3[[#This Row],[Profit]]/Table3[[#This Row],[Sales]]</f>
        <v>-2.5999999999999996</v>
      </c>
    </row>
    <row r="2296" spans="1:22" x14ac:dyDescent="0.2">
      <c r="A2296">
        <v>2295</v>
      </c>
      <c r="B2296" t="s">
        <v>6852</v>
      </c>
      <c r="C2296" s="1">
        <v>43029</v>
      </c>
      <c r="D2296" s="22">
        <f>MONTH(Table3[[#This Row],[Order Date]])</f>
        <v>10</v>
      </c>
      <c r="E2296" t="s">
        <v>2389</v>
      </c>
      <c r="F2296" t="s">
        <v>2390</v>
      </c>
      <c r="G2296" s="23" t="s">
        <v>41</v>
      </c>
      <c r="H2296" s="23" t="s">
        <v>68</v>
      </c>
      <c r="I2296" t="s">
        <v>3293</v>
      </c>
      <c r="J2296" t="s">
        <v>22</v>
      </c>
      <c r="K2296" s="22">
        <v>1</v>
      </c>
      <c r="L2296" s="1">
        <v>43036</v>
      </c>
      <c r="M2296" s="22">
        <f>Table3[[#This Row],[Ship Date]]-Table3[[#This Row],[Order Date]]</f>
        <v>7</v>
      </c>
      <c r="N2296" s="23" t="s">
        <v>45</v>
      </c>
      <c r="O2296" s="23" t="s">
        <v>23</v>
      </c>
      <c r="P2296" s="23" t="s">
        <v>277</v>
      </c>
      <c r="Q2296" s="23" t="s">
        <v>39</v>
      </c>
      <c r="R2296" s="23" t="s">
        <v>3477</v>
      </c>
      <c r="S2296" s="33">
        <v>0.7</v>
      </c>
      <c r="T2296" s="13">
        <v>8.5589999999999993</v>
      </c>
      <c r="U2296" s="13">
        <v>-6.5618999999999996</v>
      </c>
      <c r="V2296" s="55">
        <f>Table3[[#This Row],[Profit]]/Table3[[#This Row],[Sales]]</f>
        <v>-0.76666666666666672</v>
      </c>
    </row>
    <row r="2297" spans="1:22" x14ac:dyDescent="0.2">
      <c r="A2297">
        <v>2296</v>
      </c>
      <c r="B2297" t="s">
        <v>7474</v>
      </c>
      <c r="C2297" s="1">
        <v>43029</v>
      </c>
      <c r="D2297" s="22">
        <f>MONTH(Table3[[#This Row],[Order Date]])</f>
        <v>10</v>
      </c>
      <c r="E2297" t="s">
        <v>7317</v>
      </c>
      <c r="F2297" t="s">
        <v>7318</v>
      </c>
      <c r="G2297" s="23" t="s">
        <v>41</v>
      </c>
      <c r="H2297" s="23" t="s">
        <v>71</v>
      </c>
      <c r="I2297" t="s">
        <v>7475</v>
      </c>
      <c r="J2297" t="s">
        <v>92</v>
      </c>
      <c r="K2297" s="22">
        <v>2</v>
      </c>
      <c r="L2297" s="1">
        <v>43033</v>
      </c>
      <c r="M2297" s="22">
        <f>Table3[[#This Row],[Ship Date]]-Table3[[#This Row],[Order Date]]</f>
        <v>4</v>
      </c>
      <c r="N2297" s="23" t="s">
        <v>45</v>
      </c>
      <c r="O2297" s="23" t="s">
        <v>23</v>
      </c>
      <c r="P2297" s="23" t="s">
        <v>441</v>
      </c>
      <c r="Q2297" s="23" t="s">
        <v>133</v>
      </c>
      <c r="R2297" s="23" t="s">
        <v>990</v>
      </c>
      <c r="S2297" s="33">
        <v>0.2</v>
      </c>
      <c r="T2297" s="13">
        <v>161.56800000000001</v>
      </c>
      <c r="U2297" s="13">
        <v>16.1568</v>
      </c>
      <c r="V2297" s="55">
        <f>Table3[[#This Row],[Profit]]/Table3[[#This Row],[Sales]]</f>
        <v>9.9999999999999992E-2</v>
      </c>
    </row>
    <row r="2298" spans="1:22" x14ac:dyDescent="0.2">
      <c r="A2298">
        <v>2297</v>
      </c>
      <c r="B2298" t="s">
        <v>7474</v>
      </c>
      <c r="C2298" s="1">
        <v>43029</v>
      </c>
      <c r="D2298" s="22">
        <f>MONTH(Table3[[#This Row],[Order Date]])</f>
        <v>10</v>
      </c>
      <c r="E2298" t="s">
        <v>2501</v>
      </c>
      <c r="F2298" t="s">
        <v>2502</v>
      </c>
      <c r="G2298" s="23" t="s">
        <v>41</v>
      </c>
      <c r="H2298" s="23" t="s">
        <v>82</v>
      </c>
      <c r="I2298" t="s">
        <v>7475</v>
      </c>
      <c r="J2298" t="s">
        <v>92</v>
      </c>
      <c r="K2298" s="22">
        <v>1</v>
      </c>
      <c r="L2298" s="1">
        <v>43033</v>
      </c>
      <c r="M2298" s="22">
        <f>Table3[[#This Row],[Ship Date]]-Table3[[#This Row],[Order Date]]</f>
        <v>4</v>
      </c>
      <c r="N2298" s="23" t="s">
        <v>45</v>
      </c>
      <c r="O2298" s="23" t="s">
        <v>23</v>
      </c>
      <c r="P2298" s="23" t="s">
        <v>441</v>
      </c>
      <c r="Q2298" s="23" t="s">
        <v>133</v>
      </c>
      <c r="R2298" s="23" t="s">
        <v>990</v>
      </c>
      <c r="S2298" s="33">
        <v>0.2</v>
      </c>
      <c r="T2298" s="13">
        <v>4.0640000000000001</v>
      </c>
      <c r="U2298" s="13">
        <v>1.3715999999999999</v>
      </c>
      <c r="V2298" s="55">
        <f>Table3[[#This Row],[Profit]]/Table3[[#This Row],[Sales]]</f>
        <v>0.33749999999999997</v>
      </c>
    </row>
    <row r="2299" spans="1:22" x14ac:dyDescent="0.2">
      <c r="A2299">
        <v>2298</v>
      </c>
      <c r="B2299" t="s">
        <v>7474</v>
      </c>
      <c r="C2299" s="1">
        <v>43029</v>
      </c>
      <c r="D2299" s="22">
        <f>MONTH(Table3[[#This Row],[Order Date]])</f>
        <v>10</v>
      </c>
      <c r="E2299" t="s">
        <v>5554</v>
      </c>
      <c r="F2299" t="s">
        <v>5555</v>
      </c>
      <c r="G2299" s="23" t="s">
        <v>41</v>
      </c>
      <c r="H2299" s="23" t="s">
        <v>68</v>
      </c>
      <c r="I2299" t="s">
        <v>7475</v>
      </c>
      <c r="J2299" t="s">
        <v>92</v>
      </c>
      <c r="K2299" s="22">
        <v>4</v>
      </c>
      <c r="L2299" s="1">
        <v>43033</v>
      </c>
      <c r="M2299" s="22">
        <f>Table3[[#This Row],[Ship Date]]-Table3[[#This Row],[Order Date]]</f>
        <v>4</v>
      </c>
      <c r="N2299" s="23" t="s">
        <v>45</v>
      </c>
      <c r="O2299" s="23" t="s">
        <v>23</v>
      </c>
      <c r="P2299" s="23" t="s">
        <v>441</v>
      </c>
      <c r="Q2299" s="23" t="s">
        <v>133</v>
      </c>
      <c r="R2299" s="23" t="s">
        <v>990</v>
      </c>
      <c r="S2299" s="33">
        <v>0.7</v>
      </c>
      <c r="T2299" s="13">
        <v>6.2160000000000002</v>
      </c>
      <c r="U2299" s="13">
        <v>-4.9728000000000003</v>
      </c>
      <c r="V2299" s="55">
        <f>Table3[[#This Row],[Profit]]/Table3[[#This Row],[Sales]]</f>
        <v>-0.8</v>
      </c>
    </row>
    <row r="2300" spans="1:22" x14ac:dyDescent="0.2">
      <c r="A2300">
        <v>2299</v>
      </c>
      <c r="B2300" t="s">
        <v>7971</v>
      </c>
      <c r="C2300" s="1">
        <v>43029</v>
      </c>
      <c r="D2300" s="22">
        <f>MONTH(Table3[[#This Row],[Order Date]])</f>
        <v>10</v>
      </c>
      <c r="E2300" t="s">
        <v>3092</v>
      </c>
      <c r="F2300" t="s">
        <v>3093</v>
      </c>
      <c r="G2300" s="23" t="s">
        <v>64</v>
      </c>
      <c r="H2300" s="23" t="s">
        <v>65</v>
      </c>
      <c r="I2300" t="s">
        <v>2775</v>
      </c>
      <c r="J2300" t="s">
        <v>22</v>
      </c>
      <c r="K2300" s="22">
        <v>2</v>
      </c>
      <c r="L2300" s="1">
        <v>43036</v>
      </c>
      <c r="M2300" s="22">
        <f>Table3[[#This Row],[Ship Date]]-Table3[[#This Row],[Order Date]]</f>
        <v>7</v>
      </c>
      <c r="N2300" s="23" t="s">
        <v>45</v>
      </c>
      <c r="O2300" s="23" t="s">
        <v>23</v>
      </c>
      <c r="P2300" s="23" t="s">
        <v>132</v>
      </c>
      <c r="Q2300" s="23" t="s">
        <v>133</v>
      </c>
      <c r="R2300" s="23" t="s">
        <v>131</v>
      </c>
      <c r="S2300" s="33">
        <v>0.4</v>
      </c>
      <c r="T2300" s="13">
        <v>329.988</v>
      </c>
      <c r="U2300" s="13">
        <v>-76.997200000000007</v>
      </c>
      <c r="V2300" s="55">
        <f>Table3[[#This Row],[Profit]]/Table3[[#This Row],[Sales]]</f>
        <v>-0.23333333333333336</v>
      </c>
    </row>
    <row r="2301" spans="1:22" x14ac:dyDescent="0.2">
      <c r="A2301">
        <v>2300</v>
      </c>
      <c r="B2301" t="s">
        <v>7971</v>
      </c>
      <c r="C2301" s="1">
        <v>43029</v>
      </c>
      <c r="D2301" s="22">
        <f>MONTH(Table3[[#This Row],[Order Date]])</f>
        <v>10</v>
      </c>
      <c r="E2301" t="s">
        <v>3749</v>
      </c>
      <c r="F2301" t="s">
        <v>3750</v>
      </c>
      <c r="G2301" s="23" t="s">
        <v>41</v>
      </c>
      <c r="H2301" s="23" t="s">
        <v>53</v>
      </c>
      <c r="I2301" t="s">
        <v>2775</v>
      </c>
      <c r="J2301" t="s">
        <v>22</v>
      </c>
      <c r="K2301" s="22">
        <v>3</v>
      </c>
      <c r="L2301" s="1">
        <v>43036</v>
      </c>
      <c r="M2301" s="22">
        <f>Table3[[#This Row],[Ship Date]]-Table3[[#This Row],[Order Date]]</f>
        <v>7</v>
      </c>
      <c r="N2301" s="23" t="s">
        <v>45</v>
      </c>
      <c r="O2301" s="23" t="s">
        <v>23</v>
      </c>
      <c r="P2301" s="23" t="s">
        <v>132</v>
      </c>
      <c r="Q2301" s="23" t="s">
        <v>133</v>
      </c>
      <c r="R2301" s="23" t="s">
        <v>131</v>
      </c>
      <c r="S2301" s="33">
        <v>0.2</v>
      </c>
      <c r="T2301" s="13">
        <v>71.376000000000005</v>
      </c>
      <c r="U2301" s="13">
        <v>-4.4610000000000003</v>
      </c>
      <c r="V2301" s="55">
        <f>Table3[[#This Row],[Profit]]/Table3[[#This Row],[Sales]]</f>
        <v>-6.25E-2</v>
      </c>
    </row>
    <row r="2302" spans="1:22" x14ac:dyDescent="0.2">
      <c r="A2302">
        <v>2301</v>
      </c>
      <c r="B2302" t="s">
        <v>8658</v>
      </c>
      <c r="C2302" s="1">
        <v>43029</v>
      </c>
      <c r="D2302" s="22">
        <f>MONTH(Table3[[#This Row],[Order Date]])</f>
        <v>10</v>
      </c>
      <c r="E2302" t="s">
        <v>2149</v>
      </c>
      <c r="F2302" t="s">
        <v>2150</v>
      </c>
      <c r="G2302" s="23" t="s">
        <v>41</v>
      </c>
      <c r="H2302" s="23" t="s">
        <v>68</v>
      </c>
      <c r="I2302" t="s">
        <v>623</v>
      </c>
      <c r="J2302" t="s">
        <v>36</v>
      </c>
      <c r="K2302" s="22">
        <v>6</v>
      </c>
      <c r="L2302" s="1">
        <v>43035</v>
      </c>
      <c r="M2302" s="22">
        <f>Table3[[#This Row],[Ship Date]]-Table3[[#This Row],[Order Date]]</f>
        <v>6</v>
      </c>
      <c r="N2302" s="23" t="s">
        <v>45</v>
      </c>
      <c r="O2302" s="23" t="s">
        <v>23</v>
      </c>
      <c r="P2302" s="23" t="s">
        <v>103</v>
      </c>
      <c r="Q2302" s="23" t="s">
        <v>95</v>
      </c>
      <c r="R2302" s="23" t="s">
        <v>2242</v>
      </c>
      <c r="S2302" s="33">
        <v>0</v>
      </c>
      <c r="T2302" s="13">
        <v>38.82</v>
      </c>
      <c r="U2302" s="13">
        <v>19.41</v>
      </c>
      <c r="V2302" s="55">
        <f>Table3[[#This Row],[Profit]]/Table3[[#This Row],[Sales]]</f>
        <v>0.5</v>
      </c>
    </row>
    <row r="2303" spans="1:22" x14ac:dyDescent="0.2">
      <c r="A2303">
        <v>2302</v>
      </c>
      <c r="B2303" t="s">
        <v>8658</v>
      </c>
      <c r="C2303" s="1">
        <v>43029</v>
      </c>
      <c r="D2303" s="22">
        <f>MONTH(Table3[[#This Row],[Order Date]])</f>
        <v>10</v>
      </c>
      <c r="E2303" t="s">
        <v>857</v>
      </c>
      <c r="F2303" t="s">
        <v>858</v>
      </c>
      <c r="G2303" s="23" t="s">
        <v>41</v>
      </c>
      <c r="H2303" s="23" t="s">
        <v>68</v>
      </c>
      <c r="I2303" t="s">
        <v>623</v>
      </c>
      <c r="J2303" t="s">
        <v>36</v>
      </c>
      <c r="K2303" s="22">
        <v>5</v>
      </c>
      <c r="L2303" s="1">
        <v>43035</v>
      </c>
      <c r="M2303" s="22">
        <f>Table3[[#This Row],[Ship Date]]-Table3[[#This Row],[Order Date]]</f>
        <v>6</v>
      </c>
      <c r="N2303" s="23" t="s">
        <v>45</v>
      </c>
      <c r="O2303" s="23" t="s">
        <v>23</v>
      </c>
      <c r="P2303" s="23" t="s">
        <v>103</v>
      </c>
      <c r="Q2303" s="23" t="s">
        <v>95</v>
      </c>
      <c r="R2303" s="23" t="s">
        <v>2242</v>
      </c>
      <c r="S2303" s="33">
        <v>0</v>
      </c>
      <c r="T2303" s="13">
        <v>21.9</v>
      </c>
      <c r="U2303" s="13">
        <v>10.512</v>
      </c>
      <c r="V2303" s="55">
        <f>Table3[[#This Row],[Profit]]/Table3[[#This Row],[Sales]]</f>
        <v>0.48000000000000004</v>
      </c>
    </row>
    <row r="2304" spans="1:22" x14ac:dyDescent="0.2">
      <c r="A2304">
        <v>2303</v>
      </c>
      <c r="B2304" t="s">
        <v>5103</v>
      </c>
      <c r="C2304" s="1">
        <v>43030</v>
      </c>
      <c r="D2304" s="22">
        <f>MONTH(Table3[[#This Row],[Order Date]])</f>
        <v>10</v>
      </c>
      <c r="E2304" t="s">
        <v>5105</v>
      </c>
      <c r="F2304" t="s">
        <v>5106</v>
      </c>
      <c r="G2304" s="23" t="s">
        <v>64</v>
      </c>
      <c r="H2304" s="23" t="s">
        <v>1075</v>
      </c>
      <c r="I2304" t="s">
        <v>5104</v>
      </c>
      <c r="J2304" t="s">
        <v>92</v>
      </c>
      <c r="K2304" s="22">
        <v>4</v>
      </c>
      <c r="L2304" s="1">
        <v>43032</v>
      </c>
      <c r="M2304" s="22">
        <f>Table3[[#This Row],[Ship Date]]-Table3[[#This Row],[Order Date]]</f>
        <v>2</v>
      </c>
      <c r="N2304" s="23" t="s">
        <v>169</v>
      </c>
      <c r="O2304" s="23" t="s">
        <v>23</v>
      </c>
      <c r="P2304" s="23" t="s">
        <v>238</v>
      </c>
      <c r="Q2304" s="23" t="s">
        <v>133</v>
      </c>
      <c r="R2304" s="23" t="s">
        <v>237</v>
      </c>
      <c r="S2304" s="33">
        <v>0.2</v>
      </c>
      <c r="T2304" s="13">
        <v>11199.968000000001</v>
      </c>
      <c r="U2304" s="13">
        <v>3919.9888000000001</v>
      </c>
      <c r="V2304" s="55">
        <f>Table3[[#This Row],[Profit]]/Table3[[#This Row],[Sales]]</f>
        <v>0.35</v>
      </c>
    </row>
    <row r="2305" spans="1:22" x14ac:dyDescent="0.2">
      <c r="A2305">
        <v>2304</v>
      </c>
      <c r="B2305" t="s">
        <v>5103</v>
      </c>
      <c r="C2305" s="1">
        <v>43030</v>
      </c>
      <c r="D2305" s="22">
        <f>MONTH(Table3[[#This Row],[Order Date]])</f>
        <v>10</v>
      </c>
      <c r="E2305" t="s">
        <v>2458</v>
      </c>
      <c r="F2305" t="s">
        <v>2459</v>
      </c>
      <c r="G2305" s="23" t="s">
        <v>64</v>
      </c>
      <c r="H2305" s="23" t="s">
        <v>65</v>
      </c>
      <c r="I2305" t="s">
        <v>5104</v>
      </c>
      <c r="J2305" t="s">
        <v>92</v>
      </c>
      <c r="K2305" s="22">
        <v>8</v>
      </c>
      <c r="L2305" s="1">
        <v>43032</v>
      </c>
      <c r="M2305" s="22">
        <f>Table3[[#This Row],[Ship Date]]-Table3[[#This Row],[Order Date]]</f>
        <v>2</v>
      </c>
      <c r="N2305" s="23" t="s">
        <v>169</v>
      </c>
      <c r="O2305" s="23" t="s">
        <v>23</v>
      </c>
      <c r="P2305" s="23" t="s">
        <v>238</v>
      </c>
      <c r="Q2305" s="23" t="s">
        <v>133</v>
      </c>
      <c r="R2305" s="23" t="s">
        <v>237</v>
      </c>
      <c r="S2305" s="33">
        <v>0</v>
      </c>
      <c r="T2305" s="13">
        <v>2399.6</v>
      </c>
      <c r="U2305" s="13">
        <v>647.89200000000005</v>
      </c>
      <c r="V2305" s="55">
        <f>Table3[[#This Row],[Profit]]/Table3[[#This Row],[Sales]]</f>
        <v>0.27</v>
      </c>
    </row>
    <row r="2306" spans="1:22" x14ac:dyDescent="0.2">
      <c r="A2306">
        <v>2305</v>
      </c>
      <c r="B2306" t="s">
        <v>5103</v>
      </c>
      <c r="C2306" s="1">
        <v>43030</v>
      </c>
      <c r="D2306" s="22">
        <f>MONTH(Table3[[#This Row],[Order Date]])</f>
        <v>10</v>
      </c>
      <c r="E2306" t="s">
        <v>466</v>
      </c>
      <c r="F2306" t="s">
        <v>467</v>
      </c>
      <c r="G2306" s="23" t="s">
        <v>41</v>
      </c>
      <c r="H2306" s="23" t="s">
        <v>155</v>
      </c>
      <c r="I2306" t="s">
        <v>5104</v>
      </c>
      <c r="J2306" t="s">
        <v>92</v>
      </c>
      <c r="K2306" s="22">
        <v>5</v>
      </c>
      <c r="L2306" s="1">
        <v>43032</v>
      </c>
      <c r="M2306" s="22">
        <f>Table3[[#This Row],[Ship Date]]-Table3[[#This Row],[Order Date]]</f>
        <v>2</v>
      </c>
      <c r="N2306" s="23" t="s">
        <v>169</v>
      </c>
      <c r="O2306" s="23" t="s">
        <v>23</v>
      </c>
      <c r="P2306" s="23" t="s">
        <v>238</v>
      </c>
      <c r="Q2306" s="23" t="s">
        <v>133</v>
      </c>
      <c r="R2306" s="23" t="s">
        <v>237</v>
      </c>
      <c r="S2306" s="33">
        <v>0</v>
      </c>
      <c r="T2306" s="13">
        <v>63.9</v>
      </c>
      <c r="U2306" s="13">
        <v>28.754999999999999</v>
      </c>
      <c r="V2306" s="55">
        <f>Table3[[#This Row],[Profit]]/Table3[[#This Row],[Sales]]</f>
        <v>0.45</v>
      </c>
    </row>
    <row r="2307" spans="1:22" x14ac:dyDescent="0.2">
      <c r="A2307">
        <v>2306</v>
      </c>
      <c r="B2307" t="s">
        <v>5103</v>
      </c>
      <c r="C2307" s="1">
        <v>43030</v>
      </c>
      <c r="D2307" s="22">
        <f>MONTH(Table3[[#This Row],[Order Date]])</f>
        <v>10</v>
      </c>
      <c r="E2307" t="s">
        <v>1745</v>
      </c>
      <c r="F2307" t="s">
        <v>1746</v>
      </c>
      <c r="G2307" s="23" t="s">
        <v>64</v>
      </c>
      <c r="H2307" s="23" t="s">
        <v>65</v>
      </c>
      <c r="I2307" t="s">
        <v>5104</v>
      </c>
      <c r="J2307" t="s">
        <v>92</v>
      </c>
      <c r="K2307" s="22">
        <v>1</v>
      </c>
      <c r="L2307" s="1">
        <v>43032</v>
      </c>
      <c r="M2307" s="22">
        <f>Table3[[#This Row],[Ship Date]]-Table3[[#This Row],[Order Date]]</f>
        <v>2</v>
      </c>
      <c r="N2307" s="23" t="s">
        <v>169</v>
      </c>
      <c r="O2307" s="23" t="s">
        <v>23</v>
      </c>
      <c r="P2307" s="23" t="s">
        <v>238</v>
      </c>
      <c r="Q2307" s="23" t="s">
        <v>133</v>
      </c>
      <c r="R2307" s="23" t="s">
        <v>237</v>
      </c>
      <c r="S2307" s="33">
        <v>0</v>
      </c>
      <c r="T2307" s="13">
        <v>52.99</v>
      </c>
      <c r="U2307" s="13">
        <v>0.52990000000000004</v>
      </c>
      <c r="V2307" s="55">
        <f>Table3[[#This Row],[Profit]]/Table3[[#This Row],[Sales]]</f>
        <v>0.01</v>
      </c>
    </row>
    <row r="2308" spans="1:22" x14ac:dyDescent="0.2">
      <c r="A2308">
        <v>2307</v>
      </c>
      <c r="B2308" t="s">
        <v>6653</v>
      </c>
      <c r="C2308" s="1">
        <v>43030</v>
      </c>
      <c r="D2308" s="22">
        <f>MONTH(Table3[[#This Row],[Order Date]])</f>
        <v>10</v>
      </c>
      <c r="E2308" t="s">
        <v>817</v>
      </c>
      <c r="F2308" t="s">
        <v>818</v>
      </c>
      <c r="G2308" s="23" t="s">
        <v>28</v>
      </c>
      <c r="H2308" s="23" t="s">
        <v>50</v>
      </c>
      <c r="I2308" t="s">
        <v>5765</v>
      </c>
      <c r="J2308" t="s">
        <v>36</v>
      </c>
      <c r="K2308" s="22">
        <v>5</v>
      </c>
      <c r="L2308" s="1">
        <v>43035</v>
      </c>
      <c r="M2308" s="22">
        <f>Table3[[#This Row],[Ship Date]]-Table3[[#This Row],[Order Date]]</f>
        <v>5</v>
      </c>
      <c r="N2308" s="23" t="s">
        <v>45</v>
      </c>
      <c r="O2308" s="23" t="s">
        <v>23</v>
      </c>
      <c r="P2308" s="23" t="s">
        <v>374</v>
      </c>
      <c r="Q2308" s="23" t="s">
        <v>39</v>
      </c>
      <c r="R2308" s="23" t="s">
        <v>4049</v>
      </c>
      <c r="S2308" s="33">
        <v>0.5</v>
      </c>
      <c r="T2308" s="13">
        <v>177.22499999999999</v>
      </c>
      <c r="U2308" s="13">
        <v>-120.51300000000001</v>
      </c>
      <c r="V2308" s="55">
        <f>Table3[[#This Row],[Profit]]/Table3[[#This Row],[Sales]]</f>
        <v>-0.68</v>
      </c>
    </row>
    <row r="2309" spans="1:22" x14ac:dyDescent="0.2">
      <c r="A2309">
        <v>2308</v>
      </c>
      <c r="B2309" t="s">
        <v>6787</v>
      </c>
      <c r="C2309" s="1">
        <v>43030</v>
      </c>
      <c r="D2309" s="22">
        <f>MONTH(Table3[[#This Row],[Order Date]])</f>
        <v>10</v>
      </c>
      <c r="E2309" t="s">
        <v>6789</v>
      </c>
      <c r="F2309" t="s">
        <v>6790</v>
      </c>
      <c r="G2309" s="23" t="s">
        <v>41</v>
      </c>
      <c r="H2309" s="23" t="s">
        <v>53</v>
      </c>
      <c r="I2309" t="s">
        <v>2773</v>
      </c>
      <c r="J2309" t="s">
        <v>22</v>
      </c>
      <c r="K2309" s="22">
        <v>3</v>
      </c>
      <c r="L2309" s="1">
        <v>43030</v>
      </c>
      <c r="M2309" s="22">
        <f>Table3[[#This Row],[Ship Date]]-Table3[[#This Row],[Order Date]]</f>
        <v>0</v>
      </c>
      <c r="N2309" s="23" t="s">
        <v>1141</v>
      </c>
      <c r="O2309" s="23" t="s">
        <v>23</v>
      </c>
      <c r="P2309" s="23" t="s">
        <v>573</v>
      </c>
      <c r="Q2309" s="23" t="s">
        <v>95</v>
      </c>
      <c r="R2309" s="23" t="s">
        <v>6788</v>
      </c>
      <c r="S2309" s="33">
        <v>0</v>
      </c>
      <c r="T2309" s="13">
        <v>333.09</v>
      </c>
      <c r="U2309" s="13">
        <v>23.316299999999998</v>
      </c>
      <c r="V2309" s="55">
        <f>Table3[[#This Row],[Profit]]/Table3[[#This Row],[Sales]]</f>
        <v>7.0000000000000007E-2</v>
      </c>
    </row>
    <row r="2310" spans="1:22" x14ac:dyDescent="0.2">
      <c r="A2310">
        <v>2309</v>
      </c>
      <c r="B2310" t="s">
        <v>6787</v>
      </c>
      <c r="C2310" s="1">
        <v>43030</v>
      </c>
      <c r="D2310" s="22">
        <f>MONTH(Table3[[#This Row],[Order Date]])</f>
        <v>10</v>
      </c>
      <c r="E2310" t="s">
        <v>778</v>
      </c>
      <c r="F2310" t="s">
        <v>779</v>
      </c>
      <c r="G2310" s="23" t="s">
        <v>28</v>
      </c>
      <c r="H2310" s="23" t="s">
        <v>50</v>
      </c>
      <c r="I2310" t="s">
        <v>2773</v>
      </c>
      <c r="J2310" t="s">
        <v>22</v>
      </c>
      <c r="K2310" s="22">
        <v>2</v>
      </c>
      <c r="L2310" s="1">
        <v>43030</v>
      </c>
      <c r="M2310" s="22">
        <f>Table3[[#This Row],[Ship Date]]-Table3[[#This Row],[Order Date]]</f>
        <v>0</v>
      </c>
      <c r="N2310" s="23" t="s">
        <v>1141</v>
      </c>
      <c r="O2310" s="23" t="s">
        <v>23</v>
      </c>
      <c r="P2310" s="23" t="s">
        <v>573</v>
      </c>
      <c r="Q2310" s="23" t="s">
        <v>95</v>
      </c>
      <c r="R2310" s="23" t="s">
        <v>6788</v>
      </c>
      <c r="S2310" s="33">
        <v>0</v>
      </c>
      <c r="T2310" s="13">
        <v>248.98</v>
      </c>
      <c r="U2310" s="13">
        <v>54.775599999999997</v>
      </c>
      <c r="V2310" s="55">
        <f>Table3[[#This Row],[Profit]]/Table3[[#This Row],[Sales]]</f>
        <v>0.22</v>
      </c>
    </row>
    <row r="2311" spans="1:22" x14ac:dyDescent="0.2">
      <c r="A2311">
        <v>2310</v>
      </c>
      <c r="B2311" t="s">
        <v>6816</v>
      </c>
      <c r="C2311" s="1">
        <v>43030</v>
      </c>
      <c r="D2311" s="22">
        <f>MONTH(Table3[[#This Row],[Order Date]])</f>
        <v>10</v>
      </c>
      <c r="E2311" t="s">
        <v>6231</v>
      </c>
      <c r="F2311" t="s">
        <v>6232</v>
      </c>
      <c r="G2311" s="23" t="s">
        <v>41</v>
      </c>
      <c r="H2311" s="23" t="s">
        <v>61</v>
      </c>
      <c r="I2311" t="s">
        <v>270</v>
      </c>
      <c r="J2311" t="s">
        <v>92</v>
      </c>
      <c r="K2311" s="22">
        <v>4</v>
      </c>
      <c r="L2311" s="1">
        <v>43034</v>
      </c>
      <c r="M2311" s="22">
        <f>Table3[[#This Row],[Ship Date]]-Table3[[#This Row],[Order Date]]</f>
        <v>4</v>
      </c>
      <c r="N2311" s="23" t="s">
        <v>45</v>
      </c>
      <c r="O2311" s="23" t="s">
        <v>23</v>
      </c>
      <c r="P2311" s="23" t="s">
        <v>573</v>
      </c>
      <c r="Q2311" s="23" t="s">
        <v>95</v>
      </c>
      <c r="R2311" s="23" t="s">
        <v>4017</v>
      </c>
      <c r="S2311" s="33">
        <v>0</v>
      </c>
      <c r="T2311" s="13">
        <v>36.44</v>
      </c>
      <c r="U2311" s="13">
        <v>12.0252</v>
      </c>
      <c r="V2311" s="55">
        <f>Table3[[#This Row],[Profit]]/Table3[[#This Row],[Sales]]</f>
        <v>0.33</v>
      </c>
    </row>
    <row r="2312" spans="1:22" x14ac:dyDescent="0.2">
      <c r="A2312">
        <v>2311</v>
      </c>
      <c r="B2312" t="s">
        <v>6922</v>
      </c>
      <c r="C2312" s="1">
        <v>43030</v>
      </c>
      <c r="D2312" s="22">
        <f>MONTH(Table3[[#This Row],[Order Date]])</f>
        <v>10</v>
      </c>
      <c r="E2312" t="s">
        <v>1530</v>
      </c>
      <c r="F2312" t="s">
        <v>1531</v>
      </c>
      <c r="G2312" s="23" t="s">
        <v>41</v>
      </c>
      <c r="H2312" s="23" t="s">
        <v>68</v>
      </c>
      <c r="I2312" t="s">
        <v>3382</v>
      </c>
      <c r="J2312" t="s">
        <v>22</v>
      </c>
      <c r="K2312" s="22">
        <v>4</v>
      </c>
      <c r="L2312" s="1">
        <v>43032</v>
      </c>
      <c r="M2312" s="22">
        <f>Table3[[#This Row],[Ship Date]]-Table3[[#This Row],[Order Date]]</f>
        <v>2</v>
      </c>
      <c r="N2312" s="23" t="s">
        <v>20</v>
      </c>
      <c r="O2312" s="23" t="s">
        <v>23</v>
      </c>
      <c r="P2312" s="23" t="s">
        <v>405</v>
      </c>
      <c r="Q2312" s="23" t="s">
        <v>39</v>
      </c>
      <c r="R2312" s="23" t="s">
        <v>4737</v>
      </c>
      <c r="S2312" s="33">
        <v>0.7</v>
      </c>
      <c r="T2312" s="13">
        <v>3.1680000000000001</v>
      </c>
      <c r="U2312" s="13">
        <v>-2.5344000000000002</v>
      </c>
      <c r="V2312" s="55">
        <f>Table3[[#This Row],[Profit]]/Table3[[#This Row],[Sales]]</f>
        <v>-0.8</v>
      </c>
    </row>
    <row r="2313" spans="1:22" x14ac:dyDescent="0.2">
      <c r="A2313">
        <v>2312</v>
      </c>
      <c r="B2313" t="s">
        <v>6922</v>
      </c>
      <c r="C2313" s="1">
        <v>43030</v>
      </c>
      <c r="D2313" s="22">
        <f>MONTH(Table3[[#This Row],[Order Date]])</f>
        <v>10</v>
      </c>
      <c r="E2313" t="s">
        <v>6923</v>
      </c>
      <c r="F2313" t="s">
        <v>6924</v>
      </c>
      <c r="G2313" s="23" t="s">
        <v>28</v>
      </c>
      <c r="H2313" s="23" t="s">
        <v>32</v>
      </c>
      <c r="I2313" t="s">
        <v>3382</v>
      </c>
      <c r="J2313" t="s">
        <v>22</v>
      </c>
      <c r="K2313" s="22">
        <v>4</v>
      </c>
      <c r="L2313" s="1">
        <v>43032</v>
      </c>
      <c r="M2313" s="22">
        <f>Table3[[#This Row],[Ship Date]]-Table3[[#This Row],[Order Date]]</f>
        <v>2</v>
      </c>
      <c r="N2313" s="23" t="s">
        <v>20</v>
      </c>
      <c r="O2313" s="23" t="s">
        <v>23</v>
      </c>
      <c r="P2313" s="23" t="s">
        <v>405</v>
      </c>
      <c r="Q2313" s="23" t="s">
        <v>39</v>
      </c>
      <c r="R2313" s="23" t="s">
        <v>4737</v>
      </c>
      <c r="S2313" s="33">
        <v>0.2</v>
      </c>
      <c r="T2313" s="13">
        <v>579.13599999999997</v>
      </c>
      <c r="U2313" s="13">
        <v>-28.956800000000001</v>
      </c>
      <c r="V2313" s="55">
        <f>Table3[[#This Row],[Profit]]/Table3[[#This Row],[Sales]]</f>
        <v>-0.05</v>
      </c>
    </row>
    <row r="2314" spans="1:22" x14ac:dyDescent="0.2">
      <c r="A2314">
        <v>2313</v>
      </c>
      <c r="B2314" t="s">
        <v>8602</v>
      </c>
      <c r="C2314" s="1">
        <v>43030</v>
      </c>
      <c r="D2314" s="22">
        <f>MONTH(Table3[[#This Row],[Order Date]])</f>
        <v>10</v>
      </c>
      <c r="E2314" t="s">
        <v>221</v>
      </c>
      <c r="F2314" t="s">
        <v>222</v>
      </c>
      <c r="G2314" s="23" t="s">
        <v>64</v>
      </c>
      <c r="H2314" s="23" t="s">
        <v>65</v>
      </c>
      <c r="I2314" t="s">
        <v>3738</v>
      </c>
      <c r="J2314" t="s">
        <v>36</v>
      </c>
      <c r="K2314" s="22">
        <v>5</v>
      </c>
      <c r="L2314" s="1">
        <v>43036</v>
      </c>
      <c r="M2314" s="22">
        <f>Table3[[#This Row],[Ship Date]]-Table3[[#This Row],[Order Date]]</f>
        <v>6</v>
      </c>
      <c r="N2314" s="23" t="s">
        <v>45</v>
      </c>
      <c r="O2314" s="23" t="s">
        <v>23</v>
      </c>
      <c r="P2314" s="23" t="s">
        <v>132</v>
      </c>
      <c r="Q2314" s="23" t="s">
        <v>133</v>
      </c>
      <c r="R2314" s="23" t="s">
        <v>131</v>
      </c>
      <c r="S2314" s="33">
        <v>0.4</v>
      </c>
      <c r="T2314" s="13">
        <v>32.700000000000003</v>
      </c>
      <c r="U2314" s="13">
        <v>-6.54</v>
      </c>
      <c r="V2314" s="55">
        <f>Table3[[#This Row],[Profit]]/Table3[[#This Row],[Sales]]</f>
        <v>-0.19999999999999998</v>
      </c>
    </row>
    <row r="2315" spans="1:22" x14ac:dyDescent="0.2">
      <c r="A2315">
        <v>2314</v>
      </c>
      <c r="B2315" t="s">
        <v>8602</v>
      </c>
      <c r="C2315" s="1">
        <v>43030</v>
      </c>
      <c r="D2315" s="22">
        <f>MONTH(Table3[[#This Row],[Order Date]])</f>
        <v>10</v>
      </c>
      <c r="E2315" t="s">
        <v>6687</v>
      </c>
      <c r="F2315" t="s">
        <v>6688</v>
      </c>
      <c r="G2315" s="23" t="s">
        <v>41</v>
      </c>
      <c r="H2315" s="23" t="s">
        <v>155</v>
      </c>
      <c r="I2315" t="s">
        <v>3738</v>
      </c>
      <c r="J2315" t="s">
        <v>36</v>
      </c>
      <c r="K2315" s="22">
        <v>4</v>
      </c>
      <c r="L2315" s="1">
        <v>43036</v>
      </c>
      <c r="M2315" s="22">
        <f>Table3[[#This Row],[Ship Date]]-Table3[[#This Row],[Order Date]]</f>
        <v>6</v>
      </c>
      <c r="N2315" s="23" t="s">
        <v>45</v>
      </c>
      <c r="O2315" s="23" t="s">
        <v>23</v>
      </c>
      <c r="P2315" s="23" t="s">
        <v>132</v>
      </c>
      <c r="Q2315" s="23" t="s">
        <v>133</v>
      </c>
      <c r="R2315" s="23" t="s">
        <v>131</v>
      </c>
      <c r="S2315" s="33">
        <v>0.2</v>
      </c>
      <c r="T2315" s="13">
        <v>31.68</v>
      </c>
      <c r="U2315" s="13">
        <v>11.087999999999999</v>
      </c>
      <c r="V2315" s="55">
        <f>Table3[[#This Row],[Profit]]/Table3[[#This Row],[Sales]]</f>
        <v>0.35</v>
      </c>
    </row>
    <row r="2316" spans="1:22" x14ac:dyDescent="0.2">
      <c r="A2316">
        <v>2315</v>
      </c>
      <c r="B2316" t="s">
        <v>3103</v>
      </c>
      <c r="C2316" s="1">
        <v>43031</v>
      </c>
      <c r="D2316" s="22">
        <f>MONTH(Table3[[#This Row],[Order Date]])</f>
        <v>10</v>
      </c>
      <c r="E2316" t="s">
        <v>3105</v>
      </c>
      <c r="F2316" t="s">
        <v>3106</v>
      </c>
      <c r="G2316" s="23" t="s">
        <v>64</v>
      </c>
      <c r="H2316" s="23" t="s">
        <v>65</v>
      </c>
      <c r="I2316" t="s">
        <v>3104</v>
      </c>
      <c r="J2316" t="s">
        <v>22</v>
      </c>
      <c r="K2316" s="22">
        <v>3</v>
      </c>
      <c r="L2316" s="1">
        <v>43035</v>
      </c>
      <c r="M2316" s="22">
        <f>Table3[[#This Row],[Ship Date]]-Table3[[#This Row],[Order Date]]</f>
        <v>4</v>
      </c>
      <c r="N2316" s="23" t="s">
        <v>45</v>
      </c>
      <c r="O2316" s="23" t="s">
        <v>23</v>
      </c>
      <c r="P2316" s="23" t="s">
        <v>48</v>
      </c>
      <c r="Q2316" s="23" t="s">
        <v>26</v>
      </c>
      <c r="R2316" s="23" t="s">
        <v>1345</v>
      </c>
      <c r="S2316" s="33">
        <v>0.2</v>
      </c>
      <c r="T2316" s="13">
        <v>863.88</v>
      </c>
      <c r="U2316" s="13">
        <v>107.985</v>
      </c>
      <c r="V2316" s="55">
        <f>Table3[[#This Row],[Profit]]/Table3[[#This Row],[Sales]]</f>
        <v>0.125</v>
      </c>
    </row>
    <row r="2317" spans="1:22" x14ac:dyDescent="0.2">
      <c r="A2317">
        <v>2316</v>
      </c>
      <c r="B2317" t="s">
        <v>5416</v>
      </c>
      <c r="C2317" s="1">
        <v>43031</v>
      </c>
      <c r="D2317" s="22">
        <f>MONTH(Table3[[#This Row],[Order Date]])</f>
        <v>10</v>
      </c>
      <c r="E2317" t="s">
        <v>5417</v>
      </c>
      <c r="F2317" t="s">
        <v>5418</v>
      </c>
      <c r="G2317" s="23" t="s">
        <v>41</v>
      </c>
      <c r="H2317" s="23" t="s">
        <v>82</v>
      </c>
      <c r="I2317" t="s">
        <v>332</v>
      </c>
      <c r="J2317" t="s">
        <v>36</v>
      </c>
      <c r="K2317" s="22">
        <v>2</v>
      </c>
      <c r="L2317" s="1">
        <v>43037</v>
      </c>
      <c r="M2317" s="22">
        <f>Table3[[#This Row],[Ship Date]]-Table3[[#This Row],[Order Date]]</f>
        <v>6</v>
      </c>
      <c r="N2317" s="23" t="s">
        <v>45</v>
      </c>
      <c r="O2317" s="23" t="s">
        <v>23</v>
      </c>
      <c r="P2317" s="23" t="s">
        <v>238</v>
      </c>
      <c r="Q2317" s="23" t="s">
        <v>133</v>
      </c>
      <c r="R2317" s="23" t="s">
        <v>347</v>
      </c>
      <c r="S2317" s="33">
        <v>0</v>
      </c>
      <c r="T2317" s="13">
        <v>11.56</v>
      </c>
      <c r="U2317" s="13">
        <v>5.6643999999999997</v>
      </c>
      <c r="V2317" s="55">
        <f>Table3[[#This Row],[Profit]]/Table3[[#This Row],[Sales]]</f>
        <v>0.48999999999999994</v>
      </c>
    </row>
    <row r="2318" spans="1:22" x14ac:dyDescent="0.2">
      <c r="A2318">
        <v>2317</v>
      </c>
      <c r="B2318" t="s">
        <v>5416</v>
      </c>
      <c r="C2318" s="1">
        <v>43031</v>
      </c>
      <c r="D2318" s="22">
        <f>MONTH(Table3[[#This Row],[Order Date]])</f>
        <v>10</v>
      </c>
      <c r="E2318" t="s">
        <v>805</v>
      </c>
      <c r="F2318" t="s">
        <v>806</v>
      </c>
      <c r="G2318" s="23" t="s">
        <v>41</v>
      </c>
      <c r="H2318" s="23" t="s">
        <v>82</v>
      </c>
      <c r="I2318" t="s">
        <v>332</v>
      </c>
      <c r="J2318" t="s">
        <v>36</v>
      </c>
      <c r="K2318" s="22">
        <v>5</v>
      </c>
      <c r="L2318" s="1">
        <v>43037</v>
      </c>
      <c r="M2318" s="22">
        <f>Table3[[#This Row],[Ship Date]]-Table3[[#This Row],[Order Date]]</f>
        <v>6</v>
      </c>
      <c r="N2318" s="23" t="s">
        <v>45</v>
      </c>
      <c r="O2318" s="23" t="s">
        <v>23</v>
      </c>
      <c r="P2318" s="23" t="s">
        <v>238</v>
      </c>
      <c r="Q2318" s="23" t="s">
        <v>133</v>
      </c>
      <c r="R2318" s="23" t="s">
        <v>347</v>
      </c>
      <c r="S2318" s="33">
        <v>0</v>
      </c>
      <c r="T2318" s="13">
        <v>26.4</v>
      </c>
      <c r="U2318" s="13">
        <v>11.88</v>
      </c>
      <c r="V2318" s="55">
        <f>Table3[[#This Row],[Profit]]/Table3[[#This Row],[Sales]]</f>
        <v>0.45000000000000007</v>
      </c>
    </row>
    <row r="2319" spans="1:22" x14ac:dyDescent="0.2">
      <c r="A2319">
        <v>2318</v>
      </c>
      <c r="B2319" t="s">
        <v>5416</v>
      </c>
      <c r="C2319" s="1">
        <v>43031</v>
      </c>
      <c r="D2319" s="22">
        <f>MONTH(Table3[[#This Row],[Order Date]])</f>
        <v>10</v>
      </c>
      <c r="E2319" t="s">
        <v>5419</v>
      </c>
      <c r="F2319" t="s">
        <v>5420</v>
      </c>
      <c r="G2319" s="23" t="s">
        <v>28</v>
      </c>
      <c r="H2319" s="23" t="s">
        <v>58</v>
      </c>
      <c r="I2319" t="s">
        <v>332</v>
      </c>
      <c r="J2319" t="s">
        <v>36</v>
      </c>
      <c r="K2319" s="22">
        <v>11</v>
      </c>
      <c r="L2319" s="1">
        <v>43037</v>
      </c>
      <c r="M2319" s="22">
        <f>Table3[[#This Row],[Ship Date]]-Table3[[#This Row],[Order Date]]</f>
        <v>6</v>
      </c>
      <c r="N2319" s="23" t="s">
        <v>45</v>
      </c>
      <c r="O2319" s="23" t="s">
        <v>23</v>
      </c>
      <c r="P2319" s="23" t="s">
        <v>238</v>
      </c>
      <c r="Q2319" s="23" t="s">
        <v>133</v>
      </c>
      <c r="R2319" s="23" t="s">
        <v>347</v>
      </c>
      <c r="S2319" s="33">
        <v>0</v>
      </c>
      <c r="T2319" s="13">
        <v>69.08</v>
      </c>
      <c r="U2319" s="13">
        <v>29.0136</v>
      </c>
      <c r="V2319" s="55">
        <f>Table3[[#This Row],[Profit]]/Table3[[#This Row],[Sales]]</f>
        <v>0.42000000000000004</v>
      </c>
    </row>
    <row r="2320" spans="1:22" x14ac:dyDescent="0.2">
      <c r="A2320">
        <v>2319</v>
      </c>
      <c r="B2320" t="s">
        <v>5416</v>
      </c>
      <c r="C2320" s="1">
        <v>43031</v>
      </c>
      <c r="D2320" s="22">
        <f>MONTH(Table3[[#This Row],[Order Date]])</f>
        <v>10</v>
      </c>
      <c r="E2320" t="s">
        <v>676</v>
      </c>
      <c r="F2320" t="s">
        <v>677</v>
      </c>
      <c r="G2320" s="23" t="s">
        <v>64</v>
      </c>
      <c r="H2320" s="23" t="s">
        <v>65</v>
      </c>
      <c r="I2320" t="s">
        <v>332</v>
      </c>
      <c r="J2320" t="s">
        <v>36</v>
      </c>
      <c r="K2320" s="22">
        <v>3</v>
      </c>
      <c r="L2320" s="1">
        <v>43037</v>
      </c>
      <c r="M2320" s="22">
        <f>Table3[[#This Row],[Ship Date]]-Table3[[#This Row],[Order Date]]</f>
        <v>6</v>
      </c>
      <c r="N2320" s="23" t="s">
        <v>45</v>
      </c>
      <c r="O2320" s="23" t="s">
        <v>23</v>
      </c>
      <c r="P2320" s="23" t="s">
        <v>238</v>
      </c>
      <c r="Q2320" s="23" t="s">
        <v>133</v>
      </c>
      <c r="R2320" s="23" t="s">
        <v>347</v>
      </c>
      <c r="S2320" s="33">
        <v>0</v>
      </c>
      <c r="T2320" s="13">
        <v>35.880000000000003</v>
      </c>
      <c r="U2320" s="13">
        <v>10.0464</v>
      </c>
      <c r="V2320" s="55">
        <f>Table3[[#This Row],[Profit]]/Table3[[#This Row],[Sales]]</f>
        <v>0.27999999999999997</v>
      </c>
    </row>
    <row r="2321" spans="1:22" x14ac:dyDescent="0.2">
      <c r="A2321">
        <v>2320</v>
      </c>
      <c r="B2321" t="s">
        <v>6280</v>
      </c>
      <c r="C2321" s="1">
        <v>43031</v>
      </c>
      <c r="D2321" s="22">
        <f>MONTH(Table3[[#This Row],[Order Date]])</f>
        <v>10</v>
      </c>
      <c r="E2321" t="s">
        <v>3421</v>
      </c>
      <c r="F2321" t="s">
        <v>1073</v>
      </c>
      <c r="G2321" s="23" t="s">
        <v>41</v>
      </c>
      <c r="H2321" s="23" t="s">
        <v>68</v>
      </c>
      <c r="I2321" t="s">
        <v>5340</v>
      </c>
      <c r="J2321" t="s">
        <v>22</v>
      </c>
      <c r="K2321" s="22">
        <v>3</v>
      </c>
      <c r="L2321" s="1">
        <v>43036</v>
      </c>
      <c r="M2321" s="22">
        <f>Table3[[#This Row],[Ship Date]]-Table3[[#This Row],[Order Date]]</f>
        <v>5</v>
      </c>
      <c r="N2321" s="23" t="s">
        <v>20</v>
      </c>
      <c r="O2321" s="23" t="s">
        <v>23</v>
      </c>
      <c r="P2321" s="23" t="s">
        <v>94</v>
      </c>
      <c r="Q2321" s="23" t="s">
        <v>95</v>
      </c>
      <c r="R2321" s="23" t="s">
        <v>598</v>
      </c>
      <c r="S2321" s="33">
        <v>0.8</v>
      </c>
      <c r="T2321" s="13">
        <v>3.5640000000000001</v>
      </c>
      <c r="U2321" s="13">
        <v>-6.2370000000000001</v>
      </c>
      <c r="V2321" s="55">
        <f>Table3[[#This Row],[Profit]]/Table3[[#This Row],[Sales]]</f>
        <v>-1.75</v>
      </c>
    </row>
    <row r="2322" spans="1:22" x14ac:dyDescent="0.2">
      <c r="A2322">
        <v>2321</v>
      </c>
      <c r="B2322" t="s">
        <v>6280</v>
      </c>
      <c r="C2322" s="1">
        <v>43031</v>
      </c>
      <c r="D2322" s="22">
        <f>MONTH(Table3[[#This Row],[Order Date]])</f>
        <v>10</v>
      </c>
      <c r="E2322" t="s">
        <v>4118</v>
      </c>
      <c r="F2322" t="s">
        <v>4119</v>
      </c>
      <c r="G2322" s="23" t="s">
        <v>64</v>
      </c>
      <c r="H2322" s="23" t="s">
        <v>65</v>
      </c>
      <c r="I2322" t="s">
        <v>5340</v>
      </c>
      <c r="J2322" t="s">
        <v>22</v>
      </c>
      <c r="K2322" s="22">
        <v>5</v>
      </c>
      <c r="L2322" s="1">
        <v>43036</v>
      </c>
      <c r="M2322" s="22">
        <f>Table3[[#This Row],[Ship Date]]-Table3[[#This Row],[Order Date]]</f>
        <v>5</v>
      </c>
      <c r="N2322" s="23" t="s">
        <v>20</v>
      </c>
      <c r="O2322" s="23" t="s">
        <v>23</v>
      </c>
      <c r="P2322" s="23" t="s">
        <v>94</v>
      </c>
      <c r="Q2322" s="23" t="s">
        <v>95</v>
      </c>
      <c r="R2322" s="23" t="s">
        <v>598</v>
      </c>
      <c r="S2322" s="33">
        <v>0.2</v>
      </c>
      <c r="T2322" s="13">
        <v>823.96</v>
      </c>
      <c r="U2322" s="13">
        <v>51.497500000000002</v>
      </c>
      <c r="V2322" s="55">
        <f>Table3[[#This Row],[Profit]]/Table3[[#This Row],[Sales]]</f>
        <v>6.25E-2</v>
      </c>
    </row>
    <row r="2323" spans="1:22" x14ac:dyDescent="0.2">
      <c r="A2323">
        <v>2322</v>
      </c>
      <c r="B2323" t="s">
        <v>6280</v>
      </c>
      <c r="C2323" s="1">
        <v>43031</v>
      </c>
      <c r="D2323" s="22">
        <f>MONTH(Table3[[#This Row],[Order Date]])</f>
        <v>10</v>
      </c>
      <c r="E2323" t="s">
        <v>3485</v>
      </c>
      <c r="F2323" t="s">
        <v>3486</v>
      </c>
      <c r="G2323" s="23" t="s">
        <v>41</v>
      </c>
      <c r="H2323" s="23" t="s">
        <v>61</v>
      </c>
      <c r="I2323" t="s">
        <v>5340</v>
      </c>
      <c r="J2323" t="s">
        <v>22</v>
      </c>
      <c r="K2323" s="22">
        <v>3</v>
      </c>
      <c r="L2323" s="1">
        <v>43036</v>
      </c>
      <c r="M2323" s="22">
        <f>Table3[[#This Row],[Ship Date]]-Table3[[#This Row],[Order Date]]</f>
        <v>5</v>
      </c>
      <c r="N2323" s="23" t="s">
        <v>20</v>
      </c>
      <c r="O2323" s="23" t="s">
        <v>23</v>
      </c>
      <c r="P2323" s="23" t="s">
        <v>94</v>
      </c>
      <c r="Q2323" s="23" t="s">
        <v>95</v>
      </c>
      <c r="R2323" s="23" t="s">
        <v>598</v>
      </c>
      <c r="S2323" s="33">
        <v>0.2</v>
      </c>
      <c r="T2323" s="13">
        <v>10.272</v>
      </c>
      <c r="U2323" s="13">
        <v>0.89880000000000004</v>
      </c>
      <c r="V2323" s="55">
        <f>Table3[[#This Row],[Profit]]/Table3[[#This Row],[Sales]]</f>
        <v>8.7500000000000008E-2</v>
      </c>
    </row>
    <row r="2324" spans="1:22" x14ac:dyDescent="0.2">
      <c r="A2324">
        <v>2323</v>
      </c>
      <c r="B2324" t="s">
        <v>6524</v>
      </c>
      <c r="C2324" s="1">
        <v>43031</v>
      </c>
      <c r="D2324" s="22">
        <f>MONTH(Table3[[#This Row],[Order Date]])</f>
        <v>10</v>
      </c>
      <c r="E2324" t="s">
        <v>5851</v>
      </c>
      <c r="F2324" t="s">
        <v>5852</v>
      </c>
      <c r="G2324" s="23" t="s">
        <v>41</v>
      </c>
      <c r="H2324" s="23" t="s">
        <v>68</v>
      </c>
      <c r="I2324" t="s">
        <v>6069</v>
      </c>
      <c r="J2324" t="s">
        <v>22</v>
      </c>
      <c r="K2324" s="22">
        <v>3</v>
      </c>
      <c r="L2324" s="1">
        <v>43036</v>
      </c>
      <c r="M2324" s="22">
        <f>Table3[[#This Row],[Ship Date]]-Table3[[#This Row],[Order Date]]</f>
        <v>5</v>
      </c>
      <c r="N2324" s="23" t="s">
        <v>45</v>
      </c>
      <c r="O2324" s="23" t="s">
        <v>23</v>
      </c>
      <c r="P2324" s="23" t="s">
        <v>94</v>
      </c>
      <c r="Q2324" s="23" t="s">
        <v>95</v>
      </c>
      <c r="R2324" s="23" t="s">
        <v>1095</v>
      </c>
      <c r="S2324" s="33">
        <v>0.8</v>
      </c>
      <c r="T2324" s="13">
        <v>9.7620000000000005</v>
      </c>
      <c r="U2324" s="13">
        <v>-15.1311</v>
      </c>
      <c r="V2324" s="55">
        <f>Table3[[#This Row],[Profit]]/Table3[[#This Row],[Sales]]</f>
        <v>-1.5499999999999998</v>
      </c>
    </row>
    <row r="2325" spans="1:22" x14ac:dyDescent="0.2">
      <c r="A2325">
        <v>2324</v>
      </c>
      <c r="B2325" t="s">
        <v>6524</v>
      </c>
      <c r="C2325" s="1">
        <v>43031</v>
      </c>
      <c r="D2325" s="22">
        <f>MONTH(Table3[[#This Row],[Order Date]])</f>
        <v>10</v>
      </c>
      <c r="E2325" t="s">
        <v>1564</v>
      </c>
      <c r="F2325" t="s">
        <v>1565</v>
      </c>
      <c r="G2325" s="23" t="s">
        <v>41</v>
      </c>
      <c r="H2325" s="23" t="s">
        <v>53</v>
      </c>
      <c r="I2325" t="s">
        <v>6069</v>
      </c>
      <c r="J2325" t="s">
        <v>22</v>
      </c>
      <c r="K2325" s="22">
        <v>1</v>
      </c>
      <c r="L2325" s="1">
        <v>43036</v>
      </c>
      <c r="M2325" s="22">
        <f>Table3[[#This Row],[Ship Date]]-Table3[[#This Row],[Order Date]]</f>
        <v>5</v>
      </c>
      <c r="N2325" s="23" t="s">
        <v>45</v>
      </c>
      <c r="O2325" s="23" t="s">
        <v>23</v>
      </c>
      <c r="P2325" s="23" t="s">
        <v>94</v>
      </c>
      <c r="Q2325" s="23" t="s">
        <v>95</v>
      </c>
      <c r="R2325" s="23" t="s">
        <v>1095</v>
      </c>
      <c r="S2325" s="33">
        <v>0.2</v>
      </c>
      <c r="T2325" s="13">
        <v>13.72</v>
      </c>
      <c r="U2325" s="13">
        <v>1.2004999999999999</v>
      </c>
      <c r="V2325" s="55">
        <f>Table3[[#This Row],[Profit]]/Table3[[#This Row],[Sales]]</f>
        <v>8.7499999999999994E-2</v>
      </c>
    </row>
    <row r="2326" spans="1:22" x14ac:dyDescent="0.2">
      <c r="A2326">
        <v>2325</v>
      </c>
      <c r="B2326" t="s">
        <v>6524</v>
      </c>
      <c r="C2326" s="1">
        <v>43031</v>
      </c>
      <c r="D2326" s="22">
        <f>MONTH(Table3[[#This Row],[Order Date]])</f>
        <v>10</v>
      </c>
      <c r="E2326" t="s">
        <v>6412</v>
      </c>
      <c r="F2326" t="s">
        <v>6413</v>
      </c>
      <c r="G2326" s="23" t="s">
        <v>64</v>
      </c>
      <c r="H2326" s="23" t="s">
        <v>144</v>
      </c>
      <c r="I2326" t="s">
        <v>6069</v>
      </c>
      <c r="J2326" t="s">
        <v>22</v>
      </c>
      <c r="K2326" s="22">
        <v>1</v>
      </c>
      <c r="L2326" s="1">
        <v>43036</v>
      </c>
      <c r="M2326" s="22">
        <f>Table3[[#This Row],[Ship Date]]-Table3[[#This Row],[Order Date]]</f>
        <v>5</v>
      </c>
      <c r="N2326" s="23" t="s">
        <v>45</v>
      </c>
      <c r="O2326" s="23" t="s">
        <v>23</v>
      </c>
      <c r="P2326" s="23" t="s">
        <v>94</v>
      </c>
      <c r="Q2326" s="23" t="s">
        <v>95</v>
      </c>
      <c r="R2326" s="23" t="s">
        <v>1095</v>
      </c>
      <c r="S2326" s="33">
        <v>0.2</v>
      </c>
      <c r="T2326" s="13">
        <v>55.2</v>
      </c>
      <c r="U2326" s="13">
        <v>-2.0699999999999998</v>
      </c>
      <c r="V2326" s="55">
        <f>Table3[[#This Row],[Profit]]/Table3[[#This Row],[Sales]]</f>
        <v>-3.7499999999999999E-2</v>
      </c>
    </row>
    <row r="2327" spans="1:22" x14ac:dyDescent="0.2">
      <c r="A2327">
        <v>2326</v>
      </c>
      <c r="B2327" t="s">
        <v>6524</v>
      </c>
      <c r="C2327" s="1">
        <v>43031</v>
      </c>
      <c r="D2327" s="22">
        <f>MONTH(Table3[[#This Row],[Order Date]])</f>
        <v>10</v>
      </c>
      <c r="E2327" t="s">
        <v>2995</v>
      </c>
      <c r="F2327" t="s">
        <v>2996</v>
      </c>
      <c r="G2327" s="23" t="s">
        <v>41</v>
      </c>
      <c r="H2327" s="23" t="s">
        <v>53</v>
      </c>
      <c r="I2327" t="s">
        <v>6069</v>
      </c>
      <c r="J2327" t="s">
        <v>22</v>
      </c>
      <c r="K2327" s="22">
        <v>4</v>
      </c>
      <c r="L2327" s="1">
        <v>43036</v>
      </c>
      <c r="M2327" s="22">
        <f>Table3[[#This Row],[Ship Date]]-Table3[[#This Row],[Order Date]]</f>
        <v>5</v>
      </c>
      <c r="N2327" s="23" t="s">
        <v>45</v>
      </c>
      <c r="O2327" s="23" t="s">
        <v>23</v>
      </c>
      <c r="P2327" s="23" t="s">
        <v>94</v>
      </c>
      <c r="Q2327" s="23" t="s">
        <v>95</v>
      </c>
      <c r="R2327" s="23" t="s">
        <v>1095</v>
      </c>
      <c r="S2327" s="33">
        <v>0.2</v>
      </c>
      <c r="T2327" s="13">
        <v>259.13600000000002</v>
      </c>
      <c r="U2327" s="13">
        <v>-58.305599999999998</v>
      </c>
      <c r="V2327" s="55">
        <f>Table3[[#This Row],[Profit]]/Table3[[#This Row],[Sales]]</f>
        <v>-0.22499999999999998</v>
      </c>
    </row>
    <row r="2328" spans="1:22" x14ac:dyDescent="0.2">
      <c r="A2328">
        <v>2327</v>
      </c>
      <c r="B2328" t="s">
        <v>9254</v>
      </c>
      <c r="C2328" s="1">
        <v>43031</v>
      </c>
      <c r="D2328" s="22">
        <f>MONTH(Table3[[#This Row],[Order Date]])</f>
        <v>10</v>
      </c>
      <c r="E2328" t="s">
        <v>3373</v>
      </c>
      <c r="F2328" t="s">
        <v>2884</v>
      </c>
      <c r="G2328" s="23" t="s">
        <v>28</v>
      </c>
      <c r="H2328" s="23" t="s">
        <v>50</v>
      </c>
      <c r="I2328" t="s">
        <v>2486</v>
      </c>
      <c r="J2328" t="s">
        <v>36</v>
      </c>
      <c r="K2328" s="22">
        <v>4</v>
      </c>
      <c r="L2328" s="1">
        <v>43032</v>
      </c>
      <c r="M2328" s="22">
        <f>Table3[[#This Row],[Ship Date]]-Table3[[#This Row],[Order Date]]</f>
        <v>1</v>
      </c>
      <c r="N2328" s="23" t="s">
        <v>169</v>
      </c>
      <c r="O2328" s="23" t="s">
        <v>23</v>
      </c>
      <c r="P2328" s="23" t="s">
        <v>1235</v>
      </c>
      <c r="Q2328" s="23" t="s">
        <v>133</v>
      </c>
      <c r="R2328" s="23" t="s">
        <v>6573</v>
      </c>
      <c r="S2328" s="33">
        <v>0.3</v>
      </c>
      <c r="T2328" s="13">
        <v>240.744</v>
      </c>
      <c r="U2328" s="13">
        <v>-13.7568</v>
      </c>
      <c r="V2328" s="55">
        <f>Table3[[#This Row],[Profit]]/Table3[[#This Row],[Sales]]</f>
        <v>-5.7142857142857141E-2</v>
      </c>
    </row>
    <row r="2329" spans="1:22" x14ac:dyDescent="0.2">
      <c r="A2329">
        <v>2328</v>
      </c>
      <c r="B2329" t="s">
        <v>9254</v>
      </c>
      <c r="C2329" s="1">
        <v>43031</v>
      </c>
      <c r="D2329" s="22">
        <f>MONTH(Table3[[#This Row],[Order Date]])</f>
        <v>10</v>
      </c>
      <c r="E2329" t="s">
        <v>5470</v>
      </c>
      <c r="F2329" t="s">
        <v>5471</v>
      </c>
      <c r="G2329" s="23" t="s">
        <v>28</v>
      </c>
      <c r="H2329" s="23" t="s">
        <v>58</v>
      </c>
      <c r="I2329" t="s">
        <v>2486</v>
      </c>
      <c r="J2329" t="s">
        <v>36</v>
      </c>
      <c r="K2329" s="22">
        <v>4</v>
      </c>
      <c r="L2329" s="1">
        <v>43032</v>
      </c>
      <c r="M2329" s="22">
        <f>Table3[[#This Row],[Ship Date]]-Table3[[#This Row],[Order Date]]</f>
        <v>1</v>
      </c>
      <c r="N2329" s="23" t="s">
        <v>169</v>
      </c>
      <c r="O2329" s="23" t="s">
        <v>23</v>
      </c>
      <c r="P2329" s="23" t="s">
        <v>1235</v>
      </c>
      <c r="Q2329" s="23" t="s">
        <v>133</v>
      </c>
      <c r="R2329" s="23" t="s">
        <v>6573</v>
      </c>
      <c r="S2329" s="33">
        <v>0</v>
      </c>
      <c r="T2329" s="13">
        <v>35</v>
      </c>
      <c r="U2329" s="13">
        <v>14.7</v>
      </c>
      <c r="V2329" s="55">
        <f>Table3[[#This Row],[Profit]]/Table3[[#This Row],[Sales]]</f>
        <v>0.42</v>
      </c>
    </row>
    <row r="2330" spans="1:22" x14ac:dyDescent="0.2">
      <c r="A2330">
        <v>2329</v>
      </c>
      <c r="B2330" t="s">
        <v>9254</v>
      </c>
      <c r="C2330" s="1">
        <v>43031</v>
      </c>
      <c r="D2330" s="22">
        <f>MONTH(Table3[[#This Row],[Order Date]])</f>
        <v>10</v>
      </c>
      <c r="E2330" t="s">
        <v>8411</v>
      </c>
      <c r="F2330" t="s">
        <v>8412</v>
      </c>
      <c r="G2330" s="23" t="s">
        <v>28</v>
      </c>
      <c r="H2330" s="23" t="s">
        <v>58</v>
      </c>
      <c r="I2330" t="s">
        <v>2486</v>
      </c>
      <c r="J2330" t="s">
        <v>36</v>
      </c>
      <c r="K2330" s="22">
        <v>2</v>
      </c>
      <c r="L2330" s="1">
        <v>43032</v>
      </c>
      <c r="M2330" s="22">
        <f>Table3[[#This Row],[Ship Date]]-Table3[[#This Row],[Order Date]]</f>
        <v>1</v>
      </c>
      <c r="N2330" s="23" t="s">
        <v>169</v>
      </c>
      <c r="O2330" s="23" t="s">
        <v>23</v>
      </c>
      <c r="P2330" s="23" t="s">
        <v>1235</v>
      </c>
      <c r="Q2330" s="23" t="s">
        <v>133</v>
      </c>
      <c r="R2330" s="23" t="s">
        <v>6573</v>
      </c>
      <c r="S2330" s="33">
        <v>0</v>
      </c>
      <c r="T2330" s="13">
        <v>210.68</v>
      </c>
      <c r="U2330" s="13">
        <v>50.563200000000002</v>
      </c>
      <c r="V2330" s="55">
        <f>Table3[[#This Row],[Profit]]/Table3[[#This Row],[Sales]]</f>
        <v>0.24</v>
      </c>
    </row>
    <row r="2331" spans="1:22" x14ac:dyDescent="0.2">
      <c r="A2331">
        <v>2330</v>
      </c>
      <c r="B2331" t="s">
        <v>9254</v>
      </c>
      <c r="C2331" s="1">
        <v>43031</v>
      </c>
      <c r="D2331" s="22">
        <f>MONTH(Table3[[#This Row],[Order Date]])</f>
        <v>10</v>
      </c>
      <c r="E2331" t="s">
        <v>1173</v>
      </c>
      <c r="F2331" t="s">
        <v>1174</v>
      </c>
      <c r="G2331" s="23" t="s">
        <v>28</v>
      </c>
      <c r="H2331" s="23" t="s">
        <v>50</v>
      </c>
      <c r="I2331" t="s">
        <v>2486</v>
      </c>
      <c r="J2331" t="s">
        <v>36</v>
      </c>
      <c r="K2331" s="22">
        <v>3</v>
      </c>
      <c r="L2331" s="1">
        <v>43032</v>
      </c>
      <c r="M2331" s="22">
        <f>Table3[[#This Row],[Ship Date]]-Table3[[#This Row],[Order Date]]</f>
        <v>1</v>
      </c>
      <c r="N2331" s="23" t="s">
        <v>169</v>
      </c>
      <c r="O2331" s="23" t="s">
        <v>23</v>
      </c>
      <c r="P2331" s="23" t="s">
        <v>1235</v>
      </c>
      <c r="Q2331" s="23" t="s">
        <v>133</v>
      </c>
      <c r="R2331" s="23" t="s">
        <v>6573</v>
      </c>
      <c r="S2331" s="33">
        <v>0.3</v>
      </c>
      <c r="T2331" s="13">
        <v>637.89599999999996</v>
      </c>
      <c r="U2331" s="13">
        <v>-127.5792</v>
      </c>
      <c r="V2331" s="55">
        <f>Table3[[#This Row],[Profit]]/Table3[[#This Row],[Sales]]</f>
        <v>-0.2</v>
      </c>
    </row>
    <row r="2332" spans="1:22" x14ac:dyDescent="0.2">
      <c r="A2332">
        <v>2331</v>
      </c>
      <c r="B2332" t="s">
        <v>9254</v>
      </c>
      <c r="C2332" s="1">
        <v>43031</v>
      </c>
      <c r="D2332" s="22">
        <f>MONTH(Table3[[#This Row],[Order Date]])</f>
        <v>10</v>
      </c>
      <c r="E2332" t="s">
        <v>1267</v>
      </c>
      <c r="F2332" t="s">
        <v>1268</v>
      </c>
      <c r="G2332" s="23" t="s">
        <v>41</v>
      </c>
      <c r="H2332" s="23" t="s">
        <v>82</v>
      </c>
      <c r="I2332" t="s">
        <v>2486</v>
      </c>
      <c r="J2332" t="s">
        <v>36</v>
      </c>
      <c r="K2332" s="22">
        <v>8</v>
      </c>
      <c r="L2332" s="1">
        <v>43032</v>
      </c>
      <c r="M2332" s="22">
        <f>Table3[[#This Row],[Ship Date]]-Table3[[#This Row],[Order Date]]</f>
        <v>1</v>
      </c>
      <c r="N2332" s="23" t="s">
        <v>169</v>
      </c>
      <c r="O2332" s="23" t="s">
        <v>23</v>
      </c>
      <c r="P2332" s="23" t="s">
        <v>1235</v>
      </c>
      <c r="Q2332" s="23" t="s">
        <v>133</v>
      </c>
      <c r="R2332" s="23" t="s">
        <v>6573</v>
      </c>
      <c r="S2332" s="33">
        <v>0</v>
      </c>
      <c r="T2332" s="13">
        <v>43.44</v>
      </c>
      <c r="U2332" s="13">
        <v>21.285599999999999</v>
      </c>
      <c r="V2332" s="55">
        <f>Table3[[#This Row],[Profit]]/Table3[[#This Row],[Sales]]</f>
        <v>0.49</v>
      </c>
    </row>
    <row r="2333" spans="1:22" x14ac:dyDescent="0.2">
      <c r="A2333">
        <v>2332</v>
      </c>
      <c r="B2333" t="s">
        <v>9254</v>
      </c>
      <c r="C2333" s="1">
        <v>43031</v>
      </c>
      <c r="D2333" s="22">
        <f>MONTH(Table3[[#This Row],[Order Date]])</f>
        <v>10</v>
      </c>
      <c r="E2333" t="s">
        <v>3904</v>
      </c>
      <c r="F2333" t="s">
        <v>3905</v>
      </c>
      <c r="G2333" s="23" t="s">
        <v>41</v>
      </c>
      <c r="H2333" s="23" t="s">
        <v>71</v>
      </c>
      <c r="I2333" t="s">
        <v>2486</v>
      </c>
      <c r="J2333" t="s">
        <v>36</v>
      </c>
      <c r="K2333" s="22">
        <v>1</v>
      </c>
      <c r="L2333" s="1">
        <v>43032</v>
      </c>
      <c r="M2333" s="22">
        <f>Table3[[#This Row],[Ship Date]]-Table3[[#This Row],[Order Date]]</f>
        <v>1</v>
      </c>
      <c r="N2333" s="23" t="s">
        <v>169</v>
      </c>
      <c r="O2333" s="23" t="s">
        <v>23</v>
      </c>
      <c r="P2333" s="23" t="s">
        <v>1235</v>
      </c>
      <c r="Q2333" s="23" t="s">
        <v>133</v>
      </c>
      <c r="R2333" s="23" t="s">
        <v>6573</v>
      </c>
      <c r="S2333" s="33">
        <v>0</v>
      </c>
      <c r="T2333" s="13">
        <v>2.2200000000000002</v>
      </c>
      <c r="U2333" s="13">
        <v>0.66600000000000004</v>
      </c>
      <c r="V2333" s="55">
        <f>Table3[[#This Row],[Profit]]/Table3[[#This Row],[Sales]]</f>
        <v>0.3</v>
      </c>
    </row>
    <row r="2334" spans="1:22" x14ac:dyDescent="0.2">
      <c r="A2334">
        <v>2333</v>
      </c>
      <c r="B2334" t="s">
        <v>9392</v>
      </c>
      <c r="C2334" s="1">
        <v>43032</v>
      </c>
      <c r="D2334" s="22">
        <f>MONTH(Table3[[#This Row],[Order Date]])</f>
        <v>10</v>
      </c>
      <c r="E2334" t="s">
        <v>3934</v>
      </c>
      <c r="F2334" t="s">
        <v>3935</v>
      </c>
      <c r="G2334" s="23" t="s">
        <v>28</v>
      </c>
      <c r="H2334" s="23" t="s">
        <v>50</v>
      </c>
      <c r="I2334" t="s">
        <v>1051</v>
      </c>
      <c r="J2334" t="s">
        <v>22</v>
      </c>
      <c r="K2334" s="22">
        <v>5</v>
      </c>
      <c r="L2334" s="1">
        <v>43034</v>
      </c>
      <c r="M2334" s="22">
        <f>Table3[[#This Row],[Ship Date]]-Table3[[#This Row],[Order Date]]</f>
        <v>2</v>
      </c>
      <c r="N2334" s="23" t="s">
        <v>169</v>
      </c>
      <c r="O2334" s="23" t="s">
        <v>23</v>
      </c>
      <c r="P2334" s="23" t="s">
        <v>94</v>
      </c>
      <c r="Q2334" s="23" t="s">
        <v>95</v>
      </c>
      <c r="R2334" s="23" t="s">
        <v>9393</v>
      </c>
      <c r="S2334" s="33">
        <v>0.3</v>
      </c>
      <c r="T2334" s="13">
        <v>517.40499999999997</v>
      </c>
      <c r="U2334" s="13">
        <v>-81.3065</v>
      </c>
      <c r="V2334" s="55">
        <f>Table3[[#This Row],[Profit]]/Table3[[#This Row],[Sales]]</f>
        <v>-0.15714285714285714</v>
      </c>
    </row>
    <row r="2335" spans="1:22" x14ac:dyDescent="0.2">
      <c r="A2335">
        <v>2334</v>
      </c>
      <c r="B2335" t="s">
        <v>9947</v>
      </c>
      <c r="C2335" s="1">
        <v>43032</v>
      </c>
      <c r="D2335" s="22">
        <f>MONTH(Table3[[#This Row],[Order Date]])</f>
        <v>10</v>
      </c>
      <c r="E2335" t="s">
        <v>2915</v>
      </c>
      <c r="F2335" t="s">
        <v>498</v>
      </c>
      <c r="G2335" s="23" t="s">
        <v>41</v>
      </c>
      <c r="H2335" s="23" t="s">
        <v>240</v>
      </c>
      <c r="I2335" t="s">
        <v>1725</v>
      </c>
      <c r="J2335" t="s">
        <v>22</v>
      </c>
      <c r="K2335" s="22">
        <v>4</v>
      </c>
      <c r="L2335" s="1">
        <v>43038</v>
      </c>
      <c r="M2335" s="22">
        <f>Table3[[#This Row],[Ship Date]]-Table3[[#This Row],[Order Date]]</f>
        <v>6</v>
      </c>
      <c r="N2335" s="23" t="s">
        <v>45</v>
      </c>
      <c r="O2335" s="23" t="s">
        <v>23</v>
      </c>
      <c r="P2335" s="23" t="s">
        <v>1315</v>
      </c>
      <c r="Q2335" s="23" t="s">
        <v>26</v>
      </c>
      <c r="R2335" s="23" t="s">
        <v>293</v>
      </c>
      <c r="S2335" s="33">
        <v>0</v>
      </c>
      <c r="T2335" s="13">
        <v>11.68</v>
      </c>
      <c r="U2335" s="13">
        <v>5.2560000000000002</v>
      </c>
      <c r="V2335" s="55">
        <f>Table3[[#This Row],[Profit]]/Table3[[#This Row],[Sales]]</f>
        <v>0.45</v>
      </c>
    </row>
    <row r="2336" spans="1:22" x14ac:dyDescent="0.2">
      <c r="A2336">
        <v>2335</v>
      </c>
      <c r="B2336" t="s">
        <v>345</v>
      </c>
      <c r="C2336" s="1">
        <v>43034</v>
      </c>
      <c r="D2336" s="22">
        <f>MONTH(Table3[[#This Row],[Order Date]])</f>
        <v>10</v>
      </c>
      <c r="E2336" t="s">
        <v>348</v>
      </c>
      <c r="F2336" t="s">
        <v>349</v>
      </c>
      <c r="G2336" s="23" t="s">
        <v>64</v>
      </c>
      <c r="H2336" s="23" t="s">
        <v>144</v>
      </c>
      <c r="I2336" t="s">
        <v>346</v>
      </c>
      <c r="J2336" t="s">
        <v>22</v>
      </c>
      <c r="K2336" s="22">
        <v>1</v>
      </c>
      <c r="L2336" s="1">
        <v>43041</v>
      </c>
      <c r="M2336" s="22">
        <f>Table3[[#This Row],[Ship Date]]-Table3[[#This Row],[Order Date]]</f>
        <v>7</v>
      </c>
      <c r="N2336" s="23" t="s">
        <v>45</v>
      </c>
      <c r="O2336" s="23" t="s">
        <v>23</v>
      </c>
      <c r="P2336" s="23" t="s">
        <v>204</v>
      </c>
      <c r="Q2336" s="23" t="s">
        <v>95</v>
      </c>
      <c r="R2336" s="23" t="s">
        <v>347</v>
      </c>
      <c r="S2336" s="33">
        <v>0</v>
      </c>
      <c r="T2336" s="13">
        <v>19.989999999999998</v>
      </c>
      <c r="U2336" s="13">
        <v>6.7965999999999998</v>
      </c>
      <c r="V2336" s="55">
        <f>Table3[[#This Row],[Profit]]/Table3[[#This Row],[Sales]]</f>
        <v>0.34</v>
      </c>
    </row>
    <row r="2337" spans="1:22" x14ac:dyDescent="0.2">
      <c r="A2337">
        <v>2336</v>
      </c>
      <c r="B2337" t="s">
        <v>345</v>
      </c>
      <c r="C2337" s="1">
        <v>43034</v>
      </c>
      <c r="D2337" s="22">
        <f>MONTH(Table3[[#This Row],[Order Date]])</f>
        <v>10</v>
      </c>
      <c r="E2337" t="s">
        <v>350</v>
      </c>
      <c r="F2337" t="s">
        <v>351</v>
      </c>
      <c r="G2337" s="23" t="s">
        <v>41</v>
      </c>
      <c r="H2337" s="23" t="s">
        <v>42</v>
      </c>
      <c r="I2337" t="s">
        <v>346</v>
      </c>
      <c r="J2337" t="s">
        <v>22</v>
      </c>
      <c r="K2337" s="22">
        <v>2</v>
      </c>
      <c r="L2337" s="1">
        <v>43041</v>
      </c>
      <c r="M2337" s="22">
        <f>Table3[[#This Row],[Ship Date]]-Table3[[#This Row],[Order Date]]</f>
        <v>7</v>
      </c>
      <c r="N2337" s="23" t="s">
        <v>45</v>
      </c>
      <c r="O2337" s="23" t="s">
        <v>23</v>
      </c>
      <c r="P2337" s="23" t="s">
        <v>204</v>
      </c>
      <c r="Q2337" s="23" t="s">
        <v>95</v>
      </c>
      <c r="R2337" s="23" t="s">
        <v>347</v>
      </c>
      <c r="S2337" s="33">
        <v>0</v>
      </c>
      <c r="T2337" s="13">
        <v>6.16</v>
      </c>
      <c r="U2337" s="13">
        <v>2.9567999999999999</v>
      </c>
      <c r="V2337" s="55">
        <f>Table3[[#This Row],[Profit]]/Table3[[#This Row],[Sales]]</f>
        <v>0.48</v>
      </c>
    </row>
    <row r="2338" spans="1:22" x14ac:dyDescent="0.2">
      <c r="A2338">
        <v>2337</v>
      </c>
      <c r="B2338" t="s">
        <v>8241</v>
      </c>
      <c r="C2338" s="1">
        <v>43034</v>
      </c>
      <c r="D2338" s="22">
        <f>MONTH(Table3[[#This Row],[Order Date]])</f>
        <v>10</v>
      </c>
      <c r="E2338" t="s">
        <v>2469</v>
      </c>
      <c r="F2338" t="s">
        <v>2470</v>
      </c>
      <c r="G2338" s="23" t="s">
        <v>28</v>
      </c>
      <c r="H2338" s="23" t="s">
        <v>50</v>
      </c>
      <c r="I2338" t="s">
        <v>1674</v>
      </c>
      <c r="J2338" t="s">
        <v>22</v>
      </c>
      <c r="K2338" s="22">
        <v>5</v>
      </c>
      <c r="L2338" s="1">
        <v>43040</v>
      </c>
      <c r="M2338" s="22">
        <f>Table3[[#This Row],[Ship Date]]-Table3[[#This Row],[Order Date]]</f>
        <v>6</v>
      </c>
      <c r="N2338" s="23" t="s">
        <v>45</v>
      </c>
      <c r="O2338" s="23" t="s">
        <v>23</v>
      </c>
      <c r="P2338" s="23" t="s">
        <v>285</v>
      </c>
      <c r="Q2338" s="23" t="s">
        <v>26</v>
      </c>
      <c r="R2338" s="23" t="s">
        <v>2621</v>
      </c>
      <c r="S2338" s="33">
        <v>0</v>
      </c>
      <c r="T2338" s="13">
        <v>356.85</v>
      </c>
      <c r="U2338" s="13">
        <v>60.664499999999997</v>
      </c>
      <c r="V2338" s="55">
        <f>Table3[[#This Row],[Profit]]/Table3[[#This Row],[Sales]]</f>
        <v>0.16999999999999998</v>
      </c>
    </row>
    <row r="2339" spans="1:22" x14ac:dyDescent="0.2">
      <c r="A2339">
        <v>2338</v>
      </c>
      <c r="B2339" t="s">
        <v>8241</v>
      </c>
      <c r="C2339" s="1">
        <v>43034</v>
      </c>
      <c r="D2339" s="22">
        <f>MONTH(Table3[[#This Row],[Order Date]])</f>
        <v>10</v>
      </c>
      <c r="E2339" t="s">
        <v>2899</v>
      </c>
      <c r="F2339" t="s">
        <v>2900</v>
      </c>
      <c r="G2339" s="23" t="s">
        <v>41</v>
      </c>
      <c r="H2339" s="23" t="s">
        <v>155</v>
      </c>
      <c r="I2339" t="s">
        <v>1674</v>
      </c>
      <c r="J2339" t="s">
        <v>22</v>
      </c>
      <c r="K2339" s="22">
        <v>7</v>
      </c>
      <c r="L2339" s="1">
        <v>43040</v>
      </c>
      <c r="M2339" s="22">
        <f>Table3[[#This Row],[Ship Date]]-Table3[[#This Row],[Order Date]]</f>
        <v>6</v>
      </c>
      <c r="N2339" s="23" t="s">
        <v>45</v>
      </c>
      <c r="O2339" s="23" t="s">
        <v>23</v>
      </c>
      <c r="P2339" s="23" t="s">
        <v>285</v>
      </c>
      <c r="Q2339" s="23" t="s">
        <v>26</v>
      </c>
      <c r="R2339" s="23" t="s">
        <v>2621</v>
      </c>
      <c r="S2339" s="33">
        <v>0</v>
      </c>
      <c r="T2339" s="13">
        <v>251.58</v>
      </c>
      <c r="U2339" s="13">
        <v>113.211</v>
      </c>
      <c r="V2339" s="55">
        <f>Table3[[#This Row],[Profit]]/Table3[[#This Row],[Sales]]</f>
        <v>0.44999999999999996</v>
      </c>
    </row>
    <row r="2340" spans="1:22" x14ac:dyDescent="0.2">
      <c r="A2340">
        <v>2339</v>
      </c>
      <c r="B2340" t="s">
        <v>8648</v>
      </c>
      <c r="C2340" s="1">
        <v>43034</v>
      </c>
      <c r="D2340" s="22">
        <f>MONTH(Table3[[#This Row],[Order Date]])</f>
        <v>10</v>
      </c>
      <c r="E2340" t="s">
        <v>869</v>
      </c>
      <c r="F2340" t="s">
        <v>870</v>
      </c>
      <c r="G2340" s="23" t="s">
        <v>64</v>
      </c>
      <c r="H2340" s="23" t="s">
        <v>65</v>
      </c>
      <c r="I2340" t="s">
        <v>3429</v>
      </c>
      <c r="J2340" t="s">
        <v>36</v>
      </c>
      <c r="K2340" s="22">
        <v>1</v>
      </c>
      <c r="L2340" s="1">
        <v>43038</v>
      </c>
      <c r="M2340" s="22">
        <f>Table3[[#This Row],[Ship Date]]-Table3[[#This Row],[Order Date]]</f>
        <v>4</v>
      </c>
      <c r="N2340" s="23" t="s">
        <v>45</v>
      </c>
      <c r="O2340" s="23" t="s">
        <v>23</v>
      </c>
      <c r="P2340" s="23" t="s">
        <v>132</v>
      </c>
      <c r="Q2340" s="23" t="s">
        <v>133</v>
      </c>
      <c r="R2340" s="23" t="s">
        <v>2174</v>
      </c>
      <c r="S2340" s="33">
        <v>0.4</v>
      </c>
      <c r="T2340" s="13">
        <v>61.542000000000002</v>
      </c>
      <c r="U2340" s="13">
        <v>-13.334099999999999</v>
      </c>
      <c r="V2340" s="55">
        <f>Table3[[#This Row],[Profit]]/Table3[[#This Row],[Sales]]</f>
        <v>-0.21666666666666665</v>
      </c>
    </row>
    <row r="2341" spans="1:22" x14ac:dyDescent="0.2">
      <c r="A2341">
        <v>2340</v>
      </c>
      <c r="B2341" t="s">
        <v>8648</v>
      </c>
      <c r="C2341" s="1">
        <v>43034</v>
      </c>
      <c r="D2341" s="22">
        <f>MONTH(Table3[[#This Row],[Order Date]])</f>
        <v>10</v>
      </c>
      <c r="E2341" t="s">
        <v>6098</v>
      </c>
      <c r="F2341" t="s">
        <v>6099</v>
      </c>
      <c r="G2341" s="23" t="s">
        <v>41</v>
      </c>
      <c r="H2341" s="23" t="s">
        <v>68</v>
      </c>
      <c r="I2341" t="s">
        <v>3429</v>
      </c>
      <c r="J2341" t="s">
        <v>36</v>
      </c>
      <c r="K2341" s="22">
        <v>7</v>
      </c>
      <c r="L2341" s="1">
        <v>43038</v>
      </c>
      <c r="M2341" s="22">
        <f>Table3[[#This Row],[Ship Date]]-Table3[[#This Row],[Order Date]]</f>
        <v>4</v>
      </c>
      <c r="N2341" s="23" t="s">
        <v>45</v>
      </c>
      <c r="O2341" s="23" t="s">
        <v>23</v>
      </c>
      <c r="P2341" s="23" t="s">
        <v>132</v>
      </c>
      <c r="Q2341" s="23" t="s">
        <v>133</v>
      </c>
      <c r="R2341" s="23" t="s">
        <v>2174</v>
      </c>
      <c r="S2341" s="33">
        <v>0.7</v>
      </c>
      <c r="T2341" s="13">
        <v>81.438000000000002</v>
      </c>
      <c r="U2341" s="13">
        <v>-65.150400000000005</v>
      </c>
      <c r="V2341" s="55">
        <f>Table3[[#This Row],[Profit]]/Table3[[#This Row],[Sales]]</f>
        <v>-0.8</v>
      </c>
    </row>
    <row r="2342" spans="1:22" x14ac:dyDescent="0.2">
      <c r="A2342">
        <v>2341</v>
      </c>
      <c r="B2342" t="s">
        <v>9468</v>
      </c>
      <c r="C2342" s="1">
        <v>43034</v>
      </c>
      <c r="D2342" s="22">
        <f>MONTH(Table3[[#This Row],[Order Date]])</f>
        <v>10</v>
      </c>
      <c r="E2342" t="s">
        <v>2770</v>
      </c>
      <c r="F2342" t="s">
        <v>2771</v>
      </c>
      <c r="G2342" s="23" t="s">
        <v>41</v>
      </c>
      <c r="H2342" s="23" t="s">
        <v>68</v>
      </c>
      <c r="I2342" t="s">
        <v>3257</v>
      </c>
      <c r="J2342" t="s">
        <v>22</v>
      </c>
      <c r="K2342" s="22">
        <v>3</v>
      </c>
      <c r="L2342" s="1">
        <v>43039</v>
      </c>
      <c r="M2342" s="22">
        <f>Table3[[#This Row],[Ship Date]]-Table3[[#This Row],[Order Date]]</f>
        <v>5</v>
      </c>
      <c r="N2342" s="23" t="s">
        <v>45</v>
      </c>
      <c r="O2342" s="23" t="s">
        <v>23</v>
      </c>
      <c r="P2342" s="23" t="s">
        <v>132</v>
      </c>
      <c r="Q2342" s="23" t="s">
        <v>133</v>
      </c>
      <c r="R2342" s="23" t="s">
        <v>131</v>
      </c>
      <c r="S2342" s="33">
        <v>0.7</v>
      </c>
      <c r="T2342" s="13">
        <v>33.281999999999996</v>
      </c>
      <c r="U2342" s="13">
        <v>-27.734999999999999</v>
      </c>
      <c r="V2342" s="55">
        <f>Table3[[#This Row],[Profit]]/Table3[[#This Row],[Sales]]</f>
        <v>-0.83333333333333337</v>
      </c>
    </row>
    <row r="2343" spans="1:22" x14ac:dyDescent="0.2">
      <c r="A2343">
        <v>2342</v>
      </c>
      <c r="B2343" t="s">
        <v>9468</v>
      </c>
      <c r="C2343" s="1">
        <v>43034</v>
      </c>
      <c r="D2343" s="22">
        <f>MONTH(Table3[[#This Row],[Order Date]])</f>
        <v>10</v>
      </c>
      <c r="E2343" t="s">
        <v>4485</v>
      </c>
      <c r="F2343" t="s">
        <v>4486</v>
      </c>
      <c r="G2343" s="23" t="s">
        <v>64</v>
      </c>
      <c r="H2343" s="23" t="s">
        <v>65</v>
      </c>
      <c r="I2343" t="s">
        <v>3257</v>
      </c>
      <c r="J2343" t="s">
        <v>22</v>
      </c>
      <c r="K2343" s="22">
        <v>5</v>
      </c>
      <c r="L2343" s="1">
        <v>43039</v>
      </c>
      <c r="M2343" s="22">
        <f>Table3[[#This Row],[Ship Date]]-Table3[[#This Row],[Order Date]]</f>
        <v>5</v>
      </c>
      <c r="N2343" s="23" t="s">
        <v>45</v>
      </c>
      <c r="O2343" s="23" t="s">
        <v>23</v>
      </c>
      <c r="P2343" s="23" t="s">
        <v>132</v>
      </c>
      <c r="Q2343" s="23" t="s">
        <v>133</v>
      </c>
      <c r="R2343" s="23" t="s">
        <v>131</v>
      </c>
      <c r="S2343" s="33">
        <v>0.4</v>
      </c>
      <c r="T2343" s="13">
        <v>118.65</v>
      </c>
      <c r="U2343" s="13">
        <v>19.774999999999999</v>
      </c>
      <c r="V2343" s="55">
        <f>Table3[[#This Row],[Profit]]/Table3[[#This Row],[Sales]]</f>
        <v>0.16666666666666666</v>
      </c>
    </row>
    <row r="2344" spans="1:22" x14ac:dyDescent="0.2">
      <c r="A2344">
        <v>2343</v>
      </c>
      <c r="B2344" t="s">
        <v>9468</v>
      </c>
      <c r="C2344" s="1">
        <v>43034</v>
      </c>
      <c r="D2344" s="22">
        <f>MONTH(Table3[[#This Row],[Order Date]])</f>
        <v>10</v>
      </c>
      <c r="E2344" t="s">
        <v>3202</v>
      </c>
      <c r="F2344" t="s">
        <v>3203</v>
      </c>
      <c r="G2344" s="23" t="s">
        <v>41</v>
      </c>
      <c r="H2344" s="23" t="s">
        <v>42</v>
      </c>
      <c r="I2344" t="s">
        <v>3257</v>
      </c>
      <c r="J2344" t="s">
        <v>22</v>
      </c>
      <c r="K2344" s="22">
        <v>5</v>
      </c>
      <c r="L2344" s="1">
        <v>43039</v>
      </c>
      <c r="M2344" s="22">
        <f>Table3[[#This Row],[Ship Date]]-Table3[[#This Row],[Order Date]]</f>
        <v>5</v>
      </c>
      <c r="N2344" s="23" t="s">
        <v>45</v>
      </c>
      <c r="O2344" s="23" t="s">
        <v>23</v>
      </c>
      <c r="P2344" s="23" t="s">
        <v>132</v>
      </c>
      <c r="Q2344" s="23" t="s">
        <v>133</v>
      </c>
      <c r="R2344" s="23" t="s">
        <v>131</v>
      </c>
      <c r="S2344" s="33">
        <v>0.2</v>
      </c>
      <c r="T2344" s="13">
        <v>14.76</v>
      </c>
      <c r="U2344" s="13">
        <v>4.9814999999999996</v>
      </c>
      <c r="V2344" s="55">
        <f>Table3[[#This Row],[Profit]]/Table3[[#This Row],[Sales]]</f>
        <v>0.33749999999999997</v>
      </c>
    </row>
    <row r="2345" spans="1:22" x14ac:dyDescent="0.2">
      <c r="A2345">
        <v>2344</v>
      </c>
      <c r="B2345" t="s">
        <v>9897</v>
      </c>
      <c r="C2345" s="1">
        <v>43034</v>
      </c>
      <c r="D2345" s="22">
        <f>MONTH(Table3[[#This Row],[Order Date]])</f>
        <v>10</v>
      </c>
      <c r="E2345" t="s">
        <v>4095</v>
      </c>
      <c r="F2345" t="s">
        <v>4096</v>
      </c>
      <c r="G2345" s="23" t="s">
        <v>41</v>
      </c>
      <c r="H2345" s="23" t="s">
        <v>53</v>
      </c>
      <c r="I2345" t="s">
        <v>5603</v>
      </c>
      <c r="J2345" t="s">
        <v>92</v>
      </c>
      <c r="K2345" s="22">
        <v>2</v>
      </c>
      <c r="L2345" s="1">
        <v>43039</v>
      </c>
      <c r="M2345" s="22">
        <f>Table3[[#This Row],[Ship Date]]-Table3[[#This Row],[Order Date]]</f>
        <v>5</v>
      </c>
      <c r="N2345" s="23" t="s">
        <v>45</v>
      </c>
      <c r="O2345" s="23" t="s">
        <v>23</v>
      </c>
      <c r="P2345" s="23" t="s">
        <v>94</v>
      </c>
      <c r="Q2345" s="23" t="s">
        <v>95</v>
      </c>
      <c r="R2345" s="23" t="s">
        <v>718</v>
      </c>
      <c r="S2345" s="33">
        <v>0.2</v>
      </c>
      <c r="T2345" s="13">
        <v>55.616</v>
      </c>
      <c r="U2345" s="13">
        <v>5.5616000000000003</v>
      </c>
      <c r="V2345" s="55">
        <f>Table3[[#This Row],[Profit]]/Table3[[#This Row],[Sales]]</f>
        <v>0.1</v>
      </c>
    </row>
    <row r="2346" spans="1:22" x14ac:dyDescent="0.2">
      <c r="A2346">
        <v>2345</v>
      </c>
      <c r="B2346" t="s">
        <v>5782</v>
      </c>
      <c r="C2346" s="1">
        <v>43035</v>
      </c>
      <c r="D2346" s="22">
        <f>MONTH(Table3[[#This Row],[Order Date]])</f>
        <v>10</v>
      </c>
      <c r="E2346" t="s">
        <v>1462</v>
      </c>
      <c r="F2346" t="s">
        <v>1463</v>
      </c>
      <c r="G2346" s="23" t="s">
        <v>41</v>
      </c>
      <c r="H2346" s="23" t="s">
        <v>61</v>
      </c>
      <c r="I2346" t="s">
        <v>164</v>
      </c>
      <c r="J2346" t="s">
        <v>92</v>
      </c>
      <c r="K2346" s="22">
        <v>3</v>
      </c>
      <c r="L2346" s="1">
        <v>43038</v>
      </c>
      <c r="M2346" s="22">
        <f>Table3[[#This Row],[Ship Date]]-Table3[[#This Row],[Order Date]]</f>
        <v>3</v>
      </c>
      <c r="N2346" s="23" t="s">
        <v>20</v>
      </c>
      <c r="O2346" s="23" t="s">
        <v>23</v>
      </c>
      <c r="P2346" s="23" t="s">
        <v>189</v>
      </c>
      <c r="Q2346" s="23" t="s">
        <v>95</v>
      </c>
      <c r="R2346" s="23" t="s">
        <v>271</v>
      </c>
      <c r="S2346" s="33">
        <v>0.2</v>
      </c>
      <c r="T2346" s="13">
        <v>7.056</v>
      </c>
      <c r="U2346" s="13">
        <v>2.2050000000000001</v>
      </c>
      <c r="V2346" s="55">
        <f>Table3[[#This Row],[Profit]]/Table3[[#This Row],[Sales]]</f>
        <v>0.3125</v>
      </c>
    </row>
    <row r="2347" spans="1:22" x14ac:dyDescent="0.2">
      <c r="A2347">
        <v>2346</v>
      </c>
      <c r="B2347" t="s">
        <v>5782</v>
      </c>
      <c r="C2347" s="1">
        <v>43035</v>
      </c>
      <c r="D2347" s="22">
        <f>MONTH(Table3[[#This Row],[Order Date]])</f>
        <v>10</v>
      </c>
      <c r="E2347" t="s">
        <v>4502</v>
      </c>
      <c r="F2347" t="s">
        <v>4503</v>
      </c>
      <c r="G2347" s="23" t="s">
        <v>64</v>
      </c>
      <c r="H2347" s="23" t="s">
        <v>65</v>
      </c>
      <c r="I2347" t="s">
        <v>164</v>
      </c>
      <c r="J2347" t="s">
        <v>92</v>
      </c>
      <c r="K2347" s="22">
        <v>2</v>
      </c>
      <c r="L2347" s="1">
        <v>43038</v>
      </c>
      <c r="M2347" s="22">
        <f>Table3[[#This Row],[Ship Date]]-Table3[[#This Row],[Order Date]]</f>
        <v>3</v>
      </c>
      <c r="N2347" s="23" t="s">
        <v>20</v>
      </c>
      <c r="O2347" s="23" t="s">
        <v>23</v>
      </c>
      <c r="P2347" s="23" t="s">
        <v>189</v>
      </c>
      <c r="Q2347" s="23" t="s">
        <v>95</v>
      </c>
      <c r="R2347" s="23" t="s">
        <v>271</v>
      </c>
      <c r="S2347" s="33">
        <v>0.2</v>
      </c>
      <c r="T2347" s="13">
        <v>27.184000000000001</v>
      </c>
      <c r="U2347" s="13">
        <v>2.0388000000000002</v>
      </c>
      <c r="V2347" s="55">
        <f>Table3[[#This Row],[Profit]]/Table3[[#This Row],[Sales]]</f>
        <v>7.4999999999999997E-2</v>
      </c>
    </row>
    <row r="2348" spans="1:22" x14ac:dyDescent="0.2">
      <c r="A2348">
        <v>2347</v>
      </c>
      <c r="B2348" t="s">
        <v>6433</v>
      </c>
      <c r="C2348" s="1">
        <v>43035</v>
      </c>
      <c r="D2348" s="22">
        <f>MONTH(Table3[[#This Row],[Order Date]])</f>
        <v>10</v>
      </c>
      <c r="E2348" t="s">
        <v>4328</v>
      </c>
      <c r="F2348" t="s">
        <v>4329</v>
      </c>
      <c r="G2348" s="23" t="s">
        <v>28</v>
      </c>
      <c r="H2348" s="23" t="s">
        <v>29</v>
      </c>
      <c r="I2348" t="s">
        <v>5934</v>
      </c>
      <c r="J2348" t="s">
        <v>36</v>
      </c>
      <c r="K2348" s="22">
        <v>5</v>
      </c>
      <c r="L2348" s="1">
        <v>43036</v>
      </c>
      <c r="M2348" s="22">
        <f>Table3[[#This Row],[Ship Date]]-Table3[[#This Row],[Order Date]]</f>
        <v>1</v>
      </c>
      <c r="N2348" s="23" t="s">
        <v>169</v>
      </c>
      <c r="O2348" s="23" t="s">
        <v>23</v>
      </c>
      <c r="P2348" s="23" t="s">
        <v>38</v>
      </c>
      <c r="Q2348" s="23" t="s">
        <v>39</v>
      </c>
      <c r="R2348" s="23" t="s">
        <v>114</v>
      </c>
      <c r="S2348" s="33">
        <v>0.15</v>
      </c>
      <c r="T2348" s="13">
        <v>556.66499999999996</v>
      </c>
      <c r="U2348" s="13">
        <v>6.5490000000000004</v>
      </c>
      <c r="V2348" s="55">
        <f>Table3[[#This Row],[Profit]]/Table3[[#This Row],[Sales]]</f>
        <v>1.1764705882352943E-2</v>
      </c>
    </row>
    <row r="2349" spans="1:22" x14ac:dyDescent="0.2">
      <c r="A2349">
        <v>2348</v>
      </c>
      <c r="B2349" t="s">
        <v>6433</v>
      </c>
      <c r="C2349" s="1">
        <v>43035</v>
      </c>
      <c r="D2349" s="22">
        <f>MONTH(Table3[[#This Row],[Order Date]])</f>
        <v>10</v>
      </c>
      <c r="E2349" t="s">
        <v>6434</v>
      </c>
      <c r="F2349" t="s">
        <v>6435</v>
      </c>
      <c r="G2349" s="23" t="s">
        <v>64</v>
      </c>
      <c r="H2349" s="23" t="s">
        <v>65</v>
      </c>
      <c r="I2349" t="s">
        <v>5934</v>
      </c>
      <c r="J2349" t="s">
        <v>36</v>
      </c>
      <c r="K2349" s="22">
        <v>4</v>
      </c>
      <c r="L2349" s="1">
        <v>43036</v>
      </c>
      <c r="M2349" s="22">
        <f>Table3[[#This Row],[Ship Date]]-Table3[[#This Row],[Order Date]]</f>
        <v>1</v>
      </c>
      <c r="N2349" s="23" t="s">
        <v>169</v>
      </c>
      <c r="O2349" s="23" t="s">
        <v>23</v>
      </c>
      <c r="P2349" s="23" t="s">
        <v>38</v>
      </c>
      <c r="Q2349" s="23" t="s">
        <v>39</v>
      </c>
      <c r="R2349" s="23" t="s">
        <v>114</v>
      </c>
      <c r="S2349" s="33">
        <v>0.2</v>
      </c>
      <c r="T2349" s="13">
        <v>95.84</v>
      </c>
      <c r="U2349" s="13">
        <v>34.741999999999997</v>
      </c>
      <c r="V2349" s="55">
        <f>Table3[[#This Row],[Profit]]/Table3[[#This Row],[Sales]]</f>
        <v>0.36249999999999993</v>
      </c>
    </row>
    <row r="2350" spans="1:22" x14ac:dyDescent="0.2">
      <c r="A2350">
        <v>2349</v>
      </c>
      <c r="B2350" t="s">
        <v>7652</v>
      </c>
      <c r="C2350" s="1">
        <v>43035</v>
      </c>
      <c r="D2350" s="22">
        <f>MONTH(Table3[[#This Row],[Order Date]])</f>
        <v>10</v>
      </c>
      <c r="E2350" t="s">
        <v>6687</v>
      </c>
      <c r="F2350" t="s">
        <v>6688</v>
      </c>
      <c r="G2350" s="23" t="s">
        <v>41</v>
      </c>
      <c r="H2350" s="23" t="s">
        <v>155</v>
      </c>
      <c r="I2350" t="s">
        <v>518</v>
      </c>
      <c r="J2350" t="s">
        <v>36</v>
      </c>
      <c r="K2350" s="22">
        <v>2</v>
      </c>
      <c r="L2350" s="1">
        <v>43042</v>
      </c>
      <c r="M2350" s="22">
        <f>Table3[[#This Row],[Ship Date]]-Table3[[#This Row],[Order Date]]</f>
        <v>7</v>
      </c>
      <c r="N2350" s="23" t="s">
        <v>45</v>
      </c>
      <c r="O2350" s="23" t="s">
        <v>23</v>
      </c>
      <c r="P2350" s="23" t="s">
        <v>94</v>
      </c>
      <c r="Q2350" s="23" t="s">
        <v>95</v>
      </c>
      <c r="R2350" s="23" t="s">
        <v>718</v>
      </c>
      <c r="S2350" s="33">
        <v>0.2</v>
      </c>
      <c r="T2350" s="13">
        <v>15.84</v>
      </c>
      <c r="U2350" s="13">
        <v>5.5439999999999996</v>
      </c>
      <c r="V2350" s="55">
        <f>Table3[[#This Row],[Profit]]/Table3[[#This Row],[Sales]]</f>
        <v>0.35</v>
      </c>
    </row>
    <row r="2351" spans="1:22" x14ac:dyDescent="0.2">
      <c r="A2351">
        <v>2350</v>
      </c>
      <c r="B2351" t="s">
        <v>7652</v>
      </c>
      <c r="C2351" s="1">
        <v>43035</v>
      </c>
      <c r="D2351" s="22">
        <f>MONTH(Table3[[#This Row],[Order Date]])</f>
        <v>10</v>
      </c>
      <c r="E2351" t="s">
        <v>1790</v>
      </c>
      <c r="F2351" t="s">
        <v>1791</v>
      </c>
      <c r="G2351" s="23" t="s">
        <v>41</v>
      </c>
      <c r="H2351" s="23" t="s">
        <v>82</v>
      </c>
      <c r="I2351" t="s">
        <v>518</v>
      </c>
      <c r="J2351" t="s">
        <v>36</v>
      </c>
      <c r="K2351" s="22">
        <v>2</v>
      </c>
      <c r="L2351" s="1">
        <v>43042</v>
      </c>
      <c r="M2351" s="22">
        <f>Table3[[#This Row],[Ship Date]]-Table3[[#This Row],[Order Date]]</f>
        <v>7</v>
      </c>
      <c r="N2351" s="23" t="s">
        <v>45</v>
      </c>
      <c r="O2351" s="23" t="s">
        <v>23</v>
      </c>
      <c r="P2351" s="23" t="s">
        <v>94</v>
      </c>
      <c r="Q2351" s="23" t="s">
        <v>95</v>
      </c>
      <c r="R2351" s="23" t="s">
        <v>718</v>
      </c>
      <c r="S2351" s="33">
        <v>0.2</v>
      </c>
      <c r="T2351" s="13">
        <v>8.4480000000000004</v>
      </c>
      <c r="U2351" s="13">
        <v>2.64</v>
      </c>
      <c r="V2351" s="55">
        <f>Table3[[#This Row],[Profit]]/Table3[[#This Row],[Sales]]</f>
        <v>0.3125</v>
      </c>
    </row>
    <row r="2352" spans="1:22" x14ac:dyDescent="0.2">
      <c r="A2352">
        <v>2351</v>
      </c>
      <c r="B2352" t="s">
        <v>8788</v>
      </c>
      <c r="C2352" s="1">
        <v>43035</v>
      </c>
      <c r="D2352" s="22">
        <f>MONTH(Table3[[#This Row],[Order Date]])</f>
        <v>10</v>
      </c>
      <c r="E2352" t="s">
        <v>73</v>
      </c>
      <c r="F2352" t="s">
        <v>74</v>
      </c>
      <c r="G2352" s="23" t="s">
        <v>28</v>
      </c>
      <c r="H2352" s="23" t="s">
        <v>50</v>
      </c>
      <c r="I2352" t="s">
        <v>3605</v>
      </c>
      <c r="J2352" t="s">
        <v>36</v>
      </c>
      <c r="K2352" s="22">
        <v>1</v>
      </c>
      <c r="L2352" s="1">
        <v>43037</v>
      </c>
      <c r="M2352" s="22">
        <f>Table3[[#This Row],[Ship Date]]-Table3[[#This Row],[Order Date]]</f>
        <v>2</v>
      </c>
      <c r="N2352" s="23" t="s">
        <v>169</v>
      </c>
      <c r="O2352" s="23" t="s">
        <v>23</v>
      </c>
      <c r="P2352" s="23" t="s">
        <v>38</v>
      </c>
      <c r="Q2352" s="23" t="s">
        <v>39</v>
      </c>
      <c r="R2352" s="23" t="s">
        <v>37</v>
      </c>
      <c r="S2352" s="33">
        <v>0.2</v>
      </c>
      <c r="T2352" s="13">
        <v>189.57599999999999</v>
      </c>
      <c r="U2352" s="13">
        <v>9.4787999999999997</v>
      </c>
      <c r="V2352" s="55">
        <f>Table3[[#This Row],[Profit]]/Table3[[#This Row],[Sales]]</f>
        <v>0.05</v>
      </c>
    </row>
    <row r="2353" spans="1:22" x14ac:dyDescent="0.2">
      <c r="A2353">
        <v>2352</v>
      </c>
      <c r="B2353" t="s">
        <v>8788</v>
      </c>
      <c r="C2353" s="1">
        <v>43035</v>
      </c>
      <c r="D2353" s="22">
        <f>MONTH(Table3[[#This Row],[Order Date]])</f>
        <v>10</v>
      </c>
      <c r="E2353" t="s">
        <v>7753</v>
      </c>
      <c r="F2353" t="s">
        <v>7754</v>
      </c>
      <c r="G2353" s="23" t="s">
        <v>64</v>
      </c>
      <c r="H2353" s="23" t="s">
        <v>65</v>
      </c>
      <c r="I2353" t="s">
        <v>3605</v>
      </c>
      <c r="J2353" t="s">
        <v>36</v>
      </c>
      <c r="K2353" s="22">
        <v>5</v>
      </c>
      <c r="L2353" s="1">
        <v>43037</v>
      </c>
      <c r="M2353" s="22">
        <f>Table3[[#This Row],[Ship Date]]-Table3[[#This Row],[Order Date]]</f>
        <v>2</v>
      </c>
      <c r="N2353" s="23" t="s">
        <v>169</v>
      </c>
      <c r="O2353" s="23" t="s">
        <v>23</v>
      </c>
      <c r="P2353" s="23" t="s">
        <v>38</v>
      </c>
      <c r="Q2353" s="23" t="s">
        <v>39</v>
      </c>
      <c r="R2353" s="23" t="s">
        <v>37</v>
      </c>
      <c r="S2353" s="33">
        <v>0.2</v>
      </c>
      <c r="T2353" s="13">
        <v>71.959999999999994</v>
      </c>
      <c r="U2353" s="13">
        <v>7.1959999999999997</v>
      </c>
      <c r="V2353" s="55">
        <f>Table3[[#This Row],[Profit]]/Table3[[#This Row],[Sales]]</f>
        <v>0.1</v>
      </c>
    </row>
    <row r="2354" spans="1:22" x14ac:dyDescent="0.2">
      <c r="A2354">
        <v>2353</v>
      </c>
      <c r="B2354" t="s">
        <v>9271</v>
      </c>
      <c r="C2354" s="1">
        <v>43035</v>
      </c>
      <c r="D2354" s="22">
        <f>MONTH(Table3[[#This Row],[Order Date]])</f>
        <v>10</v>
      </c>
      <c r="E2354" t="s">
        <v>6090</v>
      </c>
      <c r="F2354" t="s">
        <v>6091</v>
      </c>
      <c r="G2354" s="23" t="s">
        <v>41</v>
      </c>
      <c r="H2354" s="23" t="s">
        <v>82</v>
      </c>
      <c r="I2354" t="s">
        <v>549</v>
      </c>
      <c r="J2354" t="s">
        <v>92</v>
      </c>
      <c r="K2354" s="22">
        <v>1</v>
      </c>
      <c r="L2354" s="1">
        <v>43040</v>
      </c>
      <c r="M2354" s="22">
        <f>Table3[[#This Row],[Ship Date]]-Table3[[#This Row],[Order Date]]</f>
        <v>5</v>
      </c>
      <c r="N2354" s="23" t="s">
        <v>45</v>
      </c>
      <c r="O2354" s="23" t="s">
        <v>23</v>
      </c>
      <c r="P2354" s="23" t="s">
        <v>277</v>
      </c>
      <c r="Q2354" s="23" t="s">
        <v>39</v>
      </c>
      <c r="R2354" s="23" t="s">
        <v>1613</v>
      </c>
      <c r="S2354" s="33">
        <v>0.2</v>
      </c>
      <c r="T2354" s="13">
        <v>44.783999999999999</v>
      </c>
      <c r="U2354" s="13">
        <v>16.234200000000001</v>
      </c>
      <c r="V2354" s="55">
        <f>Table3[[#This Row],[Profit]]/Table3[[#This Row],[Sales]]</f>
        <v>0.36250000000000004</v>
      </c>
    </row>
    <row r="2355" spans="1:22" x14ac:dyDescent="0.2">
      <c r="A2355">
        <v>2354</v>
      </c>
      <c r="B2355" t="s">
        <v>9720</v>
      </c>
      <c r="C2355" s="1">
        <v>43035</v>
      </c>
      <c r="D2355" s="22">
        <f>MONTH(Table3[[#This Row],[Order Date]])</f>
        <v>10</v>
      </c>
      <c r="E2355" t="s">
        <v>3038</v>
      </c>
      <c r="F2355" t="s">
        <v>167</v>
      </c>
      <c r="G2355" s="23" t="s">
        <v>41</v>
      </c>
      <c r="H2355" s="23" t="s">
        <v>82</v>
      </c>
      <c r="I2355" t="s">
        <v>1785</v>
      </c>
      <c r="J2355" t="s">
        <v>36</v>
      </c>
      <c r="K2355" s="22">
        <v>7</v>
      </c>
      <c r="L2355" s="1">
        <v>43041</v>
      </c>
      <c r="M2355" s="22">
        <f>Table3[[#This Row],[Ship Date]]-Table3[[#This Row],[Order Date]]</f>
        <v>6</v>
      </c>
      <c r="N2355" s="23" t="s">
        <v>45</v>
      </c>
      <c r="O2355" s="23" t="s">
        <v>23</v>
      </c>
      <c r="P2355" s="23" t="s">
        <v>48</v>
      </c>
      <c r="Q2355" s="23" t="s">
        <v>26</v>
      </c>
      <c r="R2355" s="23" t="s">
        <v>5021</v>
      </c>
      <c r="S2355" s="33">
        <v>0.2</v>
      </c>
      <c r="T2355" s="13">
        <v>56.783999999999999</v>
      </c>
      <c r="U2355" s="13">
        <v>20.584199999999999</v>
      </c>
      <c r="V2355" s="55">
        <f>Table3[[#This Row],[Profit]]/Table3[[#This Row],[Sales]]</f>
        <v>0.36249999999999999</v>
      </c>
    </row>
    <row r="2356" spans="1:22" x14ac:dyDescent="0.2">
      <c r="A2356">
        <v>2355</v>
      </c>
      <c r="B2356" t="s">
        <v>9720</v>
      </c>
      <c r="C2356" s="1">
        <v>43035</v>
      </c>
      <c r="D2356" s="22">
        <f>MONTH(Table3[[#This Row],[Order Date]])</f>
        <v>10</v>
      </c>
      <c r="E2356" t="s">
        <v>2753</v>
      </c>
      <c r="F2356" t="s">
        <v>2754</v>
      </c>
      <c r="G2356" s="23" t="s">
        <v>41</v>
      </c>
      <c r="H2356" s="23" t="s">
        <v>68</v>
      </c>
      <c r="I2356" t="s">
        <v>1785</v>
      </c>
      <c r="J2356" t="s">
        <v>36</v>
      </c>
      <c r="K2356" s="22">
        <v>3</v>
      </c>
      <c r="L2356" s="1">
        <v>43041</v>
      </c>
      <c r="M2356" s="22">
        <f>Table3[[#This Row],[Ship Date]]-Table3[[#This Row],[Order Date]]</f>
        <v>6</v>
      </c>
      <c r="N2356" s="23" t="s">
        <v>45</v>
      </c>
      <c r="O2356" s="23" t="s">
        <v>23</v>
      </c>
      <c r="P2356" s="23" t="s">
        <v>48</v>
      </c>
      <c r="Q2356" s="23" t="s">
        <v>26</v>
      </c>
      <c r="R2356" s="23" t="s">
        <v>5021</v>
      </c>
      <c r="S2356" s="33">
        <v>0.7</v>
      </c>
      <c r="T2356" s="13">
        <v>5.6070000000000002</v>
      </c>
      <c r="U2356" s="13">
        <v>-3.9249000000000001</v>
      </c>
      <c r="V2356" s="55">
        <f>Table3[[#This Row],[Profit]]/Table3[[#This Row],[Sales]]</f>
        <v>-0.7</v>
      </c>
    </row>
    <row r="2357" spans="1:22" x14ac:dyDescent="0.2">
      <c r="A2357">
        <v>2356</v>
      </c>
      <c r="B2357" t="s">
        <v>9720</v>
      </c>
      <c r="C2357" s="1">
        <v>43035</v>
      </c>
      <c r="D2357" s="22">
        <f>MONTH(Table3[[#This Row],[Order Date]])</f>
        <v>10</v>
      </c>
      <c r="E2357" t="s">
        <v>1538</v>
      </c>
      <c r="F2357" t="s">
        <v>1539</v>
      </c>
      <c r="G2357" s="23" t="s">
        <v>41</v>
      </c>
      <c r="H2357" s="23" t="s">
        <v>61</v>
      </c>
      <c r="I2357" t="s">
        <v>1785</v>
      </c>
      <c r="J2357" t="s">
        <v>36</v>
      </c>
      <c r="K2357" s="22">
        <v>3</v>
      </c>
      <c r="L2357" s="1">
        <v>43041</v>
      </c>
      <c r="M2357" s="22">
        <f>Table3[[#This Row],[Ship Date]]-Table3[[#This Row],[Order Date]]</f>
        <v>6</v>
      </c>
      <c r="N2357" s="23" t="s">
        <v>45</v>
      </c>
      <c r="O2357" s="23" t="s">
        <v>23</v>
      </c>
      <c r="P2357" s="23" t="s">
        <v>48</v>
      </c>
      <c r="Q2357" s="23" t="s">
        <v>26</v>
      </c>
      <c r="R2357" s="23" t="s">
        <v>5021</v>
      </c>
      <c r="S2357" s="33">
        <v>0.2</v>
      </c>
      <c r="T2357" s="13">
        <v>6.5759999999999996</v>
      </c>
      <c r="U2357" s="13">
        <v>0.57540000000000002</v>
      </c>
      <c r="V2357" s="55">
        <f>Table3[[#This Row],[Profit]]/Table3[[#This Row],[Sales]]</f>
        <v>8.7500000000000008E-2</v>
      </c>
    </row>
    <row r="2358" spans="1:22" x14ac:dyDescent="0.2">
      <c r="A2358">
        <v>2357</v>
      </c>
      <c r="B2358" t="s">
        <v>6624</v>
      </c>
      <c r="C2358" s="1">
        <v>43036</v>
      </c>
      <c r="D2358" s="22">
        <f>MONTH(Table3[[#This Row],[Order Date]])</f>
        <v>10</v>
      </c>
      <c r="E2358" t="s">
        <v>890</v>
      </c>
      <c r="F2358" t="s">
        <v>891</v>
      </c>
      <c r="G2358" s="23" t="s">
        <v>41</v>
      </c>
      <c r="H2358" s="23" t="s">
        <v>155</v>
      </c>
      <c r="I2358" t="s">
        <v>5001</v>
      </c>
      <c r="J2358" t="s">
        <v>36</v>
      </c>
      <c r="K2358" s="22">
        <v>2</v>
      </c>
      <c r="L2358" s="1">
        <v>43041</v>
      </c>
      <c r="M2358" s="22">
        <f>Table3[[#This Row],[Ship Date]]-Table3[[#This Row],[Order Date]]</f>
        <v>5</v>
      </c>
      <c r="N2358" s="23" t="s">
        <v>20</v>
      </c>
      <c r="O2358" s="23" t="s">
        <v>23</v>
      </c>
      <c r="P2358" s="23" t="s">
        <v>238</v>
      </c>
      <c r="Q2358" s="23" t="s">
        <v>133</v>
      </c>
      <c r="R2358" s="23" t="s">
        <v>237</v>
      </c>
      <c r="S2358" s="33">
        <v>0</v>
      </c>
      <c r="T2358" s="13">
        <v>47.98</v>
      </c>
      <c r="U2358" s="13">
        <v>23.99</v>
      </c>
      <c r="V2358" s="55">
        <f>Table3[[#This Row],[Profit]]/Table3[[#This Row],[Sales]]</f>
        <v>0.5</v>
      </c>
    </row>
    <row r="2359" spans="1:22" x14ac:dyDescent="0.2">
      <c r="A2359">
        <v>2358</v>
      </c>
      <c r="B2359" t="s">
        <v>8153</v>
      </c>
      <c r="C2359" s="1">
        <v>43036</v>
      </c>
      <c r="D2359" s="22">
        <f>MONTH(Table3[[#This Row],[Order Date]])</f>
        <v>10</v>
      </c>
      <c r="E2359" t="s">
        <v>219</v>
      </c>
      <c r="F2359" t="s">
        <v>220</v>
      </c>
      <c r="G2359" s="23" t="s">
        <v>64</v>
      </c>
      <c r="H2359" s="23" t="s">
        <v>144</v>
      </c>
      <c r="I2359" t="s">
        <v>1264</v>
      </c>
      <c r="J2359" t="s">
        <v>22</v>
      </c>
      <c r="K2359" s="22">
        <v>2</v>
      </c>
      <c r="L2359" s="1">
        <v>43040</v>
      </c>
      <c r="M2359" s="22">
        <f>Table3[[#This Row],[Ship Date]]-Table3[[#This Row],[Order Date]]</f>
        <v>4</v>
      </c>
      <c r="N2359" s="23" t="s">
        <v>20</v>
      </c>
      <c r="O2359" s="23" t="s">
        <v>23</v>
      </c>
      <c r="P2359" s="23" t="s">
        <v>94</v>
      </c>
      <c r="Q2359" s="23" t="s">
        <v>95</v>
      </c>
      <c r="R2359" s="23" t="s">
        <v>165</v>
      </c>
      <c r="S2359" s="33">
        <v>0.2</v>
      </c>
      <c r="T2359" s="13">
        <v>24</v>
      </c>
      <c r="U2359" s="13">
        <v>-2.7</v>
      </c>
      <c r="V2359" s="55">
        <f>Table3[[#This Row],[Profit]]/Table3[[#This Row],[Sales]]</f>
        <v>-0.1125</v>
      </c>
    </row>
    <row r="2360" spans="1:22" x14ac:dyDescent="0.2">
      <c r="A2360">
        <v>2359</v>
      </c>
      <c r="B2360" t="s">
        <v>8153</v>
      </c>
      <c r="C2360" s="1">
        <v>43036</v>
      </c>
      <c r="D2360" s="22">
        <f>MONTH(Table3[[#This Row],[Order Date]])</f>
        <v>10</v>
      </c>
      <c r="E2360" t="s">
        <v>1021</v>
      </c>
      <c r="F2360" t="s">
        <v>1022</v>
      </c>
      <c r="G2360" s="23" t="s">
        <v>41</v>
      </c>
      <c r="H2360" s="23" t="s">
        <v>82</v>
      </c>
      <c r="I2360" t="s">
        <v>1264</v>
      </c>
      <c r="J2360" t="s">
        <v>22</v>
      </c>
      <c r="K2360" s="22">
        <v>3</v>
      </c>
      <c r="L2360" s="1">
        <v>43040</v>
      </c>
      <c r="M2360" s="22">
        <f>Table3[[#This Row],[Ship Date]]-Table3[[#This Row],[Order Date]]</f>
        <v>4</v>
      </c>
      <c r="N2360" s="23" t="s">
        <v>20</v>
      </c>
      <c r="O2360" s="23" t="s">
        <v>23</v>
      </c>
      <c r="P2360" s="23" t="s">
        <v>94</v>
      </c>
      <c r="Q2360" s="23" t="s">
        <v>95</v>
      </c>
      <c r="R2360" s="23" t="s">
        <v>165</v>
      </c>
      <c r="S2360" s="33">
        <v>0.2</v>
      </c>
      <c r="T2360" s="13">
        <v>15.552</v>
      </c>
      <c r="U2360" s="13">
        <v>5.4432</v>
      </c>
      <c r="V2360" s="55">
        <f>Table3[[#This Row],[Profit]]/Table3[[#This Row],[Sales]]</f>
        <v>0.35000000000000003</v>
      </c>
    </row>
    <row r="2361" spans="1:22" x14ac:dyDescent="0.2">
      <c r="A2361">
        <v>2360</v>
      </c>
      <c r="B2361" t="s">
        <v>8153</v>
      </c>
      <c r="C2361" s="1">
        <v>43036</v>
      </c>
      <c r="D2361" s="22">
        <f>MONTH(Table3[[#This Row],[Order Date]])</f>
        <v>10</v>
      </c>
      <c r="E2361" t="s">
        <v>3320</v>
      </c>
      <c r="F2361" t="s">
        <v>3321</v>
      </c>
      <c r="G2361" s="23" t="s">
        <v>64</v>
      </c>
      <c r="H2361" s="23" t="s">
        <v>144</v>
      </c>
      <c r="I2361" t="s">
        <v>1264</v>
      </c>
      <c r="J2361" t="s">
        <v>22</v>
      </c>
      <c r="K2361" s="22">
        <v>2</v>
      </c>
      <c r="L2361" s="1">
        <v>43040</v>
      </c>
      <c r="M2361" s="22">
        <f>Table3[[#This Row],[Ship Date]]-Table3[[#This Row],[Order Date]]</f>
        <v>4</v>
      </c>
      <c r="N2361" s="23" t="s">
        <v>20</v>
      </c>
      <c r="O2361" s="23" t="s">
        <v>23</v>
      </c>
      <c r="P2361" s="23" t="s">
        <v>94</v>
      </c>
      <c r="Q2361" s="23" t="s">
        <v>95</v>
      </c>
      <c r="R2361" s="23" t="s">
        <v>165</v>
      </c>
      <c r="S2361" s="33">
        <v>0.2</v>
      </c>
      <c r="T2361" s="13">
        <v>26.175999999999998</v>
      </c>
      <c r="U2361" s="13">
        <v>-3.2719999999999998</v>
      </c>
      <c r="V2361" s="55">
        <f>Table3[[#This Row],[Profit]]/Table3[[#This Row],[Sales]]</f>
        <v>-0.125</v>
      </c>
    </row>
    <row r="2362" spans="1:22" x14ac:dyDescent="0.2">
      <c r="A2362">
        <v>2361</v>
      </c>
      <c r="B2362" t="s">
        <v>8835</v>
      </c>
      <c r="C2362" s="1">
        <v>43036</v>
      </c>
      <c r="D2362" s="22">
        <f>MONTH(Table3[[#This Row],[Order Date]])</f>
        <v>10</v>
      </c>
      <c r="E2362" t="s">
        <v>5213</v>
      </c>
      <c r="F2362" t="s">
        <v>5214</v>
      </c>
      <c r="G2362" s="23" t="s">
        <v>28</v>
      </c>
      <c r="H2362" s="23" t="s">
        <v>58</v>
      </c>
      <c r="I2362" t="s">
        <v>413</v>
      </c>
      <c r="J2362" t="s">
        <v>22</v>
      </c>
      <c r="K2362" s="22">
        <v>3</v>
      </c>
      <c r="L2362" s="1">
        <v>43038</v>
      </c>
      <c r="M2362" s="22">
        <f>Table3[[#This Row],[Ship Date]]-Table3[[#This Row],[Order Date]]</f>
        <v>2</v>
      </c>
      <c r="N2362" s="23" t="s">
        <v>20</v>
      </c>
      <c r="O2362" s="23" t="s">
        <v>23</v>
      </c>
      <c r="P2362" s="23" t="s">
        <v>80</v>
      </c>
      <c r="Q2362" s="23" t="s">
        <v>26</v>
      </c>
      <c r="R2362" s="23" t="s">
        <v>1509</v>
      </c>
      <c r="S2362" s="33">
        <v>0.2</v>
      </c>
      <c r="T2362" s="13">
        <v>77.951999999999998</v>
      </c>
      <c r="U2362" s="13">
        <v>15.590400000000001</v>
      </c>
      <c r="V2362" s="55">
        <f>Table3[[#This Row],[Profit]]/Table3[[#This Row],[Sales]]</f>
        <v>0.2</v>
      </c>
    </row>
    <row r="2363" spans="1:22" x14ac:dyDescent="0.2">
      <c r="A2363">
        <v>2362</v>
      </c>
      <c r="B2363" t="s">
        <v>8835</v>
      </c>
      <c r="C2363" s="1">
        <v>43036</v>
      </c>
      <c r="D2363" s="22">
        <f>MONTH(Table3[[#This Row],[Order Date]])</f>
        <v>10</v>
      </c>
      <c r="E2363" t="s">
        <v>739</v>
      </c>
      <c r="F2363" t="s">
        <v>740</v>
      </c>
      <c r="G2363" s="23" t="s">
        <v>41</v>
      </c>
      <c r="H2363" s="23" t="s">
        <v>53</v>
      </c>
      <c r="I2363" t="s">
        <v>413</v>
      </c>
      <c r="J2363" t="s">
        <v>22</v>
      </c>
      <c r="K2363" s="22">
        <v>2</v>
      </c>
      <c r="L2363" s="1">
        <v>43038</v>
      </c>
      <c r="M2363" s="22">
        <f>Table3[[#This Row],[Ship Date]]-Table3[[#This Row],[Order Date]]</f>
        <v>2</v>
      </c>
      <c r="N2363" s="23" t="s">
        <v>20</v>
      </c>
      <c r="O2363" s="23" t="s">
        <v>23</v>
      </c>
      <c r="P2363" s="23" t="s">
        <v>80</v>
      </c>
      <c r="Q2363" s="23" t="s">
        <v>26</v>
      </c>
      <c r="R2363" s="23" t="s">
        <v>1509</v>
      </c>
      <c r="S2363" s="33">
        <v>0.2</v>
      </c>
      <c r="T2363" s="13">
        <v>147.184</v>
      </c>
      <c r="U2363" s="13">
        <v>-29.436800000000002</v>
      </c>
      <c r="V2363" s="55">
        <f>Table3[[#This Row],[Profit]]/Table3[[#This Row],[Sales]]</f>
        <v>-0.2</v>
      </c>
    </row>
    <row r="2364" spans="1:22" x14ac:dyDescent="0.2">
      <c r="A2364">
        <v>2363</v>
      </c>
      <c r="B2364" t="s">
        <v>8835</v>
      </c>
      <c r="C2364" s="1">
        <v>43036</v>
      </c>
      <c r="D2364" s="22">
        <f>MONTH(Table3[[#This Row],[Order Date]])</f>
        <v>10</v>
      </c>
      <c r="E2364" t="s">
        <v>8109</v>
      </c>
      <c r="F2364" t="s">
        <v>8110</v>
      </c>
      <c r="G2364" s="23" t="s">
        <v>41</v>
      </c>
      <c r="H2364" s="23" t="s">
        <v>82</v>
      </c>
      <c r="I2364" t="s">
        <v>413</v>
      </c>
      <c r="J2364" t="s">
        <v>22</v>
      </c>
      <c r="K2364" s="22">
        <v>3</v>
      </c>
      <c r="L2364" s="1">
        <v>43038</v>
      </c>
      <c r="M2364" s="22">
        <f>Table3[[#This Row],[Ship Date]]-Table3[[#This Row],[Order Date]]</f>
        <v>2</v>
      </c>
      <c r="N2364" s="23" t="s">
        <v>20</v>
      </c>
      <c r="O2364" s="23" t="s">
        <v>23</v>
      </c>
      <c r="P2364" s="23" t="s">
        <v>80</v>
      </c>
      <c r="Q2364" s="23" t="s">
        <v>26</v>
      </c>
      <c r="R2364" s="23" t="s">
        <v>1509</v>
      </c>
      <c r="S2364" s="33">
        <v>0.2</v>
      </c>
      <c r="T2364" s="13">
        <v>47.951999999999998</v>
      </c>
      <c r="U2364" s="13">
        <v>16.183800000000002</v>
      </c>
      <c r="V2364" s="55">
        <f>Table3[[#This Row],[Profit]]/Table3[[#This Row],[Sales]]</f>
        <v>0.33750000000000002</v>
      </c>
    </row>
    <row r="2365" spans="1:22" x14ac:dyDescent="0.2">
      <c r="A2365">
        <v>2364</v>
      </c>
      <c r="B2365" t="s">
        <v>9525</v>
      </c>
      <c r="C2365" s="1">
        <v>43036</v>
      </c>
      <c r="D2365" s="22">
        <f>MONTH(Table3[[#This Row],[Order Date]])</f>
        <v>10</v>
      </c>
      <c r="E2365" t="s">
        <v>574</v>
      </c>
      <c r="F2365" t="s">
        <v>575</v>
      </c>
      <c r="G2365" s="23" t="s">
        <v>41</v>
      </c>
      <c r="H2365" s="23" t="s">
        <v>42</v>
      </c>
      <c r="I2365" t="s">
        <v>1483</v>
      </c>
      <c r="J2365" t="s">
        <v>22</v>
      </c>
      <c r="K2365" s="22">
        <v>3</v>
      </c>
      <c r="L2365" s="1">
        <v>43040</v>
      </c>
      <c r="M2365" s="22">
        <f>Table3[[#This Row],[Ship Date]]-Table3[[#This Row],[Order Date]]</f>
        <v>4</v>
      </c>
      <c r="N2365" s="23" t="s">
        <v>45</v>
      </c>
      <c r="O2365" s="23" t="s">
        <v>23</v>
      </c>
      <c r="P2365" s="23" t="s">
        <v>1101</v>
      </c>
      <c r="Q2365" s="23" t="s">
        <v>133</v>
      </c>
      <c r="R2365" s="23" t="s">
        <v>3613</v>
      </c>
      <c r="S2365" s="33">
        <v>0</v>
      </c>
      <c r="T2365" s="13">
        <v>21.93</v>
      </c>
      <c r="U2365" s="13">
        <v>10.3071</v>
      </c>
      <c r="V2365" s="55">
        <f>Table3[[#This Row],[Profit]]/Table3[[#This Row],[Sales]]</f>
        <v>0.47000000000000003</v>
      </c>
    </row>
    <row r="2366" spans="1:22" x14ac:dyDescent="0.2">
      <c r="A2366">
        <v>2365</v>
      </c>
      <c r="B2366" t="s">
        <v>2429</v>
      </c>
      <c r="C2366" s="1">
        <v>43037</v>
      </c>
      <c r="D2366" s="22">
        <f>MONTH(Table3[[#This Row],[Order Date]])</f>
        <v>10</v>
      </c>
      <c r="E2366" t="s">
        <v>2431</v>
      </c>
      <c r="F2366" t="s">
        <v>2432</v>
      </c>
      <c r="G2366" s="23" t="s">
        <v>41</v>
      </c>
      <c r="H2366" s="23" t="s">
        <v>82</v>
      </c>
      <c r="I2366" t="s">
        <v>2430</v>
      </c>
      <c r="J2366" t="s">
        <v>36</v>
      </c>
      <c r="K2366" s="22">
        <v>8</v>
      </c>
      <c r="L2366" s="1">
        <v>43039</v>
      </c>
      <c r="M2366" s="22">
        <f>Table3[[#This Row],[Ship Date]]-Table3[[#This Row],[Order Date]]</f>
        <v>2</v>
      </c>
      <c r="N2366" s="23" t="s">
        <v>20</v>
      </c>
      <c r="O2366" s="23" t="s">
        <v>23</v>
      </c>
      <c r="P2366" s="23" t="s">
        <v>238</v>
      </c>
      <c r="Q2366" s="23" t="s">
        <v>133</v>
      </c>
      <c r="R2366" s="23" t="s">
        <v>1380</v>
      </c>
      <c r="S2366" s="33">
        <v>0</v>
      </c>
      <c r="T2366" s="13">
        <v>46.96</v>
      </c>
      <c r="U2366" s="13">
        <v>22.540800000000001</v>
      </c>
      <c r="V2366" s="55">
        <f>Table3[[#This Row],[Profit]]/Table3[[#This Row],[Sales]]</f>
        <v>0.48</v>
      </c>
    </row>
    <row r="2367" spans="1:22" x14ac:dyDescent="0.2">
      <c r="A2367">
        <v>2366</v>
      </c>
      <c r="B2367" t="s">
        <v>3534</v>
      </c>
      <c r="C2367" s="1">
        <v>43038</v>
      </c>
      <c r="D2367" s="22">
        <f>MONTH(Table3[[#This Row],[Order Date]])</f>
        <v>10</v>
      </c>
      <c r="E2367" t="s">
        <v>2631</v>
      </c>
      <c r="F2367" t="s">
        <v>2632</v>
      </c>
      <c r="G2367" s="23" t="s">
        <v>28</v>
      </c>
      <c r="H2367" s="23" t="s">
        <v>58</v>
      </c>
      <c r="I2367" t="s">
        <v>3535</v>
      </c>
      <c r="J2367" t="s">
        <v>36</v>
      </c>
      <c r="K2367" s="22">
        <v>2</v>
      </c>
      <c r="L2367" s="1">
        <v>43042</v>
      </c>
      <c r="M2367" s="22">
        <f>Table3[[#This Row],[Ship Date]]-Table3[[#This Row],[Order Date]]</f>
        <v>4</v>
      </c>
      <c r="N2367" s="23" t="s">
        <v>45</v>
      </c>
      <c r="O2367" s="23" t="s">
        <v>23</v>
      </c>
      <c r="P2367" s="23" t="s">
        <v>87</v>
      </c>
      <c r="Q2367" s="23" t="s">
        <v>39</v>
      </c>
      <c r="R2367" s="23" t="s">
        <v>1888</v>
      </c>
      <c r="S2367" s="33">
        <v>0</v>
      </c>
      <c r="T2367" s="13">
        <v>9.64</v>
      </c>
      <c r="U2367" s="13">
        <v>3.6631999999999998</v>
      </c>
      <c r="V2367" s="55">
        <f>Table3[[#This Row],[Profit]]/Table3[[#This Row],[Sales]]</f>
        <v>0.37999999999999995</v>
      </c>
    </row>
    <row r="2368" spans="1:22" x14ac:dyDescent="0.2">
      <c r="A2368">
        <v>2367</v>
      </c>
      <c r="B2368" t="s">
        <v>3815</v>
      </c>
      <c r="C2368" s="1">
        <v>43038</v>
      </c>
      <c r="D2368" s="22">
        <f>MONTH(Table3[[#This Row],[Order Date]])</f>
        <v>10</v>
      </c>
      <c r="E2368" t="s">
        <v>2770</v>
      </c>
      <c r="F2368" t="s">
        <v>2771</v>
      </c>
      <c r="G2368" s="23" t="s">
        <v>41</v>
      </c>
      <c r="H2368" s="23" t="s">
        <v>68</v>
      </c>
      <c r="I2368" t="s">
        <v>3816</v>
      </c>
      <c r="J2368" t="s">
        <v>22</v>
      </c>
      <c r="K2368" s="22">
        <v>3</v>
      </c>
      <c r="L2368" s="1">
        <v>43045</v>
      </c>
      <c r="M2368" s="22">
        <f>Table3[[#This Row],[Ship Date]]-Table3[[#This Row],[Order Date]]</f>
        <v>7</v>
      </c>
      <c r="N2368" s="23" t="s">
        <v>45</v>
      </c>
      <c r="O2368" s="23" t="s">
        <v>23</v>
      </c>
      <c r="P2368" s="23" t="s">
        <v>87</v>
      </c>
      <c r="Q2368" s="23" t="s">
        <v>39</v>
      </c>
      <c r="R2368" s="23" t="s">
        <v>86</v>
      </c>
      <c r="S2368" s="33">
        <v>0.2</v>
      </c>
      <c r="T2368" s="13">
        <v>88.751999999999995</v>
      </c>
      <c r="U2368" s="13">
        <v>27.734999999999999</v>
      </c>
      <c r="V2368" s="55">
        <f>Table3[[#This Row],[Profit]]/Table3[[#This Row],[Sales]]</f>
        <v>0.3125</v>
      </c>
    </row>
    <row r="2369" spans="1:22" x14ac:dyDescent="0.2">
      <c r="A2369">
        <v>2368</v>
      </c>
      <c r="B2369" t="s">
        <v>3815</v>
      </c>
      <c r="C2369" s="1">
        <v>43038</v>
      </c>
      <c r="D2369" s="22">
        <f>MONTH(Table3[[#This Row],[Order Date]])</f>
        <v>10</v>
      </c>
      <c r="E2369" t="s">
        <v>2903</v>
      </c>
      <c r="F2369" t="s">
        <v>2904</v>
      </c>
      <c r="G2369" s="23" t="s">
        <v>41</v>
      </c>
      <c r="H2369" s="23" t="s">
        <v>68</v>
      </c>
      <c r="I2369" t="s">
        <v>3816</v>
      </c>
      <c r="J2369" t="s">
        <v>22</v>
      </c>
      <c r="K2369" s="22">
        <v>2</v>
      </c>
      <c r="L2369" s="1">
        <v>43045</v>
      </c>
      <c r="M2369" s="22">
        <f>Table3[[#This Row],[Ship Date]]-Table3[[#This Row],[Order Date]]</f>
        <v>7</v>
      </c>
      <c r="N2369" s="23" t="s">
        <v>45</v>
      </c>
      <c r="O2369" s="23" t="s">
        <v>23</v>
      </c>
      <c r="P2369" s="23" t="s">
        <v>87</v>
      </c>
      <c r="Q2369" s="23" t="s">
        <v>39</v>
      </c>
      <c r="R2369" s="23" t="s">
        <v>86</v>
      </c>
      <c r="S2369" s="33">
        <v>0.2</v>
      </c>
      <c r="T2369" s="13">
        <v>13.904</v>
      </c>
      <c r="U2369" s="13">
        <v>5.2140000000000004</v>
      </c>
      <c r="V2369" s="55">
        <f>Table3[[#This Row],[Profit]]/Table3[[#This Row],[Sales]]</f>
        <v>0.37500000000000006</v>
      </c>
    </row>
    <row r="2370" spans="1:22" x14ac:dyDescent="0.2">
      <c r="A2370">
        <v>2369</v>
      </c>
      <c r="B2370" t="s">
        <v>3879</v>
      </c>
      <c r="C2370" s="1">
        <v>43038</v>
      </c>
      <c r="D2370" s="22">
        <f>MONTH(Table3[[#This Row],[Order Date]])</f>
        <v>10</v>
      </c>
      <c r="E2370" t="s">
        <v>3881</v>
      </c>
      <c r="F2370" t="s">
        <v>3882</v>
      </c>
      <c r="G2370" s="23" t="s">
        <v>41</v>
      </c>
      <c r="H2370" s="23" t="s">
        <v>42</v>
      </c>
      <c r="I2370" t="s">
        <v>3880</v>
      </c>
      <c r="J2370" t="s">
        <v>22</v>
      </c>
      <c r="K2370" s="22">
        <v>6</v>
      </c>
      <c r="L2370" s="1">
        <v>43044</v>
      </c>
      <c r="M2370" s="22">
        <f>Table3[[#This Row],[Ship Date]]-Table3[[#This Row],[Order Date]]</f>
        <v>6</v>
      </c>
      <c r="N2370" s="23" t="s">
        <v>45</v>
      </c>
      <c r="O2370" s="23" t="s">
        <v>23</v>
      </c>
      <c r="P2370" s="23" t="s">
        <v>38</v>
      </c>
      <c r="Q2370" s="23" t="s">
        <v>39</v>
      </c>
      <c r="R2370" s="23" t="s">
        <v>114</v>
      </c>
      <c r="S2370" s="33">
        <v>0</v>
      </c>
      <c r="T2370" s="13">
        <v>43.86</v>
      </c>
      <c r="U2370" s="13">
        <v>20.6142</v>
      </c>
      <c r="V2370" s="55">
        <f>Table3[[#This Row],[Profit]]/Table3[[#This Row],[Sales]]</f>
        <v>0.47000000000000003</v>
      </c>
    </row>
    <row r="2371" spans="1:22" x14ac:dyDescent="0.2">
      <c r="A2371">
        <v>2370</v>
      </c>
      <c r="B2371" t="s">
        <v>3879</v>
      </c>
      <c r="C2371" s="1">
        <v>43038</v>
      </c>
      <c r="D2371" s="22">
        <f>MONTH(Table3[[#This Row],[Order Date]])</f>
        <v>10</v>
      </c>
      <c r="E2371" t="s">
        <v>3147</v>
      </c>
      <c r="F2371" t="s">
        <v>3148</v>
      </c>
      <c r="G2371" s="23" t="s">
        <v>64</v>
      </c>
      <c r="H2371" s="23" t="s">
        <v>65</v>
      </c>
      <c r="I2371" t="s">
        <v>3880</v>
      </c>
      <c r="J2371" t="s">
        <v>22</v>
      </c>
      <c r="K2371" s="22">
        <v>2</v>
      </c>
      <c r="L2371" s="1">
        <v>43044</v>
      </c>
      <c r="M2371" s="22">
        <f>Table3[[#This Row],[Ship Date]]-Table3[[#This Row],[Order Date]]</f>
        <v>6</v>
      </c>
      <c r="N2371" s="23" t="s">
        <v>45</v>
      </c>
      <c r="O2371" s="23" t="s">
        <v>23</v>
      </c>
      <c r="P2371" s="23" t="s">
        <v>38</v>
      </c>
      <c r="Q2371" s="23" t="s">
        <v>39</v>
      </c>
      <c r="R2371" s="23" t="s">
        <v>114</v>
      </c>
      <c r="S2371" s="33">
        <v>0.2</v>
      </c>
      <c r="T2371" s="13">
        <v>148.47999999999999</v>
      </c>
      <c r="U2371" s="13">
        <v>16.704000000000001</v>
      </c>
      <c r="V2371" s="55">
        <f>Table3[[#This Row],[Profit]]/Table3[[#This Row],[Sales]]</f>
        <v>0.11250000000000002</v>
      </c>
    </row>
    <row r="2372" spans="1:22" x14ac:dyDescent="0.2">
      <c r="A2372">
        <v>2371</v>
      </c>
      <c r="B2372" t="s">
        <v>3879</v>
      </c>
      <c r="C2372" s="1">
        <v>43038</v>
      </c>
      <c r="D2372" s="22">
        <f>MONTH(Table3[[#This Row],[Order Date]])</f>
        <v>10</v>
      </c>
      <c r="E2372" t="s">
        <v>3883</v>
      </c>
      <c r="F2372" t="s">
        <v>3884</v>
      </c>
      <c r="G2372" s="23" t="s">
        <v>41</v>
      </c>
      <c r="H2372" s="23" t="s">
        <v>82</v>
      </c>
      <c r="I2372" t="s">
        <v>3880</v>
      </c>
      <c r="J2372" t="s">
        <v>22</v>
      </c>
      <c r="K2372" s="22">
        <v>2</v>
      </c>
      <c r="L2372" s="1">
        <v>43044</v>
      </c>
      <c r="M2372" s="22">
        <f>Table3[[#This Row],[Ship Date]]-Table3[[#This Row],[Order Date]]</f>
        <v>6</v>
      </c>
      <c r="N2372" s="23" t="s">
        <v>45</v>
      </c>
      <c r="O2372" s="23" t="s">
        <v>23</v>
      </c>
      <c r="P2372" s="23" t="s">
        <v>38</v>
      </c>
      <c r="Q2372" s="23" t="s">
        <v>39</v>
      </c>
      <c r="R2372" s="23" t="s">
        <v>114</v>
      </c>
      <c r="S2372" s="33">
        <v>0</v>
      </c>
      <c r="T2372" s="13">
        <v>7.42</v>
      </c>
      <c r="U2372" s="13">
        <v>3.71</v>
      </c>
      <c r="V2372" s="55">
        <f>Table3[[#This Row],[Profit]]/Table3[[#This Row],[Sales]]</f>
        <v>0.5</v>
      </c>
    </row>
    <row r="2373" spans="1:22" x14ac:dyDescent="0.2">
      <c r="A2373">
        <v>2372</v>
      </c>
      <c r="B2373" t="s">
        <v>3879</v>
      </c>
      <c r="C2373" s="1">
        <v>43038</v>
      </c>
      <c r="D2373" s="22">
        <f>MONTH(Table3[[#This Row],[Order Date]])</f>
        <v>10</v>
      </c>
      <c r="E2373" t="s">
        <v>233</v>
      </c>
      <c r="F2373" t="s">
        <v>234</v>
      </c>
      <c r="G2373" s="23" t="s">
        <v>28</v>
      </c>
      <c r="H2373" s="23" t="s">
        <v>32</v>
      </c>
      <c r="I2373" t="s">
        <v>3880</v>
      </c>
      <c r="J2373" t="s">
        <v>22</v>
      </c>
      <c r="K2373" s="22">
        <v>1</v>
      </c>
      <c r="L2373" s="1">
        <v>43044</v>
      </c>
      <c r="M2373" s="22">
        <f>Table3[[#This Row],[Ship Date]]-Table3[[#This Row],[Order Date]]</f>
        <v>6</v>
      </c>
      <c r="N2373" s="23" t="s">
        <v>45</v>
      </c>
      <c r="O2373" s="23" t="s">
        <v>23</v>
      </c>
      <c r="P2373" s="23" t="s">
        <v>38</v>
      </c>
      <c r="Q2373" s="23" t="s">
        <v>39</v>
      </c>
      <c r="R2373" s="23" t="s">
        <v>114</v>
      </c>
      <c r="S2373" s="33">
        <v>0.2</v>
      </c>
      <c r="T2373" s="13">
        <v>71.992000000000004</v>
      </c>
      <c r="U2373" s="13">
        <v>-0.89990000000000003</v>
      </c>
      <c r="V2373" s="55">
        <f>Table3[[#This Row],[Profit]]/Table3[[#This Row],[Sales]]</f>
        <v>-1.2499999999999999E-2</v>
      </c>
    </row>
    <row r="2374" spans="1:22" x14ac:dyDescent="0.2">
      <c r="A2374">
        <v>2373</v>
      </c>
      <c r="B2374" t="s">
        <v>3879</v>
      </c>
      <c r="C2374" s="1">
        <v>43038</v>
      </c>
      <c r="D2374" s="22">
        <f>MONTH(Table3[[#This Row],[Order Date]])</f>
        <v>10</v>
      </c>
      <c r="E2374" t="s">
        <v>680</v>
      </c>
      <c r="F2374" t="s">
        <v>681</v>
      </c>
      <c r="G2374" s="23" t="s">
        <v>41</v>
      </c>
      <c r="H2374" s="23" t="s">
        <v>61</v>
      </c>
      <c r="I2374" t="s">
        <v>3880</v>
      </c>
      <c r="J2374" t="s">
        <v>22</v>
      </c>
      <c r="K2374" s="22">
        <v>5</v>
      </c>
      <c r="L2374" s="1">
        <v>43044</v>
      </c>
      <c r="M2374" s="22">
        <f>Table3[[#This Row],[Ship Date]]-Table3[[#This Row],[Order Date]]</f>
        <v>6</v>
      </c>
      <c r="N2374" s="23" t="s">
        <v>45</v>
      </c>
      <c r="O2374" s="23" t="s">
        <v>23</v>
      </c>
      <c r="P2374" s="23" t="s">
        <v>38</v>
      </c>
      <c r="Q2374" s="23" t="s">
        <v>39</v>
      </c>
      <c r="R2374" s="23" t="s">
        <v>114</v>
      </c>
      <c r="S2374" s="33">
        <v>0</v>
      </c>
      <c r="T2374" s="13">
        <v>19.899999999999999</v>
      </c>
      <c r="U2374" s="13">
        <v>6.5670000000000002</v>
      </c>
      <c r="V2374" s="55">
        <f>Table3[[#This Row],[Profit]]/Table3[[#This Row],[Sales]]</f>
        <v>0.33</v>
      </c>
    </row>
    <row r="2375" spans="1:22" x14ac:dyDescent="0.2">
      <c r="A2375">
        <v>2374</v>
      </c>
      <c r="B2375" t="s">
        <v>3879</v>
      </c>
      <c r="C2375" s="1">
        <v>43038</v>
      </c>
      <c r="D2375" s="22">
        <f>MONTH(Table3[[#This Row],[Order Date]])</f>
        <v>10</v>
      </c>
      <c r="E2375" t="s">
        <v>630</v>
      </c>
      <c r="F2375" t="s">
        <v>631</v>
      </c>
      <c r="G2375" s="23" t="s">
        <v>41</v>
      </c>
      <c r="H2375" s="23" t="s">
        <v>71</v>
      </c>
      <c r="I2375" t="s">
        <v>3880</v>
      </c>
      <c r="J2375" t="s">
        <v>22</v>
      </c>
      <c r="K2375" s="22">
        <v>14</v>
      </c>
      <c r="L2375" s="1">
        <v>43044</v>
      </c>
      <c r="M2375" s="22">
        <f>Table3[[#This Row],[Ship Date]]-Table3[[#This Row],[Order Date]]</f>
        <v>6</v>
      </c>
      <c r="N2375" s="23" t="s">
        <v>45</v>
      </c>
      <c r="O2375" s="23" t="s">
        <v>23</v>
      </c>
      <c r="P2375" s="23" t="s">
        <v>38</v>
      </c>
      <c r="Q2375" s="23" t="s">
        <v>39</v>
      </c>
      <c r="R2375" s="23" t="s">
        <v>114</v>
      </c>
      <c r="S2375" s="33">
        <v>0</v>
      </c>
      <c r="T2375" s="13">
        <v>1702.12</v>
      </c>
      <c r="U2375" s="13">
        <v>510.63600000000002</v>
      </c>
      <c r="V2375" s="55">
        <f>Table3[[#This Row],[Profit]]/Table3[[#This Row],[Sales]]</f>
        <v>0.30000000000000004</v>
      </c>
    </row>
    <row r="2376" spans="1:22" x14ac:dyDescent="0.2">
      <c r="A2376">
        <v>2375</v>
      </c>
      <c r="B2376" t="s">
        <v>3925</v>
      </c>
      <c r="C2376" s="1">
        <v>43038</v>
      </c>
      <c r="D2376" s="22">
        <f>MONTH(Table3[[#This Row],[Order Date]])</f>
        <v>10</v>
      </c>
      <c r="E2376" t="s">
        <v>3926</v>
      </c>
      <c r="F2376" t="s">
        <v>3927</v>
      </c>
      <c r="G2376" s="23" t="s">
        <v>41</v>
      </c>
      <c r="H2376" s="23" t="s">
        <v>82</v>
      </c>
      <c r="I2376" t="s">
        <v>3678</v>
      </c>
      <c r="J2376" t="s">
        <v>22</v>
      </c>
      <c r="K2376" s="22">
        <v>4</v>
      </c>
      <c r="L2376" s="1">
        <v>43042</v>
      </c>
      <c r="M2376" s="22">
        <f>Table3[[#This Row],[Ship Date]]-Table3[[#This Row],[Order Date]]</f>
        <v>4</v>
      </c>
      <c r="N2376" s="23" t="s">
        <v>45</v>
      </c>
      <c r="O2376" s="23" t="s">
        <v>23</v>
      </c>
      <c r="P2376" s="23" t="s">
        <v>132</v>
      </c>
      <c r="Q2376" s="23" t="s">
        <v>133</v>
      </c>
      <c r="R2376" s="23" t="s">
        <v>131</v>
      </c>
      <c r="S2376" s="33">
        <v>0.2</v>
      </c>
      <c r="T2376" s="13">
        <v>20.736000000000001</v>
      </c>
      <c r="U2376" s="13">
        <v>7.2576000000000001</v>
      </c>
      <c r="V2376" s="55">
        <f>Table3[[#This Row],[Profit]]/Table3[[#This Row],[Sales]]</f>
        <v>0.35</v>
      </c>
    </row>
    <row r="2377" spans="1:22" x14ac:dyDescent="0.2">
      <c r="A2377">
        <v>2376</v>
      </c>
      <c r="B2377" t="s">
        <v>3925</v>
      </c>
      <c r="C2377" s="1">
        <v>43038</v>
      </c>
      <c r="D2377" s="22">
        <f>MONTH(Table3[[#This Row],[Order Date]])</f>
        <v>10</v>
      </c>
      <c r="E2377" t="s">
        <v>3768</v>
      </c>
      <c r="F2377" t="s">
        <v>3769</v>
      </c>
      <c r="G2377" s="23" t="s">
        <v>28</v>
      </c>
      <c r="H2377" s="23" t="s">
        <v>58</v>
      </c>
      <c r="I2377" t="s">
        <v>3678</v>
      </c>
      <c r="J2377" t="s">
        <v>22</v>
      </c>
      <c r="K2377" s="22">
        <v>2</v>
      </c>
      <c r="L2377" s="1">
        <v>43042</v>
      </c>
      <c r="M2377" s="22">
        <f>Table3[[#This Row],[Ship Date]]-Table3[[#This Row],[Order Date]]</f>
        <v>4</v>
      </c>
      <c r="N2377" s="23" t="s">
        <v>45</v>
      </c>
      <c r="O2377" s="23" t="s">
        <v>23</v>
      </c>
      <c r="P2377" s="23" t="s">
        <v>132</v>
      </c>
      <c r="Q2377" s="23" t="s">
        <v>133</v>
      </c>
      <c r="R2377" s="23" t="s">
        <v>131</v>
      </c>
      <c r="S2377" s="33">
        <v>0.2</v>
      </c>
      <c r="T2377" s="13">
        <v>7.1680000000000001</v>
      </c>
      <c r="U2377" s="13">
        <v>0.98560000000000003</v>
      </c>
      <c r="V2377" s="55">
        <f>Table3[[#This Row],[Profit]]/Table3[[#This Row],[Sales]]</f>
        <v>0.13750000000000001</v>
      </c>
    </row>
    <row r="2378" spans="1:22" x14ac:dyDescent="0.2">
      <c r="A2378">
        <v>2377</v>
      </c>
      <c r="B2378" t="s">
        <v>3925</v>
      </c>
      <c r="C2378" s="1">
        <v>43038</v>
      </c>
      <c r="D2378" s="22">
        <f>MONTH(Table3[[#This Row],[Order Date]])</f>
        <v>10</v>
      </c>
      <c r="E2378" t="s">
        <v>2404</v>
      </c>
      <c r="F2378" t="s">
        <v>2405</v>
      </c>
      <c r="G2378" s="23" t="s">
        <v>41</v>
      </c>
      <c r="H2378" s="23" t="s">
        <v>53</v>
      </c>
      <c r="I2378" t="s">
        <v>3678</v>
      </c>
      <c r="J2378" t="s">
        <v>22</v>
      </c>
      <c r="K2378" s="22">
        <v>2</v>
      </c>
      <c r="L2378" s="1">
        <v>43042</v>
      </c>
      <c r="M2378" s="22">
        <f>Table3[[#This Row],[Ship Date]]-Table3[[#This Row],[Order Date]]</f>
        <v>4</v>
      </c>
      <c r="N2378" s="23" t="s">
        <v>45</v>
      </c>
      <c r="O2378" s="23" t="s">
        <v>23</v>
      </c>
      <c r="P2378" s="23" t="s">
        <v>132</v>
      </c>
      <c r="Q2378" s="23" t="s">
        <v>133</v>
      </c>
      <c r="R2378" s="23" t="s">
        <v>131</v>
      </c>
      <c r="S2378" s="33">
        <v>0.2</v>
      </c>
      <c r="T2378" s="13">
        <v>11.167999999999999</v>
      </c>
      <c r="U2378" s="13">
        <v>-2.5127999999999999</v>
      </c>
      <c r="V2378" s="55">
        <f>Table3[[#This Row],[Profit]]/Table3[[#This Row],[Sales]]</f>
        <v>-0.22500000000000001</v>
      </c>
    </row>
    <row r="2379" spans="1:22" x14ac:dyDescent="0.2">
      <c r="A2379">
        <v>2378</v>
      </c>
      <c r="B2379" t="s">
        <v>3925</v>
      </c>
      <c r="C2379" s="1">
        <v>43038</v>
      </c>
      <c r="D2379" s="22">
        <f>MONTH(Table3[[#This Row],[Order Date]])</f>
        <v>10</v>
      </c>
      <c r="E2379" t="s">
        <v>1889</v>
      </c>
      <c r="F2379" t="s">
        <v>1890</v>
      </c>
      <c r="G2379" s="23" t="s">
        <v>64</v>
      </c>
      <c r="H2379" s="23" t="s">
        <v>144</v>
      </c>
      <c r="I2379" t="s">
        <v>3678</v>
      </c>
      <c r="J2379" t="s">
        <v>22</v>
      </c>
      <c r="K2379" s="22">
        <v>7</v>
      </c>
      <c r="L2379" s="1">
        <v>43042</v>
      </c>
      <c r="M2379" s="22">
        <f>Table3[[#This Row],[Ship Date]]-Table3[[#This Row],[Order Date]]</f>
        <v>4</v>
      </c>
      <c r="N2379" s="23" t="s">
        <v>45</v>
      </c>
      <c r="O2379" s="23" t="s">
        <v>23</v>
      </c>
      <c r="P2379" s="23" t="s">
        <v>132</v>
      </c>
      <c r="Q2379" s="23" t="s">
        <v>133</v>
      </c>
      <c r="R2379" s="23" t="s">
        <v>131</v>
      </c>
      <c r="S2379" s="33">
        <v>0.2</v>
      </c>
      <c r="T2379" s="13">
        <v>442.4</v>
      </c>
      <c r="U2379" s="13">
        <v>-55.3</v>
      </c>
      <c r="V2379" s="55">
        <f>Table3[[#This Row],[Profit]]/Table3[[#This Row],[Sales]]</f>
        <v>-0.125</v>
      </c>
    </row>
    <row r="2380" spans="1:22" x14ac:dyDescent="0.2">
      <c r="A2380">
        <v>2379</v>
      </c>
      <c r="B2380" t="s">
        <v>4685</v>
      </c>
      <c r="C2380" s="1">
        <v>43038</v>
      </c>
      <c r="D2380" s="22">
        <f>MONTH(Table3[[#This Row],[Order Date]])</f>
        <v>10</v>
      </c>
      <c r="E2380" t="s">
        <v>4368</v>
      </c>
      <c r="F2380" t="s">
        <v>4369</v>
      </c>
      <c r="G2380" s="23" t="s">
        <v>28</v>
      </c>
      <c r="H2380" s="23" t="s">
        <v>32</v>
      </c>
      <c r="I2380" t="s">
        <v>4686</v>
      </c>
      <c r="J2380" t="s">
        <v>22</v>
      </c>
      <c r="K2380" s="22">
        <v>2</v>
      </c>
      <c r="L2380" s="1">
        <v>43041</v>
      </c>
      <c r="M2380" s="22">
        <f>Table3[[#This Row],[Ship Date]]-Table3[[#This Row],[Order Date]]</f>
        <v>3</v>
      </c>
      <c r="N2380" s="23" t="s">
        <v>169</v>
      </c>
      <c r="O2380" s="23" t="s">
        <v>23</v>
      </c>
      <c r="P2380" s="23" t="s">
        <v>87</v>
      </c>
      <c r="Q2380" s="23" t="s">
        <v>39</v>
      </c>
      <c r="R2380" s="23" t="s">
        <v>86</v>
      </c>
      <c r="S2380" s="33">
        <v>0.2</v>
      </c>
      <c r="T2380" s="13">
        <v>97.567999999999998</v>
      </c>
      <c r="U2380" s="13">
        <v>-6.0979999999999999</v>
      </c>
      <c r="V2380" s="55">
        <f>Table3[[#This Row],[Profit]]/Table3[[#This Row],[Sales]]</f>
        <v>-6.25E-2</v>
      </c>
    </row>
    <row r="2381" spans="1:22" x14ac:dyDescent="0.2">
      <c r="A2381">
        <v>2380</v>
      </c>
      <c r="B2381" t="s">
        <v>4685</v>
      </c>
      <c r="C2381" s="1">
        <v>43038</v>
      </c>
      <c r="D2381" s="22">
        <f>MONTH(Table3[[#This Row],[Order Date]])</f>
        <v>10</v>
      </c>
      <c r="E2381" t="s">
        <v>3432</v>
      </c>
      <c r="F2381" t="s">
        <v>3433</v>
      </c>
      <c r="G2381" s="23" t="s">
        <v>28</v>
      </c>
      <c r="H2381" s="23" t="s">
        <v>32</v>
      </c>
      <c r="I2381" t="s">
        <v>4686</v>
      </c>
      <c r="J2381" t="s">
        <v>22</v>
      </c>
      <c r="K2381" s="22">
        <v>8</v>
      </c>
      <c r="L2381" s="1">
        <v>43041</v>
      </c>
      <c r="M2381" s="22">
        <f>Table3[[#This Row],[Ship Date]]-Table3[[#This Row],[Order Date]]</f>
        <v>3</v>
      </c>
      <c r="N2381" s="23" t="s">
        <v>169</v>
      </c>
      <c r="O2381" s="23" t="s">
        <v>23</v>
      </c>
      <c r="P2381" s="23" t="s">
        <v>87</v>
      </c>
      <c r="Q2381" s="23" t="s">
        <v>39</v>
      </c>
      <c r="R2381" s="23" t="s">
        <v>86</v>
      </c>
      <c r="S2381" s="33">
        <v>0.2</v>
      </c>
      <c r="T2381" s="13">
        <v>614.27200000000005</v>
      </c>
      <c r="U2381" s="13">
        <v>-23.0352</v>
      </c>
      <c r="V2381" s="55">
        <f>Table3[[#This Row],[Profit]]/Table3[[#This Row],[Sales]]</f>
        <v>-3.7499999999999999E-2</v>
      </c>
    </row>
    <row r="2382" spans="1:22" x14ac:dyDescent="0.2">
      <c r="A2382">
        <v>2381</v>
      </c>
      <c r="B2382" t="s">
        <v>4685</v>
      </c>
      <c r="C2382" s="1">
        <v>43038</v>
      </c>
      <c r="D2382" s="22">
        <f>MONTH(Table3[[#This Row],[Order Date]])</f>
        <v>10</v>
      </c>
      <c r="E2382" t="s">
        <v>3083</v>
      </c>
      <c r="F2382" t="s">
        <v>3084</v>
      </c>
      <c r="G2382" s="23" t="s">
        <v>28</v>
      </c>
      <c r="H2382" s="23" t="s">
        <v>29</v>
      </c>
      <c r="I2382" t="s">
        <v>4686</v>
      </c>
      <c r="J2382" t="s">
        <v>22</v>
      </c>
      <c r="K2382" s="22">
        <v>2</v>
      </c>
      <c r="L2382" s="1">
        <v>43041</v>
      </c>
      <c r="M2382" s="22">
        <f>Table3[[#This Row],[Ship Date]]-Table3[[#This Row],[Order Date]]</f>
        <v>3</v>
      </c>
      <c r="N2382" s="23" t="s">
        <v>169</v>
      </c>
      <c r="O2382" s="23" t="s">
        <v>23</v>
      </c>
      <c r="P2382" s="23" t="s">
        <v>87</v>
      </c>
      <c r="Q2382" s="23" t="s">
        <v>39</v>
      </c>
      <c r="R2382" s="23" t="s">
        <v>86</v>
      </c>
      <c r="S2382" s="33">
        <v>0</v>
      </c>
      <c r="T2382" s="13">
        <v>199.98</v>
      </c>
      <c r="U2382" s="13">
        <v>37.996200000000002</v>
      </c>
      <c r="V2382" s="55">
        <f>Table3[[#This Row],[Profit]]/Table3[[#This Row],[Sales]]</f>
        <v>0.19000000000000003</v>
      </c>
    </row>
    <row r="2383" spans="1:22" x14ac:dyDescent="0.2">
      <c r="A2383">
        <v>2382</v>
      </c>
      <c r="B2383" t="s">
        <v>5929</v>
      </c>
      <c r="C2383" s="1">
        <v>43038</v>
      </c>
      <c r="D2383" s="22">
        <f>MONTH(Table3[[#This Row],[Order Date]])</f>
        <v>10</v>
      </c>
      <c r="E2383" t="s">
        <v>1801</v>
      </c>
      <c r="F2383" t="s">
        <v>1802</v>
      </c>
      <c r="G2383" s="23" t="s">
        <v>28</v>
      </c>
      <c r="H2383" s="23" t="s">
        <v>58</v>
      </c>
      <c r="I2383" t="s">
        <v>2638</v>
      </c>
      <c r="J2383" t="s">
        <v>22</v>
      </c>
      <c r="K2383" s="22">
        <v>2</v>
      </c>
      <c r="L2383" s="1">
        <v>43038</v>
      </c>
      <c r="M2383" s="22">
        <f>Table3[[#This Row],[Ship Date]]-Table3[[#This Row],[Order Date]]</f>
        <v>0</v>
      </c>
      <c r="N2383" s="23" t="s">
        <v>1141</v>
      </c>
      <c r="O2383" s="23" t="s">
        <v>23</v>
      </c>
      <c r="P2383" s="23" t="s">
        <v>94</v>
      </c>
      <c r="Q2383" s="23" t="s">
        <v>95</v>
      </c>
      <c r="R2383" s="23" t="s">
        <v>718</v>
      </c>
      <c r="S2383" s="33">
        <v>0.6</v>
      </c>
      <c r="T2383" s="13">
        <v>16.192</v>
      </c>
      <c r="U2383" s="13">
        <v>-8.5007999999999999</v>
      </c>
      <c r="V2383" s="55">
        <f>Table3[[#This Row],[Profit]]/Table3[[#This Row],[Sales]]</f>
        <v>-0.52500000000000002</v>
      </c>
    </row>
    <row r="2384" spans="1:22" x14ac:dyDescent="0.2">
      <c r="A2384">
        <v>2383</v>
      </c>
      <c r="B2384" t="s">
        <v>5929</v>
      </c>
      <c r="C2384" s="1">
        <v>43038</v>
      </c>
      <c r="D2384" s="22">
        <f>MONTH(Table3[[#This Row],[Order Date]])</f>
        <v>10</v>
      </c>
      <c r="E2384" t="s">
        <v>1269</v>
      </c>
      <c r="F2384" t="s">
        <v>1270</v>
      </c>
      <c r="G2384" s="23" t="s">
        <v>28</v>
      </c>
      <c r="H2384" s="23" t="s">
        <v>50</v>
      </c>
      <c r="I2384" t="s">
        <v>2638</v>
      </c>
      <c r="J2384" t="s">
        <v>22</v>
      </c>
      <c r="K2384" s="22">
        <v>2</v>
      </c>
      <c r="L2384" s="1">
        <v>43038</v>
      </c>
      <c r="M2384" s="22">
        <f>Table3[[#This Row],[Ship Date]]-Table3[[#This Row],[Order Date]]</f>
        <v>0</v>
      </c>
      <c r="N2384" s="23" t="s">
        <v>1141</v>
      </c>
      <c r="O2384" s="23" t="s">
        <v>23</v>
      </c>
      <c r="P2384" s="23" t="s">
        <v>94</v>
      </c>
      <c r="Q2384" s="23" t="s">
        <v>95</v>
      </c>
      <c r="R2384" s="23" t="s">
        <v>718</v>
      </c>
      <c r="S2384" s="33">
        <v>0.3</v>
      </c>
      <c r="T2384" s="13">
        <v>251.006</v>
      </c>
      <c r="U2384" s="13">
        <v>-68.130200000000002</v>
      </c>
      <c r="V2384" s="55">
        <f>Table3[[#This Row],[Profit]]/Table3[[#This Row],[Sales]]</f>
        <v>-0.27142857142857146</v>
      </c>
    </row>
    <row r="2385" spans="1:22" x14ac:dyDescent="0.2">
      <c r="A2385">
        <v>2384</v>
      </c>
      <c r="B2385" t="s">
        <v>5929</v>
      </c>
      <c r="C2385" s="1">
        <v>43038</v>
      </c>
      <c r="D2385" s="22">
        <f>MONTH(Table3[[#This Row],[Order Date]])</f>
        <v>10</v>
      </c>
      <c r="E2385" t="s">
        <v>3510</v>
      </c>
      <c r="F2385" t="s">
        <v>3511</v>
      </c>
      <c r="G2385" s="23" t="s">
        <v>41</v>
      </c>
      <c r="H2385" s="23" t="s">
        <v>53</v>
      </c>
      <c r="I2385" t="s">
        <v>2638</v>
      </c>
      <c r="J2385" t="s">
        <v>22</v>
      </c>
      <c r="K2385" s="22">
        <v>6</v>
      </c>
      <c r="L2385" s="1">
        <v>43038</v>
      </c>
      <c r="M2385" s="22">
        <f>Table3[[#This Row],[Ship Date]]-Table3[[#This Row],[Order Date]]</f>
        <v>0</v>
      </c>
      <c r="N2385" s="23" t="s">
        <v>1141</v>
      </c>
      <c r="O2385" s="23" t="s">
        <v>23</v>
      </c>
      <c r="P2385" s="23" t="s">
        <v>94</v>
      </c>
      <c r="Q2385" s="23" t="s">
        <v>95</v>
      </c>
      <c r="R2385" s="23" t="s">
        <v>718</v>
      </c>
      <c r="S2385" s="33">
        <v>0.2</v>
      </c>
      <c r="T2385" s="13">
        <v>54.192</v>
      </c>
      <c r="U2385" s="13">
        <v>4.0644</v>
      </c>
      <c r="V2385" s="55">
        <f>Table3[[#This Row],[Profit]]/Table3[[#This Row],[Sales]]</f>
        <v>7.4999999999999997E-2</v>
      </c>
    </row>
    <row r="2386" spans="1:22" x14ac:dyDescent="0.2">
      <c r="A2386">
        <v>2385</v>
      </c>
      <c r="B2386" t="s">
        <v>6023</v>
      </c>
      <c r="C2386" s="1">
        <v>43038</v>
      </c>
      <c r="D2386" s="22">
        <f>MONTH(Table3[[#This Row],[Order Date]])</f>
        <v>10</v>
      </c>
      <c r="E2386" t="s">
        <v>1592</v>
      </c>
      <c r="F2386" t="s">
        <v>1593</v>
      </c>
      <c r="G2386" s="23" t="s">
        <v>41</v>
      </c>
      <c r="H2386" s="23" t="s">
        <v>53</v>
      </c>
      <c r="I2386" t="s">
        <v>2036</v>
      </c>
      <c r="J2386" t="s">
        <v>92</v>
      </c>
      <c r="K2386" s="22">
        <v>7</v>
      </c>
      <c r="L2386" s="1">
        <v>43040</v>
      </c>
      <c r="M2386" s="22">
        <f>Table3[[#This Row],[Ship Date]]-Table3[[#This Row],[Order Date]]</f>
        <v>2</v>
      </c>
      <c r="N2386" s="23" t="s">
        <v>169</v>
      </c>
      <c r="O2386" s="23" t="s">
        <v>23</v>
      </c>
      <c r="P2386" s="23" t="s">
        <v>25</v>
      </c>
      <c r="Q2386" s="23" t="s">
        <v>26</v>
      </c>
      <c r="R2386" s="23" t="s">
        <v>1294</v>
      </c>
      <c r="S2386" s="33">
        <v>0</v>
      </c>
      <c r="T2386" s="13">
        <v>105.98</v>
      </c>
      <c r="U2386" s="13">
        <v>4.2392000000000003</v>
      </c>
      <c r="V2386" s="55">
        <f>Table3[[#This Row],[Profit]]/Table3[[#This Row],[Sales]]</f>
        <v>0.04</v>
      </c>
    </row>
    <row r="2387" spans="1:22" x14ac:dyDescent="0.2">
      <c r="A2387">
        <v>2386</v>
      </c>
      <c r="B2387" t="s">
        <v>6023</v>
      </c>
      <c r="C2387" s="1">
        <v>43038</v>
      </c>
      <c r="D2387" s="22">
        <f>MONTH(Table3[[#This Row],[Order Date]])</f>
        <v>10</v>
      </c>
      <c r="E2387" t="s">
        <v>1241</v>
      </c>
      <c r="F2387" t="s">
        <v>1242</v>
      </c>
      <c r="G2387" s="23" t="s">
        <v>41</v>
      </c>
      <c r="H2387" s="23" t="s">
        <v>513</v>
      </c>
      <c r="I2387" t="s">
        <v>2036</v>
      </c>
      <c r="J2387" t="s">
        <v>92</v>
      </c>
      <c r="K2387" s="22">
        <v>2</v>
      </c>
      <c r="L2387" s="1">
        <v>43040</v>
      </c>
      <c r="M2387" s="22">
        <f>Table3[[#This Row],[Ship Date]]-Table3[[#This Row],[Order Date]]</f>
        <v>2</v>
      </c>
      <c r="N2387" s="23" t="s">
        <v>169</v>
      </c>
      <c r="O2387" s="23" t="s">
        <v>23</v>
      </c>
      <c r="P2387" s="23" t="s">
        <v>25</v>
      </c>
      <c r="Q2387" s="23" t="s">
        <v>26</v>
      </c>
      <c r="R2387" s="23" t="s">
        <v>1294</v>
      </c>
      <c r="S2387" s="33">
        <v>0</v>
      </c>
      <c r="T2387" s="13">
        <v>35.06</v>
      </c>
      <c r="U2387" s="13">
        <v>10.518000000000001</v>
      </c>
      <c r="V2387" s="55">
        <f>Table3[[#This Row],[Profit]]/Table3[[#This Row],[Sales]]</f>
        <v>0.3</v>
      </c>
    </row>
    <row r="2388" spans="1:22" x14ac:dyDescent="0.2">
      <c r="A2388">
        <v>2387</v>
      </c>
      <c r="B2388" t="s">
        <v>6023</v>
      </c>
      <c r="C2388" s="1">
        <v>43038</v>
      </c>
      <c r="D2388" s="22">
        <f>MONTH(Table3[[#This Row],[Order Date]])</f>
        <v>10</v>
      </c>
      <c r="E2388" t="s">
        <v>4584</v>
      </c>
      <c r="F2388" t="s">
        <v>4585</v>
      </c>
      <c r="G2388" s="23" t="s">
        <v>28</v>
      </c>
      <c r="H2388" s="23" t="s">
        <v>32</v>
      </c>
      <c r="I2388" t="s">
        <v>2036</v>
      </c>
      <c r="J2388" t="s">
        <v>92</v>
      </c>
      <c r="K2388" s="22">
        <v>1</v>
      </c>
      <c r="L2388" s="1">
        <v>43040</v>
      </c>
      <c r="M2388" s="22">
        <f>Table3[[#This Row],[Ship Date]]-Table3[[#This Row],[Order Date]]</f>
        <v>2</v>
      </c>
      <c r="N2388" s="23" t="s">
        <v>169</v>
      </c>
      <c r="O2388" s="23" t="s">
        <v>23</v>
      </c>
      <c r="P2388" s="23" t="s">
        <v>25</v>
      </c>
      <c r="Q2388" s="23" t="s">
        <v>26</v>
      </c>
      <c r="R2388" s="23" t="s">
        <v>1294</v>
      </c>
      <c r="S2388" s="33">
        <v>0</v>
      </c>
      <c r="T2388" s="13">
        <v>33.94</v>
      </c>
      <c r="U2388" s="13">
        <v>9.1638000000000002</v>
      </c>
      <c r="V2388" s="55">
        <f>Table3[[#This Row],[Profit]]/Table3[[#This Row],[Sales]]</f>
        <v>0.27</v>
      </c>
    </row>
    <row r="2389" spans="1:22" x14ac:dyDescent="0.2">
      <c r="A2389">
        <v>2388</v>
      </c>
      <c r="B2389" t="s">
        <v>6023</v>
      </c>
      <c r="C2389" s="1">
        <v>43038</v>
      </c>
      <c r="D2389" s="22">
        <f>MONTH(Table3[[#This Row],[Order Date]])</f>
        <v>10</v>
      </c>
      <c r="E2389" t="s">
        <v>6024</v>
      </c>
      <c r="F2389" t="s">
        <v>6025</v>
      </c>
      <c r="G2389" s="23" t="s">
        <v>41</v>
      </c>
      <c r="H2389" s="23" t="s">
        <v>42</v>
      </c>
      <c r="I2389" t="s">
        <v>2036</v>
      </c>
      <c r="J2389" t="s">
        <v>92</v>
      </c>
      <c r="K2389" s="22">
        <v>8</v>
      </c>
      <c r="L2389" s="1">
        <v>43040</v>
      </c>
      <c r="M2389" s="22">
        <f>Table3[[#This Row],[Ship Date]]-Table3[[#This Row],[Order Date]]</f>
        <v>2</v>
      </c>
      <c r="N2389" s="23" t="s">
        <v>169</v>
      </c>
      <c r="O2389" s="23" t="s">
        <v>23</v>
      </c>
      <c r="P2389" s="23" t="s">
        <v>25</v>
      </c>
      <c r="Q2389" s="23" t="s">
        <v>26</v>
      </c>
      <c r="R2389" s="23" t="s">
        <v>1294</v>
      </c>
      <c r="S2389" s="33">
        <v>0</v>
      </c>
      <c r="T2389" s="13">
        <v>30</v>
      </c>
      <c r="U2389" s="13">
        <v>14.4</v>
      </c>
      <c r="V2389" s="55">
        <f>Table3[[#This Row],[Profit]]/Table3[[#This Row],[Sales]]</f>
        <v>0.48000000000000004</v>
      </c>
    </row>
    <row r="2390" spans="1:22" x14ac:dyDescent="0.2">
      <c r="A2390">
        <v>2389</v>
      </c>
      <c r="B2390" t="s">
        <v>8103</v>
      </c>
      <c r="C2390" s="1">
        <v>43039</v>
      </c>
      <c r="D2390" s="22">
        <f>MONTH(Table3[[#This Row],[Order Date]])</f>
        <v>10</v>
      </c>
      <c r="E2390" t="s">
        <v>986</v>
      </c>
      <c r="F2390" t="s">
        <v>987</v>
      </c>
      <c r="G2390" s="23" t="s">
        <v>41</v>
      </c>
      <c r="H2390" s="23" t="s">
        <v>61</v>
      </c>
      <c r="I2390" t="s">
        <v>4438</v>
      </c>
      <c r="J2390" t="s">
        <v>92</v>
      </c>
      <c r="K2390" s="22">
        <v>2</v>
      </c>
      <c r="L2390" s="1">
        <v>43043</v>
      </c>
      <c r="M2390" s="22">
        <f>Table3[[#This Row],[Ship Date]]-Table3[[#This Row],[Order Date]]</f>
        <v>4</v>
      </c>
      <c r="N2390" s="23" t="s">
        <v>45</v>
      </c>
      <c r="O2390" s="23" t="s">
        <v>23</v>
      </c>
      <c r="P2390" s="23" t="s">
        <v>94</v>
      </c>
      <c r="Q2390" s="23" t="s">
        <v>95</v>
      </c>
      <c r="R2390" s="23" t="s">
        <v>718</v>
      </c>
      <c r="S2390" s="33">
        <v>0.2</v>
      </c>
      <c r="T2390" s="13">
        <v>5.2480000000000002</v>
      </c>
      <c r="U2390" s="13">
        <v>0.59040000000000004</v>
      </c>
      <c r="V2390" s="55">
        <f>Table3[[#This Row],[Profit]]/Table3[[#This Row],[Sales]]</f>
        <v>0.1125</v>
      </c>
    </row>
    <row r="2391" spans="1:22" x14ac:dyDescent="0.2">
      <c r="A2391">
        <v>2390</v>
      </c>
      <c r="B2391" t="s">
        <v>8910</v>
      </c>
      <c r="C2391" s="1">
        <v>43039</v>
      </c>
      <c r="D2391" s="22">
        <f>MONTH(Table3[[#This Row],[Order Date]])</f>
        <v>10</v>
      </c>
      <c r="E2391" t="s">
        <v>1916</v>
      </c>
      <c r="F2391" t="s">
        <v>1917</v>
      </c>
      <c r="G2391" s="23" t="s">
        <v>64</v>
      </c>
      <c r="H2391" s="23" t="s">
        <v>65</v>
      </c>
      <c r="I2391" t="s">
        <v>2814</v>
      </c>
      <c r="J2391" t="s">
        <v>36</v>
      </c>
      <c r="K2391" s="22">
        <v>4</v>
      </c>
      <c r="L2391" s="1">
        <v>43044</v>
      </c>
      <c r="M2391" s="22">
        <f>Table3[[#This Row],[Ship Date]]-Table3[[#This Row],[Order Date]]</f>
        <v>5</v>
      </c>
      <c r="N2391" s="23" t="s">
        <v>45</v>
      </c>
      <c r="O2391" s="23" t="s">
        <v>23</v>
      </c>
      <c r="P2391" s="23" t="s">
        <v>189</v>
      </c>
      <c r="Q2391" s="23" t="s">
        <v>95</v>
      </c>
      <c r="R2391" s="23" t="s">
        <v>271</v>
      </c>
      <c r="S2391" s="33">
        <v>0.2</v>
      </c>
      <c r="T2391" s="13">
        <v>508.76799999999997</v>
      </c>
      <c r="U2391" s="13">
        <v>38.157600000000002</v>
      </c>
      <c r="V2391" s="55">
        <f>Table3[[#This Row],[Profit]]/Table3[[#This Row],[Sales]]</f>
        <v>7.5000000000000011E-2</v>
      </c>
    </row>
    <row r="2392" spans="1:22" x14ac:dyDescent="0.2">
      <c r="A2392">
        <v>2391</v>
      </c>
      <c r="B2392" t="s">
        <v>8910</v>
      </c>
      <c r="C2392" s="1">
        <v>43039</v>
      </c>
      <c r="D2392" s="22">
        <f>MONTH(Table3[[#This Row],[Order Date]])</f>
        <v>10</v>
      </c>
      <c r="E2392" t="s">
        <v>1116</v>
      </c>
      <c r="F2392" t="s">
        <v>1117</v>
      </c>
      <c r="G2392" s="23" t="s">
        <v>41</v>
      </c>
      <c r="H2392" s="23" t="s">
        <v>155</v>
      </c>
      <c r="I2392" t="s">
        <v>2814</v>
      </c>
      <c r="J2392" t="s">
        <v>36</v>
      </c>
      <c r="K2392" s="22">
        <v>3</v>
      </c>
      <c r="L2392" s="1">
        <v>43044</v>
      </c>
      <c r="M2392" s="22">
        <f>Table3[[#This Row],[Ship Date]]-Table3[[#This Row],[Order Date]]</f>
        <v>5</v>
      </c>
      <c r="N2392" s="23" t="s">
        <v>45</v>
      </c>
      <c r="O2392" s="23" t="s">
        <v>23</v>
      </c>
      <c r="P2392" s="23" t="s">
        <v>189</v>
      </c>
      <c r="Q2392" s="23" t="s">
        <v>95</v>
      </c>
      <c r="R2392" s="23" t="s">
        <v>271</v>
      </c>
      <c r="S2392" s="33">
        <v>0.2</v>
      </c>
      <c r="T2392" s="13">
        <v>9.9120000000000008</v>
      </c>
      <c r="U2392" s="13">
        <v>3.2214</v>
      </c>
      <c r="V2392" s="55">
        <f>Table3[[#This Row],[Profit]]/Table3[[#This Row],[Sales]]</f>
        <v>0.32499999999999996</v>
      </c>
    </row>
    <row r="2393" spans="1:22" x14ac:dyDescent="0.2">
      <c r="A2393">
        <v>2392</v>
      </c>
      <c r="B2393" t="s">
        <v>5041</v>
      </c>
      <c r="C2393" s="1">
        <v>43040</v>
      </c>
      <c r="D2393" s="22">
        <f>MONTH(Table3[[#This Row],[Order Date]])</f>
        <v>11</v>
      </c>
      <c r="E2393" t="s">
        <v>5043</v>
      </c>
      <c r="F2393" t="s">
        <v>5044</v>
      </c>
      <c r="G2393" s="23" t="s">
        <v>41</v>
      </c>
      <c r="H2393" s="23" t="s">
        <v>68</v>
      </c>
      <c r="I2393" t="s">
        <v>1714</v>
      </c>
      <c r="J2393" t="s">
        <v>22</v>
      </c>
      <c r="K2393" s="22">
        <v>5</v>
      </c>
      <c r="L2393" s="1">
        <v>43042</v>
      </c>
      <c r="M2393" s="22">
        <f>Table3[[#This Row],[Ship Date]]-Table3[[#This Row],[Order Date]]</f>
        <v>2</v>
      </c>
      <c r="N2393" s="23" t="s">
        <v>20</v>
      </c>
      <c r="O2393" s="23" t="s">
        <v>23</v>
      </c>
      <c r="P2393" s="23" t="s">
        <v>87</v>
      </c>
      <c r="Q2393" s="23" t="s">
        <v>39</v>
      </c>
      <c r="R2393" s="23" t="s">
        <v>5042</v>
      </c>
      <c r="S2393" s="33">
        <v>0.2</v>
      </c>
      <c r="T2393" s="13">
        <v>25.12</v>
      </c>
      <c r="U2393" s="13">
        <v>7.85</v>
      </c>
      <c r="V2393" s="55">
        <f>Table3[[#This Row],[Profit]]/Table3[[#This Row],[Sales]]</f>
        <v>0.3125</v>
      </c>
    </row>
    <row r="2394" spans="1:22" x14ac:dyDescent="0.2">
      <c r="A2394">
        <v>2393</v>
      </c>
      <c r="B2394" t="s">
        <v>5041</v>
      </c>
      <c r="C2394" s="1">
        <v>43040</v>
      </c>
      <c r="D2394" s="22">
        <f>MONTH(Table3[[#This Row],[Order Date]])</f>
        <v>11</v>
      </c>
      <c r="E2394" t="s">
        <v>4389</v>
      </c>
      <c r="F2394" t="s">
        <v>4390</v>
      </c>
      <c r="G2394" s="23" t="s">
        <v>28</v>
      </c>
      <c r="H2394" s="23" t="s">
        <v>50</v>
      </c>
      <c r="I2394" t="s">
        <v>1714</v>
      </c>
      <c r="J2394" t="s">
        <v>22</v>
      </c>
      <c r="K2394" s="22">
        <v>9</v>
      </c>
      <c r="L2394" s="1">
        <v>43042</v>
      </c>
      <c r="M2394" s="22">
        <f>Table3[[#This Row],[Ship Date]]-Table3[[#This Row],[Order Date]]</f>
        <v>2</v>
      </c>
      <c r="N2394" s="23" t="s">
        <v>20</v>
      </c>
      <c r="O2394" s="23" t="s">
        <v>23</v>
      </c>
      <c r="P2394" s="23" t="s">
        <v>87</v>
      </c>
      <c r="Q2394" s="23" t="s">
        <v>39</v>
      </c>
      <c r="R2394" s="23" t="s">
        <v>5042</v>
      </c>
      <c r="S2394" s="33">
        <v>0</v>
      </c>
      <c r="T2394" s="13">
        <v>2665.62</v>
      </c>
      <c r="U2394" s="13">
        <v>239.9058</v>
      </c>
      <c r="V2394" s="55">
        <f>Table3[[#This Row],[Profit]]/Table3[[#This Row],[Sales]]</f>
        <v>0.09</v>
      </c>
    </row>
    <row r="2395" spans="1:22" x14ac:dyDescent="0.2">
      <c r="A2395">
        <v>2394</v>
      </c>
      <c r="B2395" t="s">
        <v>9123</v>
      </c>
      <c r="C2395" s="1">
        <v>43040</v>
      </c>
      <c r="D2395" s="22">
        <f>MONTH(Table3[[#This Row],[Order Date]])</f>
        <v>11</v>
      </c>
      <c r="E2395" t="s">
        <v>971</v>
      </c>
      <c r="F2395" t="s">
        <v>972</v>
      </c>
      <c r="G2395" s="23" t="s">
        <v>41</v>
      </c>
      <c r="H2395" s="23" t="s">
        <v>82</v>
      </c>
      <c r="I2395" t="s">
        <v>130</v>
      </c>
      <c r="J2395" t="s">
        <v>22</v>
      </c>
      <c r="K2395" s="22">
        <v>10</v>
      </c>
      <c r="L2395" s="1">
        <v>43043</v>
      </c>
      <c r="M2395" s="22">
        <f>Table3[[#This Row],[Ship Date]]-Table3[[#This Row],[Order Date]]</f>
        <v>3</v>
      </c>
      <c r="N2395" s="23" t="s">
        <v>20</v>
      </c>
      <c r="O2395" s="23" t="s">
        <v>23</v>
      </c>
      <c r="P2395" s="23" t="s">
        <v>1101</v>
      </c>
      <c r="Q2395" s="23" t="s">
        <v>133</v>
      </c>
      <c r="R2395" s="23" t="s">
        <v>3613</v>
      </c>
      <c r="S2395" s="33">
        <v>0</v>
      </c>
      <c r="T2395" s="13">
        <v>189.7</v>
      </c>
      <c r="U2395" s="13">
        <v>91.055999999999997</v>
      </c>
      <c r="V2395" s="55">
        <f>Table3[[#This Row],[Profit]]/Table3[[#This Row],[Sales]]</f>
        <v>0.48000000000000004</v>
      </c>
    </row>
    <row r="2396" spans="1:22" x14ac:dyDescent="0.2">
      <c r="A2396">
        <v>2395</v>
      </c>
      <c r="B2396" t="s">
        <v>9123</v>
      </c>
      <c r="C2396" s="1">
        <v>43040</v>
      </c>
      <c r="D2396" s="22">
        <f>MONTH(Table3[[#This Row],[Order Date]])</f>
        <v>11</v>
      </c>
      <c r="E2396" t="s">
        <v>5840</v>
      </c>
      <c r="F2396" t="s">
        <v>5841</v>
      </c>
      <c r="G2396" s="23" t="s">
        <v>41</v>
      </c>
      <c r="H2396" s="23" t="s">
        <v>82</v>
      </c>
      <c r="I2396" t="s">
        <v>130</v>
      </c>
      <c r="J2396" t="s">
        <v>22</v>
      </c>
      <c r="K2396" s="22">
        <v>1</v>
      </c>
      <c r="L2396" s="1">
        <v>43043</v>
      </c>
      <c r="M2396" s="22">
        <f>Table3[[#This Row],[Ship Date]]-Table3[[#This Row],[Order Date]]</f>
        <v>3</v>
      </c>
      <c r="N2396" s="23" t="s">
        <v>20</v>
      </c>
      <c r="O2396" s="23" t="s">
        <v>23</v>
      </c>
      <c r="P2396" s="23" t="s">
        <v>1101</v>
      </c>
      <c r="Q2396" s="23" t="s">
        <v>133</v>
      </c>
      <c r="R2396" s="23" t="s">
        <v>3613</v>
      </c>
      <c r="S2396" s="33">
        <v>0</v>
      </c>
      <c r="T2396" s="13">
        <v>40.99</v>
      </c>
      <c r="U2396" s="13">
        <v>20.085100000000001</v>
      </c>
      <c r="V2396" s="55">
        <f>Table3[[#This Row],[Profit]]/Table3[[#This Row],[Sales]]</f>
        <v>0.49</v>
      </c>
    </row>
    <row r="2397" spans="1:22" x14ac:dyDescent="0.2">
      <c r="A2397">
        <v>2396</v>
      </c>
      <c r="B2397" t="s">
        <v>5410</v>
      </c>
      <c r="C2397" s="1">
        <v>43041</v>
      </c>
      <c r="D2397" s="22">
        <f>MONTH(Table3[[#This Row],[Order Date]])</f>
        <v>11</v>
      </c>
      <c r="E2397" t="s">
        <v>5411</v>
      </c>
      <c r="F2397" t="s">
        <v>5412</v>
      </c>
      <c r="G2397" s="23" t="s">
        <v>41</v>
      </c>
      <c r="H2397" s="23" t="s">
        <v>82</v>
      </c>
      <c r="I2397" t="s">
        <v>1330</v>
      </c>
      <c r="J2397" t="s">
        <v>36</v>
      </c>
      <c r="K2397" s="22">
        <v>5</v>
      </c>
      <c r="L2397" s="1">
        <v>43045</v>
      </c>
      <c r="M2397" s="22">
        <f>Table3[[#This Row],[Ship Date]]-Table3[[#This Row],[Order Date]]</f>
        <v>4</v>
      </c>
      <c r="N2397" s="23" t="s">
        <v>45</v>
      </c>
      <c r="O2397" s="23" t="s">
        <v>23</v>
      </c>
      <c r="P2397" s="23" t="s">
        <v>87</v>
      </c>
      <c r="Q2397" s="23" t="s">
        <v>39</v>
      </c>
      <c r="R2397" s="23" t="s">
        <v>86</v>
      </c>
      <c r="S2397" s="33">
        <v>0</v>
      </c>
      <c r="T2397" s="13">
        <v>23.85</v>
      </c>
      <c r="U2397" s="13">
        <v>10.7325</v>
      </c>
      <c r="V2397" s="55">
        <f>Table3[[#This Row],[Profit]]/Table3[[#This Row],[Sales]]</f>
        <v>0.44999999999999996</v>
      </c>
    </row>
    <row r="2398" spans="1:22" x14ac:dyDescent="0.2">
      <c r="A2398">
        <v>2397</v>
      </c>
      <c r="B2398" t="s">
        <v>5804</v>
      </c>
      <c r="C2398" s="1">
        <v>43041</v>
      </c>
      <c r="D2398" s="22">
        <f>MONTH(Table3[[#This Row],[Order Date]])</f>
        <v>11</v>
      </c>
      <c r="E2398" t="s">
        <v>2856</v>
      </c>
      <c r="F2398" t="s">
        <v>498</v>
      </c>
      <c r="G2398" s="23" t="s">
        <v>41</v>
      </c>
      <c r="H2398" s="23" t="s">
        <v>240</v>
      </c>
      <c r="I2398" t="s">
        <v>2663</v>
      </c>
      <c r="J2398" t="s">
        <v>36</v>
      </c>
      <c r="K2398" s="22">
        <v>3</v>
      </c>
      <c r="L2398" s="1">
        <v>43045</v>
      </c>
      <c r="M2398" s="22">
        <f>Table3[[#This Row],[Ship Date]]-Table3[[#This Row],[Order Date]]</f>
        <v>4</v>
      </c>
      <c r="N2398" s="23" t="s">
        <v>45</v>
      </c>
      <c r="O2398" s="23" t="s">
        <v>23</v>
      </c>
      <c r="P2398" s="23" t="s">
        <v>4001</v>
      </c>
      <c r="Q2398" s="23" t="s">
        <v>95</v>
      </c>
      <c r="R2398" s="23" t="s">
        <v>5805</v>
      </c>
      <c r="S2398" s="33">
        <v>0</v>
      </c>
      <c r="T2398" s="13">
        <v>18.239999999999998</v>
      </c>
      <c r="U2398" s="13">
        <v>9.1199999999999992</v>
      </c>
      <c r="V2398" s="55">
        <f>Table3[[#This Row],[Profit]]/Table3[[#This Row],[Sales]]</f>
        <v>0.5</v>
      </c>
    </row>
    <row r="2399" spans="1:22" x14ac:dyDescent="0.2">
      <c r="A2399">
        <v>2398</v>
      </c>
      <c r="B2399" t="s">
        <v>5804</v>
      </c>
      <c r="C2399" s="1">
        <v>43041</v>
      </c>
      <c r="D2399" s="22">
        <f>MONTH(Table3[[#This Row],[Order Date]])</f>
        <v>11</v>
      </c>
      <c r="E2399" t="s">
        <v>688</v>
      </c>
      <c r="F2399" t="s">
        <v>689</v>
      </c>
      <c r="G2399" s="23" t="s">
        <v>41</v>
      </c>
      <c r="H2399" s="23" t="s">
        <v>61</v>
      </c>
      <c r="I2399" t="s">
        <v>2663</v>
      </c>
      <c r="J2399" t="s">
        <v>36</v>
      </c>
      <c r="K2399" s="22">
        <v>6</v>
      </c>
      <c r="L2399" s="1">
        <v>43045</v>
      </c>
      <c r="M2399" s="22">
        <f>Table3[[#This Row],[Ship Date]]-Table3[[#This Row],[Order Date]]</f>
        <v>4</v>
      </c>
      <c r="N2399" s="23" t="s">
        <v>45</v>
      </c>
      <c r="O2399" s="23" t="s">
        <v>23</v>
      </c>
      <c r="P2399" s="23" t="s">
        <v>4001</v>
      </c>
      <c r="Q2399" s="23" t="s">
        <v>95</v>
      </c>
      <c r="R2399" s="23" t="s">
        <v>5805</v>
      </c>
      <c r="S2399" s="33">
        <v>0</v>
      </c>
      <c r="T2399" s="13">
        <v>27.78</v>
      </c>
      <c r="U2399" s="13">
        <v>9.1674000000000007</v>
      </c>
      <c r="V2399" s="55">
        <f>Table3[[#This Row],[Profit]]/Table3[[#This Row],[Sales]]</f>
        <v>0.33</v>
      </c>
    </row>
    <row r="2400" spans="1:22" x14ac:dyDescent="0.2">
      <c r="A2400">
        <v>2399</v>
      </c>
      <c r="B2400" t="s">
        <v>6884</v>
      </c>
      <c r="C2400" s="1">
        <v>43041</v>
      </c>
      <c r="D2400" s="22">
        <f>MONTH(Table3[[#This Row],[Order Date]])</f>
        <v>11</v>
      </c>
      <c r="E2400" t="s">
        <v>1596</v>
      </c>
      <c r="F2400" t="s">
        <v>1597</v>
      </c>
      <c r="G2400" s="23" t="s">
        <v>41</v>
      </c>
      <c r="H2400" s="23" t="s">
        <v>155</v>
      </c>
      <c r="I2400" t="s">
        <v>5157</v>
      </c>
      <c r="J2400" t="s">
        <v>92</v>
      </c>
      <c r="K2400" s="22">
        <v>7</v>
      </c>
      <c r="L2400" s="1">
        <v>43043</v>
      </c>
      <c r="M2400" s="22">
        <f>Table3[[#This Row],[Ship Date]]-Table3[[#This Row],[Order Date]]</f>
        <v>2</v>
      </c>
      <c r="N2400" s="23" t="s">
        <v>20</v>
      </c>
      <c r="O2400" s="23" t="s">
        <v>23</v>
      </c>
      <c r="P2400" s="23" t="s">
        <v>38</v>
      </c>
      <c r="Q2400" s="23" t="s">
        <v>39</v>
      </c>
      <c r="R2400" s="23" t="s">
        <v>6885</v>
      </c>
      <c r="S2400" s="33">
        <v>0</v>
      </c>
      <c r="T2400" s="13">
        <v>76.58</v>
      </c>
      <c r="U2400" s="13">
        <v>38.29</v>
      </c>
      <c r="V2400" s="55">
        <f>Table3[[#This Row],[Profit]]/Table3[[#This Row],[Sales]]</f>
        <v>0.5</v>
      </c>
    </row>
    <row r="2401" spans="1:22" x14ac:dyDescent="0.2">
      <c r="A2401">
        <v>2400</v>
      </c>
      <c r="B2401" t="s">
        <v>6884</v>
      </c>
      <c r="C2401" s="1">
        <v>43041</v>
      </c>
      <c r="D2401" s="22">
        <f>MONTH(Table3[[#This Row],[Order Date]])</f>
        <v>11</v>
      </c>
      <c r="E2401" t="s">
        <v>4588</v>
      </c>
      <c r="F2401" t="s">
        <v>4589</v>
      </c>
      <c r="G2401" s="23" t="s">
        <v>41</v>
      </c>
      <c r="H2401" s="23" t="s">
        <v>61</v>
      </c>
      <c r="I2401" t="s">
        <v>5157</v>
      </c>
      <c r="J2401" t="s">
        <v>92</v>
      </c>
      <c r="K2401" s="22">
        <v>5</v>
      </c>
      <c r="L2401" s="1">
        <v>43043</v>
      </c>
      <c r="M2401" s="22">
        <f>Table3[[#This Row],[Ship Date]]-Table3[[#This Row],[Order Date]]</f>
        <v>2</v>
      </c>
      <c r="N2401" s="23" t="s">
        <v>20</v>
      </c>
      <c r="O2401" s="23" t="s">
        <v>23</v>
      </c>
      <c r="P2401" s="23" t="s">
        <v>38</v>
      </c>
      <c r="Q2401" s="23" t="s">
        <v>39</v>
      </c>
      <c r="R2401" s="23" t="s">
        <v>6885</v>
      </c>
      <c r="S2401" s="33">
        <v>0</v>
      </c>
      <c r="T2401" s="13">
        <v>8.8000000000000007</v>
      </c>
      <c r="U2401" s="13">
        <v>4.2240000000000002</v>
      </c>
      <c r="V2401" s="55">
        <f>Table3[[#This Row],[Profit]]/Table3[[#This Row],[Sales]]</f>
        <v>0.48</v>
      </c>
    </row>
    <row r="2402" spans="1:22" x14ac:dyDescent="0.2">
      <c r="A2402">
        <v>2401</v>
      </c>
      <c r="B2402" t="s">
        <v>6884</v>
      </c>
      <c r="C2402" s="1">
        <v>43041</v>
      </c>
      <c r="D2402" s="22">
        <f>MONTH(Table3[[#This Row],[Order Date]])</f>
        <v>11</v>
      </c>
      <c r="E2402" t="s">
        <v>6886</v>
      </c>
      <c r="F2402" t="s">
        <v>6887</v>
      </c>
      <c r="G2402" s="23" t="s">
        <v>41</v>
      </c>
      <c r="H2402" s="23" t="s">
        <v>68</v>
      </c>
      <c r="I2402" t="s">
        <v>5157</v>
      </c>
      <c r="J2402" t="s">
        <v>92</v>
      </c>
      <c r="K2402" s="22">
        <v>6</v>
      </c>
      <c r="L2402" s="1">
        <v>43043</v>
      </c>
      <c r="M2402" s="22">
        <f>Table3[[#This Row],[Ship Date]]-Table3[[#This Row],[Order Date]]</f>
        <v>2</v>
      </c>
      <c r="N2402" s="23" t="s">
        <v>20</v>
      </c>
      <c r="O2402" s="23" t="s">
        <v>23</v>
      </c>
      <c r="P2402" s="23" t="s">
        <v>38</v>
      </c>
      <c r="Q2402" s="23" t="s">
        <v>39</v>
      </c>
      <c r="R2402" s="23" t="s">
        <v>6885</v>
      </c>
      <c r="S2402" s="33">
        <v>0.2</v>
      </c>
      <c r="T2402" s="13">
        <v>590.35199999999998</v>
      </c>
      <c r="U2402" s="13">
        <v>206.6232</v>
      </c>
      <c r="V2402" s="55">
        <f>Table3[[#This Row],[Profit]]/Table3[[#This Row],[Sales]]</f>
        <v>0.35000000000000003</v>
      </c>
    </row>
    <row r="2403" spans="1:22" x14ac:dyDescent="0.2">
      <c r="A2403">
        <v>2402</v>
      </c>
      <c r="B2403" t="s">
        <v>6884</v>
      </c>
      <c r="C2403" s="1">
        <v>43041</v>
      </c>
      <c r="D2403" s="22">
        <f>MONTH(Table3[[#This Row],[Order Date]])</f>
        <v>11</v>
      </c>
      <c r="E2403" t="s">
        <v>2764</v>
      </c>
      <c r="F2403" t="s">
        <v>2765</v>
      </c>
      <c r="G2403" s="23" t="s">
        <v>41</v>
      </c>
      <c r="H2403" s="23" t="s">
        <v>240</v>
      </c>
      <c r="I2403" t="s">
        <v>5157</v>
      </c>
      <c r="J2403" t="s">
        <v>92</v>
      </c>
      <c r="K2403" s="22">
        <v>3</v>
      </c>
      <c r="L2403" s="1">
        <v>43043</v>
      </c>
      <c r="M2403" s="22">
        <f>Table3[[#This Row],[Ship Date]]-Table3[[#This Row],[Order Date]]</f>
        <v>2</v>
      </c>
      <c r="N2403" s="23" t="s">
        <v>20</v>
      </c>
      <c r="O2403" s="23" t="s">
        <v>23</v>
      </c>
      <c r="P2403" s="23" t="s">
        <v>38</v>
      </c>
      <c r="Q2403" s="23" t="s">
        <v>39</v>
      </c>
      <c r="R2403" s="23" t="s">
        <v>6885</v>
      </c>
      <c r="S2403" s="33">
        <v>0</v>
      </c>
      <c r="T2403" s="13">
        <v>5.58</v>
      </c>
      <c r="U2403" s="13">
        <v>0.16739999999999999</v>
      </c>
      <c r="V2403" s="55">
        <f>Table3[[#This Row],[Profit]]/Table3[[#This Row],[Sales]]</f>
        <v>0.03</v>
      </c>
    </row>
    <row r="2404" spans="1:22" x14ac:dyDescent="0.2">
      <c r="A2404">
        <v>2403</v>
      </c>
      <c r="B2404" t="s">
        <v>6884</v>
      </c>
      <c r="C2404" s="1">
        <v>43041</v>
      </c>
      <c r="D2404" s="22">
        <f>MONTH(Table3[[#This Row],[Order Date]])</f>
        <v>11</v>
      </c>
      <c r="E2404" t="s">
        <v>6888</v>
      </c>
      <c r="F2404" t="s">
        <v>6889</v>
      </c>
      <c r="G2404" s="23" t="s">
        <v>28</v>
      </c>
      <c r="H2404" s="23" t="s">
        <v>58</v>
      </c>
      <c r="I2404" t="s">
        <v>5157</v>
      </c>
      <c r="J2404" t="s">
        <v>92</v>
      </c>
      <c r="K2404" s="22">
        <v>3</v>
      </c>
      <c r="L2404" s="1">
        <v>43043</v>
      </c>
      <c r="M2404" s="22">
        <f>Table3[[#This Row],[Ship Date]]-Table3[[#This Row],[Order Date]]</f>
        <v>2</v>
      </c>
      <c r="N2404" s="23" t="s">
        <v>20</v>
      </c>
      <c r="O2404" s="23" t="s">
        <v>23</v>
      </c>
      <c r="P2404" s="23" t="s">
        <v>38</v>
      </c>
      <c r="Q2404" s="23" t="s">
        <v>39</v>
      </c>
      <c r="R2404" s="23" t="s">
        <v>6885</v>
      </c>
      <c r="S2404" s="33">
        <v>0</v>
      </c>
      <c r="T2404" s="13">
        <v>25.02</v>
      </c>
      <c r="U2404" s="13">
        <v>10.5084</v>
      </c>
      <c r="V2404" s="55">
        <f>Table3[[#This Row],[Profit]]/Table3[[#This Row],[Sales]]</f>
        <v>0.42</v>
      </c>
    </row>
    <row r="2405" spans="1:22" x14ac:dyDescent="0.2">
      <c r="A2405">
        <v>2404</v>
      </c>
      <c r="B2405" t="s">
        <v>6884</v>
      </c>
      <c r="C2405" s="1">
        <v>43041</v>
      </c>
      <c r="D2405" s="22">
        <f>MONTH(Table3[[#This Row],[Order Date]])</f>
        <v>11</v>
      </c>
      <c r="E2405" t="s">
        <v>1907</v>
      </c>
      <c r="F2405" t="s">
        <v>1908</v>
      </c>
      <c r="G2405" s="23" t="s">
        <v>41</v>
      </c>
      <c r="H2405" s="23" t="s">
        <v>53</v>
      </c>
      <c r="I2405" t="s">
        <v>5157</v>
      </c>
      <c r="J2405" t="s">
        <v>92</v>
      </c>
      <c r="K2405" s="22">
        <v>7</v>
      </c>
      <c r="L2405" s="1">
        <v>43043</v>
      </c>
      <c r="M2405" s="22">
        <f>Table3[[#This Row],[Ship Date]]-Table3[[#This Row],[Order Date]]</f>
        <v>2</v>
      </c>
      <c r="N2405" s="23" t="s">
        <v>20</v>
      </c>
      <c r="O2405" s="23" t="s">
        <v>23</v>
      </c>
      <c r="P2405" s="23" t="s">
        <v>38</v>
      </c>
      <c r="Q2405" s="23" t="s">
        <v>39</v>
      </c>
      <c r="R2405" s="23" t="s">
        <v>6885</v>
      </c>
      <c r="S2405" s="33">
        <v>0</v>
      </c>
      <c r="T2405" s="13">
        <v>452.55</v>
      </c>
      <c r="U2405" s="13">
        <v>22.627500000000001</v>
      </c>
      <c r="V2405" s="55">
        <f>Table3[[#This Row],[Profit]]/Table3[[#This Row],[Sales]]</f>
        <v>0.05</v>
      </c>
    </row>
    <row r="2406" spans="1:22" x14ac:dyDescent="0.2">
      <c r="A2406">
        <v>2405</v>
      </c>
      <c r="B2406" t="s">
        <v>7092</v>
      </c>
      <c r="C2406" s="1">
        <v>43041</v>
      </c>
      <c r="D2406" s="22">
        <f>MONTH(Table3[[#This Row],[Order Date]])</f>
        <v>11</v>
      </c>
      <c r="E2406" t="s">
        <v>5751</v>
      </c>
      <c r="F2406" t="s">
        <v>5752</v>
      </c>
      <c r="G2406" s="23" t="s">
        <v>41</v>
      </c>
      <c r="H2406" s="23" t="s">
        <v>155</v>
      </c>
      <c r="I2406" t="s">
        <v>3997</v>
      </c>
      <c r="J2406" t="s">
        <v>36</v>
      </c>
      <c r="K2406" s="22">
        <v>2</v>
      </c>
      <c r="L2406" s="1">
        <v>43044</v>
      </c>
      <c r="M2406" s="22">
        <f>Table3[[#This Row],[Ship Date]]-Table3[[#This Row],[Order Date]]</f>
        <v>3</v>
      </c>
      <c r="N2406" s="23" t="s">
        <v>20</v>
      </c>
      <c r="O2406" s="23" t="s">
        <v>23</v>
      </c>
      <c r="P2406" s="23" t="s">
        <v>25</v>
      </c>
      <c r="Q2406" s="23" t="s">
        <v>26</v>
      </c>
      <c r="R2406" s="23" t="s">
        <v>24</v>
      </c>
      <c r="S2406" s="33">
        <v>0</v>
      </c>
      <c r="T2406" s="13">
        <v>5.32</v>
      </c>
      <c r="U2406" s="13">
        <v>2.6067999999999998</v>
      </c>
      <c r="V2406" s="55">
        <f>Table3[[#This Row],[Profit]]/Table3[[#This Row],[Sales]]</f>
        <v>0.48999999999999994</v>
      </c>
    </row>
    <row r="2407" spans="1:22" x14ac:dyDescent="0.2">
      <c r="A2407">
        <v>2406</v>
      </c>
      <c r="B2407" t="s">
        <v>7092</v>
      </c>
      <c r="C2407" s="1">
        <v>43041</v>
      </c>
      <c r="D2407" s="22">
        <f>MONTH(Table3[[#This Row],[Order Date]])</f>
        <v>11</v>
      </c>
      <c r="E2407" t="s">
        <v>31</v>
      </c>
      <c r="F2407" t="s">
        <v>33</v>
      </c>
      <c r="G2407" s="23" t="s">
        <v>28</v>
      </c>
      <c r="H2407" s="23" t="s">
        <v>32</v>
      </c>
      <c r="I2407" t="s">
        <v>3997</v>
      </c>
      <c r="J2407" t="s">
        <v>36</v>
      </c>
      <c r="K2407" s="22">
        <v>4</v>
      </c>
      <c r="L2407" s="1">
        <v>43044</v>
      </c>
      <c r="M2407" s="22">
        <f>Table3[[#This Row],[Ship Date]]-Table3[[#This Row],[Order Date]]</f>
        <v>3</v>
      </c>
      <c r="N2407" s="23" t="s">
        <v>20</v>
      </c>
      <c r="O2407" s="23" t="s">
        <v>23</v>
      </c>
      <c r="P2407" s="23" t="s">
        <v>25</v>
      </c>
      <c r="Q2407" s="23" t="s">
        <v>26</v>
      </c>
      <c r="R2407" s="23" t="s">
        <v>24</v>
      </c>
      <c r="S2407" s="33">
        <v>0</v>
      </c>
      <c r="T2407" s="13">
        <v>975.92</v>
      </c>
      <c r="U2407" s="13">
        <v>292.77600000000001</v>
      </c>
      <c r="V2407" s="55">
        <f>Table3[[#This Row],[Profit]]/Table3[[#This Row],[Sales]]</f>
        <v>0.30000000000000004</v>
      </c>
    </row>
    <row r="2408" spans="1:22" x14ac:dyDescent="0.2">
      <c r="A2408">
        <v>2407</v>
      </c>
      <c r="B2408" t="s">
        <v>7092</v>
      </c>
      <c r="C2408" s="1">
        <v>43041</v>
      </c>
      <c r="D2408" s="22">
        <f>MONTH(Table3[[#This Row],[Order Date]])</f>
        <v>11</v>
      </c>
      <c r="E2408" t="s">
        <v>4658</v>
      </c>
      <c r="F2408" t="s">
        <v>4659</v>
      </c>
      <c r="G2408" s="23" t="s">
        <v>64</v>
      </c>
      <c r="H2408" s="23" t="s">
        <v>144</v>
      </c>
      <c r="I2408" t="s">
        <v>3997</v>
      </c>
      <c r="J2408" t="s">
        <v>36</v>
      </c>
      <c r="K2408" s="22">
        <v>9</v>
      </c>
      <c r="L2408" s="1">
        <v>43044</v>
      </c>
      <c r="M2408" s="22">
        <f>Table3[[#This Row],[Ship Date]]-Table3[[#This Row],[Order Date]]</f>
        <v>3</v>
      </c>
      <c r="N2408" s="23" t="s">
        <v>20</v>
      </c>
      <c r="O2408" s="23" t="s">
        <v>23</v>
      </c>
      <c r="P2408" s="23" t="s">
        <v>25</v>
      </c>
      <c r="Q2408" s="23" t="s">
        <v>26</v>
      </c>
      <c r="R2408" s="23" t="s">
        <v>24</v>
      </c>
      <c r="S2408" s="33">
        <v>0</v>
      </c>
      <c r="T2408" s="13">
        <v>2249.91</v>
      </c>
      <c r="U2408" s="13">
        <v>517.47929999999997</v>
      </c>
      <c r="V2408" s="55">
        <f>Table3[[#This Row],[Profit]]/Table3[[#This Row],[Sales]]</f>
        <v>0.23</v>
      </c>
    </row>
    <row r="2409" spans="1:22" x14ac:dyDescent="0.2">
      <c r="A2409">
        <v>2408</v>
      </c>
      <c r="B2409" t="s">
        <v>7092</v>
      </c>
      <c r="C2409" s="1">
        <v>43041</v>
      </c>
      <c r="D2409" s="22">
        <f>MONTH(Table3[[#This Row],[Order Date]])</f>
        <v>11</v>
      </c>
      <c r="E2409" t="s">
        <v>1245</v>
      </c>
      <c r="F2409" t="s">
        <v>1246</v>
      </c>
      <c r="G2409" s="23" t="s">
        <v>41</v>
      </c>
      <c r="H2409" s="23" t="s">
        <v>53</v>
      </c>
      <c r="I2409" t="s">
        <v>3997</v>
      </c>
      <c r="J2409" t="s">
        <v>36</v>
      </c>
      <c r="K2409" s="22">
        <v>4</v>
      </c>
      <c r="L2409" s="1">
        <v>43044</v>
      </c>
      <c r="M2409" s="22">
        <f>Table3[[#This Row],[Ship Date]]-Table3[[#This Row],[Order Date]]</f>
        <v>3</v>
      </c>
      <c r="N2409" s="23" t="s">
        <v>20</v>
      </c>
      <c r="O2409" s="23" t="s">
        <v>23</v>
      </c>
      <c r="P2409" s="23" t="s">
        <v>25</v>
      </c>
      <c r="Q2409" s="23" t="s">
        <v>26</v>
      </c>
      <c r="R2409" s="23" t="s">
        <v>24</v>
      </c>
      <c r="S2409" s="33">
        <v>0</v>
      </c>
      <c r="T2409" s="13">
        <v>59.92</v>
      </c>
      <c r="U2409" s="13">
        <v>16.7776</v>
      </c>
      <c r="V2409" s="55">
        <f>Table3[[#This Row],[Profit]]/Table3[[#This Row],[Sales]]</f>
        <v>0.27999999999999997</v>
      </c>
    </row>
    <row r="2410" spans="1:22" x14ac:dyDescent="0.2">
      <c r="A2410">
        <v>2409</v>
      </c>
      <c r="B2410" t="s">
        <v>7528</v>
      </c>
      <c r="C2410" s="1">
        <v>43041</v>
      </c>
      <c r="D2410" s="22">
        <f>MONTH(Table3[[#This Row],[Order Date]])</f>
        <v>11</v>
      </c>
      <c r="E2410" t="s">
        <v>5060</v>
      </c>
      <c r="F2410" t="s">
        <v>5061</v>
      </c>
      <c r="G2410" s="23" t="s">
        <v>28</v>
      </c>
      <c r="H2410" s="23" t="s">
        <v>58</v>
      </c>
      <c r="I2410" t="s">
        <v>7529</v>
      </c>
      <c r="J2410" t="s">
        <v>36</v>
      </c>
      <c r="K2410" s="22">
        <v>1</v>
      </c>
      <c r="L2410" s="1">
        <v>43045</v>
      </c>
      <c r="M2410" s="22">
        <f>Table3[[#This Row],[Ship Date]]-Table3[[#This Row],[Order Date]]</f>
        <v>4</v>
      </c>
      <c r="N2410" s="23" t="s">
        <v>45</v>
      </c>
      <c r="O2410" s="23" t="s">
        <v>23</v>
      </c>
      <c r="P2410" s="23" t="s">
        <v>132</v>
      </c>
      <c r="Q2410" s="23" t="s">
        <v>133</v>
      </c>
      <c r="R2410" s="23" t="s">
        <v>131</v>
      </c>
      <c r="S2410" s="33">
        <v>0.2</v>
      </c>
      <c r="T2410" s="13">
        <v>3.3119999999999998</v>
      </c>
      <c r="U2410" s="13">
        <v>0.66239999999999999</v>
      </c>
      <c r="V2410" s="55">
        <f>Table3[[#This Row],[Profit]]/Table3[[#This Row],[Sales]]</f>
        <v>0.2</v>
      </c>
    </row>
    <row r="2411" spans="1:22" x14ac:dyDescent="0.2">
      <c r="A2411">
        <v>2410</v>
      </c>
      <c r="B2411" t="s">
        <v>7528</v>
      </c>
      <c r="C2411" s="1">
        <v>43041</v>
      </c>
      <c r="D2411" s="22">
        <f>MONTH(Table3[[#This Row],[Order Date]])</f>
        <v>11</v>
      </c>
      <c r="E2411" t="s">
        <v>6396</v>
      </c>
      <c r="F2411" t="s">
        <v>6397</v>
      </c>
      <c r="G2411" s="23" t="s">
        <v>41</v>
      </c>
      <c r="H2411" s="23" t="s">
        <v>71</v>
      </c>
      <c r="I2411" t="s">
        <v>7529</v>
      </c>
      <c r="J2411" t="s">
        <v>36</v>
      </c>
      <c r="K2411" s="22">
        <v>3</v>
      </c>
      <c r="L2411" s="1">
        <v>43045</v>
      </c>
      <c r="M2411" s="22">
        <f>Table3[[#This Row],[Ship Date]]-Table3[[#This Row],[Order Date]]</f>
        <v>4</v>
      </c>
      <c r="N2411" s="23" t="s">
        <v>45</v>
      </c>
      <c r="O2411" s="23" t="s">
        <v>23</v>
      </c>
      <c r="P2411" s="23" t="s">
        <v>132</v>
      </c>
      <c r="Q2411" s="23" t="s">
        <v>133</v>
      </c>
      <c r="R2411" s="23" t="s">
        <v>131</v>
      </c>
      <c r="S2411" s="33">
        <v>0.2</v>
      </c>
      <c r="T2411" s="13">
        <v>20.135999999999999</v>
      </c>
      <c r="U2411" s="13">
        <v>1.2585</v>
      </c>
      <c r="V2411" s="55">
        <f>Table3[[#This Row],[Profit]]/Table3[[#This Row],[Sales]]</f>
        <v>6.25E-2</v>
      </c>
    </row>
    <row r="2412" spans="1:22" x14ac:dyDescent="0.2">
      <c r="A2412">
        <v>2411</v>
      </c>
      <c r="B2412" t="s">
        <v>7528</v>
      </c>
      <c r="C2412" s="1">
        <v>43041</v>
      </c>
      <c r="D2412" s="22">
        <f>MONTH(Table3[[#This Row],[Order Date]])</f>
        <v>11</v>
      </c>
      <c r="E2412" t="s">
        <v>1497</v>
      </c>
      <c r="F2412" t="s">
        <v>1498</v>
      </c>
      <c r="G2412" s="23" t="s">
        <v>41</v>
      </c>
      <c r="H2412" s="23" t="s">
        <v>155</v>
      </c>
      <c r="I2412" t="s">
        <v>7529</v>
      </c>
      <c r="J2412" t="s">
        <v>36</v>
      </c>
      <c r="K2412" s="22">
        <v>3</v>
      </c>
      <c r="L2412" s="1">
        <v>43045</v>
      </c>
      <c r="M2412" s="22">
        <f>Table3[[#This Row],[Ship Date]]-Table3[[#This Row],[Order Date]]</f>
        <v>4</v>
      </c>
      <c r="N2412" s="23" t="s">
        <v>45</v>
      </c>
      <c r="O2412" s="23" t="s">
        <v>23</v>
      </c>
      <c r="P2412" s="23" t="s">
        <v>132</v>
      </c>
      <c r="Q2412" s="23" t="s">
        <v>133</v>
      </c>
      <c r="R2412" s="23" t="s">
        <v>131</v>
      </c>
      <c r="S2412" s="33">
        <v>0.2</v>
      </c>
      <c r="T2412" s="13">
        <v>8.8559999999999999</v>
      </c>
      <c r="U2412" s="13">
        <v>2.8782000000000001</v>
      </c>
      <c r="V2412" s="55">
        <f>Table3[[#This Row],[Profit]]/Table3[[#This Row],[Sales]]</f>
        <v>0.32500000000000001</v>
      </c>
    </row>
    <row r="2413" spans="1:22" x14ac:dyDescent="0.2">
      <c r="A2413">
        <v>2412</v>
      </c>
      <c r="B2413" t="s">
        <v>7528</v>
      </c>
      <c r="C2413" s="1">
        <v>43041</v>
      </c>
      <c r="D2413" s="22">
        <f>MONTH(Table3[[#This Row],[Order Date]])</f>
        <v>11</v>
      </c>
      <c r="E2413" t="s">
        <v>3942</v>
      </c>
      <c r="F2413" t="s">
        <v>3943</v>
      </c>
      <c r="G2413" s="23" t="s">
        <v>64</v>
      </c>
      <c r="H2413" s="23" t="s">
        <v>65</v>
      </c>
      <c r="I2413" t="s">
        <v>7529</v>
      </c>
      <c r="J2413" t="s">
        <v>36</v>
      </c>
      <c r="K2413" s="22">
        <v>4</v>
      </c>
      <c r="L2413" s="1">
        <v>43045</v>
      </c>
      <c r="M2413" s="22">
        <f>Table3[[#This Row],[Ship Date]]-Table3[[#This Row],[Order Date]]</f>
        <v>4</v>
      </c>
      <c r="N2413" s="23" t="s">
        <v>45</v>
      </c>
      <c r="O2413" s="23" t="s">
        <v>23</v>
      </c>
      <c r="P2413" s="23" t="s">
        <v>132</v>
      </c>
      <c r="Q2413" s="23" t="s">
        <v>133</v>
      </c>
      <c r="R2413" s="23" t="s">
        <v>131</v>
      </c>
      <c r="S2413" s="33">
        <v>0.4</v>
      </c>
      <c r="T2413" s="13">
        <v>859.2</v>
      </c>
      <c r="U2413" s="13">
        <v>-186.16</v>
      </c>
      <c r="V2413" s="55">
        <f>Table3[[#This Row],[Profit]]/Table3[[#This Row],[Sales]]</f>
        <v>-0.21666666666666665</v>
      </c>
    </row>
    <row r="2414" spans="1:22" x14ac:dyDescent="0.2">
      <c r="A2414">
        <v>2413</v>
      </c>
      <c r="B2414" t="s">
        <v>7639</v>
      </c>
      <c r="C2414" s="1">
        <v>43041</v>
      </c>
      <c r="D2414" s="22">
        <f>MONTH(Table3[[#This Row],[Order Date]])</f>
        <v>11</v>
      </c>
      <c r="E2414" t="s">
        <v>2003</v>
      </c>
      <c r="F2414" t="s">
        <v>2004</v>
      </c>
      <c r="G2414" s="23" t="s">
        <v>41</v>
      </c>
      <c r="H2414" s="23" t="s">
        <v>82</v>
      </c>
      <c r="I2414" t="s">
        <v>5549</v>
      </c>
      <c r="J2414" t="s">
        <v>22</v>
      </c>
      <c r="K2414" s="22">
        <v>3</v>
      </c>
      <c r="L2414" s="1">
        <v>43046</v>
      </c>
      <c r="M2414" s="22">
        <f>Table3[[#This Row],[Ship Date]]-Table3[[#This Row],[Order Date]]</f>
        <v>5</v>
      </c>
      <c r="N2414" s="23" t="s">
        <v>45</v>
      </c>
      <c r="O2414" s="23" t="s">
        <v>23</v>
      </c>
      <c r="P2414" s="23" t="s">
        <v>109</v>
      </c>
      <c r="Q2414" s="23" t="s">
        <v>39</v>
      </c>
      <c r="R2414" s="23" t="s">
        <v>4541</v>
      </c>
      <c r="S2414" s="33">
        <v>0</v>
      </c>
      <c r="T2414" s="13">
        <v>19.440000000000001</v>
      </c>
      <c r="U2414" s="13">
        <v>9.3312000000000008</v>
      </c>
      <c r="V2414" s="55">
        <f>Table3[[#This Row],[Profit]]/Table3[[#This Row],[Sales]]</f>
        <v>0.48000000000000004</v>
      </c>
    </row>
    <row r="2415" spans="1:22" x14ac:dyDescent="0.2">
      <c r="A2415">
        <v>2414</v>
      </c>
      <c r="B2415" t="s">
        <v>8013</v>
      </c>
      <c r="C2415" s="1">
        <v>43041</v>
      </c>
      <c r="D2415" s="22">
        <f>MONTH(Table3[[#This Row],[Order Date]])</f>
        <v>11</v>
      </c>
      <c r="E2415" t="s">
        <v>940</v>
      </c>
      <c r="F2415" t="s">
        <v>941</v>
      </c>
      <c r="G2415" s="23" t="s">
        <v>41</v>
      </c>
      <c r="H2415" s="23" t="s">
        <v>513</v>
      </c>
      <c r="I2415" t="s">
        <v>1887</v>
      </c>
      <c r="J2415" t="s">
        <v>36</v>
      </c>
      <c r="K2415" s="22">
        <v>2</v>
      </c>
      <c r="L2415" s="1">
        <v>43045</v>
      </c>
      <c r="M2415" s="22">
        <f>Table3[[#This Row],[Ship Date]]-Table3[[#This Row],[Order Date]]</f>
        <v>4</v>
      </c>
      <c r="N2415" s="23" t="s">
        <v>20</v>
      </c>
      <c r="O2415" s="23" t="s">
        <v>23</v>
      </c>
      <c r="P2415" s="23" t="s">
        <v>441</v>
      </c>
      <c r="Q2415" s="23" t="s">
        <v>133</v>
      </c>
      <c r="R2415" s="23" t="s">
        <v>440</v>
      </c>
      <c r="S2415" s="33">
        <v>0.2</v>
      </c>
      <c r="T2415" s="13">
        <v>384.59199999999998</v>
      </c>
      <c r="U2415" s="13">
        <v>-81.725800000000007</v>
      </c>
      <c r="V2415" s="55">
        <f>Table3[[#This Row],[Profit]]/Table3[[#This Row],[Sales]]</f>
        <v>-0.21250000000000002</v>
      </c>
    </row>
    <row r="2416" spans="1:22" x14ac:dyDescent="0.2">
      <c r="A2416">
        <v>2415</v>
      </c>
      <c r="B2416" t="s">
        <v>8341</v>
      </c>
      <c r="C2416" s="1">
        <v>43041</v>
      </c>
      <c r="D2416" s="22">
        <f>MONTH(Table3[[#This Row],[Order Date]])</f>
        <v>11</v>
      </c>
      <c r="E2416" t="s">
        <v>2516</v>
      </c>
      <c r="F2416" t="s">
        <v>2517</v>
      </c>
      <c r="G2416" s="23" t="s">
        <v>41</v>
      </c>
      <c r="H2416" s="23" t="s">
        <v>71</v>
      </c>
      <c r="I2416" t="s">
        <v>3501</v>
      </c>
      <c r="J2416" t="s">
        <v>22</v>
      </c>
      <c r="K2416" s="22">
        <v>5</v>
      </c>
      <c r="L2416" s="1">
        <v>43046</v>
      </c>
      <c r="M2416" s="22">
        <f>Table3[[#This Row],[Ship Date]]-Table3[[#This Row],[Order Date]]</f>
        <v>5</v>
      </c>
      <c r="N2416" s="23" t="s">
        <v>45</v>
      </c>
      <c r="O2416" s="23" t="s">
        <v>23</v>
      </c>
      <c r="P2416" s="23" t="s">
        <v>38</v>
      </c>
      <c r="Q2416" s="23" t="s">
        <v>39</v>
      </c>
      <c r="R2416" s="23" t="s">
        <v>37</v>
      </c>
      <c r="S2416" s="33">
        <v>0</v>
      </c>
      <c r="T2416" s="13">
        <v>168.1</v>
      </c>
      <c r="U2416" s="13">
        <v>43.706000000000003</v>
      </c>
      <c r="V2416" s="55">
        <f>Table3[[#This Row],[Profit]]/Table3[[#This Row],[Sales]]</f>
        <v>0.26</v>
      </c>
    </row>
    <row r="2417" spans="1:22" x14ac:dyDescent="0.2">
      <c r="A2417">
        <v>2416</v>
      </c>
      <c r="B2417" t="s">
        <v>8675</v>
      </c>
      <c r="C2417" s="1">
        <v>43041</v>
      </c>
      <c r="D2417" s="22">
        <f>MONTH(Table3[[#This Row],[Order Date]])</f>
        <v>11</v>
      </c>
      <c r="E2417" t="s">
        <v>771</v>
      </c>
      <c r="F2417" t="s">
        <v>772</v>
      </c>
      <c r="G2417" s="23" t="s">
        <v>41</v>
      </c>
      <c r="H2417" s="23" t="s">
        <v>61</v>
      </c>
      <c r="I2417" t="s">
        <v>455</v>
      </c>
      <c r="J2417" t="s">
        <v>36</v>
      </c>
      <c r="K2417" s="22">
        <v>4</v>
      </c>
      <c r="L2417" s="1">
        <v>43044</v>
      </c>
      <c r="M2417" s="22">
        <f>Table3[[#This Row],[Ship Date]]-Table3[[#This Row],[Order Date]]</f>
        <v>3</v>
      </c>
      <c r="N2417" s="23" t="s">
        <v>169</v>
      </c>
      <c r="O2417" s="23" t="s">
        <v>23</v>
      </c>
      <c r="P2417" s="23" t="s">
        <v>189</v>
      </c>
      <c r="Q2417" s="23" t="s">
        <v>95</v>
      </c>
      <c r="R2417" s="23" t="s">
        <v>476</v>
      </c>
      <c r="S2417" s="33">
        <v>0.2</v>
      </c>
      <c r="T2417" s="13">
        <v>54.335999999999999</v>
      </c>
      <c r="U2417" s="13">
        <v>5.4336000000000002</v>
      </c>
      <c r="V2417" s="55">
        <f>Table3[[#This Row],[Profit]]/Table3[[#This Row],[Sales]]</f>
        <v>0.1</v>
      </c>
    </row>
    <row r="2418" spans="1:22" x14ac:dyDescent="0.2">
      <c r="A2418">
        <v>2417</v>
      </c>
      <c r="B2418" t="s">
        <v>9007</v>
      </c>
      <c r="C2418" s="1">
        <v>43041</v>
      </c>
      <c r="D2418" s="22">
        <f>MONTH(Table3[[#This Row],[Order Date]])</f>
        <v>11</v>
      </c>
      <c r="E2418" t="s">
        <v>6396</v>
      </c>
      <c r="F2418" t="s">
        <v>6397</v>
      </c>
      <c r="G2418" s="23" t="s">
        <v>41</v>
      </c>
      <c r="H2418" s="23" t="s">
        <v>71</v>
      </c>
      <c r="I2418" t="s">
        <v>571</v>
      </c>
      <c r="J2418" t="s">
        <v>22</v>
      </c>
      <c r="K2418" s="22">
        <v>10</v>
      </c>
      <c r="L2418" s="1">
        <v>43044</v>
      </c>
      <c r="M2418" s="22">
        <f>Table3[[#This Row],[Ship Date]]-Table3[[#This Row],[Order Date]]</f>
        <v>3</v>
      </c>
      <c r="N2418" s="23" t="s">
        <v>169</v>
      </c>
      <c r="O2418" s="23" t="s">
        <v>23</v>
      </c>
      <c r="P2418" s="23" t="s">
        <v>528</v>
      </c>
      <c r="Q2418" s="23" t="s">
        <v>95</v>
      </c>
      <c r="R2418" s="23" t="s">
        <v>4509</v>
      </c>
      <c r="S2418" s="33">
        <v>0</v>
      </c>
      <c r="T2418" s="13">
        <v>83.9</v>
      </c>
      <c r="U2418" s="13">
        <v>20.975000000000001</v>
      </c>
      <c r="V2418" s="55">
        <f>Table3[[#This Row],[Profit]]/Table3[[#This Row],[Sales]]</f>
        <v>0.25</v>
      </c>
    </row>
    <row r="2419" spans="1:22" x14ac:dyDescent="0.2">
      <c r="A2419">
        <v>2418</v>
      </c>
      <c r="B2419" t="s">
        <v>9007</v>
      </c>
      <c r="C2419" s="1">
        <v>43041</v>
      </c>
      <c r="D2419" s="22">
        <f>MONTH(Table3[[#This Row],[Order Date]])</f>
        <v>11</v>
      </c>
      <c r="E2419" t="s">
        <v>3532</v>
      </c>
      <c r="F2419" t="s">
        <v>3533</v>
      </c>
      <c r="G2419" s="23" t="s">
        <v>41</v>
      </c>
      <c r="H2419" s="23" t="s">
        <v>82</v>
      </c>
      <c r="I2419" t="s">
        <v>571</v>
      </c>
      <c r="J2419" t="s">
        <v>22</v>
      </c>
      <c r="K2419" s="22">
        <v>2</v>
      </c>
      <c r="L2419" s="1">
        <v>43044</v>
      </c>
      <c r="M2419" s="22">
        <f>Table3[[#This Row],[Ship Date]]-Table3[[#This Row],[Order Date]]</f>
        <v>3</v>
      </c>
      <c r="N2419" s="23" t="s">
        <v>169</v>
      </c>
      <c r="O2419" s="23" t="s">
        <v>23</v>
      </c>
      <c r="P2419" s="23" t="s">
        <v>528</v>
      </c>
      <c r="Q2419" s="23" t="s">
        <v>95</v>
      </c>
      <c r="R2419" s="23" t="s">
        <v>4509</v>
      </c>
      <c r="S2419" s="33">
        <v>0</v>
      </c>
      <c r="T2419" s="13">
        <v>11.76</v>
      </c>
      <c r="U2419" s="13">
        <v>5.7624000000000004</v>
      </c>
      <c r="V2419" s="55">
        <f>Table3[[#This Row],[Profit]]/Table3[[#This Row],[Sales]]</f>
        <v>0.49000000000000005</v>
      </c>
    </row>
    <row r="2420" spans="1:22" x14ac:dyDescent="0.2">
      <c r="A2420">
        <v>2419</v>
      </c>
      <c r="B2420" t="s">
        <v>9226</v>
      </c>
      <c r="C2420" s="1">
        <v>43041</v>
      </c>
      <c r="D2420" s="22">
        <f>MONTH(Table3[[#This Row],[Order Date]])</f>
        <v>11</v>
      </c>
      <c r="E2420" t="s">
        <v>3131</v>
      </c>
      <c r="F2420" t="s">
        <v>3132</v>
      </c>
      <c r="G2420" s="23" t="s">
        <v>28</v>
      </c>
      <c r="H2420" s="23" t="s">
        <v>32</v>
      </c>
      <c r="I2420" t="s">
        <v>5541</v>
      </c>
      <c r="J2420" t="s">
        <v>92</v>
      </c>
      <c r="K2420" s="22">
        <v>2</v>
      </c>
      <c r="L2420" s="1">
        <v>43046</v>
      </c>
      <c r="M2420" s="22">
        <f>Table3[[#This Row],[Ship Date]]-Table3[[#This Row],[Order Date]]</f>
        <v>5</v>
      </c>
      <c r="N2420" s="23" t="s">
        <v>20</v>
      </c>
      <c r="O2420" s="23" t="s">
        <v>23</v>
      </c>
      <c r="P2420" s="23" t="s">
        <v>441</v>
      </c>
      <c r="Q2420" s="23" t="s">
        <v>133</v>
      </c>
      <c r="R2420" s="23" t="s">
        <v>284</v>
      </c>
      <c r="S2420" s="33">
        <v>0.3</v>
      </c>
      <c r="T2420" s="13">
        <v>155.37200000000001</v>
      </c>
      <c r="U2420" s="13">
        <v>-35.513599999999997</v>
      </c>
      <c r="V2420" s="55">
        <f>Table3[[#This Row],[Profit]]/Table3[[#This Row],[Sales]]</f>
        <v>-0.22857142857142854</v>
      </c>
    </row>
    <row r="2421" spans="1:22" x14ac:dyDescent="0.2">
      <c r="A2421">
        <v>2420</v>
      </c>
      <c r="B2421" t="s">
        <v>9633</v>
      </c>
      <c r="C2421" s="1">
        <v>43041</v>
      </c>
      <c r="D2421" s="22">
        <f>MONTH(Table3[[#This Row],[Order Date]])</f>
        <v>11</v>
      </c>
      <c r="E2421" t="s">
        <v>125</v>
      </c>
      <c r="F2421" t="s">
        <v>126</v>
      </c>
      <c r="G2421" s="23" t="s">
        <v>41</v>
      </c>
      <c r="H2421" s="23" t="s">
        <v>61</v>
      </c>
      <c r="I2421" t="s">
        <v>7606</v>
      </c>
      <c r="J2421" t="s">
        <v>22</v>
      </c>
      <c r="K2421" s="22">
        <v>2</v>
      </c>
      <c r="L2421" s="1">
        <v>43045</v>
      </c>
      <c r="M2421" s="22">
        <f>Table3[[#This Row],[Ship Date]]-Table3[[#This Row],[Order Date]]</f>
        <v>4</v>
      </c>
      <c r="N2421" s="23" t="s">
        <v>45</v>
      </c>
      <c r="O2421" s="23" t="s">
        <v>23</v>
      </c>
      <c r="P2421" s="23" t="s">
        <v>285</v>
      </c>
      <c r="Q2421" s="23" t="s">
        <v>26</v>
      </c>
      <c r="R2421" s="23" t="s">
        <v>284</v>
      </c>
      <c r="S2421" s="33">
        <v>0</v>
      </c>
      <c r="T2421" s="13">
        <v>5.56</v>
      </c>
      <c r="U2421" s="13">
        <v>1.4456</v>
      </c>
      <c r="V2421" s="55">
        <f>Table3[[#This Row],[Profit]]/Table3[[#This Row],[Sales]]</f>
        <v>0.26</v>
      </c>
    </row>
    <row r="2422" spans="1:22" x14ac:dyDescent="0.2">
      <c r="A2422">
        <v>2421</v>
      </c>
      <c r="B2422" t="s">
        <v>1045</v>
      </c>
      <c r="C2422" s="1">
        <v>43042</v>
      </c>
      <c r="D2422" s="22">
        <f>MONTH(Table3[[#This Row],[Order Date]])</f>
        <v>11</v>
      </c>
      <c r="E2422" t="s">
        <v>1048</v>
      </c>
      <c r="F2422" t="s">
        <v>1049</v>
      </c>
      <c r="G2422" s="23" t="s">
        <v>28</v>
      </c>
      <c r="H2422" s="23" t="s">
        <v>58</v>
      </c>
      <c r="I2422" t="s">
        <v>1046</v>
      </c>
      <c r="J2422" t="s">
        <v>36</v>
      </c>
      <c r="K2422" s="22">
        <v>1</v>
      </c>
      <c r="L2422" s="1">
        <v>43044</v>
      </c>
      <c r="M2422" s="22">
        <f>Table3[[#This Row],[Ship Date]]-Table3[[#This Row],[Order Date]]</f>
        <v>2</v>
      </c>
      <c r="N2422" s="23" t="s">
        <v>20</v>
      </c>
      <c r="O2422" s="23" t="s">
        <v>23</v>
      </c>
      <c r="P2422" s="23" t="s">
        <v>299</v>
      </c>
      <c r="Q2422" s="23" t="s">
        <v>26</v>
      </c>
      <c r="R2422" s="23" t="s">
        <v>1047</v>
      </c>
      <c r="S2422" s="33">
        <v>0.2</v>
      </c>
      <c r="T2422" s="13">
        <v>15.992000000000001</v>
      </c>
      <c r="U2422" s="13">
        <v>0.99950000000000006</v>
      </c>
      <c r="V2422" s="55">
        <f>Table3[[#This Row],[Profit]]/Table3[[#This Row],[Sales]]</f>
        <v>6.25E-2</v>
      </c>
    </row>
    <row r="2423" spans="1:22" x14ac:dyDescent="0.2">
      <c r="A2423">
        <v>2422</v>
      </c>
      <c r="B2423" t="s">
        <v>1280</v>
      </c>
      <c r="C2423" s="1">
        <v>43042</v>
      </c>
      <c r="D2423" s="22">
        <f>MONTH(Table3[[#This Row],[Order Date]])</f>
        <v>11</v>
      </c>
      <c r="E2423" t="s">
        <v>1282</v>
      </c>
      <c r="F2423" t="s">
        <v>1283</v>
      </c>
      <c r="G2423" s="23" t="s">
        <v>41</v>
      </c>
      <c r="H2423" s="23" t="s">
        <v>82</v>
      </c>
      <c r="I2423" t="s">
        <v>1281</v>
      </c>
      <c r="J2423" t="s">
        <v>36</v>
      </c>
      <c r="K2423" s="22">
        <v>7</v>
      </c>
      <c r="L2423" s="1">
        <v>43046</v>
      </c>
      <c r="M2423" s="22">
        <f>Table3[[#This Row],[Ship Date]]-Table3[[#This Row],[Order Date]]</f>
        <v>4</v>
      </c>
      <c r="N2423" s="23" t="s">
        <v>45</v>
      </c>
      <c r="O2423" s="23" t="s">
        <v>23</v>
      </c>
      <c r="P2423" s="23" t="s">
        <v>87</v>
      </c>
      <c r="Q2423" s="23" t="s">
        <v>39</v>
      </c>
      <c r="R2423" s="23" t="s">
        <v>86</v>
      </c>
      <c r="S2423" s="33">
        <v>0</v>
      </c>
      <c r="T2423" s="13">
        <v>139.86000000000001</v>
      </c>
      <c r="U2423" s="13">
        <v>65.734200000000001</v>
      </c>
      <c r="V2423" s="55">
        <f>Table3[[#This Row],[Profit]]/Table3[[#This Row],[Sales]]</f>
        <v>0.47</v>
      </c>
    </row>
    <row r="2424" spans="1:22" x14ac:dyDescent="0.2">
      <c r="A2424">
        <v>2423</v>
      </c>
      <c r="B2424" t="s">
        <v>1280</v>
      </c>
      <c r="C2424" s="1">
        <v>43042</v>
      </c>
      <c r="D2424" s="22">
        <f>MONTH(Table3[[#This Row],[Order Date]])</f>
        <v>11</v>
      </c>
      <c r="E2424" t="s">
        <v>957</v>
      </c>
      <c r="F2424" t="s">
        <v>958</v>
      </c>
      <c r="G2424" s="23" t="s">
        <v>28</v>
      </c>
      <c r="H2424" s="23" t="s">
        <v>32</v>
      </c>
      <c r="I2424" t="s">
        <v>1281</v>
      </c>
      <c r="J2424" t="s">
        <v>36</v>
      </c>
      <c r="K2424" s="22">
        <v>4</v>
      </c>
      <c r="L2424" s="1">
        <v>43046</v>
      </c>
      <c r="M2424" s="22">
        <f>Table3[[#This Row],[Ship Date]]-Table3[[#This Row],[Order Date]]</f>
        <v>4</v>
      </c>
      <c r="N2424" s="23" t="s">
        <v>45</v>
      </c>
      <c r="O2424" s="23" t="s">
        <v>23</v>
      </c>
      <c r="P2424" s="23" t="s">
        <v>87</v>
      </c>
      <c r="Q2424" s="23" t="s">
        <v>39</v>
      </c>
      <c r="R2424" s="23" t="s">
        <v>86</v>
      </c>
      <c r="S2424" s="33">
        <v>0.2</v>
      </c>
      <c r="T2424" s="13">
        <v>307.13600000000002</v>
      </c>
      <c r="U2424" s="13">
        <v>26.874400000000001</v>
      </c>
      <c r="V2424" s="55">
        <f>Table3[[#This Row],[Profit]]/Table3[[#This Row],[Sales]]</f>
        <v>8.7499999999999994E-2</v>
      </c>
    </row>
    <row r="2425" spans="1:22" x14ac:dyDescent="0.2">
      <c r="A2425">
        <v>2424</v>
      </c>
      <c r="B2425" t="s">
        <v>2122</v>
      </c>
      <c r="C2425" s="1">
        <v>43042</v>
      </c>
      <c r="D2425" s="22">
        <f>MONTH(Table3[[#This Row],[Order Date]])</f>
        <v>11</v>
      </c>
      <c r="E2425" t="s">
        <v>2123</v>
      </c>
      <c r="F2425" t="s">
        <v>2124</v>
      </c>
      <c r="G2425" s="23" t="s">
        <v>41</v>
      </c>
      <c r="H2425" s="23" t="s">
        <v>42</v>
      </c>
      <c r="I2425" t="s">
        <v>332</v>
      </c>
      <c r="J2425" t="s">
        <v>36</v>
      </c>
      <c r="K2425" s="22">
        <v>3</v>
      </c>
      <c r="L2425" s="1">
        <v>43046</v>
      </c>
      <c r="M2425" s="22">
        <f>Table3[[#This Row],[Ship Date]]-Table3[[#This Row],[Order Date]]</f>
        <v>4</v>
      </c>
      <c r="N2425" s="23" t="s">
        <v>45</v>
      </c>
      <c r="O2425" s="23" t="s">
        <v>23</v>
      </c>
      <c r="P2425" s="23" t="s">
        <v>1125</v>
      </c>
      <c r="Q2425" s="23" t="s">
        <v>26</v>
      </c>
      <c r="R2425" s="23" t="s">
        <v>1537</v>
      </c>
      <c r="S2425" s="33">
        <v>0</v>
      </c>
      <c r="T2425" s="13">
        <v>12.39</v>
      </c>
      <c r="U2425" s="13">
        <v>5.6993999999999998</v>
      </c>
      <c r="V2425" s="55">
        <f>Table3[[#This Row],[Profit]]/Table3[[#This Row],[Sales]]</f>
        <v>0.45999999999999996</v>
      </c>
    </row>
    <row r="2426" spans="1:22" x14ac:dyDescent="0.2">
      <c r="A2426">
        <v>2425</v>
      </c>
      <c r="B2426" t="s">
        <v>5324</v>
      </c>
      <c r="C2426" s="1">
        <v>43042</v>
      </c>
      <c r="D2426" s="22">
        <f>MONTH(Table3[[#This Row],[Order Date]])</f>
        <v>11</v>
      </c>
      <c r="E2426" t="s">
        <v>379</v>
      </c>
      <c r="F2426" t="s">
        <v>380</v>
      </c>
      <c r="G2426" s="23" t="s">
        <v>28</v>
      </c>
      <c r="H2426" s="23" t="s">
        <v>58</v>
      </c>
      <c r="I2426" t="s">
        <v>5325</v>
      </c>
      <c r="J2426" t="s">
        <v>22</v>
      </c>
      <c r="K2426" s="22">
        <v>3</v>
      </c>
      <c r="L2426" s="1">
        <v>43047</v>
      </c>
      <c r="M2426" s="22">
        <f>Table3[[#This Row],[Ship Date]]-Table3[[#This Row],[Order Date]]</f>
        <v>5</v>
      </c>
      <c r="N2426" s="23" t="s">
        <v>45</v>
      </c>
      <c r="O2426" s="23" t="s">
        <v>23</v>
      </c>
      <c r="P2426" s="23" t="s">
        <v>589</v>
      </c>
      <c r="Q2426" s="23" t="s">
        <v>39</v>
      </c>
      <c r="R2426" s="23" t="s">
        <v>5241</v>
      </c>
      <c r="S2426" s="33">
        <v>0</v>
      </c>
      <c r="T2426" s="13">
        <v>41.37</v>
      </c>
      <c r="U2426" s="13">
        <v>17.375399999999999</v>
      </c>
      <c r="V2426" s="55">
        <f>Table3[[#This Row],[Profit]]/Table3[[#This Row],[Sales]]</f>
        <v>0.42</v>
      </c>
    </row>
    <row r="2427" spans="1:22" x14ac:dyDescent="0.2">
      <c r="A2427">
        <v>2426</v>
      </c>
      <c r="B2427" t="s">
        <v>5432</v>
      </c>
      <c r="C2427" s="1">
        <v>43042</v>
      </c>
      <c r="D2427" s="22">
        <f>MONTH(Table3[[#This Row],[Order Date]])</f>
        <v>11</v>
      </c>
      <c r="E2427" t="s">
        <v>5433</v>
      </c>
      <c r="F2427" t="s">
        <v>5434</v>
      </c>
      <c r="G2427" s="23" t="s">
        <v>41</v>
      </c>
      <c r="H2427" s="23" t="s">
        <v>82</v>
      </c>
      <c r="I2427" t="s">
        <v>2556</v>
      </c>
      <c r="J2427" t="s">
        <v>22</v>
      </c>
      <c r="K2427" s="22">
        <v>2</v>
      </c>
      <c r="L2427" s="1">
        <v>43048</v>
      </c>
      <c r="M2427" s="22">
        <f>Table3[[#This Row],[Ship Date]]-Table3[[#This Row],[Order Date]]</f>
        <v>6</v>
      </c>
      <c r="N2427" s="23" t="s">
        <v>45</v>
      </c>
      <c r="O2427" s="23" t="s">
        <v>23</v>
      </c>
      <c r="P2427" s="23" t="s">
        <v>204</v>
      </c>
      <c r="Q2427" s="23" t="s">
        <v>95</v>
      </c>
      <c r="R2427" s="23" t="s">
        <v>203</v>
      </c>
      <c r="S2427" s="33">
        <v>0</v>
      </c>
      <c r="T2427" s="13">
        <v>8.56</v>
      </c>
      <c r="U2427" s="13">
        <v>3.8519999999999999</v>
      </c>
      <c r="V2427" s="55">
        <f>Table3[[#This Row],[Profit]]/Table3[[#This Row],[Sales]]</f>
        <v>0.44999999999999996</v>
      </c>
    </row>
    <row r="2428" spans="1:22" x14ac:dyDescent="0.2">
      <c r="A2428">
        <v>2427</v>
      </c>
      <c r="B2428" t="s">
        <v>5432</v>
      </c>
      <c r="C2428" s="1">
        <v>43042</v>
      </c>
      <c r="D2428" s="22">
        <f>MONTH(Table3[[#This Row],[Order Date]])</f>
        <v>11</v>
      </c>
      <c r="E2428" t="s">
        <v>1614</v>
      </c>
      <c r="F2428" t="s">
        <v>1615</v>
      </c>
      <c r="G2428" s="23" t="s">
        <v>41</v>
      </c>
      <c r="H2428" s="23" t="s">
        <v>53</v>
      </c>
      <c r="I2428" t="s">
        <v>2556</v>
      </c>
      <c r="J2428" t="s">
        <v>22</v>
      </c>
      <c r="K2428" s="22">
        <v>5</v>
      </c>
      <c r="L2428" s="1">
        <v>43048</v>
      </c>
      <c r="M2428" s="22">
        <f>Table3[[#This Row],[Ship Date]]-Table3[[#This Row],[Order Date]]</f>
        <v>6</v>
      </c>
      <c r="N2428" s="23" t="s">
        <v>45</v>
      </c>
      <c r="O2428" s="23" t="s">
        <v>23</v>
      </c>
      <c r="P2428" s="23" t="s">
        <v>204</v>
      </c>
      <c r="Q2428" s="23" t="s">
        <v>95</v>
      </c>
      <c r="R2428" s="23" t="s">
        <v>203</v>
      </c>
      <c r="S2428" s="33">
        <v>0</v>
      </c>
      <c r="T2428" s="13">
        <v>52.4</v>
      </c>
      <c r="U2428" s="13">
        <v>14.148</v>
      </c>
      <c r="V2428" s="55">
        <f>Table3[[#This Row],[Profit]]/Table3[[#This Row],[Sales]]</f>
        <v>0.27</v>
      </c>
    </row>
    <row r="2429" spans="1:22" x14ac:dyDescent="0.2">
      <c r="A2429">
        <v>2428</v>
      </c>
      <c r="B2429" t="s">
        <v>5432</v>
      </c>
      <c r="C2429" s="1">
        <v>43042</v>
      </c>
      <c r="D2429" s="22">
        <f>MONTH(Table3[[#This Row],[Order Date]])</f>
        <v>11</v>
      </c>
      <c r="E2429" t="s">
        <v>4033</v>
      </c>
      <c r="F2429" t="s">
        <v>4034</v>
      </c>
      <c r="G2429" s="23" t="s">
        <v>41</v>
      </c>
      <c r="H2429" s="23" t="s">
        <v>42</v>
      </c>
      <c r="I2429" t="s">
        <v>2556</v>
      </c>
      <c r="J2429" t="s">
        <v>22</v>
      </c>
      <c r="K2429" s="22">
        <v>3</v>
      </c>
      <c r="L2429" s="1">
        <v>43048</v>
      </c>
      <c r="M2429" s="22">
        <f>Table3[[#This Row],[Ship Date]]-Table3[[#This Row],[Order Date]]</f>
        <v>6</v>
      </c>
      <c r="N2429" s="23" t="s">
        <v>45</v>
      </c>
      <c r="O2429" s="23" t="s">
        <v>23</v>
      </c>
      <c r="P2429" s="23" t="s">
        <v>204</v>
      </c>
      <c r="Q2429" s="23" t="s">
        <v>95</v>
      </c>
      <c r="R2429" s="23" t="s">
        <v>203</v>
      </c>
      <c r="S2429" s="33">
        <v>0</v>
      </c>
      <c r="T2429" s="13">
        <v>14.94</v>
      </c>
      <c r="U2429" s="13">
        <v>6.8723999999999998</v>
      </c>
      <c r="V2429" s="55">
        <f>Table3[[#This Row],[Profit]]/Table3[[#This Row],[Sales]]</f>
        <v>0.46</v>
      </c>
    </row>
    <row r="2430" spans="1:22" x14ac:dyDescent="0.2">
      <c r="A2430">
        <v>2429</v>
      </c>
      <c r="B2430" t="s">
        <v>6628</v>
      </c>
      <c r="C2430" s="1">
        <v>43042</v>
      </c>
      <c r="D2430" s="22">
        <f>MONTH(Table3[[#This Row],[Order Date]])</f>
        <v>11</v>
      </c>
      <c r="E2430" t="s">
        <v>6629</v>
      </c>
      <c r="F2430" t="s">
        <v>6630</v>
      </c>
      <c r="G2430" s="23" t="s">
        <v>41</v>
      </c>
      <c r="H2430" s="23" t="s">
        <v>68</v>
      </c>
      <c r="I2430" t="s">
        <v>5340</v>
      </c>
      <c r="J2430" t="s">
        <v>22</v>
      </c>
      <c r="K2430" s="22">
        <v>3</v>
      </c>
      <c r="L2430" s="1">
        <v>43047</v>
      </c>
      <c r="M2430" s="22">
        <f>Table3[[#This Row],[Ship Date]]-Table3[[#This Row],[Order Date]]</f>
        <v>5</v>
      </c>
      <c r="N2430" s="23" t="s">
        <v>45</v>
      </c>
      <c r="O2430" s="23" t="s">
        <v>23</v>
      </c>
      <c r="P2430" s="23" t="s">
        <v>132</v>
      </c>
      <c r="Q2430" s="23" t="s">
        <v>133</v>
      </c>
      <c r="R2430" s="23" t="s">
        <v>131</v>
      </c>
      <c r="S2430" s="33">
        <v>0.7</v>
      </c>
      <c r="T2430" s="13">
        <v>11.673</v>
      </c>
      <c r="U2430" s="13">
        <v>-7.782</v>
      </c>
      <c r="V2430" s="55">
        <f>Table3[[#This Row],[Profit]]/Table3[[#This Row],[Sales]]</f>
        <v>-0.66666666666666663</v>
      </c>
    </row>
    <row r="2431" spans="1:22" x14ac:dyDescent="0.2">
      <c r="A2431">
        <v>2430</v>
      </c>
      <c r="B2431" t="s">
        <v>7338</v>
      </c>
      <c r="C2431" s="1">
        <v>43042</v>
      </c>
      <c r="D2431" s="22">
        <f>MONTH(Table3[[#This Row],[Order Date]])</f>
        <v>11</v>
      </c>
      <c r="E2431" t="s">
        <v>655</v>
      </c>
      <c r="F2431" t="s">
        <v>656</v>
      </c>
      <c r="G2431" s="23" t="s">
        <v>64</v>
      </c>
      <c r="H2431" s="23" t="s">
        <v>144</v>
      </c>
      <c r="I2431" t="s">
        <v>3074</v>
      </c>
      <c r="J2431" t="s">
        <v>22</v>
      </c>
      <c r="K2431" s="22">
        <v>3</v>
      </c>
      <c r="L2431" s="1">
        <v>43044</v>
      </c>
      <c r="M2431" s="22">
        <f>Table3[[#This Row],[Ship Date]]-Table3[[#This Row],[Order Date]]</f>
        <v>2</v>
      </c>
      <c r="N2431" s="23" t="s">
        <v>20</v>
      </c>
      <c r="O2431" s="23" t="s">
        <v>23</v>
      </c>
      <c r="P2431" s="23" t="s">
        <v>87</v>
      </c>
      <c r="Q2431" s="23" t="s">
        <v>39</v>
      </c>
      <c r="R2431" s="23" t="s">
        <v>86</v>
      </c>
      <c r="S2431" s="33">
        <v>0</v>
      </c>
      <c r="T2431" s="13">
        <v>43.5</v>
      </c>
      <c r="U2431" s="13">
        <v>10.875</v>
      </c>
      <c r="V2431" s="55">
        <f>Table3[[#This Row],[Profit]]/Table3[[#This Row],[Sales]]</f>
        <v>0.25</v>
      </c>
    </row>
    <row r="2432" spans="1:22" x14ac:dyDescent="0.2">
      <c r="A2432">
        <v>2431</v>
      </c>
      <c r="B2432" t="s">
        <v>7463</v>
      </c>
      <c r="C2432" s="1">
        <v>43042</v>
      </c>
      <c r="D2432" s="22">
        <f>MONTH(Table3[[#This Row],[Order Date]])</f>
        <v>11</v>
      </c>
      <c r="E2432" t="s">
        <v>7464</v>
      </c>
      <c r="F2432" t="s">
        <v>7465</v>
      </c>
      <c r="G2432" s="23" t="s">
        <v>41</v>
      </c>
      <c r="H2432" s="23" t="s">
        <v>82</v>
      </c>
      <c r="I2432" t="s">
        <v>4692</v>
      </c>
      <c r="J2432" t="s">
        <v>36</v>
      </c>
      <c r="K2432" s="22">
        <v>5</v>
      </c>
      <c r="L2432" s="1">
        <v>43044</v>
      </c>
      <c r="M2432" s="22">
        <f>Table3[[#This Row],[Ship Date]]-Table3[[#This Row],[Order Date]]</f>
        <v>2</v>
      </c>
      <c r="N2432" s="23" t="s">
        <v>20</v>
      </c>
      <c r="O2432" s="23" t="s">
        <v>23</v>
      </c>
      <c r="P2432" s="23" t="s">
        <v>25</v>
      </c>
      <c r="Q2432" s="23" t="s">
        <v>26</v>
      </c>
      <c r="R2432" s="23" t="s">
        <v>1294</v>
      </c>
      <c r="S2432" s="33">
        <v>0</v>
      </c>
      <c r="T2432" s="13">
        <v>26.4</v>
      </c>
      <c r="U2432" s="13">
        <v>11.88</v>
      </c>
      <c r="V2432" s="55">
        <f>Table3[[#This Row],[Profit]]/Table3[[#This Row],[Sales]]</f>
        <v>0.45000000000000007</v>
      </c>
    </row>
    <row r="2433" spans="1:22" x14ac:dyDescent="0.2">
      <c r="A2433">
        <v>2432</v>
      </c>
      <c r="B2433" t="s">
        <v>7667</v>
      </c>
      <c r="C2433" s="1">
        <v>43042</v>
      </c>
      <c r="D2433" s="22">
        <f>MONTH(Table3[[#This Row],[Order Date]])</f>
        <v>11</v>
      </c>
      <c r="E2433" t="s">
        <v>6778</v>
      </c>
      <c r="F2433" t="s">
        <v>6779</v>
      </c>
      <c r="G2433" s="23" t="s">
        <v>41</v>
      </c>
      <c r="H2433" s="23" t="s">
        <v>82</v>
      </c>
      <c r="I2433" t="s">
        <v>346</v>
      </c>
      <c r="J2433" t="s">
        <v>22</v>
      </c>
      <c r="K2433" s="22">
        <v>6</v>
      </c>
      <c r="L2433" s="1">
        <v>43047</v>
      </c>
      <c r="M2433" s="22">
        <f>Table3[[#This Row],[Ship Date]]-Table3[[#This Row],[Order Date]]</f>
        <v>5</v>
      </c>
      <c r="N2433" s="23" t="s">
        <v>45</v>
      </c>
      <c r="O2433" s="23" t="s">
        <v>23</v>
      </c>
      <c r="P2433" s="23" t="s">
        <v>38</v>
      </c>
      <c r="Q2433" s="23" t="s">
        <v>39</v>
      </c>
      <c r="R2433" s="23" t="s">
        <v>114</v>
      </c>
      <c r="S2433" s="33">
        <v>0</v>
      </c>
      <c r="T2433" s="13">
        <v>35.880000000000003</v>
      </c>
      <c r="U2433" s="13">
        <v>17.581199999999999</v>
      </c>
      <c r="V2433" s="55">
        <f>Table3[[#This Row],[Profit]]/Table3[[#This Row],[Sales]]</f>
        <v>0.48999999999999994</v>
      </c>
    </row>
    <row r="2434" spans="1:22" x14ac:dyDescent="0.2">
      <c r="A2434">
        <v>2433</v>
      </c>
      <c r="B2434" t="s">
        <v>8073</v>
      </c>
      <c r="C2434" s="1">
        <v>43042</v>
      </c>
      <c r="D2434" s="22">
        <f>MONTH(Table3[[#This Row],[Order Date]])</f>
        <v>11</v>
      </c>
      <c r="E2434" t="s">
        <v>3262</v>
      </c>
      <c r="F2434" t="s">
        <v>3263</v>
      </c>
      <c r="G2434" s="23" t="s">
        <v>64</v>
      </c>
      <c r="H2434" s="23" t="s">
        <v>65</v>
      </c>
      <c r="I2434" t="s">
        <v>5397</v>
      </c>
      <c r="J2434" t="s">
        <v>36</v>
      </c>
      <c r="K2434" s="22">
        <v>2</v>
      </c>
      <c r="L2434" s="1">
        <v>43047</v>
      </c>
      <c r="M2434" s="22">
        <f>Table3[[#This Row],[Ship Date]]-Table3[[#This Row],[Order Date]]</f>
        <v>5</v>
      </c>
      <c r="N2434" s="23" t="s">
        <v>45</v>
      </c>
      <c r="O2434" s="23" t="s">
        <v>23</v>
      </c>
      <c r="P2434" s="23" t="s">
        <v>48</v>
      </c>
      <c r="Q2434" s="23" t="s">
        <v>26</v>
      </c>
      <c r="R2434" s="23" t="s">
        <v>1253</v>
      </c>
      <c r="S2434" s="33">
        <v>0.2</v>
      </c>
      <c r="T2434" s="13">
        <v>361.37599999999998</v>
      </c>
      <c r="U2434" s="13">
        <v>27.103200000000001</v>
      </c>
      <c r="V2434" s="55">
        <f>Table3[[#This Row],[Profit]]/Table3[[#This Row],[Sales]]</f>
        <v>7.5000000000000011E-2</v>
      </c>
    </row>
    <row r="2435" spans="1:22" x14ac:dyDescent="0.2">
      <c r="A2435">
        <v>2434</v>
      </c>
      <c r="B2435" t="s">
        <v>8837</v>
      </c>
      <c r="C2435" s="1">
        <v>43042</v>
      </c>
      <c r="D2435" s="22">
        <f>MONTH(Table3[[#This Row],[Order Date]])</f>
        <v>11</v>
      </c>
      <c r="E2435" t="s">
        <v>6419</v>
      </c>
      <c r="F2435" t="s">
        <v>6420</v>
      </c>
      <c r="G2435" s="23" t="s">
        <v>64</v>
      </c>
      <c r="H2435" s="23" t="s">
        <v>144</v>
      </c>
      <c r="I2435" t="s">
        <v>2093</v>
      </c>
      <c r="J2435" t="s">
        <v>22</v>
      </c>
      <c r="K2435" s="22">
        <v>3</v>
      </c>
      <c r="L2435" s="1">
        <v>43047</v>
      </c>
      <c r="M2435" s="22">
        <f>Table3[[#This Row],[Ship Date]]-Table3[[#This Row],[Order Date]]</f>
        <v>5</v>
      </c>
      <c r="N2435" s="23" t="s">
        <v>45</v>
      </c>
      <c r="O2435" s="23" t="s">
        <v>23</v>
      </c>
      <c r="P2435" s="23" t="s">
        <v>132</v>
      </c>
      <c r="Q2435" s="23" t="s">
        <v>133</v>
      </c>
      <c r="R2435" s="23" t="s">
        <v>131</v>
      </c>
      <c r="S2435" s="33">
        <v>0.2</v>
      </c>
      <c r="T2435" s="13">
        <v>40.776000000000003</v>
      </c>
      <c r="U2435" s="13">
        <v>0.50970000000000004</v>
      </c>
      <c r="V2435" s="55">
        <f>Table3[[#This Row],[Profit]]/Table3[[#This Row],[Sales]]</f>
        <v>1.2500000000000001E-2</v>
      </c>
    </row>
    <row r="2436" spans="1:22" x14ac:dyDescent="0.2">
      <c r="A2436">
        <v>2435</v>
      </c>
      <c r="B2436" t="s">
        <v>8995</v>
      </c>
      <c r="C2436" s="1">
        <v>43042</v>
      </c>
      <c r="D2436" s="22">
        <f>MONTH(Table3[[#This Row],[Order Date]])</f>
        <v>11</v>
      </c>
      <c r="E2436" t="s">
        <v>874</v>
      </c>
      <c r="F2436" t="s">
        <v>875</v>
      </c>
      <c r="G2436" s="23" t="s">
        <v>64</v>
      </c>
      <c r="H2436" s="23" t="s">
        <v>144</v>
      </c>
      <c r="I2436" t="s">
        <v>4868</v>
      </c>
      <c r="J2436" t="s">
        <v>92</v>
      </c>
      <c r="K2436" s="22">
        <v>5</v>
      </c>
      <c r="L2436" s="1">
        <v>43044</v>
      </c>
      <c r="M2436" s="22">
        <f>Table3[[#This Row],[Ship Date]]-Table3[[#This Row],[Order Date]]</f>
        <v>2</v>
      </c>
      <c r="N2436" s="23" t="s">
        <v>169</v>
      </c>
      <c r="O2436" s="23" t="s">
        <v>23</v>
      </c>
      <c r="P2436" s="23" t="s">
        <v>38</v>
      </c>
      <c r="Q2436" s="23" t="s">
        <v>39</v>
      </c>
      <c r="R2436" s="23" t="s">
        <v>836</v>
      </c>
      <c r="S2436" s="33">
        <v>0</v>
      </c>
      <c r="T2436" s="13">
        <v>199.75</v>
      </c>
      <c r="U2436" s="13">
        <v>87.89</v>
      </c>
      <c r="V2436" s="55">
        <f>Table3[[#This Row],[Profit]]/Table3[[#This Row],[Sales]]</f>
        <v>0.44</v>
      </c>
    </row>
    <row r="2437" spans="1:22" x14ac:dyDescent="0.2">
      <c r="A2437">
        <v>2436</v>
      </c>
      <c r="B2437" t="s">
        <v>8995</v>
      </c>
      <c r="C2437" s="1">
        <v>43042</v>
      </c>
      <c r="D2437" s="22">
        <f>MONTH(Table3[[#This Row],[Order Date]])</f>
        <v>11</v>
      </c>
      <c r="E2437" t="s">
        <v>2112</v>
      </c>
      <c r="F2437" t="s">
        <v>2113</v>
      </c>
      <c r="G2437" s="23" t="s">
        <v>28</v>
      </c>
      <c r="H2437" s="23" t="s">
        <v>50</v>
      </c>
      <c r="I2437" t="s">
        <v>4868</v>
      </c>
      <c r="J2437" t="s">
        <v>92</v>
      </c>
      <c r="K2437" s="22">
        <v>12</v>
      </c>
      <c r="L2437" s="1">
        <v>43044</v>
      </c>
      <c r="M2437" s="22">
        <f>Table3[[#This Row],[Ship Date]]-Table3[[#This Row],[Order Date]]</f>
        <v>2</v>
      </c>
      <c r="N2437" s="23" t="s">
        <v>169</v>
      </c>
      <c r="O2437" s="23" t="s">
        <v>23</v>
      </c>
      <c r="P2437" s="23" t="s">
        <v>38</v>
      </c>
      <c r="Q2437" s="23" t="s">
        <v>39</v>
      </c>
      <c r="R2437" s="23" t="s">
        <v>836</v>
      </c>
      <c r="S2437" s="33">
        <v>0.2</v>
      </c>
      <c r="T2437" s="13">
        <v>1673.184</v>
      </c>
      <c r="U2437" s="13">
        <v>20.9148</v>
      </c>
      <c r="V2437" s="55">
        <f>Table3[[#This Row],[Profit]]/Table3[[#This Row],[Sales]]</f>
        <v>1.2500000000000001E-2</v>
      </c>
    </row>
    <row r="2438" spans="1:22" x14ac:dyDescent="0.2">
      <c r="A2438">
        <v>2437</v>
      </c>
      <c r="B2438" t="s">
        <v>9023</v>
      </c>
      <c r="C2438" s="1">
        <v>43042</v>
      </c>
      <c r="D2438" s="22">
        <f>MONTH(Table3[[#This Row],[Order Date]])</f>
        <v>11</v>
      </c>
      <c r="E2438" t="s">
        <v>3410</v>
      </c>
      <c r="F2438" t="s">
        <v>3411</v>
      </c>
      <c r="G2438" s="23" t="s">
        <v>41</v>
      </c>
      <c r="H2438" s="23" t="s">
        <v>82</v>
      </c>
      <c r="I2438" t="s">
        <v>4635</v>
      </c>
      <c r="J2438" t="s">
        <v>22</v>
      </c>
      <c r="K2438" s="22">
        <v>3</v>
      </c>
      <c r="L2438" s="1">
        <v>43045</v>
      </c>
      <c r="M2438" s="22">
        <f>Table3[[#This Row],[Ship Date]]-Table3[[#This Row],[Order Date]]</f>
        <v>3</v>
      </c>
      <c r="N2438" s="23" t="s">
        <v>20</v>
      </c>
      <c r="O2438" s="23" t="s">
        <v>23</v>
      </c>
      <c r="P2438" s="23" t="s">
        <v>80</v>
      </c>
      <c r="Q2438" s="23" t="s">
        <v>26</v>
      </c>
      <c r="R2438" s="23" t="s">
        <v>461</v>
      </c>
      <c r="S2438" s="33">
        <v>0.2</v>
      </c>
      <c r="T2438" s="13">
        <v>16.271999999999998</v>
      </c>
      <c r="U2438" s="13">
        <v>5.2884000000000002</v>
      </c>
      <c r="V2438" s="55">
        <f>Table3[[#This Row],[Profit]]/Table3[[#This Row],[Sales]]</f>
        <v>0.32500000000000007</v>
      </c>
    </row>
    <row r="2439" spans="1:22" x14ac:dyDescent="0.2">
      <c r="A2439">
        <v>2438</v>
      </c>
      <c r="B2439" t="s">
        <v>9155</v>
      </c>
      <c r="C2439" s="1">
        <v>43042</v>
      </c>
      <c r="D2439" s="22">
        <f>MONTH(Table3[[#This Row],[Order Date]])</f>
        <v>11</v>
      </c>
      <c r="E2439" t="s">
        <v>4302</v>
      </c>
      <c r="F2439" t="s">
        <v>4303</v>
      </c>
      <c r="G2439" s="23" t="s">
        <v>41</v>
      </c>
      <c r="H2439" s="23" t="s">
        <v>68</v>
      </c>
      <c r="I2439" t="s">
        <v>5934</v>
      </c>
      <c r="J2439" t="s">
        <v>36</v>
      </c>
      <c r="K2439" s="22">
        <v>4</v>
      </c>
      <c r="L2439" s="1">
        <v>43046</v>
      </c>
      <c r="M2439" s="22">
        <f>Table3[[#This Row],[Ship Date]]-Table3[[#This Row],[Order Date]]</f>
        <v>4</v>
      </c>
      <c r="N2439" s="23" t="s">
        <v>45</v>
      </c>
      <c r="O2439" s="23" t="s">
        <v>23</v>
      </c>
      <c r="P2439" s="23" t="s">
        <v>87</v>
      </c>
      <c r="Q2439" s="23" t="s">
        <v>39</v>
      </c>
      <c r="R2439" s="23" t="s">
        <v>86</v>
      </c>
      <c r="S2439" s="33">
        <v>0.2</v>
      </c>
      <c r="T2439" s="13">
        <v>18.367999999999999</v>
      </c>
      <c r="U2439" s="13">
        <v>5.9695999999999998</v>
      </c>
      <c r="V2439" s="55">
        <f>Table3[[#This Row],[Profit]]/Table3[[#This Row],[Sales]]</f>
        <v>0.32500000000000001</v>
      </c>
    </row>
    <row r="2440" spans="1:22" x14ac:dyDescent="0.2">
      <c r="A2440">
        <v>2439</v>
      </c>
      <c r="B2440" t="s">
        <v>9163</v>
      </c>
      <c r="C2440" s="1">
        <v>43042</v>
      </c>
      <c r="D2440" s="22">
        <f>MONTH(Table3[[#This Row],[Order Date]])</f>
        <v>11</v>
      </c>
      <c r="E2440" t="s">
        <v>7555</v>
      </c>
      <c r="F2440" t="s">
        <v>7556</v>
      </c>
      <c r="G2440" s="23" t="s">
        <v>28</v>
      </c>
      <c r="H2440" s="23" t="s">
        <v>50</v>
      </c>
      <c r="I2440" t="s">
        <v>5781</v>
      </c>
      <c r="J2440" t="s">
        <v>22</v>
      </c>
      <c r="K2440" s="22">
        <v>4</v>
      </c>
      <c r="L2440" s="1">
        <v>43048</v>
      </c>
      <c r="M2440" s="22">
        <f>Table3[[#This Row],[Ship Date]]-Table3[[#This Row],[Order Date]]</f>
        <v>6</v>
      </c>
      <c r="N2440" s="23" t="s">
        <v>45</v>
      </c>
      <c r="O2440" s="23" t="s">
        <v>23</v>
      </c>
      <c r="P2440" s="23" t="s">
        <v>38</v>
      </c>
      <c r="Q2440" s="23" t="s">
        <v>39</v>
      </c>
      <c r="R2440" s="23" t="s">
        <v>5301</v>
      </c>
      <c r="S2440" s="33">
        <v>0.2</v>
      </c>
      <c r="T2440" s="13">
        <v>486.36799999999999</v>
      </c>
      <c r="U2440" s="13">
        <v>36.477600000000002</v>
      </c>
      <c r="V2440" s="55">
        <f>Table3[[#This Row],[Profit]]/Table3[[#This Row],[Sales]]</f>
        <v>7.5000000000000011E-2</v>
      </c>
    </row>
    <row r="2441" spans="1:22" x14ac:dyDescent="0.2">
      <c r="A2441">
        <v>2440</v>
      </c>
      <c r="B2441" t="s">
        <v>9476</v>
      </c>
      <c r="C2441" s="1">
        <v>43042</v>
      </c>
      <c r="D2441" s="22">
        <f>MONTH(Table3[[#This Row],[Order Date]])</f>
        <v>11</v>
      </c>
      <c r="E2441" t="s">
        <v>1562</v>
      </c>
      <c r="F2441" t="s">
        <v>1563</v>
      </c>
      <c r="G2441" s="23" t="s">
        <v>64</v>
      </c>
      <c r="H2441" s="23" t="s">
        <v>1075</v>
      </c>
      <c r="I2441" t="s">
        <v>451</v>
      </c>
      <c r="J2441" t="s">
        <v>22</v>
      </c>
      <c r="K2441" s="22">
        <v>2</v>
      </c>
      <c r="L2441" s="1">
        <v>43046</v>
      </c>
      <c r="M2441" s="22">
        <f>Table3[[#This Row],[Ship Date]]-Table3[[#This Row],[Order Date]]</f>
        <v>4</v>
      </c>
      <c r="N2441" s="23" t="s">
        <v>45</v>
      </c>
      <c r="O2441" s="23" t="s">
        <v>23</v>
      </c>
      <c r="P2441" s="23" t="s">
        <v>48</v>
      </c>
      <c r="Q2441" s="23" t="s">
        <v>26</v>
      </c>
      <c r="R2441" s="23" t="s">
        <v>5389</v>
      </c>
      <c r="S2441" s="33">
        <v>0.2</v>
      </c>
      <c r="T2441" s="13">
        <v>959.98400000000004</v>
      </c>
      <c r="U2441" s="13">
        <v>311.9948</v>
      </c>
      <c r="V2441" s="55">
        <f>Table3[[#This Row],[Profit]]/Table3[[#This Row],[Sales]]</f>
        <v>0.32500000000000001</v>
      </c>
    </row>
    <row r="2442" spans="1:22" x14ac:dyDescent="0.2">
      <c r="A2442">
        <v>2441</v>
      </c>
      <c r="B2442" t="s">
        <v>9476</v>
      </c>
      <c r="C2442" s="1">
        <v>43042</v>
      </c>
      <c r="D2442" s="22">
        <f>MONTH(Table3[[#This Row],[Order Date]])</f>
        <v>11</v>
      </c>
      <c r="E2442" t="s">
        <v>4629</v>
      </c>
      <c r="F2442" t="s">
        <v>4630</v>
      </c>
      <c r="G2442" s="23" t="s">
        <v>41</v>
      </c>
      <c r="H2442" s="23" t="s">
        <v>68</v>
      </c>
      <c r="I2442" t="s">
        <v>451</v>
      </c>
      <c r="J2442" t="s">
        <v>22</v>
      </c>
      <c r="K2442" s="22">
        <v>2</v>
      </c>
      <c r="L2442" s="1">
        <v>43046</v>
      </c>
      <c r="M2442" s="22">
        <f>Table3[[#This Row],[Ship Date]]-Table3[[#This Row],[Order Date]]</f>
        <v>4</v>
      </c>
      <c r="N2442" s="23" t="s">
        <v>45</v>
      </c>
      <c r="O2442" s="23" t="s">
        <v>23</v>
      </c>
      <c r="P2442" s="23" t="s">
        <v>48</v>
      </c>
      <c r="Q2442" s="23" t="s">
        <v>26</v>
      </c>
      <c r="R2442" s="23" t="s">
        <v>5389</v>
      </c>
      <c r="S2442" s="33">
        <v>0.7</v>
      </c>
      <c r="T2442" s="13">
        <v>4.0860000000000003</v>
      </c>
      <c r="U2442" s="13">
        <v>-2.9964</v>
      </c>
      <c r="V2442" s="55">
        <f>Table3[[#This Row],[Profit]]/Table3[[#This Row],[Sales]]</f>
        <v>-0.73333333333333328</v>
      </c>
    </row>
    <row r="2443" spans="1:22" x14ac:dyDescent="0.2">
      <c r="A2443">
        <v>2442</v>
      </c>
      <c r="B2443" t="s">
        <v>9476</v>
      </c>
      <c r="C2443" s="1">
        <v>43042</v>
      </c>
      <c r="D2443" s="22">
        <f>MONTH(Table3[[#This Row],[Order Date]])</f>
        <v>11</v>
      </c>
      <c r="E2443" t="s">
        <v>7596</v>
      </c>
      <c r="F2443" t="s">
        <v>7597</v>
      </c>
      <c r="G2443" s="23" t="s">
        <v>41</v>
      </c>
      <c r="H2443" s="23" t="s">
        <v>61</v>
      </c>
      <c r="I2443" t="s">
        <v>451</v>
      </c>
      <c r="J2443" t="s">
        <v>22</v>
      </c>
      <c r="K2443" s="22">
        <v>2</v>
      </c>
      <c r="L2443" s="1">
        <v>43046</v>
      </c>
      <c r="M2443" s="22">
        <f>Table3[[#This Row],[Ship Date]]-Table3[[#This Row],[Order Date]]</f>
        <v>4</v>
      </c>
      <c r="N2443" s="23" t="s">
        <v>45</v>
      </c>
      <c r="O2443" s="23" t="s">
        <v>23</v>
      </c>
      <c r="P2443" s="23" t="s">
        <v>48</v>
      </c>
      <c r="Q2443" s="23" t="s">
        <v>26</v>
      </c>
      <c r="R2443" s="23" t="s">
        <v>5389</v>
      </c>
      <c r="S2443" s="33">
        <v>0.2</v>
      </c>
      <c r="T2443" s="13">
        <v>55.984000000000002</v>
      </c>
      <c r="U2443" s="13">
        <v>4.1988000000000003</v>
      </c>
      <c r="V2443" s="55">
        <f>Table3[[#This Row],[Profit]]/Table3[[#This Row],[Sales]]</f>
        <v>7.4999999999999997E-2</v>
      </c>
    </row>
    <row r="2444" spans="1:22" x14ac:dyDescent="0.2">
      <c r="A2444">
        <v>2443</v>
      </c>
      <c r="B2444" t="s">
        <v>9476</v>
      </c>
      <c r="C2444" s="1">
        <v>43042</v>
      </c>
      <c r="D2444" s="22">
        <f>MONTH(Table3[[#This Row],[Order Date]])</f>
        <v>11</v>
      </c>
      <c r="E2444" t="s">
        <v>2445</v>
      </c>
      <c r="F2444" t="s">
        <v>2446</v>
      </c>
      <c r="G2444" s="23" t="s">
        <v>41</v>
      </c>
      <c r="H2444" s="23" t="s">
        <v>82</v>
      </c>
      <c r="I2444" t="s">
        <v>451</v>
      </c>
      <c r="J2444" t="s">
        <v>22</v>
      </c>
      <c r="K2444" s="22">
        <v>2</v>
      </c>
      <c r="L2444" s="1">
        <v>43046</v>
      </c>
      <c r="M2444" s="22">
        <f>Table3[[#This Row],[Ship Date]]-Table3[[#This Row],[Order Date]]</f>
        <v>4</v>
      </c>
      <c r="N2444" s="23" t="s">
        <v>45</v>
      </c>
      <c r="O2444" s="23" t="s">
        <v>23</v>
      </c>
      <c r="P2444" s="23" t="s">
        <v>48</v>
      </c>
      <c r="Q2444" s="23" t="s">
        <v>26</v>
      </c>
      <c r="R2444" s="23" t="s">
        <v>5389</v>
      </c>
      <c r="S2444" s="33">
        <v>0.2</v>
      </c>
      <c r="T2444" s="13">
        <v>10.688000000000001</v>
      </c>
      <c r="U2444" s="13">
        <v>3.7408000000000001</v>
      </c>
      <c r="V2444" s="55">
        <f>Table3[[#This Row],[Profit]]/Table3[[#This Row],[Sales]]</f>
        <v>0.35</v>
      </c>
    </row>
    <row r="2445" spans="1:22" x14ac:dyDescent="0.2">
      <c r="A2445">
        <v>2444</v>
      </c>
      <c r="B2445" t="s">
        <v>1955</v>
      </c>
      <c r="C2445" s="1">
        <v>43043</v>
      </c>
      <c r="D2445" s="22">
        <f>MONTH(Table3[[#This Row],[Order Date]])</f>
        <v>11</v>
      </c>
      <c r="E2445" t="s">
        <v>1958</v>
      </c>
      <c r="F2445" t="s">
        <v>1959</v>
      </c>
      <c r="G2445" s="23" t="s">
        <v>64</v>
      </c>
      <c r="H2445" s="23" t="s">
        <v>602</v>
      </c>
      <c r="I2445" t="s">
        <v>1956</v>
      </c>
      <c r="J2445" t="s">
        <v>36</v>
      </c>
      <c r="K2445" s="22">
        <v>4</v>
      </c>
      <c r="L2445" s="1">
        <v>43043</v>
      </c>
      <c r="M2445" s="22">
        <f>Table3[[#This Row],[Ship Date]]-Table3[[#This Row],[Order Date]]</f>
        <v>0</v>
      </c>
      <c r="N2445" s="23" t="s">
        <v>1141</v>
      </c>
      <c r="O2445" s="23" t="s">
        <v>23</v>
      </c>
      <c r="P2445" s="23" t="s">
        <v>80</v>
      </c>
      <c r="Q2445" s="23" t="s">
        <v>26</v>
      </c>
      <c r="R2445" s="23" t="s">
        <v>1957</v>
      </c>
      <c r="S2445" s="33">
        <v>0.5</v>
      </c>
      <c r="T2445" s="13">
        <v>7999.98</v>
      </c>
      <c r="U2445" s="13">
        <v>-3839.9904000000001</v>
      </c>
      <c r="V2445" s="55">
        <f>Table3[[#This Row],[Profit]]/Table3[[#This Row],[Sales]]</f>
        <v>-0.48000000000000004</v>
      </c>
    </row>
    <row r="2446" spans="1:22" x14ac:dyDescent="0.2">
      <c r="A2446">
        <v>2445</v>
      </c>
      <c r="B2446" t="s">
        <v>1955</v>
      </c>
      <c r="C2446" s="1">
        <v>43043</v>
      </c>
      <c r="D2446" s="22">
        <f>MONTH(Table3[[#This Row],[Order Date]])</f>
        <v>11</v>
      </c>
      <c r="E2446" t="s">
        <v>1879</v>
      </c>
      <c r="F2446" t="s">
        <v>1880</v>
      </c>
      <c r="G2446" s="23" t="s">
        <v>41</v>
      </c>
      <c r="H2446" s="23" t="s">
        <v>71</v>
      </c>
      <c r="I2446" t="s">
        <v>1956</v>
      </c>
      <c r="J2446" t="s">
        <v>36</v>
      </c>
      <c r="K2446" s="22">
        <v>2</v>
      </c>
      <c r="L2446" s="1">
        <v>43043</v>
      </c>
      <c r="M2446" s="22">
        <f>Table3[[#This Row],[Ship Date]]-Table3[[#This Row],[Order Date]]</f>
        <v>0</v>
      </c>
      <c r="N2446" s="23" t="s">
        <v>1141</v>
      </c>
      <c r="O2446" s="23" t="s">
        <v>23</v>
      </c>
      <c r="P2446" s="23" t="s">
        <v>80</v>
      </c>
      <c r="Q2446" s="23" t="s">
        <v>26</v>
      </c>
      <c r="R2446" s="23" t="s">
        <v>1957</v>
      </c>
      <c r="S2446" s="33">
        <v>0.2</v>
      </c>
      <c r="T2446" s="13">
        <v>167.44</v>
      </c>
      <c r="U2446" s="13">
        <v>14.651</v>
      </c>
      <c r="V2446" s="55">
        <f>Table3[[#This Row],[Profit]]/Table3[[#This Row],[Sales]]</f>
        <v>8.7499999999999994E-2</v>
      </c>
    </row>
    <row r="2447" spans="1:22" x14ac:dyDescent="0.2">
      <c r="A2447">
        <v>2446</v>
      </c>
      <c r="B2447" t="s">
        <v>2290</v>
      </c>
      <c r="C2447" s="1">
        <v>43043</v>
      </c>
      <c r="D2447" s="22">
        <f>MONTH(Table3[[#This Row],[Order Date]])</f>
        <v>11</v>
      </c>
      <c r="E2447" t="s">
        <v>2292</v>
      </c>
      <c r="F2447" t="s">
        <v>2293</v>
      </c>
      <c r="G2447" s="23" t="s">
        <v>41</v>
      </c>
      <c r="H2447" s="23" t="s">
        <v>82</v>
      </c>
      <c r="I2447" t="s">
        <v>2291</v>
      </c>
      <c r="J2447" t="s">
        <v>92</v>
      </c>
      <c r="K2447" s="22">
        <v>2</v>
      </c>
      <c r="L2447" s="1">
        <v>43050</v>
      </c>
      <c r="M2447" s="22">
        <f>Table3[[#This Row],[Ship Date]]-Table3[[#This Row],[Order Date]]</f>
        <v>7</v>
      </c>
      <c r="N2447" s="23" t="s">
        <v>45</v>
      </c>
      <c r="O2447" s="23" t="s">
        <v>23</v>
      </c>
      <c r="P2447" s="23" t="s">
        <v>299</v>
      </c>
      <c r="Q2447" s="23" t="s">
        <v>26</v>
      </c>
      <c r="R2447" s="23" t="s">
        <v>341</v>
      </c>
      <c r="S2447" s="33">
        <v>0.2</v>
      </c>
      <c r="T2447" s="13">
        <v>9.6639999999999997</v>
      </c>
      <c r="U2447" s="13">
        <v>3.2616000000000001</v>
      </c>
      <c r="V2447" s="55">
        <f>Table3[[#This Row],[Profit]]/Table3[[#This Row],[Sales]]</f>
        <v>0.33750000000000002</v>
      </c>
    </row>
    <row r="2448" spans="1:22" x14ac:dyDescent="0.2">
      <c r="A2448">
        <v>2447</v>
      </c>
      <c r="B2448" t="s">
        <v>3379</v>
      </c>
      <c r="C2448" s="1">
        <v>43043</v>
      </c>
      <c r="D2448" s="22">
        <f>MONTH(Table3[[#This Row],[Order Date]])</f>
        <v>11</v>
      </c>
      <c r="E2448" t="s">
        <v>1476</v>
      </c>
      <c r="F2448" t="s">
        <v>1477</v>
      </c>
      <c r="G2448" s="23" t="s">
        <v>41</v>
      </c>
      <c r="H2448" s="23" t="s">
        <v>42</v>
      </c>
      <c r="I2448" t="s">
        <v>3315</v>
      </c>
      <c r="J2448" t="s">
        <v>92</v>
      </c>
      <c r="K2448" s="22">
        <v>2</v>
      </c>
      <c r="L2448" s="1">
        <v>43050</v>
      </c>
      <c r="M2448" s="22">
        <f>Table3[[#This Row],[Ship Date]]-Table3[[#This Row],[Order Date]]</f>
        <v>7</v>
      </c>
      <c r="N2448" s="23" t="s">
        <v>45</v>
      </c>
      <c r="O2448" s="23" t="s">
        <v>23</v>
      </c>
      <c r="P2448" s="23" t="s">
        <v>94</v>
      </c>
      <c r="Q2448" s="23" t="s">
        <v>95</v>
      </c>
      <c r="R2448" s="23" t="s">
        <v>669</v>
      </c>
      <c r="S2448" s="33">
        <v>0.2</v>
      </c>
      <c r="T2448" s="13">
        <v>23.68</v>
      </c>
      <c r="U2448" s="13">
        <v>8.8800000000000008</v>
      </c>
      <c r="V2448" s="55">
        <f>Table3[[#This Row],[Profit]]/Table3[[#This Row],[Sales]]</f>
        <v>0.37500000000000006</v>
      </c>
    </row>
    <row r="2449" spans="1:22" x14ac:dyDescent="0.2">
      <c r="A2449">
        <v>2448</v>
      </c>
      <c r="B2449" t="s">
        <v>6234</v>
      </c>
      <c r="C2449" s="1">
        <v>43043</v>
      </c>
      <c r="D2449" s="22">
        <f>MONTH(Table3[[#This Row],[Order Date]])</f>
        <v>11</v>
      </c>
      <c r="E2449" t="s">
        <v>1083</v>
      </c>
      <c r="F2449" t="s">
        <v>1084</v>
      </c>
      <c r="G2449" s="23" t="s">
        <v>28</v>
      </c>
      <c r="H2449" s="23" t="s">
        <v>50</v>
      </c>
      <c r="I2449" t="s">
        <v>953</v>
      </c>
      <c r="J2449" t="s">
        <v>36</v>
      </c>
      <c r="K2449" s="22">
        <v>3</v>
      </c>
      <c r="L2449" s="1">
        <v>43044</v>
      </c>
      <c r="M2449" s="22">
        <f>Table3[[#This Row],[Ship Date]]-Table3[[#This Row],[Order Date]]</f>
        <v>1</v>
      </c>
      <c r="N2449" s="23" t="s">
        <v>169</v>
      </c>
      <c r="O2449" s="23" t="s">
        <v>23</v>
      </c>
      <c r="P2449" s="23" t="s">
        <v>80</v>
      </c>
      <c r="Q2449" s="23" t="s">
        <v>26</v>
      </c>
      <c r="R2449" s="23" t="s">
        <v>3963</v>
      </c>
      <c r="S2449" s="33">
        <v>0.4</v>
      </c>
      <c r="T2449" s="13">
        <v>523.76400000000001</v>
      </c>
      <c r="U2449" s="13">
        <v>-192.04679999999999</v>
      </c>
      <c r="V2449" s="55">
        <f>Table3[[#This Row],[Profit]]/Table3[[#This Row],[Sales]]</f>
        <v>-0.36666666666666664</v>
      </c>
    </row>
    <row r="2450" spans="1:22" x14ac:dyDescent="0.2">
      <c r="A2450">
        <v>2449</v>
      </c>
      <c r="B2450" t="s">
        <v>6234</v>
      </c>
      <c r="C2450" s="1">
        <v>43043</v>
      </c>
      <c r="D2450" s="22">
        <f>MONTH(Table3[[#This Row],[Order Date]])</f>
        <v>11</v>
      </c>
      <c r="E2450" t="s">
        <v>4239</v>
      </c>
      <c r="F2450" t="s">
        <v>4240</v>
      </c>
      <c r="G2450" s="23" t="s">
        <v>64</v>
      </c>
      <c r="H2450" s="23" t="s">
        <v>65</v>
      </c>
      <c r="I2450" t="s">
        <v>953</v>
      </c>
      <c r="J2450" t="s">
        <v>36</v>
      </c>
      <c r="K2450" s="22">
        <v>5</v>
      </c>
      <c r="L2450" s="1">
        <v>43044</v>
      </c>
      <c r="M2450" s="22">
        <f>Table3[[#This Row],[Ship Date]]-Table3[[#This Row],[Order Date]]</f>
        <v>1</v>
      </c>
      <c r="N2450" s="23" t="s">
        <v>169</v>
      </c>
      <c r="O2450" s="23" t="s">
        <v>23</v>
      </c>
      <c r="P2450" s="23" t="s">
        <v>80</v>
      </c>
      <c r="Q2450" s="23" t="s">
        <v>26</v>
      </c>
      <c r="R2450" s="23" t="s">
        <v>3963</v>
      </c>
      <c r="S2450" s="33">
        <v>0.2</v>
      </c>
      <c r="T2450" s="13">
        <v>1359.96</v>
      </c>
      <c r="U2450" s="13">
        <v>118.9965</v>
      </c>
      <c r="V2450" s="55">
        <f>Table3[[#This Row],[Profit]]/Table3[[#This Row],[Sales]]</f>
        <v>8.7499999999999994E-2</v>
      </c>
    </row>
    <row r="2451" spans="1:22" x14ac:dyDescent="0.2">
      <c r="A2451">
        <v>2450</v>
      </c>
      <c r="B2451" t="s">
        <v>9526</v>
      </c>
      <c r="C2451" s="1">
        <v>43043</v>
      </c>
      <c r="D2451" s="22">
        <f>MONTH(Table3[[#This Row],[Order Date]])</f>
        <v>11</v>
      </c>
      <c r="E2451" t="s">
        <v>1491</v>
      </c>
      <c r="F2451" t="s">
        <v>1492</v>
      </c>
      <c r="G2451" s="23" t="s">
        <v>64</v>
      </c>
      <c r="H2451" s="23" t="s">
        <v>144</v>
      </c>
      <c r="I2451" t="s">
        <v>1810</v>
      </c>
      <c r="J2451" t="s">
        <v>22</v>
      </c>
      <c r="K2451" s="22">
        <v>3</v>
      </c>
      <c r="L2451" s="1">
        <v>43047</v>
      </c>
      <c r="M2451" s="22">
        <f>Table3[[#This Row],[Ship Date]]-Table3[[#This Row],[Order Date]]</f>
        <v>4</v>
      </c>
      <c r="N2451" s="23" t="s">
        <v>45</v>
      </c>
      <c r="O2451" s="23" t="s">
        <v>23</v>
      </c>
      <c r="P2451" s="23" t="s">
        <v>299</v>
      </c>
      <c r="Q2451" s="23" t="s">
        <v>26</v>
      </c>
      <c r="R2451" s="23" t="s">
        <v>5570</v>
      </c>
      <c r="S2451" s="33">
        <v>0.2</v>
      </c>
      <c r="T2451" s="13">
        <v>95.975999999999999</v>
      </c>
      <c r="U2451" s="13">
        <v>15.5961</v>
      </c>
      <c r="V2451" s="55">
        <f>Table3[[#This Row],[Profit]]/Table3[[#This Row],[Sales]]</f>
        <v>0.16250000000000001</v>
      </c>
    </row>
    <row r="2452" spans="1:22" x14ac:dyDescent="0.2">
      <c r="A2452">
        <v>2451</v>
      </c>
      <c r="B2452" t="s">
        <v>9526</v>
      </c>
      <c r="C2452" s="1">
        <v>43043</v>
      </c>
      <c r="D2452" s="22">
        <f>MONTH(Table3[[#This Row],[Order Date]])</f>
        <v>11</v>
      </c>
      <c r="E2452" t="s">
        <v>7995</v>
      </c>
      <c r="F2452" t="s">
        <v>7996</v>
      </c>
      <c r="G2452" s="23" t="s">
        <v>64</v>
      </c>
      <c r="H2452" s="23" t="s">
        <v>65</v>
      </c>
      <c r="I2452" t="s">
        <v>1810</v>
      </c>
      <c r="J2452" t="s">
        <v>22</v>
      </c>
      <c r="K2452" s="22">
        <v>9</v>
      </c>
      <c r="L2452" s="1">
        <v>43047</v>
      </c>
      <c r="M2452" s="22">
        <f>Table3[[#This Row],[Ship Date]]-Table3[[#This Row],[Order Date]]</f>
        <v>4</v>
      </c>
      <c r="N2452" s="23" t="s">
        <v>45</v>
      </c>
      <c r="O2452" s="23" t="s">
        <v>23</v>
      </c>
      <c r="P2452" s="23" t="s">
        <v>299</v>
      </c>
      <c r="Q2452" s="23" t="s">
        <v>26</v>
      </c>
      <c r="R2452" s="23" t="s">
        <v>5570</v>
      </c>
      <c r="S2452" s="33">
        <v>0.2</v>
      </c>
      <c r="T2452" s="13">
        <v>143.928</v>
      </c>
      <c r="U2452" s="13">
        <v>-32.383800000000001</v>
      </c>
      <c r="V2452" s="55">
        <f>Table3[[#This Row],[Profit]]/Table3[[#This Row],[Sales]]</f>
        <v>-0.22500000000000001</v>
      </c>
    </row>
    <row r="2453" spans="1:22" x14ac:dyDescent="0.2">
      <c r="A2453">
        <v>2452</v>
      </c>
      <c r="B2453" t="s">
        <v>9526</v>
      </c>
      <c r="C2453" s="1">
        <v>43043</v>
      </c>
      <c r="D2453" s="22">
        <f>MONTH(Table3[[#This Row],[Order Date]])</f>
        <v>11</v>
      </c>
      <c r="E2453" t="s">
        <v>3421</v>
      </c>
      <c r="F2453" t="s">
        <v>1073</v>
      </c>
      <c r="G2453" s="23" t="s">
        <v>41</v>
      </c>
      <c r="H2453" s="23" t="s">
        <v>68</v>
      </c>
      <c r="I2453" t="s">
        <v>1810</v>
      </c>
      <c r="J2453" t="s">
        <v>22</v>
      </c>
      <c r="K2453" s="22">
        <v>2</v>
      </c>
      <c r="L2453" s="1">
        <v>43047</v>
      </c>
      <c r="M2453" s="22">
        <f>Table3[[#This Row],[Ship Date]]-Table3[[#This Row],[Order Date]]</f>
        <v>4</v>
      </c>
      <c r="N2453" s="23" t="s">
        <v>45</v>
      </c>
      <c r="O2453" s="23" t="s">
        <v>23</v>
      </c>
      <c r="P2453" s="23" t="s">
        <v>299</v>
      </c>
      <c r="Q2453" s="23" t="s">
        <v>26</v>
      </c>
      <c r="R2453" s="23" t="s">
        <v>5570</v>
      </c>
      <c r="S2453" s="33">
        <v>0.7</v>
      </c>
      <c r="T2453" s="13">
        <v>3.5640000000000001</v>
      </c>
      <c r="U2453" s="13">
        <v>-2.97</v>
      </c>
      <c r="V2453" s="55">
        <f>Table3[[#This Row],[Profit]]/Table3[[#This Row],[Sales]]</f>
        <v>-0.83333333333333337</v>
      </c>
    </row>
    <row r="2454" spans="1:22" x14ac:dyDescent="0.2">
      <c r="A2454">
        <v>2453</v>
      </c>
      <c r="B2454" t="s">
        <v>9526</v>
      </c>
      <c r="C2454" s="1">
        <v>43043</v>
      </c>
      <c r="D2454" s="22">
        <f>MONTH(Table3[[#This Row],[Order Date]])</f>
        <v>11</v>
      </c>
      <c r="E2454" t="s">
        <v>3631</v>
      </c>
      <c r="F2454" t="s">
        <v>3632</v>
      </c>
      <c r="G2454" s="23" t="s">
        <v>41</v>
      </c>
      <c r="H2454" s="23" t="s">
        <v>42</v>
      </c>
      <c r="I2454" t="s">
        <v>1810</v>
      </c>
      <c r="J2454" t="s">
        <v>22</v>
      </c>
      <c r="K2454" s="22">
        <v>2</v>
      </c>
      <c r="L2454" s="1">
        <v>43047</v>
      </c>
      <c r="M2454" s="22">
        <f>Table3[[#This Row],[Ship Date]]-Table3[[#This Row],[Order Date]]</f>
        <v>4</v>
      </c>
      <c r="N2454" s="23" t="s">
        <v>45</v>
      </c>
      <c r="O2454" s="23" t="s">
        <v>23</v>
      </c>
      <c r="P2454" s="23" t="s">
        <v>299</v>
      </c>
      <c r="Q2454" s="23" t="s">
        <v>26</v>
      </c>
      <c r="R2454" s="23" t="s">
        <v>5570</v>
      </c>
      <c r="S2454" s="33">
        <v>0.2</v>
      </c>
      <c r="T2454" s="13">
        <v>4.9279999999999999</v>
      </c>
      <c r="U2454" s="13">
        <v>1.7248000000000001</v>
      </c>
      <c r="V2454" s="55">
        <f>Table3[[#This Row],[Profit]]/Table3[[#This Row],[Sales]]</f>
        <v>0.35000000000000003</v>
      </c>
    </row>
    <row r="2455" spans="1:22" x14ac:dyDescent="0.2">
      <c r="A2455">
        <v>2454</v>
      </c>
      <c r="B2455" t="s">
        <v>9712</v>
      </c>
      <c r="C2455" s="1">
        <v>43043</v>
      </c>
      <c r="D2455" s="22">
        <f>MONTH(Table3[[#This Row],[Order Date]])</f>
        <v>11</v>
      </c>
      <c r="E2455" t="s">
        <v>5043</v>
      </c>
      <c r="F2455" t="s">
        <v>5044</v>
      </c>
      <c r="G2455" s="23" t="s">
        <v>41</v>
      </c>
      <c r="H2455" s="23" t="s">
        <v>68</v>
      </c>
      <c r="I2455" t="s">
        <v>664</v>
      </c>
      <c r="J2455" t="s">
        <v>92</v>
      </c>
      <c r="K2455" s="22">
        <v>6</v>
      </c>
      <c r="L2455" s="1">
        <v>43043</v>
      </c>
      <c r="M2455" s="22">
        <f>Table3[[#This Row],[Ship Date]]-Table3[[#This Row],[Order Date]]</f>
        <v>0</v>
      </c>
      <c r="N2455" s="23" t="s">
        <v>1141</v>
      </c>
      <c r="O2455" s="23" t="s">
        <v>23</v>
      </c>
      <c r="P2455" s="23" t="s">
        <v>94</v>
      </c>
      <c r="Q2455" s="23" t="s">
        <v>95</v>
      </c>
      <c r="R2455" s="23" t="s">
        <v>9713</v>
      </c>
      <c r="S2455" s="33">
        <v>0.8</v>
      </c>
      <c r="T2455" s="13">
        <v>7.5359999999999996</v>
      </c>
      <c r="U2455" s="13">
        <v>-13.188000000000001</v>
      </c>
      <c r="V2455" s="55">
        <f>Table3[[#This Row],[Profit]]/Table3[[#This Row],[Sales]]</f>
        <v>-1.7500000000000002</v>
      </c>
    </row>
    <row r="2456" spans="1:22" x14ac:dyDescent="0.2">
      <c r="A2456">
        <v>2455</v>
      </c>
      <c r="B2456" t="s">
        <v>9712</v>
      </c>
      <c r="C2456" s="1">
        <v>43043</v>
      </c>
      <c r="D2456" s="22">
        <f>MONTH(Table3[[#This Row],[Order Date]])</f>
        <v>11</v>
      </c>
      <c r="E2456" t="s">
        <v>2247</v>
      </c>
      <c r="F2456" t="s">
        <v>2248</v>
      </c>
      <c r="G2456" s="23" t="s">
        <v>41</v>
      </c>
      <c r="H2456" s="23" t="s">
        <v>68</v>
      </c>
      <c r="I2456" t="s">
        <v>664</v>
      </c>
      <c r="J2456" t="s">
        <v>92</v>
      </c>
      <c r="K2456" s="22">
        <v>2</v>
      </c>
      <c r="L2456" s="1">
        <v>43043</v>
      </c>
      <c r="M2456" s="22">
        <f>Table3[[#This Row],[Ship Date]]-Table3[[#This Row],[Order Date]]</f>
        <v>0</v>
      </c>
      <c r="N2456" s="23" t="s">
        <v>1141</v>
      </c>
      <c r="O2456" s="23" t="s">
        <v>23</v>
      </c>
      <c r="P2456" s="23" t="s">
        <v>94</v>
      </c>
      <c r="Q2456" s="23" t="s">
        <v>95</v>
      </c>
      <c r="R2456" s="23" t="s">
        <v>9713</v>
      </c>
      <c r="S2456" s="33">
        <v>0.8</v>
      </c>
      <c r="T2456" s="13">
        <v>1.4079999999999999</v>
      </c>
      <c r="U2456" s="13">
        <v>-2.3231999999999999</v>
      </c>
      <c r="V2456" s="55">
        <f>Table3[[#This Row],[Profit]]/Table3[[#This Row],[Sales]]</f>
        <v>-1.6500000000000001</v>
      </c>
    </row>
    <row r="2457" spans="1:22" x14ac:dyDescent="0.2">
      <c r="A2457">
        <v>2456</v>
      </c>
      <c r="B2457" t="s">
        <v>9712</v>
      </c>
      <c r="C2457" s="1">
        <v>43043</v>
      </c>
      <c r="D2457" s="22">
        <f>MONTH(Table3[[#This Row],[Order Date]])</f>
        <v>11</v>
      </c>
      <c r="E2457" t="s">
        <v>5691</v>
      </c>
      <c r="F2457" t="s">
        <v>5692</v>
      </c>
      <c r="G2457" s="23" t="s">
        <v>41</v>
      </c>
      <c r="H2457" s="23" t="s">
        <v>68</v>
      </c>
      <c r="I2457" t="s">
        <v>664</v>
      </c>
      <c r="J2457" t="s">
        <v>92</v>
      </c>
      <c r="K2457" s="22">
        <v>4</v>
      </c>
      <c r="L2457" s="1">
        <v>43043</v>
      </c>
      <c r="M2457" s="22">
        <f>Table3[[#This Row],[Ship Date]]-Table3[[#This Row],[Order Date]]</f>
        <v>0</v>
      </c>
      <c r="N2457" s="23" t="s">
        <v>1141</v>
      </c>
      <c r="O2457" s="23" t="s">
        <v>23</v>
      </c>
      <c r="P2457" s="23" t="s">
        <v>94</v>
      </c>
      <c r="Q2457" s="23" t="s">
        <v>95</v>
      </c>
      <c r="R2457" s="23" t="s">
        <v>9713</v>
      </c>
      <c r="S2457" s="33">
        <v>0.8</v>
      </c>
      <c r="T2457" s="13">
        <v>4.1440000000000001</v>
      </c>
      <c r="U2457" s="13">
        <v>-6.4231999999999996</v>
      </c>
      <c r="V2457" s="55">
        <f>Table3[[#This Row],[Profit]]/Table3[[#This Row],[Sales]]</f>
        <v>-1.5499999999999998</v>
      </c>
    </row>
    <row r="2458" spans="1:22" x14ac:dyDescent="0.2">
      <c r="A2458">
        <v>2457</v>
      </c>
      <c r="B2458" t="s">
        <v>9712</v>
      </c>
      <c r="C2458" s="1">
        <v>43043</v>
      </c>
      <c r="D2458" s="22">
        <f>MONTH(Table3[[#This Row],[Order Date]])</f>
        <v>11</v>
      </c>
      <c r="E2458" t="s">
        <v>780</v>
      </c>
      <c r="F2458" t="s">
        <v>781</v>
      </c>
      <c r="G2458" s="23" t="s">
        <v>41</v>
      </c>
      <c r="H2458" s="23" t="s">
        <v>53</v>
      </c>
      <c r="I2458" t="s">
        <v>664</v>
      </c>
      <c r="J2458" t="s">
        <v>92</v>
      </c>
      <c r="K2458" s="22">
        <v>3</v>
      </c>
      <c r="L2458" s="1">
        <v>43043</v>
      </c>
      <c r="M2458" s="22">
        <f>Table3[[#This Row],[Ship Date]]-Table3[[#This Row],[Order Date]]</f>
        <v>0</v>
      </c>
      <c r="N2458" s="23" t="s">
        <v>1141</v>
      </c>
      <c r="O2458" s="23" t="s">
        <v>23</v>
      </c>
      <c r="P2458" s="23" t="s">
        <v>94</v>
      </c>
      <c r="Q2458" s="23" t="s">
        <v>95</v>
      </c>
      <c r="R2458" s="23" t="s">
        <v>9713</v>
      </c>
      <c r="S2458" s="33">
        <v>0.2</v>
      </c>
      <c r="T2458" s="13">
        <v>52.752000000000002</v>
      </c>
      <c r="U2458" s="13">
        <v>-12.528600000000001</v>
      </c>
      <c r="V2458" s="55">
        <f>Table3[[#This Row],[Profit]]/Table3[[#This Row],[Sales]]</f>
        <v>-0.23750000000000002</v>
      </c>
    </row>
    <row r="2459" spans="1:22" x14ac:dyDescent="0.2">
      <c r="A2459">
        <v>2458</v>
      </c>
      <c r="B2459" t="s">
        <v>9944</v>
      </c>
      <c r="C2459" s="1">
        <v>43043</v>
      </c>
      <c r="D2459" s="22">
        <f>MONTH(Table3[[#This Row],[Order Date]])</f>
        <v>11</v>
      </c>
      <c r="E2459" t="s">
        <v>665</v>
      </c>
      <c r="F2459" t="s">
        <v>666</v>
      </c>
      <c r="G2459" s="23" t="s">
        <v>64</v>
      </c>
      <c r="H2459" s="23" t="s">
        <v>144</v>
      </c>
      <c r="I2459" t="s">
        <v>3208</v>
      </c>
      <c r="J2459" t="s">
        <v>36</v>
      </c>
      <c r="K2459" s="22">
        <v>4</v>
      </c>
      <c r="L2459" s="1">
        <v>43048</v>
      </c>
      <c r="M2459" s="22">
        <f>Table3[[#This Row],[Ship Date]]-Table3[[#This Row],[Order Date]]</f>
        <v>5</v>
      </c>
      <c r="N2459" s="23" t="s">
        <v>45</v>
      </c>
      <c r="O2459" s="23" t="s">
        <v>23</v>
      </c>
      <c r="P2459" s="23" t="s">
        <v>441</v>
      </c>
      <c r="Q2459" s="23" t="s">
        <v>133</v>
      </c>
      <c r="R2459" s="23" t="s">
        <v>2174</v>
      </c>
      <c r="S2459" s="33">
        <v>0.2</v>
      </c>
      <c r="T2459" s="13">
        <v>70.72</v>
      </c>
      <c r="U2459" s="13">
        <v>-6.1879999999999997</v>
      </c>
      <c r="V2459" s="55">
        <f>Table3[[#This Row],[Profit]]/Table3[[#This Row],[Sales]]</f>
        <v>-8.7499999999999994E-2</v>
      </c>
    </row>
    <row r="2460" spans="1:22" x14ac:dyDescent="0.2">
      <c r="A2460">
        <v>2459</v>
      </c>
      <c r="B2460" t="s">
        <v>9944</v>
      </c>
      <c r="C2460" s="1">
        <v>43043</v>
      </c>
      <c r="D2460" s="22">
        <f>MONTH(Table3[[#This Row],[Order Date]])</f>
        <v>11</v>
      </c>
      <c r="E2460" t="s">
        <v>2995</v>
      </c>
      <c r="F2460" t="s">
        <v>2996</v>
      </c>
      <c r="G2460" s="23" t="s">
        <v>41</v>
      </c>
      <c r="H2460" s="23" t="s">
        <v>53</v>
      </c>
      <c r="I2460" t="s">
        <v>3208</v>
      </c>
      <c r="J2460" t="s">
        <v>36</v>
      </c>
      <c r="K2460" s="22">
        <v>3</v>
      </c>
      <c r="L2460" s="1">
        <v>43048</v>
      </c>
      <c r="M2460" s="22">
        <f>Table3[[#This Row],[Ship Date]]-Table3[[#This Row],[Order Date]]</f>
        <v>5</v>
      </c>
      <c r="N2460" s="23" t="s">
        <v>45</v>
      </c>
      <c r="O2460" s="23" t="s">
        <v>23</v>
      </c>
      <c r="P2460" s="23" t="s">
        <v>441</v>
      </c>
      <c r="Q2460" s="23" t="s">
        <v>133</v>
      </c>
      <c r="R2460" s="23" t="s">
        <v>2174</v>
      </c>
      <c r="S2460" s="33">
        <v>0.2</v>
      </c>
      <c r="T2460" s="13">
        <v>194.352</v>
      </c>
      <c r="U2460" s="13">
        <v>-43.729199999999999</v>
      </c>
      <c r="V2460" s="55">
        <f>Table3[[#This Row],[Profit]]/Table3[[#This Row],[Sales]]</f>
        <v>-0.22499999999999998</v>
      </c>
    </row>
    <row r="2461" spans="1:22" x14ac:dyDescent="0.2">
      <c r="A2461">
        <v>2460</v>
      </c>
      <c r="B2461" t="s">
        <v>10034</v>
      </c>
      <c r="C2461" s="1">
        <v>43043</v>
      </c>
      <c r="D2461" s="22">
        <f>MONTH(Table3[[#This Row],[Order Date]])</f>
        <v>11</v>
      </c>
      <c r="E2461" t="s">
        <v>5946</v>
      </c>
      <c r="F2461" t="s">
        <v>5947</v>
      </c>
      <c r="G2461" s="23" t="s">
        <v>41</v>
      </c>
      <c r="H2461" s="23" t="s">
        <v>61</v>
      </c>
      <c r="I2461" t="s">
        <v>3366</v>
      </c>
      <c r="J2461" t="s">
        <v>92</v>
      </c>
      <c r="K2461" s="22">
        <v>2</v>
      </c>
      <c r="L2461" s="1">
        <v>43047</v>
      </c>
      <c r="M2461" s="22">
        <f>Table3[[#This Row],[Ship Date]]-Table3[[#This Row],[Order Date]]</f>
        <v>4</v>
      </c>
      <c r="N2461" s="23" t="s">
        <v>45</v>
      </c>
      <c r="O2461" s="23" t="s">
        <v>23</v>
      </c>
      <c r="P2461" s="23" t="s">
        <v>1510</v>
      </c>
      <c r="Q2461" s="23" t="s">
        <v>26</v>
      </c>
      <c r="R2461" s="23" t="s">
        <v>10035</v>
      </c>
      <c r="S2461" s="33">
        <v>0</v>
      </c>
      <c r="T2461" s="13">
        <v>4.3</v>
      </c>
      <c r="U2461" s="13">
        <v>1.419</v>
      </c>
      <c r="V2461" s="55">
        <f>Table3[[#This Row],[Profit]]/Table3[[#This Row],[Sales]]</f>
        <v>0.33</v>
      </c>
    </row>
    <row r="2462" spans="1:22" x14ac:dyDescent="0.2">
      <c r="A2462">
        <v>2461</v>
      </c>
      <c r="B2462" t="s">
        <v>479</v>
      </c>
      <c r="C2462" s="1">
        <v>43044</v>
      </c>
      <c r="D2462" s="22">
        <f>MONTH(Table3[[#This Row],[Order Date]])</f>
        <v>11</v>
      </c>
      <c r="E2462" t="s">
        <v>482</v>
      </c>
      <c r="F2462" t="s">
        <v>483</v>
      </c>
      <c r="G2462" s="23" t="s">
        <v>41</v>
      </c>
      <c r="H2462" s="23" t="s">
        <v>68</v>
      </c>
      <c r="I2462" t="s">
        <v>480</v>
      </c>
      <c r="J2462" t="s">
        <v>22</v>
      </c>
      <c r="K2462" s="22">
        <v>2</v>
      </c>
      <c r="L2462" s="1">
        <v>43051</v>
      </c>
      <c r="M2462" s="22">
        <f>Table3[[#This Row],[Ship Date]]-Table3[[#This Row],[Order Date]]</f>
        <v>7</v>
      </c>
      <c r="N2462" s="23" t="s">
        <v>45</v>
      </c>
      <c r="O2462" s="23" t="s">
        <v>23</v>
      </c>
      <c r="P2462" s="23" t="s">
        <v>277</v>
      </c>
      <c r="Q2462" s="23" t="s">
        <v>39</v>
      </c>
      <c r="R2462" s="23" t="s">
        <v>481</v>
      </c>
      <c r="S2462" s="33">
        <v>0.7</v>
      </c>
      <c r="T2462" s="13">
        <v>2.3879999999999999</v>
      </c>
      <c r="U2462" s="13">
        <v>-1.8308</v>
      </c>
      <c r="V2462" s="55">
        <f>Table3[[#This Row],[Profit]]/Table3[[#This Row],[Sales]]</f>
        <v>-0.76666666666666672</v>
      </c>
    </row>
    <row r="2463" spans="1:22" x14ac:dyDescent="0.2">
      <c r="A2463">
        <v>2462</v>
      </c>
      <c r="B2463" t="s">
        <v>479</v>
      </c>
      <c r="C2463" s="1">
        <v>43044</v>
      </c>
      <c r="D2463" s="22">
        <f>MONTH(Table3[[#This Row],[Order Date]])</f>
        <v>11</v>
      </c>
      <c r="E2463" t="s">
        <v>484</v>
      </c>
      <c r="F2463" t="s">
        <v>485</v>
      </c>
      <c r="G2463" s="23" t="s">
        <v>41</v>
      </c>
      <c r="H2463" s="23" t="s">
        <v>53</v>
      </c>
      <c r="I2463" t="s">
        <v>480</v>
      </c>
      <c r="J2463" t="s">
        <v>22</v>
      </c>
      <c r="K2463" s="22">
        <v>7</v>
      </c>
      <c r="L2463" s="1">
        <v>43051</v>
      </c>
      <c r="M2463" s="22">
        <f>Table3[[#This Row],[Ship Date]]-Table3[[#This Row],[Order Date]]</f>
        <v>7</v>
      </c>
      <c r="N2463" s="23" t="s">
        <v>45</v>
      </c>
      <c r="O2463" s="23" t="s">
        <v>23</v>
      </c>
      <c r="P2463" s="23" t="s">
        <v>277</v>
      </c>
      <c r="Q2463" s="23" t="s">
        <v>39</v>
      </c>
      <c r="R2463" s="23" t="s">
        <v>481</v>
      </c>
      <c r="S2463" s="33">
        <v>0.2</v>
      </c>
      <c r="T2463" s="13">
        <v>243.99199999999999</v>
      </c>
      <c r="U2463" s="13">
        <v>30.498999999999999</v>
      </c>
      <c r="V2463" s="55">
        <f>Table3[[#This Row],[Profit]]/Table3[[#This Row],[Sales]]</f>
        <v>0.125</v>
      </c>
    </row>
    <row r="2464" spans="1:22" x14ac:dyDescent="0.2">
      <c r="A2464">
        <v>2463</v>
      </c>
      <c r="B2464" t="s">
        <v>2509</v>
      </c>
      <c r="C2464" s="1">
        <v>43044</v>
      </c>
      <c r="D2464" s="22">
        <f>MONTH(Table3[[#This Row],[Order Date]])</f>
        <v>11</v>
      </c>
      <c r="E2464" t="s">
        <v>1160</v>
      </c>
      <c r="F2464" t="s">
        <v>1161</v>
      </c>
      <c r="G2464" s="23" t="s">
        <v>64</v>
      </c>
      <c r="H2464" s="23" t="s">
        <v>144</v>
      </c>
      <c r="I2464" t="s">
        <v>193</v>
      </c>
      <c r="J2464" t="s">
        <v>36</v>
      </c>
      <c r="K2464" s="22">
        <v>1</v>
      </c>
      <c r="L2464" s="1">
        <v>43045</v>
      </c>
      <c r="M2464" s="22">
        <f>Table3[[#This Row],[Ship Date]]-Table3[[#This Row],[Order Date]]</f>
        <v>1</v>
      </c>
      <c r="N2464" s="23" t="s">
        <v>169</v>
      </c>
      <c r="O2464" s="23" t="s">
        <v>23</v>
      </c>
      <c r="P2464" s="23" t="s">
        <v>589</v>
      </c>
      <c r="Q2464" s="23" t="s">
        <v>39</v>
      </c>
      <c r="R2464" s="23" t="s">
        <v>2510</v>
      </c>
      <c r="S2464" s="33">
        <v>0</v>
      </c>
      <c r="T2464" s="13">
        <v>159.99</v>
      </c>
      <c r="U2464" s="13">
        <v>54.396599999999999</v>
      </c>
      <c r="V2464" s="55">
        <f>Table3[[#This Row],[Profit]]/Table3[[#This Row],[Sales]]</f>
        <v>0.33999999999999997</v>
      </c>
    </row>
    <row r="2465" spans="1:22" x14ac:dyDescent="0.2">
      <c r="A2465">
        <v>2464</v>
      </c>
      <c r="B2465" t="s">
        <v>4718</v>
      </c>
      <c r="C2465" s="1">
        <v>43044</v>
      </c>
      <c r="D2465" s="22">
        <f>MONTH(Table3[[#This Row],[Order Date]])</f>
        <v>11</v>
      </c>
      <c r="E2465" t="s">
        <v>1632</v>
      </c>
      <c r="F2465" t="s">
        <v>1633</v>
      </c>
      <c r="G2465" s="23" t="s">
        <v>64</v>
      </c>
      <c r="H2465" s="23" t="s">
        <v>144</v>
      </c>
      <c r="I2465" t="s">
        <v>4719</v>
      </c>
      <c r="J2465" t="s">
        <v>22</v>
      </c>
      <c r="K2465" s="22">
        <v>5</v>
      </c>
      <c r="L2465" s="1">
        <v>43048</v>
      </c>
      <c r="M2465" s="22">
        <f>Table3[[#This Row],[Ship Date]]-Table3[[#This Row],[Order Date]]</f>
        <v>4</v>
      </c>
      <c r="N2465" s="23" t="s">
        <v>45</v>
      </c>
      <c r="O2465" s="23" t="s">
        <v>23</v>
      </c>
      <c r="P2465" s="23" t="s">
        <v>238</v>
      </c>
      <c r="Q2465" s="23" t="s">
        <v>133</v>
      </c>
      <c r="R2465" s="23" t="s">
        <v>237</v>
      </c>
      <c r="S2465" s="33">
        <v>0</v>
      </c>
      <c r="T2465" s="13">
        <v>390.75</v>
      </c>
      <c r="U2465" s="13">
        <v>171.93</v>
      </c>
      <c r="V2465" s="55">
        <f>Table3[[#This Row],[Profit]]/Table3[[#This Row],[Sales]]</f>
        <v>0.44</v>
      </c>
    </row>
    <row r="2466" spans="1:22" x14ac:dyDescent="0.2">
      <c r="A2466">
        <v>2465</v>
      </c>
      <c r="B2466" t="s">
        <v>5858</v>
      </c>
      <c r="C2466" s="1">
        <v>43044</v>
      </c>
      <c r="D2466" s="22">
        <f>MONTH(Table3[[#This Row],[Order Date]])</f>
        <v>11</v>
      </c>
      <c r="E2466" t="s">
        <v>150</v>
      </c>
      <c r="F2466" t="s">
        <v>151</v>
      </c>
      <c r="G2466" s="23" t="s">
        <v>41</v>
      </c>
      <c r="H2466" s="23" t="s">
        <v>68</v>
      </c>
      <c r="I2466" t="s">
        <v>936</v>
      </c>
      <c r="J2466" t="s">
        <v>36</v>
      </c>
      <c r="K2466" s="22">
        <v>5</v>
      </c>
      <c r="L2466" s="1">
        <v>43046</v>
      </c>
      <c r="M2466" s="22">
        <f>Table3[[#This Row],[Ship Date]]-Table3[[#This Row],[Order Date]]</f>
        <v>2</v>
      </c>
      <c r="N2466" s="23" t="s">
        <v>169</v>
      </c>
      <c r="O2466" s="23" t="s">
        <v>23</v>
      </c>
      <c r="P2466" s="23" t="s">
        <v>189</v>
      </c>
      <c r="Q2466" s="23" t="s">
        <v>95</v>
      </c>
      <c r="R2466" s="23" t="s">
        <v>271</v>
      </c>
      <c r="S2466" s="33">
        <v>0.8</v>
      </c>
      <c r="T2466" s="13">
        <v>16.03</v>
      </c>
      <c r="U2466" s="13">
        <v>-25.648</v>
      </c>
      <c r="V2466" s="55">
        <f>Table3[[#This Row],[Profit]]/Table3[[#This Row],[Sales]]</f>
        <v>-1.5999999999999999</v>
      </c>
    </row>
    <row r="2467" spans="1:22" x14ac:dyDescent="0.2">
      <c r="A2467">
        <v>2466</v>
      </c>
      <c r="B2467" t="s">
        <v>5952</v>
      </c>
      <c r="C2467" s="1">
        <v>43044</v>
      </c>
      <c r="D2467" s="22">
        <f>MONTH(Table3[[#This Row],[Order Date]])</f>
        <v>11</v>
      </c>
      <c r="E2467" t="s">
        <v>1217</v>
      </c>
      <c r="F2467" t="s">
        <v>1218</v>
      </c>
      <c r="G2467" s="23" t="s">
        <v>64</v>
      </c>
      <c r="H2467" s="23" t="s">
        <v>65</v>
      </c>
      <c r="I2467" t="s">
        <v>4723</v>
      </c>
      <c r="J2467" t="s">
        <v>36</v>
      </c>
      <c r="K2467" s="22">
        <v>4</v>
      </c>
      <c r="L2467" s="1">
        <v>43049</v>
      </c>
      <c r="M2467" s="22">
        <f>Table3[[#This Row],[Ship Date]]-Table3[[#This Row],[Order Date]]</f>
        <v>5</v>
      </c>
      <c r="N2467" s="23" t="s">
        <v>20</v>
      </c>
      <c r="O2467" s="23" t="s">
        <v>23</v>
      </c>
      <c r="P2467" s="23" t="s">
        <v>94</v>
      </c>
      <c r="Q2467" s="23" t="s">
        <v>95</v>
      </c>
      <c r="R2467" s="23" t="s">
        <v>718</v>
      </c>
      <c r="S2467" s="33">
        <v>0.2</v>
      </c>
      <c r="T2467" s="13">
        <v>492.76799999999997</v>
      </c>
      <c r="U2467" s="13">
        <v>55.436399999999999</v>
      </c>
      <c r="V2467" s="55">
        <f>Table3[[#This Row],[Profit]]/Table3[[#This Row],[Sales]]</f>
        <v>0.1125</v>
      </c>
    </row>
    <row r="2468" spans="1:22" x14ac:dyDescent="0.2">
      <c r="A2468">
        <v>2467</v>
      </c>
      <c r="B2468" t="s">
        <v>8728</v>
      </c>
      <c r="C2468" s="1">
        <v>43044</v>
      </c>
      <c r="D2468" s="22">
        <f>MONTH(Table3[[#This Row],[Order Date]])</f>
        <v>11</v>
      </c>
      <c r="E2468" t="s">
        <v>2957</v>
      </c>
      <c r="F2468" t="s">
        <v>2958</v>
      </c>
      <c r="G2468" s="23" t="s">
        <v>41</v>
      </c>
      <c r="H2468" s="23" t="s">
        <v>82</v>
      </c>
      <c r="I2468" t="s">
        <v>6432</v>
      </c>
      <c r="J2468" t="s">
        <v>22</v>
      </c>
      <c r="K2468" s="22">
        <v>2</v>
      </c>
      <c r="L2468" s="1">
        <v>43048</v>
      </c>
      <c r="M2468" s="22">
        <f>Table3[[#This Row],[Ship Date]]-Table3[[#This Row],[Order Date]]</f>
        <v>4</v>
      </c>
      <c r="N2468" s="23" t="s">
        <v>45</v>
      </c>
      <c r="O2468" s="23" t="s">
        <v>23</v>
      </c>
      <c r="P2468" s="23" t="s">
        <v>38</v>
      </c>
      <c r="Q2468" s="23" t="s">
        <v>39</v>
      </c>
      <c r="R2468" s="23" t="s">
        <v>836</v>
      </c>
      <c r="S2468" s="33">
        <v>0</v>
      </c>
      <c r="T2468" s="13">
        <v>12.96</v>
      </c>
      <c r="U2468" s="13">
        <v>6.2207999999999997</v>
      </c>
      <c r="V2468" s="55">
        <f>Table3[[#This Row],[Profit]]/Table3[[#This Row],[Sales]]</f>
        <v>0.47999999999999993</v>
      </c>
    </row>
    <row r="2469" spans="1:22" x14ac:dyDescent="0.2">
      <c r="A2469">
        <v>2468</v>
      </c>
      <c r="B2469" t="s">
        <v>9860</v>
      </c>
      <c r="C2469" s="1">
        <v>43044</v>
      </c>
      <c r="D2469" s="22">
        <f>MONTH(Table3[[#This Row],[Order Date]])</f>
        <v>11</v>
      </c>
      <c r="E2469" t="s">
        <v>546</v>
      </c>
      <c r="F2469" t="s">
        <v>547</v>
      </c>
      <c r="G2469" s="23" t="s">
        <v>41</v>
      </c>
      <c r="H2469" s="23" t="s">
        <v>68</v>
      </c>
      <c r="I2469" t="s">
        <v>3805</v>
      </c>
      <c r="J2469" t="s">
        <v>22</v>
      </c>
      <c r="K2469" s="22">
        <v>6</v>
      </c>
      <c r="L2469" s="1">
        <v>43049</v>
      </c>
      <c r="M2469" s="22">
        <f>Table3[[#This Row],[Ship Date]]-Table3[[#This Row],[Order Date]]</f>
        <v>5</v>
      </c>
      <c r="N2469" s="23" t="s">
        <v>20</v>
      </c>
      <c r="O2469" s="23" t="s">
        <v>23</v>
      </c>
      <c r="P2469" s="23" t="s">
        <v>238</v>
      </c>
      <c r="Q2469" s="23" t="s">
        <v>133</v>
      </c>
      <c r="R2469" s="23" t="s">
        <v>237</v>
      </c>
      <c r="S2469" s="33">
        <v>0.2</v>
      </c>
      <c r="T2469" s="13">
        <v>164.68799999999999</v>
      </c>
      <c r="U2469" s="13">
        <v>55.5822</v>
      </c>
      <c r="V2469" s="55">
        <f>Table3[[#This Row],[Profit]]/Table3[[#This Row],[Sales]]</f>
        <v>0.33750000000000002</v>
      </c>
    </row>
    <row r="2470" spans="1:22" x14ac:dyDescent="0.2">
      <c r="A2470">
        <v>2469</v>
      </c>
      <c r="B2470" t="s">
        <v>9860</v>
      </c>
      <c r="C2470" s="1">
        <v>43044</v>
      </c>
      <c r="D2470" s="22">
        <f>MONTH(Table3[[#This Row],[Order Date]])</f>
        <v>11</v>
      </c>
      <c r="E2470" t="s">
        <v>6229</v>
      </c>
      <c r="F2470" t="s">
        <v>6230</v>
      </c>
      <c r="G2470" s="23" t="s">
        <v>28</v>
      </c>
      <c r="H2470" s="23" t="s">
        <v>50</v>
      </c>
      <c r="I2470" t="s">
        <v>3805</v>
      </c>
      <c r="J2470" t="s">
        <v>22</v>
      </c>
      <c r="K2470" s="22">
        <v>2</v>
      </c>
      <c r="L2470" s="1">
        <v>43049</v>
      </c>
      <c r="M2470" s="22">
        <f>Table3[[#This Row],[Ship Date]]-Table3[[#This Row],[Order Date]]</f>
        <v>5</v>
      </c>
      <c r="N2470" s="23" t="s">
        <v>20</v>
      </c>
      <c r="O2470" s="23" t="s">
        <v>23</v>
      </c>
      <c r="P2470" s="23" t="s">
        <v>238</v>
      </c>
      <c r="Q2470" s="23" t="s">
        <v>133</v>
      </c>
      <c r="R2470" s="23" t="s">
        <v>237</v>
      </c>
      <c r="S2470" s="33">
        <v>0.4</v>
      </c>
      <c r="T2470" s="13">
        <v>166.5</v>
      </c>
      <c r="U2470" s="13">
        <v>-66.599999999999994</v>
      </c>
      <c r="V2470" s="55">
        <f>Table3[[#This Row],[Profit]]/Table3[[#This Row],[Sales]]</f>
        <v>-0.39999999999999997</v>
      </c>
    </row>
    <row r="2471" spans="1:22" x14ac:dyDescent="0.2">
      <c r="A2471">
        <v>2470</v>
      </c>
      <c r="B2471" t="s">
        <v>9860</v>
      </c>
      <c r="C2471" s="1">
        <v>43044</v>
      </c>
      <c r="D2471" s="22">
        <f>MONTH(Table3[[#This Row],[Order Date]])</f>
        <v>11</v>
      </c>
      <c r="E2471" t="s">
        <v>2328</v>
      </c>
      <c r="F2471" t="s">
        <v>2329</v>
      </c>
      <c r="G2471" s="23" t="s">
        <v>41</v>
      </c>
      <c r="H2471" s="23" t="s">
        <v>82</v>
      </c>
      <c r="I2471" t="s">
        <v>3805</v>
      </c>
      <c r="J2471" t="s">
        <v>22</v>
      </c>
      <c r="K2471" s="22">
        <v>2</v>
      </c>
      <c r="L2471" s="1">
        <v>43049</v>
      </c>
      <c r="M2471" s="22">
        <f>Table3[[#This Row],[Ship Date]]-Table3[[#This Row],[Order Date]]</f>
        <v>5</v>
      </c>
      <c r="N2471" s="23" t="s">
        <v>20</v>
      </c>
      <c r="O2471" s="23" t="s">
        <v>23</v>
      </c>
      <c r="P2471" s="23" t="s">
        <v>238</v>
      </c>
      <c r="Q2471" s="23" t="s">
        <v>133</v>
      </c>
      <c r="R2471" s="23" t="s">
        <v>237</v>
      </c>
      <c r="S2471" s="33">
        <v>0</v>
      </c>
      <c r="T2471" s="13">
        <v>12.96</v>
      </c>
      <c r="U2471" s="13">
        <v>6.2207999999999997</v>
      </c>
      <c r="V2471" s="55">
        <f>Table3[[#This Row],[Profit]]/Table3[[#This Row],[Sales]]</f>
        <v>0.47999999999999993</v>
      </c>
    </row>
    <row r="2472" spans="1:22" x14ac:dyDescent="0.2">
      <c r="A2472">
        <v>2471</v>
      </c>
      <c r="B2472" t="s">
        <v>9860</v>
      </c>
      <c r="C2472" s="1">
        <v>43044</v>
      </c>
      <c r="D2472" s="22">
        <f>MONTH(Table3[[#This Row],[Order Date]])</f>
        <v>11</v>
      </c>
      <c r="E2472" t="s">
        <v>1439</v>
      </c>
      <c r="F2472" t="s">
        <v>1440</v>
      </c>
      <c r="G2472" s="23" t="s">
        <v>41</v>
      </c>
      <c r="H2472" s="23" t="s">
        <v>82</v>
      </c>
      <c r="I2472" t="s">
        <v>3805</v>
      </c>
      <c r="J2472" t="s">
        <v>22</v>
      </c>
      <c r="K2472" s="22">
        <v>2</v>
      </c>
      <c r="L2472" s="1">
        <v>43049</v>
      </c>
      <c r="M2472" s="22">
        <f>Table3[[#This Row],[Ship Date]]-Table3[[#This Row],[Order Date]]</f>
        <v>5</v>
      </c>
      <c r="N2472" s="23" t="s">
        <v>20</v>
      </c>
      <c r="O2472" s="23" t="s">
        <v>23</v>
      </c>
      <c r="P2472" s="23" t="s">
        <v>238</v>
      </c>
      <c r="Q2472" s="23" t="s">
        <v>133</v>
      </c>
      <c r="R2472" s="23" t="s">
        <v>237</v>
      </c>
      <c r="S2472" s="33">
        <v>0</v>
      </c>
      <c r="T2472" s="13">
        <v>110.96</v>
      </c>
      <c r="U2472" s="13">
        <v>53.260800000000003</v>
      </c>
      <c r="V2472" s="55">
        <f>Table3[[#This Row],[Profit]]/Table3[[#This Row],[Sales]]</f>
        <v>0.48000000000000004</v>
      </c>
    </row>
    <row r="2473" spans="1:22" x14ac:dyDescent="0.2">
      <c r="A2473">
        <v>2472</v>
      </c>
      <c r="B2473" t="s">
        <v>9860</v>
      </c>
      <c r="C2473" s="1">
        <v>43044</v>
      </c>
      <c r="D2473" s="22">
        <f>MONTH(Table3[[#This Row],[Order Date]])</f>
        <v>11</v>
      </c>
      <c r="E2473" t="s">
        <v>544</v>
      </c>
      <c r="F2473" t="s">
        <v>545</v>
      </c>
      <c r="G2473" s="23" t="s">
        <v>64</v>
      </c>
      <c r="H2473" s="23" t="s">
        <v>65</v>
      </c>
      <c r="I2473" t="s">
        <v>3805</v>
      </c>
      <c r="J2473" t="s">
        <v>22</v>
      </c>
      <c r="K2473" s="22">
        <v>2</v>
      </c>
      <c r="L2473" s="1">
        <v>43049</v>
      </c>
      <c r="M2473" s="22">
        <f>Table3[[#This Row],[Ship Date]]-Table3[[#This Row],[Order Date]]</f>
        <v>5</v>
      </c>
      <c r="N2473" s="23" t="s">
        <v>20</v>
      </c>
      <c r="O2473" s="23" t="s">
        <v>23</v>
      </c>
      <c r="P2473" s="23" t="s">
        <v>238</v>
      </c>
      <c r="Q2473" s="23" t="s">
        <v>133</v>
      </c>
      <c r="R2473" s="23" t="s">
        <v>237</v>
      </c>
      <c r="S2473" s="33">
        <v>0</v>
      </c>
      <c r="T2473" s="13">
        <v>99.98</v>
      </c>
      <c r="U2473" s="13">
        <v>3.9992000000000001</v>
      </c>
      <c r="V2473" s="55">
        <f>Table3[[#This Row],[Profit]]/Table3[[#This Row],[Sales]]</f>
        <v>0.04</v>
      </c>
    </row>
    <row r="2474" spans="1:22" x14ac:dyDescent="0.2">
      <c r="A2474">
        <v>2473</v>
      </c>
      <c r="B2474" t="s">
        <v>9860</v>
      </c>
      <c r="C2474" s="1">
        <v>43044</v>
      </c>
      <c r="D2474" s="22">
        <f>MONTH(Table3[[#This Row],[Order Date]])</f>
        <v>11</v>
      </c>
      <c r="E2474" t="s">
        <v>975</v>
      </c>
      <c r="F2474" t="s">
        <v>976</v>
      </c>
      <c r="G2474" s="23" t="s">
        <v>41</v>
      </c>
      <c r="H2474" s="23" t="s">
        <v>68</v>
      </c>
      <c r="I2474" t="s">
        <v>3805</v>
      </c>
      <c r="J2474" t="s">
        <v>22</v>
      </c>
      <c r="K2474" s="22">
        <v>1</v>
      </c>
      <c r="L2474" s="1">
        <v>43049</v>
      </c>
      <c r="M2474" s="22">
        <f>Table3[[#This Row],[Ship Date]]-Table3[[#This Row],[Order Date]]</f>
        <v>5</v>
      </c>
      <c r="N2474" s="23" t="s">
        <v>20</v>
      </c>
      <c r="O2474" s="23" t="s">
        <v>23</v>
      </c>
      <c r="P2474" s="23" t="s">
        <v>238</v>
      </c>
      <c r="Q2474" s="23" t="s">
        <v>133</v>
      </c>
      <c r="R2474" s="23" t="s">
        <v>237</v>
      </c>
      <c r="S2474" s="33">
        <v>0.2</v>
      </c>
      <c r="T2474" s="13">
        <v>11.423999999999999</v>
      </c>
      <c r="U2474" s="13">
        <v>3.7128000000000001</v>
      </c>
      <c r="V2474" s="55">
        <f>Table3[[#This Row],[Profit]]/Table3[[#This Row],[Sales]]</f>
        <v>0.32500000000000001</v>
      </c>
    </row>
    <row r="2475" spans="1:22" x14ac:dyDescent="0.2">
      <c r="A2475">
        <v>2474</v>
      </c>
      <c r="B2475" t="s">
        <v>9860</v>
      </c>
      <c r="C2475" s="1">
        <v>43044</v>
      </c>
      <c r="D2475" s="22">
        <f>MONTH(Table3[[#This Row],[Order Date]])</f>
        <v>11</v>
      </c>
      <c r="E2475" t="s">
        <v>5476</v>
      </c>
      <c r="F2475" t="s">
        <v>5477</v>
      </c>
      <c r="G2475" s="23" t="s">
        <v>28</v>
      </c>
      <c r="H2475" s="23" t="s">
        <v>32</v>
      </c>
      <c r="I2475" t="s">
        <v>3805</v>
      </c>
      <c r="J2475" t="s">
        <v>22</v>
      </c>
      <c r="K2475" s="22">
        <v>2</v>
      </c>
      <c r="L2475" s="1">
        <v>43049</v>
      </c>
      <c r="M2475" s="22">
        <f>Table3[[#This Row],[Ship Date]]-Table3[[#This Row],[Order Date]]</f>
        <v>5</v>
      </c>
      <c r="N2475" s="23" t="s">
        <v>20</v>
      </c>
      <c r="O2475" s="23" t="s">
        <v>23</v>
      </c>
      <c r="P2475" s="23" t="s">
        <v>238</v>
      </c>
      <c r="Q2475" s="23" t="s">
        <v>133</v>
      </c>
      <c r="R2475" s="23" t="s">
        <v>237</v>
      </c>
      <c r="S2475" s="33">
        <v>0.1</v>
      </c>
      <c r="T2475" s="13">
        <v>128.124</v>
      </c>
      <c r="U2475" s="13">
        <v>24.2012</v>
      </c>
      <c r="V2475" s="55">
        <f>Table3[[#This Row],[Profit]]/Table3[[#This Row],[Sales]]</f>
        <v>0.18888888888888888</v>
      </c>
    </row>
    <row r="2476" spans="1:22" x14ac:dyDescent="0.2">
      <c r="A2476">
        <v>2475</v>
      </c>
      <c r="B2476" t="s">
        <v>9860</v>
      </c>
      <c r="C2476" s="1">
        <v>43044</v>
      </c>
      <c r="D2476" s="22">
        <f>MONTH(Table3[[#This Row],[Order Date]])</f>
        <v>11</v>
      </c>
      <c r="E2476" t="s">
        <v>7629</v>
      </c>
      <c r="F2476" t="s">
        <v>7630</v>
      </c>
      <c r="G2476" s="23" t="s">
        <v>28</v>
      </c>
      <c r="H2476" s="23" t="s">
        <v>58</v>
      </c>
      <c r="I2476" t="s">
        <v>3805</v>
      </c>
      <c r="J2476" t="s">
        <v>22</v>
      </c>
      <c r="K2476" s="22">
        <v>5</v>
      </c>
      <c r="L2476" s="1">
        <v>43049</v>
      </c>
      <c r="M2476" s="22">
        <f>Table3[[#This Row],[Ship Date]]-Table3[[#This Row],[Order Date]]</f>
        <v>5</v>
      </c>
      <c r="N2476" s="23" t="s">
        <v>20</v>
      </c>
      <c r="O2476" s="23" t="s">
        <v>23</v>
      </c>
      <c r="P2476" s="23" t="s">
        <v>238</v>
      </c>
      <c r="Q2476" s="23" t="s">
        <v>133</v>
      </c>
      <c r="R2476" s="23" t="s">
        <v>237</v>
      </c>
      <c r="S2476" s="33">
        <v>0</v>
      </c>
      <c r="T2476" s="13">
        <v>101.4</v>
      </c>
      <c r="U2476" s="13">
        <v>38.531999999999996</v>
      </c>
      <c r="V2476" s="55">
        <f>Table3[[#This Row],[Profit]]/Table3[[#This Row],[Sales]]</f>
        <v>0.37999999999999995</v>
      </c>
    </row>
    <row r="2477" spans="1:22" x14ac:dyDescent="0.2">
      <c r="A2477">
        <v>2476</v>
      </c>
      <c r="B2477" t="s">
        <v>9876</v>
      </c>
      <c r="C2477" s="1">
        <v>43044</v>
      </c>
      <c r="D2477" s="22">
        <f>MONTH(Table3[[#This Row],[Order Date]])</f>
        <v>11</v>
      </c>
      <c r="E2477" t="s">
        <v>906</v>
      </c>
      <c r="F2477" t="s">
        <v>907</v>
      </c>
      <c r="G2477" s="23" t="s">
        <v>41</v>
      </c>
      <c r="H2477" s="23" t="s">
        <v>82</v>
      </c>
      <c r="I2477" t="s">
        <v>1105</v>
      </c>
      <c r="J2477" t="s">
        <v>92</v>
      </c>
      <c r="K2477" s="22">
        <v>1</v>
      </c>
      <c r="L2477" s="1">
        <v>43046</v>
      </c>
      <c r="M2477" s="22">
        <f>Table3[[#This Row],[Ship Date]]-Table3[[#This Row],[Order Date]]</f>
        <v>2</v>
      </c>
      <c r="N2477" s="23" t="s">
        <v>169</v>
      </c>
      <c r="O2477" s="23" t="s">
        <v>23</v>
      </c>
      <c r="P2477" s="23" t="s">
        <v>226</v>
      </c>
      <c r="Q2477" s="23" t="s">
        <v>95</v>
      </c>
      <c r="R2477" s="23" t="s">
        <v>6354</v>
      </c>
      <c r="S2477" s="33">
        <v>0</v>
      </c>
      <c r="T2477" s="13">
        <v>4.41</v>
      </c>
      <c r="U2477" s="13">
        <v>2.0286</v>
      </c>
      <c r="V2477" s="55">
        <f>Table3[[#This Row],[Profit]]/Table3[[#This Row],[Sales]]</f>
        <v>0.45999999999999996</v>
      </c>
    </row>
    <row r="2478" spans="1:22" x14ac:dyDescent="0.2">
      <c r="A2478">
        <v>2477</v>
      </c>
      <c r="B2478" t="s">
        <v>9876</v>
      </c>
      <c r="C2478" s="1">
        <v>43044</v>
      </c>
      <c r="D2478" s="22">
        <f>MONTH(Table3[[#This Row],[Order Date]])</f>
        <v>11</v>
      </c>
      <c r="E2478" t="s">
        <v>6706</v>
      </c>
      <c r="F2478" t="s">
        <v>167</v>
      </c>
      <c r="G2478" s="23" t="s">
        <v>41</v>
      </c>
      <c r="H2478" s="23" t="s">
        <v>82</v>
      </c>
      <c r="I2478" t="s">
        <v>1105</v>
      </c>
      <c r="J2478" t="s">
        <v>92</v>
      </c>
      <c r="K2478" s="22">
        <v>3</v>
      </c>
      <c r="L2478" s="1">
        <v>43046</v>
      </c>
      <c r="M2478" s="22">
        <f>Table3[[#This Row],[Ship Date]]-Table3[[#This Row],[Order Date]]</f>
        <v>2</v>
      </c>
      <c r="N2478" s="23" t="s">
        <v>169</v>
      </c>
      <c r="O2478" s="23" t="s">
        <v>23</v>
      </c>
      <c r="P2478" s="23" t="s">
        <v>226</v>
      </c>
      <c r="Q2478" s="23" t="s">
        <v>95</v>
      </c>
      <c r="R2478" s="23" t="s">
        <v>6354</v>
      </c>
      <c r="S2478" s="33">
        <v>0</v>
      </c>
      <c r="T2478" s="13">
        <v>167.94</v>
      </c>
      <c r="U2478" s="13">
        <v>82.290599999999998</v>
      </c>
      <c r="V2478" s="55">
        <f>Table3[[#This Row],[Profit]]/Table3[[#This Row],[Sales]]</f>
        <v>0.49</v>
      </c>
    </row>
    <row r="2479" spans="1:22" x14ac:dyDescent="0.2">
      <c r="A2479">
        <v>2478</v>
      </c>
      <c r="B2479" t="s">
        <v>9876</v>
      </c>
      <c r="C2479" s="1">
        <v>43044</v>
      </c>
      <c r="D2479" s="22">
        <f>MONTH(Table3[[#This Row],[Order Date]])</f>
        <v>11</v>
      </c>
      <c r="E2479" t="s">
        <v>3410</v>
      </c>
      <c r="F2479" t="s">
        <v>3411</v>
      </c>
      <c r="G2479" s="23" t="s">
        <v>41</v>
      </c>
      <c r="H2479" s="23" t="s">
        <v>82</v>
      </c>
      <c r="I2479" t="s">
        <v>1105</v>
      </c>
      <c r="J2479" t="s">
        <v>92</v>
      </c>
      <c r="K2479" s="22">
        <v>10</v>
      </c>
      <c r="L2479" s="1">
        <v>43046</v>
      </c>
      <c r="M2479" s="22">
        <f>Table3[[#This Row],[Ship Date]]-Table3[[#This Row],[Order Date]]</f>
        <v>2</v>
      </c>
      <c r="N2479" s="23" t="s">
        <v>169</v>
      </c>
      <c r="O2479" s="23" t="s">
        <v>23</v>
      </c>
      <c r="P2479" s="23" t="s">
        <v>226</v>
      </c>
      <c r="Q2479" s="23" t="s">
        <v>95</v>
      </c>
      <c r="R2479" s="23" t="s">
        <v>6354</v>
      </c>
      <c r="S2479" s="33">
        <v>0</v>
      </c>
      <c r="T2479" s="13">
        <v>67.8</v>
      </c>
      <c r="U2479" s="13">
        <v>31.187999999999999</v>
      </c>
      <c r="V2479" s="55">
        <f>Table3[[#This Row],[Profit]]/Table3[[#This Row],[Sales]]</f>
        <v>0.46</v>
      </c>
    </row>
    <row r="2480" spans="1:22" x14ac:dyDescent="0.2">
      <c r="A2480">
        <v>2479</v>
      </c>
      <c r="B2480" t="s">
        <v>371</v>
      </c>
      <c r="C2480" s="1">
        <v>43045</v>
      </c>
      <c r="D2480" s="22">
        <f>MONTH(Table3[[#This Row],[Order Date]])</f>
        <v>11</v>
      </c>
      <c r="E2480" t="s">
        <v>375</v>
      </c>
      <c r="F2480" t="s">
        <v>376</v>
      </c>
      <c r="G2480" s="23" t="s">
        <v>41</v>
      </c>
      <c r="H2480" s="23" t="s">
        <v>68</v>
      </c>
      <c r="I2480" t="s">
        <v>372</v>
      </c>
      <c r="J2480" t="s">
        <v>92</v>
      </c>
      <c r="K2480" s="22">
        <v>1</v>
      </c>
      <c r="L2480" s="1">
        <v>43051</v>
      </c>
      <c r="M2480" s="22">
        <f>Table3[[#This Row],[Ship Date]]-Table3[[#This Row],[Order Date]]</f>
        <v>6</v>
      </c>
      <c r="N2480" s="23" t="s">
        <v>45</v>
      </c>
      <c r="O2480" s="23" t="s">
        <v>23</v>
      </c>
      <c r="P2480" s="23" t="s">
        <v>374</v>
      </c>
      <c r="Q2480" s="23" t="s">
        <v>39</v>
      </c>
      <c r="R2480" s="23" t="s">
        <v>373</v>
      </c>
      <c r="S2480" s="33">
        <v>0.7</v>
      </c>
      <c r="T2480" s="13">
        <v>5.6820000000000004</v>
      </c>
      <c r="U2480" s="13">
        <v>-3.7879999999999998</v>
      </c>
      <c r="V2480" s="55">
        <f>Table3[[#This Row],[Profit]]/Table3[[#This Row],[Sales]]</f>
        <v>-0.66666666666666663</v>
      </c>
    </row>
    <row r="2481" spans="1:22" x14ac:dyDescent="0.2">
      <c r="A2481">
        <v>2480</v>
      </c>
      <c r="B2481" t="s">
        <v>692</v>
      </c>
      <c r="C2481" s="1">
        <v>43045</v>
      </c>
      <c r="D2481" s="22">
        <f>MONTH(Table3[[#This Row],[Order Date]])</f>
        <v>11</v>
      </c>
      <c r="E2481" t="s">
        <v>696</v>
      </c>
      <c r="F2481" t="s">
        <v>697</v>
      </c>
      <c r="G2481" s="23" t="s">
        <v>41</v>
      </c>
      <c r="H2481" s="23" t="s">
        <v>53</v>
      </c>
      <c r="I2481" t="s">
        <v>693</v>
      </c>
      <c r="J2481" t="s">
        <v>92</v>
      </c>
      <c r="K2481" s="22">
        <v>3</v>
      </c>
      <c r="L2481" s="1">
        <v>43052</v>
      </c>
      <c r="M2481" s="22">
        <f>Table3[[#This Row],[Ship Date]]-Table3[[#This Row],[Order Date]]</f>
        <v>7</v>
      </c>
      <c r="N2481" s="23" t="s">
        <v>45</v>
      </c>
      <c r="O2481" s="23" t="s">
        <v>23</v>
      </c>
      <c r="P2481" s="23" t="s">
        <v>695</v>
      </c>
      <c r="Q2481" s="23" t="s">
        <v>133</v>
      </c>
      <c r="R2481" s="23" t="s">
        <v>694</v>
      </c>
      <c r="S2481" s="33">
        <v>0</v>
      </c>
      <c r="T2481" s="13">
        <v>46.26</v>
      </c>
      <c r="U2481" s="13">
        <v>12.0276</v>
      </c>
      <c r="V2481" s="55">
        <f>Table3[[#This Row],[Profit]]/Table3[[#This Row],[Sales]]</f>
        <v>0.26</v>
      </c>
    </row>
    <row r="2482" spans="1:22" x14ac:dyDescent="0.2">
      <c r="A2482">
        <v>2481</v>
      </c>
      <c r="B2482" t="s">
        <v>1293</v>
      </c>
      <c r="C2482" s="1">
        <v>43045</v>
      </c>
      <c r="D2482" s="22">
        <f>MONTH(Table3[[#This Row],[Order Date]])</f>
        <v>11</v>
      </c>
      <c r="E2482" t="s">
        <v>1295</v>
      </c>
      <c r="F2482" t="s">
        <v>1296</v>
      </c>
      <c r="G2482" s="23" t="s">
        <v>41</v>
      </c>
      <c r="H2482" s="23" t="s">
        <v>82</v>
      </c>
      <c r="I2482" t="s">
        <v>1124</v>
      </c>
      <c r="J2482" t="s">
        <v>36</v>
      </c>
      <c r="K2482" s="22">
        <v>1</v>
      </c>
      <c r="L2482" s="1">
        <v>43049</v>
      </c>
      <c r="M2482" s="22">
        <f>Table3[[#This Row],[Ship Date]]-Table3[[#This Row],[Order Date]]</f>
        <v>4</v>
      </c>
      <c r="N2482" s="23" t="s">
        <v>45</v>
      </c>
      <c r="O2482" s="23" t="s">
        <v>23</v>
      </c>
      <c r="P2482" s="23" t="s">
        <v>25</v>
      </c>
      <c r="Q2482" s="23" t="s">
        <v>26</v>
      </c>
      <c r="R2482" s="23" t="s">
        <v>1294</v>
      </c>
      <c r="S2482" s="33">
        <v>0</v>
      </c>
      <c r="T2482" s="13">
        <v>5.78</v>
      </c>
      <c r="U2482" s="13">
        <v>2.8321999999999998</v>
      </c>
      <c r="V2482" s="55">
        <f>Table3[[#This Row],[Profit]]/Table3[[#This Row],[Sales]]</f>
        <v>0.48999999999999994</v>
      </c>
    </row>
    <row r="2483" spans="1:22" x14ac:dyDescent="0.2">
      <c r="A2483">
        <v>2482</v>
      </c>
      <c r="B2483" t="s">
        <v>3043</v>
      </c>
      <c r="C2483" s="1">
        <v>43045</v>
      </c>
      <c r="D2483" s="22">
        <f>MONTH(Table3[[#This Row],[Order Date]])</f>
        <v>11</v>
      </c>
      <c r="E2483" t="s">
        <v>2016</v>
      </c>
      <c r="F2483" t="s">
        <v>2017</v>
      </c>
      <c r="G2483" s="23" t="s">
        <v>41</v>
      </c>
      <c r="H2483" s="23" t="s">
        <v>155</v>
      </c>
      <c r="I2483" t="s">
        <v>1743</v>
      </c>
      <c r="J2483" t="s">
        <v>22</v>
      </c>
      <c r="K2483" s="22">
        <v>2</v>
      </c>
      <c r="L2483" s="1">
        <v>43050</v>
      </c>
      <c r="M2483" s="22">
        <f>Table3[[#This Row],[Ship Date]]-Table3[[#This Row],[Order Date]]</f>
        <v>5</v>
      </c>
      <c r="N2483" s="23" t="s">
        <v>45</v>
      </c>
      <c r="O2483" s="23" t="s">
        <v>23</v>
      </c>
      <c r="P2483" s="23" t="s">
        <v>38</v>
      </c>
      <c r="Q2483" s="23" t="s">
        <v>39</v>
      </c>
      <c r="R2483" s="23" t="s">
        <v>37</v>
      </c>
      <c r="S2483" s="33">
        <v>0</v>
      </c>
      <c r="T2483" s="13">
        <v>15.28</v>
      </c>
      <c r="U2483" s="13">
        <v>7.4871999999999996</v>
      </c>
      <c r="V2483" s="55">
        <f>Table3[[#This Row],[Profit]]/Table3[[#This Row],[Sales]]</f>
        <v>0.49</v>
      </c>
    </row>
    <row r="2484" spans="1:22" x14ac:dyDescent="0.2">
      <c r="A2484">
        <v>2483</v>
      </c>
      <c r="B2484" t="s">
        <v>3043</v>
      </c>
      <c r="C2484" s="1">
        <v>43045</v>
      </c>
      <c r="D2484" s="22">
        <f>MONTH(Table3[[#This Row],[Order Date]])</f>
        <v>11</v>
      </c>
      <c r="E2484" t="s">
        <v>2397</v>
      </c>
      <c r="F2484" t="s">
        <v>2398</v>
      </c>
      <c r="G2484" s="23" t="s">
        <v>28</v>
      </c>
      <c r="H2484" s="23" t="s">
        <v>58</v>
      </c>
      <c r="I2484" t="s">
        <v>1743</v>
      </c>
      <c r="J2484" t="s">
        <v>22</v>
      </c>
      <c r="K2484" s="22">
        <v>1</v>
      </c>
      <c r="L2484" s="1">
        <v>43050</v>
      </c>
      <c r="M2484" s="22">
        <f>Table3[[#This Row],[Ship Date]]-Table3[[#This Row],[Order Date]]</f>
        <v>5</v>
      </c>
      <c r="N2484" s="23" t="s">
        <v>45</v>
      </c>
      <c r="O2484" s="23" t="s">
        <v>23</v>
      </c>
      <c r="P2484" s="23" t="s">
        <v>38</v>
      </c>
      <c r="Q2484" s="23" t="s">
        <v>39</v>
      </c>
      <c r="R2484" s="23" t="s">
        <v>37</v>
      </c>
      <c r="S2484" s="33">
        <v>0</v>
      </c>
      <c r="T2484" s="13">
        <v>8.73</v>
      </c>
      <c r="U2484" s="13">
        <v>2.9681999999999999</v>
      </c>
      <c r="V2484" s="55">
        <f>Table3[[#This Row],[Profit]]/Table3[[#This Row],[Sales]]</f>
        <v>0.33999999999999997</v>
      </c>
    </row>
    <row r="2485" spans="1:22" x14ac:dyDescent="0.2">
      <c r="A2485">
        <v>2484</v>
      </c>
      <c r="B2485" t="s">
        <v>3043</v>
      </c>
      <c r="C2485" s="1">
        <v>43045</v>
      </c>
      <c r="D2485" s="22">
        <f>MONTH(Table3[[#This Row],[Order Date]])</f>
        <v>11</v>
      </c>
      <c r="E2485" t="s">
        <v>3044</v>
      </c>
      <c r="F2485" t="s">
        <v>3045</v>
      </c>
      <c r="G2485" s="23" t="s">
        <v>41</v>
      </c>
      <c r="H2485" s="23" t="s">
        <v>61</v>
      </c>
      <c r="I2485" t="s">
        <v>1743</v>
      </c>
      <c r="J2485" t="s">
        <v>22</v>
      </c>
      <c r="K2485" s="22">
        <v>2</v>
      </c>
      <c r="L2485" s="1">
        <v>43050</v>
      </c>
      <c r="M2485" s="22">
        <f>Table3[[#This Row],[Ship Date]]-Table3[[#This Row],[Order Date]]</f>
        <v>5</v>
      </c>
      <c r="N2485" s="23" t="s">
        <v>45</v>
      </c>
      <c r="O2485" s="23" t="s">
        <v>23</v>
      </c>
      <c r="P2485" s="23" t="s">
        <v>38</v>
      </c>
      <c r="Q2485" s="23" t="s">
        <v>39</v>
      </c>
      <c r="R2485" s="23" t="s">
        <v>37</v>
      </c>
      <c r="S2485" s="33">
        <v>0</v>
      </c>
      <c r="T2485" s="13">
        <v>5.68</v>
      </c>
      <c r="U2485" s="13">
        <v>1.7607999999999999</v>
      </c>
      <c r="V2485" s="55">
        <f>Table3[[#This Row],[Profit]]/Table3[[#This Row],[Sales]]</f>
        <v>0.31</v>
      </c>
    </row>
    <row r="2486" spans="1:22" x14ac:dyDescent="0.2">
      <c r="A2486">
        <v>2485</v>
      </c>
      <c r="B2486" t="s">
        <v>5493</v>
      </c>
      <c r="C2486" s="1">
        <v>43045</v>
      </c>
      <c r="D2486" s="22">
        <f>MONTH(Table3[[#This Row],[Order Date]])</f>
        <v>11</v>
      </c>
      <c r="E2486" t="s">
        <v>321</v>
      </c>
      <c r="F2486" t="s">
        <v>322</v>
      </c>
      <c r="G2486" s="23" t="s">
        <v>41</v>
      </c>
      <c r="H2486" s="23" t="s">
        <v>71</v>
      </c>
      <c r="I2486" t="s">
        <v>4007</v>
      </c>
      <c r="J2486" t="s">
        <v>22</v>
      </c>
      <c r="K2486" s="22">
        <v>3</v>
      </c>
      <c r="L2486" s="1">
        <v>43048</v>
      </c>
      <c r="M2486" s="22">
        <f>Table3[[#This Row],[Ship Date]]-Table3[[#This Row],[Order Date]]</f>
        <v>3</v>
      </c>
      <c r="N2486" s="23" t="s">
        <v>20</v>
      </c>
      <c r="O2486" s="23" t="s">
        <v>23</v>
      </c>
      <c r="P2486" s="23" t="s">
        <v>80</v>
      </c>
      <c r="Q2486" s="23" t="s">
        <v>26</v>
      </c>
      <c r="R2486" s="23" t="s">
        <v>1509</v>
      </c>
      <c r="S2486" s="33">
        <v>0.2</v>
      </c>
      <c r="T2486" s="13">
        <v>499.584</v>
      </c>
      <c r="U2486" s="13">
        <v>43.7136</v>
      </c>
      <c r="V2486" s="55">
        <f>Table3[[#This Row],[Profit]]/Table3[[#This Row],[Sales]]</f>
        <v>8.7499999999999994E-2</v>
      </c>
    </row>
    <row r="2487" spans="1:22" x14ac:dyDescent="0.2">
      <c r="A2487">
        <v>2486</v>
      </c>
      <c r="B2487" t="s">
        <v>5493</v>
      </c>
      <c r="C2487" s="1">
        <v>43045</v>
      </c>
      <c r="D2487" s="22">
        <f>MONTH(Table3[[#This Row],[Order Date]])</f>
        <v>11</v>
      </c>
      <c r="E2487" t="s">
        <v>2003</v>
      </c>
      <c r="F2487" t="s">
        <v>2004</v>
      </c>
      <c r="G2487" s="23" t="s">
        <v>41</v>
      </c>
      <c r="H2487" s="23" t="s">
        <v>82</v>
      </c>
      <c r="I2487" t="s">
        <v>4007</v>
      </c>
      <c r="J2487" t="s">
        <v>22</v>
      </c>
      <c r="K2487" s="22">
        <v>6</v>
      </c>
      <c r="L2487" s="1">
        <v>43048</v>
      </c>
      <c r="M2487" s="22">
        <f>Table3[[#This Row],[Ship Date]]-Table3[[#This Row],[Order Date]]</f>
        <v>3</v>
      </c>
      <c r="N2487" s="23" t="s">
        <v>20</v>
      </c>
      <c r="O2487" s="23" t="s">
        <v>23</v>
      </c>
      <c r="P2487" s="23" t="s">
        <v>80</v>
      </c>
      <c r="Q2487" s="23" t="s">
        <v>26</v>
      </c>
      <c r="R2487" s="23" t="s">
        <v>1509</v>
      </c>
      <c r="S2487" s="33">
        <v>0.2</v>
      </c>
      <c r="T2487" s="13">
        <v>31.103999999999999</v>
      </c>
      <c r="U2487" s="13">
        <v>10.8864</v>
      </c>
      <c r="V2487" s="55">
        <f>Table3[[#This Row],[Profit]]/Table3[[#This Row],[Sales]]</f>
        <v>0.35000000000000003</v>
      </c>
    </row>
    <row r="2488" spans="1:22" x14ac:dyDescent="0.2">
      <c r="A2488">
        <v>2487</v>
      </c>
      <c r="B2488" t="s">
        <v>5493</v>
      </c>
      <c r="C2488" s="1">
        <v>43045</v>
      </c>
      <c r="D2488" s="22">
        <f>MONTH(Table3[[#This Row],[Order Date]])</f>
        <v>11</v>
      </c>
      <c r="E2488" t="s">
        <v>1900</v>
      </c>
      <c r="F2488" t="s">
        <v>1901</v>
      </c>
      <c r="G2488" s="23" t="s">
        <v>41</v>
      </c>
      <c r="H2488" s="23" t="s">
        <v>68</v>
      </c>
      <c r="I2488" t="s">
        <v>4007</v>
      </c>
      <c r="J2488" t="s">
        <v>22</v>
      </c>
      <c r="K2488" s="22">
        <v>8</v>
      </c>
      <c r="L2488" s="1">
        <v>43048</v>
      </c>
      <c r="M2488" s="22">
        <f>Table3[[#This Row],[Ship Date]]-Table3[[#This Row],[Order Date]]</f>
        <v>3</v>
      </c>
      <c r="N2488" s="23" t="s">
        <v>20</v>
      </c>
      <c r="O2488" s="23" t="s">
        <v>23</v>
      </c>
      <c r="P2488" s="23" t="s">
        <v>80</v>
      </c>
      <c r="Q2488" s="23" t="s">
        <v>26</v>
      </c>
      <c r="R2488" s="23" t="s">
        <v>1509</v>
      </c>
      <c r="S2488" s="33">
        <v>0.7</v>
      </c>
      <c r="T2488" s="13">
        <v>13.272</v>
      </c>
      <c r="U2488" s="13">
        <v>-10.617599999999999</v>
      </c>
      <c r="V2488" s="55">
        <f>Table3[[#This Row],[Profit]]/Table3[[#This Row],[Sales]]</f>
        <v>-0.79999999999999993</v>
      </c>
    </row>
    <row r="2489" spans="1:22" x14ac:dyDescent="0.2">
      <c r="A2489">
        <v>2488</v>
      </c>
      <c r="B2489" t="s">
        <v>5493</v>
      </c>
      <c r="C2489" s="1">
        <v>43045</v>
      </c>
      <c r="D2489" s="22">
        <f>MONTH(Table3[[#This Row],[Order Date]])</f>
        <v>11</v>
      </c>
      <c r="E2489" t="s">
        <v>5070</v>
      </c>
      <c r="F2489" t="s">
        <v>5071</v>
      </c>
      <c r="G2489" s="23" t="s">
        <v>28</v>
      </c>
      <c r="H2489" s="23" t="s">
        <v>58</v>
      </c>
      <c r="I2489" t="s">
        <v>4007</v>
      </c>
      <c r="J2489" t="s">
        <v>22</v>
      </c>
      <c r="K2489" s="22">
        <v>2</v>
      </c>
      <c r="L2489" s="1">
        <v>43048</v>
      </c>
      <c r="M2489" s="22">
        <f>Table3[[#This Row],[Ship Date]]-Table3[[#This Row],[Order Date]]</f>
        <v>3</v>
      </c>
      <c r="N2489" s="23" t="s">
        <v>20</v>
      </c>
      <c r="O2489" s="23" t="s">
        <v>23</v>
      </c>
      <c r="P2489" s="23" t="s">
        <v>80</v>
      </c>
      <c r="Q2489" s="23" t="s">
        <v>26</v>
      </c>
      <c r="R2489" s="23" t="s">
        <v>1509</v>
      </c>
      <c r="S2489" s="33">
        <v>0.2</v>
      </c>
      <c r="T2489" s="13">
        <v>28.271999999999998</v>
      </c>
      <c r="U2489" s="13">
        <v>6.3612000000000002</v>
      </c>
      <c r="V2489" s="55">
        <f>Table3[[#This Row],[Profit]]/Table3[[#This Row],[Sales]]</f>
        <v>0.22500000000000001</v>
      </c>
    </row>
    <row r="2490" spans="1:22" x14ac:dyDescent="0.2">
      <c r="A2490">
        <v>2489</v>
      </c>
      <c r="B2490" t="s">
        <v>5493</v>
      </c>
      <c r="C2490" s="1">
        <v>43045</v>
      </c>
      <c r="D2490" s="22">
        <f>MONTH(Table3[[#This Row],[Order Date]])</f>
        <v>11</v>
      </c>
      <c r="E2490" t="s">
        <v>1572</v>
      </c>
      <c r="F2490" t="s">
        <v>1573</v>
      </c>
      <c r="G2490" s="23" t="s">
        <v>41</v>
      </c>
      <c r="H2490" s="23" t="s">
        <v>53</v>
      </c>
      <c r="I2490" t="s">
        <v>4007</v>
      </c>
      <c r="J2490" t="s">
        <v>22</v>
      </c>
      <c r="K2490" s="22">
        <v>4</v>
      </c>
      <c r="L2490" s="1">
        <v>43048</v>
      </c>
      <c r="M2490" s="22">
        <f>Table3[[#This Row],[Ship Date]]-Table3[[#This Row],[Order Date]]</f>
        <v>3</v>
      </c>
      <c r="N2490" s="23" t="s">
        <v>20</v>
      </c>
      <c r="O2490" s="23" t="s">
        <v>23</v>
      </c>
      <c r="P2490" s="23" t="s">
        <v>80</v>
      </c>
      <c r="Q2490" s="23" t="s">
        <v>26</v>
      </c>
      <c r="R2490" s="23" t="s">
        <v>1509</v>
      </c>
      <c r="S2490" s="33">
        <v>0.2</v>
      </c>
      <c r="T2490" s="13">
        <v>259.13600000000002</v>
      </c>
      <c r="U2490" s="13">
        <v>-51.827199999999998</v>
      </c>
      <c r="V2490" s="55">
        <f>Table3[[#This Row],[Profit]]/Table3[[#This Row],[Sales]]</f>
        <v>-0.19999999999999998</v>
      </c>
    </row>
    <row r="2491" spans="1:22" x14ac:dyDescent="0.2">
      <c r="A2491">
        <v>2490</v>
      </c>
      <c r="B2491" t="s">
        <v>5577</v>
      </c>
      <c r="C2491" s="1">
        <v>43045</v>
      </c>
      <c r="D2491" s="22">
        <f>MONTH(Table3[[#This Row],[Order Date]])</f>
        <v>11</v>
      </c>
      <c r="E2491" t="s">
        <v>5578</v>
      </c>
      <c r="F2491" t="s">
        <v>5579</v>
      </c>
      <c r="G2491" s="23" t="s">
        <v>41</v>
      </c>
      <c r="H2491" s="23" t="s">
        <v>61</v>
      </c>
      <c r="I2491" t="s">
        <v>1878</v>
      </c>
      <c r="J2491" t="s">
        <v>92</v>
      </c>
      <c r="K2491" s="22">
        <v>5</v>
      </c>
      <c r="L2491" s="1">
        <v>43049</v>
      </c>
      <c r="M2491" s="22">
        <f>Table3[[#This Row],[Ship Date]]-Table3[[#This Row],[Order Date]]</f>
        <v>4</v>
      </c>
      <c r="N2491" s="23" t="s">
        <v>20</v>
      </c>
      <c r="O2491" s="23" t="s">
        <v>23</v>
      </c>
      <c r="P2491" s="23" t="s">
        <v>204</v>
      </c>
      <c r="Q2491" s="23" t="s">
        <v>95</v>
      </c>
      <c r="R2491" s="23" t="s">
        <v>364</v>
      </c>
      <c r="S2491" s="33">
        <v>0</v>
      </c>
      <c r="T2491" s="13">
        <v>13.9</v>
      </c>
      <c r="U2491" s="13">
        <v>3.6139999999999999</v>
      </c>
      <c r="V2491" s="55">
        <f>Table3[[#This Row],[Profit]]/Table3[[#This Row],[Sales]]</f>
        <v>0.26</v>
      </c>
    </row>
    <row r="2492" spans="1:22" x14ac:dyDescent="0.2">
      <c r="A2492">
        <v>2491</v>
      </c>
      <c r="B2492" t="s">
        <v>5577</v>
      </c>
      <c r="C2492" s="1">
        <v>43045</v>
      </c>
      <c r="D2492" s="22">
        <f>MONTH(Table3[[#This Row],[Order Date]])</f>
        <v>11</v>
      </c>
      <c r="E2492" t="s">
        <v>2807</v>
      </c>
      <c r="F2492" t="s">
        <v>167</v>
      </c>
      <c r="G2492" s="23" t="s">
        <v>41</v>
      </c>
      <c r="H2492" s="23" t="s">
        <v>82</v>
      </c>
      <c r="I2492" t="s">
        <v>1878</v>
      </c>
      <c r="J2492" t="s">
        <v>92</v>
      </c>
      <c r="K2492" s="22">
        <v>1</v>
      </c>
      <c r="L2492" s="1">
        <v>43049</v>
      </c>
      <c r="M2492" s="22">
        <f>Table3[[#This Row],[Ship Date]]-Table3[[#This Row],[Order Date]]</f>
        <v>4</v>
      </c>
      <c r="N2492" s="23" t="s">
        <v>20</v>
      </c>
      <c r="O2492" s="23" t="s">
        <v>23</v>
      </c>
      <c r="P2492" s="23" t="s">
        <v>204</v>
      </c>
      <c r="Q2492" s="23" t="s">
        <v>95</v>
      </c>
      <c r="R2492" s="23" t="s">
        <v>364</v>
      </c>
      <c r="S2492" s="33">
        <v>0</v>
      </c>
      <c r="T2492" s="13">
        <v>26.38</v>
      </c>
      <c r="U2492" s="13">
        <v>12.1348</v>
      </c>
      <c r="V2492" s="55">
        <f>Table3[[#This Row],[Profit]]/Table3[[#This Row],[Sales]]</f>
        <v>0.46</v>
      </c>
    </row>
    <row r="2493" spans="1:22" x14ac:dyDescent="0.2">
      <c r="A2493">
        <v>2492</v>
      </c>
      <c r="B2493" t="s">
        <v>6130</v>
      </c>
      <c r="C2493" s="1">
        <v>43045</v>
      </c>
      <c r="D2493" s="22">
        <f>MONTH(Table3[[#This Row],[Order Date]])</f>
        <v>11</v>
      </c>
      <c r="E2493" t="s">
        <v>4287</v>
      </c>
      <c r="F2493" t="s">
        <v>4288</v>
      </c>
      <c r="G2493" s="23" t="s">
        <v>28</v>
      </c>
      <c r="H2493" s="23" t="s">
        <v>32</v>
      </c>
      <c r="I2493" t="s">
        <v>4575</v>
      </c>
      <c r="J2493" t="s">
        <v>22</v>
      </c>
      <c r="K2493" s="22">
        <v>2</v>
      </c>
      <c r="L2493" s="1">
        <v>43050</v>
      </c>
      <c r="M2493" s="22">
        <f>Table3[[#This Row],[Ship Date]]-Table3[[#This Row],[Order Date]]</f>
        <v>5</v>
      </c>
      <c r="N2493" s="23" t="s">
        <v>45</v>
      </c>
      <c r="O2493" s="23" t="s">
        <v>23</v>
      </c>
      <c r="P2493" s="23" t="s">
        <v>132</v>
      </c>
      <c r="Q2493" s="23" t="s">
        <v>133</v>
      </c>
      <c r="R2493" s="23" t="s">
        <v>131</v>
      </c>
      <c r="S2493" s="33">
        <v>0.3</v>
      </c>
      <c r="T2493" s="13">
        <v>127.372</v>
      </c>
      <c r="U2493" s="13">
        <v>-30.933199999999999</v>
      </c>
      <c r="V2493" s="55">
        <f>Table3[[#This Row],[Profit]]/Table3[[#This Row],[Sales]]</f>
        <v>-0.24285714285714285</v>
      </c>
    </row>
    <row r="2494" spans="1:22" x14ac:dyDescent="0.2">
      <c r="A2494">
        <v>2493</v>
      </c>
      <c r="B2494" t="s">
        <v>6130</v>
      </c>
      <c r="C2494" s="1">
        <v>43045</v>
      </c>
      <c r="D2494" s="22">
        <f>MONTH(Table3[[#This Row],[Order Date]])</f>
        <v>11</v>
      </c>
      <c r="E2494" t="s">
        <v>1282</v>
      </c>
      <c r="F2494" t="s">
        <v>1283</v>
      </c>
      <c r="G2494" s="23" t="s">
        <v>41</v>
      </c>
      <c r="H2494" s="23" t="s">
        <v>82</v>
      </c>
      <c r="I2494" t="s">
        <v>4575</v>
      </c>
      <c r="J2494" t="s">
        <v>22</v>
      </c>
      <c r="K2494" s="22">
        <v>3</v>
      </c>
      <c r="L2494" s="1">
        <v>43050</v>
      </c>
      <c r="M2494" s="22">
        <f>Table3[[#This Row],[Ship Date]]-Table3[[#This Row],[Order Date]]</f>
        <v>5</v>
      </c>
      <c r="N2494" s="23" t="s">
        <v>45</v>
      </c>
      <c r="O2494" s="23" t="s">
        <v>23</v>
      </c>
      <c r="P2494" s="23" t="s">
        <v>132</v>
      </c>
      <c r="Q2494" s="23" t="s">
        <v>133</v>
      </c>
      <c r="R2494" s="23" t="s">
        <v>131</v>
      </c>
      <c r="S2494" s="33">
        <v>0.2</v>
      </c>
      <c r="T2494" s="13">
        <v>47.951999999999998</v>
      </c>
      <c r="U2494" s="13">
        <v>16.183800000000002</v>
      </c>
      <c r="V2494" s="55">
        <f>Table3[[#This Row],[Profit]]/Table3[[#This Row],[Sales]]</f>
        <v>0.33750000000000002</v>
      </c>
    </row>
    <row r="2495" spans="1:22" x14ac:dyDescent="0.2">
      <c r="A2495">
        <v>2494</v>
      </c>
      <c r="B2495" t="s">
        <v>7802</v>
      </c>
      <c r="C2495" s="1">
        <v>43045</v>
      </c>
      <c r="D2495" s="22">
        <f>MONTH(Table3[[#This Row],[Order Date]])</f>
        <v>11</v>
      </c>
      <c r="E2495" t="s">
        <v>1282</v>
      </c>
      <c r="F2495" t="s">
        <v>1283</v>
      </c>
      <c r="G2495" s="23" t="s">
        <v>41</v>
      </c>
      <c r="H2495" s="23" t="s">
        <v>82</v>
      </c>
      <c r="I2495" t="s">
        <v>664</v>
      </c>
      <c r="J2495" t="s">
        <v>92</v>
      </c>
      <c r="K2495" s="22">
        <v>3</v>
      </c>
      <c r="L2495" s="1">
        <v>43045</v>
      </c>
      <c r="M2495" s="22">
        <f>Table3[[#This Row],[Ship Date]]-Table3[[#This Row],[Order Date]]</f>
        <v>0</v>
      </c>
      <c r="N2495" s="23" t="s">
        <v>1141</v>
      </c>
      <c r="O2495" s="23" t="s">
        <v>23</v>
      </c>
      <c r="P2495" s="23" t="s">
        <v>38</v>
      </c>
      <c r="Q2495" s="23" t="s">
        <v>39</v>
      </c>
      <c r="R2495" s="23" t="s">
        <v>114</v>
      </c>
      <c r="S2495" s="33">
        <v>0</v>
      </c>
      <c r="T2495" s="13">
        <v>59.94</v>
      </c>
      <c r="U2495" s="13">
        <v>28.171800000000001</v>
      </c>
      <c r="V2495" s="55">
        <f>Table3[[#This Row],[Profit]]/Table3[[#This Row],[Sales]]</f>
        <v>0.47000000000000003</v>
      </c>
    </row>
    <row r="2496" spans="1:22" x14ac:dyDescent="0.2">
      <c r="A2496">
        <v>2495</v>
      </c>
      <c r="B2496" t="s">
        <v>7802</v>
      </c>
      <c r="C2496" s="1">
        <v>43045</v>
      </c>
      <c r="D2496" s="22">
        <f>MONTH(Table3[[#This Row],[Order Date]])</f>
        <v>11</v>
      </c>
      <c r="E2496" t="s">
        <v>7171</v>
      </c>
      <c r="F2496" t="s">
        <v>167</v>
      </c>
      <c r="G2496" s="23" t="s">
        <v>41</v>
      </c>
      <c r="H2496" s="23" t="s">
        <v>82</v>
      </c>
      <c r="I2496" t="s">
        <v>664</v>
      </c>
      <c r="J2496" t="s">
        <v>92</v>
      </c>
      <c r="K2496" s="22">
        <v>4</v>
      </c>
      <c r="L2496" s="1">
        <v>43045</v>
      </c>
      <c r="M2496" s="22">
        <f>Table3[[#This Row],[Ship Date]]-Table3[[#This Row],[Order Date]]</f>
        <v>0</v>
      </c>
      <c r="N2496" s="23" t="s">
        <v>1141</v>
      </c>
      <c r="O2496" s="23" t="s">
        <v>23</v>
      </c>
      <c r="P2496" s="23" t="s">
        <v>38</v>
      </c>
      <c r="Q2496" s="23" t="s">
        <v>39</v>
      </c>
      <c r="R2496" s="23" t="s">
        <v>114</v>
      </c>
      <c r="S2496" s="33">
        <v>0</v>
      </c>
      <c r="T2496" s="13">
        <v>45.36</v>
      </c>
      <c r="U2496" s="13">
        <v>22.226400000000002</v>
      </c>
      <c r="V2496" s="55">
        <f>Table3[[#This Row],[Profit]]/Table3[[#This Row],[Sales]]</f>
        <v>0.49000000000000005</v>
      </c>
    </row>
    <row r="2497" spans="1:22" x14ac:dyDescent="0.2">
      <c r="A2497">
        <v>2496</v>
      </c>
      <c r="B2497" t="s">
        <v>7802</v>
      </c>
      <c r="C2497" s="1">
        <v>43045</v>
      </c>
      <c r="D2497" s="22">
        <f>MONTH(Table3[[#This Row],[Order Date]])</f>
        <v>11</v>
      </c>
      <c r="E2497" t="s">
        <v>7175</v>
      </c>
      <c r="F2497" t="s">
        <v>7176</v>
      </c>
      <c r="G2497" s="23" t="s">
        <v>41</v>
      </c>
      <c r="H2497" s="23" t="s">
        <v>82</v>
      </c>
      <c r="I2497" t="s">
        <v>664</v>
      </c>
      <c r="J2497" t="s">
        <v>92</v>
      </c>
      <c r="K2497" s="22">
        <v>5</v>
      </c>
      <c r="L2497" s="1">
        <v>43045</v>
      </c>
      <c r="M2497" s="22">
        <f>Table3[[#This Row],[Ship Date]]-Table3[[#This Row],[Order Date]]</f>
        <v>0</v>
      </c>
      <c r="N2497" s="23" t="s">
        <v>1141</v>
      </c>
      <c r="O2497" s="23" t="s">
        <v>23</v>
      </c>
      <c r="P2497" s="23" t="s">
        <v>38</v>
      </c>
      <c r="Q2497" s="23" t="s">
        <v>39</v>
      </c>
      <c r="R2497" s="23" t="s">
        <v>114</v>
      </c>
      <c r="S2497" s="33">
        <v>0</v>
      </c>
      <c r="T2497" s="13">
        <v>26.4</v>
      </c>
      <c r="U2497" s="13">
        <v>12.672000000000001</v>
      </c>
      <c r="V2497" s="55">
        <f>Table3[[#This Row],[Profit]]/Table3[[#This Row],[Sales]]</f>
        <v>0.48000000000000004</v>
      </c>
    </row>
    <row r="2498" spans="1:22" x14ac:dyDescent="0.2">
      <c r="A2498">
        <v>2497</v>
      </c>
      <c r="B2498" t="s">
        <v>7802</v>
      </c>
      <c r="C2498" s="1">
        <v>43045</v>
      </c>
      <c r="D2498" s="22">
        <f>MONTH(Table3[[#This Row],[Order Date]])</f>
        <v>11</v>
      </c>
      <c r="E2498" t="s">
        <v>6713</v>
      </c>
      <c r="F2498" t="s">
        <v>6714</v>
      </c>
      <c r="G2498" s="23" t="s">
        <v>41</v>
      </c>
      <c r="H2498" s="23" t="s">
        <v>42</v>
      </c>
      <c r="I2498" t="s">
        <v>664</v>
      </c>
      <c r="J2498" t="s">
        <v>92</v>
      </c>
      <c r="K2498" s="22">
        <v>4</v>
      </c>
      <c r="L2498" s="1">
        <v>43045</v>
      </c>
      <c r="M2498" s="22">
        <f>Table3[[#This Row],[Ship Date]]-Table3[[#This Row],[Order Date]]</f>
        <v>0</v>
      </c>
      <c r="N2498" s="23" t="s">
        <v>1141</v>
      </c>
      <c r="O2498" s="23" t="s">
        <v>23</v>
      </c>
      <c r="P2498" s="23" t="s">
        <v>38</v>
      </c>
      <c r="Q2498" s="23" t="s">
        <v>39</v>
      </c>
      <c r="R2498" s="23" t="s">
        <v>114</v>
      </c>
      <c r="S2498" s="33">
        <v>0</v>
      </c>
      <c r="T2498" s="13">
        <v>41.4</v>
      </c>
      <c r="U2498" s="13">
        <v>19.872</v>
      </c>
      <c r="V2498" s="55">
        <f>Table3[[#This Row],[Profit]]/Table3[[#This Row],[Sales]]</f>
        <v>0.48000000000000004</v>
      </c>
    </row>
    <row r="2499" spans="1:22" x14ac:dyDescent="0.2">
      <c r="A2499">
        <v>2498</v>
      </c>
      <c r="B2499" t="s">
        <v>7802</v>
      </c>
      <c r="C2499" s="1">
        <v>43045</v>
      </c>
      <c r="D2499" s="22">
        <f>MONTH(Table3[[#This Row],[Order Date]])</f>
        <v>11</v>
      </c>
      <c r="E2499" t="s">
        <v>2261</v>
      </c>
      <c r="F2499" t="s">
        <v>2262</v>
      </c>
      <c r="G2499" s="23" t="s">
        <v>64</v>
      </c>
      <c r="H2499" s="23" t="s">
        <v>144</v>
      </c>
      <c r="I2499" t="s">
        <v>664</v>
      </c>
      <c r="J2499" t="s">
        <v>92</v>
      </c>
      <c r="K2499" s="22">
        <v>1</v>
      </c>
      <c r="L2499" s="1">
        <v>43045</v>
      </c>
      <c r="M2499" s="22">
        <f>Table3[[#This Row],[Ship Date]]-Table3[[#This Row],[Order Date]]</f>
        <v>0</v>
      </c>
      <c r="N2499" s="23" t="s">
        <v>1141</v>
      </c>
      <c r="O2499" s="23" t="s">
        <v>23</v>
      </c>
      <c r="P2499" s="23" t="s">
        <v>38</v>
      </c>
      <c r="Q2499" s="23" t="s">
        <v>39</v>
      </c>
      <c r="R2499" s="23" t="s">
        <v>114</v>
      </c>
      <c r="S2499" s="33">
        <v>0</v>
      </c>
      <c r="T2499" s="13">
        <v>16.95</v>
      </c>
      <c r="U2499" s="13">
        <v>1.0169999999999999</v>
      </c>
      <c r="V2499" s="55">
        <f>Table3[[#This Row],[Profit]]/Table3[[#This Row],[Sales]]</f>
        <v>0.06</v>
      </c>
    </row>
    <row r="2500" spans="1:22" x14ac:dyDescent="0.2">
      <c r="A2500">
        <v>2499</v>
      </c>
      <c r="B2500" t="s">
        <v>8508</v>
      </c>
      <c r="C2500" s="1">
        <v>43045</v>
      </c>
      <c r="D2500" s="22">
        <f>MONTH(Table3[[#This Row],[Order Date]])</f>
        <v>11</v>
      </c>
      <c r="E2500" t="s">
        <v>7423</v>
      </c>
      <c r="F2500" t="s">
        <v>7424</v>
      </c>
      <c r="G2500" s="23" t="s">
        <v>41</v>
      </c>
      <c r="H2500" s="23" t="s">
        <v>82</v>
      </c>
      <c r="I2500" t="s">
        <v>1939</v>
      </c>
      <c r="J2500" t="s">
        <v>22</v>
      </c>
      <c r="K2500" s="22">
        <v>9</v>
      </c>
      <c r="L2500" s="1">
        <v>43049</v>
      </c>
      <c r="M2500" s="22">
        <f>Table3[[#This Row],[Ship Date]]-Table3[[#This Row],[Order Date]]</f>
        <v>4</v>
      </c>
      <c r="N2500" s="23" t="s">
        <v>45</v>
      </c>
      <c r="O2500" s="23" t="s">
        <v>23</v>
      </c>
      <c r="P2500" s="23" t="s">
        <v>238</v>
      </c>
      <c r="Q2500" s="23" t="s">
        <v>133</v>
      </c>
      <c r="R2500" s="23" t="s">
        <v>237</v>
      </c>
      <c r="S2500" s="33">
        <v>0</v>
      </c>
      <c r="T2500" s="13">
        <v>318.95999999999998</v>
      </c>
      <c r="U2500" s="13">
        <v>149.91120000000001</v>
      </c>
      <c r="V2500" s="55">
        <f>Table3[[#This Row],[Profit]]/Table3[[#This Row],[Sales]]</f>
        <v>0.47000000000000003</v>
      </c>
    </row>
    <row r="2501" spans="1:22" x14ac:dyDescent="0.2">
      <c r="A2501">
        <v>2500</v>
      </c>
      <c r="B2501" t="s">
        <v>9090</v>
      </c>
      <c r="C2501" s="1">
        <v>43045</v>
      </c>
      <c r="D2501" s="22">
        <f>MONTH(Table3[[#This Row],[Order Date]])</f>
        <v>11</v>
      </c>
      <c r="E2501" t="s">
        <v>1083</v>
      </c>
      <c r="F2501" t="s">
        <v>1084</v>
      </c>
      <c r="G2501" s="23" t="s">
        <v>28</v>
      </c>
      <c r="H2501" s="23" t="s">
        <v>50</v>
      </c>
      <c r="I2501" t="s">
        <v>1105</v>
      </c>
      <c r="J2501" t="s">
        <v>92</v>
      </c>
      <c r="K2501" s="22">
        <v>7</v>
      </c>
      <c r="L2501" s="1">
        <v>43052</v>
      </c>
      <c r="M2501" s="22">
        <f>Table3[[#This Row],[Ship Date]]-Table3[[#This Row],[Order Date]]</f>
        <v>7</v>
      </c>
      <c r="N2501" s="23" t="s">
        <v>45</v>
      </c>
      <c r="O2501" s="23" t="s">
        <v>23</v>
      </c>
      <c r="P2501" s="23" t="s">
        <v>87</v>
      </c>
      <c r="Q2501" s="23" t="s">
        <v>39</v>
      </c>
      <c r="R2501" s="23" t="s">
        <v>86</v>
      </c>
      <c r="S2501" s="33">
        <v>0</v>
      </c>
      <c r="T2501" s="13">
        <v>2036.86</v>
      </c>
      <c r="U2501" s="13">
        <v>366.63479999999998</v>
      </c>
      <c r="V2501" s="55">
        <f>Table3[[#This Row],[Profit]]/Table3[[#This Row],[Sales]]</f>
        <v>0.18</v>
      </c>
    </row>
    <row r="2502" spans="1:22" x14ac:dyDescent="0.2">
      <c r="A2502">
        <v>2501</v>
      </c>
      <c r="B2502" t="s">
        <v>9090</v>
      </c>
      <c r="C2502" s="1">
        <v>43045</v>
      </c>
      <c r="D2502" s="22">
        <f>MONTH(Table3[[#This Row],[Order Date]])</f>
        <v>11</v>
      </c>
      <c r="E2502" t="s">
        <v>1056</v>
      </c>
      <c r="F2502" t="s">
        <v>1057</v>
      </c>
      <c r="G2502" s="23" t="s">
        <v>28</v>
      </c>
      <c r="H2502" s="23" t="s">
        <v>32</v>
      </c>
      <c r="I2502" t="s">
        <v>1105</v>
      </c>
      <c r="J2502" t="s">
        <v>92</v>
      </c>
      <c r="K2502" s="22">
        <v>2</v>
      </c>
      <c r="L2502" s="1">
        <v>43052</v>
      </c>
      <c r="M2502" s="22">
        <f>Table3[[#This Row],[Ship Date]]-Table3[[#This Row],[Order Date]]</f>
        <v>7</v>
      </c>
      <c r="N2502" s="23" t="s">
        <v>45</v>
      </c>
      <c r="O2502" s="23" t="s">
        <v>23</v>
      </c>
      <c r="P2502" s="23" t="s">
        <v>87</v>
      </c>
      <c r="Q2502" s="23" t="s">
        <v>39</v>
      </c>
      <c r="R2502" s="23" t="s">
        <v>86</v>
      </c>
      <c r="S2502" s="33">
        <v>0.2</v>
      </c>
      <c r="T2502" s="13">
        <v>449.56799999999998</v>
      </c>
      <c r="U2502" s="13">
        <v>-73.0548</v>
      </c>
      <c r="V2502" s="55">
        <f>Table3[[#This Row],[Profit]]/Table3[[#This Row],[Sales]]</f>
        <v>-0.16250000000000001</v>
      </c>
    </row>
    <row r="2503" spans="1:22" x14ac:dyDescent="0.2">
      <c r="A2503">
        <v>2502</v>
      </c>
      <c r="B2503" t="s">
        <v>9090</v>
      </c>
      <c r="C2503" s="1">
        <v>43045</v>
      </c>
      <c r="D2503" s="22">
        <f>MONTH(Table3[[#This Row],[Order Date]])</f>
        <v>11</v>
      </c>
      <c r="E2503" t="s">
        <v>1640</v>
      </c>
      <c r="F2503" t="s">
        <v>1641</v>
      </c>
      <c r="G2503" s="23" t="s">
        <v>64</v>
      </c>
      <c r="H2503" s="23" t="s">
        <v>144</v>
      </c>
      <c r="I2503" t="s">
        <v>1105</v>
      </c>
      <c r="J2503" t="s">
        <v>92</v>
      </c>
      <c r="K2503" s="22">
        <v>3</v>
      </c>
      <c r="L2503" s="1">
        <v>43052</v>
      </c>
      <c r="M2503" s="22">
        <f>Table3[[#This Row],[Ship Date]]-Table3[[#This Row],[Order Date]]</f>
        <v>7</v>
      </c>
      <c r="N2503" s="23" t="s">
        <v>45</v>
      </c>
      <c r="O2503" s="23" t="s">
        <v>23</v>
      </c>
      <c r="P2503" s="23" t="s">
        <v>87</v>
      </c>
      <c r="Q2503" s="23" t="s">
        <v>39</v>
      </c>
      <c r="R2503" s="23" t="s">
        <v>86</v>
      </c>
      <c r="S2503" s="33">
        <v>0</v>
      </c>
      <c r="T2503" s="13">
        <v>108.96</v>
      </c>
      <c r="U2503" s="13">
        <v>32.688000000000002</v>
      </c>
      <c r="V2503" s="55">
        <f>Table3[[#This Row],[Profit]]/Table3[[#This Row],[Sales]]</f>
        <v>0.30000000000000004</v>
      </c>
    </row>
    <row r="2504" spans="1:22" x14ac:dyDescent="0.2">
      <c r="A2504">
        <v>2503</v>
      </c>
      <c r="B2504" t="s">
        <v>9361</v>
      </c>
      <c r="C2504" s="1">
        <v>43045</v>
      </c>
      <c r="D2504" s="22">
        <f>MONTH(Table3[[#This Row],[Order Date]])</f>
        <v>11</v>
      </c>
      <c r="E2504" t="s">
        <v>2316</v>
      </c>
      <c r="F2504" t="s">
        <v>2317</v>
      </c>
      <c r="G2504" s="23" t="s">
        <v>28</v>
      </c>
      <c r="H2504" s="23" t="s">
        <v>58</v>
      </c>
      <c r="I2504" t="s">
        <v>5876</v>
      </c>
      <c r="J2504" t="s">
        <v>22</v>
      </c>
      <c r="K2504" s="22">
        <v>5</v>
      </c>
      <c r="L2504" s="1">
        <v>43048</v>
      </c>
      <c r="M2504" s="22">
        <f>Table3[[#This Row],[Ship Date]]-Table3[[#This Row],[Order Date]]</f>
        <v>3</v>
      </c>
      <c r="N2504" s="23" t="s">
        <v>20</v>
      </c>
      <c r="O2504" s="23" t="s">
        <v>23</v>
      </c>
      <c r="P2504" s="23" t="s">
        <v>94</v>
      </c>
      <c r="Q2504" s="23" t="s">
        <v>95</v>
      </c>
      <c r="R2504" s="23" t="s">
        <v>718</v>
      </c>
      <c r="S2504" s="33">
        <v>0.6</v>
      </c>
      <c r="T2504" s="13">
        <v>30.56</v>
      </c>
      <c r="U2504" s="13">
        <v>-19.864000000000001</v>
      </c>
      <c r="V2504" s="55">
        <f>Table3[[#This Row],[Profit]]/Table3[[#This Row],[Sales]]</f>
        <v>-0.65</v>
      </c>
    </row>
    <row r="2505" spans="1:22" x14ac:dyDescent="0.2">
      <c r="A2505">
        <v>2504</v>
      </c>
      <c r="B2505" t="s">
        <v>9559</v>
      </c>
      <c r="C2505" s="1">
        <v>43045</v>
      </c>
      <c r="D2505" s="22">
        <f>MONTH(Table3[[#This Row],[Order Date]])</f>
        <v>11</v>
      </c>
      <c r="E2505" t="s">
        <v>2563</v>
      </c>
      <c r="F2505" t="s">
        <v>2564</v>
      </c>
      <c r="G2505" s="23" t="s">
        <v>41</v>
      </c>
      <c r="H2505" s="23" t="s">
        <v>68</v>
      </c>
      <c r="I2505" t="s">
        <v>5384</v>
      </c>
      <c r="J2505" t="s">
        <v>22</v>
      </c>
      <c r="K2505" s="22">
        <v>2</v>
      </c>
      <c r="L2505" s="1">
        <v>43051</v>
      </c>
      <c r="M2505" s="22">
        <f>Table3[[#This Row],[Ship Date]]-Table3[[#This Row],[Order Date]]</f>
        <v>6</v>
      </c>
      <c r="N2505" s="23" t="s">
        <v>45</v>
      </c>
      <c r="O2505" s="23" t="s">
        <v>23</v>
      </c>
      <c r="P2505" s="23" t="s">
        <v>94</v>
      </c>
      <c r="Q2505" s="23" t="s">
        <v>95</v>
      </c>
      <c r="R2505" s="23" t="s">
        <v>165</v>
      </c>
      <c r="S2505" s="33">
        <v>0.8</v>
      </c>
      <c r="T2505" s="13">
        <v>1.248</v>
      </c>
      <c r="U2505" s="13">
        <v>-1.9343999999999999</v>
      </c>
      <c r="V2505" s="55">
        <f>Table3[[#This Row],[Profit]]/Table3[[#This Row],[Sales]]</f>
        <v>-1.5499999999999998</v>
      </c>
    </row>
    <row r="2506" spans="1:22" x14ac:dyDescent="0.2">
      <c r="A2506">
        <v>2505</v>
      </c>
      <c r="B2506" t="s">
        <v>9864</v>
      </c>
      <c r="C2506" s="1">
        <v>43045</v>
      </c>
      <c r="D2506" s="22">
        <f>MONTH(Table3[[#This Row],[Order Date]])</f>
        <v>11</v>
      </c>
      <c r="E2506" t="s">
        <v>312</v>
      </c>
      <c r="F2506" t="s">
        <v>313</v>
      </c>
      <c r="G2506" s="23" t="s">
        <v>41</v>
      </c>
      <c r="H2506" s="23" t="s">
        <v>53</v>
      </c>
      <c r="I2506" t="s">
        <v>5414</v>
      </c>
      <c r="J2506" t="s">
        <v>22</v>
      </c>
      <c r="K2506" s="22">
        <v>2</v>
      </c>
      <c r="L2506" s="1">
        <v>43051</v>
      </c>
      <c r="M2506" s="22">
        <f>Table3[[#This Row],[Ship Date]]-Table3[[#This Row],[Order Date]]</f>
        <v>6</v>
      </c>
      <c r="N2506" s="23" t="s">
        <v>45</v>
      </c>
      <c r="O2506" s="23" t="s">
        <v>23</v>
      </c>
      <c r="P2506" s="23" t="s">
        <v>94</v>
      </c>
      <c r="Q2506" s="23" t="s">
        <v>95</v>
      </c>
      <c r="R2506" s="23" t="s">
        <v>718</v>
      </c>
      <c r="S2506" s="33">
        <v>0.2</v>
      </c>
      <c r="T2506" s="13">
        <v>18.16</v>
      </c>
      <c r="U2506" s="13">
        <v>1.8160000000000001</v>
      </c>
      <c r="V2506" s="55">
        <f>Table3[[#This Row],[Profit]]/Table3[[#This Row],[Sales]]</f>
        <v>0.1</v>
      </c>
    </row>
    <row r="2507" spans="1:22" x14ac:dyDescent="0.2">
      <c r="A2507">
        <v>2506</v>
      </c>
      <c r="B2507" t="s">
        <v>4398</v>
      </c>
      <c r="C2507" s="1">
        <v>43046</v>
      </c>
      <c r="D2507" s="22">
        <f>MONTH(Table3[[#This Row],[Order Date]])</f>
        <v>11</v>
      </c>
      <c r="E2507" t="s">
        <v>4399</v>
      </c>
      <c r="F2507" t="s">
        <v>4400</v>
      </c>
      <c r="G2507" s="23" t="s">
        <v>64</v>
      </c>
      <c r="H2507" s="23" t="s">
        <v>144</v>
      </c>
      <c r="I2507" t="s">
        <v>3617</v>
      </c>
      <c r="J2507" t="s">
        <v>92</v>
      </c>
      <c r="K2507" s="22">
        <v>3</v>
      </c>
      <c r="L2507" s="1">
        <v>43051</v>
      </c>
      <c r="M2507" s="22">
        <f>Table3[[#This Row],[Ship Date]]-Table3[[#This Row],[Order Date]]</f>
        <v>5</v>
      </c>
      <c r="N2507" s="23" t="s">
        <v>20</v>
      </c>
      <c r="O2507" s="23" t="s">
        <v>23</v>
      </c>
      <c r="P2507" s="23" t="s">
        <v>38</v>
      </c>
      <c r="Q2507" s="23" t="s">
        <v>39</v>
      </c>
      <c r="R2507" s="23" t="s">
        <v>873</v>
      </c>
      <c r="S2507" s="33">
        <v>0</v>
      </c>
      <c r="T2507" s="13">
        <v>59.97</v>
      </c>
      <c r="U2507" s="13">
        <v>13.793100000000001</v>
      </c>
      <c r="V2507" s="55">
        <f>Table3[[#This Row],[Profit]]/Table3[[#This Row],[Sales]]</f>
        <v>0.23</v>
      </c>
    </row>
    <row r="2508" spans="1:22" x14ac:dyDescent="0.2">
      <c r="A2508">
        <v>2507</v>
      </c>
      <c r="B2508" t="s">
        <v>4398</v>
      </c>
      <c r="C2508" s="1">
        <v>43046</v>
      </c>
      <c r="D2508" s="22">
        <f>MONTH(Table3[[#This Row],[Order Date]])</f>
        <v>11</v>
      </c>
      <c r="E2508" t="s">
        <v>4401</v>
      </c>
      <c r="F2508" t="s">
        <v>4402</v>
      </c>
      <c r="G2508" s="23" t="s">
        <v>64</v>
      </c>
      <c r="H2508" s="23" t="s">
        <v>65</v>
      </c>
      <c r="I2508" t="s">
        <v>3617</v>
      </c>
      <c r="J2508" t="s">
        <v>92</v>
      </c>
      <c r="K2508" s="22">
        <v>7</v>
      </c>
      <c r="L2508" s="1">
        <v>43051</v>
      </c>
      <c r="M2508" s="22">
        <f>Table3[[#This Row],[Ship Date]]-Table3[[#This Row],[Order Date]]</f>
        <v>5</v>
      </c>
      <c r="N2508" s="23" t="s">
        <v>20</v>
      </c>
      <c r="O2508" s="23" t="s">
        <v>23</v>
      </c>
      <c r="P2508" s="23" t="s">
        <v>38</v>
      </c>
      <c r="Q2508" s="23" t="s">
        <v>39</v>
      </c>
      <c r="R2508" s="23" t="s">
        <v>873</v>
      </c>
      <c r="S2508" s="33">
        <v>0.2</v>
      </c>
      <c r="T2508" s="13">
        <v>761.54399999999998</v>
      </c>
      <c r="U2508" s="13">
        <v>66.635099999999994</v>
      </c>
      <c r="V2508" s="55">
        <f>Table3[[#This Row],[Profit]]/Table3[[#This Row],[Sales]]</f>
        <v>8.7499999999999994E-2</v>
      </c>
    </row>
    <row r="2509" spans="1:22" x14ac:dyDescent="0.2">
      <c r="A2509">
        <v>2508</v>
      </c>
      <c r="B2509" t="s">
        <v>5235</v>
      </c>
      <c r="C2509" s="1">
        <v>43046</v>
      </c>
      <c r="D2509" s="22">
        <f>MONTH(Table3[[#This Row],[Order Date]])</f>
        <v>11</v>
      </c>
      <c r="E2509" t="s">
        <v>4296</v>
      </c>
      <c r="F2509" t="s">
        <v>4297</v>
      </c>
      <c r="G2509" s="23" t="s">
        <v>64</v>
      </c>
      <c r="H2509" s="23" t="s">
        <v>65</v>
      </c>
      <c r="I2509" t="s">
        <v>1617</v>
      </c>
      <c r="J2509" t="s">
        <v>22</v>
      </c>
      <c r="K2509" s="22">
        <v>5</v>
      </c>
      <c r="L2509" s="1">
        <v>43052</v>
      </c>
      <c r="M2509" s="22">
        <f>Table3[[#This Row],[Ship Date]]-Table3[[#This Row],[Order Date]]</f>
        <v>6</v>
      </c>
      <c r="N2509" s="23" t="s">
        <v>45</v>
      </c>
      <c r="O2509" s="23" t="s">
        <v>23</v>
      </c>
      <c r="P2509" s="23" t="s">
        <v>132</v>
      </c>
      <c r="Q2509" s="23" t="s">
        <v>133</v>
      </c>
      <c r="R2509" s="23" t="s">
        <v>131</v>
      </c>
      <c r="S2509" s="33">
        <v>0.4</v>
      </c>
      <c r="T2509" s="13">
        <v>359.97</v>
      </c>
      <c r="U2509" s="13">
        <v>-71.994</v>
      </c>
      <c r="V2509" s="55">
        <f>Table3[[#This Row],[Profit]]/Table3[[#This Row],[Sales]]</f>
        <v>-0.19999999999999998</v>
      </c>
    </row>
    <row r="2510" spans="1:22" x14ac:dyDescent="0.2">
      <c r="A2510">
        <v>2509</v>
      </c>
      <c r="B2510" t="s">
        <v>5235</v>
      </c>
      <c r="C2510" s="1">
        <v>43046</v>
      </c>
      <c r="D2510" s="22">
        <f>MONTH(Table3[[#This Row],[Order Date]])</f>
        <v>11</v>
      </c>
      <c r="E2510" t="s">
        <v>4891</v>
      </c>
      <c r="F2510" t="s">
        <v>4892</v>
      </c>
      <c r="G2510" s="23" t="s">
        <v>28</v>
      </c>
      <c r="H2510" s="23" t="s">
        <v>50</v>
      </c>
      <c r="I2510" t="s">
        <v>1617</v>
      </c>
      <c r="J2510" t="s">
        <v>22</v>
      </c>
      <c r="K2510" s="22">
        <v>4</v>
      </c>
      <c r="L2510" s="1">
        <v>43052</v>
      </c>
      <c r="M2510" s="22">
        <f>Table3[[#This Row],[Ship Date]]-Table3[[#This Row],[Order Date]]</f>
        <v>6</v>
      </c>
      <c r="N2510" s="23" t="s">
        <v>45</v>
      </c>
      <c r="O2510" s="23" t="s">
        <v>23</v>
      </c>
      <c r="P2510" s="23" t="s">
        <v>132</v>
      </c>
      <c r="Q2510" s="23" t="s">
        <v>133</v>
      </c>
      <c r="R2510" s="23" t="s">
        <v>131</v>
      </c>
      <c r="S2510" s="33">
        <v>0.4</v>
      </c>
      <c r="T2510" s="13">
        <v>350.35199999999998</v>
      </c>
      <c r="U2510" s="13">
        <v>-140.14080000000001</v>
      </c>
      <c r="V2510" s="55">
        <f>Table3[[#This Row],[Profit]]/Table3[[#This Row],[Sales]]</f>
        <v>-0.40000000000000008</v>
      </c>
    </row>
    <row r="2511" spans="1:22" x14ac:dyDescent="0.2">
      <c r="A2511">
        <v>2510</v>
      </c>
      <c r="B2511" t="s">
        <v>6032</v>
      </c>
      <c r="C2511" s="1">
        <v>43046</v>
      </c>
      <c r="D2511" s="22">
        <f>MONTH(Table3[[#This Row],[Order Date]])</f>
        <v>11</v>
      </c>
      <c r="E2511" t="s">
        <v>4629</v>
      </c>
      <c r="F2511" t="s">
        <v>4630</v>
      </c>
      <c r="G2511" s="23" t="s">
        <v>41</v>
      </c>
      <c r="H2511" s="23" t="s">
        <v>68</v>
      </c>
      <c r="I2511" t="s">
        <v>5837</v>
      </c>
      <c r="J2511" t="s">
        <v>22</v>
      </c>
      <c r="K2511" s="22">
        <v>4</v>
      </c>
      <c r="L2511" s="1">
        <v>43051</v>
      </c>
      <c r="M2511" s="22">
        <f>Table3[[#This Row],[Ship Date]]-Table3[[#This Row],[Order Date]]</f>
        <v>5</v>
      </c>
      <c r="N2511" s="23" t="s">
        <v>45</v>
      </c>
      <c r="O2511" s="23" t="s">
        <v>23</v>
      </c>
      <c r="P2511" s="23" t="s">
        <v>38</v>
      </c>
      <c r="Q2511" s="23" t="s">
        <v>39</v>
      </c>
      <c r="R2511" s="23" t="s">
        <v>114</v>
      </c>
      <c r="S2511" s="33">
        <v>0.2</v>
      </c>
      <c r="T2511" s="13">
        <v>21.792000000000002</v>
      </c>
      <c r="U2511" s="13">
        <v>7.6272000000000002</v>
      </c>
      <c r="V2511" s="55">
        <f>Table3[[#This Row],[Profit]]/Table3[[#This Row],[Sales]]</f>
        <v>0.35</v>
      </c>
    </row>
    <row r="2512" spans="1:22" x14ac:dyDescent="0.2">
      <c r="A2512">
        <v>2511</v>
      </c>
      <c r="B2512" t="s">
        <v>6032</v>
      </c>
      <c r="C2512" s="1">
        <v>43046</v>
      </c>
      <c r="D2512" s="22">
        <f>MONTH(Table3[[#This Row],[Order Date]])</f>
        <v>11</v>
      </c>
      <c r="E2512" t="s">
        <v>3418</v>
      </c>
      <c r="F2512" t="s">
        <v>3419</v>
      </c>
      <c r="G2512" s="23" t="s">
        <v>64</v>
      </c>
      <c r="H2512" s="23" t="s">
        <v>144</v>
      </c>
      <c r="I2512" t="s">
        <v>5837</v>
      </c>
      <c r="J2512" t="s">
        <v>22</v>
      </c>
      <c r="K2512" s="22">
        <v>4</v>
      </c>
      <c r="L2512" s="1">
        <v>43051</v>
      </c>
      <c r="M2512" s="22">
        <f>Table3[[#This Row],[Ship Date]]-Table3[[#This Row],[Order Date]]</f>
        <v>5</v>
      </c>
      <c r="N2512" s="23" t="s">
        <v>45</v>
      </c>
      <c r="O2512" s="23" t="s">
        <v>23</v>
      </c>
      <c r="P2512" s="23" t="s">
        <v>38</v>
      </c>
      <c r="Q2512" s="23" t="s">
        <v>39</v>
      </c>
      <c r="R2512" s="23" t="s">
        <v>114</v>
      </c>
      <c r="S2512" s="33">
        <v>0</v>
      </c>
      <c r="T2512" s="13">
        <v>439.8</v>
      </c>
      <c r="U2512" s="13">
        <v>145.13399999999999</v>
      </c>
      <c r="V2512" s="55">
        <f>Table3[[#This Row],[Profit]]/Table3[[#This Row],[Sales]]</f>
        <v>0.32999999999999996</v>
      </c>
    </row>
    <row r="2513" spans="1:22" x14ac:dyDescent="0.2">
      <c r="A2513">
        <v>2512</v>
      </c>
      <c r="B2513" t="s">
        <v>7022</v>
      </c>
      <c r="C2513" s="1">
        <v>43046</v>
      </c>
      <c r="D2513" s="22">
        <f>MONTH(Table3[[#This Row],[Order Date]])</f>
        <v>11</v>
      </c>
      <c r="E2513" t="s">
        <v>1177</v>
      </c>
      <c r="F2513" t="s">
        <v>1178</v>
      </c>
      <c r="G2513" s="23" t="s">
        <v>41</v>
      </c>
      <c r="H2513" s="23" t="s">
        <v>71</v>
      </c>
      <c r="I2513" t="s">
        <v>101</v>
      </c>
      <c r="J2513" t="s">
        <v>22</v>
      </c>
      <c r="K2513" s="22">
        <v>7</v>
      </c>
      <c r="L2513" s="1">
        <v>43050</v>
      </c>
      <c r="M2513" s="22">
        <f>Table3[[#This Row],[Ship Date]]-Table3[[#This Row],[Order Date]]</f>
        <v>4</v>
      </c>
      <c r="N2513" s="23" t="s">
        <v>45</v>
      </c>
      <c r="O2513" s="23" t="s">
        <v>23</v>
      </c>
      <c r="P2513" s="23" t="s">
        <v>218</v>
      </c>
      <c r="Q2513" s="23" t="s">
        <v>133</v>
      </c>
      <c r="R2513" s="23" t="s">
        <v>536</v>
      </c>
      <c r="S2513" s="33">
        <v>0</v>
      </c>
      <c r="T2513" s="13">
        <v>100.94</v>
      </c>
      <c r="U2513" s="13">
        <v>33.310200000000002</v>
      </c>
      <c r="V2513" s="55">
        <f>Table3[[#This Row],[Profit]]/Table3[[#This Row],[Sales]]</f>
        <v>0.33</v>
      </c>
    </row>
    <row r="2514" spans="1:22" x14ac:dyDescent="0.2">
      <c r="A2514">
        <v>2513</v>
      </c>
      <c r="B2514" t="s">
        <v>9177</v>
      </c>
      <c r="C2514" s="1">
        <v>43046</v>
      </c>
      <c r="D2514" s="22">
        <f>MONTH(Table3[[#This Row],[Order Date]])</f>
        <v>11</v>
      </c>
      <c r="E2514" t="s">
        <v>9178</v>
      </c>
      <c r="F2514" t="s">
        <v>9179</v>
      </c>
      <c r="G2514" s="23" t="s">
        <v>64</v>
      </c>
      <c r="H2514" s="23" t="s">
        <v>144</v>
      </c>
      <c r="I2514" t="s">
        <v>1696</v>
      </c>
      <c r="J2514" t="s">
        <v>22</v>
      </c>
      <c r="K2514" s="22">
        <v>4</v>
      </c>
      <c r="L2514" s="1">
        <v>43050</v>
      </c>
      <c r="M2514" s="22">
        <f>Table3[[#This Row],[Ship Date]]-Table3[[#This Row],[Order Date]]</f>
        <v>4</v>
      </c>
      <c r="N2514" s="23" t="s">
        <v>45</v>
      </c>
      <c r="O2514" s="23" t="s">
        <v>23</v>
      </c>
      <c r="P2514" s="23" t="s">
        <v>238</v>
      </c>
      <c r="Q2514" s="23" t="s">
        <v>133</v>
      </c>
      <c r="R2514" s="23" t="s">
        <v>237</v>
      </c>
      <c r="S2514" s="33">
        <v>0</v>
      </c>
      <c r="T2514" s="13">
        <v>7.88</v>
      </c>
      <c r="U2514" s="13">
        <v>2.5215999999999998</v>
      </c>
      <c r="V2514" s="55">
        <f>Table3[[#This Row],[Profit]]/Table3[[#This Row],[Sales]]</f>
        <v>0.32</v>
      </c>
    </row>
    <row r="2515" spans="1:22" x14ac:dyDescent="0.2">
      <c r="A2515">
        <v>2514</v>
      </c>
      <c r="B2515" t="s">
        <v>9788</v>
      </c>
      <c r="C2515" s="1">
        <v>43046</v>
      </c>
      <c r="D2515" s="22">
        <f>MONTH(Table3[[#This Row],[Order Date]])</f>
        <v>11</v>
      </c>
      <c r="E2515" t="s">
        <v>5463</v>
      </c>
      <c r="F2515" t="s">
        <v>5464</v>
      </c>
      <c r="G2515" s="23" t="s">
        <v>28</v>
      </c>
      <c r="H2515" s="23" t="s">
        <v>32</v>
      </c>
      <c r="I2515" t="s">
        <v>3488</v>
      </c>
      <c r="J2515" t="s">
        <v>36</v>
      </c>
      <c r="K2515" s="22">
        <v>3</v>
      </c>
      <c r="L2515" s="1">
        <v>43048</v>
      </c>
      <c r="M2515" s="22">
        <f>Table3[[#This Row],[Ship Date]]-Table3[[#This Row],[Order Date]]</f>
        <v>2</v>
      </c>
      <c r="N2515" s="23" t="s">
        <v>20</v>
      </c>
      <c r="O2515" s="23" t="s">
        <v>23</v>
      </c>
      <c r="P2515" s="23" t="s">
        <v>2408</v>
      </c>
      <c r="Q2515" s="23" t="s">
        <v>133</v>
      </c>
      <c r="R2515" s="23" t="s">
        <v>2828</v>
      </c>
      <c r="S2515" s="33">
        <v>0</v>
      </c>
      <c r="T2515" s="13">
        <v>272.97000000000003</v>
      </c>
      <c r="U2515" s="13">
        <v>43.675199999999997</v>
      </c>
      <c r="V2515" s="55">
        <f>Table3[[#This Row],[Profit]]/Table3[[#This Row],[Sales]]</f>
        <v>0.15999999999999998</v>
      </c>
    </row>
    <row r="2516" spans="1:22" x14ac:dyDescent="0.2">
      <c r="A2516">
        <v>2515</v>
      </c>
      <c r="B2516" t="s">
        <v>9873</v>
      </c>
      <c r="C2516" s="1">
        <v>43046</v>
      </c>
      <c r="D2516" s="22">
        <f>MONTH(Table3[[#This Row],[Order Date]])</f>
        <v>11</v>
      </c>
      <c r="E2516" t="s">
        <v>98</v>
      </c>
      <c r="F2516" t="s">
        <v>99</v>
      </c>
      <c r="G2516" s="23" t="s">
        <v>41</v>
      </c>
      <c r="H2516" s="23" t="s">
        <v>68</v>
      </c>
      <c r="I2516" t="s">
        <v>5639</v>
      </c>
      <c r="J2516" t="s">
        <v>22</v>
      </c>
      <c r="K2516" s="22">
        <v>9</v>
      </c>
      <c r="L2516" s="1">
        <v>43046</v>
      </c>
      <c r="M2516" s="22">
        <f>Table3[[#This Row],[Ship Date]]-Table3[[#This Row],[Order Date]]</f>
        <v>0</v>
      </c>
      <c r="N2516" s="23" t="s">
        <v>1141</v>
      </c>
      <c r="O2516" s="23" t="s">
        <v>23</v>
      </c>
      <c r="P2516" s="23" t="s">
        <v>573</v>
      </c>
      <c r="Q2516" s="23" t="s">
        <v>95</v>
      </c>
      <c r="R2516" s="23" t="s">
        <v>4295</v>
      </c>
      <c r="S2516" s="33">
        <v>0</v>
      </c>
      <c r="T2516" s="13">
        <v>38.159999999999997</v>
      </c>
      <c r="U2516" s="13">
        <v>19.079999999999998</v>
      </c>
      <c r="V2516" s="55">
        <f>Table3[[#This Row],[Profit]]/Table3[[#This Row],[Sales]]</f>
        <v>0.5</v>
      </c>
    </row>
    <row r="2517" spans="1:22" x14ac:dyDescent="0.2">
      <c r="A2517">
        <v>2516</v>
      </c>
      <c r="B2517" t="s">
        <v>9045</v>
      </c>
      <c r="C2517" s="1">
        <v>43047</v>
      </c>
      <c r="D2517" s="22">
        <f>MONTH(Table3[[#This Row],[Order Date]])</f>
        <v>11</v>
      </c>
      <c r="E2517" t="s">
        <v>3240</v>
      </c>
      <c r="F2517" t="s">
        <v>3241</v>
      </c>
      <c r="G2517" s="23" t="s">
        <v>41</v>
      </c>
      <c r="H2517" s="23" t="s">
        <v>61</v>
      </c>
      <c r="I2517" t="s">
        <v>5541</v>
      </c>
      <c r="J2517" t="s">
        <v>92</v>
      </c>
      <c r="K2517" s="22">
        <v>5</v>
      </c>
      <c r="L2517" s="1">
        <v>43052</v>
      </c>
      <c r="M2517" s="22">
        <f>Table3[[#This Row],[Ship Date]]-Table3[[#This Row],[Order Date]]</f>
        <v>5</v>
      </c>
      <c r="N2517" s="23" t="s">
        <v>20</v>
      </c>
      <c r="O2517" s="23" t="s">
        <v>23</v>
      </c>
      <c r="P2517" s="23" t="s">
        <v>238</v>
      </c>
      <c r="Q2517" s="23" t="s">
        <v>133</v>
      </c>
      <c r="R2517" s="23" t="s">
        <v>237</v>
      </c>
      <c r="S2517" s="33">
        <v>0</v>
      </c>
      <c r="T2517" s="13">
        <v>109.9</v>
      </c>
      <c r="U2517" s="13">
        <v>32.97</v>
      </c>
      <c r="V2517" s="55">
        <f>Table3[[#This Row],[Profit]]/Table3[[#This Row],[Sales]]</f>
        <v>0.3</v>
      </c>
    </row>
    <row r="2518" spans="1:22" x14ac:dyDescent="0.2">
      <c r="A2518">
        <v>2517</v>
      </c>
      <c r="B2518" t="s">
        <v>9245</v>
      </c>
      <c r="C2518" s="1">
        <v>43047</v>
      </c>
      <c r="D2518" s="22">
        <f>MONTH(Table3[[#This Row],[Order Date]])</f>
        <v>11</v>
      </c>
      <c r="E2518" t="s">
        <v>3098</v>
      </c>
      <c r="F2518" t="s">
        <v>3099</v>
      </c>
      <c r="G2518" s="23" t="s">
        <v>28</v>
      </c>
      <c r="H2518" s="23" t="s">
        <v>58</v>
      </c>
      <c r="I2518" t="s">
        <v>5086</v>
      </c>
      <c r="J2518" t="s">
        <v>36</v>
      </c>
      <c r="K2518" s="22">
        <v>10</v>
      </c>
      <c r="L2518" s="1">
        <v>43052</v>
      </c>
      <c r="M2518" s="22">
        <f>Table3[[#This Row],[Ship Date]]-Table3[[#This Row],[Order Date]]</f>
        <v>5</v>
      </c>
      <c r="N2518" s="23" t="s">
        <v>45</v>
      </c>
      <c r="O2518" s="23" t="s">
        <v>23</v>
      </c>
      <c r="P2518" s="23" t="s">
        <v>2408</v>
      </c>
      <c r="Q2518" s="23" t="s">
        <v>133</v>
      </c>
      <c r="R2518" s="23" t="s">
        <v>3967</v>
      </c>
      <c r="S2518" s="33">
        <v>0</v>
      </c>
      <c r="T2518" s="13">
        <v>274.2</v>
      </c>
      <c r="U2518" s="13">
        <v>112.422</v>
      </c>
      <c r="V2518" s="55">
        <f>Table3[[#This Row],[Profit]]/Table3[[#This Row],[Sales]]</f>
        <v>0.41000000000000003</v>
      </c>
    </row>
    <row r="2519" spans="1:22" x14ac:dyDescent="0.2">
      <c r="A2519">
        <v>2518</v>
      </c>
      <c r="B2519" t="s">
        <v>377</v>
      </c>
      <c r="C2519" s="1">
        <v>43048</v>
      </c>
      <c r="D2519" s="22">
        <f>MONTH(Table3[[#This Row],[Order Date]])</f>
        <v>11</v>
      </c>
      <c r="E2519" t="s">
        <v>379</v>
      </c>
      <c r="F2519" t="s">
        <v>380</v>
      </c>
      <c r="G2519" s="23" t="s">
        <v>28</v>
      </c>
      <c r="H2519" s="23" t="s">
        <v>58</v>
      </c>
      <c r="I2519" t="s">
        <v>378</v>
      </c>
      <c r="J2519" t="s">
        <v>92</v>
      </c>
      <c r="K2519" s="22">
        <v>7</v>
      </c>
      <c r="L2519" s="1">
        <v>43050</v>
      </c>
      <c r="M2519" s="22">
        <f>Table3[[#This Row],[Ship Date]]-Table3[[#This Row],[Order Date]]</f>
        <v>2</v>
      </c>
      <c r="N2519" s="23" t="s">
        <v>20</v>
      </c>
      <c r="O2519" s="23" t="s">
        <v>23</v>
      </c>
      <c r="P2519" s="23" t="s">
        <v>238</v>
      </c>
      <c r="Q2519" s="23" t="s">
        <v>133</v>
      </c>
      <c r="R2519" s="23" t="s">
        <v>237</v>
      </c>
      <c r="S2519" s="33">
        <v>0</v>
      </c>
      <c r="T2519" s="13">
        <v>96.53</v>
      </c>
      <c r="U2519" s="13">
        <v>40.5426</v>
      </c>
      <c r="V2519" s="55">
        <f>Table3[[#This Row],[Profit]]/Table3[[#This Row],[Sales]]</f>
        <v>0.42</v>
      </c>
    </row>
    <row r="2520" spans="1:22" x14ac:dyDescent="0.2">
      <c r="A2520">
        <v>2519</v>
      </c>
      <c r="B2520" t="s">
        <v>4461</v>
      </c>
      <c r="C2520" s="1">
        <v>43048</v>
      </c>
      <c r="D2520" s="22">
        <f>MONTH(Table3[[#This Row],[Order Date]])</f>
        <v>11</v>
      </c>
      <c r="E2520" t="s">
        <v>233</v>
      </c>
      <c r="F2520" t="s">
        <v>234</v>
      </c>
      <c r="G2520" s="23" t="s">
        <v>28</v>
      </c>
      <c r="H2520" s="23" t="s">
        <v>32</v>
      </c>
      <c r="I2520" t="s">
        <v>623</v>
      </c>
      <c r="J2520" t="s">
        <v>36</v>
      </c>
      <c r="K2520" s="22">
        <v>3</v>
      </c>
      <c r="L2520" s="1">
        <v>43050</v>
      </c>
      <c r="M2520" s="22">
        <f>Table3[[#This Row],[Ship Date]]-Table3[[#This Row],[Order Date]]</f>
        <v>2</v>
      </c>
      <c r="N2520" s="23" t="s">
        <v>169</v>
      </c>
      <c r="O2520" s="23" t="s">
        <v>23</v>
      </c>
      <c r="P2520" s="23" t="s">
        <v>38</v>
      </c>
      <c r="Q2520" s="23" t="s">
        <v>39</v>
      </c>
      <c r="R2520" s="23" t="s">
        <v>4462</v>
      </c>
      <c r="S2520" s="33">
        <v>0.2</v>
      </c>
      <c r="T2520" s="13">
        <v>215.976</v>
      </c>
      <c r="U2520" s="13">
        <v>-2.6997</v>
      </c>
      <c r="V2520" s="55">
        <f>Table3[[#This Row],[Profit]]/Table3[[#This Row],[Sales]]</f>
        <v>-1.2500000000000001E-2</v>
      </c>
    </row>
    <row r="2521" spans="1:22" x14ac:dyDescent="0.2">
      <c r="A2521">
        <v>2520</v>
      </c>
      <c r="B2521" t="s">
        <v>4863</v>
      </c>
      <c r="C2521" s="1">
        <v>43048</v>
      </c>
      <c r="D2521" s="22">
        <f>MONTH(Table3[[#This Row],[Order Date]])</f>
        <v>11</v>
      </c>
      <c r="E2521" t="s">
        <v>3339</v>
      </c>
      <c r="F2521" t="s">
        <v>3340</v>
      </c>
      <c r="G2521" s="23" t="s">
        <v>41</v>
      </c>
      <c r="H2521" s="23" t="s">
        <v>53</v>
      </c>
      <c r="I2521" t="s">
        <v>4365</v>
      </c>
      <c r="J2521" t="s">
        <v>36</v>
      </c>
      <c r="K2521" s="22">
        <v>2</v>
      </c>
      <c r="L2521" s="1">
        <v>43053</v>
      </c>
      <c r="M2521" s="22">
        <f>Table3[[#This Row],[Ship Date]]-Table3[[#This Row],[Order Date]]</f>
        <v>5</v>
      </c>
      <c r="N2521" s="23" t="s">
        <v>45</v>
      </c>
      <c r="O2521" s="23" t="s">
        <v>23</v>
      </c>
      <c r="P2521" s="23" t="s">
        <v>38</v>
      </c>
      <c r="Q2521" s="23" t="s">
        <v>39</v>
      </c>
      <c r="R2521" s="23" t="s">
        <v>4864</v>
      </c>
      <c r="S2521" s="33">
        <v>0</v>
      </c>
      <c r="T2521" s="13">
        <v>63.56</v>
      </c>
      <c r="U2521" s="13">
        <v>3.1779999999999999</v>
      </c>
      <c r="V2521" s="55">
        <f>Table3[[#This Row],[Profit]]/Table3[[#This Row],[Sales]]</f>
        <v>4.9999999999999996E-2</v>
      </c>
    </row>
    <row r="2522" spans="1:22" x14ac:dyDescent="0.2">
      <c r="A2522">
        <v>2521</v>
      </c>
      <c r="B2522" t="s">
        <v>4863</v>
      </c>
      <c r="C2522" s="1">
        <v>43048</v>
      </c>
      <c r="D2522" s="22">
        <f>MONTH(Table3[[#This Row],[Order Date]])</f>
        <v>11</v>
      </c>
      <c r="E2522" t="s">
        <v>4865</v>
      </c>
      <c r="F2522" t="s">
        <v>4866</v>
      </c>
      <c r="G2522" s="23" t="s">
        <v>64</v>
      </c>
      <c r="H2522" s="23" t="s">
        <v>144</v>
      </c>
      <c r="I2522" t="s">
        <v>4365</v>
      </c>
      <c r="J2522" t="s">
        <v>36</v>
      </c>
      <c r="K2522" s="22">
        <v>1</v>
      </c>
      <c r="L2522" s="1">
        <v>43053</v>
      </c>
      <c r="M2522" s="22">
        <f>Table3[[#This Row],[Ship Date]]-Table3[[#This Row],[Order Date]]</f>
        <v>5</v>
      </c>
      <c r="N2522" s="23" t="s">
        <v>45</v>
      </c>
      <c r="O2522" s="23" t="s">
        <v>23</v>
      </c>
      <c r="P2522" s="23" t="s">
        <v>38</v>
      </c>
      <c r="Q2522" s="23" t="s">
        <v>39</v>
      </c>
      <c r="R2522" s="23" t="s">
        <v>4864</v>
      </c>
      <c r="S2522" s="33">
        <v>0</v>
      </c>
      <c r="T2522" s="13">
        <v>99.99</v>
      </c>
      <c r="U2522" s="13">
        <v>43.995600000000003</v>
      </c>
      <c r="V2522" s="55">
        <f>Table3[[#This Row],[Profit]]/Table3[[#This Row],[Sales]]</f>
        <v>0.44000000000000006</v>
      </c>
    </row>
    <row r="2523" spans="1:22" x14ac:dyDescent="0.2">
      <c r="A2523">
        <v>2522</v>
      </c>
      <c r="B2523" t="s">
        <v>5708</v>
      </c>
      <c r="C2523" s="1">
        <v>43048</v>
      </c>
      <c r="D2523" s="22">
        <f>MONTH(Table3[[#This Row],[Order Date]])</f>
        <v>11</v>
      </c>
      <c r="E2523" t="s">
        <v>1857</v>
      </c>
      <c r="F2523" t="s">
        <v>1858</v>
      </c>
      <c r="G2523" s="23" t="s">
        <v>41</v>
      </c>
      <c r="H2523" s="23" t="s">
        <v>68</v>
      </c>
      <c r="I2523" t="s">
        <v>2296</v>
      </c>
      <c r="J2523" t="s">
        <v>36</v>
      </c>
      <c r="K2523" s="22">
        <v>2</v>
      </c>
      <c r="L2523" s="1">
        <v>43051</v>
      </c>
      <c r="M2523" s="22">
        <f>Table3[[#This Row],[Ship Date]]-Table3[[#This Row],[Order Date]]</f>
        <v>3</v>
      </c>
      <c r="N2523" s="23" t="s">
        <v>20</v>
      </c>
      <c r="O2523" s="23" t="s">
        <v>23</v>
      </c>
      <c r="P2523" s="23" t="s">
        <v>2408</v>
      </c>
      <c r="Q2523" s="23" t="s">
        <v>133</v>
      </c>
      <c r="R2523" s="23" t="s">
        <v>341</v>
      </c>
      <c r="S2523" s="33">
        <v>0</v>
      </c>
      <c r="T2523" s="13">
        <v>9.64</v>
      </c>
      <c r="U2523" s="13">
        <v>4.4344000000000001</v>
      </c>
      <c r="V2523" s="55">
        <f>Table3[[#This Row],[Profit]]/Table3[[#This Row],[Sales]]</f>
        <v>0.45999999999999996</v>
      </c>
    </row>
    <row r="2524" spans="1:22" x14ac:dyDescent="0.2">
      <c r="A2524">
        <v>2523</v>
      </c>
      <c r="B2524" t="s">
        <v>5708</v>
      </c>
      <c r="C2524" s="1">
        <v>43048</v>
      </c>
      <c r="D2524" s="22">
        <f>MONTH(Table3[[#This Row],[Order Date]])</f>
        <v>11</v>
      </c>
      <c r="E2524" t="s">
        <v>2460</v>
      </c>
      <c r="F2524" t="s">
        <v>2461</v>
      </c>
      <c r="G2524" s="23" t="s">
        <v>64</v>
      </c>
      <c r="H2524" s="23" t="s">
        <v>144</v>
      </c>
      <c r="I2524" t="s">
        <v>2296</v>
      </c>
      <c r="J2524" t="s">
        <v>36</v>
      </c>
      <c r="K2524" s="22">
        <v>3</v>
      </c>
      <c r="L2524" s="1">
        <v>43051</v>
      </c>
      <c r="M2524" s="22">
        <f>Table3[[#This Row],[Ship Date]]-Table3[[#This Row],[Order Date]]</f>
        <v>3</v>
      </c>
      <c r="N2524" s="23" t="s">
        <v>20</v>
      </c>
      <c r="O2524" s="23" t="s">
        <v>23</v>
      </c>
      <c r="P2524" s="23" t="s">
        <v>2408</v>
      </c>
      <c r="Q2524" s="23" t="s">
        <v>133</v>
      </c>
      <c r="R2524" s="23" t="s">
        <v>341</v>
      </c>
      <c r="S2524" s="33">
        <v>0</v>
      </c>
      <c r="T2524" s="13">
        <v>826.62</v>
      </c>
      <c r="U2524" s="13">
        <v>355.44659999999999</v>
      </c>
      <c r="V2524" s="55">
        <f>Table3[[#This Row],[Profit]]/Table3[[#This Row],[Sales]]</f>
        <v>0.43</v>
      </c>
    </row>
    <row r="2525" spans="1:22" x14ac:dyDescent="0.2">
      <c r="A2525">
        <v>2524</v>
      </c>
      <c r="B2525" t="s">
        <v>5708</v>
      </c>
      <c r="C2525" s="1">
        <v>43048</v>
      </c>
      <c r="D2525" s="22">
        <f>MONTH(Table3[[#This Row],[Order Date]])</f>
        <v>11</v>
      </c>
      <c r="E2525" t="s">
        <v>894</v>
      </c>
      <c r="F2525" t="s">
        <v>895</v>
      </c>
      <c r="G2525" s="23" t="s">
        <v>41</v>
      </c>
      <c r="H2525" s="23" t="s">
        <v>53</v>
      </c>
      <c r="I2525" t="s">
        <v>2296</v>
      </c>
      <c r="J2525" t="s">
        <v>36</v>
      </c>
      <c r="K2525" s="22">
        <v>9</v>
      </c>
      <c r="L2525" s="1">
        <v>43051</v>
      </c>
      <c r="M2525" s="22">
        <f>Table3[[#This Row],[Ship Date]]-Table3[[#This Row],[Order Date]]</f>
        <v>3</v>
      </c>
      <c r="N2525" s="23" t="s">
        <v>20</v>
      </c>
      <c r="O2525" s="23" t="s">
        <v>23</v>
      </c>
      <c r="P2525" s="23" t="s">
        <v>2408</v>
      </c>
      <c r="Q2525" s="23" t="s">
        <v>133</v>
      </c>
      <c r="R2525" s="23" t="s">
        <v>341</v>
      </c>
      <c r="S2525" s="33">
        <v>0</v>
      </c>
      <c r="T2525" s="13">
        <v>1633.14</v>
      </c>
      <c r="U2525" s="13">
        <v>473.61059999999998</v>
      </c>
      <c r="V2525" s="55">
        <f>Table3[[#This Row],[Profit]]/Table3[[#This Row],[Sales]]</f>
        <v>0.28999999999999998</v>
      </c>
    </row>
    <row r="2526" spans="1:22" x14ac:dyDescent="0.2">
      <c r="A2526">
        <v>2525</v>
      </c>
      <c r="B2526" t="s">
        <v>5708</v>
      </c>
      <c r="C2526" s="1">
        <v>43048</v>
      </c>
      <c r="D2526" s="22">
        <f>MONTH(Table3[[#This Row],[Order Date]])</f>
        <v>11</v>
      </c>
      <c r="E2526" t="s">
        <v>894</v>
      </c>
      <c r="F2526" t="s">
        <v>895</v>
      </c>
      <c r="G2526" s="23" t="s">
        <v>41</v>
      </c>
      <c r="H2526" s="23" t="s">
        <v>53</v>
      </c>
      <c r="I2526" t="s">
        <v>2296</v>
      </c>
      <c r="J2526" t="s">
        <v>36</v>
      </c>
      <c r="K2526" s="22">
        <v>3</v>
      </c>
      <c r="L2526" s="1">
        <v>43051</v>
      </c>
      <c r="M2526" s="22">
        <f>Table3[[#This Row],[Ship Date]]-Table3[[#This Row],[Order Date]]</f>
        <v>3</v>
      </c>
      <c r="N2526" s="23" t="s">
        <v>20</v>
      </c>
      <c r="O2526" s="23" t="s">
        <v>23</v>
      </c>
      <c r="P2526" s="23" t="s">
        <v>2408</v>
      </c>
      <c r="Q2526" s="23" t="s">
        <v>133</v>
      </c>
      <c r="R2526" s="23" t="s">
        <v>341</v>
      </c>
      <c r="S2526" s="33">
        <v>0</v>
      </c>
      <c r="T2526" s="13">
        <v>544.38</v>
      </c>
      <c r="U2526" s="13">
        <v>157.87020000000001</v>
      </c>
      <c r="V2526" s="55">
        <f>Table3[[#This Row],[Profit]]/Table3[[#This Row],[Sales]]</f>
        <v>0.29000000000000004</v>
      </c>
    </row>
    <row r="2527" spans="1:22" x14ac:dyDescent="0.2">
      <c r="A2527">
        <v>2526</v>
      </c>
      <c r="B2527" t="s">
        <v>6900</v>
      </c>
      <c r="C2527" s="1">
        <v>43048</v>
      </c>
      <c r="D2527" s="22">
        <f>MONTH(Table3[[#This Row],[Order Date]])</f>
        <v>11</v>
      </c>
      <c r="E2527" t="s">
        <v>1136</v>
      </c>
      <c r="F2527" t="s">
        <v>1137</v>
      </c>
      <c r="G2527" s="23" t="s">
        <v>28</v>
      </c>
      <c r="H2527" s="23" t="s">
        <v>58</v>
      </c>
      <c r="I2527" t="s">
        <v>297</v>
      </c>
      <c r="J2527" t="s">
        <v>22</v>
      </c>
      <c r="K2527" s="22">
        <v>8</v>
      </c>
      <c r="L2527" s="1">
        <v>43053</v>
      </c>
      <c r="M2527" s="22">
        <f>Table3[[#This Row],[Ship Date]]-Table3[[#This Row],[Order Date]]</f>
        <v>5</v>
      </c>
      <c r="N2527" s="23" t="s">
        <v>45</v>
      </c>
      <c r="O2527" s="23" t="s">
        <v>23</v>
      </c>
      <c r="P2527" s="23" t="s">
        <v>38</v>
      </c>
      <c r="Q2527" s="23" t="s">
        <v>39</v>
      </c>
      <c r="R2527" s="23" t="s">
        <v>2061</v>
      </c>
      <c r="S2527" s="33">
        <v>0</v>
      </c>
      <c r="T2527" s="13">
        <v>47.12</v>
      </c>
      <c r="U2527" s="13">
        <v>20.732800000000001</v>
      </c>
      <c r="V2527" s="55">
        <f>Table3[[#This Row],[Profit]]/Table3[[#This Row],[Sales]]</f>
        <v>0.44000000000000006</v>
      </c>
    </row>
    <row r="2528" spans="1:22" x14ac:dyDescent="0.2">
      <c r="A2528">
        <v>2527</v>
      </c>
      <c r="B2528" t="s">
        <v>8474</v>
      </c>
      <c r="C2528" s="1">
        <v>43048</v>
      </c>
      <c r="D2528" s="22">
        <f>MONTH(Table3[[#This Row],[Order Date]])</f>
        <v>11</v>
      </c>
      <c r="E2528" t="s">
        <v>2179</v>
      </c>
      <c r="F2528" t="s">
        <v>2180</v>
      </c>
      <c r="G2528" s="23" t="s">
        <v>28</v>
      </c>
      <c r="H2528" s="23" t="s">
        <v>32</v>
      </c>
      <c r="I2528" t="s">
        <v>3982</v>
      </c>
      <c r="J2528" t="s">
        <v>36</v>
      </c>
      <c r="K2528" s="22">
        <v>3</v>
      </c>
      <c r="L2528" s="1">
        <v>43052</v>
      </c>
      <c r="M2528" s="22">
        <f>Table3[[#This Row],[Ship Date]]-Table3[[#This Row],[Order Date]]</f>
        <v>4</v>
      </c>
      <c r="N2528" s="23" t="s">
        <v>45</v>
      </c>
      <c r="O2528" s="23" t="s">
        <v>23</v>
      </c>
      <c r="P2528" s="23" t="s">
        <v>38</v>
      </c>
      <c r="Q2528" s="23" t="s">
        <v>39</v>
      </c>
      <c r="R2528" s="23" t="s">
        <v>836</v>
      </c>
      <c r="S2528" s="33">
        <v>0.2</v>
      </c>
      <c r="T2528" s="13">
        <v>523.39200000000005</v>
      </c>
      <c r="U2528" s="13">
        <v>52.339199999999998</v>
      </c>
      <c r="V2528" s="55">
        <f>Table3[[#This Row],[Profit]]/Table3[[#This Row],[Sales]]</f>
        <v>9.9999999999999992E-2</v>
      </c>
    </row>
    <row r="2529" spans="1:22" x14ac:dyDescent="0.2">
      <c r="A2529">
        <v>2528</v>
      </c>
      <c r="B2529" t="s">
        <v>9347</v>
      </c>
      <c r="C2529" s="1">
        <v>43048</v>
      </c>
      <c r="D2529" s="22">
        <f>MONTH(Table3[[#This Row],[Order Date]])</f>
        <v>11</v>
      </c>
      <c r="E2529" t="s">
        <v>1472</v>
      </c>
      <c r="F2529" t="s">
        <v>1473</v>
      </c>
      <c r="G2529" s="23" t="s">
        <v>64</v>
      </c>
      <c r="H2529" s="23" t="s">
        <v>144</v>
      </c>
      <c r="I2529" t="s">
        <v>2394</v>
      </c>
      <c r="J2529" t="s">
        <v>92</v>
      </c>
      <c r="K2529" s="22">
        <v>3</v>
      </c>
      <c r="L2529" s="1">
        <v>43052</v>
      </c>
      <c r="M2529" s="22">
        <f>Table3[[#This Row],[Ship Date]]-Table3[[#This Row],[Order Date]]</f>
        <v>4</v>
      </c>
      <c r="N2529" s="23" t="s">
        <v>45</v>
      </c>
      <c r="O2529" s="23" t="s">
        <v>23</v>
      </c>
      <c r="P2529" s="23" t="s">
        <v>48</v>
      </c>
      <c r="Q2529" s="23" t="s">
        <v>26</v>
      </c>
      <c r="R2529" s="23" t="s">
        <v>1345</v>
      </c>
      <c r="S2529" s="33">
        <v>0.2</v>
      </c>
      <c r="T2529" s="13">
        <v>191.976</v>
      </c>
      <c r="U2529" s="13">
        <v>38.395200000000003</v>
      </c>
      <c r="V2529" s="55">
        <f>Table3[[#This Row],[Profit]]/Table3[[#This Row],[Sales]]</f>
        <v>0.2</v>
      </c>
    </row>
    <row r="2530" spans="1:22" x14ac:dyDescent="0.2">
      <c r="A2530">
        <v>2529</v>
      </c>
      <c r="B2530" t="s">
        <v>9347</v>
      </c>
      <c r="C2530" s="1">
        <v>43048</v>
      </c>
      <c r="D2530" s="22">
        <f>MONTH(Table3[[#This Row],[Order Date]])</f>
        <v>11</v>
      </c>
      <c r="E2530" t="s">
        <v>8419</v>
      </c>
      <c r="F2530" t="s">
        <v>8420</v>
      </c>
      <c r="G2530" s="23" t="s">
        <v>64</v>
      </c>
      <c r="H2530" s="23" t="s">
        <v>65</v>
      </c>
      <c r="I2530" t="s">
        <v>2394</v>
      </c>
      <c r="J2530" t="s">
        <v>92</v>
      </c>
      <c r="K2530" s="22">
        <v>4</v>
      </c>
      <c r="L2530" s="1">
        <v>43052</v>
      </c>
      <c r="M2530" s="22">
        <f>Table3[[#This Row],[Ship Date]]-Table3[[#This Row],[Order Date]]</f>
        <v>4</v>
      </c>
      <c r="N2530" s="23" t="s">
        <v>45</v>
      </c>
      <c r="O2530" s="23" t="s">
        <v>23</v>
      </c>
      <c r="P2530" s="23" t="s">
        <v>48</v>
      </c>
      <c r="Q2530" s="23" t="s">
        <v>26</v>
      </c>
      <c r="R2530" s="23" t="s">
        <v>1345</v>
      </c>
      <c r="S2530" s="33">
        <v>0.2</v>
      </c>
      <c r="T2530" s="13">
        <v>499.16800000000001</v>
      </c>
      <c r="U2530" s="13">
        <v>31.198</v>
      </c>
      <c r="V2530" s="55">
        <f>Table3[[#This Row],[Profit]]/Table3[[#This Row],[Sales]]</f>
        <v>6.25E-2</v>
      </c>
    </row>
    <row r="2531" spans="1:22" x14ac:dyDescent="0.2">
      <c r="A2531">
        <v>2530</v>
      </c>
      <c r="B2531" t="s">
        <v>3308</v>
      </c>
      <c r="C2531" s="1">
        <v>43049</v>
      </c>
      <c r="D2531" s="22">
        <f>MONTH(Table3[[#This Row],[Order Date]])</f>
        <v>11</v>
      </c>
      <c r="E2531" t="s">
        <v>2147</v>
      </c>
      <c r="F2531" t="s">
        <v>2148</v>
      </c>
      <c r="G2531" s="23" t="s">
        <v>41</v>
      </c>
      <c r="H2531" s="23" t="s">
        <v>68</v>
      </c>
      <c r="I2531" t="s">
        <v>3309</v>
      </c>
      <c r="J2531" t="s">
        <v>36</v>
      </c>
      <c r="K2531" s="22">
        <v>14</v>
      </c>
      <c r="L2531" s="1">
        <v>43050</v>
      </c>
      <c r="M2531" s="22">
        <f>Table3[[#This Row],[Ship Date]]-Table3[[#This Row],[Order Date]]</f>
        <v>1</v>
      </c>
      <c r="N2531" s="23" t="s">
        <v>169</v>
      </c>
      <c r="O2531" s="23" t="s">
        <v>23</v>
      </c>
      <c r="P2531" s="23" t="s">
        <v>277</v>
      </c>
      <c r="Q2531" s="23" t="s">
        <v>39</v>
      </c>
      <c r="R2531" s="23" t="s">
        <v>1159</v>
      </c>
      <c r="S2531" s="33">
        <v>0.7</v>
      </c>
      <c r="T2531" s="13">
        <v>38.387999999999998</v>
      </c>
      <c r="U2531" s="13">
        <v>-25.591999999999999</v>
      </c>
      <c r="V2531" s="55">
        <f>Table3[[#This Row],[Profit]]/Table3[[#This Row],[Sales]]</f>
        <v>-0.66666666666666663</v>
      </c>
    </row>
    <row r="2532" spans="1:22" x14ac:dyDescent="0.2">
      <c r="A2532">
        <v>2531</v>
      </c>
      <c r="B2532" t="s">
        <v>3308</v>
      </c>
      <c r="C2532" s="1">
        <v>43049</v>
      </c>
      <c r="D2532" s="22">
        <f>MONTH(Table3[[#This Row],[Order Date]])</f>
        <v>11</v>
      </c>
      <c r="E2532" t="s">
        <v>3310</v>
      </c>
      <c r="F2532" t="s">
        <v>3311</v>
      </c>
      <c r="G2532" s="23" t="s">
        <v>64</v>
      </c>
      <c r="H2532" s="23" t="s">
        <v>602</v>
      </c>
      <c r="I2532" t="s">
        <v>3309</v>
      </c>
      <c r="J2532" t="s">
        <v>36</v>
      </c>
      <c r="K2532" s="22">
        <v>2</v>
      </c>
      <c r="L2532" s="1">
        <v>43050</v>
      </c>
      <c r="M2532" s="22">
        <f>Table3[[#This Row],[Ship Date]]-Table3[[#This Row],[Order Date]]</f>
        <v>1</v>
      </c>
      <c r="N2532" s="23" t="s">
        <v>169</v>
      </c>
      <c r="O2532" s="23" t="s">
        <v>23</v>
      </c>
      <c r="P2532" s="23" t="s">
        <v>277</v>
      </c>
      <c r="Q2532" s="23" t="s">
        <v>39</v>
      </c>
      <c r="R2532" s="23" t="s">
        <v>1159</v>
      </c>
      <c r="S2532" s="33">
        <v>0.7</v>
      </c>
      <c r="T2532" s="13">
        <v>95.994</v>
      </c>
      <c r="U2532" s="13">
        <v>-63.996000000000002</v>
      </c>
      <c r="V2532" s="55">
        <f>Table3[[#This Row],[Profit]]/Table3[[#This Row],[Sales]]</f>
        <v>-0.66666666666666674</v>
      </c>
    </row>
    <row r="2533" spans="1:22" x14ac:dyDescent="0.2">
      <c r="A2533">
        <v>2532</v>
      </c>
      <c r="B2533" t="s">
        <v>3308</v>
      </c>
      <c r="C2533" s="1">
        <v>43049</v>
      </c>
      <c r="D2533" s="22">
        <f>MONTH(Table3[[#This Row],[Order Date]])</f>
        <v>11</v>
      </c>
      <c r="E2533" t="s">
        <v>3312</v>
      </c>
      <c r="F2533" t="s">
        <v>3313</v>
      </c>
      <c r="G2533" s="23" t="s">
        <v>64</v>
      </c>
      <c r="H2533" s="23" t="s">
        <v>144</v>
      </c>
      <c r="I2533" t="s">
        <v>3309</v>
      </c>
      <c r="J2533" t="s">
        <v>36</v>
      </c>
      <c r="K2533" s="22">
        <v>6</v>
      </c>
      <c r="L2533" s="1">
        <v>43050</v>
      </c>
      <c r="M2533" s="22">
        <f>Table3[[#This Row],[Ship Date]]-Table3[[#This Row],[Order Date]]</f>
        <v>1</v>
      </c>
      <c r="N2533" s="23" t="s">
        <v>169</v>
      </c>
      <c r="O2533" s="23" t="s">
        <v>23</v>
      </c>
      <c r="P2533" s="23" t="s">
        <v>277</v>
      </c>
      <c r="Q2533" s="23" t="s">
        <v>39</v>
      </c>
      <c r="R2533" s="23" t="s">
        <v>1159</v>
      </c>
      <c r="S2533" s="33">
        <v>0.2</v>
      </c>
      <c r="T2533" s="13">
        <v>239.952</v>
      </c>
      <c r="U2533" s="13">
        <v>-35.992800000000003</v>
      </c>
      <c r="V2533" s="55">
        <f>Table3[[#This Row],[Profit]]/Table3[[#This Row],[Sales]]</f>
        <v>-0.15000000000000002</v>
      </c>
    </row>
    <row r="2534" spans="1:22" x14ac:dyDescent="0.2">
      <c r="A2534">
        <v>2533</v>
      </c>
      <c r="B2534" t="s">
        <v>3308</v>
      </c>
      <c r="C2534" s="1">
        <v>43049</v>
      </c>
      <c r="D2534" s="22">
        <f>MONTH(Table3[[#This Row],[Order Date]])</f>
        <v>11</v>
      </c>
      <c r="E2534" t="s">
        <v>758</v>
      </c>
      <c r="F2534" t="s">
        <v>759</v>
      </c>
      <c r="G2534" s="23" t="s">
        <v>64</v>
      </c>
      <c r="H2534" s="23" t="s">
        <v>65</v>
      </c>
      <c r="I2534" t="s">
        <v>3309</v>
      </c>
      <c r="J2534" t="s">
        <v>36</v>
      </c>
      <c r="K2534" s="22">
        <v>2</v>
      </c>
      <c r="L2534" s="1">
        <v>43050</v>
      </c>
      <c r="M2534" s="22">
        <f>Table3[[#This Row],[Ship Date]]-Table3[[#This Row],[Order Date]]</f>
        <v>1</v>
      </c>
      <c r="N2534" s="23" t="s">
        <v>169</v>
      </c>
      <c r="O2534" s="23" t="s">
        <v>23</v>
      </c>
      <c r="P2534" s="23" t="s">
        <v>277</v>
      </c>
      <c r="Q2534" s="23" t="s">
        <v>39</v>
      </c>
      <c r="R2534" s="23" t="s">
        <v>1159</v>
      </c>
      <c r="S2534" s="33">
        <v>0.2</v>
      </c>
      <c r="T2534" s="13">
        <v>201.584</v>
      </c>
      <c r="U2534" s="13">
        <v>15.1188</v>
      </c>
      <c r="V2534" s="55">
        <f>Table3[[#This Row],[Profit]]/Table3[[#This Row],[Sales]]</f>
        <v>7.4999999999999997E-2</v>
      </c>
    </row>
    <row r="2535" spans="1:22" x14ac:dyDescent="0.2">
      <c r="A2535">
        <v>2534</v>
      </c>
      <c r="B2535" t="s">
        <v>3308</v>
      </c>
      <c r="C2535" s="1">
        <v>43049</v>
      </c>
      <c r="D2535" s="22">
        <f>MONTH(Table3[[#This Row],[Order Date]])</f>
        <v>11</v>
      </c>
      <c r="E2535" t="s">
        <v>1056</v>
      </c>
      <c r="F2535" t="s">
        <v>1057</v>
      </c>
      <c r="G2535" s="23" t="s">
        <v>28</v>
      </c>
      <c r="H2535" s="23" t="s">
        <v>32</v>
      </c>
      <c r="I2535" t="s">
        <v>3309</v>
      </c>
      <c r="J2535" t="s">
        <v>36</v>
      </c>
      <c r="K2535" s="22">
        <v>4</v>
      </c>
      <c r="L2535" s="1">
        <v>43050</v>
      </c>
      <c r="M2535" s="22">
        <f>Table3[[#This Row],[Ship Date]]-Table3[[#This Row],[Order Date]]</f>
        <v>1</v>
      </c>
      <c r="N2535" s="23" t="s">
        <v>169</v>
      </c>
      <c r="O2535" s="23" t="s">
        <v>23</v>
      </c>
      <c r="P2535" s="23" t="s">
        <v>277</v>
      </c>
      <c r="Q2535" s="23" t="s">
        <v>39</v>
      </c>
      <c r="R2535" s="23" t="s">
        <v>1159</v>
      </c>
      <c r="S2535" s="33">
        <v>0.2</v>
      </c>
      <c r="T2535" s="13">
        <v>899.13599999999997</v>
      </c>
      <c r="U2535" s="13">
        <v>-146.1096</v>
      </c>
      <c r="V2535" s="55">
        <f>Table3[[#This Row],[Profit]]/Table3[[#This Row],[Sales]]</f>
        <v>-0.16250000000000001</v>
      </c>
    </row>
    <row r="2536" spans="1:22" x14ac:dyDescent="0.2">
      <c r="A2536">
        <v>2535</v>
      </c>
      <c r="B2536" t="s">
        <v>5748</v>
      </c>
      <c r="C2536" s="1">
        <v>43049</v>
      </c>
      <c r="D2536" s="22">
        <f>MONTH(Table3[[#This Row],[Order Date]])</f>
        <v>11</v>
      </c>
      <c r="E2536" t="s">
        <v>2622</v>
      </c>
      <c r="F2536" t="s">
        <v>2623</v>
      </c>
      <c r="G2536" s="23" t="s">
        <v>41</v>
      </c>
      <c r="H2536" s="23" t="s">
        <v>68</v>
      </c>
      <c r="I2536" t="s">
        <v>2897</v>
      </c>
      <c r="J2536" t="s">
        <v>36</v>
      </c>
      <c r="K2536" s="22">
        <v>3</v>
      </c>
      <c r="L2536" s="1">
        <v>43055</v>
      </c>
      <c r="M2536" s="22">
        <f>Table3[[#This Row],[Ship Date]]-Table3[[#This Row],[Order Date]]</f>
        <v>6</v>
      </c>
      <c r="N2536" s="23" t="s">
        <v>45</v>
      </c>
      <c r="O2536" s="23" t="s">
        <v>23</v>
      </c>
      <c r="P2536" s="23" t="s">
        <v>238</v>
      </c>
      <c r="Q2536" s="23" t="s">
        <v>133</v>
      </c>
      <c r="R2536" s="23" t="s">
        <v>237</v>
      </c>
      <c r="S2536" s="33">
        <v>0.2</v>
      </c>
      <c r="T2536" s="13">
        <v>931.17600000000004</v>
      </c>
      <c r="U2536" s="13">
        <v>314.27190000000002</v>
      </c>
      <c r="V2536" s="55">
        <f>Table3[[#This Row],[Profit]]/Table3[[#This Row],[Sales]]</f>
        <v>0.33750000000000002</v>
      </c>
    </row>
    <row r="2537" spans="1:22" x14ac:dyDescent="0.2">
      <c r="A2537">
        <v>2536</v>
      </c>
      <c r="B2537" t="s">
        <v>5748</v>
      </c>
      <c r="C2537" s="1">
        <v>43049</v>
      </c>
      <c r="D2537" s="22">
        <f>MONTH(Table3[[#This Row],[Order Date]])</f>
        <v>11</v>
      </c>
      <c r="E2537" t="s">
        <v>3031</v>
      </c>
      <c r="F2537" t="s">
        <v>5655</v>
      </c>
      <c r="G2537" s="23" t="s">
        <v>64</v>
      </c>
      <c r="H2537" s="23" t="s">
        <v>65</v>
      </c>
      <c r="I2537" t="s">
        <v>2897</v>
      </c>
      <c r="J2537" t="s">
        <v>36</v>
      </c>
      <c r="K2537" s="22">
        <v>2</v>
      </c>
      <c r="L2537" s="1">
        <v>43055</v>
      </c>
      <c r="M2537" s="22">
        <f>Table3[[#This Row],[Ship Date]]-Table3[[#This Row],[Order Date]]</f>
        <v>6</v>
      </c>
      <c r="N2537" s="23" t="s">
        <v>45</v>
      </c>
      <c r="O2537" s="23" t="s">
        <v>23</v>
      </c>
      <c r="P2537" s="23" t="s">
        <v>238</v>
      </c>
      <c r="Q2537" s="23" t="s">
        <v>133</v>
      </c>
      <c r="R2537" s="23" t="s">
        <v>237</v>
      </c>
      <c r="S2537" s="33">
        <v>0</v>
      </c>
      <c r="T2537" s="13">
        <v>430.88</v>
      </c>
      <c r="U2537" s="13">
        <v>124.9552</v>
      </c>
      <c r="V2537" s="55">
        <f>Table3[[#This Row],[Profit]]/Table3[[#This Row],[Sales]]</f>
        <v>0.29000000000000004</v>
      </c>
    </row>
    <row r="2538" spans="1:22" x14ac:dyDescent="0.2">
      <c r="A2538">
        <v>2537</v>
      </c>
      <c r="B2538" t="s">
        <v>5834</v>
      </c>
      <c r="C2538" s="1">
        <v>43049</v>
      </c>
      <c r="D2538" s="22">
        <f>MONTH(Table3[[#This Row],[Order Date]])</f>
        <v>11</v>
      </c>
      <c r="E2538" t="s">
        <v>4741</v>
      </c>
      <c r="F2538" t="s">
        <v>4742</v>
      </c>
      <c r="G2538" s="23" t="s">
        <v>28</v>
      </c>
      <c r="H2538" s="23" t="s">
        <v>58</v>
      </c>
      <c r="I2538" t="s">
        <v>3648</v>
      </c>
      <c r="J2538" t="s">
        <v>36</v>
      </c>
      <c r="K2538" s="22">
        <v>5</v>
      </c>
      <c r="L2538" s="1">
        <v>43054</v>
      </c>
      <c r="M2538" s="22">
        <f>Table3[[#This Row],[Ship Date]]-Table3[[#This Row],[Order Date]]</f>
        <v>5</v>
      </c>
      <c r="N2538" s="23" t="s">
        <v>20</v>
      </c>
      <c r="O2538" s="23" t="s">
        <v>23</v>
      </c>
      <c r="P2538" s="23" t="s">
        <v>94</v>
      </c>
      <c r="Q2538" s="23" t="s">
        <v>95</v>
      </c>
      <c r="R2538" s="23" t="s">
        <v>2546</v>
      </c>
      <c r="S2538" s="33">
        <v>0.6</v>
      </c>
      <c r="T2538" s="13">
        <v>341.96</v>
      </c>
      <c r="U2538" s="13">
        <v>-427.45</v>
      </c>
      <c r="V2538" s="55">
        <f>Table3[[#This Row],[Profit]]/Table3[[#This Row],[Sales]]</f>
        <v>-1.25</v>
      </c>
    </row>
    <row r="2539" spans="1:22" x14ac:dyDescent="0.2">
      <c r="A2539">
        <v>2538</v>
      </c>
      <c r="B2539" t="s">
        <v>7438</v>
      </c>
      <c r="C2539" s="1">
        <v>43049</v>
      </c>
      <c r="D2539" s="22">
        <f>MONTH(Table3[[#This Row],[Order Date]])</f>
        <v>11</v>
      </c>
      <c r="E2539" t="s">
        <v>3666</v>
      </c>
      <c r="F2539" t="s">
        <v>3667</v>
      </c>
      <c r="G2539" s="23" t="s">
        <v>41</v>
      </c>
      <c r="H2539" s="23" t="s">
        <v>68</v>
      </c>
      <c r="I2539" t="s">
        <v>6075</v>
      </c>
      <c r="J2539" t="s">
        <v>36</v>
      </c>
      <c r="K2539" s="22">
        <v>3</v>
      </c>
      <c r="L2539" s="1">
        <v>43051</v>
      </c>
      <c r="M2539" s="22">
        <f>Table3[[#This Row],[Ship Date]]-Table3[[#This Row],[Order Date]]</f>
        <v>2</v>
      </c>
      <c r="N2539" s="23" t="s">
        <v>20</v>
      </c>
      <c r="O2539" s="23" t="s">
        <v>23</v>
      </c>
      <c r="P2539" s="23" t="s">
        <v>87</v>
      </c>
      <c r="Q2539" s="23" t="s">
        <v>39</v>
      </c>
      <c r="R2539" s="23" t="s">
        <v>86</v>
      </c>
      <c r="S2539" s="33">
        <v>0.2</v>
      </c>
      <c r="T2539" s="13">
        <v>26.352</v>
      </c>
      <c r="U2539" s="13">
        <v>9.5526</v>
      </c>
      <c r="V2539" s="55">
        <f>Table3[[#This Row],[Profit]]/Table3[[#This Row],[Sales]]</f>
        <v>0.36249999999999999</v>
      </c>
    </row>
    <row r="2540" spans="1:22" x14ac:dyDescent="0.2">
      <c r="A2540">
        <v>2539</v>
      </c>
      <c r="B2540" t="s">
        <v>8112</v>
      </c>
      <c r="C2540" s="1">
        <v>43049</v>
      </c>
      <c r="D2540" s="22">
        <f>MONTH(Table3[[#This Row],[Order Date]])</f>
        <v>11</v>
      </c>
      <c r="E2540" t="s">
        <v>7458</v>
      </c>
      <c r="F2540" t="s">
        <v>7459</v>
      </c>
      <c r="G2540" s="23" t="s">
        <v>41</v>
      </c>
      <c r="H2540" s="23" t="s">
        <v>68</v>
      </c>
      <c r="I2540" t="s">
        <v>5338</v>
      </c>
      <c r="J2540" t="s">
        <v>92</v>
      </c>
      <c r="K2540" s="22">
        <v>5</v>
      </c>
      <c r="L2540" s="1">
        <v>43053</v>
      </c>
      <c r="M2540" s="22">
        <f>Table3[[#This Row],[Ship Date]]-Table3[[#This Row],[Order Date]]</f>
        <v>4</v>
      </c>
      <c r="N2540" s="23" t="s">
        <v>20</v>
      </c>
      <c r="O2540" s="23" t="s">
        <v>23</v>
      </c>
      <c r="P2540" s="23" t="s">
        <v>48</v>
      </c>
      <c r="Q2540" s="23" t="s">
        <v>26</v>
      </c>
      <c r="R2540" s="23" t="s">
        <v>6510</v>
      </c>
      <c r="S2540" s="33">
        <v>0.7</v>
      </c>
      <c r="T2540" s="13">
        <v>11.52</v>
      </c>
      <c r="U2540" s="13">
        <v>-7.68</v>
      </c>
      <c r="V2540" s="55">
        <f>Table3[[#This Row],[Profit]]/Table3[[#This Row],[Sales]]</f>
        <v>-0.66666666666666663</v>
      </c>
    </row>
    <row r="2541" spans="1:22" x14ac:dyDescent="0.2">
      <c r="A2541">
        <v>2540</v>
      </c>
      <c r="B2541" t="s">
        <v>8434</v>
      </c>
      <c r="C2541" s="1">
        <v>43049</v>
      </c>
      <c r="D2541" s="22">
        <f>MONTH(Table3[[#This Row],[Order Date]])</f>
        <v>11</v>
      </c>
      <c r="E2541" t="s">
        <v>3582</v>
      </c>
      <c r="F2541" t="s">
        <v>3583</v>
      </c>
      <c r="G2541" s="23" t="s">
        <v>41</v>
      </c>
      <c r="H2541" s="23" t="s">
        <v>61</v>
      </c>
      <c r="I2541" t="s">
        <v>2562</v>
      </c>
      <c r="J2541" t="s">
        <v>92</v>
      </c>
      <c r="K2541" s="22">
        <v>3</v>
      </c>
      <c r="L2541" s="1">
        <v>43049</v>
      </c>
      <c r="M2541" s="22">
        <f>Table3[[#This Row],[Ship Date]]-Table3[[#This Row],[Order Date]]</f>
        <v>0</v>
      </c>
      <c r="N2541" s="23" t="s">
        <v>1141</v>
      </c>
      <c r="O2541" s="23" t="s">
        <v>23</v>
      </c>
      <c r="P2541" s="23" t="s">
        <v>38</v>
      </c>
      <c r="Q2541" s="23" t="s">
        <v>39</v>
      </c>
      <c r="R2541" s="23" t="s">
        <v>2513</v>
      </c>
      <c r="S2541" s="33">
        <v>0</v>
      </c>
      <c r="T2541" s="13">
        <v>7.8</v>
      </c>
      <c r="U2541" s="13">
        <v>2.1059999999999999</v>
      </c>
      <c r="V2541" s="55">
        <f>Table3[[#This Row],[Profit]]/Table3[[#This Row],[Sales]]</f>
        <v>0.26999999999999996</v>
      </c>
    </row>
    <row r="2542" spans="1:22" x14ac:dyDescent="0.2">
      <c r="A2542">
        <v>2541</v>
      </c>
      <c r="B2542" t="s">
        <v>8644</v>
      </c>
      <c r="C2542" s="1">
        <v>43049</v>
      </c>
      <c r="D2542" s="22">
        <f>MONTH(Table3[[#This Row],[Order Date]])</f>
        <v>11</v>
      </c>
      <c r="E2542" t="s">
        <v>4787</v>
      </c>
      <c r="F2542" t="s">
        <v>4788</v>
      </c>
      <c r="G2542" s="23" t="s">
        <v>41</v>
      </c>
      <c r="H2542" s="23" t="s">
        <v>71</v>
      </c>
      <c r="I2542" t="s">
        <v>1961</v>
      </c>
      <c r="J2542" t="s">
        <v>22</v>
      </c>
      <c r="K2542" s="22">
        <v>5</v>
      </c>
      <c r="L2542" s="1">
        <v>43056</v>
      </c>
      <c r="M2542" s="22">
        <f>Table3[[#This Row],[Ship Date]]-Table3[[#This Row],[Order Date]]</f>
        <v>7</v>
      </c>
      <c r="N2542" s="23" t="s">
        <v>45</v>
      </c>
      <c r="O2542" s="23" t="s">
        <v>23</v>
      </c>
      <c r="P2542" s="23" t="s">
        <v>87</v>
      </c>
      <c r="Q2542" s="23" t="s">
        <v>39</v>
      </c>
      <c r="R2542" s="23" t="s">
        <v>7072</v>
      </c>
      <c r="S2542" s="33">
        <v>0</v>
      </c>
      <c r="T2542" s="13">
        <v>400.8</v>
      </c>
      <c r="U2542" s="13">
        <v>112.224</v>
      </c>
      <c r="V2542" s="55">
        <f>Table3[[#This Row],[Profit]]/Table3[[#This Row],[Sales]]</f>
        <v>0.28000000000000003</v>
      </c>
    </row>
    <row r="2543" spans="1:22" x14ac:dyDescent="0.2">
      <c r="A2543">
        <v>2542</v>
      </c>
      <c r="B2543" t="s">
        <v>8644</v>
      </c>
      <c r="C2543" s="1">
        <v>43049</v>
      </c>
      <c r="D2543" s="22">
        <f>MONTH(Table3[[#This Row],[Order Date]])</f>
        <v>11</v>
      </c>
      <c r="E2543" t="s">
        <v>1322</v>
      </c>
      <c r="F2543" t="s">
        <v>1323</v>
      </c>
      <c r="G2543" s="23" t="s">
        <v>41</v>
      </c>
      <c r="H2543" s="23" t="s">
        <v>68</v>
      </c>
      <c r="I2543" t="s">
        <v>1961</v>
      </c>
      <c r="J2543" t="s">
        <v>22</v>
      </c>
      <c r="K2543" s="22">
        <v>1</v>
      </c>
      <c r="L2543" s="1">
        <v>43056</v>
      </c>
      <c r="M2543" s="22">
        <f>Table3[[#This Row],[Ship Date]]-Table3[[#This Row],[Order Date]]</f>
        <v>7</v>
      </c>
      <c r="N2543" s="23" t="s">
        <v>45</v>
      </c>
      <c r="O2543" s="23" t="s">
        <v>23</v>
      </c>
      <c r="P2543" s="23" t="s">
        <v>87</v>
      </c>
      <c r="Q2543" s="23" t="s">
        <v>39</v>
      </c>
      <c r="R2543" s="23" t="s">
        <v>7072</v>
      </c>
      <c r="S2543" s="33">
        <v>0.2</v>
      </c>
      <c r="T2543" s="13">
        <v>28.792000000000002</v>
      </c>
      <c r="U2543" s="13">
        <v>10.077199999999999</v>
      </c>
      <c r="V2543" s="55">
        <f>Table3[[#This Row],[Profit]]/Table3[[#This Row],[Sales]]</f>
        <v>0.35</v>
      </c>
    </row>
    <row r="2544" spans="1:22" x14ac:dyDescent="0.2">
      <c r="A2544">
        <v>2543</v>
      </c>
      <c r="B2544" t="s">
        <v>8659</v>
      </c>
      <c r="C2544" s="1">
        <v>43049</v>
      </c>
      <c r="D2544" s="22">
        <f>MONTH(Table3[[#This Row],[Order Date]])</f>
        <v>11</v>
      </c>
      <c r="E2544" t="s">
        <v>1399</v>
      </c>
      <c r="F2544" t="s">
        <v>1400</v>
      </c>
      <c r="G2544" s="23" t="s">
        <v>64</v>
      </c>
      <c r="H2544" s="23" t="s">
        <v>144</v>
      </c>
      <c r="I2544" t="s">
        <v>3577</v>
      </c>
      <c r="J2544" t="s">
        <v>22</v>
      </c>
      <c r="K2544" s="22">
        <v>7</v>
      </c>
      <c r="L2544" s="1">
        <v>43055</v>
      </c>
      <c r="M2544" s="22">
        <f>Table3[[#This Row],[Ship Date]]-Table3[[#This Row],[Order Date]]</f>
        <v>6</v>
      </c>
      <c r="N2544" s="23" t="s">
        <v>45</v>
      </c>
      <c r="O2544" s="23" t="s">
        <v>23</v>
      </c>
      <c r="P2544" s="23" t="s">
        <v>38</v>
      </c>
      <c r="Q2544" s="23" t="s">
        <v>39</v>
      </c>
      <c r="R2544" s="23" t="s">
        <v>8660</v>
      </c>
      <c r="S2544" s="33">
        <v>0</v>
      </c>
      <c r="T2544" s="13">
        <v>111.79</v>
      </c>
      <c r="U2544" s="13">
        <v>43.598100000000002</v>
      </c>
      <c r="V2544" s="55">
        <f>Table3[[#This Row],[Profit]]/Table3[[#This Row],[Sales]]</f>
        <v>0.39</v>
      </c>
    </row>
    <row r="2545" spans="1:22" x14ac:dyDescent="0.2">
      <c r="A2545">
        <v>2544</v>
      </c>
      <c r="B2545" t="s">
        <v>9305</v>
      </c>
      <c r="C2545" s="1">
        <v>43049</v>
      </c>
      <c r="D2545" s="22">
        <f>MONTH(Table3[[#This Row],[Order Date]])</f>
        <v>11</v>
      </c>
      <c r="E2545" t="s">
        <v>4791</v>
      </c>
      <c r="F2545" t="s">
        <v>4792</v>
      </c>
      <c r="G2545" s="23" t="s">
        <v>28</v>
      </c>
      <c r="H2545" s="23" t="s">
        <v>32</v>
      </c>
      <c r="I2545" t="s">
        <v>3454</v>
      </c>
      <c r="J2545" t="s">
        <v>92</v>
      </c>
      <c r="K2545" s="22">
        <v>2</v>
      </c>
      <c r="L2545" s="1">
        <v>43056</v>
      </c>
      <c r="M2545" s="22">
        <f>Table3[[#This Row],[Ship Date]]-Table3[[#This Row],[Order Date]]</f>
        <v>7</v>
      </c>
      <c r="N2545" s="23" t="s">
        <v>45</v>
      </c>
      <c r="O2545" s="23" t="s">
        <v>23</v>
      </c>
      <c r="P2545" s="23" t="s">
        <v>38</v>
      </c>
      <c r="Q2545" s="23" t="s">
        <v>39</v>
      </c>
      <c r="R2545" s="23" t="s">
        <v>37</v>
      </c>
      <c r="S2545" s="33">
        <v>0.2</v>
      </c>
      <c r="T2545" s="13">
        <v>241.42400000000001</v>
      </c>
      <c r="U2545" s="13">
        <v>-36.2136</v>
      </c>
      <c r="V2545" s="55">
        <f>Table3[[#This Row],[Profit]]/Table3[[#This Row],[Sales]]</f>
        <v>-0.15</v>
      </c>
    </row>
    <row r="2546" spans="1:22" x14ac:dyDescent="0.2">
      <c r="A2546">
        <v>2545</v>
      </c>
      <c r="B2546" t="s">
        <v>2437</v>
      </c>
      <c r="C2546" s="1">
        <v>43050</v>
      </c>
      <c r="D2546" s="22">
        <f>MONTH(Table3[[#This Row],[Order Date]])</f>
        <v>11</v>
      </c>
      <c r="E2546" t="s">
        <v>2439</v>
      </c>
      <c r="F2546" t="s">
        <v>2440</v>
      </c>
      <c r="G2546" s="23" t="s">
        <v>41</v>
      </c>
      <c r="H2546" s="23" t="s">
        <v>42</v>
      </c>
      <c r="I2546" t="s">
        <v>1099</v>
      </c>
      <c r="J2546" t="s">
        <v>22</v>
      </c>
      <c r="K2546" s="22">
        <v>5</v>
      </c>
      <c r="L2546" s="1">
        <v>43052</v>
      </c>
      <c r="M2546" s="22">
        <f>Table3[[#This Row],[Ship Date]]-Table3[[#This Row],[Order Date]]</f>
        <v>2</v>
      </c>
      <c r="N2546" s="23" t="s">
        <v>169</v>
      </c>
      <c r="O2546" s="23" t="s">
        <v>23</v>
      </c>
      <c r="P2546" s="23" t="s">
        <v>94</v>
      </c>
      <c r="Q2546" s="23" t="s">
        <v>95</v>
      </c>
      <c r="R2546" s="23" t="s">
        <v>2438</v>
      </c>
      <c r="S2546" s="33">
        <v>0.2</v>
      </c>
      <c r="T2546" s="13">
        <v>10.44</v>
      </c>
      <c r="U2546" s="13">
        <v>3.3929999999999998</v>
      </c>
      <c r="V2546" s="55">
        <f>Table3[[#This Row],[Profit]]/Table3[[#This Row],[Sales]]</f>
        <v>0.32500000000000001</v>
      </c>
    </row>
    <row r="2547" spans="1:22" x14ac:dyDescent="0.2">
      <c r="A2547">
        <v>2546</v>
      </c>
      <c r="B2547" t="s">
        <v>2437</v>
      </c>
      <c r="C2547" s="1">
        <v>43050</v>
      </c>
      <c r="D2547" s="22">
        <f>MONTH(Table3[[#This Row],[Order Date]])</f>
        <v>11</v>
      </c>
      <c r="E2547" t="s">
        <v>2441</v>
      </c>
      <c r="F2547" t="s">
        <v>2442</v>
      </c>
      <c r="G2547" s="23" t="s">
        <v>41</v>
      </c>
      <c r="H2547" s="23" t="s">
        <v>68</v>
      </c>
      <c r="I2547" t="s">
        <v>1099</v>
      </c>
      <c r="J2547" t="s">
        <v>22</v>
      </c>
      <c r="K2547" s="22">
        <v>4</v>
      </c>
      <c r="L2547" s="1">
        <v>43052</v>
      </c>
      <c r="M2547" s="22">
        <f>Table3[[#This Row],[Ship Date]]-Table3[[#This Row],[Order Date]]</f>
        <v>2</v>
      </c>
      <c r="N2547" s="23" t="s">
        <v>169</v>
      </c>
      <c r="O2547" s="23" t="s">
        <v>23</v>
      </c>
      <c r="P2547" s="23" t="s">
        <v>94</v>
      </c>
      <c r="Q2547" s="23" t="s">
        <v>95</v>
      </c>
      <c r="R2547" s="23" t="s">
        <v>2438</v>
      </c>
      <c r="S2547" s="33">
        <v>0.8</v>
      </c>
      <c r="T2547" s="13">
        <v>18.335999999999999</v>
      </c>
      <c r="U2547" s="13">
        <v>-32.088000000000001</v>
      </c>
      <c r="V2547" s="55">
        <f>Table3[[#This Row],[Profit]]/Table3[[#This Row],[Sales]]</f>
        <v>-1.7500000000000002</v>
      </c>
    </row>
    <row r="2548" spans="1:22" x14ac:dyDescent="0.2">
      <c r="A2548">
        <v>2547</v>
      </c>
      <c r="B2548" t="s">
        <v>5297</v>
      </c>
      <c r="C2548" s="1">
        <v>43050</v>
      </c>
      <c r="D2548" s="22">
        <f>MONTH(Table3[[#This Row],[Order Date]])</f>
        <v>11</v>
      </c>
      <c r="E2548" t="s">
        <v>1705</v>
      </c>
      <c r="F2548" t="s">
        <v>1706</v>
      </c>
      <c r="G2548" s="23" t="s">
        <v>41</v>
      </c>
      <c r="H2548" s="23" t="s">
        <v>82</v>
      </c>
      <c r="I2548" t="s">
        <v>3956</v>
      </c>
      <c r="J2548" t="s">
        <v>92</v>
      </c>
      <c r="K2548" s="22">
        <v>2</v>
      </c>
      <c r="L2548" s="1">
        <v>43057</v>
      </c>
      <c r="M2548" s="22">
        <f>Table3[[#This Row],[Ship Date]]-Table3[[#This Row],[Order Date]]</f>
        <v>7</v>
      </c>
      <c r="N2548" s="23" t="s">
        <v>45</v>
      </c>
      <c r="O2548" s="23" t="s">
        <v>23</v>
      </c>
      <c r="P2548" s="23" t="s">
        <v>441</v>
      </c>
      <c r="Q2548" s="23" t="s">
        <v>133</v>
      </c>
      <c r="R2548" s="23" t="s">
        <v>284</v>
      </c>
      <c r="S2548" s="33">
        <v>0.2</v>
      </c>
      <c r="T2548" s="13">
        <v>10.368</v>
      </c>
      <c r="U2548" s="13">
        <v>3.6288</v>
      </c>
      <c r="V2548" s="55">
        <f>Table3[[#This Row],[Profit]]/Table3[[#This Row],[Sales]]</f>
        <v>0.35</v>
      </c>
    </row>
    <row r="2549" spans="1:22" x14ac:dyDescent="0.2">
      <c r="A2549">
        <v>2548</v>
      </c>
      <c r="B2549" t="s">
        <v>5356</v>
      </c>
      <c r="C2549" s="1">
        <v>43050</v>
      </c>
      <c r="D2549" s="22">
        <f>MONTH(Table3[[#This Row],[Order Date]])</f>
        <v>11</v>
      </c>
      <c r="E2549" t="s">
        <v>3197</v>
      </c>
      <c r="F2549" t="s">
        <v>3198</v>
      </c>
      <c r="G2549" s="23" t="s">
        <v>41</v>
      </c>
      <c r="H2549" s="23" t="s">
        <v>71</v>
      </c>
      <c r="I2549" t="s">
        <v>2314</v>
      </c>
      <c r="J2549" t="s">
        <v>22</v>
      </c>
      <c r="K2549" s="22">
        <v>1</v>
      </c>
      <c r="L2549" s="1">
        <v>43055</v>
      </c>
      <c r="M2549" s="22">
        <f>Table3[[#This Row],[Ship Date]]-Table3[[#This Row],[Order Date]]</f>
        <v>5</v>
      </c>
      <c r="N2549" s="23" t="s">
        <v>45</v>
      </c>
      <c r="O2549" s="23" t="s">
        <v>23</v>
      </c>
      <c r="P2549" s="23" t="s">
        <v>38</v>
      </c>
      <c r="Q2549" s="23" t="s">
        <v>39</v>
      </c>
      <c r="R2549" s="23" t="s">
        <v>37</v>
      </c>
      <c r="S2549" s="33">
        <v>0</v>
      </c>
      <c r="T2549" s="13">
        <v>10.89</v>
      </c>
      <c r="U2549" s="13">
        <v>2.8313999999999999</v>
      </c>
      <c r="V2549" s="55">
        <f>Table3[[#This Row],[Profit]]/Table3[[#This Row],[Sales]]</f>
        <v>0.25999999999999995</v>
      </c>
    </row>
    <row r="2550" spans="1:22" x14ac:dyDescent="0.2">
      <c r="A2550">
        <v>2549</v>
      </c>
      <c r="B2550" t="s">
        <v>5356</v>
      </c>
      <c r="C2550" s="1">
        <v>43050</v>
      </c>
      <c r="D2550" s="22">
        <f>MONTH(Table3[[#This Row],[Order Date]])</f>
        <v>11</v>
      </c>
      <c r="E2550" t="s">
        <v>5357</v>
      </c>
      <c r="F2550" t="s">
        <v>5358</v>
      </c>
      <c r="G2550" s="23" t="s">
        <v>41</v>
      </c>
      <c r="H2550" s="23" t="s">
        <v>82</v>
      </c>
      <c r="I2550" t="s">
        <v>2314</v>
      </c>
      <c r="J2550" t="s">
        <v>22</v>
      </c>
      <c r="K2550" s="22">
        <v>3</v>
      </c>
      <c r="L2550" s="1">
        <v>43055</v>
      </c>
      <c r="M2550" s="22">
        <f>Table3[[#This Row],[Ship Date]]-Table3[[#This Row],[Order Date]]</f>
        <v>5</v>
      </c>
      <c r="N2550" s="23" t="s">
        <v>45</v>
      </c>
      <c r="O2550" s="23" t="s">
        <v>23</v>
      </c>
      <c r="P2550" s="23" t="s">
        <v>38</v>
      </c>
      <c r="Q2550" s="23" t="s">
        <v>39</v>
      </c>
      <c r="R2550" s="23" t="s">
        <v>37</v>
      </c>
      <c r="S2550" s="33">
        <v>0</v>
      </c>
      <c r="T2550" s="13">
        <v>19.440000000000001</v>
      </c>
      <c r="U2550" s="13">
        <v>9.3312000000000008</v>
      </c>
      <c r="V2550" s="55">
        <f>Table3[[#This Row],[Profit]]/Table3[[#This Row],[Sales]]</f>
        <v>0.48000000000000004</v>
      </c>
    </row>
    <row r="2551" spans="1:22" x14ac:dyDescent="0.2">
      <c r="A2551">
        <v>2550</v>
      </c>
      <c r="B2551" t="s">
        <v>5356</v>
      </c>
      <c r="C2551" s="1">
        <v>43050</v>
      </c>
      <c r="D2551" s="22">
        <f>MONTH(Table3[[#This Row],[Order Date]])</f>
        <v>11</v>
      </c>
      <c r="E2551" t="s">
        <v>3455</v>
      </c>
      <c r="F2551" t="s">
        <v>3456</v>
      </c>
      <c r="G2551" s="23" t="s">
        <v>41</v>
      </c>
      <c r="H2551" s="23" t="s">
        <v>68</v>
      </c>
      <c r="I2551" t="s">
        <v>2314</v>
      </c>
      <c r="J2551" t="s">
        <v>22</v>
      </c>
      <c r="K2551" s="22">
        <v>5</v>
      </c>
      <c r="L2551" s="1">
        <v>43055</v>
      </c>
      <c r="M2551" s="22">
        <f>Table3[[#This Row],[Ship Date]]-Table3[[#This Row],[Order Date]]</f>
        <v>5</v>
      </c>
      <c r="N2551" s="23" t="s">
        <v>45</v>
      </c>
      <c r="O2551" s="23" t="s">
        <v>23</v>
      </c>
      <c r="P2551" s="23" t="s">
        <v>38</v>
      </c>
      <c r="Q2551" s="23" t="s">
        <v>39</v>
      </c>
      <c r="R2551" s="23" t="s">
        <v>37</v>
      </c>
      <c r="S2551" s="33">
        <v>0.2</v>
      </c>
      <c r="T2551" s="13">
        <v>121.6</v>
      </c>
      <c r="U2551" s="13">
        <v>39.520000000000003</v>
      </c>
      <c r="V2551" s="55">
        <f>Table3[[#This Row],[Profit]]/Table3[[#This Row],[Sales]]</f>
        <v>0.32500000000000007</v>
      </c>
    </row>
    <row r="2552" spans="1:22" x14ac:dyDescent="0.2">
      <c r="A2552">
        <v>2551</v>
      </c>
      <c r="B2552" t="s">
        <v>5702</v>
      </c>
      <c r="C2552" s="1">
        <v>43050</v>
      </c>
      <c r="D2552" s="22">
        <f>MONTH(Table3[[#This Row],[Order Date]])</f>
        <v>11</v>
      </c>
      <c r="E2552" t="s">
        <v>5703</v>
      </c>
      <c r="F2552" t="s">
        <v>5704</v>
      </c>
      <c r="G2552" s="23" t="s">
        <v>41</v>
      </c>
      <c r="H2552" s="23" t="s">
        <v>61</v>
      </c>
      <c r="I2552" t="s">
        <v>1617</v>
      </c>
      <c r="J2552" t="s">
        <v>22</v>
      </c>
      <c r="K2552" s="22">
        <v>7</v>
      </c>
      <c r="L2552" s="1">
        <v>43057</v>
      </c>
      <c r="M2552" s="22">
        <f>Table3[[#This Row],[Ship Date]]-Table3[[#This Row],[Order Date]]</f>
        <v>7</v>
      </c>
      <c r="N2552" s="23" t="s">
        <v>45</v>
      </c>
      <c r="O2552" s="23" t="s">
        <v>23</v>
      </c>
      <c r="P2552" s="23" t="s">
        <v>212</v>
      </c>
      <c r="Q2552" s="23" t="s">
        <v>95</v>
      </c>
      <c r="R2552" s="23" t="s">
        <v>775</v>
      </c>
      <c r="S2552" s="33">
        <v>0</v>
      </c>
      <c r="T2552" s="13">
        <v>181.86</v>
      </c>
      <c r="U2552" s="13">
        <v>50.9208</v>
      </c>
      <c r="V2552" s="55">
        <f>Table3[[#This Row],[Profit]]/Table3[[#This Row],[Sales]]</f>
        <v>0.27999999999999997</v>
      </c>
    </row>
    <row r="2553" spans="1:22" x14ac:dyDescent="0.2">
      <c r="A2553">
        <v>2552</v>
      </c>
      <c r="B2553" t="s">
        <v>6596</v>
      </c>
      <c r="C2553" s="1">
        <v>43050</v>
      </c>
      <c r="D2553" s="22">
        <f>MONTH(Table3[[#This Row],[Order Date]])</f>
        <v>11</v>
      </c>
      <c r="E2553" t="s">
        <v>963</v>
      </c>
      <c r="F2553" t="s">
        <v>964</v>
      </c>
      <c r="G2553" s="23" t="s">
        <v>41</v>
      </c>
      <c r="H2553" s="23" t="s">
        <v>240</v>
      </c>
      <c r="I2553" t="s">
        <v>4484</v>
      </c>
      <c r="J2553" t="s">
        <v>22</v>
      </c>
      <c r="K2553" s="22">
        <v>4</v>
      </c>
      <c r="L2553" s="1">
        <v>43055</v>
      </c>
      <c r="M2553" s="22">
        <f>Table3[[#This Row],[Ship Date]]-Table3[[#This Row],[Order Date]]</f>
        <v>5</v>
      </c>
      <c r="N2553" s="23" t="s">
        <v>45</v>
      </c>
      <c r="O2553" s="23" t="s">
        <v>23</v>
      </c>
      <c r="P2553" s="23" t="s">
        <v>433</v>
      </c>
      <c r="Q2553" s="23" t="s">
        <v>95</v>
      </c>
      <c r="R2553" s="23" t="s">
        <v>432</v>
      </c>
      <c r="S2553" s="33">
        <v>0</v>
      </c>
      <c r="T2553" s="13">
        <v>45.92</v>
      </c>
      <c r="U2553" s="13">
        <v>21.5824</v>
      </c>
      <c r="V2553" s="55">
        <f>Table3[[#This Row],[Profit]]/Table3[[#This Row],[Sales]]</f>
        <v>0.47</v>
      </c>
    </row>
    <row r="2554" spans="1:22" x14ac:dyDescent="0.2">
      <c r="A2554">
        <v>2553</v>
      </c>
      <c r="B2554" t="s">
        <v>7226</v>
      </c>
      <c r="C2554" s="1">
        <v>43050</v>
      </c>
      <c r="D2554" s="22">
        <f>MONTH(Table3[[#This Row],[Order Date]])</f>
        <v>11</v>
      </c>
      <c r="E2554" t="s">
        <v>1797</v>
      </c>
      <c r="F2554" t="s">
        <v>1798</v>
      </c>
      <c r="G2554" s="23" t="s">
        <v>41</v>
      </c>
      <c r="H2554" s="23" t="s">
        <v>68</v>
      </c>
      <c r="I2554" t="s">
        <v>2504</v>
      </c>
      <c r="J2554" t="s">
        <v>92</v>
      </c>
      <c r="K2554" s="22">
        <v>3</v>
      </c>
      <c r="L2554" s="1">
        <v>43056</v>
      </c>
      <c r="M2554" s="22">
        <f>Table3[[#This Row],[Ship Date]]-Table3[[#This Row],[Order Date]]</f>
        <v>6</v>
      </c>
      <c r="N2554" s="23" t="s">
        <v>45</v>
      </c>
      <c r="O2554" s="23" t="s">
        <v>23</v>
      </c>
      <c r="P2554" s="23" t="s">
        <v>103</v>
      </c>
      <c r="Q2554" s="23" t="s">
        <v>95</v>
      </c>
      <c r="R2554" s="23" t="s">
        <v>2242</v>
      </c>
      <c r="S2554" s="33">
        <v>0</v>
      </c>
      <c r="T2554" s="13">
        <v>18.239999999999998</v>
      </c>
      <c r="U2554" s="13">
        <v>8.5728000000000009</v>
      </c>
      <c r="V2554" s="55">
        <f>Table3[[#This Row],[Profit]]/Table3[[#This Row],[Sales]]</f>
        <v>0.47000000000000008</v>
      </c>
    </row>
    <row r="2555" spans="1:22" x14ac:dyDescent="0.2">
      <c r="A2555">
        <v>2554</v>
      </c>
      <c r="B2555" t="s">
        <v>7256</v>
      </c>
      <c r="C2555" s="1">
        <v>43050</v>
      </c>
      <c r="D2555" s="22">
        <f>MONTH(Table3[[#This Row],[Order Date]])</f>
        <v>11</v>
      </c>
      <c r="E2555" t="s">
        <v>3599</v>
      </c>
      <c r="F2555" t="s">
        <v>3600</v>
      </c>
      <c r="G2555" s="23" t="s">
        <v>41</v>
      </c>
      <c r="H2555" s="23" t="s">
        <v>53</v>
      </c>
      <c r="I2555" t="s">
        <v>2644</v>
      </c>
      <c r="J2555" t="s">
        <v>22</v>
      </c>
      <c r="K2555" s="22">
        <v>1</v>
      </c>
      <c r="L2555" s="1">
        <v>43056</v>
      </c>
      <c r="M2555" s="22">
        <f>Table3[[#This Row],[Ship Date]]-Table3[[#This Row],[Order Date]]</f>
        <v>6</v>
      </c>
      <c r="N2555" s="23" t="s">
        <v>45</v>
      </c>
      <c r="O2555" s="23" t="s">
        <v>23</v>
      </c>
      <c r="P2555" s="23" t="s">
        <v>238</v>
      </c>
      <c r="Q2555" s="23" t="s">
        <v>133</v>
      </c>
      <c r="R2555" s="23" t="s">
        <v>237</v>
      </c>
      <c r="S2555" s="33">
        <v>0</v>
      </c>
      <c r="T2555" s="13">
        <v>35.479999999999997</v>
      </c>
      <c r="U2555" s="13">
        <v>0</v>
      </c>
      <c r="V2555" s="55">
        <f>Table3[[#This Row],[Profit]]/Table3[[#This Row],[Sales]]</f>
        <v>0</v>
      </c>
    </row>
    <row r="2556" spans="1:22" x14ac:dyDescent="0.2">
      <c r="A2556">
        <v>2555</v>
      </c>
      <c r="B2556" t="s">
        <v>8446</v>
      </c>
      <c r="C2556" s="1">
        <v>43050</v>
      </c>
      <c r="D2556" s="22">
        <f>MONTH(Table3[[#This Row],[Order Date]])</f>
        <v>11</v>
      </c>
      <c r="E2556" t="s">
        <v>4990</v>
      </c>
      <c r="F2556" t="s">
        <v>4991</v>
      </c>
      <c r="G2556" s="23" t="s">
        <v>41</v>
      </c>
      <c r="H2556" s="23" t="s">
        <v>71</v>
      </c>
      <c r="I2556" t="s">
        <v>1355</v>
      </c>
      <c r="J2556" t="s">
        <v>36</v>
      </c>
      <c r="K2556" s="22">
        <v>5</v>
      </c>
      <c r="L2556" s="1">
        <v>43055</v>
      </c>
      <c r="M2556" s="22">
        <f>Table3[[#This Row],[Ship Date]]-Table3[[#This Row],[Order Date]]</f>
        <v>5</v>
      </c>
      <c r="N2556" s="23" t="s">
        <v>20</v>
      </c>
      <c r="O2556" s="23" t="s">
        <v>23</v>
      </c>
      <c r="P2556" s="23" t="s">
        <v>48</v>
      </c>
      <c r="Q2556" s="23" t="s">
        <v>26</v>
      </c>
      <c r="R2556" s="23" t="s">
        <v>47</v>
      </c>
      <c r="S2556" s="33">
        <v>0.2</v>
      </c>
      <c r="T2556" s="13">
        <v>1158.1199999999999</v>
      </c>
      <c r="U2556" s="13">
        <v>130.2885</v>
      </c>
      <c r="V2556" s="55">
        <f>Table3[[#This Row],[Profit]]/Table3[[#This Row],[Sales]]</f>
        <v>0.11250000000000002</v>
      </c>
    </row>
    <row r="2557" spans="1:22" x14ac:dyDescent="0.2">
      <c r="A2557">
        <v>2556</v>
      </c>
      <c r="B2557" t="s">
        <v>8707</v>
      </c>
      <c r="C2557" s="1">
        <v>43050</v>
      </c>
      <c r="D2557" s="22">
        <f>MONTH(Table3[[#This Row],[Order Date]])</f>
        <v>11</v>
      </c>
      <c r="E2557" t="s">
        <v>2207</v>
      </c>
      <c r="F2557" t="s">
        <v>2208</v>
      </c>
      <c r="G2557" s="23" t="s">
        <v>28</v>
      </c>
      <c r="H2557" s="23" t="s">
        <v>58</v>
      </c>
      <c r="I2557" t="s">
        <v>5331</v>
      </c>
      <c r="J2557" t="s">
        <v>22</v>
      </c>
      <c r="K2557" s="22">
        <v>5</v>
      </c>
      <c r="L2557" s="1">
        <v>43053</v>
      </c>
      <c r="M2557" s="22">
        <f>Table3[[#This Row],[Ship Date]]-Table3[[#This Row],[Order Date]]</f>
        <v>3</v>
      </c>
      <c r="N2557" s="23" t="s">
        <v>169</v>
      </c>
      <c r="O2557" s="23" t="s">
        <v>23</v>
      </c>
      <c r="P2557" s="23" t="s">
        <v>299</v>
      </c>
      <c r="Q2557" s="23" t="s">
        <v>26</v>
      </c>
      <c r="R2557" s="23" t="s">
        <v>4558</v>
      </c>
      <c r="S2557" s="33">
        <v>0.2</v>
      </c>
      <c r="T2557" s="13">
        <v>88.92</v>
      </c>
      <c r="U2557" s="13">
        <v>14.4495</v>
      </c>
      <c r="V2557" s="55">
        <f>Table3[[#This Row],[Profit]]/Table3[[#This Row],[Sales]]</f>
        <v>0.16250000000000001</v>
      </c>
    </row>
    <row r="2558" spans="1:22" x14ac:dyDescent="0.2">
      <c r="A2558">
        <v>2557</v>
      </c>
      <c r="B2558" t="s">
        <v>8716</v>
      </c>
      <c r="C2558" s="1">
        <v>43050</v>
      </c>
      <c r="D2558" s="22">
        <f>MONTH(Table3[[#This Row],[Order Date]])</f>
        <v>11</v>
      </c>
      <c r="E2558" t="s">
        <v>2397</v>
      </c>
      <c r="F2558" t="s">
        <v>2398</v>
      </c>
      <c r="G2558" s="23" t="s">
        <v>28</v>
      </c>
      <c r="H2558" s="23" t="s">
        <v>58</v>
      </c>
      <c r="I2558" t="s">
        <v>2562</v>
      </c>
      <c r="J2558" t="s">
        <v>92</v>
      </c>
      <c r="K2558" s="22">
        <v>4</v>
      </c>
      <c r="L2558" s="1">
        <v>43054</v>
      </c>
      <c r="M2558" s="22">
        <f>Table3[[#This Row],[Ship Date]]-Table3[[#This Row],[Order Date]]</f>
        <v>4</v>
      </c>
      <c r="N2558" s="23" t="s">
        <v>20</v>
      </c>
      <c r="O2558" s="23" t="s">
        <v>23</v>
      </c>
      <c r="P2558" s="23" t="s">
        <v>38</v>
      </c>
      <c r="Q2558" s="23" t="s">
        <v>39</v>
      </c>
      <c r="R2558" s="23" t="s">
        <v>37</v>
      </c>
      <c r="S2558" s="33">
        <v>0</v>
      </c>
      <c r="T2558" s="13">
        <v>34.92</v>
      </c>
      <c r="U2558" s="13">
        <v>11.8728</v>
      </c>
      <c r="V2558" s="55">
        <f>Table3[[#This Row],[Profit]]/Table3[[#This Row],[Sales]]</f>
        <v>0.33999999999999997</v>
      </c>
    </row>
    <row r="2559" spans="1:22" x14ac:dyDescent="0.2">
      <c r="A2559">
        <v>2558</v>
      </c>
      <c r="B2559" t="s">
        <v>9577</v>
      </c>
      <c r="C2559" s="1">
        <v>43050</v>
      </c>
      <c r="D2559" s="22">
        <f>MONTH(Table3[[#This Row],[Order Date]])</f>
        <v>11</v>
      </c>
      <c r="E2559" t="s">
        <v>2481</v>
      </c>
      <c r="F2559" t="s">
        <v>2482</v>
      </c>
      <c r="G2559" s="23" t="s">
        <v>64</v>
      </c>
      <c r="H2559" s="23" t="s">
        <v>65</v>
      </c>
      <c r="I2559" t="s">
        <v>2260</v>
      </c>
      <c r="J2559" t="s">
        <v>22</v>
      </c>
      <c r="K2559" s="22">
        <v>2</v>
      </c>
      <c r="L2559" s="1">
        <v>43052</v>
      </c>
      <c r="M2559" s="22">
        <f>Table3[[#This Row],[Ship Date]]-Table3[[#This Row],[Order Date]]</f>
        <v>2</v>
      </c>
      <c r="N2559" s="23" t="s">
        <v>169</v>
      </c>
      <c r="O2559" s="23" t="s">
        <v>23</v>
      </c>
      <c r="P2559" s="23" t="s">
        <v>94</v>
      </c>
      <c r="Q2559" s="23" t="s">
        <v>95</v>
      </c>
      <c r="R2559" s="23" t="s">
        <v>718</v>
      </c>
      <c r="S2559" s="33">
        <v>0.2</v>
      </c>
      <c r="T2559" s="13">
        <v>35.183999999999997</v>
      </c>
      <c r="U2559" s="13">
        <v>12.314399999999999</v>
      </c>
      <c r="V2559" s="55">
        <f>Table3[[#This Row],[Profit]]/Table3[[#This Row],[Sales]]</f>
        <v>0.35</v>
      </c>
    </row>
    <row r="2560" spans="1:22" x14ac:dyDescent="0.2">
      <c r="A2560">
        <v>2559</v>
      </c>
      <c r="B2560" t="s">
        <v>9729</v>
      </c>
      <c r="C2560" s="1">
        <v>43050</v>
      </c>
      <c r="D2560" s="22">
        <f>MONTH(Table3[[#This Row],[Order Date]])</f>
        <v>11</v>
      </c>
      <c r="E2560" t="s">
        <v>7806</v>
      </c>
      <c r="F2560" t="s">
        <v>7807</v>
      </c>
      <c r="G2560" s="23" t="s">
        <v>41</v>
      </c>
      <c r="H2560" s="23" t="s">
        <v>513</v>
      </c>
      <c r="I2560" t="s">
        <v>1113</v>
      </c>
      <c r="J2560" t="s">
        <v>22</v>
      </c>
      <c r="K2560" s="22">
        <v>3</v>
      </c>
      <c r="L2560" s="1">
        <v>43053</v>
      </c>
      <c r="M2560" s="22">
        <f>Table3[[#This Row],[Ship Date]]-Table3[[#This Row],[Order Date]]</f>
        <v>3</v>
      </c>
      <c r="N2560" s="23" t="s">
        <v>20</v>
      </c>
      <c r="O2560" s="23" t="s">
        <v>23</v>
      </c>
      <c r="P2560" s="23" t="s">
        <v>4725</v>
      </c>
      <c r="Q2560" s="23" t="s">
        <v>95</v>
      </c>
      <c r="R2560" s="23" t="s">
        <v>9730</v>
      </c>
      <c r="S2560" s="33">
        <v>0</v>
      </c>
      <c r="T2560" s="13">
        <v>25.5</v>
      </c>
      <c r="U2560" s="13">
        <v>6.63</v>
      </c>
      <c r="V2560" s="55">
        <f>Table3[[#This Row],[Profit]]/Table3[[#This Row],[Sales]]</f>
        <v>0.26</v>
      </c>
    </row>
    <row r="2561" spans="1:22" x14ac:dyDescent="0.2">
      <c r="A2561">
        <v>2560</v>
      </c>
      <c r="B2561" t="s">
        <v>802</v>
      </c>
      <c r="C2561" s="1">
        <v>43051</v>
      </c>
      <c r="D2561" s="22">
        <f>MONTH(Table3[[#This Row],[Order Date]])</f>
        <v>11</v>
      </c>
      <c r="E2561" t="s">
        <v>805</v>
      </c>
      <c r="F2561" t="s">
        <v>806</v>
      </c>
      <c r="G2561" s="23" t="s">
        <v>41</v>
      </c>
      <c r="H2561" s="23" t="s">
        <v>82</v>
      </c>
      <c r="I2561" t="s">
        <v>803</v>
      </c>
      <c r="J2561" t="s">
        <v>36</v>
      </c>
      <c r="K2561" s="22">
        <v>2</v>
      </c>
      <c r="L2561" s="1">
        <v>43055</v>
      </c>
      <c r="M2561" s="22">
        <f>Table3[[#This Row],[Ship Date]]-Table3[[#This Row],[Order Date]]</f>
        <v>4</v>
      </c>
      <c r="N2561" s="23" t="s">
        <v>45</v>
      </c>
      <c r="O2561" s="23" t="s">
        <v>23</v>
      </c>
      <c r="P2561" s="23" t="s">
        <v>38</v>
      </c>
      <c r="Q2561" s="23" t="s">
        <v>39</v>
      </c>
      <c r="R2561" s="23" t="s">
        <v>804</v>
      </c>
      <c r="S2561" s="33">
        <v>0</v>
      </c>
      <c r="T2561" s="13">
        <v>10.56</v>
      </c>
      <c r="U2561" s="13">
        <v>4.7519999999999998</v>
      </c>
      <c r="V2561" s="55">
        <f>Table3[[#This Row],[Profit]]/Table3[[#This Row],[Sales]]</f>
        <v>0.44999999999999996</v>
      </c>
    </row>
    <row r="2562" spans="1:22" x14ac:dyDescent="0.2">
      <c r="A2562">
        <v>2561</v>
      </c>
      <c r="B2562" t="s">
        <v>1534</v>
      </c>
      <c r="C2562" s="1">
        <v>43051</v>
      </c>
      <c r="D2562" s="22">
        <f>MONTH(Table3[[#This Row],[Order Date]])</f>
        <v>11</v>
      </c>
      <c r="E2562" t="s">
        <v>482</v>
      </c>
      <c r="F2562" t="s">
        <v>483</v>
      </c>
      <c r="G2562" s="23" t="s">
        <v>41</v>
      </c>
      <c r="H2562" s="23" t="s">
        <v>68</v>
      </c>
      <c r="I2562" t="s">
        <v>1394</v>
      </c>
      <c r="J2562" t="s">
        <v>36</v>
      </c>
      <c r="K2562" s="22">
        <v>5</v>
      </c>
      <c r="L2562" s="1">
        <v>43054</v>
      </c>
      <c r="M2562" s="22">
        <f>Table3[[#This Row],[Ship Date]]-Table3[[#This Row],[Order Date]]</f>
        <v>3</v>
      </c>
      <c r="N2562" s="23" t="s">
        <v>20</v>
      </c>
      <c r="O2562" s="23" t="s">
        <v>23</v>
      </c>
      <c r="P2562" s="23" t="s">
        <v>238</v>
      </c>
      <c r="Q2562" s="23" t="s">
        <v>133</v>
      </c>
      <c r="R2562" s="23" t="s">
        <v>237</v>
      </c>
      <c r="S2562" s="33">
        <v>0.2</v>
      </c>
      <c r="T2562" s="13">
        <v>15.92</v>
      </c>
      <c r="U2562" s="13">
        <v>5.3730000000000002</v>
      </c>
      <c r="V2562" s="55">
        <f>Table3[[#This Row],[Profit]]/Table3[[#This Row],[Sales]]</f>
        <v>0.33750000000000002</v>
      </c>
    </row>
    <row r="2563" spans="1:22" x14ac:dyDescent="0.2">
      <c r="A2563">
        <v>2562</v>
      </c>
      <c r="B2563" t="s">
        <v>3543</v>
      </c>
      <c r="C2563" s="1">
        <v>43051</v>
      </c>
      <c r="D2563" s="22">
        <f>MONTH(Table3[[#This Row],[Order Date]])</f>
        <v>11</v>
      </c>
      <c r="E2563" t="s">
        <v>702</v>
      </c>
      <c r="F2563" t="s">
        <v>703</v>
      </c>
      <c r="G2563" s="23" t="s">
        <v>41</v>
      </c>
      <c r="H2563" s="23" t="s">
        <v>82</v>
      </c>
      <c r="I2563" t="s">
        <v>1207</v>
      </c>
      <c r="J2563" t="s">
        <v>22</v>
      </c>
      <c r="K2563" s="22">
        <v>3</v>
      </c>
      <c r="L2563" s="1">
        <v>43057</v>
      </c>
      <c r="M2563" s="22">
        <f>Table3[[#This Row],[Ship Date]]-Table3[[#This Row],[Order Date]]</f>
        <v>6</v>
      </c>
      <c r="N2563" s="23" t="s">
        <v>45</v>
      </c>
      <c r="O2563" s="23" t="s">
        <v>23</v>
      </c>
      <c r="P2563" s="23" t="s">
        <v>94</v>
      </c>
      <c r="Q2563" s="23" t="s">
        <v>95</v>
      </c>
      <c r="R2563" s="23" t="s">
        <v>1095</v>
      </c>
      <c r="S2563" s="33">
        <v>0.2</v>
      </c>
      <c r="T2563" s="13">
        <v>16.056000000000001</v>
      </c>
      <c r="U2563" s="13">
        <v>5.8202999999999996</v>
      </c>
      <c r="V2563" s="55">
        <f>Table3[[#This Row],[Profit]]/Table3[[#This Row],[Sales]]</f>
        <v>0.36249999999999993</v>
      </c>
    </row>
    <row r="2564" spans="1:22" x14ac:dyDescent="0.2">
      <c r="A2564">
        <v>2563</v>
      </c>
      <c r="B2564" t="s">
        <v>3543</v>
      </c>
      <c r="C2564" s="1">
        <v>43051</v>
      </c>
      <c r="D2564" s="22">
        <f>MONTH(Table3[[#This Row],[Order Date]])</f>
        <v>11</v>
      </c>
      <c r="E2564" t="s">
        <v>3544</v>
      </c>
      <c r="F2564" t="s">
        <v>3545</v>
      </c>
      <c r="G2564" s="23" t="s">
        <v>41</v>
      </c>
      <c r="H2564" s="23" t="s">
        <v>82</v>
      </c>
      <c r="I2564" t="s">
        <v>1207</v>
      </c>
      <c r="J2564" t="s">
        <v>22</v>
      </c>
      <c r="K2564" s="22">
        <v>9</v>
      </c>
      <c r="L2564" s="1">
        <v>43057</v>
      </c>
      <c r="M2564" s="22">
        <f>Table3[[#This Row],[Ship Date]]-Table3[[#This Row],[Order Date]]</f>
        <v>6</v>
      </c>
      <c r="N2564" s="23" t="s">
        <v>45</v>
      </c>
      <c r="O2564" s="23" t="s">
        <v>23</v>
      </c>
      <c r="P2564" s="23" t="s">
        <v>94</v>
      </c>
      <c r="Q2564" s="23" t="s">
        <v>95</v>
      </c>
      <c r="R2564" s="23" t="s">
        <v>1095</v>
      </c>
      <c r="S2564" s="33">
        <v>0.2</v>
      </c>
      <c r="T2564" s="13">
        <v>223.05600000000001</v>
      </c>
      <c r="U2564" s="13">
        <v>69.704999999999998</v>
      </c>
      <c r="V2564" s="55">
        <f>Table3[[#This Row],[Profit]]/Table3[[#This Row],[Sales]]</f>
        <v>0.3125</v>
      </c>
    </row>
    <row r="2565" spans="1:22" x14ac:dyDescent="0.2">
      <c r="A2565">
        <v>2564</v>
      </c>
      <c r="B2565" t="s">
        <v>3543</v>
      </c>
      <c r="C2565" s="1">
        <v>43051</v>
      </c>
      <c r="D2565" s="22">
        <f>MONTH(Table3[[#This Row],[Order Date]])</f>
        <v>11</v>
      </c>
      <c r="E2565" t="s">
        <v>3101</v>
      </c>
      <c r="F2565" t="s">
        <v>3102</v>
      </c>
      <c r="G2565" s="23" t="s">
        <v>41</v>
      </c>
      <c r="H2565" s="23" t="s">
        <v>53</v>
      </c>
      <c r="I2565" t="s">
        <v>1207</v>
      </c>
      <c r="J2565" t="s">
        <v>22</v>
      </c>
      <c r="K2565" s="22">
        <v>3</v>
      </c>
      <c r="L2565" s="1">
        <v>43057</v>
      </c>
      <c r="M2565" s="22">
        <f>Table3[[#This Row],[Ship Date]]-Table3[[#This Row],[Order Date]]</f>
        <v>6</v>
      </c>
      <c r="N2565" s="23" t="s">
        <v>45</v>
      </c>
      <c r="O2565" s="23" t="s">
        <v>23</v>
      </c>
      <c r="P2565" s="23" t="s">
        <v>94</v>
      </c>
      <c r="Q2565" s="23" t="s">
        <v>95</v>
      </c>
      <c r="R2565" s="23" t="s">
        <v>1095</v>
      </c>
      <c r="S2565" s="33">
        <v>0.2</v>
      </c>
      <c r="T2565" s="13">
        <v>540.048</v>
      </c>
      <c r="U2565" s="13">
        <v>-47.254199999999997</v>
      </c>
      <c r="V2565" s="55">
        <f>Table3[[#This Row],[Profit]]/Table3[[#This Row],[Sales]]</f>
        <v>-8.7499999999999994E-2</v>
      </c>
    </row>
    <row r="2566" spans="1:22" x14ac:dyDescent="0.2">
      <c r="A2566">
        <v>2565</v>
      </c>
      <c r="B2566" t="s">
        <v>4117</v>
      </c>
      <c r="C2566" s="1">
        <v>43051</v>
      </c>
      <c r="D2566" s="22">
        <f>MONTH(Table3[[#This Row],[Order Date]])</f>
        <v>11</v>
      </c>
      <c r="E2566" t="s">
        <v>4118</v>
      </c>
      <c r="F2566" t="s">
        <v>4119</v>
      </c>
      <c r="G2566" s="23" t="s">
        <v>64</v>
      </c>
      <c r="H2566" s="23" t="s">
        <v>65</v>
      </c>
      <c r="I2566" t="s">
        <v>1800</v>
      </c>
      <c r="J2566" t="s">
        <v>36</v>
      </c>
      <c r="K2566" s="22">
        <v>3</v>
      </c>
      <c r="L2566" s="1">
        <v>43051</v>
      </c>
      <c r="M2566" s="22">
        <f>Table3[[#This Row],[Ship Date]]-Table3[[#This Row],[Order Date]]</f>
        <v>0</v>
      </c>
      <c r="N2566" s="23" t="s">
        <v>1141</v>
      </c>
      <c r="O2566" s="23" t="s">
        <v>23</v>
      </c>
      <c r="P2566" s="23" t="s">
        <v>441</v>
      </c>
      <c r="Q2566" s="23" t="s">
        <v>133</v>
      </c>
      <c r="R2566" s="23" t="s">
        <v>536</v>
      </c>
      <c r="S2566" s="33">
        <v>0.4</v>
      </c>
      <c r="T2566" s="13">
        <v>370.78199999999998</v>
      </c>
      <c r="U2566" s="13">
        <v>-92.695499999999996</v>
      </c>
      <c r="V2566" s="55">
        <f>Table3[[#This Row],[Profit]]/Table3[[#This Row],[Sales]]</f>
        <v>-0.25</v>
      </c>
    </row>
    <row r="2567" spans="1:22" x14ac:dyDescent="0.2">
      <c r="A2567">
        <v>2566</v>
      </c>
      <c r="B2567" t="s">
        <v>5474</v>
      </c>
      <c r="C2567" s="1">
        <v>43051</v>
      </c>
      <c r="D2567" s="22">
        <f>MONTH(Table3[[#This Row],[Order Date]])</f>
        <v>11</v>
      </c>
      <c r="E2567" t="s">
        <v>743</v>
      </c>
      <c r="F2567" t="s">
        <v>744</v>
      </c>
      <c r="G2567" s="23" t="s">
        <v>64</v>
      </c>
      <c r="H2567" s="23" t="s">
        <v>144</v>
      </c>
      <c r="I2567" t="s">
        <v>5475</v>
      </c>
      <c r="J2567" t="s">
        <v>92</v>
      </c>
      <c r="K2567" s="22">
        <v>4</v>
      </c>
      <c r="L2567" s="1">
        <v>43051</v>
      </c>
      <c r="M2567" s="22">
        <f>Table3[[#This Row],[Ship Date]]-Table3[[#This Row],[Order Date]]</f>
        <v>0</v>
      </c>
      <c r="N2567" s="23" t="s">
        <v>1141</v>
      </c>
      <c r="O2567" s="23" t="s">
        <v>23</v>
      </c>
      <c r="P2567" s="23" t="s">
        <v>277</v>
      </c>
      <c r="Q2567" s="23" t="s">
        <v>39</v>
      </c>
      <c r="R2567" s="23" t="s">
        <v>3477</v>
      </c>
      <c r="S2567" s="33">
        <v>0.2</v>
      </c>
      <c r="T2567" s="13">
        <v>41.6</v>
      </c>
      <c r="U2567" s="13">
        <v>13</v>
      </c>
      <c r="V2567" s="55">
        <f>Table3[[#This Row],[Profit]]/Table3[[#This Row],[Sales]]</f>
        <v>0.3125</v>
      </c>
    </row>
    <row r="2568" spans="1:22" x14ac:dyDescent="0.2">
      <c r="A2568">
        <v>2567</v>
      </c>
      <c r="B2568" t="s">
        <v>5474</v>
      </c>
      <c r="C2568" s="1">
        <v>43051</v>
      </c>
      <c r="D2568" s="22">
        <f>MONTH(Table3[[#This Row],[Order Date]])</f>
        <v>11</v>
      </c>
      <c r="E2568" t="s">
        <v>4307</v>
      </c>
      <c r="F2568" t="s">
        <v>4308</v>
      </c>
      <c r="G2568" s="23" t="s">
        <v>41</v>
      </c>
      <c r="H2568" s="23" t="s">
        <v>82</v>
      </c>
      <c r="I2568" t="s">
        <v>5475</v>
      </c>
      <c r="J2568" t="s">
        <v>92</v>
      </c>
      <c r="K2568" s="22">
        <v>5</v>
      </c>
      <c r="L2568" s="1">
        <v>43051</v>
      </c>
      <c r="M2568" s="22">
        <f>Table3[[#This Row],[Ship Date]]-Table3[[#This Row],[Order Date]]</f>
        <v>0</v>
      </c>
      <c r="N2568" s="23" t="s">
        <v>1141</v>
      </c>
      <c r="O2568" s="23" t="s">
        <v>23</v>
      </c>
      <c r="P2568" s="23" t="s">
        <v>277</v>
      </c>
      <c r="Q2568" s="23" t="s">
        <v>39</v>
      </c>
      <c r="R2568" s="23" t="s">
        <v>3477</v>
      </c>
      <c r="S2568" s="33">
        <v>0.2</v>
      </c>
      <c r="T2568" s="13">
        <v>23.12</v>
      </c>
      <c r="U2568" s="13">
        <v>8.3810000000000002</v>
      </c>
      <c r="V2568" s="55">
        <f>Table3[[#This Row],[Profit]]/Table3[[#This Row],[Sales]]</f>
        <v>0.36249999999999999</v>
      </c>
    </row>
    <row r="2569" spans="1:22" x14ac:dyDescent="0.2">
      <c r="A2569">
        <v>2568</v>
      </c>
      <c r="B2569" t="s">
        <v>5474</v>
      </c>
      <c r="C2569" s="1">
        <v>43051</v>
      </c>
      <c r="D2569" s="22">
        <f>MONTH(Table3[[#This Row],[Order Date]])</f>
        <v>11</v>
      </c>
      <c r="E2569" t="s">
        <v>5476</v>
      </c>
      <c r="F2569" t="s">
        <v>5477</v>
      </c>
      <c r="G2569" s="23" t="s">
        <v>28</v>
      </c>
      <c r="H2569" s="23" t="s">
        <v>32</v>
      </c>
      <c r="I2569" t="s">
        <v>5475</v>
      </c>
      <c r="J2569" t="s">
        <v>92</v>
      </c>
      <c r="K2569" s="22">
        <v>2</v>
      </c>
      <c r="L2569" s="1">
        <v>43051</v>
      </c>
      <c r="M2569" s="22">
        <f>Table3[[#This Row],[Ship Date]]-Table3[[#This Row],[Order Date]]</f>
        <v>0</v>
      </c>
      <c r="N2569" s="23" t="s">
        <v>1141</v>
      </c>
      <c r="O2569" s="23" t="s">
        <v>23</v>
      </c>
      <c r="P2569" s="23" t="s">
        <v>277</v>
      </c>
      <c r="Q2569" s="23" t="s">
        <v>39</v>
      </c>
      <c r="R2569" s="23" t="s">
        <v>3477</v>
      </c>
      <c r="S2569" s="33">
        <v>0.2</v>
      </c>
      <c r="T2569" s="13">
        <v>113.88800000000001</v>
      </c>
      <c r="U2569" s="13">
        <v>9.9651999999999994</v>
      </c>
      <c r="V2569" s="55">
        <f>Table3[[#This Row],[Profit]]/Table3[[#This Row],[Sales]]</f>
        <v>8.7499999999999994E-2</v>
      </c>
    </row>
    <row r="2570" spans="1:22" x14ac:dyDescent="0.2">
      <c r="A2570">
        <v>2569</v>
      </c>
      <c r="B2570" t="s">
        <v>5474</v>
      </c>
      <c r="C2570" s="1">
        <v>43051</v>
      </c>
      <c r="D2570" s="22">
        <f>MONTH(Table3[[#This Row],[Order Date]])</f>
        <v>11</v>
      </c>
      <c r="E2570" t="s">
        <v>5478</v>
      </c>
      <c r="F2570" t="s">
        <v>5479</v>
      </c>
      <c r="G2570" s="23" t="s">
        <v>28</v>
      </c>
      <c r="H2570" s="23" t="s">
        <v>58</v>
      </c>
      <c r="I2570" t="s">
        <v>5475</v>
      </c>
      <c r="J2570" t="s">
        <v>92</v>
      </c>
      <c r="K2570" s="22">
        <v>2</v>
      </c>
      <c r="L2570" s="1">
        <v>43051</v>
      </c>
      <c r="M2570" s="22">
        <f>Table3[[#This Row],[Ship Date]]-Table3[[#This Row],[Order Date]]</f>
        <v>0</v>
      </c>
      <c r="N2570" s="23" t="s">
        <v>1141</v>
      </c>
      <c r="O2570" s="23" t="s">
        <v>23</v>
      </c>
      <c r="P2570" s="23" t="s">
        <v>277</v>
      </c>
      <c r="Q2570" s="23" t="s">
        <v>39</v>
      </c>
      <c r="R2570" s="23" t="s">
        <v>3477</v>
      </c>
      <c r="S2570" s="33">
        <v>0.2</v>
      </c>
      <c r="T2570" s="13">
        <v>113.568</v>
      </c>
      <c r="U2570" s="13">
        <v>-5.6783999999999999</v>
      </c>
      <c r="V2570" s="55">
        <f>Table3[[#This Row],[Profit]]/Table3[[#This Row],[Sales]]</f>
        <v>-0.05</v>
      </c>
    </row>
    <row r="2571" spans="1:22" x14ac:dyDescent="0.2">
      <c r="A2571">
        <v>2570</v>
      </c>
      <c r="B2571" t="s">
        <v>5474</v>
      </c>
      <c r="C2571" s="1">
        <v>43051</v>
      </c>
      <c r="D2571" s="22">
        <f>MONTH(Table3[[#This Row],[Order Date]])</f>
        <v>11</v>
      </c>
      <c r="E2571" t="s">
        <v>1711</v>
      </c>
      <c r="F2571" t="s">
        <v>1712</v>
      </c>
      <c r="G2571" s="23" t="s">
        <v>64</v>
      </c>
      <c r="H2571" s="23" t="s">
        <v>65</v>
      </c>
      <c r="I2571" t="s">
        <v>5475</v>
      </c>
      <c r="J2571" t="s">
        <v>92</v>
      </c>
      <c r="K2571" s="22">
        <v>2</v>
      </c>
      <c r="L2571" s="1">
        <v>43051</v>
      </c>
      <c r="M2571" s="22">
        <f>Table3[[#This Row],[Ship Date]]-Table3[[#This Row],[Order Date]]</f>
        <v>0</v>
      </c>
      <c r="N2571" s="23" t="s">
        <v>1141</v>
      </c>
      <c r="O2571" s="23" t="s">
        <v>23</v>
      </c>
      <c r="P2571" s="23" t="s">
        <v>277</v>
      </c>
      <c r="Q2571" s="23" t="s">
        <v>39</v>
      </c>
      <c r="R2571" s="23" t="s">
        <v>3477</v>
      </c>
      <c r="S2571" s="33">
        <v>0.2</v>
      </c>
      <c r="T2571" s="13">
        <v>7.92</v>
      </c>
      <c r="U2571" s="13">
        <v>0.69299999999999995</v>
      </c>
      <c r="V2571" s="55">
        <f>Table3[[#This Row],[Profit]]/Table3[[#This Row],[Sales]]</f>
        <v>8.7499999999999994E-2</v>
      </c>
    </row>
    <row r="2572" spans="1:22" x14ac:dyDescent="0.2">
      <c r="A2572">
        <v>2571</v>
      </c>
      <c r="B2572" t="s">
        <v>5474</v>
      </c>
      <c r="C2572" s="1">
        <v>43051</v>
      </c>
      <c r="D2572" s="22">
        <f>MONTH(Table3[[#This Row],[Order Date]])</f>
        <v>11</v>
      </c>
      <c r="E2572" t="s">
        <v>5480</v>
      </c>
      <c r="F2572" t="s">
        <v>5481</v>
      </c>
      <c r="G2572" s="23" t="s">
        <v>64</v>
      </c>
      <c r="H2572" s="23" t="s">
        <v>65</v>
      </c>
      <c r="I2572" t="s">
        <v>5475</v>
      </c>
      <c r="J2572" t="s">
        <v>92</v>
      </c>
      <c r="K2572" s="22">
        <v>2</v>
      </c>
      <c r="L2572" s="1">
        <v>43051</v>
      </c>
      <c r="M2572" s="22">
        <f>Table3[[#This Row],[Ship Date]]-Table3[[#This Row],[Order Date]]</f>
        <v>0</v>
      </c>
      <c r="N2572" s="23" t="s">
        <v>1141</v>
      </c>
      <c r="O2572" s="23" t="s">
        <v>23</v>
      </c>
      <c r="P2572" s="23" t="s">
        <v>277</v>
      </c>
      <c r="Q2572" s="23" t="s">
        <v>39</v>
      </c>
      <c r="R2572" s="23" t="s">
        <v>3477</v>
      </c>
      <c r="S2572" s="33">
        <v>0.2</v>
      </c>
      <c r="T2572" s="13">
        <v>671.98400000000004</v>
      </c>
      <c r="U2572" s="13">
        <v>50.398800000000001</v>
      </c>
      <c r="V2572" s="55">
        <f>Table3[[#This Row],[Profit]]/Table3[[#This Row],[Sales]]</f>
        <v>7.4999999999999997E-2</v>
      </c>
    </row>
    <row r="2573" spans="1:22" x14ac:dyDescent="0.2">
      <c r="A2573">
        <v>2572</v>
      </c>
      <c r="B2573" t="s">
        <v>5664</v>
      </c>
      <c r="C2573" s="1">
        <v>43051</v>
      </c>
      <c r="D2573" s="22">
        <f>MONTH(Table3[[#This Row],[Order Date]])</f>
        <v>11</v>
      </c>
      <c r="E2573" t="s">
        <v>3449</v>
      </c>
      <c r="F2573" t="s">
        <v>3450</v>
      </c>
      <c r="G2573" s="23" t="s">
        <v>41</v>
      </c>
      <c r="H2573" s="23" t="s">
        <v>68</v>
      </c>
      <c r="I2573" t="s">
        <v>487</v>
      </c>
      <c r="J2573" t="s">
        <v>92</v>
      </c>
      <c r="K2573" s="22">
        <v>5</v>
      </c>
      <c r="L2573" s="1">
        <v>43057</v>
      </c>
      <c r="M2573" s="22">
        <f>Table3[[#This Row],[Ship Date]]-Table3[[#This Row],[Order Date]]</f>
        <v>6</v>
      </c>
      <c r="N2573" s="23" t="s">
        <v>45</v>
      </c>
      <c r="O2573" s="23" t="s">
        <v>23</v>
      </c>
      <c r="P2573" s="23" t="s">
        <v>94</v>
      </c>
      <c r="Q2573" s="23" t="s">
        <v>95</v>
      </c>
      <c r="R2573" s="23" t="s">
        <v>718</v>
      </c>
      <c r="S2573" s="33">
        <v>0.8</v>
      </c>
      <c r="T2573" s="13">
        <v>30.56</v>
      </c>
      <c r="U2573" s="13">
        <v>-45.84</v>
      </c>
      <c r="V2573" s="55">
        <f>Table3[[#This Row],[Profit]]/Table3[[#This Row],[Sales]]</f>
        <v>-1.5000000000000002</v>
      </c>
    </row>
    <row r="2574" spans="1:22" x14ac:dyDescent="0.2">
      <c r="A2574">
        <v>2573</v>
      </c>
      <c r="B2574" t="s">
        <v>5664</v>
      </c>
      <c r="C2574" s="1">
        <v>43051</v>
      </c>
      <c r="D2574" s="22">
        <f>MONTH(Table3[[#This Row],[Order Date]])</f>
        <v>11</v>
      </c>
      <c r="E2574" t="s">
        <v>1953</v>
      </c>
      <c r="F2574" t="s">
        <v>1954</v>
      </c>
      <c r="G2574" s="23" t="s">
        <v>41</v>
      </c>
      <c r="H2574" s="23" t="s">
        <v>53</v>
      </c>
      <c r="I2574" t="s">
        <v>487</v>
      </c>
      <c r="J2574" t="s">
        <v>92</v>
      </c>
      <c r="K2574" s="22">
        <v>3</v>
      </c>
      <c r="L2574" s="1">
        <v>43057</v>
      </c>
      <c r="M2574" s="22">
        <f>Table3[[#This Row],[Ship Date]]-Table3[[#This Row],[Order Date]]</f>
        <v>6</v>
      </c>
      <c r="N2574" s="23" t="s">
        <v>45</v>
      </c>
      <c r="O2574" s="23" t="s">
        <v>23</v>
      </c>
      <c r="P2574" s="23" t="s">
        <v>94</v>
      </c>
      <c r="Q2574" s="23" t="s">
        <v>95</v>
      </c>
      <c r="R2574" s="23" t="s">
        <v>718</v>
      </c>
      <c r="S2574" s="33">
        <v>0.2</v>
      </c>
      <c r="T2574" s="13">
        <v>77.951999999999998</v>
      </c>
      <c r="U2574" s="13">
        <v>-15.590400000000001</v>
      </c>
      <c r="V2574" s="55">
        <f>Table3[[#This Row],[Profit]]/Table3[[#This Row],[Sales]]</f>
        <v>-0.2</v>
      </c>
    </row>
    <row r="2575" spans="1:22" x14ac:dyDescent="0.2">
      <c r="A2575">
        <v>2574</v>
      </c>
      <c r="B2575" t="s">
        <v>5664</v>
      </c>
      <c r="C2575" s="1">
        <v>43051</v>
      </c>
      <c r="D2575" s="22">
        <f>MONTH(Table3[[#This Row],[Order Date]])</f>
        <v>11</v>
      </c>
      <c r="E2575" t="s">
        <v>5665</v>
      </c>
      <c r="F2575" t="s">
        <v>5666</v>
      </c>
      <c r="G2575" s="23" t="s">
        <v>64</v>
      </c>
      <c r="H2575" s="23" t="s">
        <v>65</v>
      </c>
      <c r="I2575" t="s">
        <v>487</v>
      </c>
      <c r="J2575" t="s">
        <v>92</v>
      </c>
      <c r="K2575" s="22">
        <v>1</v>
      </c>
      <c r="L2575" s="1">
        <v>43057</v>
      </c>
      <c r="M2575" s="22">
        <f>Table3[[#This Row],[Ship Date]]-Table3[[#This Row],[Order Date]]</f>
        <v>6</v>
      </c>
      <c r="N2575" s="23" t="s">
        <v>45</v>
      </c>
      <c r="O2575" s="23" t="s">
        <v>23</v>
      </c>
      <c r="P2575" s="23" t="s">
        <v>94</v>
      </c>
      <c r="Q2575" s="23" t="s">
        <v>95</v>
      </c>
      <c r="R2575" s="23" t="s">
        <v>718</v>
      </c>
      <c r="S2575" s="33">
        <v>0.2</v>
      </c>
      <c r="T2575" s="13">
        <v>67.992000000000004</v>
      </c>
      <c r="U2575" s="13">
        <v>8.4990000000000006</v>
      </c>
      <c r="V2575" s="55">
        <f>Table3[[#This Row],[Profit]]/Table3[[#This Row],[Sales]]</f>
        <v>0.125</v>
      </c>
    </row>
    <row r="2576" spans="1:22" x14ac:dyDescent="0.2">
      <c r="A2576">
        <v>2575</v>
      </c>
      <c r="B2576" t="s">
        <v>5664</v>
      </c>
      <c r="C2576" s="1">
        <v>43051</v>
      </c>
      <c r="D2576" s="22">
        <f>MONTH(Table3[[#This Row],[Order Date]])</f>
        <v>11</v>
      </c>
      <c r="E2576" t="s">
        <v>2016</v>
      </c>
      <c r="F2576" t="s">
        <v>2017</v>
      </c>
      <c r="G2576" s="23" t="s">
        <v>41</v>
      </c>
      <c r="H2576" s="23" t="s">
        <v>155</v>
      </c>
      <c r="I2576" t="s">
        <v>487</v>
      </c>
      <c r="J2576" t="s">
        <v>92</v>
      </c>
      <c r="K2576" s="22">
        <v>2</v>
      </c>
      <c r="L2576" s="1">
        <v>43057</v>
      </c>
      <c r="M2576" s="22">
        <f>Table3[[#This Row],[Ship Date]]-Table3[[#This Row],[Order Date]]</f>
        <v>6</v>
      </c>
      <c r="N2576" s="23" t="s">
        <v>45</v>
      </c>
      <c r="O2576" s="23" t="s">
        <v>23</v>
      </c>
      <c r="P2576" s="23" t="s">
        <v>94</v>
      </c>
      <c r="Q2576" s="23" t="s">
        <v>95</v>
      </c>
      <c r="R2576" s="23" t="s">
        <v>718</v>
      </c>
      <c r="S2576" s="33">
        <v>0.2</v>
      </c>
      <c r="T2576" s="13">
        <v>12.224</v>
      </c>
      <c r="U2576" s="13">
        <v>4.4311999999999996</v>
      </c>
      <c r="V2576" s="55">
        <f>Table3[[#This Row],[Profit]]/Table3[[#This Row],[Sales]]</f>
        <v>0.36249999999999993</v>
      </c>
    </row>
    <row r="2577" spans="1:22" x14ac:dyDescent="0.2">
      <c r="A2577">
        <v>2576</v>
      </c>
      <c r="B2577" t="s">
        <v>5664</v>
      </c>
      <c r="C2577" s="1">
        <v>43051</v>
      </c>
      <c r="D2577" s="22">
        <f>MONTH(Table3[[#This Row],[Order Date]])</f>
        <v>11</v>
      </c>
      <c r="E2577" t="s">
        <v>3988</v>
      </c>
      <c r="F2577" t="s">
        <v>3989</v>
      </c>
      <c r="G2577" s="23" t="s">
        <v>64</v>
      </c>
      <c r="H2577" s="23" t="s">
        <v>144</v>
      </c>
      <c r="I2577" t="s">
        <v>487</v>
      </c>
      <c r="J2577" t="s">
        <v>92</v>
      </c>
      <c r="K2577" s="22">
        <v>2</v>
      </c>
      <c r="L2577" s="1">
        <v>43057</v>
      </c>
      <c r="M2577" s="22">
        <f>Table3[[#This Row],[Ship Date]]-Table3[[#This Row],[Order Date]]</f>
        <v>6</v>
      </c>
      <c r="N2577" s="23" t="s">
        <v>45</v>
      </c>
      <c r="O2577" s="23" t="s">
        <v>23</v>
      </c>
      <c r="P2577" s="23" t="s">
        <v>94</v>
      </c>
      <c r="Q2577" s="23" t="s">
        <v>95</v>
      </c>
      <c r="R2577" s="23" t="s">
        <v>718</v>
      </c>
      <c r="S2577" s="33">
        <v>0.2</v>
      </c>
      <c r="T2577" s="13">
        <v>44.783999999999999</v>
      </c>
      <c r="U2577" s="13">
        <v>-0.55979999999999996</v>
      </c>
      <c r="V2577" s="55">
        <f>Table3[[#This Row],[Profit]]/Table3[[#This Row],[Sales]]</f>
        <v>-1.2499999999999999E-2</v>
      </c>
    </row>
    <row r="2578" spans="1:22" x14ac:dyDescent="0.2">
      <c r="A2578">
        <v>2577</v>
      </c>
      <c r="B2578" t="s">
        <v>5664</v>
      </c>
      <c r="C2578" s="1">
        <v>43051</v>
      </c>
      <c r="D2578" s="22">
        <f>MONTH(Table3[[#This Row],[Order Date]])</f>
        <v>11</v>
      </c>
      <c r="E2578" t="s">
        <v>1007</v>
      </c>
      <c r="F2578" t="s">
        <v>1008</v>
      </c>
      <c r="G2578" s="23" t="s">
        <v>28</v>
      </c>
      <c r="H2578" s="23" t="s">
        <v>58</v>
      </c>
      <c r="I2578" t="s">
        <v>487</v>
      </c>
      <c r="J2578" t="s">
        <v>92</v>
      </c>
      <c r="K2578" s="22">
        <v>3</v>
      </c>
      <c r="L2578" s="1">
        <v>43057</v>
      </c>
      <c r="M2578" s="22">
        <f>Table3[[#This Row],[Ship Date]]-Table3[[#This Row],[Order Date]]</f>
        <v>6</v>
      </c>
      <c r="N2578" s="23" t="s">
        <v>45</v>
      </c>
      <c r="O2578" s="23" t="s">
        <v>23</v>
      </c>
      <c r="P2578" s="23" t="s">
        <v>94</v>
      </c>
      <c r="Q2578" s="23" t="s">
        <v>95</v>
      </c>
      <c r="R2578" s="23" t="s">
        <v>718</v>
      </c>
      <c r="S2578" s="33">
        <v>0.6</v>
      </c>
      <c r="T2578" s="13">
        <v>22.847999999999999</v>
      </c>
      <c r="U2578" s="13">
        <v>-17.7072</v>
      </c>
      <c r="V2578" s="55">
        <f>Table3[[#This Row],[Profit]]/Table3[[#This Row],[Sales]]</f>
        <v>-0.77500000000000002</v>
      </c>
    </row>
    <row r="2579" spans="1:22" x14ac:dyDescent="0.2">
      <c r="A2579">
        <v>2578</v>
      </c>
      <c r="B2579" t="s">
        <v>5962</v>
      </c>
      <c r="C2579" s="1">
        <v>43051</v>
      </c>
      <c r="D2579" s="22">
        <f>MONTH(Table3[[#This Row],[Order Date]])</f>
        <v>11</v>
      </c>
      <c r="E2579" t="s">
        <v>3410</v>
      </c>
      <c r="F2579" t="s">
        <v>3411</v>
      </c>
      <c r="G2579" s="23" t="s">
        <v>41</v>
      </c>
      <c r="H2579" s="23" t="s">
        <v>82</v>
      </c>
      <c r="I2579" t="s">
        <v>1814</v>
      </c>
      <c r="J2579" t="s">
        <v>36</v>
      </c>
      <c r="K2579" s="22">
        <v>2</v>
      </c>
      <c r="L2579" s="1">
        <v>43056</v>
      </c>
      <c r="M2579" s="22">
        <f>Table3[[#This Row],[Ship Date]]-Table3[[#This Row],[Order Date]]</f>
        <v>5</v>
      </c>
      <c r="N2579" s="23" t="s">
        <v>45</v>
      </c>
      <c r="O2579" s="23" t="s">
        <v>23</v>
      </c>
      <c r="P2579" s="23" t="s">
        <v>441</v>
      </c>
      <c r="Q2579" s="23" t="s">
        <v>133</v>
      </c>
      <c r="R2579" s="23" t="s">
        <v>440</v>
      </c>
      <c r="S2579" s="33">
        <v>0.2</v>
      </c>
      <c r="T2579" s="13">
        <v>10.848000000000001</v>
      </c>
      <c r="U2579" s="13">
        <v>3.5255999999999998</v>
      </c>
      <c r="V2579" s="55">
        <f>Table3[[#This Row],[Profit]]/Table3[[#This Row],[Sales]]</f>
        <v>0.32499999999999996</v>
      </c>
    </row>
    <row r="2580" spans="1:22" x14ac:dyDescent="0.2">
      <c r="A2580">
        <v>2579</v>
      </c>
      <c r="B2580" t="s">
        <v>5962</v>
      </c>
      <c r="C2580" s="1">
        <v>43051</v>
      </c>
      <c r="D2580" s="22">
        <f>MONTH(Table3[[#This Row],[Order Date]])</f>
        <v>11</v>
      </c>
      <c r="E2580" t="s">
        <v>1943</v>
      </c>
      <c r="F2580" t="s">
        <v>1944</v>
      </c>
      <c r="G2580" s="23" t="s">
        <v>64</v>
      </c>
      <c r="H2580" s="23" t="s">
        <v>144</v>
      </c>
      <c r="I2580" t="s">
        <v>1814</v>
      </c>
      <c r="J2580" t="s">
        <v>36</v>
      </c>
      <c r="K2580" s="22">
        <v>2</v>
      </c>
      <c r="L2580" s="1">
        <v>43056</v>
      </c>
      <c r="M2580" s="22">
        <f>Table3[[#This Row],[Ship Date]]-Table3[[#This Row],[Order Date]]</f>
        <v>5</v>
      </c>
      <c r="N2580" s="23" t="s">
        <v>45</v>
      </c>
      <c r="O2580" s="23" t="s">
        <v>23</v>
      </c>
      <c r="P2580" s="23" t="s">
        <v>441</v>
      </c>
      <c r="Q2580" s="23" t="s">
        <v>133</v>
      </c>
      <c r="R2580" s="23" t="s">
        <v>440</v>
      </c>
      <c r="S2580" s="33">
        <v>0.2</v>
      </c>
      <c r="T2580" s="13">
        <v>18.544</v>
      </c>
      <c r="U2580" s="13">
        <v>3.0133999999999999</v>
      </c>
      <c r="V2580" s="55">
        <f>Table3[[#This Row],[Profit]]/Table3[[#This Row],[Sales]]</f>
        <v>0.16249999999999998</v>
      </c>
    </row>
    <row r="2581" spans="1:22" x14ac:dyDescent="0.2">
      <c r="A2581">
        <v>2580</v>
      </c>
      <c r="B2581" t="s">
        <v>6989</v>
      </c>
      <c r="C2581" s="1">
        <v>43051</v>
      </c>
      <c r="D2581" s="22">
        <f>MONTH(Table3[[#This Row],[Order Date]])</f>
        <v>11</v>
      </c>
      <c r="E2581" t="s">
        <v>2362</v>
      </c>
      <c r="F2581" t="s">
        <v>2363</v>
      </c>
      <c r="G2581" s="23" t="s">
        <v>41</v>
      </c>
      <c r="H2581" s="23" t="s">
        <v>42</v>
      </c>
      <c r="I2581" t="s">
        <v>2870</v>
      </c>
      <c r="J2581" t="s">
        <v>22</v>
      </c>
      <c r="K2581" s="22">
        <v>2</v>
      </c>
      <c r="L2581" s="1">
        <v>43055</v>
      </c>
      <c r="M2581" s="22">
        <f>Table3[[#This Row],[Ship Date]]-Table3[[#This Row],[Order Date]]</f>
        <v>4</v>
      </c>
      <c r="N2581" s="23" t="s">
        <v>45</v>
      </c>
      <c r="O2581" s="23" t="s">
        <v>23</v>
      </c>
      <c r="P2581" s="23" t="s">
        <v>87</v>
      </c>
      <c r="Q2581" s="23" t="s">
        <v>39</v>
      </c>
      <c r="R2581" s="23" t="s">
        <v>86</v>
      </c>
      <c r="S2581" s="33">
        <v>0</v>
      </c>
      <c r="T2581" s="13">
        <v>9.9600000000000009</v>
      </c>
      <c r="U2581" s="13">
        <v>4.5815999999999999</v>
      </c>
      <c r="V2581" s="55">
        <f>Table3[[#This Row],[Profit]]/Table3[[#This Row],[Sales]]</f>
        <v>0.45999999999999996</v>
      </c>
    </row>
    <row r="2582" spans="1:22" x14ac:dyDescent="0.2">
      <c r="A2582">
        <v>2581</v>
      </c>
      <c r="B2582" t="s">
        <v>6989</v>
      </c>
      <c r="C2582" s="1">
        <v>43051</v>
      </c>
      <c r="D2582" s="22">
        <f>MONTH(Table3[[#This Row],[Order Date]])</f>
        <v>11</v>
      </c>
      <c r="E2582" t="s">
        <v>4797</v>
      </c>
      <c r="F2582" t="s">
        <v>4798</v>
      </c>
      <c r="G2582" s="23" t="s">
        <v>41</v>
      </c>
      <c r="H2582" s="23" t="s">
        <v>61</v>
      </c>
      <c r="I2582" t="s">
        <v>2870</v>
      </c>
      <c r="J2582" t="s">
        <v>22</v>
      </c>
      <c r="K2582" s="22">
        <v>3</v>
      </c>
      <c r="L2582" s="1">
        <v>43055</v>
      </c>
      <c r="M2582" s="22">
        <f>Table3[[#This Row],[Ship Date]]-Table3[[#This Row],[Order Date]]</f>
        <v>4</v>
      </c>
      <c r="N2582" s="23" t="s">
        <v>45</v>
      </c>
      <c r="O2582" s="23" t="s">
        <v>23</v>
      </c>
      <c r="P2582" s="23" t="s">
        <v>87</v>
      </c>
      <c r="Q2582" s="23" t="s">
        <v>39</v>
      </c>
      <c r="R2582" s="23" t="s">
        <v>86</v>
      </c>
      <c r="S2582" s="33">
        <v>0</v>
      </c>
      <c r="T2582" s="13">
        <v>9.2100000000000009</v>
      </c>
      <c r="U2582" s="13">
        <v>2.3025000000000002</v>
      </c>
      <c r="V2582" s="55">
        <f>Table3[[#This Row],[Profit]]/Table3[[#This Row],[Sales]]</f>
        <v>0.25</v>
      </c>
    </row>
    <row r="2583" spans="1:22" x14ac:dyDescent="0.2">
      <c r="A2583">
        <v>2582</v>
      </c>
      <c r="B2583" t="s">
        <v>6989</v>
      </c>
      <c r="C2583" s="1">
        <v>43051</v>
      </c>
      <c r="D2583" s="22">
        <f>MONTH(Table3[[#This Row],[Order Date]])</f>
        <v>11</v>
      </c>
      <c r="E2583" t="s">
        <v>2266</v>
      </c>
      <c r="F2583" t="s">
        <v>2267</v>
      </c>
      <c r="G2583" s="23" t="s">
        <v>41</v>
      </c>
      <c r="H2583" s="23" t="s">
        <v>513</v>
      </c>
      <c r="I2583" t="s">
        <v>2870</v>
      </c>
      <c r="J2583" t="s">
        <v>22</v>
      </c>
      <c r="K2583" s="22">
        <v>3</v>
      </c>
      <c r="L2583" s="1">
        <v>43055</v>
      </c>
      <c r="M2583" s="22">
        <f>Table3[[#This Row],[Ship Date]]-Table3[[#This Row],[Order Date]]</f>
        <v>4</v>
      </c>
      <c r="N2583" s="23" t="s">
        <v>45</v>
      </c>
      <c r="O2583" s="23" t="s">
        <v>23</v>
      </c>
      <c r="P2583" s="23" t="s">
        <v>87</v>
      </c>
      <c r="Q2583" s="23" t="s">
        <v>39</v>
      </c>
      <c r="R2583" s="23" t="s">
        <v>86</v>
      </c>
      <c r="S2583" s="33">
        <v>0</v>
      </c>
      <c r="T2583" s="13">
        <v>27.93</v>
      </c>
      <c r="U2583" s="13">
        <v>8.0997000000000003</v>
      </c>
      <c r="V2583" s="55">
        <f>Table3[[#This Row],[Profit]]/Table3[[#This Row],[Sales]]</f>
        <v>0.29000000000000004</v>
      </c>
    </row>
    <row r="2584" spans="1:22" x14ac:dyDescent="0.2">
      <c r="A2584">
        <v>2583</v>
      </c>
      <c r="B2584" t="s">
        <v>7057</v>
      </c>
      <c r="C2584" s="1">
        <v>43051</v>
      </c>
      <c r="D2584" s="22">
        <f>MONTH(Table3[[#This Row],[Order Date]])</f>
        <v>11</v>
      </c>
      <c r="E2584" t="s">
        <v>857</v>
      </c>
      <c r="F2584" t="s">
        <v>858</v>
      </c>
      <c r="G2584" s="23" t="s">
        <v>41</v>
      </c>
      <c r="H2584" s="23" t="s">
        <v>68</v>
      </c>
      <c r="I2584" t="s">
        <v>3982</v>
      </c>
      <c r="J2584" t="s">
        <v>36</v>
      </c>
      <c r="K2584" s="22">
        <v>4</v>
      </c>
      <c r="L2584" s="1">
        <v>43054</v>
      </c>
      <c r="M2584" s="22">
        <f>Table3[[#This Row],[Ship Date]]-Table3[[#This Row],[Order Date]]</f>
        <v>3</v>
      </c>
      <c r="N2584" s="23" t="s">
        <v>169</v>
      </c>
      <c r="O2584" s="23" t="s">
        <v>23</v>
      </c>
      <c r="P2584" s="23" t="s">
        <v>38</v>
      </c>
      <c r="Q2584" s="23" t="s">
        <v>39</v>
      </c>
      <c r="R2584" s="23" t="s">
        <v>37</v>
      </c>
      <c r="S2584" s="33">
        <v>0.2</v>
      </c>
      <c r="T2584" s="13">
        <v>14.016</v>
      </c>
      <c r="U2584" s="13">
        <v>4.9055999999999997</v>
      </c>
      <c r="V2584" s="55">
        <f>Table3[[#This Row],[Profit]]/Table3[[#This Row],[Sales]]</f>
        <v>0.35</v>
      </c>
    </row>
    <row r="2585" spans="1:22" x14ac:dyDescent="0.2">
      <c r="A2585">
        <v>2584</v>
      </c>
      <c r="B2585" t="s">
        <v>7980</v>
      </c>
      <c r="C2585" s="1">
        <v>43051</v>
      </c>
      <c r="D2585" s="22">
        <f>MONTH(Table3[[#This Row],[Order Date]])</f>
        <v>11</v>
      </c>
      <c r="E2585" t="s">
        <v>2856</v>
      </c>
      <c r="F2585" t="s">
        <v>498</v>
      </c>
      <c r="G2585" s="23" t="s">
        <v>41</v>
      </c>
      <c r="H2585" s="23" t="s">
        <v>240</v>
      </c>
      <c r="I2585" t="s">
        <v>705</v>
      </c>
      <c r="J2585" t="s">
        <v>22</v>
      </c>
      <c r="K2585" s="22">
        <v>3</v>
      </c>
      <c r="L2585" s="1">
        <v>43055</v>
      </c>
      <c r="M2585" s="22">
        <f>Table3[[#This Row],[Ship Date]]-Table3[[#This Row],[Order Date]]</f>
        <v>4</v>
      </c>
      <c r="N2585" s="23" t="s">
        <v>20</v>
      </c>
      <c r="O2585" s="23" t="s">
        <v>23</v>
      </c>
      <c r="P2585" s="23" t="s">
        <v>87</v>
      </c>
      <c r="Q2585" s="23" t="s">
        <v>39</v>
      </c>
      <c r="R2585" s="23" t="s">
        <v>7981</v>
      </c>
      <c r="S2585" s="33">
        <v>0</v>
      </c>
      <c r="T2585" s="13">
        <v>18.239999999999998</v>
      </c>
      <c r="U2585" s="13">
        <v>9.1199999999999992</v>
      </c>
      <c r="V2585" s="55">
        <f>Table3[[#This Row],[Profit]]/Table3[[#This Row],[Sales]]</f>
        <v>0.5</v>
      </c>
    </row>
    <row r="2586" spans="1:22" x14ac:dyDescent="0.2">
      <c r="A2586">
        <v>2585</v>
      </c>
      <c r="B2586" t="s">
        <v>7980</v>
      </c>
      <c r="C2586" s="1">
        <v>43051</v>
      </c>
      <c r="D2586" s="22">
        <f>MONTH(Table3[[#This Row],[Order Date]])</f>
        <v>11</v>
      </c>
      <c r="E2586" t="s">
        <v>1758</v>
      </c>
      <c r="F2586" t="s">
        <v>1759</v>
      </c>
      <c r="G2586" s="23" t="s">
        <v>41</v>
      </c>
      <c r="H2586" s="23" t="s">
        <v>71</v>
      </c>
      <c r="I2586" t="s">
        <v>705</v>
      </c>
      <c r="J2586" t="s">
        <v>22</v>
      </c>
      <c r="K2586" s="22">
        <v>2</v>
      </c>
      <c r="L2586" s="1">
        <v>43055</v>
      </c>
      <c r="M2586" s="22">
        <f>Table3[[#This Row],[Ship Date]]-Table3[[#This Row],[Order Date]]</f>
        <v>4</v>
      </c>
      <c r="N2586" s="23" t="s">
        <v>20</v>
      </c>
      <c r="O2586" s="23" t="s">
        <v>23</v>
      </c>
      <c r="P2586" s="23" t="s">
        <v>87</v>
      </c>
      <c r="Q2586" s="23" t="s">
        <v>39</v>
      </c>
      <c r="R2586" s="23" t="s">
        <v>7981</v>
      </c>
      <c r="S2586" s="33">
        <v>0</v>
      </c>
      <c r="T2586" s="13">
        <v>76.12</v>
      </c>
      <c r="U2586" s="13">
        <v>22.0748</v>
      </c>
      <c r="V2586" s="55">
        <f>Table3[[#This Row],[Profit]]/Table3[[#This Row],[Sales]]</f>
        <v>0.28999999999999998</v>
      </c>
    </row>
    <row r="2587" spans="1:22" x14ac:dyDescent="0.2">
      <c r="A2587">
        <v>2586</v>
      </c>
      <c r="B2587" t="s">
        <v>8878</v>
      </c>
      <c r="C2587" s="1">
        <v>43051</v>
      </c>
      <c r="D2587" s="22">
        <f>MONTH(Table3[[#This Row],[Order Date]])</f>
        <v>11</v>
      </c>
      <c r="E2587" t="s">
        <v>2244</v>
      </c>
      <c r="F2587" t="s">
        <v>2245</v>
      </c>
      <c r="G2587" s="23" t="s">
        <v>41</v>
      </c>
      <c r="H2587" s="23" t="s">
        <v>82</v>
      </c>
      <c r="I2587" t="s">
        <v>3297</v>
      </c>
      <c r="J2587" t="s">
        <v>22</v>
      </c>
      <c r="K2587" s="22">
        <v>5</v>
      </c>
      <c r="L2587" s="1">
        <v>43056</v>
      </c>
      <c r="M2587" s="22">
        <f>Table3[[#This Row],[Ship Date]]-Table3[[#This Row],[Order Date]]</f>
        <v>5</v>
      </c>
      <c r="N2587" s="23" t="s">
        <v>45</v>
      </c>
      <c r="O2587" s="23" t="s">
        <v>23</v>
      </c>
      <c r="P2587" s="23" t="s">
        <v>48</v>
      </c>
      <c r="Q2587" s="23" t="s">
        <v>26</v>
      </c>
      <c r="R2587" s="23" t="s">
        <v>5021</v>
      </c>
      <c r="S2587" s="33">
        <v>0.2</v>
      </c>
      <c r="T2587" s="13">
        <v>26.72</v>
      </c>
      <c r="U2587" s="13">
        <v>9.3520000000000003</v>
      </c>
      <c r="V2587" s="55">
        <f>Table3[[#This Row],[Profit]]/Table3[[#This Row],[Sales]]</f>
        <v>0.35000000000000003</v>
      </c>
    </row>
    <row r="2588" spans="1:22" x14ac:dyDescent="0.2">
      <c r="A2588">
        <v>2587</v>
      </c>
      <c r="B2588" t="s">
        <v>9242</v>
      </c>
      <c r="C2588" s="1">
        <v>43051</v>
      </c>
      <c r="D2588" s="22">
        <f>MONTH(Table3[[#This Row],[Order Date]])</f>
        <v>11</v>
      </c>
      <c r="E2588" t="s">
        <v>5249</v>
      </c>
      <c r="F2588" t="s">
        <v>5250</v>
      </c>
      <c r="G2588" s="23" t="s">
        <v>64</v>
      </c>
      <c r="H2588" s="23" t="s">
        <v>144</v>
      </c>
      <c r="I2588" t="s">
        <v>1046</v>
      </c>
      <c r="J2588" t="s">
        <v>36</v>
      </c>
      <c r="K2588" s="22">
        <v>6</v>
      </c>
      <c r="L2588" s="1">
        <v>43055</v>
      </c>
      <c r="M2588" s="22">
        <f>Table3[[#This Row],[Ship Date]]-Table3[[#This Row],[Order Date]]</f>
        <v>4</v>
      </c>
      <c r="N2588" s="23" t="s">
        <v>45</v>
      </c>
      <c r="O2588" s="23" t="s">
        <v>23</v>
      </c>
      <c r="P2588" s="23" t="s">
        <v>277</v>
      </c>
      <c r="Q2588" s="23" t="s">
        <v>39</v>
      </c>
      <c r="R2588" s="23" t="s">
        <v>3595</v>
      </c>
      <c r="S2588" s="33">
        <v>0.2</v>
      </c>
      <c r="T2588" s="13">
        <v>62.351999999999997</v>
      </c>
      <c r="U2588" s="13">
        <v>-10.9116</v>
      </c>
      <c r="V2588" s="55">
        <f>Table3[[#This Row],[Profit]]/Table3[[#This Row],[Sales]]</f>
        <v>-0.17500000000000002</v>
      </c>
    </row>
    <row r="2589" spans="1:22" x14ac:dyDescent="0.2">
      <c r="A2589">
        <v>2588</v>
      </c>
      <c r="B2589" t="s">
        <v>9961</v>
      </c>
      <c r="C2589" s="1">
        <v>43051</v>
      </c>
      <c r="D2589" s="22">
        <f>MONTH(Table3[[#This Row],[Order Date]])</f>
        <v>11</v>
      </c>
      <c r="E2589" t="s">
        <v>8930</v>
      </c>
      <c r="F2589" t="s">
        <v>8931</v>
      </c>
      <c r="G2589" s="23" t="s">
        <v>41</v>
      </c>
      <c r="H2589" s="23" t="s">
        <v>82</v>
      </c>
      <c r="I2589" t="s">
        <v>1617</v>
      </c>
      <c r="J2589" t="s">
        <v>22</v>
      </c>
      <c r="K2589" s="22">
        <v>2</v>
      </c>
      <c r="L2589" s="1">
        <v>43054</v>
      </c>
      <c r="M2589" s="22">
        <f>Table3[[#This Row],[Ship Date]]-Table3[[#This Row],[Order Date]]</f>
        <v>3</v>
      </c>
      <c r="N2589" s="23" t="s">
        <v>20</v>
      </c>
      <c r="O2589" s="23" t="s">
        <v>23</v>
      </c>
      <c r="P2589" s="23" t="s">
        <v>38</v>
      </c>
      <c r="Q2589" s="23" t="s">
        <v>39</v>
      </c>
      <c r="R2589" s="23" t="s">
        <v>37</v>
      </c>
      <c r="S2589" s="33">
        <v>0</v>
      </c>
      <c r="T2589" s="13">
        <v>11.56</v>
      </c>
      <c r="U2589" s="13">
        <v>5.6643999999999997</v>
      </c>
      <c r="V2589" s="55">
        <f>Table3[[#This Row],[Profit]]/Table3[[#This Row],[Sales]]</f>
        <v>0.48999999999999994</v>
      </c>
    </row>
    <row r="2590" spans="1:22" x14ac:dyDescent="0.2">
      <c r="A2590">
        <v>2589</v>
      </c>
      <c r="B2590" t="s">
        <v>10010</v>
      </c>
      <c r="C2590" s="1">
        <v>43051</v>
      </c>
      <c r="D2590" s="22">
        <f>MONTH(Table3[[#This Row],[Order Date]])</f>
        <v>11</v>
      </c>
      <c r="E2590" t="s">
        <v>3254</v>
      </c>
      <c r="F2590" t="s">
        <v>3255</v>
      </c>
      <c r="G2590" s="23" t="s">
        <v>41</v>
      </c>
      <c r="H2590" s="23" t="s">
        <v>53</v>
      </c>
      <c r="I2590" t="s">
        <v>4593</v>
      </c>
      <c r="J2590" t="s">
        <v>22</v>
      </c>
      <c r="K2590" s="22">
        <v>2</v>
      </c>
      <c r="L2590" s="1">
        <v>43053</v>
      </c>
      <c r="M2590" s="22">
        <f>Table3[[#This Row],[Ship Date]]-Table3[[#This Row],[Order Date]]</f>
        <v>2</v>
      </c>
      <c r="N2590" s="23" t="s">
        <v>20</v>
      </c>
      <c r="O2590" s="23" t="s">
        <v>23</v>
      </c>
      <c r="P2590" s="23" t="s">
        <v>132</v>
      </c>
      <c r="Q2590" s="23" t="s">
        <v>133</v>
      </c>
      <c r="R2590" s="23" t="s">
        <v>2174</v>
      </c>
      <c r="S2590" s="33">
        <v>0.2</v>
      </c>
      <c r="T2590" s="13">
        <v>221.024</v>
      </c>
      <c r="U2590" s="13">
        <v>-55.256</v>
      </c>
      <c r="V2590" s="55">
        <f>Table3[[#This Row],[Profit]]/Table3[[#This Row],[Sales]]</f>
        <v>-0.25</v>
      </c>
    </row>
    <row r="2591" spans="1:22" x14ac:dyDescent="0.2">
      <c r="A2591">
        <v>2590</v>
      </c>
      <c r="B2591" t="s">
        <v>336</v>
      </c>
      <c r="C2591" s="1">
        <v>43052</v>
      </c>
      <c r="D2591" s="22">
        <f>MONTH(Table3[[#This Row],[Order Date]])</f>
        <v>11</v>
      </c>
      <c r="E2591" t="s">
        <v>338</v>
      </c>
      <c r="F2591" t="s">
        <v>339</v>
      </c>
      <c r="G2591" s="23" t="s">
        <v>41</v>
      </c>
      <c r="H2591" s="23" t="s">
        <v>53</v>
      </c>
      <c r="I2591" t="s">
        <v>337</v>
      </c>
      <c r="J2591" t="s">
        <v>92</v>
      </c>
      <c r="K2591" s="22">
        <v>3</v>
      </c>
      <c r="L2591" s="1">
        <v>43055</v>
      </c>
      <c r="M2591" s="22">
        <f>Table3[[#This Row],[Ship Date]]-Table3[[#This Row],[Order Date]]</f>
        <v>3</v>
      </c>
      <c r="N2591" s="23" t="s">
        <v>169</v>
      </c>
      <c r="O2591" s="23" t="s">
        <v>23</v>
      </c>
      <c r="P2591" s="23" t="s">
        <v>189</v>
      </c>
      <c r="Q2591" s="23" t="s">
        <v>95</v>
      </c>
      <c r="R2591" s="23" t="s">
        <v>271</v>
      </c>
      <c r="S2591" s="33">
        <v>0.2</v>
      </c>
      <c r="T2591" s="13">
        <v>230.376</v>
      </c>
      <c r="U2591" s="13">
        <v>-48.954900000000002</v>
      </c>
      <c r="V2591" s="55">
        <f>Table3[[#This Row],[Profit]]/Table3[[#This Row],[Sales]]</f>
        <v>-0.21249999999999999</v>
      </c>
    </row>
    <row r="2592" spans="1:22" x14ac:dyDescent="0.2">
      <c r="A2592">
        <v>2591</v>
      </c>
      <c r="B2592" t="s">
        <v>3624</v>
      </c>
      <c r="C2592" s="1">
        <v>43052</v>
      </c>
      <c r="D2592" s="22">
        <f>MONTH(Table3[[#This Row],[Order Date]])</f>
        <v>11</v>
      </c>
      <c r="E2592" t="s">
        <v>3625</v>
      </c>
      <c r="F2592" t="s">
        <v>3626</v>
      </c>
      <c r="G2592" s="23" t="s">
        <v>41</v>
      </c>
      <c r="H2592" s="23" t="s">
        <v>71</v>
      </c>
      <c r="I2592" t="s">
        <v>3454</v>
      </c>
      <c r="J2592" t="s">
        <v>92</v>
      </c>
      <c r="K2592" s="22">
        <v>6</v>
      </c>
      <c r="L2592" s="1">
        <v>43057</v>
      </c>
      <c r="M2592" s="22">
        <f>Table3[[#This Row],[Ship Date]]-Table3[[#This Row],[Order Date]]</f>
        <v>5</v>
      </c>
      <c r="N2592" s="23" t="s">
        <v>20</v>
      </c>
      <c r="O2592" s="23" t="s">
        <v>23</v>
      </c>
      <c r="P2592" s="23" t="s">
        <v>94</v>
      </c>
      <c r="Q2592" s="23" t="s">
        <v>95</v>
      </c>
      <c r="R2592" s="23" t="s">
        <v>165</v>
      </c>
      <c r="S2592" s="33">
        <v>0.8</v>
      </c>
      <c r="T2592" s="13">
        <v>9.3239999999999998</v>
      </c>
      <c r="U2592" s="13">
        <v>-24.708600000000001</v>
      </c>
      <c r="V2592" s="55">
        <f>Table3[[#This Row],[Profit]]/Table3[[#This Row],[Sales]]</f>
        <v>-2.65</v>
      </c>
    </row>
    <row r="2593" spans="1:22" x14ac:dyDescent="0.2">
      <c r="A2593">
        <v>2592</v>
      </c>
      <c r="B2593" t="s">
        <v>5107</v>
      </c>
      <c r="C2593" s="1">
        <v>43052</v>
      </c>
      <c r="D2593" s="22">
        <f>MONTH(Table3[[#This Row],[Order Date]])</f>
        <v>11</v>
      </c>
      <c r="E2593" t="s">
        <v>1550</v>
      </c>
      <c r="F2593" t="s">
        <v>1551</v>
      </c>
      <c r="G2593" s="23" t="s">
        <v>64</v>
      </c>
      <c r="H2593" s="23" t="s">
        <v>144</v>
      </c>
      <c r="I2593" t="s">
        <v>864</v>
      </c>
      <c r="J2593" t="s">
        <v>36</v>
      </c>
      <c r="K2593" s="22">
        <v>4</v>
      </c>
      <c r="L2593" s="1">
        <v>43054</v>
      </c>
      <c r="M2593" s="22">
        <f>Table3[[#This Row],[Ship Date]]-Table3[[#This Row],[Order Date]]</f>
        <v>2</v>
      </c>
      <c r="N2593" s="23" t="s">
        <v>169</v>
      </c>
      <c r="O2593" s="23" t="s">
        <v>23</v>
      </c>
      <c r="P2593" s="23" t="s">
        <v>441</v>
      </c>
      <c r="Q2593" s="23" t="s">
        <v>133</v>
      </c>
      <c r="R2593" s="23" t="s">
        <v>284</v>
      </c>
      <c r="S2593" s="33">
        <v>0.2</v>
      </c>
      <c r="T2593" s="13">
        <v>60.863999999999997</v>
      </c>
      <c r="U2593" s="13">
        <v>9.1295999999999999</v>
      </c>
      <c r="V2593" s="55">
        <f>Table3[[#This Row],[Profit]]/Table3[[#This Row],[Sales]]</f>
        <v>0.15</v>
      </c>
    </row>
    <row r="2594" spans="1:22" x14ac:dyDescent="0.2">
      <c r="A2594">
        <v>2593</v>
      </c>
      <c r="B2594" t="s">
        <v>5107</v>
      </c>
      <c r="C2594" s="1">
        <v>43052</v>
      </c>
      <c r="D2594" s="22">
        <f>MONTH(Table3[[#This Row],[Order Date]])</f>
        <v>11</v>
      </c>
      <c r="E2594" t="s">
        <v>5108</v>
      </c>
      <c r="F2594" t="s">
        <v>5109</v>
      </c>
      <c r="G2594" s="23" t="s">
        <v>64</v>
      </c>
      <c r="H2594" s="23" t="s">
        <v>602</v>
      </c>
      <c r="I2594" t="s">
        <v>864</v>
      </c>
      <c r="J2594" t="s">
        <v>36</v>
      </c>
      <c r="K2594" s="22">
        <v>7</v>
      </c>
      <c r="L2594" s="1">
        <v>43054</v>
      </c>
      <c r="M2594" s="22">
        <f>Table3[[#This Row],[Ship Date]]-Table3[[#This Row],[Order Date]]</f>
        <v>2</v>
      </c>
      <c r="N2594" s="23" t="s">
        <v>169</v>
      </c>
      <c r="O2594" s="23" t="s">
        <v>23</v>
      </c>
      <c r="P2594" s="23" t="s">
        <v>441</v>
      </c>
      <c r="Q2594" s="23" t="s">
        <v>133</v>
      </c>
      <c r="R2594" s="23" t="s">
        <v>284</v>
      </c>
      <c r="S2594" s="33">
        <v>0.7</v>
      </c>
      <c r="T2594" s="13">
        <v>652.995</v>
      </c>
      <c r="U2594" s="13">
        <v>-935.95950000000005</v>
      </c>
      <c r="V2594" s="55">
        <f>Table3[[#This Row],[Profit]]/Table3[[#This Row],[Sales]]</f>
        <v>-1.4333333333333333</v>
      </c>
    </row>
    <row r="2595" spans="1:22" x14ac:dyDescent="0.2">
      <c r="A2595">
        <v>2594</v>
      </c>
      <c r="B2595" t="s">
        <v>5107</v>
      </c>
      <c r="C2595" s="1">
        <v>43052</v>
      </c>
      <c r="D2595" s="22">
        <f>MONTH(Table3[[#This Row],[Order Date]])</f>
        <v>11</v>
      </c>
      <c r="E2595" t="s">
        <v>5110</v>
      </c>
      <c r="F2595" t="s">
        <v>5111</v>
      </c>
      <c r="G2595" s="23" t="s">
        <v>41</v>
      </c>
      <c r="H2595" s="23" t="s">
        <v>68</v>
      </c>
      <c r="I2595" t="s">
        <v>864</v>
      </c>
      <c r="J2595" t="s">
        <v>36</v>
      </c>
      <c r="K2595" s="22">
        <v>10</v>
      </c>
      <c r="L2595" s="1">
        <v>43054</v>
      </c>
      <c r="M2595" s="22">
        <f>Table3[[#This Row],[Ship Date]]-Table3[[#This Row],[Order Date]]</f>
        <v>2</v>
      </c>
      <c r="N2595" s="23" t="s">
        <v>169</v>
      </c>
      <c r="O2595" s="23" t="s">
        <v>23</v>
      </c>
      <c r="P2595" s="23" t="s">
        <v>441</v>
      </c>
      <c r="Q2595" s="23" t="s">
        <v>133</v>
      </c>
      <c r="R2595" s="23" t="s">
        <v>284</v>
      </c>
      <c r="S2595" s="33">
        <v>0.7</v>
      </c>
      <c r="T2595" s="13">
        <v>11.22</v>
      </c>
      <c r="U2595" s="13">
        <v>-7.48</v>
      </c>
      <c r="V2595" s="55">
        <f>Table3[[#This Row],[Profit]]/Table3[[#This Row],[Sales]]</f>
        <v>-0.66666666666666663</v>
      </c>
    </row>
    <row r="2596" spans="1:22" x14ac:dyDescent="0.2">
      <c r="A2596">
        <v>2595</v>
      </c>
      <c r="B2596" t="s">
        <v>6151</v>
      </c>
      <c r="C2596" s="1">
        <v>43052</v>
      </c>
      <c r="D2596" s="22">
        <f>MONTH(Table3[[#This Row],[Order Date]])</f>
        <v>11</v>
      </c>
      <c r="E2596" t="s">
        <v>1304</v>
      </c>
      <c r="F2596" t="s">
        <v>1305</v>
      </c>
      <c r="G2596" s="23" t="s">
        <v>64</v>
      </c>
      <c r="H2596" s="23" t="s">
        <v>144</v>
      </c>
      <c r="I2596" t="s">
        <v>471</v>
      </c>
      <c r="J2596" t="s">
        <v>92</v>
      </c>
      <c r="K2596" s="22">
        <v>4</v>
      </c>
      <c r="L2596" s="1">
        <v>43057</v>
      </c>
      <c r="M2596" s="22">
        <f>Table3[[#This Row],[Ship Date]]-Table3[[#This Row],[Order Date]]</f>
        <v>5</v>
      </c>
      <c r="N2596" s="23" t="s">
        <v>20</v>
      </c>
      <c r="O2596" s="23" t="s">
        <v>23</v>
      </c>
      <c r="P2596" s="23" t="s">
        <v>238</v>
      </c>
      <c r="Q2596" s="23" t="s">
        <v>133</v>
      </c>
      <c r="R2596" s="23" t="s">
        <v>2806</v>
      </c>
      <c r="S2596" s="33">
        <v>0</v>
      </c>
      <c r="T2596" s="13">
        <v>163.96</v>
      </c>
      <c r="U2596" s="13">
        <v>70.502799999999993</v>
      </c>
      <c r="V2596" s="55">
        <f>Table3[[#This Row],[Profit]]/Table3[[#This Row],[Sales]]</f>
        <v>0.42999999999999994</v>
      </c>
    </row>
    <row r="2597" spans="1:22" x14ac:dyDescent="0.2">
      <c r="A2597">
        <v>2596</v>
      </c>
      <c r="B2597" t="s">
        <v>6215</v>
      </c>
      <c r="C2597" s="1">
        <v>43052</v>
      </c>
      <c r="D2597" s="22">
        <f>MONTH(Table3[[#This Row],[Order Date]])</f>
        <v>11</v>
      </c>
      <c r="E2597" t="s">
        <v>3883</v>
      </c>
      <c r="F2597" t="s">
        <v>3884</v>
      </c>
      <c r="G2597" s="23" t="s">
        <v>41</v>
      </c>
      <c r="H2597" s="23" t="s">
        <v>82</v>
      </c>
      <c r="I2597" t="s">
        <v>3247</v>
      </c>
      <c r="J2597" t="s">
        <v>22</v>
      </c>
      <c r="K2597" s="22">
        <v>3</v>
      </c>
      <c r="L2597" s="1">
        <v>43055</v>
      </c>
      <c r="M2597" s="22">
        <f>Table3[[#This Row],[Ship Date]]-Table3[[#This Row],[Order Date]]</f>
        <v>3</v>
      </c>
      <c r="N2597" s="23" t="s">
        <v>20</v>
      </c>
      <c r="O2597" s="23" t="s">
        <v>23</v>
      </c>
      <c r="P2597" s="23" t="s">
        <v>299</v>
      </c>
      <c r="Q2597" s="23" t="s">
        <v>26</v>
      </c>
      <c r="R2597" s="23" t="s">
        <v>298</v>
      </c>
      <c r="S2597" s="33">
        <v>0.2</v>
      </c>
      <c r="T2597" s="13">
        <v>8.9039999999999999</v>
      </c>
      <c r="U2597" s="13">
        <v>3.339</v>
      </c>
      <c r="V2597" s="55">
        <f>Table3[[#This Row],[Profit]]/Table3[[#This Row],[Sales]]</f>
        <v>0.375</v>
      </c>
    </row>
    <row r="2598" spans="1:22" x14ac:dyDescent="0.2">
      <c r="A2598">
        <v>2597</v>
      </c>
      <c r="B2598" t="s">
        <v>6215</v>
      </c>
      <c r="C2598" s="1">
        <v>43052</v>
      </c>
      <c r="D2598" s="22">
        <f>MONTH(Table3[[#This Row],[Order Date]])</f>
        <v>11</v>
      </c>
      <c r="E2598" t="s">
        <v>3101</v>
      </c>
      <c r="F2598" t="s">
        <v>3102</v>
      </c>
      <c r="G2598" s="23" t="s">
        <v>41</v>
      </c>
      <c r="H2598" s="23" t="s">
        <v>53</v>
      </c>
      <c r="I2598" t="s">
        <v>3247</v>
      </c>
      <c r="J2598" t="s">
        <v>22</v>
      </c>
      <c r="K2598" s="22">
        <v>4</v>
      </c>
      <c r="L2598" s="1">
        <v>43055</v>
      </c>
      <c r="M2598" s="22">
        <f>Table3[[#This Row],[Ship Date]]-Table3[[#This Row],[Order Date]]</f>
        <v>3</v>
      </c>
      <c r="N2598" s="23" t="s">
        <v>20</v>
      </c>
      <c r="O2598" s="23" t="s">
        <v>23</v>
      </c>
      <c r="P2598" s="23" t="s">
        <v>299</v>
      </c>
      <c r="Q2598" s="23" t="s">
        <v>26</v>
      </c>
      <c r="R2598" s="23" t="s">
        <v>298</v>
      </c>
      <c r="S2598" s="33">
        <v>0.2</v>
      </c>
      <c r="T2598" s="13">
        <v>720.06399999999996</v>
      </c>
      <c r="U2598" s="13">
        <v>-63.005600000000001</v>
      </c>
      <c r="V2598" s="55">
        <f>Table3[[#This Row],[Profit]]/Table3[[#This Row],[Sales]]</f>
        <v>-8.7500000000000008E-2</v>
      </c>
    </row>
    <row r="2599" spans="1:22" x14ac:dyDescent="0.2">
      <c r="A2599">
        <v>2598</v>
      </c>
      <c r="B2599" t="s">
        <v>7083</v>
      </c>
      <c r="C2599" s="1">
        <v>43052</v>
      </c>
      <c r="D2599" s="22">
        <f>MONTH(Table3[[#This Row],[Order Date]])</f>
        <v>11</v>
      </c>
      <c r="E2599" t="s">
        <v>1528</v>
      </c>
      <c r="F2599" t="s">
        <v>1529</v>
      </c>
      <c r="G2599" s="23" t="s">
        <v>28</v>
      </c>
      <c r="H2599" s="23" t="s">
        <v>32</v>
      </c>
      <c r="I2599" t="s">
        <v>579</v>
      </c>
      <c r="J2599" t="s">
        <v>22</v>
      </c>
      <c r="K2599" s="22">
        <v>6</v>
      </c>
      <c r="L2599" s="1">
        <v>43057</v>
      </c>
      <c r="M2599" s="22">
        <f>Table3[[#This Row],[Ship Date]]-Table3[[#This Row],[Order Date]]</f>
        <v>5</v>
      </c>
      <c r="N2599" s="23" t="s">
        <v>45</v>
      </c>
      <c r="O2599" s="23" t="s">
        <v>23</v>
      </c>
      <c r="P2599" s="23" t="s">
        <v>87</v>
      </c>
      <c r="Q2599" s="23" t="s">
        <v>39</v>
      </c>
      <c r="R2599" s="23" t="s">
        <v>86</v>
      </c>
      <c r="S2599" s="33">
        <v>0.2</v>
      </c>
      <c r="T2599" s="13">
        <v>2404.7040000000002</v>
      </c>
      <c r="U2599" s="13">
        <v>150.29400000000001</v>
      </c>
      <c r="V2599" s="55">
        <f>Table3[[#This Row],[Profit]]/Table3[[#This Row],[Sales]]</f>
        <v>6.25E-2</v>
      </c>
    </row>
    <row r="2600" spans="1:22" x14ac:dyDescent="0.2">
      <c r="A2600">
        <v>2599</v>
      </c>
      <c r="B2600" t="s">
        <v>7083</v>
      </c>
      <c r="C2600" s="1">
        <v>43052</v>
      </c>
      <c r="D2600" s="22">
        <f>MONTH(Table3[[#This Row],[Order Date]])</f>
        <v>11</v>
      </c>
      <c r="E2600" t="s">
        <v>4429</v>
      </c>
      <c r="F2600" t="s">
        <v>4430</v>
      </c>
      <c r="G2600" s="23" t="s">
        <v>41</v>
      </c>
      <c r="H2600" s="23" t="s">
        <v>68</v>
      </c>
      <c r="I2600" t="s">
        <v>579</v>
      </c>
      <c r="J2600" t="s">
        <v>22</v>
      </c>
      <c r="K2600" s="22">
        <v>11</v>
      </c>
      <c r="L2600" s="1">
        <v>43057</v>
      </c>
      <c r="M2600" s="22">
        <f>Table3[[#This Row],[Ship Date]]-Table3[[#This Row],[Order Date]]</f>
        <v>5</v>
      </c>
      <c r="N2600" s="23" t="s">
        <v>45</v>
      </c>
      <c r="O2600" s="23" t="s">
        <v>23</v>
      </c>
      <c r="P2600" s="23" t="s">
        <v>87</v>
      </c>
      <c r="Q2600" s="23" t="s">
        <v>39</v>
      </c>
      <c r="R2600" s="23" t="s">
        <v>86</v>
      </c>
      <c r="S2600" s="33">
        <v>0.2</v>
      </c>
      <c r="T2600" s="13">
        <v>563.024</v>
      </c>
      <c r="U2600" s="13">
        <v>190.0206</v>
      </c>
      <c r="V2600" s="55">
        <f>Table3[[#This Row],[Profit]]/Table3[[#This Row],[Sales]]</f>
        <v>0.33750000000000002</v>
      </c>
    </row>
    <row r="2601" spans="1:22" x14ac:dyDescent="0.2">
      <c r="A2601">
        <v>2600</v>
      </c>
      <c r="B2601" t="s">
        <v>7083</v>
      </c>
      <c r="C2601" s="1">
        <v>43052</v>
      </c>
      <c r="D2601" s="22">
        <f>MONTH(Table3[[#This Row],[Order Date]])</f>
        <v>11</v>
      </c>
      <c r="E2601" t="s">
        <v>604</v>
      </c>
      <c r="F2601" t="s">
        <v>605</v>
      </c>
      <c r="G2601" s="23" t="s">
        <v>41</v>
      </c>
      <c r="H2601" s="23" t="s">
        <v>53</v>
      </c>
      <c r="I2601" t="s">
        <v>579</v>
      </c>
      <c r="J2601" t="s">
        <v>22</v>
      </c>
      <c r="K2601" s="22">
        <v>3</v>
      </c>
      <c r="L2601" s="1">
        <v>43057</v>
      </c>
      <c r="M2601" s="22">
        <f>Table3[[#This Row],[Ship Date]]-Table3[[#This Row],[Order Date]]</f>
        <v>5</v>
      </c>
      <c r="N2601" s="23" t="s">
        <v>45</v>
      </c>
      <c r="O2601" s="23" t="s">
        <v>23</v>
      </c>
      <c r="P2601" s="23" t="s">
        <v>87</v>
      </c>
      <c r="Q2601" s="23" t="s">
        <v>39</v>
      </c>
      <c r="R2601" s="23" t="s">
        <v>86</v>
      </c>
      <c r="S2601" s="33">
        <v>0</v>
      </c>
      <c r="T2601" s="13">
        <v>344.91</v>
      </c>
      <c r="U2601" s="13">
        <v>10.347300000000001</v>
      </c>
      <c r="V2601" s="55">
        <f>Table3[[#This Row],[Profit]]/Table3[[#This Row],[Sales]]</f>
        <v>0.03</v>
      </c>
    </row>
    <row r="2602" spans="1:22" x14ac:dyDescent="0.2">
      <c r="A2602">
        <v>2601</v>
      </c>
      <c r="B2602" t="s">
        <v>7083</v>
      </c>
      <c r="C2602" s="1">
        <v>43052</v>
      </c>
      <c r="D2602" s="22">
        <f>MONTH(Table3[[#This Row],[Order Date]])</f>
        <v>11</v>
      </c>
      <c r="E2602" t="s">
        <v>2568</v>
      </c>
      <c r="F2602" t="s">
        <v>2569</v>
      </c>
      <c r="G2602" s="23" t="s">
        <v>41</v>
      </c>
      <c r="H2602" s="23" t="s">
        <v>42</v>
      </c>
      <c r="I2602" t="s">
        <v>579</v>
      </c>
      <c r="J2602" t="s">
        <v>22</v>
      </c>
      <c r="K2602" s="22">
        <v>3</v>
      </c>
      <c r="L2602" s="1">
        <v>43057</v>
      </c>
      <c r="M2602" s="22">
        <f>Table3[[#This Row],[Ship Date]]-Table3[[#This Row],[Order Date]]</f>
        <v>5</v>
      </c>
      <c r="N2602" s="23" t="s">
        <v>45</v>
      </c>
      <c r="O2602" s="23" t="s">
        <v>23</v>
      </c>
      <c r="P2602" s="23" t="s">
        <v>87</v>
      </c>
      <c r="Q2602" s="23" t="s">
        <v>39</v>
      </c>
      <c r="R2602" s="23" t="s">
        <v>86</v>
      </c>
      <c r="S2602" s="33">
        <v>0</v>
      </c>
      <c r="T2602" s="13">
        <v>8.64</v>
      </c>
      <c r="U2602" s="13">
        <v>4.2336</v>
      </c>
      <c r="V2602" s="55">
        <f>Table3[[#This Row],[Profit]]/Table3[[#This Row],[Sales]]</f>
        <v>0.49</v>
      </c>
    </row>
    <row r="2603" spans="1:22" x14ac:dyDescent="0.2">
      <c r="A2603">
        <v>2602</v>
      </c>
      <c r="B2603" t="s">
        <v>7484</v>
      </c>
      <c r="C2603" s="1">
        <v>43052</v>
      </c>
      <c r="D2603" s="22">
        <f>MONTH(Table3[[#This Row],[Order Date]])</f>
        <v>11</v>
      </c>
      <c r="E2603" t="s">
        <v>2326</v>
      </c>
      <c r="F2603" t="s">
        <v>2327</v>
      </c>
      <c r="G2603" s="23" t="s">
        <v>41</v>
      </c>
      <c r="H2603" s="23" t="s">
        <v>61</v>
      </c>
      <c r="I2603" t="s">
        <v>5165</v>
      </c>
      <c r="J2603" t="s">
        <v>22</v>
      </c>
      <c r="K2603" s="22">
        <v>1</v>
      </c>
      <c r="L2603" s="1">
        <v>43057</v>
      </c>
      <c r="M2603" s="22">
        <f>Table3[[#This Row],[Ship Date]]-Table3[[#This Row],[Order Date]]</f>
        <v>5</v>
      </c>
      <c r="N2603" s="23" t="s">
        <v>20</v>
      </c>
      <c r="O2603" s="23" t="s">
        <v>23</v>
      </c>
      <c r="P2603" s="23" t="s">
        <v>48</v>
      </c>
      <c r="Q2603" s="23" t="s">
        <v>26</v>
      </c>
      <c r="R2603" s="23" t="s">
        <v>7485</v>
      </c>
      <c r="S2603" s="33">
        <v>0.2</v>
      </c>
      <c r="T2603" s="13">
        <v>2.0640000000000001</v>
      </c>
      <c r="U2603" s="13">
        <v>0.15479999999999999</v>
      </c>
      <c r="V2603" s="55">
        <f>Table3[[#This Row],[Profit]]/Table3[[#This Row],[Sales]]</f>
        <v>7.4999999999999997E-2</v>
      </c>
    </row>
    <row r="2604" spans="1:22" x14ac:dyDescent="0.2">
      <c r="A2604">
        <v>2603</v>
      </c>
      <c r="B2604" t="s">
        <v>7734</v>
      </c>
      <c r="C2604" s="1">
        <v>43052</v>
      </c>
      <c r="D2604" s="22">
        <f>MONTH(Table3[[#This Row],[Order Date]])</f>
        <v>11</v>
      </c>
      <c r="E2604" t="s">
        <v>4334</v>
      </c>
      <c r="F2604" t="s">
        <v>4335</v>
      </c>
      <c r="G2604" s="23" t="s">
        <v>41</v>
      </c>
      <c r="H2604" s="23" t="s">
        <v>53</v>
      </c>
      <c r="I2604" t="s">
        <v>6265</v>
      </c>
      <c r="J2604" t="s">
        <v>36</v>
      </c>
      <c r="K2604" s="22">
        <v>4</v>
      </c>
      <c r="L2604" s="1">
        <v>43058</v>
      </c>
      <c r="M2604" s="22">
        <f>Table3[[#This Row],[Ship Date]]-Table3[[#This Row],[Order Date]]</f>
        <v>6</v>
      </c>
      <c r="N2604" s="23" t="s">
        <v>45</v>
      </c>
      <c r="O2604" s="23" t="s">
        <v>23</v>
      </c>
      <c r="P2604" s="23" t="s">
        <v>94</v>
      </c>
      <c r="Q2604" s="23" t="s">
        <v>95</v>
      </c>
      <c r="R2604" s="23" t="s">
        <v>718</v>
      </c>
      <c r="S2604" s="33">
        <v>0.2</v>
      </c>
      <c r="T2604" s="13">
        <v>61.792000000000002</v>
      </c>
      <c r="U2604" s="13">
        <v>6.1791999999999998</v>
      </c>
      <c r="V2604" s="55">
        <f>Table3[[#This Row],[Profit]]/Table3[[#This Row],[Sales]]</f>
        <v>9.9999999999999992E-2</v>
      </c>
    </row>
    <row r="2605" spans="1:22" x14ac:dyDescent="0.2">
      <c r="A2605">
        <v>2604</v>
      </c>
      <c r="B2605" t="s">
        <v>7734</v>
      </c>
      <c r="C2605" s="1">
        <v>43052</v>
      </c>
      <c r="D2605" s="22">
        <f>MONTH(Table3[[#This Row],[Order Date]])</f>
        <v>11</v>
      </c>
      <c r="E2605" t="s">
        <v>2450</v>
      </c>
      <c r="F2605" t="s">
        <v>2451</v>
      </c>
      <c r="G2605" s="23" t="s">
        <v>28</v>
      </c>
      <c r="H2605" s="23" t="s">
        <v>29</v>
      </c>
      <c r="I2605" t="s">
        <v>6265</v>
      </c>
      <c r="J2605" t="s">
        <v>36</v>
      </c>
      <c r="K2605" s="22">
        <v>3</v>
      </c>
      <c r="L2605" s="1">
        <v>43058</v>
      </c>
      <c r="M2605" s="22">
        <f>Table3[[#This Row],[Ship Date]]-Table3[[#This Row],[Order Date]]</f>
        <v>6</v>
      </c>
      <c r="N2605" s="23" t="s">
        <v>45</v>
      </c>
      <c r="O2605" s="23" t="s">
        <v>23</v>
      </c>
      <c r="P2605" s="23" t="s">
        <v>94</v>
      </c>
      <c r="Q2605" s="23" t="s">
        <v>95</v>
      </c>
      <c r="R2605" s="23" t="s">
        <v>718</v>
      </c>
      <c r="S2605" s="33">
        <v>0.32</v>
      </c>
      <c r="T2605" s="13">
        <v>205.9992</v>
      </c>
      <c r="U2605" s="13">
        <v>-27.264600000000002</v>
      </c>
      <c r="V2605" s="55">
        <f>Table3[[#This Row],[Profit]]/Table3[[#This Row],[Sales]]</f>
        <v>-0.13235294117647059</v>
      </c>
    </row>
    <row r="2606" spans="1:22" x14ac:dyDescent="0.2">
      <c r="A2606">
        <v>2605</v>
      </c>
      <c r="B2606" t="s">
        <v>8296</v>
      </c>
      <c r="C2606" s="1">
        <v>43052</v>
      </c>
      <c r="D2606" s="22">
        <f>MONTH(Table3[[#This Row],[Order Date]])</f>
        <v>11</v>
      </c>
      <c r="E2606" t="s">
        <v>5386</v>
      </c>
      <c r="F2606" t="s">
        <v>5387</v>
      </c>
      <c r="G2606" s="23" t="s">
        <v>64</v>
      </c>
      <c r="H2606" s="23" t="s">
        <v>65</v>
      </c>
      <c r="I2606" t="s">
        <v>307</v>
      </c>
      <c r="J2606" t="s">
        <v>36</v>
      </c>
      <c r="K2606" s="22">
        <v>5</v>
      </c>
      <c r="L2606" s="1">
        <v>43055</v>
      </c>
      <c r="M2606" s="22">
        <f>Table3[[#This Row],[Ship Date]]-Table3[[#This Row],[Order Date]]</f>
        <v>3</v>
      </c>
      <c r="N2606" s="23" t="s">
        <v>169</v>
      </c>
      <c r="O2606" s="23" t="s">
        <v>23</v>
      </c>
      <c r="P2606" s="23" t="s">
        <v>238</v>
      </c>
      <c r="Q2606" s="23" t="s">
        <v>133</v>
      </c>
      <c r="R2606" s="23" t="s">
        <v>237</v>
      </c>
      <c r="S2606" s="33">
        <v>0</v>
      </c>
      <c r="T2606" s="13">
        <v>629.95000000000005</v>
      </c>
      <c r="U2606" s="13">
        <v>163.78700000000001</v>
      </c>
      <c r="V2606" s="55">
        <f>Table3[[#This Row],[Profit]]/Table3[[#This Row],[Sales]]</f>
        <v>0.26</v>
      </c>
    </row>
    <row r="2607" spans="1:22" x14ac:dyDescent="0.2">
      <c r="A2607">
        <v>2606</v>
      </c>
      <c r="B2607" t="s">
        <v>8870</v>
      </c>
      <c r="C2607" s="1">
        <v>43052</v>
      </c>
      <c r="D2607" s="22">
        <f>MONTH(Table3[[#This Row],[Order Date]])</f>
        <v>11</v>
      </c>
      <c r="E2607" t="s">
        <v>221</v>
      </c>
      <c r="F2607" t="s">
        <v>222</v>
      </c>
      <c r="G2607" s="23" t="s">
        <v>64</v>
      </c>
      <c r="H2607" s="23" t="s">
        <v>65</v>
      </c>
      <c r="I2607" t="s">
        <v>3026</v>
      </c>
      <c r="J2607" t="s">
        <v>36</v>
      </c>
      <c r="K2607" s="22">
        <v>4</v>
      </c>
      <c r="L2607" s="1">
        <v>43055</v>
      </c>
      <c r="M2607" s="22">
        <f>Table3[[#This Row],[Ship Date]]-Table3[[#This Row],[Order Date]]</f>
        <v>3</v>
      </c>
      <c r="N2607" s="23" t="s">
        <v>20</v>
      </c>
      <c r="O2607" s="23" t="s">
        <v>23</v>
      </c>
      <c r="P2607" s="23" t="s">
        <v>238</v>
      </c>
      <c r="Q2607" s="23" t="s">
        <v>133</v>
      </c>
      <c r="R2607" s="23" t="s">
        <v>3048</v>
      </c>
      <c r="S2607" s="33">
        <v>0</v>
      </c>
      <c r="T2607" s="13">
        <v>43.6</v>
      </c>
      <c r="U2607" s="13">
        <v>12.208</v>
      </c>
      <c r="V2607" s="55">
        <f>Table3[[#This Row],[Profit]]/Table3[[#This Row],[Sales]]</f>
        <v>0.27999999999999997</v>
      </c>
    </row>
    <row r="2608" spans="1:22" x14ac:dyDescent="0.2">
      <c r="A2608">
        <v>2607</v>
      </c>
      <c r="B2608" t="s">
        <v>8870</v>
      </c>
      <c r="C2608" s="1">
        <v>43052</v>
      </c>
      <c r="D2608" s="22">
        <f>MONTH(Table3[[#This Row],[Order Date]])</f>
        <v>11</v>
      </c>
      <c r="E2608" t="s">
        <v>7075</v>
      </c>
      <c r="F2608" t="s">
        <v>7076</v>
      </c>
      <c r="G2608" s="23" t="s">
        <v>28</v>
      </c>
      <c r="H2608" s="23" t="s">
        <v>58</v>
      </c>
      <c r="I2608" t="s">
        <v>3026</v>
      </c>
      <c r="J2608" t="s">
        <v>36</v>
      </c>
      <c r="K2608" s="22">
        <v>3</v>
      </c>
      <c r="L2608" s="1">
        <v>43055</v>
      </c>
      <c r="M2608" s="22">
        <f>Table3[[#This Row],[Ship Date]]-Table3[[#This Row],[Order Date]]</f>
        <v>3</v>
      </c>
      <c r="N2608" s="23" t="s">
        <v>20</v>
      </c>
      <c r="O2608" s="23" t="s">
        <v>23</v>
      </c>
      <c r="P2608" s="23" t="s">
        <v>238</v>
      </c>
      <c r="Q2608" s="23" t="s">
        <v>133</v>
      </c>
      <c r="R2608" s="23" t="s">
        <v>3048</v>
      </c>
      <c r="S2608" s="33">
        <v>0</v>
      </c>
      <c r="T2608" s="13">
        <v>154.94999999999999</v>
      </c>
      <c r="U2608" s="13">
        <v>30.99</v>
      </c>
      <c r="V2608" s="55">
        <f>Table3[[#This Row],[Profit]]/Table3[[#This Row],[Sales]]</f>
        <v>0.2</v>
      </c>
    </row>
    <row r="2609" spans="1:22" x14ac:dyDescent="0.2">
      <c r="A2609">
        <v>2608</v>
      </c>
      <c r="B2609" t="s">
        <v>9170</v>
      </c>
      <c r="C2609" s="1">
        <v>43052</v>
      </c>
      <c r="D2609" s="22">
        <f>MONTH(Table3[[#This Row],[Order Date]])</f>
        <v>11</v>
      </c>
      <c r="E2609" t="s">
        <v>2066</v>
      </c>
      <c r="F2609" t="s">
        <v>2067</v>
      </c>
      <c r="G2609" s="23" t="s">
        <v>41</v>
      </c>
      <c r="H2609" s="23" t="s">
        <v>53</v>
      </c>
      <c r="I2609" t="s">
        <v>1471</v>
      </c>
      <c r="J2609" t="s">
        <v>22</v>
      </c>
      <c r="K2609" s="22">
        <v>1</v>
      </c>
      <c r="L2609" s="1">
        <v>43057</v>
      </c>
      <c r="M2609" s="22">
        <f>Table3[[#This Row],[Ship Date]]-Table3[[#This Row],[Order Date]]</f>
        <v>5</v>
      </c>
      <c r="N2609" s="23" t="s">
        <v>45</v>
      </c>
      <c r="O2609" s="23" t="s">
        <v>23</v>
      </c>
      <c r="P2609" s="23" t="s">
        <v>238</v>
      </c>
      <c r="Q2609" s="23" t="s">
        <v>133</v>
      </c>
      <c r="R2609" s="23" t="s">
        <v>237</v>
      </c>
      <c r="S2609" s="33">
        <v>0</v>
      </c>
      <c r="T2609" s="13">
        <v>11.21</v>
      </c>
      <c r="U2609" s="13">
        <v>3.363</v>
      </c>
      <c r="V2609" s="55">
        <f>Table3[[#This Row],[Profit]]/Table3[[#This Row],[Sales]]</f>
        <v>0.3</v>
      </c>
    </row>
    <row r="2610" spans="1:22" x14ac:dyDescent="0.2">
      <c r="A2610">
        <v>2609</v>
      </c>
      <c r="B2610" t="s">
        <v>9319</v>
      </c>
      <c r="C2610" s="1">
        <v>43052</v>
      </c>
      <c r="D2610" s="22">
        <f>MONTH(Table3[[#This Row],[Order Date]])</f>
        <v>11</v>
      </c>
      <c r="E2610" t="s">
        <v>2411</v>
      </c>
      <c r="F2610" t="s">
        <v>2412</v>
      </c>
      <c r="G2610" s="23" t="s">
        <v>64</v>
      </c>
      <c r="H2610" s="23" t="s">
        <v>144</v>
      </c>
      <c r="I2610" t="s">
        <v>686</v>
      </c>
      <c r="J2610" t="s">
        <v>22</v>
      </c>
      <c r="K2610" s="22">
        <v>8</v>
      </c>
      <c r="L2610" s="1">
        <v>43059</v>
      </c>
      <c r="M2610" s="22">
        <f>Table3[[#This Row],[Ship Date]]-Table3[[#This Row],[Order Date]]</f>
        <v>7</v>
      </c>
      <c r="N2610" s="23" t="s">
        <v>45</v>
      </c>
      <c r="O2610" s="23" t="s">
        <v>23</v>
      </c>
      <c r="P2610" s="23" t="s">
        <v>320</v>
      </c>
      <c r="Q2610" s="23" t="s">
        <v>26</v>
      </c>
      <c r="R2610" s="23" t="s">
        <v>319</v>
      </c>
      <c r="S2610" s="33">
        <v>0</v>
      </c>
      <c r="T2610" s="13">
        <v>239.92</v>
      </c>
      <c r="U2610" s="13">
        <v>23.992000000000001</v>
      </c>
      <c r="V2610" s="55">
        <f>Table3[[#This Row],[Profit]]/Table3[[#This Row],[Sales]]</f>
        <v>0.1</v>
      </c>
    </row>
    <row r="2611" spans="1:22" x14ac:dyDescent="0.2">
      <c r="A2611">
        <v>2610</v>
      </c>
      <c r="B2611" t="s">
        <v>9355</v>
      </c>
      <c r="C2611" s="1">
        <v>43052</v>
      </c>
      <c r="D2611" s="22">
        <f>MONTH(Table3[[#This Row],[Order Date]])</f>
        <v>11</v>
      </c>
      <c r="E2611" t="s">
        <v>4926</v>
      </c>
      <c r="F2611" t="s">
        <v>4927</v>
      </c>
      <c r="G2611" s="23" t="s">
        <v>64</v>
      </c>
      <c r="H2611" s="23" t="s">
        <v>144</v>
      </c>
      <c r="I2611" t="s">
        <v>2478</v>
      </c>
      <c r="J2611" t="s">
        <v>22</v>
      </c>
      <c r="K2611" s="22">
        <v>5</v>
      </c>
      <c r="L2611" s="1">
        <v>43056</v>
      </c>
      <c r="M2611" s="22">
        <f>Table3[[#This Row],[Ship Date]]-Table3[[#This Row],[Order Date]]</f>
        <v>4</v>
      </c>
      <c r="N2611" s="23" t="s">
        <v>20</v>
      </c>
      <c r="O2611" s="23" t="s">
        <v>23</v>
      </c>
      <c r="P2611" s="23" t="s">
        <v>38</v>
      </c>
      <c r="Q2611" s="23" t="s">
        <v>39</v>
      </c>
      <c r="R2611" s="23" t="s">
        <v>8055</v>
      </c>
      <c r="S2611" s="33">
        <v>0</v>
      </c>
      <c r="T2611" s="13">
        <v>82.95</v>
      </c>
      <c r="U2611" s="13">
        <v>29.032499999999999</v>
      </c>
      <c r="V2611" s="55">
        <f>Table3[[#This Row],[Profit]]/Table3[[#This Row],[Sales]]</f>
        <v>0.35</v>
      </c>
    </row>
    <row r="2612" spans="1:22" x14ac:dyDescent="0.2">
      <c r="A2612">
        <v>2611</v>
      </c>
      <c r="B2612" t="s">
        <v>9979</v>
      </c>
      <c r="C2612" s="1">
        <v>43052</v>
      </c>
      <c r="D2612" s="22">
        <f>MONTH(Table3[[#This Row],[Order Date]])</f>
        <v>11</v>
      </c>
      <c r="E2612" t="s">
        <v>3068</v>
      </c>
      <c r="F2612" t="s">
        <v>3069</v>
      </c>
      <c r="G2612" s="23" t="s">
        <v>64</v>
      </c>
      <c r="H2612" s="23" t="s">
        <v>65</v>
      </c>
      <c r="I2612" t="s">
        <v>808</v>
      </c>
      <c r="J2612" t="s">
        <v>22</v>
      </c>
      <c r="K2612" s="22">
        <v>5</v>
      </c>
      <c r="L2612" s="1">
        <v>43058</v>
      </c>
      <c r="M2612" s="22">
        <f>Table3[[#This Row],[Ship Date]]-Table3[[#This Row],[Order Date]]</f>
        <v>6</v>
      </c>
      <c r="N2612" s="23" t="s">
        <v>45</v>
      </c>
      <c r="O2612" s="23" t="s">
        <v>23</v>
      </c>
      <c r="P2612" s="23" t="s">
        <v>38</v>
      </c>
      <c r="Q2612" s="23" t="s">
        <v>39</v>
      </c>
      <c r="R2612" s="23" t="s">
        <v>762</v>
      </c>
      <c r="S2612" s="33">
        <v>0.2</v>
      </c>
      <c r="T2612" s="13">
        <v>22</v>
      </c>
      <c r="U2612" s="13">
        <v>1.375</v>
      </c>
      <c r="V2612" s="55">
        <f>Table3[[#This Row],[Profit]]/Table3[[#This Row],[Sales]]</f>
        <v>6.25E-2</v>
      </c>
    </row>
    <row r="2613" spans="1:22" x14ac:dyDescent="0.2">
      <c r="A2613">
        <v>2612</v>
      </c>
      <c r="B2613" t="s">
        <v>1794</v>
      </c>
      <c r="C2613" s="1">
        <v>43053</v>
      </c>
      <c r="D2613" s="22">
        <f>MONTH(Table3[[#This Row],[Order Date]])</f>
        <v>11</v>
      </c>
      <c r="E2613" t="s">
        <v>815</v>
      </c>
      <c r="F2613" t="s">
        <v>816</v>
      </c>
      <c r="G2613" s="23" t="s">
        <v>64</v>
      </c>
      <c r="H2613" s="23" t="s">
        <v>65</v>
      </c>
      <c r="I2613" t="s">
        <v>1795</v>
      </c>
      <c r="J2613" t="s">
        <v>22</v>
      </c>
      <c r="K2613" s="22">
        <v>10</v>
      </c>
      <c r="L2613" s="1">
        <v>43056</v>
      </c>
      <c r="M2613" s="22">
        <f>Table3[[#This Row],[Ship Date]]-Table3[[#This Row],[Order Date]]</f>
        <v>3</v>
      </c>
      <c r="N2613" s="23" t="s">
        <v>20</v>
      </c>
      <c r="O2613" s="23" t="s">
        <v>23</v>
      </c>
      <c r="P2613" s="23" t="s">
        <v>441</v>
      </c>
      <c r="Q2613" s="23" t="s">
        <v>133</v>
      </c>
      <c r="R2613" s="23" t="s">
        <v>1796</v>
      </c>
      <c r="S2613" s="33">
        <v>0.4</v>
      </c>
      <c r="T2613" s="13">
        <v>119.94</v>
      </c>
      <c r="U2613" s="13">
        <v>15.992000000000001</v>
      </c>
      <c r="V2613" s="55">
        <f>Table3[[#This Row],[Profit]]/Table3[[#This Row],[Sales]]</f>
        <v>0.13333333333333333</v>
      </c>
    </row>
    <row r="2614" spans="1:22" x14ac:dyDescent="0.2">
      <c r="A2614">
        <v>2613</v>
      </c>
      <c r="B2614" t="s">
        <v>1794</v>
      </c>
      <c r="C2614" s="1">
        <v>43053</v>
      </c>
      <c r="D2614" s="22">
        <f>MONTH(Table3[[#This Row],[Order Date]])</f>
        <v>11</v>
      </c>
      <c r="E2614" t="s">
        <v>1797</v>
      </c>
      <c r="F2614" t="s">
        <v>1798</v>
      </c>
      <c r="G2614" s="23" t="s">
        <v>41</v>
      </c>
      <c r="H2614" s="23" t="s">
        <v>68</v>
      </c>
      <c r="I2614" t="s">
        <v>1795</v>
      </c>
      <c r="J2614" t="s">
        <v>22</v>
      </c>
      <c r="K2614" s="22">
        <v>2</v>
      </c>
      <c r="L2614" s="1">
        <v>43056</v>
      </c>
      <c r="M2614" s="22">
        <f>Table3[[#This Row],[Ship Date]]-Table3[[#This Row],[Order Date]]</f>
        <v>3</v>
      </c>
      <c r="N2614" s="23" t="s">
        <v>20</v>
      </c>
      <c r="O2614" s="23" t="s">
        <v>23</v>
      </c>
      <c r="P2614" s="23" t="s">
        <v>441</v>
      </c>
      <c r="Q2614" s="23" t="s">
        <v>133</v>
      </c>
      <c r="R2614" s="23" t="s">
        <v>1796</v>
      </c>
      <c r="S2614" s="33">
        <v>0.7</v>
      </c>
      <c r="T2614" s="13">
        <v>3.6480000000000001</v>
      </c>
      <c r="U2614" s="13">
        <v>-2.7968000000000002</v>
      </c>
      <c r="V2614" s="55">
        <f>Table3[[#This Row],[Profit]]/Table3[[#This Row],[Sales]]</f>
        <v>-0.76666666666666672</v>
      </c>
    </row>
    <row r="2615" spans="1:22" x14ac:dyDescent="0.2">
      <c r="A2615">
        <v>2614</v>
      </c>
      <c r="B2615" t="s">
        <v>2559</v>
      </c>
      <c r="C2615" s="1">
        <v>43053</v>
      </c>
      <c r="D2615" s="22">
        <f>MONTH(Table3[[#This Row],[Order Date]])</f>
        <v>11</v>
      </c>
      <c r="E2615" t="s">
        <v>832</v>
      </c>
      <c r="F2615" t="s">
        <v>833</v>
      </c>
      <c r="G2615" s="23" t="s">
        <v>28</v>
      </c>
      <c r="H2615" s="23" t="s">
        <v>32</v>
      </c>
      <c r="I2615" t="s">
        <v>2560</v>
      </c>
      <c r="J2615" t="s">
        <v>36</v>
      </c>
      <c r="K2615" s="22">
        <v>2</v>
      </c>
      <c r="L2615" s="1">
        <v>43058</v>
      </c>
      <c r="M2615" s="22">
        <f>Table3[[#This Row],[Ship Date]]-Table3[[#This Row],[Order Date]]</f>
        <v>5</v>
      </c>
      <c r="N2615" s="23" t="s">
        <v>45</v>
      </c>
      <c r="O2615" s="23" t="s">
        <v>23</v>
      </c>
      <c r="P2615" s="23" t="s">
        <v>38</v>
      </c>
      <c r="Q2615" s="23" t="s">
        <v>39</v>
      </c>
      <c r="R2615" s="23" t="s">
        <v>114</v>
      </c>
      <c r="S2615" s="33">
        <v>0.2</v>
      </c>
      <c r="T2615" s="13">
        <v>321.56799999999998</v>
      </c>
      <c r="U2615" s="13">
        <v>28.1372</v>
      </c>
      <c r="V2615" s="55">
        <f>Table3[[#This Row],[Profit]]/Table3[[#This Row],[Sales]]</f>
        <v>8.7500000000000008E-2</v>
      </c>
    </row>
    <row r="2616" spans="1:22" x14ac:dyDescent="0.2">
      <c r="A2616">
        <v>2615</v>
      </c>
      <c r="B2616" t="s">
        <v>2782</v>
      </c>
      <c r="C2616" s="1">
        <v>43053</v>
      </c>
      <c r="D2616" s="22">
        <f>MONTH(Table3[[#This Row],[Order Date]])</f>
        <v>11</v>
      </c>
      <c r="E2616" t="s">
        <v>2784</v>
      </c>
      <c r="F2616" t="s">
        <v>2785</v>
      </c>
      <c r="G2616" s="23" t="s">
        <v>41</v>
      </c>
      <c r="H2616" s="23" t="s">
        <v>68</v>
      </c>
      <c r="I2616" t="s">
        <v>2783</v>
      </c>
      <c r="J2616" t="s">
        <v>22</v>
      </c>
      <c r="K2616" s="22">
        <v>2</v>
      </c>
      <c r="L2616" s="1">
        <v>43058</v>
      </c>
      <c r="M2616" s="22">
        <f>Table3[[#This Row],[Ship Date]]-Table3[[#This Row],[Order Date]]</f>
        <v>5</v>
      </c>
      <c r="N2616" s="23" t="s">
        <v>45</v>
      </c>
      <c r="O2616" s="23" t="s">
        <v>23</v>
      </c>
      <c r="P2616" s="23" t="s">
        <v>238</v>
      </c>
      <c r="Q2616" s="23" t="s">
        <v>133</v>
      </c>
      <c r="R2616" s="23" t="s">
        <v>237</v>
      </c>
      <c r="S2616" s="33">
        <v>0.2</v>
      </c>
      <c r="T2616" s="13">
        <v>8.64</v>
      </c>
      <c r="U2616" s="13">
        <v>3.024</v>
      </c>
      <c r="V2616" s="55">
        <f>Table3[[#This Row],[Profit]]/Table3[[#This Row],[Sales]]</f>
        <v>0.35</v>
      </c>
    </row>
    <row r="2617" spans="1:22" x14ac:dyDescent="0.2">
      <c r="A2617">
        <v>2616</v>
      </c>
      <c r="B2617" t="s">
        <v>7299</v>
      </c>
      <c r="C2617" s="1">
        <v>43053</v>
      </c>
      <c r="D2617" s="22">
        <f>MONTH(Table3[[#This Row],[Order Date]])</f>
        <v>11</v>
      </c>
      <c r="E2617" t="s">
        <v>3743</v>
      </c>
      <c r="F2617" t="s">
        <v>3744</v>
      </c>
      <c r="G2617" s="23" t="s">
        <v>64</v>
      </c>
      <c r="H2617" s="23" t="s">
        <v>144</v>
      </c>
      <c r="I2617" t="s">
        <v>1467</v>
      </c>
      <c r="J2617" t="s">
        <v>22</v>
      </c>
      <c r="K2617" s="22">
        <v>6</v>
      </c>
      <c r="L2617" s="1">
        <v>43057</v>
      </c>
      <c r="M2617" s="22">
        <f>Table3[[#This Row],[Ship Date]]-Table3[[#This Row],[Order Date]]</f>
        <v>4</v>
      </c>
      <c r="N2617" s="23" t="s">
        <v>45</v>
      </c>
      <c r="O2617" s="23" t="s">
        <v>23</v>
      </c>
      <c r="P2617" s="23" t="s">
        <v>94</v>
      </c>
      <c r="Q2617" s="23" t="s">
        <v>95</v>
      </c>
      <c r="R2617" s="23" t="s">
        <v>533</v>
      </c>
      <c r="S2617" s="33">
        <v>0.2</v>
      </c>
      <c r="T2617" s="13">
        <v>167.952</v>
      </c>
      <c r="U2617" s="13">
        <v>-27.292200000000001</v>
      </c>
      <c r="V2617" s="55">
        <f>Table3[[#This Row],[Profit]]/Table3[[#This Row],[Sales]]</f>
        <v>-0.16250000000000001</v>
      </c>
    </row>
    <row r="2618" spans="1:22" x14ac:dyDescent="0.2">
      <c r="A2618">
        <v>2617</v>
      </c>
      <c r="B2618" t="s">
        <v>7299</v>
      </c>
      <c r="C2618" s="1">
        <v>43053</v>
      </c>
      <c r="D2618" s="22">
        <f>MONTH(Table3[[#This Row],[Order Date]])</f>
        <v>11</v>
      </c>
      <c r="E2618" t="s">
        <v>5564</v>
      </c>
      <c r="F2618" t="s">
        <v>5565</v>
      </c>
      <c r="G2618" s="23" t="s">
        <v>41</v>
      </c>
      <c r="H2618" s="23" t="s">
        <v>61</v>
      </c>
      <c r="I2618" t="s">
        <v>1467</v>
      </c>
      <c r="J2618" t="s">
        <v>22</v>
      </c>
      <c r="K2618" s="22">
        <v>2</v>
      </c>
      <c r="L2618" s="1">
        <v>43057</v>
      </c>
      <c r="M2618" s="22">
        <f>Table3[[#This Row],[Ship Date]]-Table3[[#This Row],[Order Date]]</f>
        <v>4</v>
      </c>
      <c r="N2618" s="23" t="s">
        <v>45</v>
      </c>
      <c r="O2618" s="23" t="s">
        <v>23</v>
      </c>
      <c r="P2618" s="23" t="s">
        <v>94</v>
      </c>
      <c r="Q2618" s="23" t="s">
        <v>95</v>
      </c>
      <c r="R2618" s="23" t="s">
        <v>533</v>
      </c>
      <c r="S2618" s="33">
        <v>0.2</v>
      </c>
      <c r="T2618" s="13">
        <v>45.04</v>
      </c>
      <c r="U2618" s="13">
        <v>4.5039999999999996</v>
      </c>
      <c r="V2618" s="55">
        <f>Table3[[#This Row],[Profit]]/Table3[[#This Row],[Sales]]</f>
        <v>9.9999999999999992E-2</v>
      </c>
    </row>
    <row r="2619" spans="1:22" x14ac:dyDescent="0.2">
      <c r="A2619">
        <v>2618</v>
      </c>
      <c r="B2619" t="s">
        <v>9399</v>
      </c>
      <c r="C2619" s="1">
        <v>43053</v>
      </c>
      <c r="D2619" s="22">
        <f>MONTH(Table3[[#This Row],[Order Date]])</f>
        <v>11</v>
      </c>
      <c r="E2619" t="s">
        <v>4378</v>
      </c>
      <c r="F2619" t="s">
        <v>4379</v>
      </c>
      <c r="G2619" s="23" t="s">
        <v>41</v>
      </c>
      <c r="H2619" s="23" t="s">
        <v>53</v>
      </c>
      <c r="I2619" t="s">
        <v>3427</v>
      </c>
      <c r="J2619" t="s">
        <v>36</v>
      </c>
      <c r="K2619" s="22">
        <v>6</v>
      </c>
      <c r="L2619" s="1">
        <v>43057</v>
      </c>
      <c r="M2619" s="22">
        <f>Table3[[#This Row],[Ship Date]]-Table3[[#This Row],[Order Date]]</f>
        <v>4</v>
      </c>
      <c r="N2619" s="23" t="s">
        <v>20</v>
      </c>
      <c r="O2619" s="23" t="s">
        <v>23</v>
      </c>
      <c r="P2619" s="23" t="s">
        <v>238</v>
      </c>
      <c r="Q2619" s="23" t="s">
        <v>133</v>
      </c>
      <c r="R2619" s="23" t="s">
        <v>3619</v>
      </c>
      <c r="S2619" s="33">
        <v>0</v>
      </c>
      <c r="T2619" s="13">
        <v>96.36</v>
      </c>
      <c r="U2619" s="13">
        <v>25.053599999999999</v>
      </c>
      <c r="V2619" s="55">
        <f>Table3[[#This Row],[Profit]]/Table3[[#This Row],[Sales]]</f>
        <v>0.26</v>
      </c>
    </row>
    <row r="2620" spans="1:22" x14ac:dyDescent="0.2">
      <c r="A2620">
        <v>2619</v>
      </c>
      <c r="B2620" t="s">
        <v>9504</v>
      </c>
      <c r="C2620" s="1">
        <v>43053</v>
      </c>
      <c r="D2620" s="22">
        <f>MONTH(Table3[[#This Row],[Order Date]])</f>
        <v>11</v>
      </c>
      <c r="E2620" t="s">
        <v>2454</v>
      </c>
      <c r="F2620" t="s">
        <v>2455</v>
      </c>
      <c r="G2620" s="23" t="s">
        <v>41</v>
      </c>
      <c r="H2620" s="23" t="s">
        <v>68</v>
      </c>
      <c r="I2620" t="s">
        <v>5165</v>
      </c>
      <c r="J2620" t="s">
        <v>22</v>
      </c>
      <c r="K2620" s="22">
        <v>5</v>
      </c>
      <c r="L2620" s="1">
        <v>43055</v>
      </c>
      <c r="M2620" s="22">
        <f>Table3[[#This Row],[Ship Date]]-Table3[[#This Row],[Order Date]]</f>
        <v>2</v>
      </c>
      <c r="N2620" s="23" t="s">
        <v>20</v>
      </c>
      <c r="O2620" s="23" t="s">
        <v>23</v>
      </c>
      <c r="P2620" s="23" t="s">
        <v>94</v>
      </c>
      <c r="Q2620" s="23" t="s">
        <v>95</v>
      </c>
      <c r="R2620" s="23" t="s">
        <v>165</v>
      </c>
      <c r="S2620" s="33">
        <v>0.8</v>
      </c>
      <c r="T2620" s="13">
        <v>21.99</v>
      </c>
      <c r="U2620" s="13">
        <v>-32.984999999999999</v>
      </c>
      <c r="V2620" s="55">
        <f>Table3[[#This Row],[Profit]]/Table3[[#This Row],[Sales]]</f>
        <v>-1.5</v>
      </c>
    </row>
    <row r="2621" spans="1:22" x14ac:dyDescent="0.2">
      <c r="A2621">
        <v>2620</v>
      </c>
      <c r="B2621" t="s">
        <v>9709</v>
      </c>
      <c r="C2621" s="1">
        <v>43053</v>
      </c>
      <c r="D2621" s="22">
        <f>MONTH(Table3[[#This Row],[Order Date]])</f>
        <v>11</v>
      </c>
      <c r="E2621" t="s">
        <v>2268</v>
      </c>
      <c r="F2621" t="s">
        <v>2269</v>
      </c>
      <c r="G2621" s="23" t="s">
        <v>41</v>
      </c>
      <c r="H2621" s="23" t="s">
        <v>155</v>
      </c>
      <c r="I2621" t="s">
        <v>4572</v>
      </c>
      <c r="J2621" t="s">
        <v>92</v>
      </c>
      <c r="K2621" s="22">
        <v>2</v>
      </c>
      <c r="L2621" s="1">
        <v>43056</v>
      </c>
      <c r="M2621" s="22">
        <f>Table3[[#This Row],[Ship Date]]-Table3[[#This Row],[Order Date]]</f>
        <v>3</v>
      </c>
      <c r="N2621" s="23" t="s">
        <v>169</v>
      </c>
      <c r="O2621" s="23" t="s">
        <v>23</v>
      </c>
      <c r="P2621" s="23" t="s">
        <v>204</v>
      </c>
      <c r="Q2621" s="23" t="s">
        <v>95</v>
      </c>
      <c r="R2621" s="23" t="s">
        <v>364</v>
      </c>
      <c r="S2621" s="33">
        <v>0</v>
      </c>
      <c r="T2621" s="13">
        <v>15.28</v>
      </c>
      <c r="U2621" s="13">
        <v>7.4871999999999996</v>
      </c>
      <c r="V2621" s="55">
        <f>Table3[[#This Row],[Profit]]/Table3[[#This Row],[Sales]]</f>
        <v>0.49</v>
      </c>
    </row>
    <row r="2622" spans="1:22" x14ac:dyDescent="0.2">
      <c r="A2622">
        <v>2621</v>
      </c>
      <c r="B2622" t="s">
        <v>10018</v>
      </c>
      <c r="C2622" s="1">
        <v>43053</v>
      </c>
      <c r="D2622" s="22">
        <f>MONTH(Table3[[#This Row],[Order Date]])</f>
        <v>11</v>
      </c>
      <c r="E2622" t="s">
        <v>3670</v>
      </c>
      <c r="F2622" t="s">
        <v>3671</v>
      </c>
      <c r="G2622" s="23" t="s">
        <v>41</v>
      </c>
      <c r="H2622" s="23" t="s">
        <v>61</v>
      </c>
      <c r="I2622" t="s">
        <v>4249</v>
      </c>
      <c r="J2622" t="s">
        <v>22</v>
      </c>
      <c r="K2622" s="22">
        <v>8</v>
      </c>
      <c r="L2622" s="1">
        <v>43058</v>
      </c>
      <c r="M2622" s="22">
        <f>Table3[[#This Row],[Ship Date]]-Table3[[#This Row],[Order Date]]</f>
        <v>5</v>
      </c>
      <c r="N2622" s="23" t="s">
        <v>45</v>
      </c>
      <c r="O2622" s="23" t="s">
        <v>23</v>
      </c>
      <c r="P2622" s="23" t="s">
        <v>38</v>
      </c>
      <c r="Q2622" s="23" t="s">
        <v>39</v>
      </c>
      <c r="R2622" s="23" t="s">
        <v>37</v>
      </c>
      <c r="S2622" s="33">
        <v>0</v>
      </c>
      <c r="T2622" s="13">
        <v>34.24</v>
      </c>
      <c r="U2622" s="13">
        <v>9.9296000000000006</v>
      </c>
      <c r="V2622" s="55">
        <f>Table3[[#This Row],[Profit]]/Table3[[#This Row],[Sales]]</f>
        <v>0.28999999999999998</v>
      </c>
    </row>
    <row r="2623" spans="1:22" x14ac:dyDescent="0.2">
      <c r="A2623">
        <v>2622</v>
      </c>
      <c r="B2623" t="s">
        <v>6466</v>
      </c>
      <c r="C2623" s="1">
        <v>43054</v>
      </c>
      <c r="D2623" s="22">
        <f>MONTH(Table3[[#This Row],[Order Date]])</f>
        <v>11</v>
      </c>
      <c r="E2623" t="s">
        <v>1945</v>
      </c>
      <c r="F2623" t="s">
        <v>1946</v>
      </c>
      <c r="G2623" s="23" t="s">
        <v>28</v>
      </c>
      <c r="H2623" s="23" t="s">
        <v>58</v>
      </c>
      <c r="I2623" t="s">
        <v>6407</v>
      </c>
      <c r="J2623" t="s">
        <v>22</v>
      </c>
      <c r="K2623" s="22">
        <v>4</v>
      </c>
      <c r="L2623" s="1">
        <v>43059</v>
      </c>
      <c r="M2623" s="22">
        <f>Table3[[#This Row],[Ship Date]]-Table3[[#This Row],[Order Date]]</f>
        <v>5</v>
      </c>
      <c r="N2623" s="23" t="s">
        <v>45</v>
      </c>
      <c r="O2623" s="23" t="s">
        <v>23</v>
      </c>
      <c r="P2623" s="23" t="s">
        <v>48</v>
      </c>
      <c r="Q2623" s="23" t="s">
        <v>26</v>
      </c>
      <c r="R2623" s="23" t="s">
        <v>6467</v>
      </c>
      <c r="S2623" s="33">
        <v>0.2</v>
      </c>
      <c r="T2623" s="13">
        <v>220.06399999999999</v>
      </c>
      <c r="U2623" s="13">
        <v>55.015999999999998</v>
      </c>
      <c r="V2623" s="55">
        <f>Table3[[#This Row],[Profit]]/Table3[[#This Row],[Sales]]</f>
        <v>0.25</v>
      </c>
    </row>
    <row r="2624" spans="1:22" x14ac:dyDescent="0.2">
      <c r="A2624">
        <v>2623</v>
      </c>
      <c r="B2624" t="s">
        <v>6466</v>
      </c>
      <c r="C2624" s="1">
        <v>43054</v>
      </c>
      <c r="D2624" s="22">
        <f>MONTH(Table3[[#This Row],[Order Date]])</f>
        <v>11</v>
      </c>
      <c r="E2624" t="s">
        <v>3722</v>
      </c>
      <c r="F2624" t="s">
        <v>3723</v>
      </c>
      <c r="G2624" s="23" t="s">
        <v>28</v>
      </c>
      <c r="H2624" s="23" t="s">
        <v>58</v>
      </c>
      <c r="I2624" t="s">
        <v>6407</v>
      </c>
      <c r="J2624" t="s">
        <v>22</v>
      </c>
      <c r="K2624" s="22">
        <v>4</v>
      </c>
      <c r="L2624" s="1">
        <v>43059</v>
      </c>
      <c r="M2624" s="22">
        <f>Table3[[#This Row],[Ship Date]]-Table3[[#This Row],[Order Date]]</f>
        <v>5</v>
      </c>
      <c r="N2624" s="23" t="s">
        <v>45</v>
      </c>
      <c r="O2624" s="23" t="s">
        <v>23</v>
      </c>
      <c r="P2624" s="23" t="s">
        <v>48</v>
      </c>
      <c r="Q2624" s="23" t="s">
        <v>26</v>
      </c>
      <c r="R2624" s="23" t="s">
        <v>6467</v>
      </c>
      <c r="S2624" s="33">
        <v>0.2</v>
      </c>
      <c r="T2624" s="13">
        <v>339.13600000000002</v>
      </c>
      <c r="U2624" s="13">
        <v>0</v>
      </c>
      <c r="V2624" s="55">
        <f>Table3[[#This Row],[Profit]]/Table3[[#This Row],[Sales]]</f>
        <v>0</v>
      </c>
    </row>
    <row r="2625" spans="1:22" x14ac:dyDescent="0.2">
      <c r="A2625">
        <v>2624</v>
      </c>
      <c r="B2625" t="s">
        <v>4491</v>
      </c>
      <c r="C2625" s="1">
        <v>43055</v>
      </c>
      <c r="D2625" s="22">
        <f>MONTH(Table3[[#This Row],[Order Date]])</f>
        <v>11</v>
      </c>
      <c r="E2625" t="s">
        <v>2037</v>
      </c>
      <c r="F2625" t="s">
        <v>2038</v>
      </c>
      <c r="G2625" s="23" t="s">
        <v>41</v>
      </c>
      <c r="H2625" s="23" t="s">
        <v>82</v>
      </c>
      <c r="I2625" t="s">
        <v>4300</v>
      </c>
      <c r="J2625" t="s">
        <v>22</v>
      </c>
      <c r="K2625" s="22">
        <v>3</v>
      </c>
      <c r="L2625" s="1">
        <v>43055</v>
      </c>
      <c r="M2625" s="22">
        <f>Table3[[#This Row],[Ship Date]]-Table3[[#This Row],[Order Date]]</f>
        <v>0</v>
      </c>
      <c r="N2625" s="23" t="s">
        <v>1141</v>
      </c>
      <c r="O2625" s="23" t="s">
        <v>23</v>
      </c>
      <c r="P2625" s="23" t="s">
        <v>238</v>
      </c>
      <c r="Q2625" s="23" t="s">
        <v>133</v>
      </c>
      <c r="R2625" s="23" t="s">
        <v>237</v>
      </c>
      <c r="S2625" s="33">
        <v>0</v>
      </c>
      <c r="T2625" s="13">
        <v>146.82</v>
      </c>
      <c r="U2625" s="13">
        <v>73.41</v>
      </c>
      <c r="V2625" s="55">
        <f>Table3[[#This Row],[Profit]]/Table3[[#This Row],[Sales]]</f>
        <v>0.5</v>
      </c>
    </row>
    <row r="2626" spans="1:22" x14ac:dyDescent="0.2">
      <c r="A2626">
        <v>2625</v>
      </c>
      <c r="B2626" t="s">
        <v>5399</v>
      </c>
      <c r="C2626" s="1">
        <v>43055</v>
      </c>
      <c r="D2626" s="22">
        <f>MONTH(Table3[[#This Row],[Order Date]])</f>
        <v>11</v>
      </c>
      <c r="E2626" t="s">
        <v>1835</v>
      </c>
      <c r="F2626" t="s">
        <v>1836</v>
      </c>
      <c r="G2626" s="23" t="s">
        <v>41</v>
      </c>
      <c r="H2626" s="23" t="s">
        <v>53</v>
      </c>
      <c r="I2626" t="s">
        <v>2548</v>
      </c>
      <c r="J2626" t="s">
        <v>22</v>
      </c>
      <c r="K2626" s="22">
        <v>8</v>
      </c>
      <c r="L2626" s="1">
        <v>43061</v>
      </c>
      <c r="M2626" s="22">
        <f>Table3[[#This Row],[Ship Date]]-Table3[[#This Row],[Order Date]]</f>
        <v>6</v>
      </c>
      <c r="N2626" s="23" t="s">
        <v>45</v>
      </c>
      <c r="O2626" s="23" t="s">
        <v>23</v>
      </c>
      <c r="P2626" s="23" t="s">
        <v>38</v>
      </c>
      <c r="Q2626" s="23" t="s">
        <v>39</v>
      </c>
      <c r="R2626" s="23" t="s">
        <v>836</v>
      </c>
      <c r="S2626" s="33">
        <v>0</v>
      </c>
      <c r="T2626" s="13">
        <v>811.28</v>
      </c>
      <c r="U2626" s="13">
        <v>24.3384</v>
      </c>
      <c r="V2626" s="55">
        <f>Table3[[#This Row],[Profit]]/Table3[[#This Row],[Sales]]</f>
        <v>3.0000000000000002E-2</v>
      </c>
    </row>
    <row r="2627" spans="1:22" x14ac:dyDescent="0.2">
      <c r="A2627">
        <v>2626</v>
      </c>
      <c r="B2627" t="s">
        <v>5824</v>
      </c>
      <c r="C2627" s="1">
        <v>43055</v>
      </c>
      <c r="D2627" s="22">
        <f>MONTH(Table3[[#This Row],[Order Date]])</f>
        <v>11</v>
      </c>
      <c r="E2627" t="s">
        <v>4068</v>
      </c>
      <c r="F2627" t="s">
        <v>4069</v>
      </c>
      <c r="G2627" s="23" t="s">
        <v>64</v>
      </c>
      <c r="H2627" s="23" t="s">
        <v>602</v>
      </c>
      <c r="I2627" t="s">
        <v>2620</v>
      </c>
      <c r="J2627" t="s">
        <v>36</v>
      </c>
      <c r="K2627" s="22">
        <v>3</v>
      </c>
      <c r="L2627" s="1">
        <v>43055</v>
      </c>
      <c r="M2627" s="22">
        <f>Table3[[#This Row],[Ship Date]]-Table3[[#This Row],[Order Date]]</f>
        <v>0</v>
      </c>
      <c r="N2627" s="23" t="s">
        <v>1141</v>
      </c>
      <c r="O2627" s="23" t="s">
        <v>23</v>
      </c>
      <c r="P2627" s="23" t="s">
        <v>38</v>
      </c>
      <c r="Q2627" s="23" t="s">
        <v>39</v>
      </c>
      <c r="R2627" s="23" t="s">
        <v>114</v>
      </c>
      <c r="S2627" s="33">
        <v>0.2</v>
      </c>
      <c r="T2627" s="13">
        <v>1919.9760000000001</v>
      </c>
      <c r="U2627" s="13">
        <v>215.9973</v>
      </c>
      <c r="V2627" s="55">
        <f>Table3[[#This Row],[Profit]]/Table3[[#This Row],[Sales]]</f>
        <v>0.11249999999999999</v>
      </c>
    </row>
    <row r="2628" spans="1:22" x14ac:dyDescent="0.2">
      <c r="A2628">
        <v>2627</v>
      </c>
      <c r="B2628" t="s">
        <v>6540</v>
      </c>
      <c r="C2628" s="1">
        <v>43055</v>
      </c>
      <c r="D2628" s="22">
        <f>MONTH(Table3[[#This Row],[Order Date]])</f>
        <v>11</v>
      </c>
      <c r="E2628" t="s">
        <v>2404</v>
      </c>
      <c r="F2628" t="s">
        <v>2405</v>
      </c>
      <c r="G2628" s="23" t="s">
        <v>41</v>
      </c>
      <c r="H2628" s="23" t="s">
        <v>53</v>
      </c>
      <c r="I2628" t="s">
        <v>1997</v>
      </c>
      <c r="J2628" t="s">
        <v>22</v>
      </c>
      <c r="K2628" s="22">
        <v>7</v>
      </c>
      <c r="L2628" s="1">
        <v>43059</v>
      </c>
      <c r="M2628" s="22">
        <f>Table3[[#This Row],[Ship Date]]-Table3[[#This Row],[Order Date]]</f>
        <v>4</v>
      </c>
      <c r="N2628" s="23" t="s">
        <v>45</v>
      </c>
      <c r="O2628" s="23" t="s">
        <v>23</v>
      </c>
      <c r="P2628" s="23" t="s">
        <v>38</v>
      </c>
      <c r="Q2628" s="23" t="s">
        <v>39</v>
      </c>
      <c r="R2628" s="23" t="s">
        <v>3080</v>
      </c>
      <c r="S2628" s="33">
        <v>0</v>
      </c>
      <c r="T2628" s="13">
        <v>48.86</v>
      </c>
      <c r="U2628" s="13">
        <v>0.97719999999999996</v>
      </c>
      <c r="V2628" s="55">
        <f>Table3[[#This Row],[Profit]]/Table3[[#This Row],[Sales]]</f>
        <v>0.02</v>
      </c>
    </row>
    <row r="2629" spans="1:22" x14ac:dyDescent="0.2">
      <c r="A2629">
        <v>2628</v>
      </c>
      <c r="B2629" t="s">
        <v>7020</v>
      </c>
      <c r="C2629" s="1">
        <v>43055</v>
      </c>
      <c r="D2629" s="22">
        <f>MONTH(Table3[[#This Row],[Order Date]])</f>
        <v>11</v>
      </c>
      <c r="E2629" t="s">
        <v>2794</v>
      </c>
      <c r="F2629" t="s">
        <v>2795</v>
      </c>
      <c r="G2629" s="23" t="s">
        <v>41</v>
      </c>
      <c r="H2629" s="23" t="s">
        <v>61</v>
      </c>
      <c r="I2629" t="s">
        <v>6543</v>
      </c>
      <c r="J2629" t="s">
        <v>92</v>
      </c>
      <c r="K2629" s="22">
        <v>4</v>
      </c>
      <c r="L2629" s="1">
        <v>43060</v>
      </c>
      <c r="M2629" s="22">
        <f>Table3[[#This Row],[Ship Date]]-Table3[[#This Row],[Order Date]]</f>
        <v>5</v>
      </c>
      <c r="N2629" s="23" t="s">
        <v>45</v>
      </c>
      <c r="O2629" s="23" t="s">
        <v>23</v>
      </c>
      <c r="P2629" s="23" t="s">
        <v>38</v>
      </c>
      <c r="Q2629" s="23" t="s">
        <v>39</v>
      </c>
      <c r="R2629" s="23" t="s">
        <v>2944</v>
      </c>
      <c r="S2629" s="33">
        <v>0</v>
      </c>
      <c r="T2629" s="13">
        <v>23.36</v>
      </c>
      <c r="U2629" s="13">
        <v>6.0735999999999999</v>
      </c>
      <c r="V2629" s="55">
        <f>Table3[[#This Row],[Profit]]/Table3[[#This Row],[Sales]]</f>
        <v>0.26</v>
      </c>
    </row>
    <row r="2630" spans="1:22" x14ac:dyDescent="0.2">
      <c r="A2630">
        <v>2629</v>
      </c>
      <c r="B2630" t="s">
        <v>7351</v>
      </c>
      <c r="C2630" s="1">
        <v>43055</v>
      </c>
      <c r="D2630" s="22">
        <f>MONTH(Table3[[#This Row],[Order Date]])</f>
        <v>11</v>
      </c>
      <c r="E2630" t="s">
        <v>7352</v>
      </c>
      <c r="F2630" t="s">
        <v>7353</v>
      </c>
      <c r="G2630" s="23" t="s">
        <v>64</v>
      </c>
      <c r="H2630" s="23" t="s">
        <v>602</v>
      </c>
      <c r="I2630" t="s">
        <v>3095</v>
      </c>
      <c r="J2630" t="s">
        <v>92</v>
      </c>
      <c r="K2630" s="22">
        <v>4</v>
      </c>
      <c r="L2630" s="1">
        <v>43060</v>
      </c>
      <c r="M2630" s="22">
        <f>Table3[[#This Row],[Ship Date]]-Table3[[#This Row],[Order Date]]</f>
        <v>5</v>
      </c>
      <c r="N2630" s="23" t="s">
        <v>45</v>
      </c>
      <c r="O2630" s="23" t="s">
        <v>23</v>
      </c>
      <c r="P2630" s="23" t="s">
        <v>238</v>
      </c>
      <c r="Q2630" s="23" t="s">
        <v>133</v>
      </c>
      <c r="R2630" s="23" t="s">
        <v>2806</v>
      </c>
      <c r="S2630" s="33">
        <v>0</v>
      </c>
      <c r="T2630" s="13">
        <v>52.44</v>
      </c>
      <c r="U2630" s="13">
        <v>24.122399999999999</v>
      </c>
      <c r="V2630" s="55">
        <f>Table3[[#This Row],[Profit]]/Table3[[#This Row],[Sales]]</f>
        <v>0.46</v>
      </c>
    </row>
    <row r="2631" spans="1:22" x14ac:dyDescent="0.2">
      <c r="A2631">
        <v>2630</v>
      </c>
      <c r="B2631" t="s">
        <v>8177</v>
      </c>
      <c r="C2631" s="1">
        <v>43055</v>
      </c>
      <c r="D2631" s="22">
        <f>MONTH(Table3[[#This Row],[Order Date]])</f>
        <v>11</v>
      </c>
      <c r="E2631" t="s">
        <v>6577</v>
      </c>
      <c r="F2631" t="s">
        <v>6578</v>
      </c>
      <c r="G2631" s="23" t="s">
        <v>41</v>
      </c>
      <c r="H2631" s="23" t="s">
        <v>82</v>
      </c>
      <c r="I2631" t="s">
        <v>3114</v>
      </c>
      <c r="J2631" t="s">
        <v>22</v>
      </c>
      <c r="K2631" s="22">
        <v>6</v>
      </c>
      <c r="L2631" s="1">
        <v>43058</v>
      </c>
      <c r="M2631" s="22">
        <f>Table3[[#This Row],[Ship Date]]-Table3[[#This Row],[Order Date]]</f>
        <v>3</v>
      </c>
      <c r="N2631" s="23" t="s">
        <v>169</v>
      </c>
      <c r="O2631" s="23" t="s">
        <v>23</v>
      </c>
      <c r="P2631" s="23" t="s">
        <v>87</v>
      </c>
      <c r="Q2631" s="23" t="s">
        <v>39</v>
      </c>
      <c r="R2631" s="23" t="s">
        <v>86</v>
      </c>
      <c r="S2631" s="33">
        <v>0</v>
      </c>
      <c r="T2631" s="13">
        <v>73.680000000000007</v>
      </c>
      <c r="U2631" s="13">
        <v>34.629600000000003</v>
      </c>
      <c r="V2631" s="55">
        <f>Table3[[#This Row],[Profit]]/Table3[[#This Row],[Sales]]</f>
        <v>0.47000000000000003</v>
      </c>
    </row>
    <row r="2632" spans="1:22" x14ac:dyDescent="0.2">
      <c r="A2632">
        <v>2631</v>
      </c>
      <c r="B2632" t="s">
        <v>8177</v>
      </c>
      <c r="C2632" s="1">
        <v>43055</v>
      </c>
      <c r="D2632" s="22">
        <f>MONTH(Table3[[#This Row],[Order Date]])</f>
        <v>11</v>
      </c>
      <c r="E2632" t="s">
        <v>1994</v>
      </c>
      <c r="F2632" t="s">
        <v>1995</v>
      </c>
      <c r="G2632" s="23" t="s">
        <v>28</v>
      </c>
      <c r="H2632" s="23" t="s">
        <v>58</v>
      </c>
      <c r="I2632" t="s">
        <v>3114</v>
      </c>
      <c r="J2632" t="s">
        <v>22</v>
      </c>
      <c r="K2632" s="22">
        <v>2</v>
      </c>
      <c r="L2632" s="1">
        <v>43058</v>
      </c>
      <c r="M2632" s="22">
        <f>Table3[[#This Row],[Ship Date]]-Table3[[#This Row],[Order Date]]</f>
        <v>3</v>
      </c>
      <c r="N2632" s="23" t="s">
        <v>169</v>
      </c>
      <c r="O2632" s="23" t="s">
        <v>23</v>
      </c>
      <c r="P2632" s="23" t="s">
        <v>87</v>
      </c>
      <c r="Q2632" s="23" t="s">
        <v>39</v>
      </c>
      <c r="R2632" s="23" t="s">
        <v>86</v>
      </c>
      <c r="S2632" s="33">
        <v>0</v>
      </c>
      <c r="T2632" s="13">
        <v>139.91999999999999</v>
      </c>
      <c r="U2632" s="13">
        <v>23.7864</v>
      </c>
      <c r="V2632" s="55">
        <f>Table3[[#This Row],[Profit]]/Table3[[#This Row],[Sales]]</f>
        <v>0.17</v>
      </c>
    </row>
    <row r="2633" spans="1:22" x14ac:dyDescent="0.2">
      <c r="A2633">
        <v>2632</v>
      </c>
      <c r="B2633" t="s">
        <v>8177</v>
      </c>
      <c r="C2633" s="1">
        <v>43055</v>
      </c>
      <c r="D2633" s="22">
        <f>MONTH(Table3[[#This Row],[Order Date]])</f>
        <v>11</v>
      </c>
      <c r="E2633" t="s">
        <v>5797</v>
      </c>
      <c r="F2633" t="s">
        <v>5798</v>
      </c>
      <c r="G2633" s="23" t="s">
        <v>64</v>
      </c>
      <c r="H2633" s="23" t="s">
        <v>65</v>
      </c>
      <c r="I2633" t="s">
        <v>3114</v>
      </c>
      <c r="J2633" t="s">
        <v>22</v>
      </c>
      <c r="K2633" s="22">
        <v>3</v>
      </c>
      <c r="L2633" s="1">
        <v>43058</v>
      </c>
      <c r="M2633" s="22">
        <f>Table3[[#This Row],[Ship Date]]-Table3[[#This Row],[Order Date]]</f>
        <v>3</v>
      </c>
      <c r="N2633" s="23" t="s">
        <v>169</v>
      </c>
      <c r="O2633" s="23" t="s">
        <v>23</v>
      </c>
      <c r="P2633" s="23" t="s">
        <v>87</v>
      </c>
      <c r="Q2633" s="23" t="s">
        <v>39</v>
      </c>
      <c r="R2633" s="23" t="s">
        <v>86</v>
      </c>
      <c r="S2633" s="33">
        <v>0.2</v>
      </c>
      <c r="T2633" s="13">
        <v>107.88</v>
      </c>
      <c r="U2633" s="13">
        <v>10.788</v>
      </c>
      <c r="V2633" s="55">
        <f>Table3[[#This Row],[Profit]]/Table3[[#This Row],[Sales]]</f>
        <v>0.1</v>
      </c>
    </row>
    <row r="2634" spans="1:22" x14ac:dyDescent="0.2">
      <c r="A2634">
        <v>2633</v>
      </c>
      <c r="B2634" t="s">
        <v>8177</v>
      </c>
      <c r="C2634" s="1">
        <v>43055</v>
      </c>
      <c r="D2634" s="22">
        <f>MONTH(Table3[[#This Row],[Order Date]])</f>
        <v>11</v>
      </c>
      <c r="E2634" t="s">
        <v>4673</v>
      </c>
      <c r="F2634" t="s">
        <v>4674</v>
      </c>
      <c r="G2634" s="23" t="s">
        <v>41</v>
      </c>
      <c r="H2634" s="23" t="s">
        <v>53</v>
      </c>
      <c r="I2634" t="s">
        <v>3114</v>
      </c>
      <c r="J2634" t="s">
        <v>22</v>
      </c>
      <c r="K2634" s="22">
        <v>1</v>
      </c>
      <c r="L2634" s="1">
        <v>43058</v>
      </c>
      <c r="M2634" s="22">
        <f>Table3[[#This Row],[Ship Date]]-Table3[[#This Row],[Order Date]]</f>
        <v>3</v>
      </c>
      <c r="N2634" s="23" t="s">
        <v>169</v>
      </c>
      <c r="O2634" s="23" t="s">
        <v>23</v>
      </c>
      <c r="P2634" s="23" t="s">
        <v>87</v>
      </c>
      <c r="Q2634" s="23" t="s">
        <v>39</v>
      </c>
      <c r="R2634" s="23" t="s">
        <v>86</v>
      </c>
      <c r="S2634" s="33">
        <v>0</v>
      </c>
      <c r="T2634" s="13">
        <v>33.29</v>
      </c>
      <c r="U2634" s="13">
        <v>7.9896000000000003</v>
      </c>
      <c r="V2634" s="55">
        <f>Table3[[#This Row],[Profit]]/Table3[[#This Row],[Sales]]</f>
        <v>0.24000000000000002</v>
      </c>
    </row>
    <row r="2635" spans="1:22" x14ac:dyDescent="0.2">
      <c r="A2635">
        <v>2634</v>
      </c>
      <c r="B2635" t="s">
        <v>8730</v>
      </c>
      <c r="C2635" s="1">
        <v>43055</v>
      </c>
      <c r="D2635" s="22">
        <f>MONTH(Table3[[#This Row],[Order Date]])</f>
        <v>11</v>
      </c>
      <c r="E2635" t="s">
        <v>7380</v>
      </c>
      <c r="F2635" t="s">
        <v>7381</v>
      </c>
      <c r="G2635" s="23" t="s">
        <v>64</v>
      </c>
      <c r="H2635" s="23" t="s">
        <v>65</v>
      </c>
      <c r="I2635" t="s">
        <v>3656</v>
      </c>
      <c r="J2635" t="s">
        <v>22</v>
      </c>
      <c r="K2635" s="22">
        <v>6</v>
      </c>
      <c r="L2635" s="1">
        <v>43055</v>
      </c>
      <c r="M2635" s="22">
        <f>Table3[[#This Row],[Ship Date]]-Table3[[#This Row],[Order Date]]</f>
        <v>0</v>
      </c>
      <c r="N2635" s="23" t="s">
        <v>1141</v>
      </c>
      <c r="O2635" s="23" t="s">
        <v>23</v>
      </c>
      <c r="P2635" s="23" t="s">
        <v>238</v>
      </c>
      <c r="Q2635" s="23" t="s">
        <v>133</v>
      </c>
      <c r="R2635" s="23" t="s">
        <v>7743</v>
      </c>
      <c r="S2635" s="33">
        <v>0</v>
      </c>
      <c r="T2635" s="13">
        <v>119.94</v>
      </c>
      <c r="U2635" s="13">
        <v>5.9969999999999999</v>
      </c>
      <c r="V2635" s="55">
        <f>Table3[[#This Row],[Profit]]/Table3[[#This Row],[Sales]]</f>
        <v>0.05</v>
      </c>
    </row>
    <row r="2636" spans="1:22" x14ac:dyDescent="0.2">
      <c r="A2636">
        <v>2635</v>
      </c>
      <c r="B2636" t="s">
        <v>8771</v>
      </c>
      <c r="C2636" s="1">
        <v>43055</v>
      </c>
      <c r="D2636" s="22">
        <f>MONTH(Table3[[#This Row],[Order Date]])</f>
        <v>11</v>
      </c>
      <c r="E2636" t="s">
        <v>4021</v>
      </c>
      <c r="F2636" t="s">
        <v>4022</v>
      </c>
      <c r="G2636" s="23" t="s">
        <v>28</v>
      </c>
      <c r="H2636" s="23" t="s">
        <v>58</v>
      </c>
      <c r="I2636" t="s">
        <v>3471</v>
      </c>
      <c r="J2636" t="s">
        <v>22</v>
      </c>
      <c r="K2636" s="22">
        <v>3</v>
      </c>
      <c r="L2636" s="1">
        <v>43061</v>
      </c>
      <c r="M2636" s="22">
        <f>Table3[[#This Row],[Ship Date]]-Table3[[#This Row],[Order Date]]</f>
        <v>6</v>
      </c>
      <c r="N2636" s="23" t="s">
        <v>45</v>
      </c>
      <c r="O2636" s="23" t="s">
        <v>23</v>
      </c>
      <c r="P2636" s="23" t="s">
        <v>38</v>
      </c>
      <c r="Q2636" s="23" t="s">
        <v>39</v>
      </c>
      <c r="R2636" s="23" t="s">
        <v>501</v>
      </c>
      <c r="S2636" s="33">
        <v>0</v>
      </c>
      <c r="T2636" s="13">
        <v>17.309999999999999</v>
      </c>
      <c r="U2636" s="13">
        <v>5.1929999999999996</v>
      </c>
      <c r="V2636" s="55">
        <f>Table3[[#This Row],[Profit]]/Table3[[#This Row],[Sales]]</f>
        <v>0.3</v>
      </c>
    </row>
    <row r="2637" spans="1:22" x14ac:dyDescent="0.2">
      <c r="A2637">
        <v>2636</v>
      </c>
      <c r="B2637" t="s">
        <v>9417</v>
      </c>
      <c r="C2637" s="1">
        <v>43055</v>
      </c>
      <c r="D2637" s="22">
        <f>MONTH(Table3[[#This Row],[Order Date]])</f>
        <v>11</v>
      </c>
      <c r="E2637" t="s">
        <v>1797</v>
      </c>
      <c r="F2637" t="s">
        <v>1798</v>
      </c>
      <c r="G2637" s="23" t="s">
        <v>41</v>
      </c>
      <c r="H2637" s="23" t="s">
        <v>68</v>
      </c>
      <c r="I2637" t="s">
        <v>2296</v>
      </c>
      <c r="J2637" t="s">
        <v>36</v>
      </c>
      <c r="K2637" s="22">
        <v>1</v>
      </c>
      <c r="L2637" s="1">
        <v>43059</v>
      </c>
      <c r="M2637" s="22">
        <f>Table3[[#This Row],[Ship Date]]-Table3[[#This Row],[Order Date]]</f>
        <v>4</v>
      </c>
      <c r="N2637" s="23" t="s">
        <v>20</v>
      </c>
      <c r="O2637" s="23" t="s">
        <v>23</v>
      </c>
      <c r="P2637" s="23" t="s">
        <v>441</v>
      </c>
      <c r="Q2637" s="23" t="s">
        <v>133</v>
      </c>
      <c r="R2637" s="23" t="s">
        <v>9418</v>
      </c>
      <c r="S2637" s="33">
        <v>0.7</v>
      </c>
      <c r="T2637" s="13">
        <v>1.8240000000000001</v>
      </c>
      <c r="U2637" s="13">
        <v>-1.3984000000000001</v>
      </c>
      <c r="V2637" s="55">
        <f>Table3[[#This Row],[Profit]]/Table3[[#This Row],[Sales]]</f>
        <v>-0.76666666666666672</v>
      </c>
    </row>
    <row r="2638" spans="1:22" x14ac:dyDescent="0.2">
      <c r="A2638">
        <v>2637</v>
      </c>
      <c r="B2638" t="s">
        <v>9951</v>
      </c>
      <c r="C2638" s="1">
        <v>43055</v>
      </c>
      <c r="D2638" s="22">
        <f>MONTH(Table3[[#This Row],[Order Date]])</f>
        <v>11</v>
      </c>
      <c r="E2638" t="s">
        <v>2108</v>
      </c>
      <c r="F2638" t="s">
        <v>2109</v>
      </c>
      <c r="G2638" s="23" t="s">
        <v>64</v>
      </c>
      <c r="H2638" s="23" t="s">
        <v>1075</v>
      </c>
      <c r="I2638" t="s">
        <v>3783</v>
      </c>
      <c r="J2638" t="s">
        <v>36</v>
      </c>
      <c r="K2638" s="22">
        <v>3</v>
      </c>
      <c r="L2638" s="1">
        <v>43060</v>
      </c>
      <c r="M2638" s="22">
        <f>Table3[[#This Row],[Ship Date]]-Table3[[#This Row],[Order Date]]</f>
        <v>5</v>
      </c>
      <c r="N2638" s="23" t="s">
        <v>45</v>
      </c>
      <c r="O2638" s="23" t="s">
        <v>23</v>
      </c>
      <c r="P2638" s="23" t="s">
        <v>441</v>
      </c>
      <c r="Q2638" s="23" t="s">
        <v>133</v>
      </c>
      <c r="R2638" s="23" t="s">
        <v>4081</v>
      </c>
      <c r="S2638" s="33">
        <v>0.4</v>
      </c>
      <c r="T2638" s="13">
        <v>899.98199999999997</v>
      </c>
      <c r="U2638" s="13">
        <v>74.998500000000007</v>
      </c>
      <c r="V2638" s="55">
        <f>Table3[[#This Row],[Profit]]/Table3[[#This Row],[Sales]]</f>
        <v>8.3333333333333343E-2</v>
      </c>
    </row>
    <row r="2639" spans="1:22" x14ac:dyDescent="0.2">
      <c r="A2639">
        <v>2638</v>
      </c>
      <c r="B2639" t="s">
        <v>9951</v>
      </c>
      <c r="C2639" s="1">
        <v>43055</v>
      </c>
      <c r="D2639" s="22">
        <f>MONTH(Table3[[#This Row],[Order Date]])</f>
        <v>11</v>
      </c>
      <c r="E2639" t="s">
        <v>3137</v>
      </c>
      <c r="F2639" t="s">
        <v>3138</v>
      </c>
      <c r="G2639" s="23" t="s">
        <v>41</v>
      </c>
      <c r="H2639" s="23" t="s">
        <v>61</v>
      </c>
      <c r="I2639" t="s">
        <v>3783</v>
      </c>
      <c r="J2639" t="s">
        <v>36</v>
      </c>
      <c r="K2639" s="22">
        <v>3</v>
      </c>
      <c r="L2639" s="1">
        <v>43060</v>
      </c>
      <c r="M2639" s="22">
        <f>Table3[[#This Row],[Ship Date]]-Table3[[#This Row],[Order Date]]</f>
        <v>5</v>
      </c>
      <c r="N2639" s="23" t="s">
        <v>45</v>
      </c>
      <c r="O2639" s="23" t="s">
        <v>23</v>
      </c>
      <c r="P2639" s="23" t="s">
        <v>441</v>
      </c>
      <c r="Q2639" s="23" t="s">
        <v>133</v>
      </c>
      <c r="R2639" s="23" t="s">
        <v>4081</v>
      </c>
      <c r="S2639" s="33">
        <v>0.2</v>
      </c>
      <c r="T2639" s="13">
        <v>86.352000000000004</v>
      </c>
      <c r="U2639" s="13">
        <v>5.3970000000000002</v>
      </c>
      <c r="V2639" s="55">
        <f>Table3[[#This Row],[Profit]]/Table3[[#This Row],[Sales]]</f>
        <v>6.25E-2</v>
      </c>
    </row>
    <row r="2640" spans="1:22" x14ac:dyDescent="0.2">
      <c r="A2640">
        <v>2639</v>
      </c>
      <c r="B2640" t="s">
        <v>9951</v>
      </c>
      <c r="C2640" s="1">
        <v>43055</v>
      </c>
      <c r="D2640" s="22">
        <f>MONTH(Table3[[#This Row],[Order Date]])</f>
        <v>11</v>
      </c>
      <c r="E2640" t="s">
        <v>1198</v>
      </c>
      <c r="F2640" t="s">
        <v>1199</v>
      </c>
      <c r="G2640" s="23" t="s">
        <v>64</v>
      </c>
      <c r="H2640" s="23" t="s">
        <v>144</v>
      </c>
      <c r="I2640" t="s">
        <v>3783</v>
      </c>
      <c r="J2640" t="s">
        <v>36</v>
      </c>
      <c r="K2640" s="22">
        <v>5</v>
      </c>
      <c r="L2640" s="1">
        <v>43060</v>
      </c>
      <c r="M2640" s="22">
        <f>Table3[[#This Row],[Ship Date]]-Table3[[#This Row],[Order Date]]</f>
        <v>5</v>
      </c>
      <c r="N2640" s="23" t="s">
        <v>45</v>
      </c>
      <c r="O2640" s="23" t="s">
        <v>23</v>
      </c>
      <c r="P2640" s="23" t="s">
        <v>441</v>
      </c>
      <c r="Q2640" s="23" t="s">
        <v>133</v>
      </c>
      <c r="R2640" s="23" t="s">
        <v>4081</v>
      </c>
      <c r="S2640" s="33">
        <v>0.2</v>
      </c>
      <c r="T2640" s="13">
        <v>139.96</v>
      </c>
      <c r="U2640" s="13">
        <v>-1.7495000000000001</v>
      </c>
      <c r="V2640" s="55">
        <f>Table3[[#This Row],[Profit]]/Table3[[#This Row],[Sales]]</f>
        <v>-1.2499999999999999E-2</v>
      </c>
    </row>
    <row r="2641" spans="1:22" x14ac:dyDescent="0.2">
      <c r="A2641">
        <v>2640</v>
      </c>
      <c r="B2641" t="s">
        <v>9974</v>
      </c>
      <c r="C2641" s="1">
        <v>43055</v>
      </c>
      <c r="D2641" s="22">
        <f>MONTH(Table3[[#This Row],[Order Date]])</f>
        <v>11</v>
      </c>
      <c r="E2641" t="s">
        <v>3059</v>
      </c>
      <c r="F2641" t="s">
        <v>3060</v>
      </c>
      <c r="G2641" s="23" t="s">
        <v>28</v>
      </c>
      <c r="H2641" s="23" t="s">
        <v>58</v>
      </c>
      <c r="I2641" t="s">
        <v>500</v>
      </c>
      <c r="J2641" t="s">
        <v>22</v>
      </c>
      <c r="K2641" s="22">
        <v>3</v>
      </c>
      <c r="L2641" s="1">
        <v>43059</v>
      </c>
      <c r="M2641" s="22">
        <f>Table3[[#This Row],[Ship Date]]-Table3[[#This Row],[Order Date]]</f>
        <v>4</v>
      </c>
      <c r="N2641" s="23" t="s">
        <v>45</v>
      </c>
      <c r="O2641" s="23" t="s">
        <v>23</v>
      </c>
      <c r="P2641" s="23" t="s">
        <v>38</v>
      </c>
      <c r="Q2641" s="23" t="s">
        <v>39</v>
      </c>
      <c r="R2641" s="23" t="s">
        <v>37</v>
      </c>
      <c r="S2641" s="33">
        <v>0</v>
      </c>
      <c r="T2641" s="13">
        <v>119.94</v>
      </c>
      <c r="U2641" s="13">
        <v>23.988</v>
      </c>
      <c r="V2641" s="55">
        <f>Table3[[#This Row],[Profit]]/Table3[[#This Row],[Sales]]</f>
        <v>0.2</v>
      </c>
    </row>
    <row r="2642" spans="1:22" x14ac:dyDescent="0.2">
      <c r="A2642">
        <v>2641</v>
      </c>
      <c r="B2642" t="s">
        <v>9974</v>
      </c>
      <c r="C2642" s="1">
        <v>43055</v>
      </c>
      <c r="D2642" s="22">
        <f>MONTH(Table3[[#This Row],[Order Date]])</f>
        <v>11</v>
      </c>
      <c r="E2642" t="s">
        <v>5060</v>
      </c>
      <c r="F2642" t="s">
        <v>5061</v>
      </c>
      <c r="G2642" s="23" t="s">
        <v>28</v>
      </c>
      <c r="H2642" s="23" t="s">
        <v>58</v>
      </c>
      <c r="I2642" t="s">
        <v>500</v>
      </c>
      <c r="J2642" t="s">
        <v>22</v>
      </c>
      <c r="K2642" s="22">
        <v>3</v>
      </c>
      <c r="L2642" s="1">
        <v>43059</v>
      </c>
      <c r="M2642" s="22">
        <f>Table3[[#This Row],[Ship Date]]-Table3[[#This Row],[Order Date]]</f>
        <v>4</v>
      </c>
      <c r="N2642" s="23" t="s">
        <v>45</v>
      </c>
      <c r="O2642" s="23" t="s">
        <v>23</v>
      </c>
      <c r="P2642" s="23" t="s">
        <v>38</v>
      </c>
      <c r="Q2642" s="23" t="s">
        <v>39</v>
      </c>
      <c r="R2642" s="23" t="s">
        <v>37</v>
      </c>
      <c r="S2642" s="33">
        <v>0</v>
      </c>
      <c r="T2642" s="13">
        <v>12.42</v>
      </c>
      <c r="U2642" s="13">
        <v>4.4711999999999996</v>
      </c>
      <c r="V2642" s="55">
        <f>Table3[[#This Row],[Profit]]/Table3[[#This Row],[Sales]]</f>
        <v>0.36</v>
      </c>
    </row>
    <row r="2643" spans="1:22" x14ac:dyDescent="0.2">
      <c r="A2643">
        <v>2642</v>
      </c>
      <c r="B2643" t="s">
        <v>4695</v>
      </c>
      <c r="C2643" s="1">
        <v>43056</v>
      </c>
      <c r="D2643" s="22">
        <f>MONTH(Table3[[#This Row],[Order Date]])</f>
        <v>11</v>
      </c>
      <c r="E2643" t="s">
        <v>4696</v>
      </c>
      <c r="F2643" t="s">
        <v>4697</v>
      </c>
      <c r="G2643" s="23" t="s">
        <v>41</v>
      </c>
      <c r="H2643" s="23" t="s">
        <v>71</v>
      </c>
      <c r="I2643" t="s">
        <v>2870</v>
      </c>
      <c r="J2643" t="s">
        <v>22</v>
      </c>
      <c r="K2643" s="22">
        <v>2</v>
      </c>
      <c r="L2643" s="1">
        <v>43062</v>
      </c>
      <c r="M2643" s="22">
        <f>Table3[[#This Row],[Ship Date]]-Table3[[#This Row],[Order Date]]</f>
        <v>6</v>
      </c>
      <c r="N2643" s="23" t="s">
        <v>45</v>
      </c>
      <c r="O2643" s="23" t="s">
        <v>23</v>
      </c>
      <c r="P2643" s="23" t="s">
        <v>285</v>
      </c>
      <c r="Q2643" s="23" t="s">
        <v>26</v>
      </c>
      <c r="R2643" s="23" t="s">
        <v>1744</v>
      </c>
      <c r="S2643" s="33">
        <v>0</v>
      </c>
      <c r="T2643" s="13">
        <v>35.04</v>
      </c>
      <c r="U2643" s="13">
        <v>12.263999999999999</v>
      </c>
      <c r="V2643" s="55">
        <f>Table3[[#This Row],[Profit]]/Table3[[#This Row],[Sales]]</f>
        <v>0.35</v>
      </c>
    </row>
    <row r="2644" spans="1:22" x14ac:dyDescent="0.2">
      <c r="A2644">
        <v>2643</v>
      </c>
      <c r="B2644" t="s">
        <v>5367</v>
      </c>
      <c r="C2644" s="1">
        <v>43056</v>
      </c>
      <c r="D2644" s="22">
        <f>MONTH(Table3[[#This Row],[Order Date]])</f>
        <v>11</v>
      </c>
      <c r="E2644" t="s">
        <v>771</v>
      </c>
      <c r="F2644" t="s">
        <v>772</v>
      </c>
      <c r="G2644" s="23" t="s">
        <v>41</v>
      </c>
      <c r="H2644" s="23" t="s">
        <v>61</v>
      </c>
      <c r="I2644" t="s">
        <v>1467</v>
      </c>
      <c r="J2644" t="s">
        <v>22</v>
      </c>
      <c r="K2644" s="22">
        <v>3</v>
      </c>
      <c r="L2644" s="1">
        <v>43059</v>
      </c>
      <c r="M2644" s="22">
        <f>Table3[[#This Row],[Ship Date]]-Table3[[#This Row],[Order Date]]</f>
        <v>3</v>
      </c>
      <c r="N2644" s="23" t="s">
        <v>169</v>
      </c>
      <c r="O2644" s="23" t="s">
        <v>23</v>
      </c>
      <c r="P2644" s="23" t="s">
        <v>1101</v>
      </c>
      <c r="Q2644" s="23" t="s">
        <v>133</v>
      </c>
      <c r="R2644" s="23" t="s">
        <v>3613</v>
      </c>
      <c r="S2644" s="33">
        <v>0</v>
      </c>
      <c r="T2644" s="13">
        <v>50.94</v>
      </c>
      <c r="U2644" s="13">
        <v>14.263199999999999</v>
      </c>
      <c r="V2644" s="55">
        <f>Table3[[#This Row],[Profit]]/Table3[[#This Row],[Sales]]</f>
        <v>0.28000000000000003</v>
      </c>
    </row>
    <row r="2645" spans="1:22" x14ac:dyDescent="0.2">
      <c r="A2645">
        <v>2644</v>
      </c>
      <c r="B2645" t="s">
        <v>5548</v>
      </c>
      <c r="C2645" s="1">
        <v>43056</v>
      </c>
      <c r="D2645" s="22">
        <f>MONTH(Table3[[#This Row],[Order Date]])</f>
        <v>11</v>
      </c>
      <c r="E2645" t="s">
        <v>4601</v>
      </c>
      <c r="F2645" t="s">
        <v>4602</v>
      </c>
      <c r="G2645" s="23" t="s">
        <v>28</v>
      </c>
      <c r="H2645" s="23" t="s">
        <v>29</v>
      </c>
      <c r="I2645" t="s">
        <v>5549</v>
      </c>
      <c r="J2645" t="s">
        <v>22</v>
      </c>
      <c r="K2645" s="22">
        <v>2</v>
      </c>
      <c r="L2645" s="1">
        <v>43062</v>
      </c>
      <c r="M2645" s="22">
        <f>Table3[[#This Row],[Ship Date]]-Table3[[#This Row],[Order Date]]</f>
        <v>6</v>
      </c>
      <c r="N2645" s="23" t="s">
        <v>45</v>
      </c>
      <c r="O2645" s="23" t="s">
        <v>23</v>
      </c>
      <c r="P2645" s="23" t="s">
        <v>94</v>
      </c>
      <c r="Q2645" s="23" t="s">
        <v>95</v>
      </c>
      <c r="R2645" s="23" t="s">
        <v>2776</v>
      </c>
      <c r="S2645" s="33">
        <v>0.32</v>
      </c>
      <c r="T2645" s="13">
        <v>327.7328</v>
      </c>
      <c r="U2645" s="13">
        <v>-14.4588</v>
      </c>
      <c r="V2645" s="55">
        <f>Table3[[#This Row],[Profit]]/Table3[[#This Row],[Sales]]</f>
        <v>-4.4117647058823532E-2</v>
      </c>
    </row>
    <row r="2646" spans="1:22" x14ac:dyDescent="0.2">
      <c r="A2646">
        <v>2645</v>
      </c>
      <c r="B2646" t="s">
        <v>6561</v>
      </c>
      <c r="C2646" s="1">
        <v>43056</v>
      </c>
      <c r="D2646" s="22">
        <f>MONTH(Table3[[#This Row],[Order Date]])</f>
        <v>11</v>
      </c>
      <c r="E2646" t="s">
        <v>5105</v>
      </c>
      <c r="F2646" t="s">
        <v>5106</v>
      </c>
      <c r="G2646" s="23" t="s">
        <v>64</v>
      </c>
      <c r="H2646" s="23" t="s">
        <v>1075</v>
      </c>
      <c r="I2646" t="s">
        <v>2425</v>
      </c>
      <c r="J2646" t="s">
        <v>22</v>
      </c>
      <c r="K2646" s="22">
        <v>3</v>
      </c>
      <c r="L2646" s="1">
        <v>43061</v>
      </c>
      <c r="M2646" s="22">
        <f>Table3[[#This Row],[Ship Date]]-Table3[[#This Row],[Order Date]]</f>
        <v>5</v>
      </c>
      <c r="N2646" s="23" t="s">
        <v>45</v>
      </c>
      <c r="O2646" s="23" t="s">
        <v>23</v>
      </c>
      <c r="P2646" s="23" t="s">
        <v>218</v>
      </c>
      <c r="Q2646" s="23" t="s">
        <v>133</v>
      </c>
      <c r="R2646" s="23" t="s">
        <v>536</v>
      </c>
      <c r="S2646" s="33">
        <v>0</v>
      </c>
      <c r="T2646" s="13">
        <v>10499.97</v>
      </c>
      <c r="U2646" s="13">
        <v>5039.9856</v>
      </c>
      <c r="V2646" s="55">
        <f>Table3[[#This Row],[Profit]]/Table3[[#This Row],[Sales]]</f>
        <v>0.48000000000000004</v>
      </c>
    </row>
    <row r="2647" spans="1:22" x14ac:dyDescent="0.2">
      <c r="A2647">
        <v>2646</v>
      </c>
      <c r="B2647" t="s">
        <v>7205</v>
      </c>
      <c r="C2647" s="1">
        <v>43056</v>
      </c>
      <c r="D2647" s="22">
        <f>MONTH(Table3[[#This Row],[Order Date]])</f>
        <v>11</v>
      </c>
      <c r="E2647" t="s">
        <v>2070</v>
      </c>
      <c r="F2647" t="s">
        <v>2071</v>
      </c>
      <c r="G2647" s="23" t="s">
        <v>64</v>
      </c>
      <c r="H2647" s="23" t="s">
        <v>144</v>
      </c>
      <c r="I2647" t="s">
        <v>2060</v>
      </c>
      <c r="J2647" t="s">
        <v>22</v>
      </c>
      <c r="K2647" s="22">
        <v>5</v>
      </c>
      <c r="L2647" s="1">
        <v>43060</v>
      </c>
      <c r="M2647" s="22">
        <f>Table3[[#This Row],[Ship Date]]-Table3[[#This Row],[Order Date]]</f>
        <v>4</v>
      </c>
      <c r="N2647" s="23" t="s">
        <v>20</v>
      </c>
      <c r="O2647" s="23" t="s">
        <v>23</v>
      </c>
      <c r="P2647" s="23" t="s">
        <v>189</v>
      </c>
      <c r="Q2647" s="23" t="s">
        <v>95</v>
      </c>
      <c r="R2647" s="23" t="s">
        <v>188</v>
      </c>
      <c r="S2647" s="33">
        <v>0.2</v>
      </c>
      <c r="T2647" s="13">
        <v>239.96</v>
      </c>
      <c r="U2647" s="13">
        <v>83.986000000000004</v>
      </c>
      <c r="V2647" s="55">
        <f>Table3[[#This Row],[Profit]]/Table3[[#This Row],[Sales]]</f>
        <v>0.35000000000000003</v>
      </c>
    </row>
    <row r="2648" spans="1:22" x14ac:dyDescent="0.2">
      <c r="A2648">
        <v>2647</v>
      </c>
      <c r="B2648" t="s">
        <v>8157</v>
      </c>
      <c r="C2648" s="1">
        <v>43056</v>
      </c>
      <c r="D2648" s="22">
        <f>MONTH(Table3[[#This Row],[Order Date]])</f>
        <v>11</v>
      </c>
      <c r="E2648" t="s">
        <v>1395</v>
      </c>
      <c r="F2648" t="s">
        <v>1396</v>
      </c>
      <c r="G2648" s="23" t="s">
        <v>41</v>
      </c>
      <c r="H2648" s="23" t="s">
        <v>53</v>
      </c>
      <c r="I2648" t="s">
        <v>746</v>
      </c>
      <c r="J2648" t="s">
        <v>36</v>
      </c>
      <c r="K2648" s="22">
        <v>3</v>
      </c>
      <c r="L2648" s="1">
        <v>43061</v>
      </c>
      <c r="M2648" s="22">
        <f>Table3[[#This Row],[Ship Date]]-Table3[[#This Row],[Order Date]]</f>
        <v>5</v>
      </c>
      <c r="N2648" s="23" t="s">
        <v>20</v>
      </c>
      <c r="O2648" s="23" t="s">
        <v>23</v>
      </c>
      <c r="P2648" s="23" t="s">
        <v>238</v>
      </c>
      <c r="Q2648" s="23" t="s">
        <v>133</v>
      </c>
      <c r="R2648" s="23" t="s">
        <v>237</v>
      </c>
      <c r="S2648" s="33">
        <v>0</v>
      </c>
      <c r="T2648" s="13">
        <v>1247.6400000000001</v>
      </c>
      <c r="U2648" s="13">
        <v>349.33920000000001</v>
      </c>
      <c r="V2648" s="55">
        <f>Table3[[#This Row],[Profit]]/Table3[[#This Row],[Sales]]</f>
        <v>0.27999999999999997</v>
      </c>
    </row>
    <row r="2649" spans="1:22" x14ac:dyDescent="0.2">
      <c r="A2649">
        <v>2648</v>
      </c>
      <c r="B2649" t="s">
        <v>8519</v>
      </c>
      <c r="C2649" s="1">
        <v>43056</v>
      </c>
      <c r="D2649" s="22">
        <f>MONTH(Table3[[#This Row],[Order Date]])</f>
        <v>11</v>
      </c>
      <c r="E2649" t="s">
        <v>1811</v>
      </c>
      <c r="F2649" t="s">
        <v>1812</v>
      </c>
      <c r="G2649" s="23" t="s">
        <v>41</v>
      </c>
      <c r="H2649" s="23" t="s">
        <v>68</v>
      </c>
      <c r="I2649" t="s">
        <v>455</v>
      </c>
      <c r="J2649" t="s">
        <v>36</v>
      </c>
      <c r="K2649" s="22">
        <v>2</v>
      </c>
      <c r="L2649" s="1">
        <v>43063</v>
      </c>
      <c r="M2649" s="22">
        <f>Table3[[#This Row],[Ship Date]]-Table3[[#This Row],[Order Date]]</f>
        <v>7</v>
      </c>
      <c r="N2649" s="23" t="s">
        <v>45</v>
      </c>
      <c r="O2649" s="23" t="s">
        <v>23</v>
      </c>
      <c r="P2649" s="23" t="s">
        <v>87</v>
      </c>
      <c r="Q2649" s="23" t="s">
        <v>39</v>
      </c>
      <c r="R2649" s="23" t="s">
        <v>86</v>
      </c>
      <c r="S2649" s="33">
        <v>0.2</v>
      </c>
      <c r="T2649" s="13">
        <v>13.904</v>
      </c>
      <c r="U2649" s="13">
        <v>4.5187999999999997</v>
      </c>
      <c r="V2649" s="55">
        <f>Table3[[#This Row],[Profit]]/Table3[[#This Row],[Sales]]</f>
        <v>0.32499999999999996</v>
      </c>
    </row>
    <row r="2650" spans="1:22" x14ac:dyDescent="0.2">
      <c r="A2650">
        <v>2649</v>
      </c>
      <c r="B2650" t="s">
        <v>8639</v>
      </c>
      <c r="C2650" s="1">
        <v>43056</v>
      </c>
      <c r="D2650" s="22">
        <f>MONTH(Table3[[#This Row],[Order Date]])</f>
        <v>11</v>
      </c>
      <c r="E2650" t="s">
        <v>8267</v>
      </c>
      <c r="F2650" t="s">
        <v>8268</v>
      </c>
      <c r="G2650" s="23" t="s">
        <v>41</v>
      </c>
      <c r="H2650" s="23" t="s">
        <v>82</v>
      </c>
      <c r="I2650" t="s">
        <v>4080</v>
      </c>
      <c r="J2650" t="s">
        <v>36</v>
      </c>
      <c r="K2650" s="22">
        <v>3</v>
      </c>
      <c r="L2650" s="1">
        <v>43060</v>
      </c>
      <c r="M2650" s="22">
        <f>Table3[[#This Row],[Ship Date]]-Table3[[#This Row],[Order Date]]</f>
        <v>4</v>
      </c>
      <c r="N2650" s="23" t="s">
        <v>45</v>
      </c>
      <c r="O2650" s="23" t="s">
        <v>23</v>
      </c>
      <c r="P2650" s="23" t="s">
        <v>374</v>
      </c>
      <c r="Q2650" s="23" t="s">
        <v>39</v>
      </c>
      <c r="R2650" s="23" t="s">
        <v>8640</v>
      </c>
      <c r="S2650" s="33">
        <v>0.2</v>
      </c>
      <c r="T2650" s="13">
        <v>19.608000000000001</v>
      </c>
      <c r="U2650" s="13">
        <v>6.6177000000000001</v>
      </c>
      <c r="V2650" s="55">
        <f>Table3[[#This Row],[Profit]]/Table3[[#This Row],[Sales]]</f>
        <v>0.33750000000000002</v>
      </c>
    </row>
    <row r="2651" spans="1:22" x14ac:dyDescent="0.2">
      <c r="A2651">
        <v>2650</v>
      </c>
      <c r="B2651" t="s">
        <v>8639</v>
      </c>
      <c r="C2651" s="1">
        <v>43056</v>
      </c>
      <c r="D2651" s="22">
        <f>MONTH(Table3[[#This Row],[Order Date]])</f>
        <v>11</v>
      </c>
      <c r="E2651" t="s">
        <v>3157</v>
      </c>
      <c r="F2651" t="s">
        <v>3158</v>
      </c>
      <c r="G2651" s="23" t="s">
        <v>41</v>
      </c>
      <c r="H2651" s="23" t="s">
        <v>68</v>
      </c>
      <c r="I2651" t="s">
        <v>4080</v>
      </c>
      <c r="J2651" t="s">
        <v>36</v>
      </c>
      <c r="K2651" s="22">
        <v>7</v>
      </c>
      <c r="L2651" s="1">
        <v>43060</v>
      </c>
      <c r="M2651" s="22">
        <f>Table3[[#This Row],[Ship Date]]-Table3[[#This Row],[Order Date]]</f>
        <v>4</v>
      </c>
      <c r="N2651" s="23" t="s">
        <v>45</v>
      </c>
      <c r="O2651" s="23" t="s">
        <v>23</v>
      </c>
      <c r="P2651" s="23" t="s">
        <v>374</v>
      </c>
      <c r="Q2651" s="23" t="s">
        <v>39</v>
      </c>
      <c r="R2651" s="23" t="s">
        <v>8640</v>
      </c>
      <c r="S2651" s="33">
        <v>0.7</v>
      </c>
      <c r="T2651" s="13">
        <v>4.1580000000000004</v>
      </c>
      <c r="U2651" s="13">
        <v>-3.4649999999999999</v>
      </c>
      <c r="V2651" s="55">
        <f>Table3[[#This Row],[Profit]]/Table3[[#This Row],[Sales]]</f>
        <v>-0.83333333333333326</v>
      </c>
    </row>
    <row r="2652" spans="1:22" x14ac:dyDescent="0.2">
      <c r="A2652">
        <v>2651</v>
      </c>
      <c r="B2652" t="s">
        <v>8867</v>
      </c>
      <c r="C2652" s="1">
        <v>43056</v>
      </c>
      <c r="D2652" s="22">
        <f>MONTH(Table3[[#This Row],[Order Date]])</f>
        <v>11</v>
      </c>
      <c r="E2652" t="s">
        <v>8868</v>
      </c>
      <c r="F2652" t="s">
        <v>8869</v>
      </c>
      <c r="G2652" s="23" t="s">
        <v>41</v>
      </c>
      <c r="H2652" s="23" t="s">
        <v>82</v>
      </c>
      <c r="I2652" t="s">
        <v>1795</v>
      </c>
      <c r="J2652" t="s">
        <v>22</v>
      </c>
      <c r="K2652" s="22">
        <v>7</v>
      </c>
      <c r="L2652" s="1">
        <v>43060</v>
      </c>
      <c r="M2652" s="22">
        <f>Table3[[#This Row],[Ship Date]]-Table3[[#This Row],[Order Date]]</f>
        <v>4</v>
      </c>
      <c r="N2652" s="23" t="s">
        <v>45</v>
      </c>
      <c r="O2652" s="23" t="s">
        <v>23</v>
      </c>
      <c r="P2652" s="23" t="s">
        <v>80</v>
      </c>
      <c r="Q2652" s="23" t="s">
        <v>26</v>
      </c>
      <c r="R2652" s="23" t="s">
        <v>414</v>
      </c>
      <c r="S2652" s="33">
        <v>0.2</v>
      </c>
      <c r="T2652" s="13">
        <v>268.24</v>
      </c>
      <c r="U2652" s="13">
        <v>93.884</v>
      </c>
      <c r="V2652" s="55">
        <f>Table3[[#This Row],[Profit]]/Table3[[#This Row],[Sales]]</f>
        <v>0.35</v>
      </c>
    </row>
    <row r="2653" spans="1:22" x14ac:dyDescent="0.2">
      <c r="A2653">
        <v>2652</v>
      </c>
      <c r="B2653" t="s">
        <v>8867</v>
      </c>
      <c r="C2653" s="1">
        <v>43056</v>
      </c>
      <c r="D2653" s="22">
        <f>MONTH(Table3[[#This Row],[Order Date]])</f>
        <v>11</v>
      </c>
      <c r="E2653" t="s">
        <v>2132</v>
      </c>
      <c r="F2653" t="s">
        <v>2133</v>
      </c>
      <c r="G2653" s="23" t="s">
        <v>64</v>
      </c>
      <c r="H2653" s="23" t="s">
        <v>144</v>
      </c>
      <c r="I2653" t="s">
        <v>1795</v>
      </c>
      <c r="J2653" t="s">
        <v>22</v>
      </c>
      <c r="K2653" s="22">
        <v>5</v>
      </c>
      <c r="L2653" s="1">
        <v>43060</v>
      </c>
      <c r="M2653" s="22">
        <f>Table3[[#This Row],[Ship Date]]-Table3[[#This Row],[Order Date]]</f>
        <v>4</v>
      </c>
      <c r="N2653" s="23" t="s">
        <v>45</v>
      </c>
      <c r="O2653" s="23" t="s">
        <v>23</v>
      </c>
      <c r="P2653" s="23" t="s">
        <v>80</v>
      </c>
      <c r="Q2653" s="23" t="s">
        <v>26</v>
      </c>
      <c r="R2653" s="23" t="s">
        <v>414</v>
      </c>
      <c r="S2653" s="33">
        <v>0.2</v>
      </c>
      <c r="T2653" s="13">
        <v>431.16</v>
      </c>
      <c r="U2653" s="13">
        <v>107.79</v>
      </c>
      <c r="V2653" s="55">
        <f>Table3[[#This Row],[Profit]]/Table3[[#This Row],[Sales]]</f>
        <v>0.25</v>
      </c>
    </row>
    <row r="2654" spans="1:22" x14ac:dyDescent="0.2">
      <c r="A2654">
        <v>2653</v>
      </c>
      <c r="B2654" t="s">
        <v>9105</v>
      </c>
      <c r="C2654" s="1">
        <v>43056</v>
      </c>
      <c r="D2654" s="22">
        <f>MONTH(Table3[[#This Row],[Order Date]])</f>
        <v>11</v>
      </c>
      <c r="E2654" t="s">
        <v>2861</v>
      </c>
      <c r="F2654" t="s">
        <v>2862</v>
      </c>
      <c r="G2654" s="23" t="s">
        <v>41</v>
      </c>
      <c r="H2654" s="23" t="s">
        <v>82</v>
      </c>
      <c r="I2654" t="s">
        <v>5384</v>
      </c>
      <c r="J2654" t="s">
        <v>22</v>
      </c>
      <c r="K2654" s="22">
        <v>6</v>
      </c>
      <c r="L2654" s="1">
        <v>43060</v>
      </c>
      <c r="M2654" s="22">
        <f>Table3[[#This Row],[Ship Date]]-Table3[[#This Row],[Order Date]]</f>
        <v>4</v>
      </c>
      <c r="N2654" s="23" t="s">
        <v>45</v>
      </c>
      <c r="O2654" s="23" t="s">
        <v>23</v>
      </c>
      <c r="P2654" s="23" t="s">
        <v>238</v>
      </c>
      <c r="Q2654" s="23" t="s">
        <v>133</v>
      </c>
      <c r="R2654" s="23" t="s">
        <v>237</v>
      </c>
      <c r="S2654" s="33">
        <v>0</v>
      </c>
      <c r="T2654" s="13">
        <v>38.880000000000003</v>
      </c>
      <c r="U2654" s="13">
        <v>18.662400000000002</v>
      </c>
      <c r="V2654" s="55">
        <f>Table3[[#This Row],[Profit]]/Table3[[#This Row],[Sales]]</f>
        <v>0.48000000000000004</v>
      </c>
    </row>
    <row r="2655" spans="1:22" x14ac:dyDescent="0.2">
      <c r="A2655">
        <v>2654</v>
      </c>
      <c r="B2655" t="s">
        <v>9105</v>
      </c>
      <c r="C2655" s="1">
        <v>43056</v>
      </c>
      <c r="D2655" s="22">
        <f>MONTH(Table3[[#This Row],[Order Date]])</f>
        <v>11</v>
      </c>
      <c r="E2655" t="s">
        <v>955</v>
      </c>
      <c r="F2655" t="s">
        <v>956</v>
      </c>
      <c r="G2655" s="23" t="s">
        <v>28</v>
      </c>
      <c r="H2655" s="23" t="s">
        <v>58</v>
      </c>
      <c r="I2655" t="s">
        <v>5384</v>
      </c>
      <c r="J2655" t="s">
        <v>22</v>
      </c>
      <c r="K2655" s="22">
        <v>4</v>
      </c>
      <c r="L2655" s="1">
        <v>43060</v>
      </c>
      <c r="M2655" s="22">
        <f>Table3[[#This Row],[Ship Date]]-Table3[[#This Row],[Order Date]]</f>
        <v>4</v>
      </c>
      <c r="N2655" s="23" t="s">
        <v>45</v>
      </c>
      <c r="O2655" s="23" t="s">
        <v>23</v>
      </c>
      <c r="P2655" s="23" t="s">
        <v>238</v>
      </c>
      <c r="Q2655" s="23" t="s">
        <v>133</v>
      </c>
      <c r="R2655" s="23" t="s">
        <v>237</v>
      </c>
      <c r="S2655" s="33">
        <v>0</v>
      </c>
      <c r="T2655" s="13">
        <v>187.76</v>
      </c>
      <c r="U2655" s="13">
        <v>76.9816</v>
      </c>
      <c r="V2655" s="55">
        <f>Table3[[#This Row],[Profit]]/Table3[[#This Row],[Sales]]</f>
        <v>0.41000000000000003</v>
      </c>
    </row>
    <row r="2656" spans="1:22" x14ac:dyDescent="0.2">
      <c r="A2656">
        <v>2655</v>
      </c>
      <c r="B2656" t="s">
        <v>9753</v>
      </c>
      <c r="C2656" s="1">
        <v>43056</v>
      </c>
      <c r="D2656" s="22">
        <f>MONTH(Table3[[#This Row],[Order Date]])</f>
        <v>11</v>
      </c>
      <c r="E2656" t="s">
        <v>1212</v>
      </c>
      <c r="F2656" t="s">
        <v>1213</v>
      </c>
      <c r="G2656" s="23" t="s">
        <v>41</v>
      </c>
      <c r="H2656" s="23" t="s">
        <v>68</v>
      </c>
      <c r="I2656" t="s">
        <v>4488</v>
      </c>
      <c r="J2656" t="s">
        <v>22</v>
      </c>
      <c r="K2656" s="22">
        <v>6</v>
      </c>
      <c r="L2656" s="1">
        <v>43060</v>
      </c>
      <c r="M2656" s="22">
        <f>Table3[[#This Row],[Ship Date]]-Table3[[#This Row],[Order Date]]</f>
        <v>4</v>
      </c>
      <c r="N2656" s="23" t="s">
        <v>20</v>
      </c>
      <c r="O2656" s="23" t="s">
        <v>23</v>
      </c>
      <c r="P2656" s="23" t="s">
        <v>2408</v>
      </c>
      <c r="Q2656" s="23" t="s">
        <v>133</v>
      </c>
      <c r="R2656" s="23" t="s">
        <v>9754</v>
      </c>
      <c r="S2656" s="33">
        <v>0</v>
      </c>
      <c r="T2656" s="13">
        <v>43.8</v>
      </c>
      <c r="U2656" s="13">
        <v>20.585999999999999</v>
      </c>
      <c r="V2656" s="55">
        <f>Table3[[#This Row],[Profit]]/Table3[[#This Row],[Sales]]</f>
        <v>0.47</v>
      </c>
    </row>
    <row r="2657" spans="1:22" x14ac:dyDescent="0.2">
      <c r="A2657">
        <v>2656</v>
      </c>
      <c r="B2657" t="s">
        <v>10140</v>
      </c>
      <c r="C2657" s="1">
        <v>43056</v>
      </c>
      <c r="D2657" s="22">
        <f>MONTH(Table3[[#This Row],[Order Date]])</f>
        <v>11</v>
      </c>
      <c r="E2657" t="s">
        <v>6283</v>
      </c>
      <c r="F2657" t="s">
        <v>6284</v>
      </c>
      <c r="G2657" s="23" t="s">
        <v>64</v>
      </c>
      <c r="H2657" s="23" t="s">
        <v>144</v>
      </c>
      <c r="I2657" t="s">
        <v>193</v>
      </c>
      <c r="J2657" t="s">
        <v>36</v>
      </c>
      <c r="K2657" s="22">
        <v>1</v>
      </c>
      <c r="L2657" s="1">
        <v>43060</v>
      </c>
      <c r="M2657" s="22">
        <f>Table3[[#This Row],[Ship Date]]-Table3[[#This Row],[Order Date]]</f>
        <v>4</v>
      </c>
      <c r="N2657" s="23" t="s">
        <v>45</v>
      </c>
      <c r="O2657" s="23" t="s">
        <v>23</v>
      </c>
      <c r="P2657" s="23" t="s">
        <v>1125</v>
      </c>
      <c r="Q2657" s="23" t="s">
        <v>26</v>
      </c>
      <c r="R2657" s="23" t="s">
        <v>6978</v>
      </c>
      <c r="S2657" s="33">
        <v>0</v>
      </c>
      <c r="T2657" s="13">
        <v>79.989999999999995</v>
      </c>
      <c r="U2657" s="13">
        <v>28.796399999999998</v>
      </c>
      <c r="V2657" s="55">
        <f>Table3[[#This Row],[Profit]]/Table3[[#This Row],[Sales]]</f>
        <v>0.36</v>
      </c>
    </row>
    <row r="2658" spans="1:22" x14ac:dyDescent="0.2">
      <c r="A2658">
        <v>2657</v>
      </c>
      <c r="B2658" t="s">
        <v>10140</v>
      </c>
      <c r="C2658" s="1">
        <v>43056</v>
      </c>
      <c r="D2658" s="22">
        <f>MONTH(Table3[[#This Row],[Order Date]])</f>
        <v>11</v>
      </c>
      <c r="E2658" t="s">
        <v>8085</v>
      </c>
      <c r="F2658" t="s">
        <v>8086</v>
      </c>
      <c r="G2658" s="23" t="s">
        <v>64</v>
      </c>
      <c r="H2658" s="23" t="s">
        <v>65</v>
      </c>
      <c r="I2658" t="s">
        <v>193</v>
      </c>
      <c r="J2658" t="s">
        <v>36</v>
      </c>
      <c r="K2658" s="22">
        <v>5</v>
      </c>
      <c r="L2658" s="1">
        <v>43060</v>
      </c>
      <c r="M2658" s="22">
        <f>Table3[[#This Row],[Ship Date]]-Table3[[#This Row],[Order Date]]</f>
        <v>4</v>
      </c>
      <c r="N2658" s="23" t="s">
        <v>45</v>
      </c>
      <c r="O2658" s="23" t="s">
        <v>23</v>
      </c>
      <c r="P2658" s="23" t="s">
        <v>1125</v>
      </c>
      <c r="Q2658" s="23" t="s">
        <v>26</v>
      </c>
      <c r="R2658" s="23" t="s">
        <v>6978</v>
      </c>
      <c r="S2658" s="33">
        <v>0</v>
      </c>
      <c r="T2658" s="13">
        <v>206.1</v>
      </c>
      <c r="U2658" s="13">
        <v>55.646999999999998</v>
      </c>
      <c r="V2658" s="55">
        <f>Table3[[#This Row],[Profit]]/Table3[[#This Row],[Sales]]</f>
        <v>0.27</v>
      </c>
    </row>
    <row r="2659" spans="1:22" x14ac:dyDescent="0.2">
      <c r="A2659">
        <v>2658</v>
      </c>
      <c r="B2659" t="s">
        <v>3804</v>
      </c>
      <c r="C2659" s="1">
        <v>43057</v>
      </c>
      <c r="D2659" s="22">
        <f>MONTH(Table3[[#This Row],[Order Date]])</f>
        <v>11</v>
      </c>
      <c r="E2659" t="s">
        <v>354</v>
      </c>
      <c r="F2659" t="s">
        <v>355</v>
      </c>
      <c r="G2659" s="23" t="s">
        <v>41</v>
      </c>
      <c r="H2659" s="23" t="s">
        <v>53</v>
      </c>
      <c r="I2659" t="s">
        <v>3805</v>
      </c>
      <c r="J2659" t="s">
        <v>22</v>
      </c>
      <c r="K2659" s="22">
        <v>6</v>
      </c>
      <c r="L2659" s="1">
        <v>43060</v>
      </c>
      <c r="M2659" s="22">
        <f>Table3[[#This Row],[Ship Date]]-Table3[[#This Row],[Order Date]]</f>
        <v>3</v>
      </c>
      <c r="N2659" s="23" t="s">
        <v>169</v>
      </c>
      <c r="O2659" s="23" t="s">
        <v>23</v>
      </c>
      <c r="P2659" s="23" t="s">
        <v>87</v>
      </c>
      <c r="Q2659" s="23" t="s">
        <v>39</v>
      </c>
      <c r="R2659" s="23" t="s">
        <v>86</v>
      </c>
      <c r="S2659" s="33">
        <v>0</v>
      </c>
      <c r="T2659" s="13">
        <v>169.68</v>
      </c>
      <c r="U2659" s="13">
        <v>45.813600000000001</v>
      </c>
      <c r="V2659" s="55">
        <f>Table3[[#This Row],[Profit]]/Table3[[#This Row],[Sales]]</f>
        <v>0.27</v>
      </c>
    </row>
    <row r="2660" spans="1:22" x14ac:dyDescent="0.2">
      <c r="A2660">
        <v>2659</v>
      </c>
      <c r="B2660" t="s">
        <v>3804</v>
      </c>
      <c r="C2660" s="1">
        <v>43057</v>
      </c>
      <c r="D2660" s="22">
        <f>MONTH(Table3[[#This Row],[Order Date]])</f>
        <v>11</v>
      </c>
      <c r="E2660" t="s">
        <v>800</v>
      </c>
      <c r="F2660" t="s">
        <v>1581</v>
      </c>
      <c r="G2660" s="23" t="s">
        <v>64</v>
      </c>
      <c r="H2660" s="23" t="s">
        <v>144</v>
      </c>
      <c r="I2660" t="s">
        <v>3805</v>
      </c>
      <c r="J2660" t="s">
        <v>22</v>
      </c>
      <c r="K2660" s="22">
        <v>4</v>
      </c>
      <c r="L2660" s="1">
        <v>43060</v>
      </c>
      <c r="M2660" s="22">
        <f>Table3[[#This Row],[Ship Date]]-Table3[[#This Row],[Order Date]]</f>
        <v>3</v>
      </c>
      <c r="N2660" s="23" t="s">
        <v>169</v>
      </c>
      <c r="O2660" s="23" t="s">
        <v>23</v>
      </c>
      <c r="P2660" s="23" t="s">
        <v>87</v>
      </c>
      <c r="Q2660" s="23" t="s">
        <v>39</v>
      </c>
      <c r="R2660" s="23" t="s">
        <v>86</v>
      </c>
      <c r="S2660" s="33">
        <v>0</v>
      </c>
      <c r="T2660" s="13">
        <v>132.52000000000001</v>
      </c>
      <c r="U2660" s="13">
        <v>54.333199999999998</v>
      </c>
      <c r="V2660" s="55">
        <f>Table3[[#This Row],[Profit]]/Table3[[#This Row],[Sales]]</f>
        <v>0.41</v>
      </c>
    </row>
    <row r="2661" spans="1:22" x14ac:dyDescent="0.2">
      <c r="A2661">
        <v>2660</v>
      </c>
      <c r="B2661" t="s">
        <v>3804</v>
      </c>
      <c r="C2661" s="1">
        <v>43057</v>
      </c>
      <c r="D2661" s="22">
        <f>MONTH(Table3[[#This Row],[Order Date]])</f>
        <v>11</v>
      </c>
      <c r="E2661" t="s">
        <v>3806</v>
      </c>
      <c r="F2661" t="s">
        <v>3807</v>
      </c>
      <c r="G2661" s="23" t="s">
        <v>41</v>
      </c>
      <c r="H2661" s="23" t="s">
        <v>240</v>
      </c>
      <c r="I2661" t="s">
        <v>3805</v>
      </c>
      <c r="J2661" t="s">
        <v>22</v>
      </c>
      <c r="K2661" s="22">
        <v>2</v>
      </c>
      <c r="L2661" s="1">
        <v>43060</v>
      </c>
      <c r="M2661" s="22">
        <f>Table3[[#This Row],[Ship Date]]-Table3[[#This Row],[Order Date]]</f>
        <v>3</v>
      </c>
      <c r="N2661" s="23" t="s">
        <v>169</v>
      </c>
      <c r="O2661" s="23" t="s">
        <v>23</v>
      </c>
      <c r="P2661" s="23" t="s">
        <v>87</v>
      </c>
      <c r="Q2661" s="23" t="s">
        <v>39</v>
      </c>
      <c r="R2661" s="23" t="s">
        <v>86</v>
      </c>
      <c r="S2661" s="33">
        <v>0</v>
      </c>
      <c r="T2661" s="13">
        <v>2.96</v>
      </c>
      <c r="U2661" s="13">
        <v>1.4208000000000001</v>
      </c>
      <c r="V2661" s="55">
        <f>Table3[[#This Row],[Profit]]/Table3[[#This Row],[Sales]]</f>
        <v>0.48000000000000004</v>
      </c>
    </row>
    <row r="2662" spans="1:22" x14ac:dyDescent="0.2">
      <c r="A2662">
        <v>2661</v>
      </c>
      <c r="B2662" t="s">
        <v>3804</v>
      </c>
      <c r="C2662" s="1">
        <v>43057</v>
      </c>
      <c r="D2662" s="22">
        <f>MONTH(Table3[[#This Row],[Order Date]])</f>
        <v>11</v>
      </c>
      <c r="E2662" t="s">
        <v>3808</v>
      </c>
      <c r="F2662" t="s">
        <v>3809</v>
      </c>
      <c r="G2662" s="23" t="s">
        <v>41</v>
      </c>
      <c r="H2662" s="23" t="s">
        <v>68</v>
      </c>
      <c r="I2662" t="s">
        <v>3805</v>
      </c>
      <c r="J2662" t="s">
        <v>22</v>
      </c>
      <c r="K2662" s="22">
        <v>2</v>
      </c>
      <c r="L2662" s="1">
        <v>43060</v>
      </c>
      <c r="M2662" s="22">
        <f>Table3[[#This Row],[Ship Date]]-Table3[[#This Row],[Order Date]]</f>
        <v>3</v>
      </c>
      <c r="N2662" s="23" t="s">
        <v>169</v>
      </c>
      <c r="O2662" s="23" t="s">
        <v>23</v>
      </c>
      <c r="P2662" s="23" t="s">
        <v>87</v>
      </c>
      <c r="Q2662" s="23" t="s">
        <v>39</v>
      </c>
      <c r="R2662" s="23" t="s">
        <v>86</v>
      </c>
      <c r="S2662" s="33">
        <v>0.2</v>
      </c>
      <c r="T2662" s="13">
        <v>8.4480000000000004</v>
      </c>
      <c r="U2662" s="13">
        <v>2.9567999999999999</v>
      </c>
      <c r="V2662" s="55">
        <f>Table3[[#This Row],[Profit]]/Table3[[#This Row],[Sales]]</f>
        <v>0.35</v>
      </c>
    </row>
    <row r="2663" spans="1:22" x14ac:dyDescent="0.2">
      <c r="A2663">
        <v>2662</v>
      </c>
      <c r="B2663" t="s">
        <v>3804</v>
      </c>
      <c r="C2663" s="1">
        <v>43057</v>
      </c>
      <c r="D2663" s="22">
        <f>MONTH(Table3[[#This Row],[Order Date]])</f>
        <v>11</v>
      </c>
      <c r="E2663" t="s">
        <v>3126</v>
      </c>
      <c r="F2663" t="s">
        <v>3127</v>
      </c>
      <c r="G2663" s="23" t="s">
        <v>41</v>
      </c>
      <c r="H2663" s="23" t="s">
        <v>53</v>
      </c>
      <c r="I2663" t="s">
        <v>3805</v>
      </c>
      <c r="J2663" t="s">
        <v>22</v>
      </c>
      <c r="K2663" s="22">
        <v>3</v>
      </c>
      <c r="L2663" s="1">
        <v>43060</v>
      </c>
      <c r="M2663" s="22">
        <f>Table3[[#This Row],[Ship Date]]-Table3[[#This Row],[Order Date]]</f>
        <v>3</v>
      </c>
      <c r="N2663" s="23" t="s">
        <v>169</v>
      </c>
      <c r="O2663" s="23" t="s">
        <v>23</v>
      </c>
      <c r="P2663" s="23" t="s">
        <v>87</v>
      </c>
      <c r="Q2663" s="23" t="s">
        <v>39</v>
      </c>
      <c r="R2663" s="23" t="s">
        <v>86</v>
      </c>
      <c r="S2663" s="33">
        <v>0</v>
      </c>
      <c r="T2663" s="13">
        <v>95.94</v>
      </c>
      <c r="U2663" s="13">
        <v>9.5939999999999994</v>
      </c>
      <c r="V2663" s="55">
        <f>Table3[[#This Row],[Profit]]/Table3[[#This Row],[Sales]]</f>
        <v>9.9999999999999992E-2</v>
      </c>
    </row>
    <row r="2664" spans="1:22" x14ac:dyDescent="0.2">
      <c r="A2664">
        <v>2663</v>
      </c>
      <c r="B2664" t="s">
        <v>4362</v>
      </c>
      <c r="C2664" s="1">
        <v>43057</v>
      </c>
      <c r="D2664" s="22">
        <f>MONTH(Table3[[#This Row],[Order Date]])</f>
        <v>11</v>
      </c>
      <c r="E2664" t="s">
        <v>3167</v>
      </c>
      <c r="F2664" t="s">
        <v>3168</v>
      </c>
      <c r="G2664" s="23" t="s">
        <v>41</v>
      </c>
      <c r="H2664" s="23" t="s">
        <v>61</v>
      </c>
      <c r="I2664" t="s">
        <v>3535</v>
      </c>
      <c r="J2664" t="s">
        <v>36</v>
      </c>
      <c r="K2664" s="22">
        <v>7</v>
      </c>
      <c r="L2664" s="1">
        <v>43062</v>
      </c>
      <c r="M2664" s="22">
        <f>Table3[[#This Row],[Ship Date]]-Table3[[#This Row],[Order Date]]</f>
        <v>5</v>
      </c>
      <c r="N2664" s="23" t="s">
        <v>45</v>
      </c>
      <c r="O2664" s="23" t="s">
        <v>23</v>
      </c>
      <c r="P2664" s="23" t="s">
        <v>441</v>
      </c>
      <c r="Q2664" s="23" t="s">
        <v>133</v>
      </c>
      <c r="R2664" s="23" t="s">
        <v>990</v>
      </c>
      <c r="S2664" s="33">
        <v>0.2</v>
      </c>
      <c r="T2664" s="13">
        <v>38.863999999999997</v>
      </c>
      <c r="U2664" s="13">
        <v>7.7728000000000002</v>
      </c>
      <c r="V2664" s="55">
        <f>Table3[[#This Row],[Profit]]/Table3[[#This Row],[Sales]]</f>
        <v>0.2</v>
      </c>
    </row>
    <row r="2665" spans="1:22" x14ac:dyDescent="0.2">
      <c r="A2665">
        <v>2664</v>
      </c>
      <c r="B2665" t="s">
        <v>5459</v>
      </c>
      <c r="C2665" s="1">
        <v>43057</v>
      </c>
      <c r="D2665" s="22">
        <f>MONTH(Table3[[#This Row],[Order Date]])</f>
        <v>11</v>
      </c>
      <c r="E2665" t="s">
        <v>2153</v>
      </c>
      <c r="F2665" t="s">
        <v>2154</v>
      </c>
      <c r="G2665" s="23" t="s">
        <v>28</v>
      </c>
      <c r="H2665" s="23" t="s">
        <v>58</v>
      </c>
      <c r="I2665" t="s">
        <v>3454</v>
      </c>
      <c r="J2665" t="s">
        <v>92</v>
      </c>
      <c r="K2665" s="22">
        <v>4</v>
      </c>
      <c r="L2665" s="1">
        <v>43063</v>
      </c>
      <c r="M2665" s="22">
        <f>Table3[[#This Row],[Ship Date]]-Table3[[#This Row],[Order Date]]</f>
        <v>6</v>
      </c>
      <c r="N2665" s="23" t="s">
        <v>45</v>
      </c>
      <c r="O2665" s="23" t="s">
        <v>23</v>
      </c>
      <c r="P2665" s="23" t="s">
        <v>212</v>
      </c>
      <c r="Q2665" s="23" t="s">
        <v>95</v>
      </c>
      <c r="R2665" s="23" t="s">
        <v>732</v>
      </c>
      <c r="S2665" s="33">
        <v>0</v>
      </c>
      <c r="T2665" s="13">
        <v>19.760000000000002</v>
      </c>
      <c r="U2665" s="13">
        <v>8.2992000000000008</v>
      </c>
      <c r="V2665" s="55">
        <f>Table3[[#This Row],[Profit]]/Table3[[#This Row],[Sales]]</f>
        <v>0.42</v>
      </c>
    </row>
    <row r="2666" spans="1:22" x14ac:dyDescent="0.2">
      <c r="A2666">
        <v>2665</v>
      </c>
      <c r="B2666" t="s">
        <v>6360</v>
      </c>
      <c r="C2666" s="1">
        <v>43057</v>
      </c>
      <c r="D2666" s="22">
        <f>MONTH(Table3[[#This Row],[Order Date]])</f>
        <v>11</v>
      </c>
      <c r="E2666" t="s">
        <v>5625</v>
      </c>
      <c r="F2666" t="s">
        <v>5626</v>
      </c>
      <c r="G2666" s="23" t="s">
        <v>41</v>
      </c>
      <c r="H2666" s="23" t="s">
        <v>82</v>
      </c>
      <c r="I2666" t="s">
        <v>4505</v>
      </c>
      <c r="J2666" t="s">
        <v>22</v>
      </c>
      <c r="K2666" s="22">
        <v>1</v>
      </c>
      <c r="L2666" s="1">
        <v>43062</v>
      </c>
      <c r="M2666" s="22">
        <f>Table3[[#This Row],[Ship Date]]-Table3[[#This Row],[Order Date]]</f>
        <v>5</v>
      </c>
      <c r="N2666" s="23" t="s">
        <v>45</v>
      </c>
      <c r="O2666" s="23" t="s">
        <v>23</v>
      </c>
      <c r="P2666" s="23" t="s">
        <v>48</v>
      </c>
      <c r="Q2666" s="23" t="s">
        <v>26</v>
      </c>
      <c r="R2666" s="23" t="s">
        <v>2893</v>
      </c>
      <c r="S2666" s="33">
        <v>0.2</v>
      </c>
      <c r="T2666" s="13">
        <v>44.384</v>
      </c>
      <c r="U2666" s="13">
        <v>15.5344</v>
      </c>
      <c r="V2666" s="55">
        <f>Table3[[#This Row],[Profit]]/Table3[[#This Row],[Sales]]</f>
        <v>0.35</v>
      </c>
    </row>
    <row r="2667" spans="1:22" x14ac:dyDescent="0.2">
      <c r="A2667">
        <v>2666</v>
      </c>
      <c r="B2667" t="s">
        <v>6360</v>
      </c>
      <c r="C2667" s="1">
        <v>43057</v>
      </c>
      <c r="D2667" s="22">
        <f>MONTH(Table3[[#This Row],[Order Date]])</f>
        <v>11</v>
      </c>
      <c r="E2667" t="s">
        <v>1146</v>
      </c>
      <c r="F2667" t="s">
        <v>1147</v>
      </c>
      <c r="G2667" s="23" t="s">
        <v>41</v>
      </c>
      <c r="H2667" s="23" t="s">
        <v>513</v>
      </c>
      <c r="I2667" t="s">
        <v>4505</v>
      </c>
      <c r="J2667" t="s">
        <v>22</v>
      </c>
      <c r="K2667" s="22">
        <v>1</v>
      </c>
      <c r="L2667" s="1">
        <v>43062</v>
      </c>
      <c r="M2667" s="22">
        <f>Table3[[#This Row],[Ship Date]]-Table3[[#This Row],[Order Date]]</f>
        <v>5</v>
      </c>
      <c r="N2667" s="23" t="s">
        <v>45</v>
      </c>
      <c r="O2667" s="23" t="s">
        <v>23</v>
      </c>
      <c r="P2667" s="23" t="s">
        <v>48</v>
      </c>
      <c r="Q2667" s="23" t="s">
        <v>26</v>
      </c>
      <c r="R2667" s="23" t="s">
        <v>2893</v>
      </c>
      <c r="S2667" s="33">
        <v>0.2</v>
      </c>
      <c r="T2667" s="13">
        <v>2.944</v>
      </c>
      <c r="U2667" s="13">
        <v>-0.66239999999999999</v>
      </c>
      <c r="V2667" s="55">
        <f>Table3[[#This Row],[Profit]]/Table3[[#This Row],[Sales]]</f>
        <v>-0.22500000000000001</v>
      </c>
    </row>
    <row r="2668" spans="1:22" x14ac:dyDescent="0.2">
      <c r="A2668">
        <v>2667</v>
      </c>
      <c r="B2668" t="s">
        <v>7691</v>
      </c>
      <c r="C2668" s="1">
        <v>43057</v>
      </c>
      <c r="D2668" s="22">
        <f>MONTH(Table3[[#This Row],[Order Date]])</f>
        <v>11</v>
      </c>
      <c r="E2668" t="s">
        <v>4467</v>
      </c>
      <c r="F2668" t="s">
        <v>4468</v>
      </c>
      <c r="G2668" s="23" t="s">
        <v>64</v>
      </c>
      <c r="H2668" s="23" t="s">
        <v>65</v>
      </c>
      <c r="I2668" t="s">
        <v>451</v>
      </c>
      <c r="J2668" t="s">
        <v>22</v>
      </c>
      <c r="K2668" s="22">
        <v>5</v>
      </c>
      <c r="L2668" s="1">
        <v>43061</v>
      </c>
      <c r="M2668" s="22">
        <f>Table3[[#This Row],[Ship Date]]-Table3[[#This Row],[Order Date]]</f>
        <v>4</v>
      </c>
      <c r="N2668" s="23" t="s">
        <v>45</v>
      </c>
      <c r="O2668" s="23" t="s">
        <v>23</v>
      </c>
      <c r="P2668" s="23" t="s">
        <v>238</v>
      </c>
      <c r="Q2668" s="23" t="s">
        <v>133</v>
      </c>
      <c r="R2668" s="23" t="s">
        <v>1037</v>
      </c>
      <c r="S2668" s="33">
        <v>0</v>
      </c>
      <c r="T2668" s="13">
        <v>74.95</v>
      </c>
      <c r="U2668" s="13">
        <v>36.725499999999997</v>
      </c>
      <c r="V2668" s="55">
        <f>Table3[[#This Row],[Profit]]/Table3[[#This Row],[Sales]]</f>
        <v>0.48999999999999994</v>
      </c>
    </row>
    <row r="2669" spans="1:22" x14ac:dyDescent="0.2">
      <c r="A2669">
        <v>2668</v>
      </c>
      <c r="B2669" t="s">
        <v>8977</v>
      </c>
      <c r="C2669" s="1">
        <v>43057</v>
      </c>
      <c r="D2669" s="22">
        <f>MONTH(Table3[[#This Row],[Order Date]])</f>
        <v>11</v>
      </c>
      <c r="E2669" t="s">
        <v>5758</v>
      </c>
      <c r="F2669" t="s">
        <v>5759</v>
      </c>
      <c r="G2669" s="23" t="s">
        <v>41</v>
      </c>
      <c r="H2669" s="23" t="s">
        <v>53</v>
      </c>
      <c r="I2669" t="s">
        <v>357</v>
      </c>
      <c r="J2669" t="s">
        <v>36</v>
      </c>
      <c r="K2669" s="22">
        <v>5</v>
      </c>
      <c r="L2669" s="1">
        <v>43062</v>
      </c>
      <c r="M2669" s="22">
        <f>Table3[[#This Row],[Ship Date]]-Table3[[#This Row],[Order Date]]</f>
        <v>5</v>
      </c>
      <c r="N2669" s="23" t="s">
        <v>20</v>
      </c>
      <c r="O2669" s="23" t="s">
        <v>23</v>
      </c>
      <c r="P2669" s="23" t="s">
        <v>48</v>
      </c>
      <c r="Q2669" s="23" t="s">
        <v>26</v>
      </c>
      <c r="R2669" s="23" t="s">
        <v>6467</v>
      </c>
      <c r="S2669" s="33">
        <v>0.2</v>
      </c>
      <c r="T2669" s="13">
        <v>81.36</v>
      </c>
      <c r="U2669" s="13">
        <v>-19.323</v>
      </c>
      <c r="V2669" s="55">
        <f>Table3[[#This Row],[Profit]]/Table3[[#This Row],[Sales]]</f>
        <v>-0.23750000000000002</v>
      </c>
    </row>
    <row r="2670" spans="1:22" x14ac:dyDescent="0.2">
      <c r="A2670">
        <v>2669</v>
      </c>
      <c r="B2670" t="s">
        <v>8977</v>
      </c>
      <c r="C2670" s="1">
        <v>43057</v>
      </c>
      <c r="D2670" s="22">
        <f>MONTH(Table3[[#This Row],[Order Date]])</f>
        <v>11</v>
      </c>
      <c r="E2670" t="s">
        <v>2305</v>
      </c>
      <c r="F2670" t="s">
        <v>2306</v>
      </c>
      <c r="G2670" s="23" t="s">
        <v>41</v>
      </c>
      <c r="H2670" s="23" t="s">
        <v>68</v>
      </c>
      <c r="I2670" t="s">
        <v>357</v>
      </c>
      <c r="J2670" t="s">
        <v>36</v>
      </c>
      <c r="K2670" s="22">
        <v>8</v>
      </c>
      <c r="L2670" s="1">
        <v>43062</v>
      </c>
      <c r="M2670" s="22">
        <f>Table3[[#This Row],[Ship Date]]-Table3[[#This Row],[Order Date]]</f>
        <v>5</v>
      </c>
      <c r="N2670" s="23" t="s">
        <v>20</v>
      </c>
      <c r="O2670" s="23" t="s">
        <v>23</v>
      </c>
      <c r="P2670" s="23" t="s">
        <v>48</v>
      </c>
      <c r="Q2670" s="23" t="s">
        <v>26</v>
      </c>
      <c r="R2670" s="23" t="s">
        <v>6467</v>
      </c>
      <c r="S2670" s="33">
        <v>0.7</v>
      </c>
      <c r="T2670" s="13">
        <v>20.231999999999999</v>
      </c>
      <c r="U2670" s="13">
        <v>-16.185600000000001</v>
      </c>
      <c r="V2670" s="55">
        <f>Table3[[#This Row],[Profit]]/Table3[[#This Row],[Sales]]</f>
        <v>-0.8</v>
      </c>
    </row>
    <row r="2671" spans="1:22" x14ac:dyDescent="0.2">
      <c r="A2671">
        <v>2670</v>
      </c>
      <c r="B2671" t="s">
        <v>8977</v>
      </c>
      <c r="C2671" s="1">
        <v>43057</v>
      </c>
      <c r="D2671" s="22">
        <f>MONTH(Table3[[#This Row],[Order Date]])</f>
        <v>11</v>
      </c>
      <c r="E2671" t="s">
        <v>630</v>
      </c>
      <c r="F2671" t="s">
        <v>631</v>
      </c>
      <c r="G2671" s="23" t="s">
        <v>41</v>
      </c>
      <c r="H2671" s="23" t="s">
        <v>71</v>
      </c>
      <c r="I2671" t="s">
        <v>357</v>
      </c>
      <c r="J2671" t="s">
        <v>36</v>
      </c>
      <c r="K2671" s="22">
        <v>4</v>
      </c>
      <c r="L2671" s="1">
        <v>43062</v>
      </c>
      <c r="M2671" s="22">
        <f>Table3[[#This Row],[Ship Date]]-Table3[[#This Row],[Order Date]]</f>
        <v>5</v>
      </c>
      <c r="N2671" s="23" t="s">
        <v>20</v>
      </c>
      <c r="O2671" s="23" t="s">
        <v>23</v>
      </c>
      <c r="P2671" s="23" t="s">
        <v>48</v>
      </c>
      <c r="Q2671" s="23" t="s">
        <v>26</v>
      </c>
      <c r="R2671" s="23" t="s">
        <v>6467</v>
      </c>
      <c r="S2671" s="33">
        <v>0.2</v>
      </c>
      <c r="T2671" s="13">
        <v>389.05599999999998</v>
      </c>
      <c r="U2671" s="13">
        <v>48.631999999999998</v>
      </c>
      <c r="V2671" s="55">
        <f>Table3[[#This Row],[Profit]]/Table3[[#This Row],[Sales]]</f>
        <v>0.125</v>
      </c>
    </row>
    <row r="2672" spans="1:22" x14ac:dyDescent="0.2">
      <c r="A2672">
        <v>2671</v>
      </c>
      <c r="B2672" t="s">
        <v>8977</v>
      </c>
      <c r="C2672" s="1">
        <v>43057</v>
      </c>
      <c r="D2672" s="22">
        <f>MONTH(Table3[[#This Row],[Order Date]])</f>
        <v>11</v>
      </c>
      <c r="E2672" t="s">
        <v>5790</v>
      </c>
      <c r="F2672" t="s">
        <v>5791</v>
      </c>
      <c r="G2672" s="23" t="s">
        <v>41</v>
      </c>
      <c r="H2672" s="23" t="s">
        <v>82</v>
      </c>
      <c r="I2672" t="s">
        <v>357</v>
      </c>
      <c r="J2672" t="s">
        <v>36</v>
      </c>
      <c r="K2672" s="22">
        <v>4</v>
      </c>
      <c r="L2672" s="1">
        <v>43062</v>
      </c>
      <c r="M2672" s="22">
        <f>Table3[[#This Row],[Ship Date]]-Table3[[#This Row],[Order Date]]</f>
        <v>5</v>
      </c>
      <c r="N2672" s="23" t="s">
        <v>20</v>
      </c>
      <c r="O2672" s="23" t="s">
        <v>23</v>
      </c>
      <c r="P2672" s="23" t="s">
        <v>48</v>
      </c>
      <c r="Q2672" s="23" t="s">
        <v>26</v>
      </c>
      <c r="R2672" s="23" t="s">
        <v>6467</v>
      </c>
      <c r="S2672" s="33">
        <v>0.2</v>
      </c>
      <c r="T2672" s="13">
        <v>20.736000000000001</v>
      </c>
      <c r="U2672" s="13">
        <v>7.2576000000000001</v>
      </c>
      <c r="V2672" s="55">
        <f>Table3[[#This Row],[Profit]]/Table3[[#This Row],[Sales]]</f>
        <v>0.35</v>
      </c>
    </row>
    <row r="2673" spans="1:22" x14ac:dyDescent="0.2">
      <c r="A2673">
        <v>2672</v>
      </c>
      <c r="B2673" t="s">
        <v>8977</v>
      </c>
      <c r="C2673" s="1">
        <v>43057</v>
      </c>
      <c r="D2673" s="22">
        <f>MONTH(Table3[[#This Row],[Order Date]])</f>
        <v>11</v>
      </c>
      <c r="E2673" t="s">
        <v>4122</v>
      </c>
      <c r="F2673" t="s">
        <v>4123</v>
      </c>
      <c r="G2673" s="23" t="s">
        <v>41</v>
      </c>
      <c r="H2673" s="23" t="s">
        <v>82</v>
      </c>
      <c r="I2673" t="s">
        <v>357</v>
      </c>
      <c r="J2673" t="s">
        <v>36</v>
      </c>
      <c r="K2673" s="22">
        <v>8</v>
      </c>
      <c r="L2673" s="1">
        <v>43062</v>
      </c>
      <c r="M2673" s="22">
        <f>Table3[[#This Row],[Ship Date]]-Table3[[#This Row],[Order Date]]</f>
        <v>5</v>
      </c>
      <c r="N2673" s="23" t="s">
        <v>20</v>
      </c>
      <c r="O2673" s="23" t="s">
        <v>23</v>
      </c>
      <c r="P2673" s="23" t="s">
        <v>48</v>
      </c>
      <c r="Q2673" s="23" t="s">
        <v>26</v>
      </c>
      <c r="R2673" s="23" t="s">
        <v>6467</v>
      </c>
      <c r="S2673" s="33">
        <v>0.2</v>
      </c>
      <c r="T2673" s="13">
        <v>41.472000000000001</v>
      </c>
      <c r="U2673" s="13">
        <v>14.5152</v>
      </c>
      <c r="V2673" s="55">
        <f>Table3[[#This Row],[Profit]]/Table3[[#This Row],[Sales]]</f>
        <v>0.35</v>
      </c>
    </row>
    <row r="2674" spans="1:22" x14ac:dyDescent="0.2">
      <c r="A2674">
        <v>2673</v>
      </c>
      <c r="B2674" t="s">
        <v>9056</v>
      </c>
      <c r="C2674" s="1">
        <v>43057</v>
      </c>
      <c r="D2674" s="22">
        <f>MONTH(Table3[[#This Row],[Order Date]])</f>
        <v>11</v>
      </c>
      <c r="E2674" t="s">
        <v>7641</v>
      </c>
      <c r="F2674" t="s">
        <v>7302</v>
      </c>
      <c r="G2674" s="23" t="s">
        <v>41</v>
      </c>
      <c r="H2674" s="23" t="s">
        <v>155</v>
      </c>
      <c r="I2674" t="s">
        <v>5988</v>
      </c>
      <c r="J2674" t="s">
        <v>22</v>
      </c>
      <c r="K2674" s="22">
        <v>6</v>
      </c>
      <c r="L2674" s="1">
        <v>43062</v>
      </c>
      <c r="M2674" s="22">
        <f>Table3[[#This Row],[Ship Date]]-Table3[[#This Row],[Order Date]]</f>
        <v>5</v>
      </c>
      <c r="N2674" s="23" t="s">
        <v>45</v>
      </c>
      <c r="O2674" s="23" t="s">
        <v>23</v>
      </c>
      <c r="P2674" s="23" t="s">
        <v>189</v>
      </c>
      <c r="Q2674" s="23" t="s">
        <v>95</v>
      </c>
      <c r="R2674" s="23" t="s">
        <v>271</v>
      </c>
      <c r="S2674" s="33">
        <v>0.2</v>
      </c>
      <c r="T2674" s="13">
        <v>55.584000000000003</v>
      </c>
      <c r="U2674" s="13">
        <v>20.844000000000001</v>
      </c>
      <c r="V2674" s="55">
        <f>Table3[[#This Row],[Profit]]/Table3[[#This Row],[Sales]]</f>
        <v>0.375</v>
      </c>
    </row>
    <row r="2675" spans="1:22" x14ac:dyDescent="0.2">
      <c r="A2675">
        <v>2674</v>
      </c>
      <c r="B2675" t="s">
        <v>9056</v>
      </c>
      <c r="C2675" s="1">
        <v>43057</v>
      </c>
      <c r="D2675" s="22">
        <f>MONTH(Table3[[#This Row],[Order Date]])</f>
        <v>11</v>
      </c>
      <c r="E2675" t="s">
        <v>5463</v>
      </c>
      <c r="F2675" t="s">
        <v>5464</v>
      </c>
      <c r="G2675" s="23" t="s">
        <v>28</v>
      </c>
      <c r="H2675" s="23" t="s">
        <v>32</v>
      </c>
      <c r="I2675" t="s">
        <v>5988</v>
      </c>
      <c r="J2675" t="s">
        <v>22</v>
      </c>
      <c r="K2675" s="22">
        <v>2</v>
      </c>
      <c r="L2675" s="1">
        <v>43062</v>
      </c>
      <c r="M2675" s="22">
        <f>Table3[[#This Row],[Ship Date]]-Table3[[#This Row],[Order Date]]</f>
        <v>5</v>
      </c>
      <c r="N2675" s="23" t="s">
        <v>45</v>
      </c>
      <c r="O2675" s="23" t="s">
        <v>23</v>
      </c>
      <c r="P2675" s="23" t="s">
        <v>189</v>
      </c>
      <c r="Q2675" s="23" t="s">
        <v>95</v>
      </c>
      <c r="R2675" s="23" t="s">
        <v>271</v>
      </c>
      <c r="S2675" s="33">
        <v>0.3</v>
      </c>
      <c r="T2675" s="13">
        <v>127.386</v>
      </c>
      <c r="U2675" s="13">
        <v>-25.4772</v>
      </c>
      <c r="V2675" s="55">
        <f>Table3[[#This Row],[Profit]]/Table3[[#This Row],[Sales]]</f>
        <v>-0.2</v>
      </c>
    </row>
    <row r="2676" spans="1:22" x14ac:dyDescent="0.2">
      <c r="A2676">
        <v>2675</v>
      </c>
      <c r="B2676" t="s">
        <v>9583</v>
      </c>
      <c r="C2676" s="1">
        <v>43057</v>
      </c>
      <c r="D2676" s="22">
        <f>MONTH(Table3[[#This Row],[Order Date]])</f>
        <v>11</v>
      </c>
      <c r="E2676" t="s">
        <v>1449</v>
      </c>
      <c r="F2676" t="s">
        <v>1450</v>
      </c>
      <c r="G2676" s="23" t="s">
        <v>41</v>
      </c>
      <c r="H2676" s="23" t="s">
        <v>53</v>
      </c>
      <c r="I2676" t="s">
        <v>1785</v>
      </c>
      <c r="J2676" t="s">
        <v>36</v>
      </c>
      <c r="K2676" s="22">
        <v>6</v>
      </c>
      <c r="L2676" s="1">
        <v>43057</v>
      </c>
      <c r="M2676" s="22">
        <f>Table3[[#This Row],[Ship Date]]-Table3[[#This Row],[Order Date]]</f>
        <v>0</v>
      </c>
      <c r="N2676" s="23" t="s">
        <v>1141</v>
      </c>
      <c r="O2676" s="23" t="s">
        <v>23</v>
      </c>
      <c r="P2676" s="23" t="s">
        <v>103</v>
      </c>
      <c r="Q2676" s="23" t="s">
        <v>95</v>
      </c>
      <c r="R2676" s="23" t="s">
        <v>2242</v>
      </c>
      <c r="S2676" s="33">
        <v>0</v>
      </c>
      <c r="T2676" s="13">
        <v>92.52</v>
      </c>
      <c r="U2676" s="13">
        <v>24.980399999999999</v>
      </c>
      <c r="V2676" s="55">
        <f>Table3[[#This Row],[Profit]]/Table3[[#This Row],[Sales]]</f>
        <v>0.27</v>
      </c>
    </row>
    <row r="2677" spans="1:22" x14ac:dyDescent="0.2">
      <c r="A2677">
        <v>2676</v>
      </c>
      <c r="B2677" t="s">
        <v>9583</v>
      </c>
      <c r="C2677" s="1">
        <v>43057</v>
      </c>
      <c r="D2677" s="22">
        <f>MONTH(Table3[[#This Row],[Order Date]])</f>
        <v>11</v>
      </c>
      <c r="E2677" t="s">
        <v>464</v>
      </c>
      <c r="F2677" t="s">
        <v>465</v>
      </c>
      <c r="G2677" s="23" t="s">
        <v>41</v>
      </c>
      <c r="H2677" s="23" t="s">
        <v>53</v>
      </c>
      <c r="I2677" t="s">
        <v>1785</v>
      </c>
      <c r="J2677" t="s">
        <v>36</v>
      </c>
      <c r="K2677" s="22">
        <v>1</v>
      </c>
      <c r="L2677" s="1">
        <v>43057</v>
      </c>
      <c r="M2677" s="22">
        <f>Table3[[#This Row],[Ship Date]]-Table3[[#This Row],[Order Date]]</f>
        <v>0</v>
      </c>
      <c r="N2677" s="23" t="s">
        <v>1141</v>
      </c>
      <c r="O2677" s="23" t="s">
        <v>23</v>
      </c>
      <c r="P2677" s="23" t="s">
        <v>103</v>
      </c>
      <c r="Q2677" s="23" t="s">
        <v>95</v>
      </c>
      <c r="R2677" s="23" t="s">
        <v>2242</v>
      </c>
      <c r="S2677" s="33">
        <v>0</v>
      </c>
      <c r="T2677" s="13">
        <v>37.76</v>
      </c>
      <c r="U2677" s="13">
        <v>10.572800000000001</v>
      </c>
      <c r="V2677" s="55">
        <f>Table3[[#This Row],[Profit]]/Table3[[#This Row],[Sales]]</f>
        <v>0.28000000000000003</v>
      </c>
    </row>
    <row r="2678" spans="1:22" x14ac:dyDescent="0.2">
      <c r="A2678">
        <v>2677</v>
      </c>
      <c r="B2678" t="s">
        <v>9583</v>
      </c>
      <c r="C2678" s="1">
        <v>43057</v>
      </c>
      <c r="D2678" s="22">
        <f>MONTH(Table3[[#This Row],[Order Date]])</f>
        <v>11</v>
      </c>
      <c r="E2678" t="s">
        <v>6645</v>
      </c>
      <c r="F2678" t="s">
        <v>6646</v>
      </c>
      <c r="G2678" s="23" t="s">
        <v>41</v>
      </c>
      <c r="H2678" s="23" t="s">
        <v>42</v>
      </c>
      <c r="I2678" t="s">
        <v>1785</v>
      </c>
      <c r="J2678" t="s">
        <v>36</v>
      </c>
      <c r="K2678" s="22">
        <v>2</v>
      </c>
      <c r="L2678" s="1">
        <v>43057</v>
      </c>
      <c r="M2678" s="22">
        <f>Table3[[#This Row],[Ship Date]]-Table3[[#This Row],[Order Date]]</f>
        <v>0</v>
      </c>
      <c r="N2678" s="23" t="s">
        <v>1141</v>
      </c>
      <c r="O2678" s="23" t="s">
        <v>23</v>
      </c>
      <c r="P2678" s="23" t="s">
        <v>103</v>
      </c>
      <c r="Q2678" s="23" t="s">
        <v>95</v>
      </c>
      <c r="R2678" s="23" t="s">
        <v>2242</v>
      </c>
      <c r="S2678" s="33">
        <v>0</v>
      </c>
      <c r="T2678" s="13">
        <v>7.38</v>
      </c>
      <c r="U2678" s="13">
        <v>3.4685999999999999</v>
      </c>
      <c r="V2678" s="55">
        <f>Table3[[#This Row],[Profit]]/Table3[[#This Row],[Sales]]</f>
        <v>0.47</v>
      </c>
    </row>
    <row r="2679" spans="1:22" x14ac:dyDescent="0.2">
      <c r="A2679">
        <v>2678</v>
      </c>
      <c r="B2679" t="s">
        <v>9583</v>
      </c>
      <c r="C2679" s="1">
        <v>43057</v>
      </c>
      <c r="D2679" s="22">
        <f>MONTH(Table3[[#This Row],[Order Date]])</f>
        <v>11</v>
      </c>
      <c r="E2679" t="s">
        <v>1376</v>
      </c>
      <c r="F2679" t="s">
        <v>1377</v>
      </c>
      <c r="G2679" s="23" t="s">
        <v>28</v>
      </c>
      <c r="H2679" s="23" t="s">
        <v>58</v>
      </c>
      <c r="I2679" t="s">
        <v>1785</v>
      </c>
      <c r="J2679" t="s">
        <v>36</v>
      </c>
      <c r="K2679" s="22">
        <v>2</v>
      </c>
      <c r="L2679" s="1">
        <v>43057</v>
      </c>
      <c r="M2679" s="22">
        <f>Table3[[#This Row],[Ship Date]]-Table3[[#This Row],[Order Date]]</f>
        <v>0</v>
      </c>
      <c r="N2679" s="23" t="s">
        <v>1141</v>
      </c>
      <c r="O2679" s="23" t="s">
        <v>23</v>
      </c>
      <c r="P2679" s="23" t="s">
        <v>103</v>
      </c>
      <c r="Q2679" s="23" t="s">
        <v>95</v>
      </c>
      <c r="R2679" s="23" t="s">
        <v>2242</v>
      </c>
      <c r="S2679" s="33">
        <v>0</v>
      </c>
      <c r="T2679" s="13">
        <v>5.82</v>
      </c>
      <c r="U2679" s="13">
        <v>2.7353999999999998</v>
      </c>
      <c r="V2679" s="55">
        <f>Table3[[#This Row],[Profit]]/Table3[[#This Row],[Sales]]</f>
        <v>0.47</v>
      </c>
    </row>
    <row r="2680" spans="1:22" x14ac:dyDescent="0.2">
      <c r="A2680">
        <v>2679</v>
      </c>
      <c r="B2680" t="s">
        <v>977</v>
      </c>
      <c r="C2680" s="1">
        <v>43058</v>
      </c>
      <c r="D2680" s="22">
        <f>MONTH(Table3[[#This Row],[Order Date]])</f>
        <v>11</v>
      </c>
      <c r="E2680" t="s">
        <v>978</v>
      </c>
      <c r="F2680" t="s">
        <v>979</v>
      </c>
      <c r="G2680" s="23" t="s">
        <v>28</v>
      </c>
      <c r="H2680" s="23" t="s">
        <v>50</v>
      </c>
      <c r="I2680" t="s">
        <v>757</v>
      </c>
      <c r="J2680" t="s">
        <v>22</v>
      </c>
      <c r="K2680" s="22">
        <v>3</v>
      </c>
      <c r="L2680" s="1">
        <v>43062</v>
      </c>
      <c r="M2680" s="22">
        <f>Table3[[#This Row],[Ship Date]]-Table3[[#This Row],[Order Date]]</f>
        <v>4</v>
      </c>
      <c r="N2680" s="23" t="s">
        <v>45</v>
      </c>
      <c r="O2680" s="23" t="s">
        <v>23</v>
      </c>
      <c r="P2680" s="23" t="s">
        <v>189</v>
      </c>
      <c r="Q2680" s="23" t="s">
        <v>95</v>
      </c>
      <c r="R2680" s="23" t="s">
        <v>271</v>
      </c>
      <c r="S2680" s="33">
        <v>0.5</v>
      </c>
      <c r="T2680" s="13">
        <v>219.07499999999999</v>
      </c>
      <c r="U2680" s="13">
        <v>-131.44499999999999</v>
      </c>
      <c r="V2680" s="55">
        <f>Table3[[#This Row],[Profit]]/Table3[[#This Row],[Sales]]</f>
        <v>-0.6</v>
      </c>
    </row>
    <row r="2681" spans="1:22" x14ac:dyDescent="0.2">
      <c r="A2681">
        <v>2680</v>
      </c>
      <c r="B2681" t="s">
        <v>1646</v>
      </c>
      <c r="C2681" s="1">
        <v>43058</v>
      </c>
      <c r="D2681" s="22">
        <f>MONTH(Table3[[#This Row],[Order Date]])</f>
        <v>11</v>
      </c>
      <c r="E2681" t="s">
        <v>1648</v>
      </c>
      <c r="F2681" t="s">
        <v>1649</v>
      </c>
      <c r="G2681" s="23" t="s">
        <v>41</v>
      </c>
      <c r="H2681" s="23" t="s">
        <v>68</v>
      </c>
      <c r="I2681" t="s">
        <v>1647</v>
      </c>
      <c r="J2681" t="s">
        <v>92</v>
      </c>
      <c r="K2681" s="22">
        <v>6</v>
      </c>
      <c r="L2681" s="1">
        <v>43061</v>
      </c>
      <c r="M2681" s="22">
        <f>Table3[[#This Row],[Ship Date]]-Table3[[#This Row],[Order Date]]</f>
        <v>3</v>
      </c>
      <c r="N2681" s="23" t="s">
        <v>169</v>
      </c>
      <c r="O2681" s="23" t="s">
        <v>23</v>
      </c>
      <c r="P2681" s="23" t="s">
        <v>238</v>
      </c>
      <c r="Q2681" s="23" t="s">
        <v>133</v>
      </c>
      <c r="R2681" s="23" t="s">
        <v>237</v>
      </c>
      <c r="S2681" s="33">
        <v>0.2</v>
      </c>
      <c r="T2681" s="13">
        <v>41.28</v>
      </c>
      <c r="U2681" s="13">
        <v>13.932</v>
      </c>
      <c r="V2681" s="55">
        <f>Table3[[#This Row],[Profit]]/Table3[[#This Row],[Sales]]</f>
        <v>0.33750000000000002</v>
      </c>
    </row>
    <row r="2682" spans="1:22" x14ac:dyDescent="0.2">
      <c r="A2682">
        <v>2681</v>
      </c>
      <c r="B2682" t="s">
        <v>1646</v>
      </c>
      <c r="C2682" s="1">
        <v>43058</v>
      </c>
      <c r="D2682" s="22">
        <f>MONTH(Table3[[#This Row],[Order Date]])</f>
        <v>11</v>
      </c>
      <c r="E2682" t="s">
        <v>1650</v>
      </c>
      <c r="F2682" t="s">
        <v>1651</v>
      </c>
      <c r="G2682" s="23" t="s">
        <v>41</v>
      </c>
      <c r="H2682" s="23" t="s">
        <v>82</v>
      </c>
      <c r="I2682" t="s">
        <v>1647</v>
      </c>
      <c r="J2682" t="s">
        <v>92</v>
      </c>
      <c r="K2682" s="22">
        <v>2</v>
      </c>
      <c r="L2682" s="1">
        <v>43061</v>
      </c>
      <c r="M2682" s="22">
        <f>Table3[[#This Row],[Ship Date]]-Table3[[#This Row],[Order Date]]</f>
        <v>3</v>
      </c>
      <c r="N2682" s="23" t="s">
        <v>169</v>
      </c>
      <c r="O2682" s="23" t="s">
        <v>23</v>
      </c>
      <c r="P2682" s="23" t="s">
        <v>238</v>
      </c>
      <c r="Q2682" s="23" t="s">
        <v>133</v>
      </c>
      <c r="R2682" s="23" t="s">
        <v>237</v>
      </c>
      <c r="S2682" s="33">
        <v>0</v>
      </c>
      <c r="T2682" s="13">
        <v>13.36</v>
      </c>
      <c r="U2682" s="13">
        <v>6.4127999999999998</v>
      </c>
      <c r="V2682" s="55">
        <f>Table3[[#This Row],[Profit]]/Table3[[#This Row],[Sales]]</f>
        <v>0.48</v>
      </c>
    </row>
    <row r="2683" spans="1:22" x14ac:dyDescent="0.2">
      <c r="A2683">
        <v>2682</v>
      </c>
      <c r="B2683" t="s">
        <v>3503</v>
      </c>
      <c r="C2683" s="1">
        <v>43058</v>
      </c>
      <c r="D2683" s="22">
        <f>MONTH(Table3[[#This Row],[Order Date]])</f>
        <v>11</v>
      </c>
      <c r="E2683" t="s">
        <v>1489</v>
      </c>
      <c r="F2683" t="s">
        <v>1490</v>
      </c>
      <c r="G2683" s="23" t="s">
        <v>64</v>
      </c>
      <c r="H2683" s="23" t="s">
        <v>65</v>
      </c>
      <c r="I2683" t="s">
        <v>382</v>
      </c>
      <c r="J2683" t="s">
        <v>22</v>
      </c>
      <c r="K2683" s="22">
        <v>4</v>
      </c>
      <c r="L2683" s="1">
        <v>43059</v>
      </c>
      <c r="M2683" s="22">
        <f>Table3[[#This Row],[Ship Date]]-Table3[[#This Row],[Order Date]]</f>
        <v>1</v>
      </c>
      <c r="N2683" s="23" t="s">
        <v>169</v>
      </c>
      <c r="O2683" s="23" t="s">
        <v>23</v>
      </c>
      <c r="P2683" s="23" t="s">
        <v>38</v>
      </c>
      <c r="Q2683" s="23" t="s">
        <v>39</v>
      </c>
      <c r="R2683" s="23" t="s">
        <v>3504</v>
      </c>
      <c r="S2683" s="33">
        <v>0.2</v>
      </c>
      <c r="T2683" s="13">
        <v>31.968</v>
      </c>
      <c r="U2683" s="13">
        <v>2.3976000000000002</v>
      </c>
      <c r="V2683" s="55">
        <f>Table3[[#This Row],[Profit]]/Table3[[#This Row],[Sales]]</f>
        <v>7.5000000000000011E-2</v>
      </c>
    </row>
    <row r="2684" spans="1:22" x14ac:dyDescent="0.2">
      <c r="A2684">
        <v>2683</v>
      </c>
      <c r="B2684" t="s">
        <v>3715</v>
      </c>
      <c r="C2684" s="1">
        <v>43058</v>
      </c>
      <c r="D2684" s="22">
        <f>MONTH(Table3[[#This Row],[Order Date]])</f>
        <v>11</v>
      </c>
      <c r="E2684" t="s">
        <v>3717</v>
      </c>
      <c r="F2684" t="s">
        <v>3718</v>
      </c>
      <c r="G2684" s="23" t="s">
        <v>41</v>
      </c>
      <c r="H2684" s="23" t="s">
        <v>82</v>
      </c>
      <c r="I2684" t="s">
        <v>3640</v>
      </c>
      <c r="J2684" t="s">
        <v>22</v>
      </c>
      <c r="K2684" s="22">
        <v>4</v>
      </c>
      <c r="L2684" s="1">
        <v>43060</v>
      </c>
      <c r="M2684" s="22">
        <f>Table3[[#This Row],[Ship Date]]-Table3[[#This Row],[Order Date]]</f>
        <v>2</v>
      </c>
      <c r="N2684" s="23" t="s">
        <v>20</v>
      </c>
      <c r="O2684" s="23" t="s">
        <v>23</v>
      </c>
      <c r="P2684" s="23" t="s">
        <v>94</v>
      </c>
      <c r="Q2684" s="23" t="s">
        <v>95</v>
      </c>
      <c r="R2684" s="23" t="s">
        <v>3716</v>
      </c>
      <c r="S2684" s="33">
        <v>0.2</v>
      </c>
      <c r="T2684" s="13">
        <v>16.896000000000001</v>
      </c>
      <c r="U2684" s="13">
        <v>5.28</v>
      </c>
      <c r="V2684" s="55">
        <f>Table3[[#This Row],[Profit]]/Table3[[#This Row],[Sales]]</f>
        <v>0.3125</v>
      </c>
    </row>
    <row r="2685" spans="1:22" x14ac:dyDescent="0.2">
      <c r="A2685">
        <v>2684</v>
      </c>
      <c r="B2685" t="s">
        <v>3715</v>
      </c>
      <c r="C2685" s="1">
        <v>43058</v>
      </c>
      <c r="D2685" s="22">
        <f>MONTH(Table3[[#This Row],[Order Date]])</f>
        <v>11</v>
      </c>
      <c r="E2685" t="s">
        <v>3719</v>
      </c>
      <c r="F2685" t="s">
        <v>3720</v>
      </c>
      <c r="G2685" s="23" t="s">
        <v>41</v>
      </c>
      <c r="H2685" s="23" t="s">
        <v>513</v>
      </c>
      <c r="I2685" t="s">
        <v>3640</v>
      </c>
      <c r="J2685" t="s">
        <v>22</v>
      </c>
      <c r="K2685" s="22">
        <v>1</v>
      </c>
      <c r="L2685" s="1">
        <v>43060</v>
      </c>
      <c r="M2685" s="22">
        <f>Table3[[#This Row],[Ship Date]]-Table3[[#This Row],[Order Date]]</f>
        <v>2</v>
      </c>
      <c r="N2685" s="23" t="s">
        <v>20</v>
      </c>
      <c r="O2685" s="23" t="s">
        <v>23</v>
      </c>
      <c r="P2685" s="23" t="s">
        <v>94</v>
      </c>
      <c r="Q2685" s="23" t="s">
        <v>95</v>
      </c>
      <c r="R2685" s="23" t="s">
        <v>3716</v>
      </c>
      <c r="S2685" s="33">
        <v>0.2</v>
      </c>
      <c r="T2685" s="13">
        <v>6.6719999999999997</v>
      </c>
      <c r="U2685" s="13">
        <v>0.50039999999999996</v>
      </c>
      <c r="V2685" s="55">
        <f>Table3[[#This Row],[Profit]]/Table3[[#This Row],[Sales]]</f>
        <v>7.4999999999999997E-2</v>
      </c>
    </row>
    <row r="2686" spans="1:22" x14ac:dyDescent="0.2">
      <c r="A2686">
        <v>2685</v>
      </c>
      <c r="B2686" t="s">
        <v>3715</v>
      </c>
      <c r="C2686" s="1">
        <v>43058</v>
      </c>
      <c r="D2686" s="22">
        <f>MONTH(Table3[[#This Row],[Order Date]])</f>
        <v>11</v>
      </c>
      <c r="E2686" t="s">
        <v>1025</v>
      </c>
      <c r="F2686" t="s">
        <v>1026</v>
      </c>
      <c r="G2686" s="23" t="s">
        <v>41</v>
      </c>
      <c r="H2686" s="23" t="s">
        <v>61</v>
      </c>
      <c r="I2686" t="s">
        <v>3640</v>
      </c>
      <c r="J2686" t="s">
        <v>22</v>
      </c>
      <c r="K2686" s="22">
        <v>4</v>
      </c>
      <c r="L2686" s="1">
        <v>43060</v>
      </c>
      <c r="M2686" s="22">
        <f>Table3[[#This Row],[Ship Date]]-Table3[[#This Row],[Order Date]]</f>
        <v>2</v>
      </c>
      <c r="N2686" s="23" t="s">
        <v>20</v>
      </c>
      <c r="O2686" s="23" t="s">
        <v>23</v>
      </c>
      <c r="P2686" s="23" t="s">
        <v>94</v>
      </c>
      <c r="Q2686" s="23" t="s">
        <v>95</v>
      </c>
      <c r="R2686" s="23" t="s">
        <v>3716</v>
      </c>
      <c r="S2686" s="33">
        <v>0.2</v>
      </c>
      <c r="T2686" s="13">
        <v>99.135999999999996</v>
      </c>
      <c r="U2686" s="13">
        <v>8.6744000000000003</v>
      </c>
      <c r="V2686" s="55">
        <f>Table3[[#This Row],[Profit]]/Table3[[#This Row],[Sales]]</f>
        <v>8.7500000000000008E-2</v>
      </c>
    </row>
    <row r="2687" spans="1:22" x14ac:dyDescent="0.2">
      <c r="A2687">
        <v>2686</v>
      </c>
      <c r="B2687" t="s">
        <v>3715</v>
      </c>
      <c r="C2687" s="1">
        <v>43058</v>
      </c>
      <c r="D2687" s="22">
        <f>MONTH(Table3[[#This Row],[Order Date]])</f>
        <v>11</v>
      </c>
      <c r="E2687" t="s">
        <v>1048</v>
      </c>
      <c r="F2687" t="s">
        <v>1049</v>
      </c>
      <c r="G2687" s="23" t="s">
        <v>28</v>
      </c>
      <c r="H2687" s="23" t="s">
        <v>58</v>
      </c>
      <c r="I2687" t="s">
        <v>3640</v>
      </c>
      <c r="J2687" t="s">
        <v>22</v>
      </c>
      <c r="K2687" s="22">
        <v>2</v>
      </c>
      <c r="L2687" s="1">
        <v>43060</v>
      </c>
      <c r="M2687" s="22">
        <f>Table3[[#This Row],[Ship Date]]-Table3[[#This Row],[Order Date]]</f>
        <v>2</v>
      </c>
      <c r="N2687" s="23" t="s">
        <v>20</v>
      </c>
      <c r="O2687" s="23" t="s">
        <v>23</v>
      </c>
      <c r="P2687" s="23" t="s">
        <v>94</v>
      </c>
      <c r="Q2687" s="23" t="s">
        <v>95</v>
      </c>
      <c r="R2687" s="23" t="s">
        <v>3716</v>
      </c>
      <c r="S2687" s="33">
        <v>0.6</v>
      </c>
      <c r="T2687" s="13">
        <v>15.992000000000001</v>
      </c>
      <c r="U2687" s="13">
        <v>-13.993</v>
      </c>
      <c r="V2687" s="55">
        <f>Table3[[#This Row],[Profit]]/Table3[[#This Row],[Sales]]</f>
        <v>-0.875</v>
      </c>
    </row>
    <row r="2688" spans="1:22" x14ac:dyDescent="0.2">
      <c r="A2688">
        <v>2687</v>
      </c>
      <c r="B2688" t="s">
        <v>4504</v>
      </c>
      <c r="C2688" s="1">
        <v>43058</v>
      </c>
      <c r="D2688" s="22">
        <f>MONTH(Table3[[#This Row],[Order Date]])</f>
        <v>11</v>
      </c>
      <c r="E2688" t="s">
        <v>3131</v>
      </c>
      <c r="F2688" t="s">
        <v>3132</v>
      </c>
      <c r="G2688" s="23" t="s">
        <v>28</v>
      </c>
      <c r="H2688" s="23" t="s">
        <v>32</v>
      </c>
      <c r="I2688" t="s">
        <v>4505</v>
      </c>
      <c r="J2688" t="s">
        <v>22</v>
      </c>
      <c r="K2688" s="22">
        <v>3</v>
      </c>
      <c r="L2688" s="1">
        <v>43065</v>
      </c>
      <c r="M2688" s="22">
        <f>Table3[[#This Row],[Ship Date]]-Table3[[#This Row],[Order Date]]</f>
        <v>7</v>
      </c>
      <c r="N2688" s="23" t="s">
        <v>45</v>
      </c>
      <c r="O2688" s="23" t="s">
        <v>23</v>
      </c>
      <c r="P2688" s="23" t="s">
        <v>94</v>
      </c>
      <c r="Q2688" s="23" t="s">
        <v>95</v>
      </c>
      <c r="R2688" s="23" t="s">
        <v>4506</v>
      </c>
      <c r="S2688" s="33">
        <v>0.3</v>
      </c>
      <c r="T2688" s="13">
        <v>233.05799999999999</v>
      </c>
      <c r="U2688" s="13">
        <v>-53.270400000000002</v>
      </c>
      <c r="V2688" s="55">
        <f>Table3[[#This Row],[Profit]]/Table3[[#This Row],[Sales]]</f>
        <v>-0.22857142857142859</v>
      </c>
    </row>
    <row r="2689" spans="1:22" x14ac:dyDescent="0.2">
      <c r="A2689">
        <v>2688</v>
      </c>
      <c r="B2689" t="s">
        <v>4531</v>
      </c>
      <c r="C2689" s="1">
        <v>43058</v>
      </c>
      <c r="D2689" s="22">
        <f>MONTH(Table3[[#This Row],[Order Date]])</f>
        <v>11</v>
      </c>
      <c r="E2689" t="s">
        <v>2179</v>
      </c>
      <c r="F2689" t="s">
        <v>2180</v>
      </c>
      <c r="G2689" s="23" t="s">
        <v>28</v>
      </c>
      <c r="H2689" s="23" t="s">
        <v>32</v>
      </c>
      <c r="I2689" t="s">
        <v>187</v>
      </c>
      <c r="J2689" t="s">
        <v>36</v>
      </c>
      <c r="K2689" s="22">
        <v>2</v>
      </c>
      <c r="L2689" s="1">
        <v>43064</v>
      </c>
      <c r="M2689" s="22">
        <f>Table3[[#This Row],[Ship Date]]-Table3[[#This Row],[Order Date]]</f>
        <v>6</v>
      </c>
      <c r="N2689" s="23" t="s">
        <v>45</v>
      </c>
      <c r="O2689" s="23" t="s">
        <v>23</v>
      </c>
      <c r="P2689" s="23" t="s">
        <v>94</v>
      </c>
      <c r="Q2689" s="23" t="s">
        <v>95</v>
      </c>
      <c r="R2689" s="23" t="s">
        <v>4532</v>
      </c>
      <c r="S2689" s="33">
        <v>0.3</v>
      </c>
      <c r="T2689" s="13">
        <v>305.31200000000001</v>
      </c>
      <c r="U2689" s="13">
        <v>-8.7232000000000003</v>
      </c>
      <c r="V2689" s="55">
        <f>Table3[[#This Row],[Profit]]/Table3[[#This Row],[Sales]]</f>
        <v>-2.8571428571428571E-2</v>
      </c>
    </row>
    <row r="2690" spans="1:22" x14ac:dyDescent="0.2">
      <c r="A2690">
        <v>2689</v>
      </c>
      <c r="B2690" t="s">
        <v>5016</v>
      </c>
      <c r="C2690" s="1">
        <v>43058</v>
      </c>
      <c r="D2690" s="22">
        <f>MONTH(Table3[[#This Row],[Order Date]])</f>
        <v>11</v>
      </c>
      <c r="E2690" t="s">
        <v>5017</v>
      </c>
      <c r="F2690" t="s">
        <v>5018</v>
      </c>
      <c r="G2690" s="23" t="s">
        <v>28</v>
      </c>
      <c r="H2690" s="23" t="s">
        <v>58</v>
      </c>
      <c r="I2690" t="s">
        <v>3378</v>
      </c>
      <c r="J2690" t="s">
        <v>22</v>
      </c>
      <c r="K2690" s="22">
        <v>6</v>
      </c>
      <c r="L2690" s="1">
        <v>43062</v>
      </c>
      <c r="M2690" s="22">
        <f>Table3[[#This Row],[Ship Date]]-Table3[[#This Row],[Order Date]]</f>
        <v>4</v>
      </c>
      <c r="N2690" s="23" t="s">
        <v>45</v>
      </c>
      <c r="O2690" s="23" t="s">
        <v>23</v>
      </c>
      <c r="P2690" s="23" t="s">
        <v>25</v>
      </c>
      <c r="Q2690" s="23" t="s">
        <v>26</v>
      </c>
      <c r="R2690" s="23" t="s">
        <v>24</v>
      </c>
      <c r="S2690" s="33">
        <v>0</v>
      </c>
      <c r="T2690" s="13">
        <v>821.88</v>
      </c>
      <c r="U2690" s="13">
        <v>213.68879999999999</v>
      </c>
      <c r="V2690" s="55">
        <f>Table3[[#This Row],[Profit]]/Table3[[#This Row],[Sales]]</f>
        <v>0.26</v>
      </c>
    </row>
    <row r="2691" spans="1:22" x14ac:dyDescent="0.2">
      <c r="A2691">
        <v>2690</v>
      </c>
      <c r="B2691" t="s">
        <v>5016</v>
      </c>
      <c r="C2691" s="1">
        <v>43058</v>
      </c>
      <c r="D2691" s="22">
        <f>MONTH(Table3[[#This Row],[Order Date]])</f>
        <v>11</v>
      </c>
      <c r="E2691" t="s">
        <v>3666</v>
      </c>
      <c r="F2691" t="s">
        <v>3667</v>
      </c>
      <c r="G2691" s="23" t="s">
        <v>41</v>
      </c>
      <c r="H2691" s="23" t="s">
        <v>68</v>
      </c>
      <c r="I2691" t="s">
        <v>3378</v>
      </c>
      <c r="J2691" t="s">
        <v>22</v>
      </c>
      <c r="K2691" s="22">
        <v>2</v>
      </c>
      <c r="L2691" s="1">
        <v>43062</v>
      </c>
      <c r="M2691" s="22">
        <f>Table3[[#This Row],[Ship Date]]-Table3[[#This Row],[Order Date]]</f>
        <v>4</v>
      </c>
      <c r="N2691" s="23" t="s">
        <v>45</v>
      </c>
      <c r="O2691" s="23" t="s">
        <v>23</v>
      </c>
      <c r="P2691" s="23" t="s">
        <v>25</v>
      </c>
      <c r="Q2691" s="23" t="s">
        <v>26</v>
      </c>
      <c r="R2691" s="23" t="s">
        <v>24</v>
      </c>
      <c r="S2691" s="33">
        <v>0</v>
      </c>
      <c r="T2691" s="13">
        <v>21.96</v>
      </c>
      <c r="U2691" s="13">
        <v>10.760400000000001</v>
      </c>
      <c r="V2691" s="55">
        <f>Table3[[#This Row],[Profit]]/Table3[[#This Row],[Sales]]</f>
        <v>0.49</v>
      </c>
    </row>
    <row r="2692" spans="1:22" x14ac:dyDescent="0.2">
      <c r="A2692">
        <v>2691</v>
      </c>
      <c r="B2692" t="s">
        <v>5465</v>
      </c>
      <c r="C2692" s="1">
        <v>43058</v>
      </c>
      <c r="D2692" s="22">
        <f>MONTH(Table3[[#This Row],[Order Date]])</f>
        <v>11</v>
      </c>
      <c r="E2692" t="s">
        <v>1054</v>
      </c>
      <c r="F2692" t="s">
        <v>1055</v>
      </c>
      <c r="G2692" s="23" t="s">
        <v>41</v>
      </c>
      <c r="H2692" s="23" t="s">
        <v>53</v>
      </c>
      <c r="I2692" t="s">
        <v>3678</v>
      </c>
      <c r="J2692" t="s">
        <v>22</v>
      </c>
      <c r="K2692" s="22">
        <v>9</v>
      </c>
      <c r="L2692" s="1">
        <v>43063</v>
      </c>
      <c r="M2692" s="22">
        <f>Table3[[#This Row],[Ship Date]]-Table3[[#This Row],[Order Date]]</f>
        <v>5</v>
      </c>
      <c r="N2692" s="23" t="s">
        <v>45</v>
      </c>
      <c r="O2692" s="23" t="s">
        <v>23</v>
      </c>
      <c r="P2692" s="23" t="s">
        <v>38</v>
      </c>
      <c r="Q2692" s="23" t="s">
        <v>39</v>
      </c>
      <c r="R2692" s="23" t="s">
        <v>37</v>
      </c>
      <c r="S2692" s="33">
        <v>0</v>
      </c>
      <c r="T2692" s="13">
        <v>305.01</v>
      </c>
      <c r="U2692" s="13">
        <v>76.252499999999998</v>
      </c>
      <c r="V2692" s="55">
        <f>Table3[[#This Row],[Profit]]/Table3[[#This Row],[Sales]]</f>
        <v>0.25</v>
      </c>
    </row>
    <row r="2693" spans="1:22" x14ac:dyDescent="0.2">
      <c r="A2693">
        <v>2692</v>
      </c>
      <c r="B2693" t="s">
        <v>5465</v>
      </c>
      <c r="C2693" s="1">
        <v>43058</v>
      </c>
      <c r="D2693" s="22">
        <f>MONTH(Table3[[#This Row],[Order Date]])</f>
        <v>11</v>
      </c>
      <c r="E2693" t="s">
        <v>5466</v>
      </c>
      <c r="F2693" t="s">
        <v>5467</v>
      </c>
      <c r="G2693" s="23" t="s">
        <v>28</v>
      </c>
      <c r="H2693" s="23" t="s">
        <v>58</v>
      </c>
      <c r="I2693" t="s">
        <v>3678</v>
      </c>
      <c r="J2693" t="s">
        <v>22</v>
      </c>
      <c r="K2693" s="22">
        <v>1</v>
      </c>
      <c r="L2693" s="1">
        <v>43063</v>
      </c>
      <c r="M2693" s="22">
        <f>Table3[[#This Row],[Ship Date]]-Table3[[#This Row],[Order Date]]</f>
        <v>5</v>
      </c>
      <c r="N2693" s="23" t="s">
        <v>45</v>
      </c>
      <c r="O2693" s="23" t="s">
        <v>23</v>
      </c>
      <c r="P2693" s="23" t="s">
        <v>38</v>
      </c>
      <c r="Q2693" s="23" t="s">
        <v>39</v>
      </c>
      <c r="R2693" s="23" t="s">
        <v>37</v>
      </c>
      <c r="S2693" s="33">
        <v>0</v>
      </c>
      <c r="T2693" s="13">
        <v>18.7</v>
      </c>
      <c r="U2693" s="13">
        <v>7.1059999999999999</v>
      </c>
      <c r="V2693" s="55">
        <f>Table3[[#This Row],[Profit]]/Table3[[#This Row],[Sales]]</f>
        <v>0.38</v>
      </c>
    </row>
    <row r="2694" spans="1:22" x14ac:dyDescent="0.2">
      <c r="A2694">
        <v>2693</v>
      </c>
      <c r="B2694" t="s">
        <v>5932</v>
      </c>
      <c r="C2694" s="1">
        <v>43058</v>
      </c>
      <c r="D2694" s="22">
        <f>MONTH(Table3[[#This Row],[Order Date]])</f>
        <v>11</v>
      </c>
      <c r="E2694" t="s">
        <v>1408</v>
      </c>
      <c r="F2694" t="s">
        <v>591</v>
      </c>
      <c r="G2694" s="23" t="s">
        <v>41</v>
      </c>
      <c r="H2694" s="23" t="s">
        <v>155</v>
      </c>
      <c r="I2694" t="s">
        <v>1860</v>
      </c>
      <c r="J2694" t="s">
        <v>36</v>
      </c>
      <c r="K2694" s="22">
        <v>3</v>
      </c>
      <c r="L2694" s="1">
        <v>43062</v>
      </c>
      <c r="M2694" s="22">
        <f>Table3[[#This Row],[Ship Date]]-Table3[[#This Row],[Order Date]]</f>
        <v>4</v>
      </c>
      <c r="N2694" s="23" t="s">
        <v>45</v>
      </c>
      <c r="O2694" s="23" t="s">
        <v>23</v>
      </c>
      <c r="P2694" s="23" t="s">
        <v>238</v>
      </c>
      <c r="Q2694" s="23" t="s">
        <v>133</v>
      </c>
      <c r="R2694" s="23" t="s">
        <v>237</v>
      </c>
      <c r="S2694" s="33">
        <v>0</v>
      </c>
      <c r="T2694" s="13">
        <v>16.739999999999998</v>
      </c>
      <c r="U2694" s="13">
        <v>8.3699999999999992</v>
      </c>
      <c r="V2694" s="55">
        <f>Table3[[#This Row],[Profit]]/Table3[[#This Row],[Sales]]</f>
        <v>0.5</v>
      </c>
    </row>
    <row r="2695" spans="1:22" x14ac:dyDescent="0.2">
      <c r="A2695">
        <v>2694</v>
      </c>
      <c r="B2695" t="s">
        <v>5932</v>
      </c>
      <c r="C2695" s="1">
        <v>43058</v>
      </c>
      <c r="D2695" s="22">
        <f>MONTH(Table3[[#This Row],[Order Date]])</f>
        <v>11</v>
      </c>
      <c r="E2695" t="s">
        <v>2913</v>
      </c>
      <c r="F2695" t="s">
        <v>2914</v>
      </c>
      <c r="G2695" s="23" t="s">
        <v>41</v>
      </c>
      <c r="H2695" s="23" t="s">
        <v>71</v>
      </c>
      <c r="I2695" t="s">
        <v>1860</v>
      </c>
      <c r="J2695" t="s">
        <v>36</v>
      </c>
      <c r="K2695" s="22">
        <v>7</v>
      </c>
      <c r="L2695" s="1">
        <v>43062</v>
      </c>
      <c r="M2695" s="22">
        <f>Table3[[#This Row],[Ship Date]]-Table3[[#This Row],[Order Date]]</f>
        <v>4</v>
      </c>
      <c r="N2695" s="23" t="s">
        <v>45</v>
      </c>
      <c r="O2695" s="23" t="s">
        <v>23</v>
      </c>
      <c r="P2695" s="23" t="s">
        <v>238</v>
      </c>
      <c r="Q2695" s="23" t="s">
        <v>133</v>
      </c>
      <c r="R2695" s="23" t="s">
        <v>237</v>
      </c>
      <c r="S2695" s="33">
        <v>0</v>
      </c>
      <c r="T2695" s="13">
        <v>2504.7399999999998</v>
      </c>
      <c r="U2695" s="13">
        <v>626.18499999999995</v>
      </c>
      <c r="V2695" s="55">
        <f>Table3[[#This Row],[Profit]]/Table3[[#This Row],[Sales]]</f>
        <v>0.25</v>
      </c>
    </row>
    <row r="2696" spans="1:22" x14ac:dyDescent="0.2">
      <c r="A2696">
        <v>2695</v>
      </c>
      <c r="B2696" t="s">
        <v>6077</v>
      </c>
      <c r="C2696" s="1">
        <v>43058</v>
      </c>
      <c r="D2696" s="22">
        <f>MONTH(Table3[[#This Row],[Order Date]])</f>
        <v>11</v>
      </c>
      <c r="E2696" t="s">
        <v>3368</v>
      </c>
      <c r="F2696" t="s">
        <v>3369</v>
      </c>
      <c r="G2696" s="23" t="s">
        <v>28</v>
      </c>
      <c r="H2696" s="23" t="s">
        <v>50</v>
      </c>
      <c r="I2696" t="s">
        <v>318</v>
      </c>
      <c r="J2696" t="s">
        <v>36</v>
      </c>
      <c r="K2696" s="22">
        <v>6</v>
      </c>
      <c r="L2696" s="1">
        <v>43060</v>
      </c>
      <c r="M2696" s="22">
        <f>Table3[[#This Row],[Ship Date]]-Table3[[#This Row],[Order Date]]</f>
        <v>2</v>
      </c>
      <c r="N2696" s="23" t="s">
        <v>169</v>
      </c>
      <c r="O2696" s="23" t="s">
        <v>23</v>
      </c>
      <c r="P2696" s="23" t="s">
        <v>94</v>
      </c>
      <c r="Q2696" s="23" t="s">
        <v>95</v>
      </c>
      <c r="R2696" s="23" t="s">
        <v>598</v>
      </c>
      <c r="S2696" s="33">
        <v>0.3</v>
      </c>
      <c r="T2696" s="13">
        <v>718.11599999999999</v>
      </c>
      <c r="U2696" s="13">
        <v>-71.811599999999999</v>
      </c>
      <c r="V2696" s="55">
        <f>Table3[[#This Row],[Profit]]/Table3[[#This Row],[Sales]]</f>
        <v>-0.1</v>
      </c>
    </row>
    <row r="2697" spans="1:22" x14ac:dyDescent="0.2">
      <c r="A2697">
        <v>2696</v>
      </c>
      <c r="B2697" t="s">
        <v>6077</v>
      </c>
      <c r="C2697" s="1">
        <v>43058</v>
      </c>
      <c r="D2697" s="22">
        <f>MONTH(Table3[[#This Row],[Order Date]])</f>
        <v>11</v>
      </c>
      <c r="E2697" t="s">
        <v>3746</v>
      </c>
      <c r="F2697" t="s">
        <v>3747</v>
      </c>
      <c r="G2697" s="23" t="s">
        <v>41</v>
      </c>
      <c r="H2697" s="23" t="s">
        <v>61</v>
      </c>
      <c r="I2697" t="s">
        <v>318</v>
      </c>
      <c r="J2697" t="s">
        <v>36</v>
      </c>
      <c r="K2697" s="22">
        <v>4</v>
      </c>
      <c r="L2697" s="1">
        <v>43060</v>
      </c>
      <c r="M2697" s="22">
        <f>Table3[[#This Row],[Ship Date]]-Table3[[#This Row],[Order Date]]</f>
        <v>2</v>
      </c>
      <c r="N2697" s="23" t="s">
        <v>169</v>
      </c>
      <c r="O2697" s="23" t="s">
        <v>23</v>
      </c>
      <c r="P2697" s="23" t="s">
        <v>94</v>
      </c>
      <c r="Q2697" s="23" t="s">
        <v>95</v>
      </c>
      <c r="R2697" s="23" t="s">
        <v>598</v>
      </c>
      <c r="S2697" s="33">
        <v>0.2</v>
      </c>
      <c r="T2697" s="13">
        <v>31.776</v>
      </c>
      <c r="U2697" s="13">
        <v>8.7384000000000004</v>
      </c>
      <c r="V2697" s="55">
        <f>Table3[[#This Row],[Profit]]/Table3[[#This Row],[Sales]]</f>
        <v>0.27500000000000002</v>
      </c>
    </row>
    <row r="2698" spans="1:22" x14ac:dyDescent="0.2">
      <c r="A2698">
        <v>2697</v>
      </c>
      <c r="B2698" t="s">
        <v>6513</v>
      </c>
      <c r="C2698" s="1">
        <v>43058</v>
      </c>
      <c r="D2698" s="22">
        <f>MONTH(Table3[[#This Row],[Order Date]])</f>
        <v>11</v>
      </c>
      <c r="E2698" t="s">
        <v>1038</v>
      </c>
      <c r="F2698" t="s">
        <v>1039</v>
      </c>
      <c r="G2698" s="23" t="s">
        <v>41</v>
      </c>
      <c r="H2698" s="23" t="s">
        <v>240</v>
      </c>
      <c r="I2698" t="s">
        <v>6489</v>
      </c>
      <c r="J2698" t="s">
        <v>22</v>
      </c>
      <c r="K2698" s="22">
        <v>7</v>
      </c>
      <c r="L2698" s="1">
        <v>43062</v>
      </c>
      <c r="M2698" s="22">
        <f>Table3[[#This Row],[Ship Date]]-Table3[[#This Row],[Order Date]]</f>
        <v>4</v>
      </c>
      <c r="N2698" s="23" t="s">
        <v>45</v>
      </c>
      <c r="O2698" s="23" t="s">
        <v>23</v>
      </c>
      <c r="P2698" s="23" t="s">
        <v>285</v>
      </c>
      <c r="Q2698" s="23" t="s">
        <v>26</v>
      </c>
      <c r="R2698" s="23" t="s">
        <v>2476</v>
      </c>
      <c r="S2698" s="33">
        <v>0</v>
      </c>
      <c r="T2698" s="13">
        <v>25.06</v>
      </c>
      <c r="U2698" s="13">
        <v>12.53</v>
      </c>
      <c r="V2698" s="55">
        <f>Table3[[#This Row],[Profit]]/Table3[[#This Row],[Sales]]</f>
        <v>0.5</v>
      </c>
    </row>
    <row r="2699" spans="1:22" x14ac:dyDescent="0.2">
      <c r="A2699">
        <v>2698</v>
      </c>
      <c r="B2699" t="s">
        <v>7382</v>
      </c>
      <c r="C2699" s="1">
        <v>43058</v>
      </c>
      <c r="D2699" s="22">
        <f>MONTH(Table3[[#This Row],[Order Date]])</f>
        <v>11</v>
      </c>
      <c r="E2699" t="s">
        <v>4287</v>
      </c>
      <c r="F2699" t="s">
        <v>4288</v>
      </c>
      <c r="G2699" s="23" t="s">
        <v>28</v>
      </c>
      <c r="H2699" s="23" t="s">
        <v>32</v>
      </c>
      <c r="I2699" t="s">
        <v>6236</v>
      </c>
      <c r="J2699" t="s">
        <v>22</v>
      </c>
      <c r="K2699" s="22">
        <v>3</v>
      </c>
      <c r="L2699" s="1">
        <v>43060</v>
      </c>
      <c r="M2699" s="22">
        <f>Table3[[#This Row],[Ship Date]]-Table3[[#This Row],[Order Date]]</f>
        <v>2</v>
      </c>
      <c r="N2699" s="23" t="s">
        <v>169</v>
      </c>
      <c r="O2699" s="23" t="s">
        <v>23</v>
      </c>
      <c r="P2699" s="23" t="s">
        <v>94</v>
      </c>
      <c r="Q2699" s="23" t="s">
        <v>95</v>
      </c>
      <c r="R2699" s="23" t="s">
        <v>165</v>
      </c>
      <c r="S2699" s="33">
        <v>0.3</v>
      </c>
      <c r="T2699" s="13">
        <v>191.05799999999999</v>
      </c>
      <c r="U2699" s="13">
        <v>-46.399799999999999</v>
      </c>
      <c r="V2699" s="55">
        <f>Table3[[#This Row],[Profit]]/Table3[[#This Row],[Sales]]</f>
        <v>-0.24285714285714285</v>
      </c>
    </row>
    <row r="2700" spans="1:22" x14ac:dyDescent="0.2">
      <c r="A2700">
        <v>2699</v>
      </c>
      <c r="B2700" t="s">
        <v>7382</v>
      </c>
      <c r="C2700" s="1">
        <v>43058</v>
      </c>
      <c r="D2700" s="22">
        <f>MONTH(Table3[[#This Row],[Order Date]])</f>
        <v>11</v>
      </c>
      <c r="E2700" t="s">
        <v>7383</v>
      </c>
      <c r="F2700" t="s">
        <v>7384</v>
      </c>
      <c r="G2700" s="23" t="s">
        <v>41</v>
      </c>
      <c r="H2700" s="23" t="s">
        <v>61</v>
      </c>
      <c r="I2700" t="s">
        <v>6236</v>
      </c>
      <c r="J2700" t="s">
        <v>22</v>
      </c>
      <c r="K2700" s="22">
        <v>5</v>
      </c>
      <c r="L2700" s="1">
        <v>43060</v>
      </c>
      <c r="M2700" s="22">
        <f>Table3[[#This Row],[Ship Date]]-Table3[[#This Row],[Order Date]]</f>
        <v>2</v>
      </c>
      <c r="N2700" s="23" t="s">
        <v>169</v>
      </c>
      <c r="O2700" s="23" t="s">
        <v>23</v>
      </c>
      <c r="P2700" s="23" t="s">
        <v>94</v>
      </c>
      <c r="Q2700" s="23" t="s">
        <v>95</v>
      </c>
      <c r="R2700" s="23" t="s">
        <v>165</v>
      </c>
      <c r="S2700" s="33">
        <v>0.2</v>
      </c>
      <c r="T2700" s="13">
        <v>13.04</v>
      </c>
      <c r="U2700" s="13">
        <v>3.9119999999999999</v>
      </c>
      <c r="V2700" s="55">
        <f>Table3[[#This Row],[Profit]]/Table3[[#This Row],[Sales]]</f>
        <v>0.3</v>
      </c>
    </row>
    <row r="2701" spans="1:22" x14ac:dyDescent="0.2">
      <c r="A2701">
        <v>2700</v>
      </c>
      <c r="B2701" t="s">
        <v>7382</v>
      </c>
      <c r="C2701" s="1">
        <v>43058</v>
      </c>
      <c r="D2701" s="22">
        <f>MONTH(Table3[[#This Row],[Order Date]])</f>
        <v>11</v>
      </c>
      <c r="E2701" t="s">
        <v>1543</v>
      </c>
      <c r="F2701" t="s">
        <v>1544</v>
      </c>
      <c r="G2701" s="23" t="s">
        <v>41</v>
      </c>
      <c r="H2701" s="23" t="s">
        <v>68</v>
      </c>
      <c r="I2701" t="s">
        <v>6236</v>
      </c>
      <c r="J2701" t="s">
        <v>22</v>
      </c>
      <c r="K2701" s="22">
        <v>6</v>
      </c>
      <c r="L2701" s="1">
        <v>43060</v>
      </c>
      <c r="M2701" s="22">
        <f>Table3[[#This Row],[Ship Date]]-Table3[[#This Row],[Order Date]]</f>
        <v>2</v>
      </c>
      <c r="N2701" s="23" t="s">
        <v>169</v>
      </c>
      <c r="O2701" s="23" t="s">
        <v>23</v>
      </c>
      <c r="P2701" s="23" t="s">
        <v>94</v>
      </c>
      <c r="Q2701" s="23" t="s">
        <v>95</v>
      </c>
      <c r="R2701" s="23" t="s">
        <v>165</v>
      </c>
      <c r="S2701" s="33">
        <v>0.8</v>
      </c>
      <c r="T2701" s="13">
        <v>1525.1880000000001</v>
      </c>
      <c r="U2701" s="13">
        <v>-2287.7820000000002</v>
      </c>
      <c r="V2701" s="55">
        <f>Table3[[#This Row],[Profit]]/Table3[[#This Row],[Sales]]</f>
        <v>-1.5</v>
      </c>
    </row>
    <row r="2702" spans="1:22" x14ac:dyDescent="0.2">
      <c r="A2702">
        <v>2701</v>
      </c>
      <c r="B2702" t="s">
        <v>7590</v>
      </c>
      <c r="C2702" s="1">
        <v>43058</v>
      </c>
      <c r="D2702" s="22">
        <f>MONTH(Table3[[#This Row],[Order Date]])</f>
        <v>11</v>
      </c>
      <c r="E2702" t="s">
        <v>2389</v>
      </c>
      <c r="F2702" t="s">
        <v>2390</v>
      </c>
      <c r="G2702" s="23" t="s">
        <v>41</v>
      </c>
      <c r="H2702" s="23" t="s">
        <v>68</v>
      </c>
      <c r="I2702" t="s">
        <v>2711</v>
      </c>
      <c r="J2702" t="s">
        <v>22</v>
      </c>
      <c r="K2702" s="22">
        <v>7</v>
      </c>
      <c r="L2702" s="1">
        <v>43064</v>
      </c>
      <c r="M2702" s="22">
        <f>Table3[[#This Row],[Ship Date]]-Table3[[#This Row],[Order Date]]</f>
        <v>6</v>
      </c>
      <c r="N2702" s="23" t="s">
        <v>45</v>
      </c>
      <c r="O2702" s="23" t="s">
        <v>23</v>
      </c>
      <c r="P2702" s="23" t="s">
        <v>441</v>
      </c>
      <c r="Q2702" s="23" t="s">
        <v>133</v>
      </c>
      <c r="R2702" s="23" t="s">
        <v>1920</v>
      </c>
      <c r="S2702" s="33">
        <v>0.7</v>
      </c>
      <c r="T2702" s="13">
        <v>59.912999999999997</v>
      </c>
      <c r="U2702" s="13">
        <v>-45.933300000000003</v>
      </c>
      <c r="V2702" s="55">
        <f>Table3[[#This Row],[Profit]]/Table3[[#This Row],[Sales]]</f>
        <v>-0.76666666666666672</v>
      </c>
    </row>
    <row r="2703" spans="1:22" x14ac:dyDescent="0.2">
      <c r="A2703">
        <v>2702</v>
      </c>
      <c r="B2703" t="s">
        <v>7810</v>
      </c>
      <c r="C2703" s="1">
        <v>43058</v>
      </c>
      <c r="D2703" s="22">
        <f>MONTH(Table3[[#This Row],[Order Date]])</f>
        <v>11</v>
      </c>
      <c r="E2703" t="s">
        <v>4426</v>
      </c>
      <c r="F2703" t="s">
        <v>4427</v>
      </c>
      <c r="G2703" s="23" t="s">
        <v>41</v>
      </c>
      <c r="H2703" s="23" t="s">
        <v>61</v>
      </c>
      <c r="I2703" t="s">
        <v>4508</v>
      </c>
      <c r="J2703" t="s">
        <v>22</v>
      </c>
      <c r="K2703" s="22">
        <v>7</v>
      </c>
      <c r="L2703" s="1">
        <v>43061</v>
      </c>
      <c r="M2703" s="22">
        <f>Table3[[#This Row],[Ship Date]]-Table3[[#This Row],[Order Date]]</f>
        <v>3</v>
      </c>
      <c r="N2703" s="23" t="s">
        <v>20</v>
      </c>
      <c r="O2703" s="23" t="s">
        <v>23</v>
      </c>
      <c r="P2703" s="23" t="s">
        <v>285</v>
      </c>
      <c r="Q2703" s="23" t="s">
        <v>26</v>
      </c>
      <c r="R2703" s="23" t="s">
        <v>284</v>
      </c>
      <c r="S2703" s="33">
        <v>0</v>
      </c>
      <c r="T2703" s="13">
        <v>22.96</v>
      </c>
      <c r="U2703" s="13">
        <v>6.6584000000000003</v>
      </c>
      <c r="V2703" s="55">
        <f>Table3[[#This Row],[Profit]]/Table3[[#This Row],[Sales]]</f>
        <v>0.28999999999999998</v>
      </c>
    </row>
    <row r="2704" spans="1:22" x14ac:dyDescent="0.2">
      <c r="A2704">
        <v>2703</v>
      </c>
      <c r="B2704" t="s">
        <v>8425</v>
      </c>
      <c r="C2704" s="1">
        <v>43058</v>
      </c>
      <c r="D2704" s="22">
        <f>MONTH(Table3[[#This Row],[Order Date]])</f>
        <v>11</v>
      </c>
      <c r="E2704" t="s">
        <v>3968</v>
      </c>
      <c r="F2704" t="s">
        <v>3969</v>
      </c>
      <c r="G2704" s="23" t="s">
        <v>41</v>
      </c>
      <c r="H2704" s="23" t="s">
        <v>68</v>
      </c>
      <c r="I2704" t="s">
        <v>2946</v>
      </c>
      <c r="J2704" t="s">
        <v>92</v>
      </c>
      <c r="K2704" s="22">
        <v>7</v>
      </c>
      <c r="L2704" s="1">
        <v>43058</v>
      </c>
      <c r="M2704" s="22">
        <f>Table3[[#This Row],[Ship Date]]-Table3[[#This Row],[Order Date]]</f>
        <v>0</v>
      </c>
      <c r="N2704" s="23" t="s">
        <v>1141</v>
      </c>
      <c r="O2704" s="23" t="s">
        <v>23</v>
      </c>
      <c r="P2704" s="23" t="s">
        <v>238</v>
      </c>
      <c r="Q2704" s="23" t="s">
        <v>133</v>
      </c>
      <c r="R2704" s="23" t="s">
        <v>237</v>
      </c>
      <c r="S2704" s="33">
        <v>0.2</v>
      </c>
      <c r="T2704" s="13">
        <v>58.408000000000001</v>
      </c>
      <c r="U2704" s="13">
        <v>18.252500000000001</v>
      </c>
      <c r="V2704" s="55">
        <f>Table3[[#This Row],[Profit]]/Table3[[#This Row],[Sales]]</f>
        <v>0.3125</v>
      </c>
    </row>
    <row r="2705" spans="1:22" x14ac:dyDescent="0.2">
      <c r="A2705">
        <v>2704</v>
      </c>
      <c r="B2705" t="s">
        <v>8425</v>
      </c>
      <c r="C2705" s="1">
        <v>43058</v>
      </c>
      <c r="D2705" s="22">
        <f>MONTH(Table3[[#This Row],[Order Date]])</f>
        <v>11</v>
      </c>
      <c r="E2705" t="s">
        <v>3358</v>
      </c>
      <c r="F2705" t="s">
        <v>3359</v>
      </c>
      <c r="G2705" s="23" t="s">
        <v>28</v>
      </c>
      <c r="H2705" s="23" t="s">
        <v>50</v>
      </c>
      <c r="I2705" t="s">
        <v>2946</v>
      </c>
      <c r="J2705" t="s">
        <v>92</v>
      </c>
      <c r="K2705" s="22">
        <v>3</v>
      </c>
      <c r="L2705" s="1">
        <v>43058</v>
      </c>
      <c r="M2705" s="22">
        <f>Table3[[#This Row],[Ship Date]]-Table3[[#This Row],[Order Date]]</f>
        <v>0</v>
      </c>
      <c r="N2705" s="23" t="s">
        <v>1141</v>
      </c>
      <c r="O2705" s="23" t="s">
        <v>23</v>
      </c>
      <c r="P2705" s="23" t="s">
        <v>238</v>
      </c>
      <c r="Q2705" s="23" t="s">
        <v>133</v>
      </c>
      <c r="R2705" s="23" t="s">
        <v>237</v>
      </c>
      <c r="S2705" s="33">
        <v>0.4</v>
      </c>
      <c r="T2705" s="13">
        <v>79.974000000000004</v>
      </c>
      <c r="U2705" s="13">
        <v>-29.323799999999999</v>
      </c>
      <c r="V2705" s="55">
        <f>Table3[[#This Row],[Profit]]/Table3[[#This Row],[Sales]]</f>
        <v>-0.36666666666666664</v>
      </c>
    </row>
    <row r="2706" spans="1:22" x14ac:dyDescent="0.2">
      <c r="A2706">
        <v>2705</v>
      </c>
      <c r="B2706" t="s">
        <v>1681</v>
      </c>
      <c r="C2706" s="1">
        <v>43059</v>
      </c>
      <c r="D2706" s="22">
        <f>MONTH(Table3[[#This Row],[Order Date]])</f>
        <v>11</v>
      </c>
      <c r="E2706" t="s">
        <v>1320</v>
      </c>
      <c r="F2706" t="s">
        <v>1321</v>
      </c>
      <c r="G2706" s="23" t="s">
        <v>28</v>
      </c>
      <c r="H2706" s="23" t="s">
        <v>58</v>
      </c>
      <c r="I2706" t="s">
        <v>1682</v>
      </c>
      <c r="J2706" t="s">
        <v>22</v>
      </c>
      <c r="K2706" s="22">
        <v>3</v>
      </c>
      <c r="L2706" s="1">
        <v>43061</v>
      </c>
      <c r="M2706" s="22">
        <f>Table3[[#This Row],[Ship Date]]-Table3[[#This Row],[Order Date]]</f>
        <v>2</v>
      </c>
      <c r="N2706" s="23" t="s">
        <v>20</v>
      </c>
      <c r="O2706" s="23" t="s">
        <v>23</v>
      </c>
      <c r="P2706" s="23" t="s">
        <v>38</v>
      </c>
      <c r="Q2706" s="23" t="s">
        <v>39</v>
      </c>
      <c r="R2706" s="23" t="s">
        <v>114</v>
      </c>
      <c r="S2706" s="33">
        <v>0</v>
      </c>
      <c r="T2706" s="13">
        <v>42.6</v>
      </c>
      <c r="U2706" s="13">
        <v>16.614000000000001</v>
      </c>
      <c r="V2706" s="55">
        <f>Table3[[#This Row],[Profit]]/Table3[[#This Row],[Sales]]</f>
        <v>0.39</v>
      </c>
    </row>
    <row r="2707" spans="1:22" x14ac:dyDescent="0.2">
      <c r="A2707">
        <v>2706</v>
      </c>
      <c r="B2707" t="s">
        <v>1681</v>
      </c>
      <c r="C2707" s="1">
        <v>43059</v>
      </c>
      <c r="D2707" s="22">
        <f>MONTH(Table3[[#This Row],[Order Date]])</f>
        <v>11</v>
      </c>
      <c r="E2707" t="s">
        <v>1683</v>
      </c>
      <c r="F2707" t="s">
        <v>1684</v>
      </c>
      <c r="G2707" s="23" t="s">
        <v>41</v>
      </c>
      <c r="H2707" s="23" t="s">
        <v>68</v>
      </c>
      <c r="I2707" t="s">
        <v>1682</v>
      </c>
      <c r="J2707" t="s">
        <v>22</v>
      </c>
      <c r="K2707" s="22">
        <v>7</v>
      </c>
      <c r="L2707" s="1">
        <v>43061</v>
      </c>
      <c r="M2707" s="22">
        <f>Table3[[#This Row],[Ship Date]]-Table3[[#This Row],[Order Date]]</f>
        <v>2</v>
      </c>
      <c r="N2707" s="23" t="s">
        <v>20</v>
      </c>
      <c r="O2707" s="23" t="s">
        <v>23</v>
      </c>
      <c r="P2707" s="23" t="s">
        <v>38</v>
      </c>
      <c r="Q2707" s="23" t="s">
        <v>39</v>
      </c>
      <c r="R2707" s="23" t="s">
        <v>114</v>
      </c>
      <c r="S2707" s="33">
        <v>0.2</v>
      </c>
      <c r="T2707" s="13">
        <v>84.055999999999997</v>
      </c>
      <c r="U2707" s="13">
        <v>27.318200000000001</v>
      </c>
      <c r="V2707" s="55">
        <f>Table3[[#This Row],[Profit]]/Table3[[#This Row],[Sales]]</f>
        <v>0.32500000000000001</v>
      </c>
    </row>
    <row r="2708" spans="1:22" x14ac:dyDescent="0.2">
      <c r="A2708">
        <v>2707</v>
      </c>
      <c r="B2708" t="s">
        <v>2710</v>
      </c>
      <c r="C2708" s="1">
        <v>43059</v>
      </c>
      <c r="D2708" s="22">
        <f>MONTH(Table3[[#This Row],[Order Date]])</f>
        <v>11</v>
      </c>
      <c r="E2708" t="s">
        <v>2712</v>
      </c>
      <c r="F2708" t="s">
        <v>2713</v>
      </c>
      <c r="G2708" s="23" t="s">
        <v>41</v>
      </c>
      <c r="H2708" s="23" t="s">
        <v>61</v>
      </c>
      <c r="I2708" t="s">
        <v>2711</v>
      </c>
      <c r="J2708" t="s">
        <v>22</v>
      </c>
      <c r="K2708" s="22">
        <v>7</v>
      </c>
      <c r="L2708" s="1">
        <v>43060</v>
      </c>
      <c r="M2708" s="22">
        <f>Table3[[#This Row],[Ship Date]]-Table3[[#This Row],[Order Date]]</f>
        <v>1</v>
      </c>
      <c r="N2708" s="23" t="s">
        <v>169</v>
      </c>
      <c r="O2708" s="23" t="s">
        <v>23</v>
      </c>
      <c r="P2708" s="23" t="s">
        <v>80</v>
      </c>
      <c r="Q2708" s="23" t="s">
        <v>26</v>
      </c>
      <c r="R2708" s="23" t="s">
        <v>1957</v>
      </c>
      <c r="S2708" s="33">
        <v>0.2</v>
      </c>
      <c r="T2708" s="13">
        <v>23.968</v>
      </c>
      <c r="U2708" s="13">
        <v>2.6964000000000001</v>
      </c>
      <c r="V2708" s="55">
        <f>Table3[[#This Row],[Profit]]/Table3[[#This Row],[Sales]]</f>
        <v>0.1125</v>
      </c>
    </row>
    <row r="2709" spans="1:22" x14ac:dyDescent="0.2">
      <c r="A2709">
        <v>2708</v>
      </c>
      <c r="B2709" t="s">
        <v>2710</v>
      </c>
      <c r="C2709" s="1">
        <v>43059</v>
      </c>
      <c r="D2709" s="22">
        <f>MONTH(Table3[[#This Row],[Order Date]])</f>
        <v>11</v>
      </c>
      <c r="E2709" t="s">
        <v>2714</v>
      </c>
      <c r="F2709" t="s">
        <v>2673</v>
      </c>
      <c r="G2709" s="23" t="s">
        <v>41</v>
      </c>
      <c r="H2709" s="23" t="s">
        <v>61</v>
      </c>
      <c r="I2709" t="s">
        <v>2711</v>
      </c>
      <c r="J2709" t="s">
        <v>22</v>
      </c>
      <c r="K2709" s="22">
        <v>3</v>
      </c>
      <c r="L2709" s="1">
        <v>43060</v>
      </c>
      <c r="M2709" s="22">
        <f>Table3[[#This Row],[Ship Date]]-Table3[[#This Row],[Order Date]]</f>
        <v>1</v>
      </c>
      <c r="N2709" s="23" t="s">
        <v>169</v>
      </c>
      <c r="O2709" s="23" t="s">
        <v>23</v>
      </c>
      <c r="P2709" s="23" t="s">
        <v>80</v>
      </c>
      <c r="Q2709" s="23" t="s">
        <v>26</v>
      </c>
      <c r="R2709" s="23" t="s">
        <v>1957</v>
      </c>
      <c r="S2709" s="33">
        <v>0.2</v>
      </c>
      <c r="T2709" s="13">
        <v>28.728000000000002</v>
      </c>
      <c r="U2709" s="13">
        <v>1.7955000000000001</v>
      </c>
      <c r="V2709" s="55">
        <f>Table3[[#This Row],[Profit]]/Table3[[#This Row],[Sales]]</f>
        <v>6.25E-2</v>
      </c>
    </row>
    <row r="2710" spans="1:22" x14ac:dyDescent="0.2">
      <c r="A2710">
        <v>2709</v>
      </c>
      <c r="B2710" t="s">
        <v>4026</v>
      </c>
      <c r="C2710" s="1">
        <v>43059</v>
      </c>
      <c r="D2710" s="22">
        <f>MONTH(Table3[[#This Row],[Order Date]])</f>
        <v>11</v>
      </c>
      <c r="E2710" t="s">
        <v>973</v>
      </c>
      <c r="F2710" t="s">
        <v>974</v>
      </c>
      <c r="G2710" s="23" t="s">
        <v>28</v>
      </c>
      <c r="H2710" s="23" t="s">
        <v>58</v>
      </c>
      <c r="I2710" t="s">
        <v>4027</v>
      </c>
      <c r="J2710" t="s">
        <v>22</v>
      </c>
      <c r="K2710" s="22">
        <v>5</v>
      </c>
      <c r="L2710" s="1">
        <v>43065</v>
      </c>
      <c r="M2710" s="22">
        <f>Table3[[#This Row],[Ship Date]]-Table3[[#This Row],[Order Date]]</f>
        <v>6</v>
      </c>
      <c r="N2710" s="23" t="s">
        <v>45</v>
      </c>
      <c r="O2710" s="23" t="s">
        <v>23</v>
      </c>
      <c r="P2710" s="23" t="s">
        <v>441</v>
      </c>
      <c r="Q2710" s="23" t="s">
        <v>133</v>
      </c>
      <c r="R2710" s="23" t="s">
        <v>536</v>
      </c>
      <c r="S2710" s="33">
        <v>0.2</v>
      </c>
      <c r="T2710" s="13">
        <v>77.599999999999994</v>
      </c>
      <c r="U2710" s="13">
        <v>28.13</v>
      </c>
      <c r="V2710" s="55">
        <f>Table3[[#This Row],[Profit]]/Table3[[#This Row],[Sales]]</f>
        <v>0.36249999999999999</v>
      </c>
    </row>
    <row r="2711" spans="1:22" x14ac:dyDescent="0.2">
      <c r="A2711">
        <v>2710</v>
      </c>
      <c r="B2711" t="s">
        <v>4026</v>
      </c>
      <c r="C2711" s="1">
        <v>43059</v>
      </c>
      <c r="D2711" s="22">
        <f>MONTH(Table3[[#This Row],[Order Date]])</f>
        <v>11</v>
      </c>
      <c r="E2711" t="s">
        <v>1376</v>
      </c>
      <c r="F2711" t="s">
        <v>1377</v>
      </c>
      <c r="G2711" s="23" t="s">
        <v>28</v>
      </c>
      <c r="H2711" s="23" t="s">
        <v>58</v>
      </c>
      <c r="I2711" t="s">
        <v>4027</v>
      </c>
      <c r="J2711" t="s">
        <v>22</v>
      </c>
      <c r="K2711" s="22">
        <v>2</v>
      </c>
      <c r="L2711" s="1">
        <v>43065</v>
      </c>
      <c r="M2711" s="22">
        <f>Table3[[#This Row],[Ship Date]]-Table3[[#This Row],[Order Date]]</f>
        <v>6</v>
      </c>
      <c r="N2711" s="23" t="s">
        <v>45</v>
      </c>
      <c r="O2711" s="23" t="s">
        <v>23</v>
      </c>
      <c r="P2711" s="23" t="s">
        <v>441</v>
      </c>
      <c r="Q2711" s="23" t="s">
        <v>133</v>
      </c>
      <c r="R2711" s="23" t="s">
        <v>536</v>
      </c>
      <c r="S2711" s="33">
        <v>0.2</v>
      </c>
      <c r="T2711" s="13">
        <v>4.6559999999999997</v>
      </c>
      <c r="U2711" s="13">
        <v>1.5713999999999999</v>
      </c>
      <c r="V2711" s="55">
        <f>Table3[[#This Row],[Profit]]/Table3[[#This Row],[Sales]]</f>
        <v>0.33750000000000002</v>
      </c>
    </row>
    <row r="2712" spans="1:22" x14ac:dyDescent="0.2">
      <c r="A2712">
        <v>2711</v>
      </c>
      <c r="B2712" t="s">
        <v>4393</v>
      </c>
      <c r="C2712" s="1">
        <v>43059</v>
      </c>
      <c r="D2712" s="22">
        <f>MONTH(Table3[[#This Row],[Order Date]])</f>
        <v>11</v>
      </c>
      <c r="E2712" t="s">
        <v>1278</v>
      </c>
      <c r="F2712" t="s">
        <v>1279</v>
      </c>
      <c r="G2712" s="23" t="s">
        <v>28</v>
      </c>
      <c r="H2712" s="23" t="s">
        <v>32</v>
      </c>
      <c r="I2712" t="s">
        <v>4394</v>
      </c>
      <c r="J2712" t="s">
        <v>22</v>
      </c>
      <c r="K2712" s="22">
        <v>5</v>
      </c>
      <c r="L2712" s="1">
        <v>43064</v>
      </c>
      <c r="M2712" s="22">
        <f>Table3[[#This Row],[Ship Date]]-Table3[[#This Row],[Order Date]]</f>
        <v>5</v>
      </c>
      <c r="N2712" s="23" t="s">
        <v>45</v>
      </c>
      <c r="O2712" s="23" t="s">
        <v>23</v>
      </c>
      <c r="P2712" s="23" t="s">
        <v>38</v>
      </c>
      <c r="Q2712" s="23" t="s">
        <v>39</v>
      </c>
      <c r="R2712" s="23" t="s">
        <v>4395</v>
      </c>
      <c r="S2712" s="33">
        <v>0.2</v>
      </c>
      <c r="T2712" s="13">
        <v>283.92</v>
      </c>
      <c r="U2712" s="13">
        <v>-46.137</v>
      </c>
      <c r="V2712" s="55">
        <f>Table3[[#This Row],[Profit]]/Table3[[#This Row],[Sales]]</f>
        <v>-0.16250000000000001</v>
      </c>
    </row>
    <row r="2713" spans="1:22" x14ac:dyDescent="0.2">
      <c r="A2713">
        <v>2712</v>
      </c>
      <c r="B2713" t="s">
        <v>5307</v>
      </c>
      <c r="C2713" s="1">
        <v>43059</v>
      </c>
      <c r="D2713" s="22">
        <f>MONTH(Table3[[#This Row],[Order Date]])</f>
        <v>11</v>
      </c>
      <c r="E2713" t="s">
        <v>776</v>
      </c>
      <c r="F2713" t="s">
        <v>777</v>
      </c>
      <c r="G2713" s="23" t="s">
        <v>41</v>
      </c>
      <c r="H2713" s="23" t="s">
        <v>61</v>
      </c>
      <c r="I2713" t="s">
        <v>5155</v>
      </c>
      <c r="J2713" t="s">
        <v>22</v>
      </c>
      <c r="K2713" s="22">
        <v>10</v>
      </c>
      <c r="L2713" s="1">
        <v>43066</v>
      </c>
      <c r="M2713" s="22">
        <f>Table3[[#This Row],[Ship Date]]-Table3[[#This Row],[Order Date]]</f>
        <v>7</v>
      </c>
      <c r="N2713" s="23" t="s">
        <v>45</v>
      </c>
      <c r="O2713" s="23" t="s">
        <v>23</v>
      </c>
      <c r="P2713" s="23" t="s">
        <v>204</v>
      </c>
      <c r="Q2713" s="23" t="s">
        <v>95</v>
      </c>
      <c r="R2713" s="23" t="s">
        <v>823</v>
      </c>
      <c r="S2713" s="33">
        <v>0</v>
      </c>
      <c r="T2713" s="13">
        <v>22</v>
      </c>
      <c r="U2713" s="13">
        <v>9.68</v>
      </c>
      <c r="V2713" s="55">
        <f>Table3[[#This Row],[Profit]]/Table3[[#This Row],[Sales]]</f>
        <v>0.44</v>
      </c>
    </row>
    <row r="2714" spans="1:22" x14ac:dyDescent="0.2">
      <c r="A2714">
        <v>2713</v>
      </c>
      <c r="B2714" t="s">
        <v>6728</v>
      </c>
      <c r="C2714" s="1">
        <v>43059</v>
      </c>
      <c r="D2714" s="22">
        <f>MONTH(Table3[[#This Row],[Order Date]])</f>
        <v>11</v>
      </c>
      <c r="E2714" t="s">
        <v>2244</v>
      </c>
      <c r="F2714" t="s">
        <v>2245</v>
      </c>
      <c r="G2714" s="23" t="s">
        <v>41</v>
      </c>
      <c r="H2714" s="23" t="s">
        <v>82</v>
      </c>
      <c r="I2714" t="s">
        <v>2203</v>
      </c>
      <c r="J2714" t="s">
        <v>22</v>
      </c>
      <c r="K2714" s="22">
        <v>7</v>
      </c>
      <c r="L2714" s="1">
        <v>43061</v>
      </c>
      <c r="M2714" s="22">
        <f>Table3[[#This Row],[Ship Date]]-Table3[[#This Row],[Order Date]]</f>
        <v>2</v>
      </c>
      <c r="N2714" s="23" t="s">
        <v>169</v>
      </c>
      <c r="O2714" s="23" t="s">
        <v>23</v>
      </c>
      <c r="P2714" s="23" t="s">
        <v>238</v>
      </c>
      <c r="Q2714" s="23" t="s">
        <v>133</v>
      </c>
      <c r="R2714" s="23" t="s">
        <v>237</v>
      </c>
      <c r="S2714" s="33">
        <v>0</v>
      </c>
      <c r="T2714" s="13">
        <v>46.76</v>
      </c>
      <c r="U2714" s="13">
        <v>22.444800000000001</v>
      </c>
      <c r="V2714" s="55">
        <f>Table3[[#This Row],[Profit]]/Table3[[#This Row],[Sales]]</f>
        <v>0.48000000000000004</v>
      </c>
    </row>
    <row r="2715" spans="1:22" x14ac:dyDescent="0.2">
      <c r="A2715">
        <v>2714</v>
      </c>
      <c r="B2715" t="s">
        <v>6728</v>
      </c>
      <c r="C2715" s="1">
        <v>43059</v>
      </c>
      <c r="D2715" s="22">
        <f>MONTH(Table3[[#This Row],[Order Date]])</f>
        <v>11</v>
      </c>
      <c r="E2715" t="s">
        <v>3953</v>
      </c>
      <c r="F2715" t="s">
        <v>3954</v>
      </c>
      <c r="G2715" s="23" t="s">
        <v>28</v>
      </c>
      <c r="H2715" s="23" t="s">
        <v>29</v>
      </c>
      <c r="I2715" t="s">
        <v>2203</v>
      </c>
      <c r="J2715" t="s">
        <v>22</v>
      </c>
      <c r="K2715" s="22">
        <v>2</v>
      </c>
      <c r="L2715" s="1">
        <v>43061</v>
      </c>
      <c r="M2715" s="22">
        <f>Table3[[#This Row],[Ship Date]]-Table3[[#This Row],[Order Date]]</f>
        <v>2</v>
      </c>
      <c r="N2715" s="23" t="s">
        <v>169</v>
      </c>
      <c r="O2715" s="23" t="s">
        <v>23</v>
      </c>
      <c r="P2715" s="23" t="s">
        <v>238</v>
      </c>
      <c r="Q2715" s="23" t="s">
        <v>133</v>
      </c>
      <c r="R2715" s="23" t="s">
        <v>237</v>
      </c>
      <c r="S2715" s="33">
        <v>0.2</v>
      </c>
      <c r="T2715" s="13">
        <v>183.96799999999999</v>
      </c>
      <c r="U2715" s="13">
        <v>-25.2956</v>
      </c>
      <c r="V2715" s="55">
        <f>Table3[[#This Row],[Profit]]/Table3[[#This Row],[Sales]]</f>
        <v>-0.13750000000000001</v>
      </c>
    </row>
    <row r="2716" spans="1:22" x14ac:dyDescent="0.2">
      <c r="A2716">
        <v>2715</v>
      </c>
      <c r="B2716" t="s">
        <v>6728</v>
      </c>
      <c r="C2716" s="1">
        <v>43059</v>
      </c>
      <c r="D2716" s="22">
        <f>MONTH(Table3[[#This Row],[Order Date]])</f>
        <v>11</v>
      </c>
      <c r="E2716" t="s">
        <v>5480</v>
      </c>
      <c r="F2716" t="s">
        <v>5481</v>
      </c>
      <c r="G2716" s="23" t="s">
        <v>64</v>
      </c>
      <c r="H2716" s="23" t="s">
        <v>65</v>
      </c>
      <c r="I2716" t="s">
        <v>2203</v>
      </c>
      <c r="J2716" t="s">
        <v>22</v>
      </c>
      <c r="K2716" s="22">
        <v>3</v>
      </c>
      <c r="L2716" s="1">
        <v>43061</v>
      </c>
      <c r="M2716" s="22">
        <f>Table3[[#This Row],[Ship Date]]-Table3[[#This Row],[Order Date]]</f>
        <v>2</v>
      </c>
      <c r="N2716" s="23" t="s">
        <v>169</v>
      </c>
      <c r="O2716" s="23" t="s">
        <v>23</v>
      </c>
      <c r="P2716" s="23" t="s">
        <v>238</v>
      </c>
      <c r="Q2716" s="23" t="s">
        <v>133</v>
      </c>
      <c r="R2716" s="23" t="s">
        <v>237</v>
      </c>
      <c r="S2716" s="33">
        <v>0</v>
      </c>
      <c r="T2716" s="13">
        <v>1259.97</v>
      </c>
      <c r="U2716" s="13">
        <v>327.59219999999999</v>
      </c>
      <c r="V2716" s="55">
        <f>Table3[[#This Row],[Profit]]/Table3[[#This Row],[Sales]]</f>
        <v>0.26</v>
      </c>
    </row>
    <row r="2717" spans="1:22" x14ac:dyDescent="0.2">
      <c r="A2717">
        <v>2716</v>
      </c>
      <c r="B2717" t="s">
        <v>6728</v>
      </c>
      <c r="C2717" s="1">
        <v>43059</v>
      </c>
      <c r="D2717" s="22">
        <f>MONTH(Table3[[#This Row],[Order Date]])</f>
        <v>11</v>
      </c>
      <c r="E2717" t="s">
        <v>4431</v>
      </c>
      <c r="F2717" t="s">
        <v>4432</v>
      </c>
      <c r="G2717" s="23" t="s">
        <v>41</v>
      </c>
      <c r="H2717" s="23" t="s">
        <v>61</v>
      </c>
      <c r="I2717" t="s">
        <v>2203</v>
      </c>
      <c r="J2717" t="s">
        <v>22</v>
      </c>
      <c r="K2717" s="22">
        <v>3</v>
      </c>
      <c r="L2717" s="1">
        <v>43061</v>
      </c>
      <c r="M2717" s="22">
        <f>Table3[[#This Row],[Ship Date]]-Table3[[#This Row],[Order Date]]</f>
        <v>2</v>
      </c>
      <c r="N2717" s="23" t="s">
        <v>169</v>
      </c>
      <c r="O2717" s="23" t="s">
        <v>23</v>
      </c>
      <c r="P2717" s="23" t="s">
        <v>238</v>
      </c>
      <c r="Q2717" s="23" t="s">
        <v>133</v>
      </c>
      <c r="R2717" s="23" t="s">
        <v>237</v>
      </c>
      <c r="S2717" s="33">
        <v>0</v>
      </c>
      <c r="T2717" s="13">
        <v>68.97</v>
      </c>
      <c r="U2717" s="13">
        <v>19.311599999999999</v>
      </c>
      <c r="V2717" s="55">
        <f>Table3[[#This Row],[Profit]]/Table3[[#This Row],[Sales]]</f>
        <v>0.27999999999999997</v>
      </c>
    </row>
    <row r="2718" spans="1:22" x14ac:dyDescent="0.2">
      <c r="A2718">
        <v>2717</v>
      </c>
      <c r="B2718" t="s">
        <v>6995</v>
      </c>
      <c r="C2718" s="1">
        <v>43059</v>
      </c>
      <c r="D2718" s="22">
        <f>MONTH(Table3[[#This Row],[Order Date]])</f>
        <v>11</v>
      </c>
      <c r="E2718" t="s">
        <v>1847</v>
      </c>
      <c r="F2718" t="s">
        <v>1848</v>
      </c>
      <c r="G2718" s="23" t="s">
        <v>28</v>
      </c>
      <c r="H2718" s="23" t="s">
        <v>32</v>
      </c>
      <c r="I2718" t="s">
        <v>2192</v>
      </c>
      <c r="J2718" t="s">
        <v>22</v>
      </c>
      <c r="K2718" s="22">
        <v>2</v>
      </c>
      <c r="L2718" s="1">
        <v>43063</v>
      </c>
      <c r="M2718" s="22">
        <f>Table3[[#This Row],[Ship Date]]-Table3[[#This Row],[Order Date]]</f>
        <v>4</v>
      </c>
      <c r="N2718" s="23" t="s">
        <v>45</v>
      </c>
      <c r="O2718" s="23" t="s">
        <v>23</v>
      </c>
      <c r="P2718" s="23" t="s">
        <v>299</v>
      </c>
      <c r="Q2718" s="23" t="s">
        <v>26</v>
      </c>
      <c r="R2718" s="23" t="s">
        <v>293</v>
      </c>
      <c r="S2718" s="33">
        <v>0.2</v>
      </c>
      <c r="T2718" s="13">
        <v>209.56800000000001</v>
      </c>
      <c r="U2718" s="13">
        <v>-23.5764</v>
      </c>
      <c r="V2718" s="55">
        <f>Table3[[#This Row],[Profit]]/Table3[[#This Row],[Sales]]</f>
        <v>-0.11249999999999999</v>
      </c>
    </row>
    <row r="2719" spans="1:22" x14ac:dyDescent="0.2">
      <c r="A2719">
        <v>2718</v>
      </c>
      <c r="B2719" t="s">
        <v>7064</v>
      </c>
      <c r="C2719" s="1">
        <v>43059</v>
      </c>
      <c r="D2719" s="22">
        <f>MONTH(Table3[[#This Row],[Order Date]])</f>
        <v>11</v>
      </c>
      <c r="E2719" t="s">
        <v>379</v>
      </c>
      <c r="F2719" t="s">
        <v>380</v>
      </c>
      <c r="G2719" s="23" t="s">
        <v>28</v>
      </c>
      <c r="H2719" s="23" t="s">
        <v>58</v>
      </c>
      <c r="I2719" t="s">
        <v>2465</v>
      </c>
      <c r="J2719" t="s">
        <v>92</v>
      </c>
      <c r="K2719" s="22">
        <v>2</v>
      </c>
      <c r="L2719" s="1">
        <v>43064</v>
      </c>
      <c r="M2719" s="22">
        <f>Table3[[#This Row],[Ship Date]]-Table3[[#This Row],[Order Date]]</f>
        <v>5</v>
      </c>
      <c r="N2719" s="23" t="s">
        <v>45</v>
      </c>
      <c r="O2719" s="23" t="s">
        <v>23</v>
      </c>
      <c r="P2719" s="23" t="s">
        <v>25</v>
      </c>
      <c r="Q2719" s="23" t="s">
        <v>26</v>
      </c>
      <c r="R2719" s="23" t="s">
        <v>24</v>
      </c>
      <c r="S2719" s="33">
        <v>0</v>
      </c>
      <c r="T2719" s="13">
        <v>27.58</v>
      </c>
      <c r="U2719" s="13">
        <v>11.583600000000001</v>
      </c>
      <c r="V2719" s="55">
        <f>Table3[[#This Row],[Profit]]/Table3[[#This Row],[Sales]]</f>
        <v>0.42000000000000004</v>
      </c>
    </row>
    <row r="2720" spans="1:22" x14ac:dyDescent="0.2">
      <c r="A2720">
        <v>2719</v>
      </c>
      <c r="B2720" t="s">
        <v>8966</v>
      </c>
      <c r="C2720" s="1">
        <v>43059</v>
      </c>
      <c r="D2720" s="22">
        <f>MONTH(Table3[[#This Row],[Order Date]])</f>
        <v>11</v>
      </c>
      <c r="E2720" t="s">
        <v>5304</v>
      </c>
      <c r="F2720" t="s">
        <v>5305</v>
      </c>
      <c r="G2720" s="23" t="s">
        <v>64</v>
      </c>
      <c r="H2720" s="23" t="s">
        <v>144</v>
      </c>
      <c r="I2720" t="s">
        <v>4080</v>
      </c>
      <c r="J2720" t="s">
        <v>36</v>
      </c>
      <c r="K2720" s="22">
        <v>3</v>
      </c>
      <c r="L2720" s="1">
        <v>43063</v>
      </c>
      <c r="M2720" s="22">
        <f>Table3[[#This Row],[Ship Date]]-Table3[[#This Row],[Order Date]]</f>
        <v>4</v>
      </c>
      <c r="N2720" s="23" t="s">
        <v>20</v>
      </c>
      <c r="O2720" s="23" t="s">
        <v>23</v>
      </c>
      <c r="P2720" s="23" t="s">
        <v>238</v>
      </c>
      <c r="Q2720" s="23" t="s">
        <v>133</v>
      </c>
      <c r="R2720" s="23" t="s">
        <v>237</v>
      </c>
      <c r="S2720" s="33">
        <v>0</v>
      </c>
      <c r="T2720" s="13">
        <v>2.97</v>
      </c>
      <c r="U2720" s="13">
        <v>1.3365</v>
      </c>
      <c r="V2720" s="55">
        <f>Table3[[#This Row],[Profit]]/Table3[[#This Row],[Sales]]</f>
        <v>0.44999999999999996</v>
      </c>
    </row>
    <row r="2721" spans="1:22" x14ac:dyDescent="0.2">
      <c r="A2721">
        <v>2720</v>
      </c>
      <c r="B2721" t="s">
        <v>8966</v>
      </c>
      <c r="C2721" s="1">
        <v>43059</v>
      </c>
      <c r="D2721" s="22">
        <f>MONTH(Table3[[#This Row],[Order Date]])</f>
        <v>11</v>
      </c>
      <c r="E2721" t="s">
        <v>1484</v>
      </c>
      <c r="F2721" t="s">
        <v>1485</v>
      </c>
      <c r="G2721" s="23" t="s">
        <v>64</v>
      </c>
      <c r="H2721" s="23" t="s">
        <v>65</v>
      </c>
      <c r="I2721" t="s">
        <v>4080</v>
      </c>
      <c r="J2721" t="s">
        <v>36</v>
      </c>
      <c r="K2721" s="22">
        <v>1</v>
      </c>
      <c r="L2721" s="1">
        <v>43063</v>
      </c>
      <c r="M2721" s="22">
        <f>Table3[[#This Row],[Ship Date]]-Table3[[#This Row],[Order Date]]</f>
        <v>4</v>
      </c>
      <c r="N2721" s="23" t="s">
        <v>20</v>
      </c>
      <c r="O2721" s="23" t="s">
        <v>23</v>
      </c>
      <c r="P2721" s="23" t="s">
        <v>238</v>
      </c>
      <c r="Q2721" s="23" t="s">
        <v>133</v>
      </c>
      <c r="R2721" s="23" t="s">
        <v>237</v>
      </c>
      <c r="S2721" s="33">
        <v>0</v>
      </c>
      <c r="T2721" s="13">
        <v>569.99</v>
      </c>
      <c r="U2721" s="13">
        <v>170.99700000000001</v>
      </c>
      <c r="V2721" s="55">
        <f>Table3[[#This Row],[Profit]]/Table3[[#This Row],[Sales]]</f>
        <v>0.30000000000000004</v>
      </c>
    </row>
    <row r="2722" spans="1:22" x14ac:dyDescent="0.2">
      <c r="A2722">
        <v>2721</v>
      </c>
      <c r="B2722" t="s">
        <v>8966</v>
      </c>
      <c r="C2722" s="1">
        <v>43059</v>
      </c>
      <c r="D2722" s="22">
        <f>MONTH(Table3[[#This Row],[Order Date]])</f>
        <v>11</v>
      </c>
      <c r="E2722" t="s">
        <v>8248</v>
      </c>
      <c r="F2722" t="s">
        <v>8249</v>
      </c>
      <c r="G2722" s="23" t="s">
        <v>28</v>
      </c>
      <c r="H2722" s="23" t="s">
        <v>58</v>
      </c>
      <c r="I2722" t="s">
        <v>4080</v>
      </c>
      <c r="J2722" t="s">
        <v>36</v>
      </c>
      <c r="K2722" s="22">
        <v>3</v>
      </c>
      <c r="L2722" s="1">
        <v>43063</v>
      </c>
      <c r="M2722" s="22">
        <f>Table3[[#This Row],[Ship Date]]-Table3[[#This Row],[Order Date]]</f>
        <v>4</v>
      </c>
      <c r="N2722" s="23" t="s">
        <v>20</v>
      </c>
      <c r="O2722" s="23" t="s">
        <v>23</v>
      </c>
      <c r="P2722" s="23" t="s">
        <v>238</v>
      </c>
      <c r="Q2722" s="23" t="s">
        <v>133</v>
      </c>
      <c r="R2722" s="23" t="s">
        <v>237</v>
      </c>
      <c r="S2722" s="33">
        <v>0</v>
      </c>
      <c r="T2722" s="13">
        <v>50.97</v>
      </c>
      <c r="U2722" s="13">
        <v>9.1745999999999999</v>
      </c>
      <c r="V2722" s="55">
        <f>Table3[[#This Row],[Profit]]/Table3[[#This Row],[Sales]]</f>
        <v>0.18</v>
      </c>
    </row>
    <row r="2723" spans="1:22" x14ac:dyDescent="0.2">
      <c r="A2723">
        <v>2722</v>
      </c>
      <c r="B2723" t="s">
        <v>4133</v>
      </c>
      <c r="C2723" s="1">
        <v>43060</v>
      </c>
      <c r="D2723" s="22">
        <f>MONTH(Table3[[#This Row],[Order Date]])</f>
        <v>11</v>
      </c>
      <c r="E2723" t="s">
        <v>4136</v>
      </c>
      <c r="F2723" t="s">
        <v>4137</v>
      </c>
      <c r="G2723" s="23" t="s">
        <v>28</v>
      </c>
      <c r="H2723" s="23" t="s">
        <v>50</v>
      </c>
      <c r="I2723" t="s">
        <v>4134</v>
      </c>
      <c r="J2723" t="s">
        <v>22</v>
      </c>
      <c r="K2723" s="22">
        <v>1</v>
      </c>
      <c r="L2723" s="1">
        <v>43064</v>
      </c>
      <c r="M2723" s="22">
        <f>Table3[[#This Row],[Ship Date]]-Table3[[#This Row],[Order Date]]</f>
        <v>4</v>
      </c>
      <c r="N2723" s="23" t="s">
        <v>45</v>
      </c>
      <c r="O2723" s="23" t="s">
        <v>23</v>
      </c>
      <c r="P2723" s="23" t="s">
        <v>87</v>
      </c>
      <c r="Q2723" s="23" t="s">
        <v>39</v>
      </c>
      <c r="R2723" s="23" t="s">
        <v>4135</v>
      </c>
      <c r="S2723" s="33">
        <v>0</v>
      </c>
      <c r="T2723" s="13">
        <v>70.98</v>
      </c>
      <c r="U2723" s="13">
        <v>20.584199999999999</v>
      </c>
      <c r="V2723" s="55">
        <f>Table3[[#This Row],[Profit]]/Table3[[#This Row],[Sales]]</f>
        <v>0.28999999999999998</v>
      </c>
    </row>
    <row r="2724" spans="1:22" x14ac:dyDescent="0.2">
      <c r="A2724">
        <v>2723</v>
      </c>
      <c r="B2724" t="s">
        <v>4582</v>
      </c>
      <c r="C2724" s="1">
        <v>43060</v>
      </c>
      <c r="D2724" s="22">
        <f>MONTH(Table3[[#This Row],[Order Date]])</f>
        <v>11</v>
      </c>
      <c r="E2724" t="s">
        <v>3098</v>
      </c>
      <c r="F2724" t="s">
        <v>3099</v>
      </c>
      <c r="G2724" s="23" t="s">
        <v>28</v>
      </c>
      <c r="H2724" s="23" t="s">
        <v>58</v>
      </c>
      <c r="I2724" t="s">
        <v>2548</v>
      </c>
      <c r="J2724" t="s">
        <v>22</v>
      </c>
      <c r="K2724" s="22">
        <v>1</v>
      </c>
      <c r="L2724" s="1">
        <v>43064</v>
      </c>
      <c r="M2724" s="22">
        <f>Table3[[#This Row],[Ship Date]]-Table3[[#This Row],[Order Date]]</f>
        <v>4</v>
      </c>
      <c r="N2724" s="23" t="s">
        <v>45</v>
      </c>
      <c r="O2724" s="23" t="s">
        <v>23</v>
      </c>
      <c r="P2724" s="23" t="s">
        <v>238</v>
      </c>
      <c r="Q2724" s="23" t="s">
        <v>133</v>
      </c>
      <c r="R2724" s="23" t="s">
        <v>237</v>
      </c>
      <c r="S2724" s="33">
        <v>0</v>
      </c>
      <c r="T2724" s="13">
        <v>27.42</v>
      </c>
      <c r="U2724" s="13">
        <v>11.2422</v>
      </c>
      <c r="V2724" s="55">
        <f>Table3[[#This Row],[Profit]]/Table3[[#This Row],[Sales]]</f>
        <v>0.41</v>
      </c>
    </row>
    <row r="2725" spans="1:22" x14ac:dyDescent="0.2">
      <c r="A2725">
        <v>2724</v>
      </c>
      <c r="B2725" t="s">
        <v>4632</v>
      </c>
      <c r="C2725" s="1">
        <v>43060</v>
      </c>
      <c r="D2725" s="22">
        <f>MONTH(Table3[[#This Row],[Order Date]])</f>
        <v>11</v>
      </c>
      <c r="E2725" t="s">
        <v>354</v>
      </c>
      <c r="F2725" t="s">
        <v>355</v>
      </c>
      <c r="G2725" s="23" t="s">
        <v>41</v>
      </c>
      <c r="H2725" s="23" t="s">
        <v>53</v>
      </c>
      <c r="I2725" t="s">
        <v>4633</v>
      </c>
      <c r="J2725" t="s">
        <v>92</v>
      </c>
      <c r="K2725" s="22">
        <v>2</v>
      </c>
      <c r="L2725" s="1">
        <v>43064</v>
      </c>
      <c r="M2725" s="22">
        <f>Table3[[#This Row],[Ship Date]]-Table3[[#This Row],[Order Date]]</f>
        <v>4</v>
      </c>
      <c r="N2725" s="23" t="s">
        <v>45</v>
      </c>
      <c r="O2725" s="23" t="s">
        <v>23</v>
      </c>
      <c r="P2725" s="23" t="s">
        <v>38</v>
      </c>
      <c r="Q2725" s="23" t="s">
        <v>39</v>
      </c>
      <c r="R2725" s="23" t="s">
        <v>533</v>
      </c>
      <c r="S2725" s="33">
        <v>0</v>
      </c>
      <c r="T2725" s="13">
        <v>56.56</v>
      </c>
      <c r="U2725" s="13">
        <v>15.2712</v>
      </c>
      <c r="V2725" s="55">
        <f>Table3[[#This Row],[Profit]]/Table3[[#This Row],[Sales]]</f>
        <v>0.27</v>
      </c>
    </row>
    <row r="2726" spans="1:22" x14ac:dyDescent="0.2">
      <c r="A2726">
        <v>2725</v>
      </c>
      <c r="B2726" t="s">
        <v>4632</v>
      </c>
      <c r="C2726" s="1">
        <v>43060</v>
      </c>
      <c r="D2726" s="22">
        <f>MONTH(Table3[[#This Row],[Order Date]])</f>
        <v>11</v>
      </c>
      <c r="E2726" t="s">
        <v>1540</v>
      </c>
      <c r="F2726" t="s">
        <v>1541</v>
      </c>
      <c r="G2726" s="23" t="s">
        <v>41</v>
      </c>
      <c r="H2726" s="23" t="s">
        <v>61</v>
      </c>
      <c r="I2726" t="s">
        <v>4633</v>
      </c>
      <c r="J2726" t="s">
        <v>92</v>
      </c>
      <c r="K2726" s="22">
        <v>2</v>
      </c>
      <c r="L2726" s="1">
        <v>43064</v>
      </c>
      <c r="M2726" s="22">
        <f>Table3[[#This Row],[Ship Date]]-Table3[[#This Row],[Order Date]]</f>
        <v>4</v>
      </c>
      <c r="N2726" s="23" t="s">
        <v>45</v>
      </c>
      <c r="O2726" s="23" t="s">
        <v>23</v>
      </c>
      <c r="P2726" s="23" t="s">
        <v>38</v>
      </c>
      <c r="Q2726" s="23" t="s">
        <v>39</v>
      </c>
      <c r="R2726" s="23" t="s">
        <v>533</v>
      </c>
      <c r="S2726" s="33">
        <v>0</v>
      </c>
      <c r="T2726" s="13">
        <v>5.56</v>
      </c>
      <c r="U2726" s="13">
        <v>1.4456</v>
      </c>
      <c r="V2726" s="55">
        <f>Table3[[#This Row],[Profit]]/Table3[[#This Row],[Sales]]</f>
        <v>0.26</v>
      </c>
    </row>
    <row r="2727" spans="1:22" x14ac:dyDescent="0.2">
      <c r="A2727">
        <v>2726</v>
      </c>
      <c r="B2727" t="s">
        <v>4632</v>
      </c>
      <c r="C2727" s="1">
        <v>43060</v>
      </c>
      <c r="D2727" s="22">
        <f>MONTH(Table3[[#This Row],[Order Date]])</f>
        <v>11</v>
      </c>
      <c r="E2727" t="s">
        <v>1663</v>
      </c>
      <c r="F2727" t="s">
        <v>1664</v>
      </c>
      <c r="G2727" s="23" t="s">
        <v>41</v>
      </c>
      <c r="H2727" s="23" t="s">
        <v>240</v>
      </c>
      <c r="I2727" t="s">
        <v>4633</v>
      </c>
      <c r="J2727" t="s">
        <v>92</v>
      </c>
      <c r="K2727" s="22">
        <v>2</v>
      </c>
      <c r="L2727" s="1">
        <v>43064</v>
      </c>
      <c r="M2727" s="22">
        <f>Table3[[#This Row],[Ship Date]]-Table3[[#This Row],[Order Date]]</f>
        <v>4</v>
      </c>
      <c r="N2727" s="23" t="s">
        <v>45</v>
      </c>
      <c r="O2727" s="23" t="s">
        <v>23</v>
      </c>
      <c r="P2727" s="23" t="s">
        <v>38</v>
      </c>
      <c r="Q2727" s="23" t="s">
        <v>39</v>
      </c>
      <c r="R2727" s="23" t="s">
        <v>533</v>
      </c>
      <c r="S2727" s="33">
        <v>0</v>
      </c>
      <c r="T2727" s="13">
        <v>9.02</v>
      </c>
      <c r="U2727" s="13">
        <v>3.5177999999999998</v>
      </c>
      <c r="V2727" s="55">
        <f>Table3[[#This Row],[Profit]]/Table3[[#This Row],[Sales]]</f>
        <v>0.39</v>
      </c>
    </row>
    <row r="2728" spans="1:22" x14ac:dyDescent="0.2">
      <c r="A2728">
        <v>2727</v>
      </c>
      <c r="B2728" t="s">
        <v>4632</v>
      </c>
      <c r="C2728" s="1">
        <v>43060</v>
      </c>
      <c r="D2728" s="22">
        <f>MONTH(Table3[[#This Row],[Order Date]])</f>
        <v>11</v>
      </c>
      <c r="E2728" t="s">
        <v>127</v>
      </c>
      <c r="F2728" t="s">
        <v>128</v>
      </c>
      <c r="G2728" s="23" t="s">
        <v>41</v>
      </c>
      <c r="H2728" s="23" t="s">
        <v>71</v>
      </c>
      <c r="I2728" t="s">
        <v>4633</v>
      </c>
      <c r="J2728" t="s">
        <v>92</v>
      </c>
      <c r="K2728" s="22">
        <v>1</v>
      </c>
      <c r="L2728" s="1">
        <v>43064</v>
      </c>
      <c r="M2728" s="22">
        <f>Table3[[#This Row],[Ship Date]]-Table3[[#This Row],[Order Date]]</f>
        <v>4</v>
      </c>
      <c r="N2728" s="23" t="s">
        <v>45</v>
      </c>
      <c r="O2728" s="23" t="s">
        <v>23</v>
      </c>
      <c r="P2728" s="23" t="s">
        <v>38</v>
      </c>
      <c r="Q2728" s="23" t="s">
        <v>39</v>
      </c>
      <c r="R2728" s="23" t="s">
        <v>533</v>
      </c>
      <c r="S2728" s="33">
        <v>0</v>
      </c>
      <c r="T2728" s="13">
        <v>8.6199999999999992</v>
      </c>
      <c r="U2728" s="13">
        <v>2.2412000000000001</v>
      </c>
      <c r="V2728" s="55">
        <f>Table3[[#This Row],[Profit]]/Table3[[#This Row],[Sales]]</f>
        <v>0.26</v>
      </c>
    </row>
    <row r="2729" spans="1:22" x14ac:dyDescent="0.2">
      <c r="A2729">
        <v>2728</v>
      </c>
      <c r="B2729" t="s">
        <v>4632</v>
      </c>
      <c r="C2729" s="1">
        <v>43060</v>
      </c>
      <c r="D2729" s="22">
        <f>MONTH(Table3[[#This Row],[Order Date]])</f>
        <v>11</v>
      </c>
      <c r="E2729" t="s">
        <v>3092</v>
      </c>
      <c r="F2729" t="s">
        <v>3093</v>
      </c>
      <c r="G2729" s="23" t="s">
        <v>64</v>
      </c>
      <c r="H2729" s="23" t="s">
        <v>65</v>
      </c>
      <c r="I2729" t="s">
        <v>4633</v>
      </c>
      <c r="J2729" t="s">
        <v>92</v>
      </c>
      <c r="K2729" s="22">
        <v>3</v>
      </c>
      <c r="L2729" s="1">
        <v>43064</v>
      </c>
      <c r="M2729" s="22">
        <f>Table3[[#This Row],[Ship Date]]-Table3[[#This Row],[Order Date]]</f>
        <v>4</v>
      </c>
      <c r="N2729" s="23" t="s">
        <v>45</v>
      </c>
      <c r="O2729" s="23" t="s">
        <v>23</v>
      </c>
      <c r="P2729" s="23" t="s">
        <v>38</v>
      </c>
      <c r="Q2729" s="23" t="s">
        <v>39</v>
      </c>
      <c r="R2729" s="23" t="s">
        <v>533</v>
      </c>
      <c r="S2729" s="33">
        <v>0.2</v>
      </c>
      <c r="T2729" s="13">
        <v>659.976</v>
      </c>
      <c r="U2729" s="13">
        <v>49.498199999999997</v>
      </c>
      <c r="V2729" s="55">
        <f>Table3[[#This Row],[Profit]]/Table3[[#This Row],[Sales]]</f>
        <v>7.4999999999999997E-2</v>
      </c>
    </row>
    <row r="2730" spans="1:22" x14ac:dyDescent="0.2">
      <c r="A2730">
        <v>2729</v>
      </c>
      <c r="B2730" t="s">
        <v>6425</v>
      </c>
      <c r="C2730" s="1">
        <v>43060</v>
      </c>
      <c r="D2730" s="22">
        <f>MONTH(Table3[[#This Row],[Order Date]])</f>
        <v>11</v>
      </c>
      <c r="E2730" t="s">
        <v>1790</v>
      </c>
      <c r="F2730" t="s">
        <v>1791</v>
      </c>
      <c r="G2730" s="23" t="s">
        <v>41</v>
      </c>
      <c r="H2730" s="23" t="s">
        <v>82</v>
      </c>
      <c r="I2730" t="s">
        <v>5763</v>
      </c>
      <c r="J2730" t="s">
        <v>22</v>
      </c>
      <c r="K2730" s="22">
        <v>2</v>
      </c>
      <c r="L2730" s="1">
        <v>43063</v>
      </c>
      <c r="M2730" s="22">
        <f>Table3[[#This Row],[Ship Date]]-Table3[[#This Row],[Order Date]]</f>
        <v>3</v>
      </c>
      <c r="N2730" s="23" t="s">
        <v>169</v>
      </c>
      <c r="O2730" s="23" t="s">
        <v>23</v>
      </c>
      <c r="P2730" s="23" t="s">
        <v>132</v>
      </c>
      <c r="Q2730" s="23" t="s">
        <v>133</v>
      </c>
      <c r="R2730" s="23" t="s">
        <v>131</v>
      </c>
      <c r="S2730" s="33">
        <v>0.2</v>
      </c>
      <c r="T2730" s="13">
        <v>8.4480000000000004</v>
      </c>
      <c r="U2730" s="13">
        <v>2.64</v>
      </c>
      <c r="V2730" s="55">
        <f>Table3[[#This Row],[Profit]]/Table3[[#This Row],[Sales]]</f>
        <v>0.3125</v>
      </c>
    </row>
    <row r="2731" spans="1:22" x14ac:dyDescent="0.2">
      <c r="A2731">
        <v>2730</v>
      </c>
      <c r="B2731" t="s">
        <v>6425</v>
      </c>
      <c r="C2731" s="1">
        <v>43060</v>
      </c>
      <c r="D2731" s="22">
        <f>MONTH(Table3[[#This Row],[Order Date]])</f>
        <v>11</v>
      </c>
      <c r="E2731" t="s">
        <v>1973</v>
      </c>
      <c r="F2731" t="s">
        <v>1974</v>
      </c>
      <c r="G2731" s="23" t="s">
        <v>41</v>
      </c>
      <c r="H2731" s="23" t="s">
        <v>53</v>
      </c>
      <c r="I2731" t="s">
        <v>5763</v>
      </c>
      <c r="J2731" t="s">
        <v>22</v>
      </c>
      <c r="K2731" s="22">
        <v>4</v>
      </c>
      <c r="L2731" s="1">
        <v>43063</v>
      </c>
      <c r="M2731" s="22">
        <f>Table3[[#This Row],[Ship Date]]-Table3[[#This Row],[Order Date]]</f>
        <v>3</v>
      </c>
      <c r="N2731" s="23" t="s">
        <v>169</v>
      </c>
      <c r="O2731" s="23" t="s">
        <v>23</v>
      </c>
      <c r="P2731" s="23" t="s">
        <v>132</v>
      </c>
      <c r="Q2731" s="23" t="s">
        <v>133</v>
      </c>
      <c r="R2731" s="23" t="s">
        <v>131</v>
      </c>
      <c r="S2731" s="33">
        <v>0.2</v>
      </c>
      <c r="T2731" s="13">
        <v>39.295999999999999</v>
      </c>
      <c r="U2731" s="13">
        <v>3.9296000000000002</v>
      </c>
      <c r="V2731" s="55">
        <f>Table3[[#This Row],[Profit]]/Table3[[#This Row],[Sales]]</f>
        <v>0.1</v>
      </c>
    </row>
    <row r="2732" spans="1:22" x14ac:dyDescent="0.2">
      <c r="A2732">
        <v>2731</v>
      </c>
      <c r="B2732" t="s">
        <v>7942</v>
      </c>
      <c r="C2732" s="1">
        <v>43060</v>
      </c>
      <c r="D2732" s="22">
        <f>MONTH(Table3[[#This Row],[Order Date]])</f>
        <v>11</v>
      </c>
      <c r="E2732" t="s">
        <v>1716</v>
      </c>
      <c r="F2732" t="s">
        <v>1717</v>
      </c>
      <c r="G2732" s="23" t="s">
        <v>41</v>
      </c>
      <c r="H2732" s="23" t="s">
        <v>61</v>
      </c>
      <c r="I2732" t="s">
        <v>4692</v>
      </c>
      <c r="J2732" t="s">
        <v>36</v>
      </c>
      <c r="K2732" s="22">
        <v>4</v>
      </c>
      <c r="L2732" s="1">
        <v>43064</v>
      </c>
      <c r="M2732" s="22">
        <f>Table3[[#This Row],[Ship Date]]-Table3[[#This Row],[Order Date]]</f>
        <v>4</v>
      </c>
      <c r="N2732" s="23" t="s">
        <v>45</v>
      </c>
      <c r="O2732" s="23" t="s">
        <v>23</v>
      </c>
      <c r="P2732" s="23" t="s">
        <v>38</v>
      </c>
      <c r="Q2732" s="23" t="s">
        <v>39</v>
      </c>
      <c r="R2732" s="23" t="s">
        <v>114</v>
      </c>
      <c r="S2732" s="33">
        <v>0</v>
      </c>
      <c r="T2732" s="13">
        <v>11.76</v>
      </c>
      <c r="U2732" s="13">
        <v>3.1751999999999998</v>
      </c>
      <c r="V2732" s="55">
        <f>Table3[[#This Row],[Profit]]/Table3[[#This Row],[Sales]]</f>
        <v>0.26999999999999996</v>
      </c>
    </row>
    <row r="2733" spans="1:22" x14ac:dyDescent="0.2">
      <c r="A2733">
        <v>2732</v>
      </c>
      <c r="B2733" t="s">
        <v>7942</v>
      </c>
      <c r="C2733" s="1">
        <v>43060</v>
      </c>
      <c r="D2733" s="22">
        <f>MONTH(Table3[[#This Row],[Order Date]])</f>
        <v>11</v>
      </c>
      <c r="E2733" t="s">
        <v>3407</v>
      </c>
      <c r="F2733" t="s">
        <v>3408</v>
      </c>
      <c r="G2733" s="23" t="s">
        <v>41</v>
      </c>
      <c r="H2733" s="23" t="s">
        <v>68</v>
      </c>
      <c r="I2733" t="s">
        <v>4692</v>
      </c>
      <c r="J2733" t="s">
        <v>36</v>
      </c>
      <c r="K2733" s="22">
        <v>2</v>
      </c>
      <c r="L2733" s="1">
        <v>43064</v>
      </c>
      <c r="M2733" s="22">
        <f>Table3[[#This Row],[Ship Date]]-Table3[[#This Row],[Order Date]]</f>
        <v>4</v>
      </c>
      <c r="N2733" s="23" t="s">
        <v>45</v>
      </c>
      <c r="O2733" s="23" t="s">
        <v>23</v>
      </c>
      <c r="P2733" s="23" t="s">
        <v>38</v>
      </c>
      <c r="Q2733" s="23" t="s">
        <v>39</v>
      </c>
      <c r="R2733" s="23" t="s">
        <v>114</v>
      </c>
      <c r="S2733" s="33">
        <v>0.2</v>
      </c>
      <c r="T2733" s="13">
        <v>40.735999999999997</v>
      </c>
      <c r="U2733" s="13">
        <v>14.7668</v>
      </c>
      <c r="V2733" s="55">
        <f>Table3[[#This Row],[Profit]]/Table3[[#This Row],[Sales]]</f>
        <v>0.36250000000000004</v>
      </c>
    </row>
    <row r="2734" spans="1:22" x14ac:dyDescent="0.2">
      <c r="A2734">
        <v>2733</v>
      </c>
      <c r="B2734" t="s">
        <v>8080</v>
      </c>
      <c r="C2734" s="1">
        <v>43060</v>
      </c>
      <c r="D2734" s="22">
        <f>MONTH(Table3[[#This Row],[Order Date]])</f>
        <v>11</v>
      </c>
      <c r="E2734" t="s">
        <v>1524</v>
      </c>
      <c r="F2734" t="s">
        <v>1525</v>
      </c>
      <c r="G2734" s="23" t="s">
        <v>41</v>
      </c>
      <c r="H2734" s="23" t="s">
        <v>68</v>
      </c>
      <c r="I2734" t="s">
        <v>1767</v>
      </c>
      <c r="J2734" t="s">
        <v>22</v>
      </c>
      <c r="K2734" s="22">
        <v>5</v>
      </c>
      <c r="L2734" s="1">
        <v>43064</v>
      </c>
      <c r="M2734" s="22">
        <f>Table3[[#This Row],[Ship Date]]-Table3[[#This Row],[Order Date]]</f>
        <v>4</v>
      </c>
      <c r="N2734" s="23" t="s">
        <v>45</v>
      </c>
      <c r="O2734" s="23" t="s">
        <v>23</v>
      </c>
      <c r="P2734" s="23" t="s">
        <v>87</v>
      </c>
      <c r="Q2734" s="23" t="s">
        <v>39</v>
      </c>
      <c r="R2734" s="23" t="s">
        <v>8081</v>
      </c>
      <c r="S2734" s="33">
        <v>0.2</v>
      </c>
      <c r="T2734" s="13">
        <v>150.80000000000001</v>
      </c>
      <c r="U2734" s="13">
        <v>56.55</v>
      </c>
      <c r="V2734" s="55">
        <f>Table3[[#This Row],[Profit]]/Table3[[#This Row],[Sales]]</f>
        <v>0.37499999999999994</v>
      </c>
    </row>
    <row r="2735" spans="1:22" x14ac:dyDescent="0.2">
      <c r="A2735">
        <v>2734</v>
      </c>
      <c r="B2735" t="s">
        <v>8080</v>
      </c>
      <c r="C2735" s="1">
        <v>43060</v>
      </c>
      <c r="D2735" s="22">
        <f>MONTH(Table3[[#This Row],[Order Date]])</f>
        <v>11</v>
      </c>
      <c r="E2735" t="s">
        <v>8082</v>
      </c>
      <c r="F2735" t="s">
        <v>8083</v>
      </c>
      <c r="G2735" s="23" t="s">
        <v>64</v>
      </c>
      <c r="H2735" s="23" t="s">
        <v>602</v>
      </c>
      <c r="I2735" t="s">
        <v>1767</v>
      </c>
      <c r="J2735" t="s">
        <v>22</v>
      </c>
      <c r="K2735" s="22">
        <v>1</v>
      </c>
      <c r="L2735" s="1">
        <v>43064</v>
      </c>
      <c r="M2735" s="22">
        <f>Table3[[#This Row],[Ship Date]]-Table3[[#This Row],[Order Date]]</f>
        <v>4</v>
      </c>
      <c r="N2735" s="23" t="s">
        <v>45</v>
      </c>
      <c r="O2735" s="23" t="s">
        <v>23</v>
      </c>
      <c r="P2735" s="23" t="s">
        <v>87</v>
      </c>
      <c r="Q2735" s="23" t="s">
        <v>39</v>
      </c>
      <c r="R2735" s="23" t="s">
        <v>8081</v>
      </c>
      <c r="S2735" s="33">
        <v>0.2</v>
      </c>
      <c r="T2735" s="13">
        <v>1039.992</v>
      </c>
      <c r="U2735" s="13">
        <v>103.9992</v>
      </c>
      <c r="V2735" s="55">
        <f>Table3[[#This Row],[Profit]]/Table3[[#This Row],[Sales]]</f>
        <v>0.1</v>
      </c>
    </row>
    <row r="2736" spans="1:22" x14ac:dyDescent="0.2">
      <c r="A2736">
        <v>2735</v>
      </c>
      <c r="B2736" t="s">
        <v>8080</v>
      </c>
      <c r="C2736" s="1">
        <v>43060</v>
      </c>
      <c r="D2736" s="22">
        <f>MONTH(Table3[[#This Row],[Order Date]])</f>
        <v>11</v>
      </c>
      <c r="E2736" t="s">
        <v>7259</v>
      </c>
      <c r="F2736" t="s">
        <v>7260</v>
      </c>
      <c r="G2736" s="23" t="s">
        <v>41</v>
      </c>
      <c r="H2736" s="23" t="s">
        <v>82</v>
      </c>
      <c r="I2736" t="s">
        <v>1767</v>
      </c>
      <c r="J2736" t="s">
        <v>22</v>
      </c>
      <c r="K2736" s="22">
        <v>8</v>
      </c>
      <c r="L2736" s="1">
        <v>43064</v>
      </c>
      <c r="M2736" s="22">
        <f>Table3[[#This Row],[Ship Date]]-Table3[[#This Row],[Order Date]]</f>
        <v>4</v>
      </c>
      <c r="N2736" s="23" t="s">
        <v>45</v>
      </c>
      <c r="O2736" s="23" t="s">
        <v>23</v>
      </c>
      <c r="P2736" s="23" t="s">
        <v>87</v>
      </c>
      <c r="Q2736" s="23" t="s">
        <v>39</v>
      </c>
      <c r="R2736" s="23" t="s">
        <v>8081</v>
      </c>
      <c r="S2736" s="33">
        <v>0</v>
      </c>
      <c r="T2736" s="13">
        <v>51.84</v>
      </c>
      <c r="U2736" s="13">
        <v>24.883199999999999</v>
      </c>
      <c r="V2736" s="55">
        <f>Table3[[#This Row],[Profit]]/Table3[[#This Row],[Sales]]</f>
        <v>0.47999999999999993</v>
      </c>
    </row>
    <row r="2737" spans="1:22" x14ac:dyDescent="0.2">
      <c r="A2737">
        <v>2736</v>
      </c>
      <c r="B2737" t="s">
        <v>9604</v>
      </c>
      <c r="C2737" s="1">
        <v>43060</v>
      </c>
      <c r="D2737" s="22">
        <f>MONTH(Table3[[#This Row],[Order Date]])</f>
        <v>11</v>
      </c>
      <c r="E2737" t="s">
        <v>1579</v>
      </c>
      <c r="F2737" t="s">
        <v>1580</v>
      </c>
      <c r="G2737" s="23" t="s">
        <v>64</v>
      </c>
      <c r="H2737" s="23" t="s">
        <v>65</v>
      </c>
      <c r="I2737" t="s">
        <v>3861</v>
      </c>
      <c r="J2737" t="s">
        <v>22</v>
      </c>
      <c r="K2737" s="22">
        <v>3</v>
      </c>
      <c r="L2737" s="1">
        <v>43060</v>
      </c>
      <c r="M2737" s="22">
        <f>Table3[[#This Row],[Ship Date]]-Table3[[#This Row],[Order Date]]</f>
        <v>0</v>
      </c>
      <c r="N2737" s="23" t="s">
        <v>1141</v>
      </c>
      <c r="O2737" s="23" t="s">
        <v>23</v>
      </c>
      <c r="P2737" s="23" t="s">
        <v>94</v>
      </c>
      <c r="Q2737" s="23" t="s">
        <v>95</v>
      </c>
      <c r="R2737" s="23" t="s">
        <v>165</v>
      </c>
      <c r="S2737" s="33">
        <v>0.2</v>
      </c>
      <c r="T2737" s="13">
        <v>55.176000000000002</v>
      </c>
      <c r="U2737" s="13">
        <v>-12.4146</v>
      </c>
      <c r="V2737" s="55">
        <f>Table3[[#This Row],[Profit]]/Table3[[#This Row],[Sales]]</f>
        <v>-0.22500000000000001</v>
      </c>
    </row>
    <row r="2738" spans="1:22" x14ac:dyDescent="0.2">
      <c r="A2738">
        <v>2737</v>
      </c>
      <c r="B2738" t="s">
        <v>6169</v>
      </c>
      <c r="C2738" s="1">
        <v>43061</v>
      </c>
      <c r="D2738" s="22">
        <f>MONTH(Table3[[#This Row],[Order Date]])</f>
        <v>11</v>
      </c>
      <c r="E2738" t="s">
        <v>1090</v>
      </c>
      <c r="F2738" t="s">
        <v>1091</v>
      </c>
      <c r="G2738" s="23" t="s">
        <v>41</v>
      </c>
      <c r="H2738" s="23" t="s">
        <v>61</v>
      </c>
      <c r="I2738" t="s">
        <v>2783</v>
      </c>
      <c r="J2738" t="s">
        <v>22</v>
      </c>
      <c r="K2738" s="22">
        <v>8</v>
      </c>
      <c r="L2738" s="1">
        <v>43065</v>
      </c>
      <c r="M2738" s="22">
        <f>Table3[[#This Row],[Ship Date]]-Table3[[#This Row],[Order Date]]</f>
        <v>4</v>
      </c>
      <c r="N2738" s="23" t="s">
        <v>45</v>
      </c>
      <c r="O2738" s="23" t="s">
        <v>23</v>
      </c>
      <c r="P2738" s="23" t="s">
        <v>94</v>
      </c>
      <c r="Q2738" s="23" t="s">
        <v>95</v>
      </c>
      <c r="R2738" s="23" t="s">
        <v>165</v>
      </c>
      <c r="S2738" s="33">
        <v>0.2</v>
      </c>
      <c r="T2738" s="13">
        <v>35.712000000000003</v>
      </c>
      <c r="U2738" s="13">
        <v>2.2320000000000002</v>
      </c>
      <c r="V2738" s="55">
        <f>Table3[[#This Row],[Profit]]/Table3[[#This Row],[Sales]]</f>
        <v>6.25E-2</v>
      </c>
    </row>
    <row r="2739" spans="1:22" x14ac:dyDescent="0.2">
      <c r="A2739">
        <v>2738</v>
      </c>
      <c r="B2739" t="s">
        <v>412</v>
      </c>
      <c r="C2739" s="1">
        <v>43062</v>
      </c>
      <c r="D2739" s="22">
        <f>MONTH(Table3[[#This Row],[Order Date]])</f>
        <v>11</v>
      </c>
      <c r="E2739" t="s">
        <v>415</v>
      </c>
      <c r="F2739" t="s">
        <v>416</v>
      </c>
      <c r="G2739" s="23" t="s">
        <v>64</v>
      </c>
      <c r="H2739" s="23" t="s">
        <v>144</v>
      </c>
      <c r="I2739" t="s">
        <v>413</v>
      </c>
      <c r="J2739" t="s">
        <v>22</v>
      </c>
      <c r="K2739" s="22">
        <v>8</v>
      </c>
      <c r="L2739" s="1">
        <v>43067</v>
      </c>
      <c r="M2739" s="22">
        <f>Table3[[#This Row],[Ship Date]]-Table3[[#This Row],[Order Date]]</f>
        <v>5</v>
      </c>
      <c r="N2739" s="23" t="s">
        <v>45</v>
      </c>
      <c r="O2739" s="23" t="s">
        <v>23</v>
      </c>
      <c r="P2739" s="23" t="s">
        <v>80</v>
      </c>
      <c r="Q2739" s="23" t="s">
        <v>26</v>
      </c>
      <c r="R2739" s="23" t="s">
        <v>414</v>
      </c>
      <c r="S2739" s="33">
        <v>0.2</v>
      </c>
      <c r="T2739" s="13">
        <v>74.111999999999995</v>
      </c>
      <c r="U2739" s="13">
        <v>17.601600000000001</v>
      </c>
      <c r="V2739" s="55">
        <f>Table3[[#This Row],[Profit]]/Table3[[#This Row],[Sales]]</f>
        <v>0.23750000000000004</v>
      </c>
    </row>
    <row r="2740" spans="1:22" x14ac:dyDescent="0.2">
      <c r="A2740">
        <v>2739</v>
      </c>
      <c r="B2740" t="s">
        <v>412</v>
      </c>
      <c r="C2740" s="1">
        <v>43062</v>
      </c>
      <c r="D2740" s="22">
        <f>MONTH(Table3[[#This Row],[Order Date]])</f>
        <v>11</v>
      </c>
      <c r="E2740" t="s">
        <v>417</v>
      </c>
      <c r="F2740" t="s">
        <v>418</v>
      </c>
      <c r="G2740" s="23" t="s">
        <v>64</v>
      </c>
      <c r="H2740" s="23" t="s">
        <v>65</v>
      </c>
      <c r="I2740" t="s">
        <v>413</v>
      </c>
      <c r="J2740" t="s">
        <v>22</v>
      </c>
      <c r="K2740" s="22">
        <v>1</v>
      </c>
      <c r="L2740" s="1">
        <v>43067</v>
      </c>
      <c r="M2740" s="22">
        <f>Table3[[#This Row],[Ship Date]]-Table3[[#This Row],[Order Date]]</f>
        <v>5</v>
      </c>
      <c r="N2740" s="23" t="s">
        <v>45</v>
      </c>
      <c r="O2740" s="23" t="s">
        <v>23</v>
      </c>
      <c r="P2740" s="23" t="s">
        <v>80</v>
      </c>
      <c r="Q2740" s="23" t="s">
        <v>26</v>
      </c>
      <c r="R2740" s="23" t="s">
        <v>414</v>
      </c>
      <c r="S2740" s="33">
        <v>0.2</v>
      </c>
      <c r="T2740" s="13">
        <v>27.992000000000001</v>
      </c>
      <c r="U2740" s="13">
        <v>2.0994000000000002</v>
      </c>
      <c r="V2740" s="55">
        <f>Table3[[#This Row],[Profit]]/Table3[[#This Row],[Sales]]</f>
        <v>7.4999999999999997E-2</v>
      </c>
    </row>
    <row r="2741" spans="1:22" x14ac:dyDescent="0.2">
      <c r="A2741">
        <v>2740</v>
      </c>
      <c r="B2741" t="s">
        <v>412</v>
      </c>
      <c r="C2741" s="1">
        <v>43062</v>
      </c>
      <c r="D2741" s="22">
        <f>MONTH(Table3[[#This Row],[Order Date]])</f>
        <v>11</v>
      </c>
      <c r="E2741" t="s">
        <v>419</v>
      </c>
      <c r="F2741" t="s">
        <v>420</v>
      </c>
      <c r="G2741" s="23" t="s">
        <v>41</v>
      </c>
      <c r="H2741" s="23" t="s">
        <v>61</v>
      </c>
      <c r="I2741" t="s">
        <v>413</v>
      </c>
      <c r="J2741" t="s">
        <v>22</v>
      </c>
      <c r="K2741" s="22">
        <v>1</v>
      </c>
      <c r="L2741" s="1">
        <v>43067</v>
      </c>
      <c r="M2741" s="22">
        <f>Table3[[#This Row],[Ship Date]]-Table3[[#This Row],[Order Date]]</f>
        <v>5</v>
      </c>
      <c r="N2741" s="23" t="s">
        <v>45</v>
      </c>
      <c r="O2741" s="23" t="s">
        <v>23</v>
      </c>
      <c r="P2741" s="23" t="s">
        <v>80</v>
      </c>
      <c r="Q2741" s="23" t="s">
        <v>26</v>
      </c>
      <c r="R2741" s="23" t="s">
        <v>414</v>
      </c>
      <c r="S2741" s="33">
        <v>0.2</v>
      </c>
      <c r="T2741" s="13">
        <v>3.3039999999999998</v>
      </c>
      <c r="U2741" s="13">
        <v>1.0738000000000001</v>
      </c>
      <c r="V2741" s="55">
        <f>Table3[[#This Row],[Profit]]/Table3[[#This Row],[Sales]]</f>
        <v>0.32500000000000007</v>
      </c>
    </row>
    <row r="2742" spans="1:22" x14ac:dyDescent="0.2">
      <c r="A2742">
        <v>2741</v>
      </c>
      <c r="B2742" t="s">
        <v>1318</v>
      </c>
      <c r="C2742" s="1">
        <v>43062</v>
      </c>
      <c r="D2742" s="22">
        <f>MONTH(Table3[[#This Row],[Order Date]])</f>
        <v>11</v>
      </c>
      <c r="E2742" t="s">
        <v>1320</v>
      </c>
      <c r="F2742" t="s">
        <v>1321</v>
      </c>
      <c r="G2742" s="23" t="s">
        <v>28</v>
      </c>
      <c r="H2742" s="23" t="s">
        <v>58</v>
      </c>
      <c r="I2742" t="s">
        <v>236</v>
      </c>
      <c r="J2742" t="s">
        <v>36</v>
      </c>
      <c r="K2742" s="22">
        <v>2</v>
      </c>
      <c r="L2742" s="1">
        <v>43065</v>
      </c>
      <c r="M2742" s="22">
        <f>Table3[[#This Row],[Ship Date]]-Table3[[#This Row],[Order Date]]</f>
        <v>3</v>
      </c>
      <c r="N2742" s="23" t="s">
        <v>20</v>
      </c>
      <c r="O2742" s="23" t="s">
        <v>23</v>
      </c>
      <c r="P2742" s="23" t="s">
        <v>212</v>
      </c>
      <c r="Q2742" s="23" t="s">
        <v>95</v>
      </c>
      <c r="R2742" s="23" t="s">
        <v>1319</v>
      </c>
      <c r="S2742" s="33">
        <v>0</v>
      </c>
      <c r="T2742" s="13">
        <v>28.4</v>
      </c>
      <c r="U2742" s="13">
        <v>11.076000000000001</v>
      </c>
      <c r="V2742" s="55">
        <f>Table3[[#This Row],[Profit]]/Table3[[#This Row],[Sales]]</f>
        <v>0.39</v>
      </c>
    </row>
    <row r="2743" spans="1:22" x14ac:dyDescent="0.2">
      <c r="A2743">
        <v>2742</v>
      </c>
      <c r="B2743" t="s">
        <v>1318</v>
      </c>
      <c r="C2743" s="1">
        <v>43062</v>
      </c>
      <c r="D2743" s="22">
        <f>MONTH(Table3[[#This Row],[Order Date]])</f>
        <v>11</v>
      </c>
      <c r="E2743" t="s">
        <v>1322</v>
      </c>
      <c r="F2743" t="s">
        <v>1323</v>
      </c>
      <c r="G2743" s="23" t="s">
        <v>41</v>
      </c>
      <c r="H2743" s="23" t="s">
        <v>68</v>
      </c>
      <c r="I2743" t="s">
        <v>236</v>
      </c>
      <c r="J2743" t="s">
        <v>36</v>
      </c>
      <c r="K2743" s="22">
        <v>8</v>
      </c>
      <c r="L2743" s="1">
        <v>43065</v>
      </c>
      <c r="M2743" s="22">
        <f>Table3[[#This Row],[Ship Date]]-Table3[[#This Row],[Order Date]]</f>
        <v>3</v>
      </c>
      <c r="N2743" s="23" t="s">
        <v>20</v>
      </c>
      <c r="O2743" s="23" t="s">
        <v>23</v>
      </c>
      <c r="P2743" s="23" t="s">
        <v>212</v>
      </c>
      <c r="Q2743" s="23" t="s">
        <v>95</v>
      </c>
      <c r="R2743" s="23" t="s">
        <v>1319</v>
      </c>
      <c r="S2743" s="33">
        <v>0</v>
      </c>
      <c r="T2743" s="13">
        <v>287.92</v>
      </c>
      <c r="U2743" s="13">
        <v>138.20160000000001</v>
      </c>
      <c r="V2743" s="55">
        <f>Table3[[#This Row],[Profit]]/Table3[[#This Row],[Sales]]</f>
        <v>0.48000000000000004</v>
      </c>
    </row>
    <row r="2744" spans="1:22" x14ac:dyDescent="0.2">
      <c r="A2744">
        <v>2743</v>
      </c>
      <c r="B2744" t="s">
        <v>5891</v>
      </c>
      <c r="C2744" s="1">
        <v>43062</v>
      </c>
      <c r="D2744" s="22">
        <f>MONTH(Table3[[#This Row],[Order Date]])</f>
        <v>11</v>
      </c>
      <c r="E2744" t="s">
        <v>5892</v>
      </c>
      <c r="F2744" t="s">
        <v>5893</v>
      </c>
      <c r="G2744" s="23" t="s">
        <v>28</v>
      </c>
      <c r="H2744" s="23" t="s">
        <v>58</v>
      </c>
      <c r="I2744" t="s">
        <v>1099</v>
      </c>
      <c r="J2744" t="s">
        <v>22</v>
      </c>
      <c r="K2744" s="22">
        <v>9</v>
      </c>
      <c r="L2744" s="1">
        <v>43063</v>
      </c>
      <c r="M2744" s="22">
        <f>Table3[[#This Row],[Ship Date]]-Table3[[#This Row],[Order Date]]</f>
        <v>1</v>
      </c>
      <c r="N2744" s="23" t="s">
        <v>169</v>
      </c>
      <c r="O2744" s="23" t="s">
        <v>23</v>
      </c>
      <c r="P2744" s="23" t="s">
        <v>132</v>
      </c>
      <c r="Q2744" s="23" t="s">
        <v>133</v>
      </c>
      <c r="R2744" s="23" t="s">
        <v>131</v>
      </c>
      <c r="S2744" s="33">
        <v>0.2</v>
      </c>
      <c r="T2744" s="13">
        <v>24.047999999999998</v>
      </c>
      <c r="U2744" s="13">
        <v>7.2144000000000004</v>
      </c>
      <c r="V2744" s="55">
        <f>Table3[[#This Row],[Profit]]/Table3[[#This Row],[Sales]]</f>
        <v>0.30000000000000004</v>
      </c>
    </row>
    <row r="2745" spans="1:22" x14ac:dyDescent="0.2">
      <c r="A2745">
        <v>2744</v>
      </c>
      <c r="B2745" t="s">
        <v>6027</v>
      </c>
      <c r="C2745" s="1">
        <v>43062</v>
      </c>
      <c r="D2745" s="22">
        <f>MONTH(Table3[[#This Row],[Order Date]])</f>
        <v>11</v>
      </c>
      <c r="E2745" t="s">
        <v>1526</v>
      </c>
      <c r="F2745" t="s">
        <v>1527</v>
      </c>
      <c r="G2745" s="23" t="s">
        <v>41</v>
      </c>
      <c r="H2745" s="23" t="s">
        <v>68</v>
      </c>
      <c r="I2745" t="s">
        <v>2897</v>
      </c>
      <c r="J2745" t="s">
        <v>36</v>
      </c>
      <c r="K2745" s="22">
        <v>1</v>
      </c>
      <c r="L2745" s="1">
        <v>43065</v>
      </c>
      <c r="M2745" s="22">
        <f>Table3[[#This Row],[Ship Date]]-Table3[[#This Row],[Order Date]]</f>
        <v>3</v>
      </c>
      <c r="N2745" s="23" t="s">
        <v>20</v>
      </c>
      <c r="O2745" s="23" t="s">
        <v>23</v>
      </c>
      <c r="P2745" s="23" t="s">
        <v>132</v>
      </c>
      <c r="Q2745" s="23" t="s">
        <v>133</v>
      </c>
      <c r="R2745" s="23" t="s">
        <v>131</v>
      </c>
      <c r="S2745" s="33">
        <v>0.7</v>
      </c>
      <c r="T2745" s="13">
        <v>7.476</v>
      </c>
      <c r="U2745" s="13">
        <v>-5.9808000000000003</v>
      </c>
      <c r="V2745" s="55">
        <f>Table3[[#This Row],[Profit]]/Table3[[#This Row],[Sales]]</f>
        <v>-0.8</v>
      </c>
    </row>
    <row r="2746" spans="1:22" x14ac:dyDescent="0.2">
      <c r="A2746">
        <v>2745</v>
      </c>
      <c r="B2746" t="s">
        <v>7019</v>
      </c>
      <c r="C2746" s="1">
        <v>43062</v>
      </c>
      <c r="D2746" s="22">
        <f>MONTH(Table3[[#This Row],[Order Date]])</f>
        <v>11</v>
      </c>
      <c r="E2746" t="s">
        <v>5028</v>
      </c>
      <c r="F2746" t="s">
        <v>5029</v>
      </c>
      <c r="G2746" s="23" t="s">
        <v>28</v>
      </c>
      <c r="H2746" s="23" t="s">
        <v>58</v>
      </c>
      <c r="I2746" t="s">
        <v>1536</v>
      </c>
      <c r="J2746" t="s">
        <v>22</v>
      </c>
      <c r="K2746" s="22">
        <v>1</v>
      </c>
      <c r="L2746" s="1">
        <v>43066</v>
      </c>
      <c r="M2746" s="22">
        <f>Table3[[#This Row],[Ship Date]]-Table3[[#This Row],[Order Date]]</f>
        <v>4</v>
      </c>
      <c r="N2746" s="23" t="s">
        <v>45</v>
      </c>
      <c r="O2746" s="23" t="s">
        <v>23</v>
      </c>
      <c r="P2746" s="23" t="s">
        <v>189</v>
      </c>
      <c r="Q2746" s="23" t="s">
        <v>95</v>
      </c>
      <c r="R2746" s="23" t="s">
        <v>271</v>
      </c>
      <c r="S2746" s="33">
        <v>0.6</v>
      </c>
      <c r="T2746" s="13">
        <v>6.4640000000000004</v>
      </c>
      <c r="U2746" s="13">
        <v>-4.04</v>
      </c>
      <c r="V2746" s="55">
        <f>Table3[[#This Row],[Profit]]/Table3[[#This Row],[Sales]]</f>
        <v>-0.625</v>
      </c>
    </row>
    <row r="2747" spans="1:22" x14ac:dyDescent="0.2">
      <c r="A2747">
        <v>2746</v>
      </c>
      <c r="B2747" t="s">
        <v>7019</v>
      </c>
      <c r="C2747" s="1">
        <v>43062</v>
      </c>
      <c r="D2747" s="22">
        <f>MONTH(Table3[[#This Row],[Order Date]])</f>
        <v>11</v>
      </c>
      <c r="E2747" t="s">
        <v>2568</v>
      </c>
      <c r="F2747" t="s">
        <v>2569</v>
      </c>
      <c r="G2747" s="23" t="s">
        <v>41</v>
      </c>
      <c r="H2747" s="23" t="s">
        <v>42</v>
      </c>
      <c r="I2747" t="s">
        <v>1536</v>
      </c>
      <c r="J2747" t="s">
        <v>22</v>
      </c>
      <c r="K2747" s="22">
        <v>5</v>
      </c>
      <c r="L2747" s="1">
        <v>43066</v>
      </c>
      <c r="M2747" s="22">
        <f>Table3[[#This Row],[Ship Date]]-Table3[[#This Row],[Order Date]]</f>
        <v>4</v>
      </c>
      <c r="N2747" s="23" t="s">
        <v>45</v>
      </c>
      <c r="O2747" s="23" t="s">
        <v>23</v>
      </c>
      <c r="P2747" s="23" t="s">
        <v>189</v>
      </c>
      <c r="Q2747" s="23" t="s">
        <v>95</v>
      </c>
      <c r="R2747" s="23" t="s">
        <v>271</v>
      </c>
      <c r="S2747" s="33">
        <v>0.2</v>
      </c>
      <c r="T2747" s="13">
        <v>11.52</v>
      </c>
      <c r="U2747" s="13">
        <v>4.1760000000000002</v>
      </c>
      <c r="V2747" s="55">
        <f>Table3[[#This Row],[Profit]]/Table3[[#This Row],[Sales]]</f>
        <v>0.36250000000000004</v>
      </c>
    </row>
    <row r="2748" spans="1:22" x14ac:dyDescent="0.2">
      <c r="A2748">
        <v>2747</v>
      </c>
      <c r="B2748" t="s">
        <v>7019</v>
      </c>
      <c r="C2748" s="1">
        <v>43062</v>
      </c>
      <c r="D2748" s="22">
        <f>MONTH(Table3[[#This Row],[Order Date]])</f>
        <v>11</v>
      </c>
      <c r="E2748" t="s">
        <v>2999</v>
      </c>
      <c r="F2748" t="s">
        <v>3000</v>
      </c>
      <c r="G2748" s="23" t="s">
        <v>64</v>
      </c>
      <c r="H2748" s="23" t="s">
        <v>65</v>
      </c>
      <c r="I2748" t="s">
        <v>1536</v>
      </c>
      <c r="J2748" t="s">
        <v>22</v>
      </c>
      <c r="K2748" s="22">
        <v>2</v>
      </c>
      <c r="L2748" s="1">
        <v>43066</v>
      </c>
      <c r="M2748" s="22">
        <f>Table3[[#This Row],[Ship Date]]-Table3[[#This Row],[Order Date]]</f>
        <v>4</v>
      </c>
      <c r="N2748" s="23" t="s">
        <v>45</v>
      </c>
      <c r="O2748" s="23" t="s">
        <v>23</v>
      </c>
      <c r="P2748" s="23" t="s">
        <v>189</v>
      </c>
      <c r="Q2748" s="23" t="s">
        <v>95</v>
      </c>
      <c r="R2748" s="23" t="s">
        <v>271</v>
      </c>
      <c r="S2748" s="33">
        <v>0.2</v>
      </c>
      <c r="T2748" s="13">
        <v>222.38399999999999</v>
      </c>
      <c r="U2748" s="13">
        <v>16.678799999999999</v>
      </c>
      <c r="V2748" s="55">
        <f>Table3[[#This Row],[Profit]]/Table3[[#This Row],[Sales]]</f>
        <v>7.4999999999999997E-2</v>
      </c>
    </row>
    <row r="2749" spans="1:22" x14ac:dyDescent="0.2">
      <c r="A2749">
        <v>2748</v>
      </c>
      <c r="B2749" t="s">
        <v>8049</v>
      </c>
      <c r="C2749" s="1">
        <v>43062</v>
      </c>
      <c r="D2749" s="22">
        <f>MONTH(Table3[[#This Row],[Order Date]])</f>
        <v>11</v>
      </c>
      <c r="E2749" t="s">
        <v>6954</v>
      </c>
      <c r="F2749" t="s">
        <v>6955</v>
      </c>
      <c r="G2749" s="23" t="s">
        <v>64</v>
      </c>
      <c r="H2749" s="23" t="s">
        <v>65</v>
      </c>
      <c r="I2749" t="s">
        <v>872</v>
      </c>
      <c r="J2749" t="s">
        <v>22</v>
      </c>
      <c r="K2749" s="22">
        <v>5</v>
      </c>
      <c r="L2749" s="1">
        <v>43066</v>
      </c>
      <c r="M2749" s="22">
        <f>Table3[[#This Row],[Ship Date]]-Table3[[#This Row],[Order Date]]</f>
        <v>4</v>
      </c>
      <c r="N2749" s="23" t="s">
        <v>45</v>
      </c>
      <c r="O2749" s="23" t="s">
        <v>23</v>
      </c>
      <c r="P2749" s="23" t="s">
        <v>94</v>
      </c>
      <c r="Q2749" s="23" t="s">
        <v>95</v>
      </c>
      <c r="R2749" s="23" t="s">
        <v>718</v>
      </c>
      <c r="S2749" s="33">
        <v>0.2</v>
      </c>
      <c r="T2749" s="13">
        <v>195.96</v>
      </c>
      <c r="U2749" s="13">
        <v>19.596</v>
      </c>
      <c r="V2749" s="55">
        <f>Table3[[#This Row],[Profit]]/Table3[[#This Row],[Sales]]</f>
        <v>9.9999999999999992E-2</v>
      </c>
    </row>
    <row r="2750" spans="1:22" x14ac:dyDescent="0.2">
      <c r="A2750">
        <v>2749</v>
      </c>
      <c r="B2750" t="s">
        <v>9241</v>
      </c>
      <c r="C2750" s="1">
        <v>43062</v>
      </c>
      <c r="D2750" s="22">
        <f>MONTH(Table3[[#This Row],[Order Date]])</f>
        <v>11</v>
      </c>
      <c r="E2750" t="s">
        <v>1653</v>
      </c>
      <c r="F2750" t="s">
        <v>1147</v>
      </c>
      <c r="G2750" s="23" t="s">
        <v>41</v>
      </c>
      <c r="H2750" s="23" t="s">
        <v>513</v>
      </c>
      <c r="I2750" t="s">
        <v>3122</v>
      </c>
      <c r="J2750" t="s">
        <v>22</v>
      </c>
      <c r="K2750" s="22">
        <v>2</v>
      </c>
      <c r="L2750" s="1">
        <v>43064</v>
      </c>
      <c r="M2750" s="22">
        <f>Table3[[#This Row],[Ship Date]]-Table3[[#This Row],[Order Date]]</f>
        <v>2</v>
      </c>
      <c r="N2750" s="23" t="s">
        <v>169</v>
      </c>
      <c r="O2750" s="23" t="s">
        <v>23</v>
      </c>
      <c r="P2750" s="23" t="s">
        <v>212</v>
      </c>
      <c r="Q2750" s="23" t="s">
        <v>95</v>
      </c>
      <c r="R2750" s="23" t="s">
        <v>501</v>
      </c>
      <c r="S2750" s="33">
        <v>0</v>
      </c>
      <c r="T2750" s="13">
        <v>4.3600000000000003</v>
      </c>
      <c r="U2750" s="13">
        <v>0.1744</v>
      </c>
      <c r="V2750" s="55">
        <f>Table3[[#This Row],[Profit]]/Table3[[#This Row],[Sales]]</f>
        <v>3.9999999999999994E-2</v>
      </c>
    </row>
    <row r="2751" spans="1:22" x14ac:dyDescent="0.2">
      <c r="A2751">
        <v>2750</v>
      </c>
      <c r="B2751" t="s">
        <v>9463</v>
      </c>
      <c r="C2751" s="1">
        <v>43062</v>
      </c>
      <c r="D2751" s="22">
        <f>MONTH(Table3[[#This Row],[Order Date]])</f>
        <v>11</v>
      </c>
      <c r="E2751" t="s">
        <v>4636</v>
      </c>
      <c r="F2751" t="s">
        <v>4637</v>
      </c>
      <c r="G2751" s="23" t="s">
        <v>41</v>
      </c>
      <c r="H2751" s="23" t="s">
        <v>82</v>
      </c>
      <c r="I2751" t="s">
        <v>2128</v>
      </c>
      <c r="J2751" t="s">
        <v>36</v>
      </c>
      <c r="K2751" s="22">
        <v>2</v>
      </c>
      <c r="L2751" s="1">
        <v>43066</v>
      </c>
      <c r="M2751" s="22">
        <f>Table3[[#This Row],[Ship Date]]-Table3[[#This Row],[Order Date]]</f>
        <v>4</v>
      </c>
      <c r="N2751" s="23" t="s">
        <v>45</v>
      </c>
      <c r="O2751" s="23" t="s">
        <v>23</v>
      </c>
      <c r="P2751" s="23" t="s">
        <v>189</v>
      </c>
      <c r="Q2751" s="23" t="s">
        <v>95</v>
      </c>
      <c r="R2751" s="23" t="s">
        <v>271</v>
      </c>
      <c r="S2751" s="33">
        <v>0.2</v>
      </c>
      <c r="T2751" s="13">
        <v>10.688000000000001</v>
      </c>
      <c r="U2751" s="13">
        <v>3.7408000000000001</v>
      </c>
      <c r="V2751" s="55">
        <f>Table3[[#This Row],[Profit]]/Table3[[#This Row],[Sales]]</f>
        <v>0.35</v>
      </c>
    </row>
    <row r="2752" spans="1:22" x14ac:dyDescent="0.2">
      <c r="A2752">
        <v>2751</v>
      </c>
      <c r="B2752" t="s">
        <v>9566</v>
      </c>
      <c r="C2752" s="1">
        <v>43062</v>
      </c>
      <c r="D2752" s="22">
        <f>MONTH(Table3[[#This Row],[Order Date]])</f>
        <v>11</v>
      </c>
      <c r="E2752" t="s">
        <v>4382</v>
      </c>
      <c r="F2752" t="s">
        <v>4640</v>
      </c>
      <c r="G2752" s="23" t="s">
        <v>41</v>
      </c>
      <c r="H2752" s="23" t="s">
        <v>82</v>
      </c>
      <c r="I2752" t="s">
        <v>5661</v>
      </c>
      <c r="J2752" t="s">
        <v>36</v>
      </c>
      <c r="K2752" s="22">
        <v>7</v>
      </c>
      <c r="L2752" s="1">
        <v>43065</v>
      </c>
      <c r="M2752" s="22">
        <f>Table3[[#This Row],[Ship Date]]-Table3[[#This Row],[Order Date]]</f>
        <v>3</v>
      </c>
      <c r="N2752" s="23" t="s">
        <v>169</v>
      </c>
      <c r="O2752" s="23" t="s">
        <v>23</v>
      </c>
      <c r="P2752" s="23" t="s">
        <v>94</v>
      </c>
      <c r="Q2752" s="23" t="s">
        <v>95</v>
      </c>
      <c r="R2752" s="23" t="s">
        <v>718</v>
      </c>
      <c r="S2752" s="33">
        <v>0.2</v>
      </c>
      <c r="T2752" s="13">
        <v>36.287999999999997</v>
      </c>
      <c r="U2752" s="13">
        <v>12.700799999999999</v>
      </c>
      <c r="V2752" s="55">
        <f>Table3[[#This Row],[Profit]]/Table3[[#This Row],[Sales]]</f>
        <v>0.35000000000000003</v>
      </c>
    </row>
    <row r="2753" spans="1:22" x14ac:dyDescent="0.2">
      <c r="A2753">
        <v>2752</v>
      </c>
      <c r="B2753" t="s">
        <v>9566</v>
      </c>
      <c r="C2753" s="1">
        <v>43062</v>
      </c>
      <c r="D2753" s="22">
        <f>MONTH(Table3[[#This Row],[Order Date]])</f>
        <v>11</v>
      </c>
      <c r="E2753" t="s">
        <v>5349</v>
      </c>
      <c r="F2753" t="s">
        <v>5350</v>
      </c>
      <c r="G2753" s="23" t="s">
        <v>41</v>
      </c>
      <c r="H2753" s="23" t="s">
        <v>82</v>
      </c>
      <c r="I2753" t="s">
        <v>5661</v>
      </c>
      <c r="J2753" t="s">
        <v>36</v>
      </c>
      <c r="K2753" s="22">
        <v>2</v>
      </c>
      <c r="L2753" s="1">
        <v>43065</v>
      </c>
      <c r="M2753" s="22">
        <f>Table3[[#This Row],[Ship Date]]-Table3[[#This Row],[Order Date]]</f>
        <v>3</v>
      </c>
      <c r="N2753" s="23" t="s">
        <v>169</v>
      </c>
      <c r="O2753" s="23" t="s">
        <v>23</v>
      </c>
      <c r="P2753" s="23" t="s">
        <v>94</v>
      </c>
      <c r="Q2753" s="23" t="s">
        <v>95</v>
      </c>
      <c r="R2753" s="23" t="s">
        <v>718</v>
      </c>
      <c r="S2753" s="33">
        <v>0.2</v>
      </c>
      <c r="T2753" s="13">
        <v>78.304000000000002</v>
      </c>
      <c r="U2753" s="13">
        <v>29.364000000000001</v>
      </c>
      <c r="V2753" s="55">
        <f>Table3[[#This Row],[Profit]]/Table3[[#This Row],[Sales]]</f>
        <v>0.375</v>
      </c>
    </row>
    <row r="2754" spans="1:22" x14ac:dyDescent="0.2">
      <c r="A2754">
        <v>2753</v>
      </c>
      <c r="B2754" t="s">
        <v>9566</v>
      </c>
      <c r="C2754" s="1">
        <v>43062</v>
      </c>
      <c r="D2754" s="22">
        <f>MONTH(Table3[[#This Row],[Order Date]])</f>
        <v>11</v>
      </c>
      <c r="E2754" t="s">
        <v>3327</v>
      </c>
      <c r="F2754" t="s">
        <v>3328</v>
      </c>
      <c r="G2754" s="23" t="s">
        <v>28</v>
      </c>
      <c r="H2754" s="23" t="s">
        <v>50</v>
      </c>
      <c r="I2754" t="s">
        <v>5661</v>
      </c>
      <c r="J2754" t="s">
        <v>36</v>
      </c>
      <c r="K2754" s="22">
        <v>1</v>
      </c>
      <c r="L2754" s="1">
        <v>43065</v>
      </c>
      <c r="M2754" s="22">
        <f>Table3[[#This Row],[Ship Date]]-Table3[[#This Row],[Order Date]]</f>
        <v>3</v>
      </c>
      <c r="N2754" s="23" t="s">
        <v>169</v>
      </c>
      <c r="O2754" s="23" t="s">
        <v>23</v>
      </c>
      <c r="P2754" s="23" t="s">
        <v>94</v>
      </c>
      <c r="Q2754" s="23" t="s">
        <v>95</v>
      </c>
      <c r="R2754" s="23" t="s">
        <v>718</v>
      </c>
      <c r="S2754" s="33">
        <v>0.3</v>
      </c>
      <c r="T2754" s="13">
        <v>127.785</v>
      </c>
      <c r="U2754" s="13">
        <v>-31.0335</v>
      </c>
      <c r="V2754" s="55">
        <f>Table3[[#This Row],[Profit]]/Table3[[#This Row],[Sales]]</f>
        <v>-0.24285714285714285</v>
      </c>
    </row>
    <row r="2755" spans="1:22" x14ac:dyDescent="0.2">
      <c r="A2755">
        <v>2754</v>
      </c>
      <c r="B2755" t="s">
        <v>9566</v>
      </c>
      <c r="C2755" s="1">
        <v>43062</v>
      </c>
      <c r="D2755" s="22">
        <f>MONTH(Table3[[#This Row],[Order Date]])</f>
        <v>11</v>
      </c>
      <c r="E2755" t="s">
        <v>2708</v>
      </c>
      <c r="F2755" t="s">
        <v>2709</v>
      </c>
      <c r="G2755" s="23" t="s">
        <v>41</v>
      </c>
      <c r="H2755" s="23" t="s">
        <v>68</v>
      </c>
      <c r="I2755" t="s">
        <v>5661</v>
      </c>
      <c r="J2755" t="s">
        <v>36</v>
      </c>
      <c r="K2755" s="22">
        <v>2</v>
      </c>
      <c r="L2755" s="1">
        <v>43065</v>
      </c>
      <c r="M2755" s="22">
        <f>Table3[[#This Row],[Ship Date]]-Table3[[#This Row],[Order Date]]</f>
        <v>3</v>
      </c>
      <c r="N2755" s="23" t="s">
        <v>169</v>
      </c>
      <c r="O2755" s="23" t="s">
        <v>23</v>
      </c>
      <c r="P2755" s="23" t="s">
        <v>94</v>
      </c>
      <c r="Q2755" s="23" t="s">
        <v>95</v>
      </c>
      <c r="R2755" s="23" t="s">
        <v>718</v>
      </c>
      <c r="S2755" s="33">
        <v>0.8</v>
      </c>
      <c r="T2755" s="13">
        <v>6.1040000000000001</v>
      </c>
      <c r="U2755" s="13">
        <v>-9.1560000000000006</v>
      </c>
      <c r="V2755" s="55">
        <f>Table3[[#This Row],[Profit]]/Table3[[#This Row],[Sales]]</f>
        <v>-1.5</v>
      </c>
    </row>
    <row r="2756" spans="1:22" x14ac:dyDescent="0.2">
      <c r="A2756">
        <v>2755</v>
      </c>
      <c r="B2756" t="s">
        <v>1661</v>
      </c>
      <c r="C2756" s="1">
        <v>43063</v>
      </c>
      <c r="D2756" s="22">
        <f>MONTH(Table3[[#This Row],[Order Date]])</f>
        <v>11</v>
      </c>
      <c r="E2756" t="s">
        <v>1663</v>
      </c>
      <c r="F2756" t="s">
        <v>1664</v>
      </c>
      <c r="G2756" s="23" t="s">
        <v>41</v>
      </c>
      <c r="H2756" s="23" t="s">
        <v>240</v>
      </c>
      <c r="I2756" t="s">
        <v>1662</v>
      </c>
      <c r="J2756" t="s">
        <v>22</v>
      </c>
      <c r="K2756" s="22">
        <v>3</v>
      </c>
      <c r="L2756" s="1">
        <v>43067</v>
      </c>
      <c r="M2756" s="22">
        <f>Table3[[#This Row],[Ship Date]]-Table3[[#This Row],[Order Date]]</f>
        <v>4</v>
      </c>
      <c r="N2756" s="23" t="s">
        <v>45</v>
      </c>
      <c r="O2756" s="23" t="s">
        <v>23</v>
      </c>
      <c r="P2756" s="23" t="s">
        <v>94</v>
      </c>
      <c r="Q2756" s="23" t="s">
        <v>95</v>
      </c>
      <c r="R2756" s="23" t="s">
        <v>165</v>
      </c>
      <c r="S2756" s="33">
        <v>0.2</v>
      </c>
      <c r="T2756" s="13">
        <v>10.824</v>
      </c>
      <c r="U2756" s="13">
        <v>2.5707</v>
      </c>
      <c r="V2756" s="55">
        <f>Table3[[#This Row],[Profit]]/Table3[[#This Row],[Sales]]</f>
        <v>0.23749999999999999</v>
      </c>
    </row>
    <row r="2757" spans="1:22" x14ac:dyDescent="0.2">
      <c r="A2757">
        <v>2756</v>
      </c>
      <c r="B2757" t="s">
        <v>3530</v>
      </c>
      <c r="C2757" s="1">
        <v>43063</v>
      </c>
      <c r="D2757" s="22">
        <f>MONTH(Table3[[#This Row],[Order Date]])</f>
        <v>11</v>
      </c>
      <c r="E2757" t="s">
        <v>3532</v>
      </c>
      <c r="F2757" t="s">
        <v>3533</v>
      </c>
      <c r="G2757" s="23" t="s">
        <v>41</v>
      </c>
      <c r="H2757" s="23" t="s">
        <v>82</v>
      </c>
      <c r="I2757" t="s">
        <v>3531</v>
      </c>
      <c r="J2757" t="s">
        <v>36</v>
      </c>
      <c r="K2757" s="22">
        <v>1</v>
      </c>
      <c r="L2757" s="1">
        <v>43067</v>
      </c>
      <c r="M2757" s="22">
        <f>Table3[[#This Row],[Ship Date]]-Table3[[#This Row],[Order Date]]</f>
        <v>4</v>
      </c>
      <c r="N2757" s="23" t="s">
        <v>45</v>
      </c>
      <c r="O2757" s="23" t="s">
        <v>23</v>
      </c>
      <c r="P2757" s="23" t="s">
        <v>238</v>
      </c>
      <c r="Q2757" s="23" t="s">
        <v>133</v>
      </c>
      <c r="R2757" s="23" t="s">
        <v>237</v>
      </c>
      <c r="S2757" s="33">
        <v>0</v>
      </c>
      <c r="T2757" s="13">
        <v>5.88</v>
      </c>
      <c r="U2757" s="13">
        <v>2.8812000000000002</v>
      </c>
      <c r="V2757" s="55">
        <f>Table3[[#This Row],[Profit]]/Table3[[#This Row],[Sales]]</f>
        <v>0.49000000000000005</v>
      </c>
    </row>
    <row r="2758" spans="1:22" x14ac:dyDescent="0.2">
      <c r="A2758">
        <v>2757</v>
      </c>
      <c r="B2758" t="s">
        <v>3530</v>
      </c>
      <c r="C2758" s="1">
        <v>43063</v>
      </c>
      <c r="D2758" s="22">
        <f>MONTH(Table3[[#This Row],[Order Date]])</f>
        <v>11</v>
      </c>
      <c r="E2758" t="s">
        <v>1132</v>
      </c>
      <c r="F2758" t="s">
        <v>1133</v>
      </c>
      <c r="G2758" s="23" t="s">
        <v>28</v>
      </c>
      <c r="H2758" s="23" t="s">
        <v>32</v>
      </c>
      <c r="I2758" t="s">
        <v>3531</v>
      </c>
      <c r="J2758" t="s">
        <v>36</v>
      </c>
      <c r="K2758" s="22">
        <v>6</v>
      </c>
      <c r="L2758" s="1">
        <v>43067</v>
      </c>
      <c r="M2758" s="22">
        <f>Table3[[#This Row],[Ship Date]]-Table3[[#This Row],[Order Date]]</f>
        <v>4</v>
      </c>
      <c r="N2758" s="23" t="s">
        <v>45</v>
      </c>
      <c r="O2758" s="23" t="s">
        <v>23</v>
      </c>
      <c r="P2758" s="23" t="s">
        <v>238</v>
      </c>
      <c r="Q2758" s="23" t="s">
        <v>133</v>
      </c>
      <c r="R2758" s="23" t="s">
        <v>237</v>
      </c>
      <c r="S2758" s="33">
        <v>0.1</v>
      </c>
      <c r="T2758" s="13">
        <v>977.29200000000003</v>
      </c>
      <c r="U2758" s="13">
        <v>173.74080000000001</v>
      </c>
      <c r="V2758" s="55">
        <f>Table3[[#This Row],[Profit]]/Table3[[#This Row],[Sales]]</f>
        <v>0.17777777777777778</v>
      </c>
    </row>
    <row r="2759" spans="1:22" x14ac:dyDescent="0.2">
      <c r="A2759">
        <v>2758</v>
      </c>
      <c r="B2759" t="s">
        <v>5074</v>
      </c>
      <c r="C2759" s="1">
        <v>43063</v>
      </c>
      <c r="D2759" s="22">
        <f>MONTH(Table3[[#This Row],[Order Date]])</f>
        <v>11</v>
      </c>
      <c r="E2759" t="s">
        <v>4485</v>
      </c>
      <c r="F2759" t="s">
        <v>4486</v>
      </c>
      <c r="G2759" s="23" t="s">
        <v>64</v>
      </c>
      <c r="H2759" s="23" t="s">
        <v>65</v>
      </c>
      <c r="I2759" t="s">
        <v>2019</v>
      </c>
      <c r="J2759" t="s">
        <v>36</v>
      </c>
      <c r="K2759" s="22">
        <v>2</v>
      </c>
      <c r="L2759" s="1">
        <v>43065</v>
      </c>
      <c r="M2759" s="22">
        <f>Table3[[#This Row],[Ship Date]]-Table3[[#This Row],[Order Date]]</f>
        <v>2</v>
      </c>
      <c r="N2759" s="23" t="s">
        <v>20</v>
      </c>
      <c r="O2759" s="23" t="s">
        <v>23</v>
      </c>
      <c r="P2759" s="23" t="s">
        <v>342</v>
      </c>
      <c r="Q2759" s="23" t="s">
        <v>26</v>
      </c>
      <c r="R2759" s="23" t="s">
        <v>5075</v>
      </c>
      <c r="S2759" s="33">
        <v>0</v>
      </c>
      <c r="T2759" s="13">
        <v>79.099999999999994</v>
      </c>
      <c r="U2759" s="13">
        <v>39.549999999999997</v>
      </c>
      <c r="V2759" s="55">
        <f>Table3[[#This Row],[Profit]]/Table3[[#This Row],[Sales]]</f>
        <v>0.5</v>
      </c>
    </row>
    <row r="2760" spans="1:22" x14ac:dyDescent="0.2">
      <c r="A2760">
        <v>2759</v>
      </c>
      <c r="B2760" t="s">
        <v>5074</v>
      </c>
      <c r="C2760" s="1">
        <v>43063</v>
      </c>
      <c r="D2760" s="22">
        <f>MONTH(Table3[[#This Row],[Order Date]])</f>
        <v>11</v>
      </c>
      <c r="E2760" t="s">
        <v>2755</v>
      </c>
      <c r="F2760" t="s">
        <v>2756</v>
      </c>
      <c r="G2760" s="23" t="s">
        <v>41</v>
      </c>
      <c r="H2760" s="23" t="s">
        <v>68</v>
      </c>
      <c r="I2760" t="s">
        <v>2019</v>
      </c>
      <c r="J2760" t="s">
        <v>36</v>
      </c>
      <c r="K2760" s="22">
        <v>8</v>
      </c>
      <c r="L2760" s="1">
        <v>43065</v>
      </c>
      <c r="M2760" s="22">
        <f>Table3[[#This Row],[Ship Date]]-Table3[[#This Row],[Order Date]]</f>
        <v>2</v>
      </c>
      <c r="N2760" s="23" t="s">
        <v>20</v>
      </c>
      <c r="O2760" s="23" t="s">
        <v>23</v>
      </c>
      <c r="P2760" s="23" t="s">
        <v>342</v>
      </c>
      <c r="Q2760" s="23" t="s">
        <v>26</v>
      </c>
      <c r="R2760" s="23" t="s">
        <v>5075</v>
      </c>
      <c r="S2760" s="33">
        <v>0</v>
      </c>
      <c r="T2760" s="13">
        <v>327.84</v>
      </c>
      <c r="U2760" s="13">
        <v>157.36320000000001</v>
      </c>
      <c r="V2760" s="55">
        <f>Table3[[#This Row],[Profit]]/Table3[[#This Row],[Sales]]</f>
        <v>0.48000000000000004</v>
      </c>
    </row>
    <row r="2761" spans="1:22" x14ac:dyDescent="0.2">
      <c r="A2761">
        <v>2760</v>
      </c>
      <c r="B2761" t="s">
        <v>6059</v>
      </c>
      <c r="C2761" s="1">
        <v>43063</v>
      </c>
      <c r="D2761" s="22">
        <f>MONTH(Table3[[#This Row],[Order Date]])</f>
        <v>11</v>
      </c>
      <c r="E2761" t="s">
        <v>2104</v>
      </c>
      <c r="F2761" t="s">
        <v>2105</v>
      </c>
      <c r="G2761" s="23" t="s">
        <v>41</v>
      </c>
      <c r="H2761" s="23" t="s">
        <v>68</v>
      </c>
      <c r="I2761" t="s">
        <v>664</v>
      </c>
      <c r="J2761" t="s">
        <v>92</v>
      </c>
      <c r="K2761" s="22">
        <v>1</v>
      </c>
      <c r="L2761" s="1">
        <v>43069</v>
      </c>
      <c r="M2761" s="22">
        <f>Table3[[#This Row],[Ship Date]]-Table3[[#This Row],[Order Date]]</f>
        <v>6</v>
      </c>
      <c r="N2761" s="23" t="s">
        <v>45</v>
      </c>
      <c r="O2761" s="23" t="s">
        <v>23</v>
      </c>
      <c r="P2761" s="23" t="s">
        <v>25</v>
      </c>
      <c r="Q2761" s="23" t="s">
        <v>26</v>
      </c>
      <c r="R2761" s="23" t="s">
        <v>1294</v>
      </c>
      <c r="S2761" s="33">
        <v>0</v>
      </c>
      <c r="T2761" s="13">
        <v>2.88</v>
      </c>
      <c r="U2761" s="13">
        <v>1.4112</v>
      </c>
      <c r="V2761" s="55">
        <f>Table3[[#This Row],[Profit]]/Table3[[#This Row],[Sales]]</f>
        <v>0.49000000000000005</v>
      </c>
    </row>
    <row r="2762" spans="1:22" x14ac:dyDescent="0.2">
      <c r="A2762">
        <v>2761</v>
      </c>
      <c r="B2762" t="s">
        <v>6059</v>
      </c>
      <c r="C2762" s="1">
        <v>43063</v>
      </c>
      <c r="D2762" s="22">
        <f>MONTH(Table3[[#This Row],[Order Date]])</f>
        <v>11</v>
      </c>
      <c r="E2762" t="s">
        <v>2668</v>
      </c>
      <c r="F2762" t="s">
        <v>2669</v>
      </c>
      <c r="G2762" s="23" t="s">
        <v>41</v>
      </c>
      <c r="H2762" s="23" t="s">
        <v>53</v>
      </c>
      <c r="I2762" t="s">
        <v>664</v>
      </c>
      <c r="J2762" t="s">
        <v>92</v>
      </c>
      <c r="K2762" s="22">
        <v>12</v>
      </c>
      <c r="L2762" s="1">
        <v>43069</v>
      </c>
      <c r="M2762" s="22">
        <f>Table3[[#This Row],[Ship Date]]-Table3[[#This Row],[Order Date]]</f>
        <v>6</v>
      </c>
      <c r="N2762" s="23" t="s">
        <v>45</v>
      </c>
      <c r="O2762" s="23" t="s">
        <v>23</v>
      </c>
      <c r="P2762" s="23" t="s">
        <v>25</v>
      </c>
      <c r="Q2762" s="23" t="s">
        <v>26</v>
      </c>
      <c r="R2762" s="23" t="s">
        <v>1294</v>
      </c>
      <c r="S2762" s="33">
        <v>0</v>
      </c>
      <c r="T2762" s="13">
        <v>1443.96</v>
      </c>
      <c r="U2762" s="13">
        <v>375.42959999999999</v>
      </c>
      <c r="V2762" s="55">
        <f>Table3[[#This Row],[Profit]]/Table3[[#This Row],[Sales]]</f>
        <v>0.26</v>
      </c>
    </row>
    <row r="2763" spans="1:22" x14ac:dyDescent="0.2">
      <c r="A2763">
        <v>2762</v>
      </c>
      <c r="B2763" t="s">
        <v>6698</v>
      </c>
      <c r="C2763" s="1">
        <v>43063</v>
      </c>
      <c r="D2763" s="22">
        <f>MONTH(Table3[[#This Row],[Order Date]])</f>
        <v>11</v>
      </c>
      <c r="E2763" t="s">
        <v>2251</v>
      </c>
      <c r="F2763" t="s">
        <v>2252</v>
      </c>
      <c r="G2763" s="23" t="s">
        <v>41</v>
      </c>
      <c r="H2763" s="23" t="s">
        <v>68</v>
      </c>
      <c r="I2763" t="s">
        <v>4656</v>
      </c>
      <c r="J2763" t="s">
        <v>22</v>
      </c>
      <c r="K2763" s="22">
        <v>2</v>
      </c>
      <c r="L2763" s="1">
        <v>43068</v>
      </c>
      <c r="M2763" s="22">
        <f>Table3[[#This Row],[Ship Date]]-Table3[[#This Row],[Order Date]]</f>
        <v>5</v>
      </c>
      <c r="N2763" s="23" t="s">
        <v>20</v>
      </c>
      <c r="O2763" s="23" t="s">
        <v>23</v>
      </c>
      <c r="P2763" s="23" t="s">
        <v>277</v>
      </c>
      <c r="Q2763" s="23" t="s">
        <v>39</v>
      </c>
      <c r="R2763" s="23" t="s">
        <v>1613</v>
      </c>
      <c r="S2763" s="33">
        <v>0.7</v>
      </c>
      <c r="T2763" s="13">
        <v>20.724</v>
      </c>
      <c r="U2763" s="13">
        <v>-15.1976</v>
      </c>
      <c r="V2763" s="55">
        <f>Table3[[#This Row],[Profit]]/Table3[[#This Row],[Sales]]</f>
        <v>-0.73333333333333328</v>
      </c>
    </row>
    <row r="2764" spans="1:22" x14ac:dyDescent="0.2">
      <c r="A2764">
        <v>2763</v>
      </c>
      <c r="B2764" t="s">
        <v>6698</v>
      </c>
      <c r="C2764" s="1">
        <v>43063</v>
      </c>
      <c r="D2764" s="22">
        <f>MONTH(Table3[[#This Row],[Order Date]])</f>
        <v>11</v>
      </c>
      <c r="E2764" t="s">
        <v>1364</v>
      </c>
      <c r="F2764" t="s">
        <v>1365</v>
      </c>
      <c r="G2764" s="23" t="s">
        <v>41</v>
      </c>
      <c r="H2764" s="23" t="s">
        <v>53</v>
      </c>
      <c r="I2764" t="s">
        <v>4656</v>
      </c>
      <c r="J2764" t="s">
        <v>22</v>
      </c>
      <c r="K2764" s="22">
        <v>8</v>
      </c>
      <c r="L2764" s="1">
        <v>43068</v>
      </c>
      <c r="M2764" s="22">
        <f>Table3[[#This Row],[Ship Date]]-Table3[[#This Row],[Order Date]]</f>
        <v>5</v>
      </c>
      <c r="N2764" s="23" t="s">
        <v>20</v>
      </c>
      <c r="O2764" s="23" t="s">
        <v>23</v>
      </c>
      <c r="P2764" s="23" t="s">
        <v>277</v>
      </c>
      <c r="Q2764" s="23" t="s">
        <v>39</v>
      </c>
      <c r="R2764" s="23" t="s">
        <v>1613</v>
      </c>
      <c r="S2764" s="33">
        <v>0.2</v>
      </c>
      <c r="T2764" s="13">
        <v>415.87200000000001</v>
      </c>
      <c r="U2764" s="13">
        <v>-41.587200000000003</v>
      </c>
      <c r="V2764" s="55">
        <f>Table3[[#This Row],[Profit]]/Table3[[#This Row],[Sales]]</f>
        <v>-0.1</v>
      </c>
    </row>
    <row r="2765" spans="1:22" x14ac:dyDescent="0.2">
      <c r="A2765">
        <v>2764</v>
      </c>
      <c r="B2765" t="s">
        <v>6702</v>
      </c>
      <c r="C2765" s="1">
        <v>43063</v>
      </c>
      <c r="D2765" s="22">
        <f>MONTH(Table3[[#This Row],[Order Date]])</f>
        <v>11</v>
      </c>
      <c r="E2765" t="s">
        <v>2551</v>
      </c>
      <c r="F2765" t="s">
        <v>2552</v>
      </c>
      <c r="G2765" s="23" t="s">
        <v>41</v>
      </c>
      <c r="H2765" s="23" t="s">
        <v>68</v>
      </c>
      <c r="I2765" t="s">
        <v>4189</v>
      </c>
      <c r="J2765" t="s">
        <v>36</v>
      </c>
      <c r="K2765" s="22">
        <v>8</v>
      </c>
      <c r="L2765" s="1">
        <v>43065</v>
      </c>
      <c r="M2765" s="22">
        <f>Table3[[#This Row],[Ship Date]]-Table3[[#This Row],[Order Date]]</f>
        <v>2</v>
      </c>
      <c r="N2765" s="23" t="s">
        <v>20</v>
      </c>
      <c r="O2765" s="23" t="s">
        <v>23</v>
      </c>
      <c r="P2765" s="23" t="s">
        <v>80</v>
      </c>
      <c r="Q2765" s="23" t="s">
        <v>26</v>
      </c>
      <c r="R2765" s="23" t="s">
        <v>2188</v>
      </c>
      <c r="S2765" s="33">
        <v>0.7</v>
      </c>
      <c r="T2765" s="13">
        <v>19.007999999999999</v>
      </c>
      <c r="U2765" s="13">
        <v>-12.672000000000001</v>
      </c>
      <c r="V2765" s="55">
        <f>Table3[[#This Row],[Profit]]/Table3[[#This Row],[Sales]]</f>
        <v>-0.66666666666666674</v>
      </c>
    </row>
    <row r="2766" spans="1:22" x14ac:dyDescent="0.2">
      <c r="A2766">
        <v>2765</v>
      </c>
      <c r="B2766" t="s">
        <v>6781</v>
      </c>
      <c r="C2766" s="1">
        <v>43063</v>
      </c>
      <c r="D2766" s="22">
        <f>MONTH(Table3[[#This Row],[Order Date]])</f>
        <v>11</v>
      </c>
      <c r="E2766" t="s">
        <v>2928</v>
      </c>
      <c r="F2766" t="s">
        <v>2929</v>
      </c>
      <c r="G2766" s="23" t="s">
        <v>41</v>
      </c>
      <c r="H2766" s="23" t="s">
        <v>61</v>
      </c>
      <c r="I2766" t="s">
        <v>4394</v>
      </c>
      <c r="J2766" t="s">
        <v>22</v>
      </c>
      <c r="K2766" s="22">
        <v>9</v>
      </c>
      <c r="L2766" s="1">
        <v>43070</v>
      </c>
      <c r="M2766" s="22">
        <f>Table3[[#This Row],[Ship Date]]-Table3[[#This Row],[Order Date]]</f>
        <v>7</v>
      </c>
      <c r="N2766" s="23" t="s">
        <v>45</v>
      </c>
      <c r="O2766" s="23" t="s">
        <v>23</v>
      </c>
      <c r="P2766" s="23" t="s">
        <v>238</v>
      </c>
      <c r="Q2766" s="23" t="s">
        <v>133</v>
      </c>
      <c r="R2766" s="23" t="s">
        <v>237</v>
      </c>
      <c r="S2766" s="33">
        <v>0</v>
      </c>
      <c r="T2766" s="13">
        <v>16.38</v>
      </c>
      <c r="U2766" s="13">
        <v>7.3710000000000004</v>
      </c>
      <c r="V2766" s="55">
        <f>Table3[[#This Row],[Profit]]/Table3[[#This Row],[Sales]]</f>
        <v>0.45000000000000007</v>
      </c>
    </row>
    <row r="2767" spans="1:22" x14ac:dyDescent="0.2">
      <c r="A2767">
        <v>2766</v>
      </c>
      <c r="B2767" t="s">
        <v>6781</v>
      </c>
      <c r="C2767" s="1">
        <v>43063</v>
      </c>
      <c r="D2767" s="22">
        <f>MONTH(Table3[[#This Row],[Order Date]])</f>
        <v>11</v>
      </c>
      <c r="E2767" t="s">
        <v>3351</v>
      </c>
      <c r="F2767" t="s">
        <v>3352</v>
      </c>
      <c r="G2767" s="23" t="s">
        <v>41</v>
      </c>
      <c r="H2767" s="23" t="s">
        <v>155</v>
      </c>
      <c r="I2767" t="s">
        <v>4394</v>
      </c>
      <c r="J2767" t="s">
        <v>22</v>
      </c>
      <c r="K2767" s="22">
        <v>2</v>
      </c>
      <c r="L2767" s="1">
        <v>43070</v>
      </c>
      <c r="M2767" s="22">
        <f>Table3[[#This Row],[Ship Date]]-Table3[[#This Row],[Order Date]]</f>
        <v>7</v>
      </c>
      <c r="N2767" s="23" t="s">
        <v>45</v>
      </c>
      <c r="O2767" s="23" t="s">
        <v>23</v>
      </c>
      <c r="P2767" s="23" t="s">
        <v>238</v>
      </c>
      <c r="Q2767" s="23" t="s">
        <v>133</v>
      </c>
      <c r="R2767" s="23" t="s">
        <v>237</v>
      </c>
      <c r="S2767" s="33">
        <v>0</v>
      </c>
      <c r="T2767" s="13">
        <v>167.96</v>
      </c>
      <c r="U2767" s="13">
        <v>78.941199999999995</v>
      </c>
      <c r="V2767" s="55">
        <f>Table3[[#This Row],[Profit]]/Table3[[#This Row],[Sales]]</f>
        <v>0.47</v>
      </c>
    </row>
    <row r="2768" spans="1:22" x14ac:dyDescent="0.2">
      <c r="A2768">
        <v>2767</v>
      </c>
      <c r="B2768" t="s">
        <v>6781</v>
      </c>
      <c r="C2768" s="1">
        <v>43063</v>
      </c>
      <c r="D2768" s="22">
        <f>MONTH(Table3[[#This Row],[Order Date]])</f>
        <v>11</v>
      </c>
      <c r="E2768" t="s">
        <v>4841</v>
      </c>
      <c r="F2768" t="s">
        <v>4842</v>
      </c>
      <c r="G2768" s="23" t="s">
        <v>28</v>
      </c>
      <c r="H2768" s="23" t="s">
        <v>29</v>
      </c>
      <c r="I2768" t="s">
        <v>4394</v>
      </c>
      <c r="J2768" t="s">
        <v>22</v>
      </c>
      <c r="K2768" s="22">
        <v>2</v>
      </c>
      <c r="L2768" s="1">
        <v>43070</v>
      </c>
      <c r="M2768" s="22">
        <f>Table3[[#This Row],[Ship Date]]-Table3[[#This Row],[Order Date]]</f>
        <v>7</v>
      </c>
      <c r="N2768" s="23" t="s">
        <v>45</v>
      </c>
      <c r="O2768" s="23" t="s">
        <v>23</v>
      </c>
      <c r="P2768" s="23" t="s">
        <v>238</v>
      </c>
      <c r="Q2768" s="23" t="s">
        <v>133</v>
      </c>
      <c r="R2768" s="23" t="s">
        <v>237</v>
      </c>
      <c r="S2768" s="33">
        <v>0.2</v>
      </c>
      <c r="T2768" s="13">
        <v>321.56799999999998</v>
      </c>
      <c r="U2768" s="13">
        <v>-16.078399999999998</v>
      </c>
      <c r="V2768" s="55">
        <f>Table3[[#This Row],[Profit]]/Table3[[#This Row],[Sales]]</f>
        <v>-4.9999999999999996E-2</v>
      </c>
    </row>
    <row r="2769" spans="1:22" x14ac:dyDescent="0.2">
      <c r="A2769">
        <v>2768</v>
      </c>
      <c r="B2769" t="s">
        <v>6781</v>
      </c>
      <c r="C2769" s="1">
        <v>43063</v>
      </c>
      <c r="D2769" s="22">
        <f>MONTH(Table3[[#This Row],[Order Date]])</f>
        <v>11</v>
      </c>
      <c r="E2769" t="s">
        <v>4236</v>
      </c>
      <c r="F2769" t="s">
        <v>4237</v>
      </c>
      <c r="G2769" s="23" t="s">
        <v>41</v>
      </c>
      <c r="H2769" s="23" t="s">
        <v>82</v>
      </c>
      <c r="I2769" t="s">
        <v>4394</v>
      </c>
      <c r="J2769" t="s">
        <v>22</v>
      </c>
      <c r="K2769" s="22">
        <v>2</v>
      </c>
      <c r="L2769" s="1">
        <v>43070</v>
      </c>
      <c r="M2769" s="22">
        <f>Table3[[#This Row],[Ship Date]]-Table3[[#This Row],[Order Date]]</f>
        <v>7</v>
      </c>
      <c r="N2769" s="23" t="s">
        <v>45</v>
      </c>
      <c r="O2769" s="23" t="s">
        <v>23</v>
      </c>
      <c r="P2769" s="23" t="s">
        <v>238</v>
      </c>
      <c r="Q2769" s="23" t="s">
        <v>133</v>
      </c>
      <c r="R2769" s="23" t="s">
        <v>237</v>
      </c>
      <c r="S2769" s="33">
        <v>0</v>
      </c>
      <c r="T2769" s="13">
        <v>12.96</v>
      </c>
      <c r="U2769" s="13">
        <v>6.2207999999999997</v>
      </c>
      <c r="V2769" s="55">
        <f>Table3[[#This Row],[Profit]]/Table3[[#This Row],[Sales]]</f>
        <v>0.47999999999999993</v>
      </c>
    </row>
    <row r="2770" spans="1:22" x14ac:dyDescent="0.2">
      <c r="A2770">
        <v>2769</v>
      </c>
      <c r="B2770" t="s">
        <v>7009</v>
      </c>
      <c r="C2770" s="1">
        <v>43063</v>
      </c>
      <c r="D2770" s="22">
        <f>MONTH(Table3[[#This Row],[Order Date]])</f>
        <v>11</v>
      </c>
      <c r="E2770" t="s">
        <v>3167</v>
      </c>
      <c r="F2770" t="s">
        <v>3168</v>
      </c>
      <c r="G2770" s="23" t="s">
        <v>41</v>
      </c>
      <c r="H2770" s="23" t="s">
        <v>61</v>
      </c>
      <c r="I2770" t="s">
        <v>2260</v>
      </c>
      <c r="J2770" t="s">
        <v>22</v>
      </c>
      <c r="K2770" s="22">
        <v>4</v>
      </c>
      <c r="L2770" s="1">
        <v>43066</v>
      </c>
      <c r="M2770" s="22">
        <f>Table3[[#This Row],[Ship Date]]-Table3[[#This Row],[Order Date]]</f>
        <v>3</v>
      </c>
      <c r="N2770" s="23" t="s">
        <v>169</v>
      </c>
      <c r="O2770" s="23" t="s">
        <v>23</v>
      </c>
      <c r="P2770" s="23" t="s">
        <v>38</v>
      </c>
      <c r="Q2770" s="23" t="s">
        <v>39</v>
      </c>
      <c r="R2770" s="23" t="s">
        <v>114</v>
      </c>
      <c r="S2770" s="33">
        <v>0</v>
      </c>
      <c r="T2770" s="13">
        <v>27.76</v>
      </c>
      <c r="U2770" s="13">
        <v>9.9936000000000007</v>
      </c>
      <c r="V2770" s="55">
        <f>Table3[[#This Row],[Profit]]/Table3[[#This Row],[Sales]]</f>
        <v>0.36</v>
      </c>
    </row>
    <row r="2771" spans="1:22" x14ac:dyDescent="0.2">
      <c r="A2771">
        <v>2770</v>
      </c>
      <c r="B2771" t="s">
        <v>7084</v>
      </c>
      <c r="C2771" s="1">
        <v>43063</v>
      </c>
      <c r="D2771" s="22">
        <f>MONTH(Table3[[#This Row],[Order Date]])</f>
        <v>11</v>
      </c>
      <c r="E2771" t="s">
        <v>3194</v>
      </c>
      <c r="F2771" t="s">
        <v>3195</v>
      </c>
      <c r="G2771" s="23" t="s">
        <v>64</v>
      </c>
      <c r="H2771" s="23" t="s">
        <v>65</v>
      </c>
      <c r="I2771" t="s">
        <v>3429</v>
      </c>
      <c r="J2771" t="s">
        <v>36</v>
      </c>
      <c r="K2771" s="22">
        <v>2</v>
      </c>
      <c r="L2771" s="1">
        <v>43068</v>
      </c>
      <c r="M2771" s="22">
        <f>Table3[[#This Row],[Ship Date]]-Table3[[#This Row],[Order Date]]</f>
        <v>5</v>
      </c>
      <c r="N2771" s="23" t="s">
        <v>45</v>
      </c>
      <c r="O2771" s="23" t="s">
        <v>23</v>
      </c>
      <c r="P2771" s="23" t="s">
        <v>132</v>
      </c>
      <c r="Q2771" s="23" t="s">
        <v>133</v>
      </c>
      <c r="R2771" s="23" t="s">
        <v>2174</v>
      </c>
      <c r="S2771" s="33">
        <v>0.4</v>
      </c>
      <c r="T2771" s="13">
        <v>89.988</v>
      </c>
      <c r="U2771" s="13">
        <v>-14.997999999999999</v>
      </c>
      <c r="V2771" s="55">
        <f>Table3[[#This Row],[Profit]]/Table3[[#This Row],[Sales]]</f>
        <v>-0.16666666666666666</v>
      </c>
    </row>
    <row r="2772" spans="1:22" x14ac:dyDescent="0.2">
      <c r="A2772">
        <v>2771</v>
      </c>
      <c r="B2772" t="s">
        <v>7084</v>
      </c>
      <c r="C2772" s="1">
        <v>43063</v>
      </c>
      <c r="D2772" s="22">
        <f>MONTH(Table3[[#This Row],[Order Date]])</f>
        <v>11</v>
      </c>
      <c r="E2772" t="s">
        <v>3975</v>
      </c>
      <c r="F2772" t="s">
        <v>3976</v>
      </c>
      <c r="G2772" s="23" t="s">
        <v>41</v>
      </c>
      <c r="H2772" s="23" t="s">
        <v>82</v>
      </c>
      <c r="I2772" t="s">
        <v>3429</v>
      </c>
      <c r="J2772" t="s">
        <v>36</v>
      </c>
      <c r="K2772" s="22">
        <v>7</v>
      </c>
      <c r="L2772" s="1">
        <v>43068</v>
      </c>
      <c r="M2772" s="22">
        <f>Table3[[#This Row],[Ship Date]]-Table3[[#This Row],[Order Date]]</f>
        <v>5</v>
      </c>
      <c r="N2772" s="23" t="s">
        <v>45</v>
      </c>
      <c r="O2772" s="23" t="s">
        <v>23</v>
      </c>
      <c r="P2772" s="23" t="s">
        <v>132</v>
      </c>
      <c r="Q2772" s="23" t="s">
        <v>133</v>
      </c>
      <c r="R2772" s="23" t="s">
        <v>2174</v>
      </c>
      <c r="S2772" s="33">
        <v>0.2</v>
      </c>
      <c r="T2772" s="13">
        <v>229.54400000000001</v>
      </c>
      <c r="U2772" s="13">
        <v>83.209699999999998</v>
      </c>
      <c r="V2772" s="55">
        <f>Table3[[#This Row],[Profit]]/Table3[[#This Row],[Sales]]</f>
        <v>0.36249999999999999</v>
      </c>
    </row>
    <row r="2773" spans="1:22" x14ac:dyDescent="0.2">
      <c r="A2773">
        <v>2772</v>
      </c>
      <c r="B2773" t="s">
        <v>9060</v>
      </c>
      <c r="C2773" s="1">
        <v>43063</v>
      </c>
      <c r="D2773" s="22">
        <f>MONTH(Table3[[#This Row],[Order Date]])</f>
        <v>11</v>
      </c>
      <c r="E2773" t="s">
        <v>4673</v>
      </c>
      <c r="F2773" t="s">
        <v>4674</v>
      </c>
      <c r="G2773" s="23" t="s">
        <v>41</v>
      </c>
      <c r="H2773" s="23" t="s">
        <v>53</v>
      </c>
      <c r="I2773" t="s">
        <v>3052</v>
      </c>
      <c r="J2773" t="s">
        <v>36</v>
      </c>
      <c r="K2773" s="22">
        <v>1</v>
      </c>
      <c r="L2773" s="1">
        <v>43063</v>
      </c>
      <c r="M2773" s="22">
        <f>Table3[[#This Row],[Ship Date]]-Table3[[#This Row],[Order Date]]</f>
        <v>0</v>
      </c>
      <c r="N2773" s="23" t="s">
        <v>1141</v>
      </c>
      <c r="O2773" s="23" t="s">
        <v>23</v>
      </c>
      <c r="P2773" s="23" t="s">
        <v>4001</v>
      </c>
      <c r="Q2773" s="23" t="s">
        <v>95</v>
      </c>
      <c r="R2773" s="23" t="s">
        <v>8672</v>
      </c>
      <c r="S2773" s="33">
        <v>0</v>
      </c>
      <c r="T2773" s="13">
        <v>33.29</v>
      </c>
      <c r="U2773" s="13">
        <v>7.9896000000000003</v>
      </c>
      <c r="V2773" s="55">
        <f>Table3[[#This Row],[Profit]]/Table3[[#This Row],[Sales]]</f>
        <v>0.24000000000000002</v>
      </c>
    </row>
    <row r="2774" spans="1:22" x14ac:dyDescent="0.2">
      <c r="A2774">
        <v>2773</v>
      </c>
      <c r="B2774" t="s">
        <v>9653</v>
      </c>
      <c r="C2774" s="1">
        <v>43063</v>
      </c>
      <c r="D2774" s="22">
        <f>MONTH(Table3[[#This Row],[Order Date]])</f>
        <v>11</v>
      </c>
      <c r="E2774" t="s">
        <v>1936</v>
      </c>
      <c r="F2774" t="s">
        <v>1937</v>
      </c>
      <c r="G2774" s="23" t="s">
        <v>41</v>
      </c>
      <c r="H2774" s="23" t="s">
        <v>82</v>
      </c>
      <c r="I2774" t="s">
        <v>5848</v>
      </c>
      <c r="J2774" t="s">
        <v>22</v>
      </c>
      <c r="K2774" s="22">
        <v>1</v>
      </c>
      <c r="L2774" s="1">
        <v>43063</v>
      </c>
      <c r="M2774" s="22">
        <f>Table3[[#This Row],[Ship Date]]-Table3[[#This Row],[Order Date]]</f>
        <v>0</v>
      </c>
      <c r="N2774" s="23" t="s">
        <v>1141</v>
      </c>
      <c r="O2774" s="23" t="s">
        <v>23</v>
      </c>
      <c r="P2774" s="23" t="s">
        <v>38</v>
      </c>
      <c r="Q2774" s="23" t="s">
        <v>39</v>
      </c>
      <c r="R2774" s="23" t="s">
        <v>114</v>
      </c>
      <c r="S2774" s="33">
        <v>0</v>
      </c>
      <c r="T2774" s="13">
        <v>7.78</v>
      </c>
      <c r="U2774" s="13">
        <v>3.5009999999999999</v>
      </c>
      <c r="V2774" s="55">
        <f>Table3[[#This Row],[Profit]]/Table3[[#This Row],[Sales]]</f>
        <v>0.44999999999999996</v>
      </c>
    </row>
    <row r="2775" spans="1:22" x14ac:dyDescent="0.2">
      <c r="A2775">
        <v>2774</v>
      </c>
      <c r="B2775" t="s">
        <v>9708</v>
      </c>
      <c r="C2775" s="1">
        <v>43063</v>
      </c>
      <c r="D2775" s="22">
        <f>MONTH(Table3[[#This Row],[Order Date]])</f>
        <v>11</v>
      </c>
      <c r="E2775" t="s">
        <v>96</v>
      </c>
      <c r="F2775" t="s">
        <v>97</v>
      </c>
      <c r="G2775" s="23" t="s">
        <v>41</v>
      </c>
      <c r="H2775" s="23" t="s">
        <v>71</v>
      </c>
      <c r="I2775" t="s">
        <v>5632</v>
      </c>
      <c r="J2775" t="s">
        <v>36</v>
      </c>
      <c r="K2775" s="22">
        <v>1</v>
      </c>
      <c r="L2775" s="1">
        <v>43069</v>
      </c>
      <c r="M2775" s="22">
        <f>Table3[[#This Row],[Ship Date]]-Table3[[#This Row],[Order Date]]</f>
        <v>6</v>
      </c>
      <c r="N2775" s="23" t="s">
        <v>45</v>
      </c>
      <c r="O2775" s="23" t="s">
        <v>23</v>
      </c>
      <c r="P2775" s="23" t="s">
        <v>94</v>
      </c>
      <c r="Q2775" s="23" t="s">
        <v>95</v>
      </c>
      <c r="R2775" s="23" t="s">
        <v>6188</v>
      </c>
      <c r="S2775" s="33">
        <v>0.8</v>
      </c>
      <c r="T2775" s="13">
        <v>13.762</v>
      </c>
      <c r="U2775" s="13">
        <v>-24.771599999999999</v>
      </c>
      <c r="V2775" s="55">
        <f>Table3[[#This Row],[Profit]]/Table3[[#This Row],[Sales]]</f>
        <v>-1.7999999999999998</v>
      </c>
    </row>
    <row r="2776" spans="1:22" x14ac:dyDescent="0.2">
      <c r="A2776">
        <v>2775</v>
      </c>
      <c r="B2776" t="s">
        <v>9733</v>
      </c>
      <c r="C2776" s="1">
        <v>43063</v>
      </c>
      <c r="D2776" s="22">
        <f>MONTH(Table3[[#This Row],[Order Date]])</f>
        <v>11</v>
      </c>
      <c r="E2776" t="s">
        <v>6629</v>
      </c>
      <c r="F2776" t="s">
        <v>6630</v>
      </c>
      <c r="G2776" s="23" t="s">
        <v>41</v>
      </c>
      <c r="H2776" s="23" t="s">
        <v>68</v>
      </c>
      <c r="I2776" t="s">
        <v>1522</v>
      </c>
      <c r="J2776" t="s">
        <v>36</v>
      </c>
      <c r="K2776" s="22">
        <v>3</v>
      </c>
      <c r="L2776" s="1">
        <v>43070</v>
      </c>
      <c r="M2776" s="22">
        <f>Table3[[#This Row],[Ship Date]]-Table3[[#This Row],[Order Date]]</f>
        <v>7</v>
      </c>
      <c r="N2776" s="23" t="s">
        <v>45</v>
      </c>
      <c r="O2776" s="23" t="s">
        <v>23</v>
      </c>
      <c r="P2776" s="23" t="s">
        <v>299</v>
      </c>
      <c r="Q2776" s="23" t="s">
        <v>26</v>
      </c>
      <c r="R2776" s="23" t="s">
        <v>298</v>
      </c>
      <c r="S2776" s="33">
        <v>0.7</v>
      </c>
      <c r="T2776" s="13">
        <v>11.673</v>
      </c>
      <c r="U2776" s="13">
        <v>-7.782</v>
      </c>
      <c r="V2776" s="55">
        <f>Table3[[#This Row],[Profit]]/Table3[[#This Row],[Sales]]</f>
        <v>-0.66666666666666663</v>
      </c>
    </row>
    <row r="2777" spans="1:22" x14ac:dyDescent="0.2">
      <c r="A2777">
        <v>2776</v>
      </c>
      <c r="B2777" t="s">
        <v>9733</v>
      </c>
      <c r="C2777" s="1">
        <v>43063</v>
      </c>
      <c r="D2777" s="22">
        <f>MONTH(Table3[[#This Row],[Order Date]])</f>
        <v>11</v>
      </c>
      <c r="E2777" t="s">
        <v>7301</v>
      </c>
      <c r="F2777" t="s">
        <v>7302</v>
      </c>
      <c r="G2777" s="23" t="s">
        <v>41</v>
      </c>
      <c r="H2777" s="23" t="s">
        <v>155</v>
      </c>
      <c r="I2777" t="s">
        <v>1522</v>
      </c>
      <c r="J2777" t="s">
        <v>36</v>
      </c>
      <c r="K2777" s="22">
        <v>7</v>
      </c>
      <c r="L2777" s="1">
        <v>43070</v>
      </c>
      <c r="M2777" s="22">
        <f>Table3[[#This Row],[Ship Date]]-Table3[[#This Row],[Order Date]]</f>
        <v>7</v>
      </c>
      <c r="N2777" s="23" t="s">
        <v>45</v>
      </c>
      <c r="O2777" s="23" t="s">
        <v>23</v>
      </c>
      <c r="P2777" s="23" t="s">
        <v>299</v>
      </c>
      <c r="Q2777" s="23" t="s">
        <v>26</v>
      </c>
      <c r="R2777" s="23" t="s">
        <v>298</v>
      </c>
      <c r="S2777" s="33">
        <v>0.2</v>
      </c>
      <c r="T2777" s="13">
        <v>64.847999999999999</v>
      </c>
      <c r="U2777" s="13">
        <v>24.318000000000001</v>
      </c>
      <c r="V2777" s="55">
        <f>Table3[[#This Row],[Profit]]/Table3[[#This Row],[Sales]]</f>
        <v>0.375</v>
      </c>
    </row>
    <row r="2778" spans="1:22" x14ac:dyDescent="0.2">
      <c r="A2778">
        <v>2777</v>
      </c>
      <c r="B2778" t="s">
        <v>10027</v>
      </c>
      <c r="C2778" s="1">
        <v>43063</v>
      </c>
      <c r="D2778" s="22">
        <f>MONTH(Table3[[#This Row],[Order Date]])</f>
        <v>11</v>
      </c>
      <c r="E2778" t="s">
        <v>1196</v>
      </c>
      <c r="F2778" t="s">
        <v>1197</v>
      </c>
      <c r="G2778" s="23" t="s">
        <v>28</v>
      </c>
      <c r="H2778" s="23" t="s">
        <v>50</v>
      </c>
      <c r="I2778" t="s">
        <v>3286</v>
      </c>
      <c r="J2778" t="s">
        <v>22</v>
      </c>
      <c r="K2778" s="22">
        <v>2</v>
      </c>
      <c r="L2778" s="1">
        <v>43063</v>
      </c>
      <c r="M2778" s="22">
        <f>Table3[[#This Row],[Ship Date]]-Table3[[#This Row],[Order Date]]</f>
        <v>0</v>
      </c>
      <c r="N2778" s="23" t="s">
        <v>1141</v>
      </c>
      <c r="O2778" s="23" t="s">
        <v>23</v>
      </c>
      <c r="P2778" s="23" t="s">
        <v>38</v>
      </c>
      <c r="Q2778" s="23" t="s">
        <v>39</v>
      </c>
      <c r="R2778" s="23" t="s">
        <v>37</v>
      </c>
      <c r="S2778" s="33">
        <v>0.2</v>
      </c>
      <c r="T2778" s="13">
        <v>364.08</v>
      </c>
      <c r="U2778" s="13">
        <v>9.1020000000000003</v>
      </c>
      <c r="V2778" s="55">
        <f>Table3[[#This Row],[Profit]]/Table3[[#This Row],[Sales]]</f>
        <v>2.5000000000000001E-2</v>
      </c>
    </row>
    <row r="2779" spans="1:22" x14ac:dyDescent="0.2">
      <c r="A2779">
        <v>2778</v>
      </c>
      <c r="B2779" t="s">
        <v>10027</v>
      </c>
      <c r="C2779" s="1">
        <v>43063</v>
      </c>
      <c r="D2779" s="22">
        <f>MONTH(Table3[[#This Row],[Order Date]])</f>
        <v>11</v>
      </c>
      <c r="E2779" t="s">
        <v>3358</v>
      </c>
      <c r="F2779" t="s">
        <v>3359</v>
      </c>
      <c r="G2779" s="23" t="s">
        <v>28</v>
      </c>
      <c r="H2779" s="23" t="s">
        <v>50</v>
      </c>
      <c r="I2779" t="s">
        <v>3286</v>
      </c>
      <c r="J2779" t="s">
        <v>22</v>
      </c>
      <c r="K2779" s="22">
        <v>2</v>
      </c>
      <c r="L2779" s="1">
        <v>43063</v>
      </c>
      <c r="M2779" s="22">
        <f>Table3[[#This Row],[Ship Date]]-Table3[[#This Row],[Order Date]]</f>
        <v>0</v>
      </c>
      <c r="N2779" s="23" t="s">
        <v>1141</v>
      </c>
      <c r="O2779" s="23" t="s">
        <v>23</v>
      </c>
      <c r="P2779" s="23" t="s">
        <v>38</v>
      </c>
      <c r="Q2779" s="23" t="s">
        <v>39</v>
      </c>
      <c r="R2779" s="23" t="s">
        <v>37</v>
      </c>
      <c r="S2779" s="33">
        <v>0.2</v>
      </c>
      <c r="T2779" s="13">
        <v>71.087999999999994</v>
      </c>
      <c r="U2779" s="13">
        <v>-1.7771999999999999</v>
      </c>
      <c r="V2779" s="55">
        <f>Table3[[#This Row],[Profit]]/Table3[[#This Row],[Sales]]</f>
        <v>-2.5000000000000001E-2</v>
      </c>
    </row>
    <row r="2780" spans="1:22" x14ac:dyDescent="0.2">
      <c r="A2780">
        <v>2779</v>
      </c>
      <c r="B2780" t="s">
        <v>10119</v>
      </c>
      <c r="C2780" s="1">
        <v>43063</v>
      </c>
      <c r="D2780" s="22">
        <f>MONTH(Table3[[#This Row],[Order Date]])</f>
        <v>11</v>
      </c>
      <c r="E2780" t="s">
        <v>1399</v>
      </c>
      <c r="F2780" t="s">
        <v>1400</v>
      </c>
      <c r="G2780" s="23" t="s">
        <v>64</v>
      </c>
      <c r="H2780" s="23" t="s">
        <v>144</v>
      </c>
      <c r="I2780" t="s">
        <v>1864</v>
      </c>
      <c r="J2780" t="s">
        <v>22</v>
      </c>
      <c r="K2780" s="22">
        <v>14</v>
      </c>
      <c r="L2780" s="1">
        <v>43069</v>
      </c>
      <c r="M2780" s="22">
        <f>Table3[[#This Row],[Ship Date]]-Table3[[#This Row],[Order Date]]</f>
        <v>6</v>
      </c>
      <c r="N2780" s="23" t="s">
        <v>45</v>
      </c>
      <c r="O2780" s="23" t="s">
        <v>23</v>
      </c>
      <c r="P2780" s="23" t="s">
        <v>38</v>
      </c>
      <c r="Q2780" s="23" t="s">
        <v>39</v>
      </c>
      <c r="R2780" s="23" t="s">
        <v>114</v>
      </c>
      <c r="S2780" s="33">
        <v>0</v>
      </c>
      <c r="T2780" s="13">
        <v>223.58</v>
      </c>
      <c r="U2780" s="13">
        <v>87.196200000000005</v>
      </c>
      <c r="V2780" s="55">
        <f>Table3[[#This Row],[Profit]]/Table3[[#This Row],[Sales]]</f>
        <v>0.39</v>
      </c>
    </row>
    <row r="2781" spans="1:22" x14ac:dyDescent="0.2">
      <c r="A2781">
        <v>2780</v>
      </c>
      <c r="B2781" t="s">
        <v>6269</v>
      </c>
      <c r="C2781" s="1">
        <v>43064</v>
      </c>
      <c r="D2781" s="22">
        <f>MONTH(Table3[[#This Row],[Order Date]])</f>
        <v>11</v>
      </c>
      <c r="E2781" t="s">
        <v>2578</v>
      </c>
      <c r="F2781" t="s">
        <v>2579</v>
      </c>
      <c r="G2781" s="23" t="s">
        <v>41</v>
      </c>
      <c r="H2781" s="23" t="s">
        <v>53</v>
      </c>
      <c r="I2781" t="s">
        <v>3315</v>
      </c>
      <c r="J2781" t="s">
        <v>92</v>
      </c>
      <c r="K2781" s="22">
        <v>3</v>
      </c>
      <c r="L2781" s="1">
        <v>43066</v>
      </c>
      <c r="M2781" s="22">
        <f>Table3[[#This Row],[Ship Date]]-Table3[[#This Row],[Order Date]]</f>
        <v>2</v>
      </c>
      <c r="N2781" s="23" t="s">
        <v>20</v>
      </c>
      <c r="O2781" s="23" t="s">
        <v>23</v>
      </c>
      <c r="P2781" s="23" t="s">
        <v>212</v>
      </c>
      <c r="Q2781" s="23" t="s">
        <v>95</v>
      </c>
      <c r="R2781" s="23" t="s">
        <v>1319</v>
      </c>
      <c r="S2781" s="33">
        <v>0</v>
      </c>
      <c r="T2781" s="13">
        <v>501.81</v>
      </c>
      <c r="U2781" s="13">
        <v>0</v>
      </c>
      <c r="V2781" s="55">
        <f>Table3[[#This Row],[Profit]]/Table3[[#This Row],[Sales]]</f>
        <v>0</v>
      </c>
    </row>
    <row r="2782" spans="1:22" x14ac:dyDescent="0.2">
      <c r="A2782">
        <v>2781</v>
      </c>
      <c r="B2782" t="s">
        <v>7227</v>
      </c>
      <c r="C2782" s="1">
        <v>43064</v>
      </c>
      <c r="D2782" s="22">
        <f>MONTH(Table3[[#This Row],[Order Date]])</f>
        <v>11</v>
      </c>
      <c r="E2782" t="s">
        <v>4452</v>
      </c>
      <c r="F2782" t="s">
        <v>4922</v>
      </c>
      <c r="G2782" s="23" t="s">
        <v>28</v>
      </c>
      <c r="H2782" s="23" t="s">
        <v>29</v>
      </c>
      <c r="I2782" t="s">
        <v>1630</v>
      </c>
      <c r="J2782" t="s">
        <v>22</v>
      </c>
      <c r="K2782" s="22">
        <v>3</v>
      </c>
      <c r="L2782" s="1">
        <v>43068</v>
      </c>
      <c r="M2782" s="22">
        <f>Table3[[#This Row],[Ship Date]]-Table3[[#This Row],[Order Date]]</f>
        <v>4</v>
      </c>
      <c r="N2782" s="23" t="s">
        <v>45</v>
      </c>
      <c r="O2782" s="23" t="s">
        <v>23</v>
      </c>
      <c r="P2782" s="23" t="s">
        <v>38</v>
      </c>
      <c r="Q2782" s="23" t="s">
        <v>39</v>
      </c>
      <c r="R2782" s="23" t="s">
        <v>114</v>
      </c>
      <c r="S2782" s="33">
        <v>0.15</v>
      </c>
      <c r="T2782" s="13">
        <v>359.49900000000002</v>
      </c>
      <c r="U2782" s="13">
        <v>-29.605799999999999</v>
      </c>
      <c r="V2782" s="55">
        <f>Table3[[#This Row],[Profit]]/Table3[[#This Row],[Sales]]</f>
        <v>-8.2352941176470573E-2</v>
      </c>
    </row>
    <row r="2783" spans="1:22" x14ac:dyDescent="0.2">
      <c r="A2783">
        <v>2782</v>
      </c>
      <c r="B2783" t="s">
        <v>7227</v>
      </c>
      <c r="C2783" s="1">
        <v>43064</v>
      </c>
      <c r="D2783" s="22">
        <f>MONTH(Table3[[#This Row],[Order Date]])</f>
        <v>11</v>
      </c>
      <c r="E2783" t="s">
        <v>1614</v>
      </c>
      <c r="F2783" t="s">
        <v>1615</v>
      </c>
      <c r="G2783" s="23" t="s">
        <v>41</v>
      </c>
      <c r="H2783" s="23" t="s">
        <v>53</v>
      </c>
      <c r="I2783" t="s">
        <v>1630</v>
      </c>
      <c r="J2783" t="s">
        <v>22</v>
      </c>
      <c r="K2783" s="22">
        <v>1</v>
      </c>
      <c r="L2783" s="1">
        <v>43068</v>
      </c>
      <c r="M2783" s="22">
        <f>Table3[[#This Row],[Ship Date]]-Table3[[#This Row],[Order Date]]</f>
        <v>4</v>
      </c>
      <c r="N2783" s="23" t="s">
        <v>45</v>
      </c>
      <c r="O2783" s="23" t="s">
        <v>23</v>
      </c>
      <c r="P2783" s="23" t="s">
        <v>38</v>
      </c>
      <c r="Q2783" s="23" t="s">
        <v>39</v>
      </c>
      <c r="R2783" s="23" t="s">
        <v>114</v>
      </c>
      <c r="S2783" s="33">
        <v>0</v>
      </c>
      <c r="T2783" s="13">
        <v>10.48</v>
      </c>
      <c r="U2783" s="13">
        <v>2.8296000000000001</v>
      </c>
      <c r="V2783" s="55">
        <f>Table3[[#This Row],[Profit]]/Table3[[#This Row],[Sales]]</f>
        <v>0.27</v>
      </c>
    </row>
    <row r="2784" spans="1:22" x14ac:dyDescent="0.2">
      <c r="A2784">
        <v>2783</v>
      </c>
      <c r="B2784" t="s">
        <v>8058</v>
      </c>
      <c r="C2784" s="1">
        <v>43064</v>
      </c>
      <c r="D2784" s="22">
        <f>MONTH(Table3[[#This Row],[Order Date]])</f>
        <v>11</v>
      </c>
      <c r="E2784" t="s">
        <v>6081</v>
      </c>
      <c r="F2784" t="s">
        <v>6082</v>
      </c>
      <c r="G2784" s="23" t="s">
        <v>64</v>
      </c>
      <c r="H2784" s="23" t="s">
        <v>65</v>
      </c>
      <c r="I2784" t="s">
        <v>3648</v>
      </c>
      <c r="J2784" t="s">
        <v>36</v>
      </c>
      <c r="K2784" s="22">
        <v>5</v>
      </c>
      <c r="L2784" s="1">
        <v>43068</v>
      </c>
      <c r="M2784" s="22">
        <f>Table3[[#This Row],[Ship Date]]-Table3[[#This Row],[Order Date]]</f>
        <v>4</v>
      </c>
      <c r="N2784" s="23" t="s">
        <v>20</v>
      </c>
      <c r="O2784" s="23" t="s">
        <v>23</v>
      </c>
      <c r="P2784" s="23" t="s">
        <v>38</v>
      </c>
      <c r="Q2784" s="23" t="s">
        <v>39</v>
      </c>
      <c r="R2784" s="23" t="s">
        <v>3603</v>
      </c>
      <c r="S2784" s="33">
        <v>0.2</v>
      </c>
      <c r="T2784" s="13">
        <v>39.96</v>
      </c>
      <c r="U2784" s="13">
        <v>3.4965000000000002</v>
      </c>
      <c r="V2784" s="55">
        <f>Table3[[#This Row],[Profit]]/Table3[[#This Row],[Sales]]</f>
        <v>8.7500000000000008E-2</v>
      </c>
    </row>
    <row r="2785" spans="1:22" x14ac:dyDescent="0.2">
      <c r="A2785">
        <v>2784</v>
      </c>
      <c r="B2785" t="s">
        <v>8058</v>
      </c>
      <c r="C2785" s="1">
        <v>43064</v>
      </c>
      <c r="D2785" s="22">
        <f>MONTH(Table3[[#This Row],[Order Date]])</f>
        <v>11</v>
      </c>
      <c r="E2785" t="s">
        <v>495</v>
      </c>
      <c r="F2785" t="s">
        <v>1928</v>
      </c>
      <c r="G2785" s="23" t="s">
        <v>41</v>
      </c>
      <c r="H2785" s="23" t="s">
        <v>82</v>
      </c>
      <c r="I2785" t="s">
        <v>3648</v>
      </c>
      <c r="J2785" t="s">
        <v>36</v>
      </c>
      <c r="K2785" s="22">
        <v>6</v>
      </c>
      <c r="L2785" s="1">
        <v>43068</v>
      </c>
      <c r="M2785" s="22">
        <f>Table3[[#This Row],[Ship Date]]-Table3[[#This Row],[Order Date]]</f>
        <v>4</v>
      </c>
      <c r="N2785" s="23" t="s">
        <v>20</v>
      </c>
      <c r="O2785" s="23" t="s">
        <v>23</v>
      </c>
      <c r="P2785" s="23" t="s">
        <v>38</v>
      </c>
      <c r="Q2785" s="23" t="s">
        <v>39</v>
      </c>
      <c r="R2785" s="23" t="s">
        <v>3603</v>
      </c>
      <c r="S2785" s="33">
        <v>0</v>
      </c>
      <c r="T2785" s="13">
        <v>34.08</v>
      </c>
      <c r="U2785" s="13">
        <v>15.336</v>
      </c>
      <c r="V2785" s="55">
        <f>Table3[[#This Row],[Profit]]/Table3[[#This Row],[Sales]]</f>
        <v>0.45</v>
      </c>
    </row>
    <row r="2786" spans="1:22" x14ac:dyDescent="0.2">
      <c r="A2786">
        <v>2785</v>
      </c>
      <c r="B2786" t="s">
        <v>8442</v>
      </c>
      <c r="C2786" s="1">
        <v>43064</v>
      </c>
      <c r="D2786" s="22">
        <f>MONTH(Table3[[#This Row],[Order Date]])</f>
        <v>11</v>
      </c>
      <c r="E2786" t="s">
        <v>1267</v>
      </c>
      <c r="F2786" t="s">
        <v>1268</v>
      </c>
      <c r="G2786" s="23" t="s">
        <v>41</v>
      </c>
      <c r="H2786" s="23" t="s">
        <v>82</v>
      </c>
      <c r="I2786" t="s">
        <v>840</v>
      </c>
      <c r="J2786" t="s">
        <v>22</v>
      </c>
      <c r="K2786" s="22">
        <v>9</v>
      </c>
      <c r="L2786" s="1">
        <v>43068</v>
      </c>
      <c r="M2786" s="22">
        <f>Table3[[#This Row],[Ship Date]]-Table3[[#This Row],[Order Date]]</f>
        <v>4</v>
      </c>
      <c r="N2786" s="23" t="s">
        <v>20</v>
      </c>
      <c r="O2786" s="23" t="s">
        <v>23</v>
      </c>
      <c r="P2786" s="23" t="s">
        <v>1125</v>
      </c>
      <c r="Q2786" s="23" t="s">
        <v>26</v>
      </c>
      <c r="R2786" s="23" t="s">
        <v>1537</v>
      </c>
      <c r="S2786" s="33">
        <v>0</v>
      </c>
      <c r="T2786" s="13">
        <v>48.87</v>
      </c>
      <c r="U2786" s="13">
        <v>23.946300000000001</v>
      </c>
      <c r="V2786" s="55">
        <f>Table3[[#This Row],[Profit]]/Table3[[#This Row],[Sales]]</f>
        <v>0.49000000000000005</v>
      </c>
    </row>
    <row r="2787" spans="1:22" x14ac:dyDescent="0.2">
      <c r="A2787">
        <v>2786</v>
      </c>
      <c r="B2787" t="s">
        <v>9382</v>
      </c>
      <c r="C2787" s="1">
        <v>43064</v>
      </c>
      <c r="D2787" s="22">
        <f>MONTH(Table3[[#This Row],[Order Date]])</f>
        <v>11</v>
      </c>
      <c r="E2787" t="s">
        <v>3890</v>
      </c>
      <c r="F2787" t="s">
        <v>3891</v>
      </c>
      <c r="G2787" s="23" t="s">
        <v>28</v>
      </c>
      <c r="H2787" s="23" t="s">
        <v>29</v>
      </c>
      <c r="I2787" t="s">
        <v>3861</v>
      </c>
      <c r="J2787" t="s">
        <v>22</v>
      </c>
      <c r="K2787" s="22">
        <v>5</v>
      </c>
      <c r="L2787" s="1">
        <v>43069</v>
      </c>
      <c r="M2787" s="22">
        <f>Table3[[#This Row],[Ship Date]]-Table3[[#This Row],[Order Date]]</f>
        <v>5</v>
      </c>
      <c r="N2787" s="23" t="s">
        <v>45</v>
      </c>
      <c r="O2787" s="23" t="s">
        <v>23</v>
      </c>
      <c r="P2787" s="23" t="s">
        <v>48</v>
      </c>
      <c r="Q2787" s="23" t="s">
        <v>26</v>
      </c>
      <c r="R2787" s="23" t="s">
        <v>47</v>
      </c>
      <c r="S2787" s="33">
        <v>0.2</v>
      </c>
      <c r="T2787" s="13">
        <v>723.92</v>
      </c>
      <c r="U2787" s="13">
        <v>-81.441000000000003</v>
      </c>
      <c r="V2787" s="55">
        <f>Table3[[#This Row],[Profit]]/Table3[[#This Row],[Sales]]</f>
        <v>-0.11250000000000002</v>
      </c>
    </row>
    <row r="2788" spans="1:22" x14ac:dyDescent="0.2">
      <c r="A2788">
        <v>2787</v>
      </c>
      <c r="B2788" t="s">
        <v>9397</v>
      </c>
      <c r="C2788" s="1">
        <v>43064</v>
      </c>
      <c r="D2788" s="22">
        <f>MONTH(Table3[[#This Row],[Order Date]])</f>
        <v>11</v>
      </c>
      <c r="E2788" t="s">
        <v>2326</v>
      </c>
      <c r="F2788" t="s">
        <v>2327</v>
      </c>
      <c r="G2788" s="23" t="s">
        <v>41</v>
      </c>
      <c r="H2788" s="23" t="s">
        <v>61</v>
      </c>
      <c r="I2788" t="s">
        <v>2595</v>
      </c>
      <c r="J2788" t="s">
        <v>22</v>
      </c>
      <c r="K2788" s="22">
        <v>2</v>
      </c>
      <c r="L2788" s="1">
        <v>43070</v>
      </c>
      <c r="M2788" s="22">
        <f>Table3[[#This Row],[Ship Date]]-Table3[[#This Row],[Order Date]]</f>
        <v>6</v>
      </c>
      <c r="N2788" s="23" t="s">
        <v>45</v>
      </c>
      <c r="O2788" s="23" t="s">
        <v>23</v>
      </c>
      <c r="P2788" s="23" t="s">
        <v>38</v>
      </c>
      <c r="Q2788" s="23" t="s">
        <v>39</v>
      </c>
      <c r="R2788" s="23" t="s">
        <v>114</v>
      </c>
      <c r="S2788" s="33">
        <v>0</v>
      </c>
      <c r="T2788" s="13">
        <v>5.16</v>
      </c>
      <c r="U2788" s="13">
        <v>1.3415999999999999</v>
      </c>
      <c r="V2788" s="55">
        <f>Table3[[#This Row],[Profit]]/Table3[[#This Row],[Sales]]</f>
        <v>0.25999999999999995</v>
      </c>
    </row>
    <row r="2789" spans="1:22" x14ac:dyDescent="0.2">
      <c r="A2789">
        <v>2788</v>
      </c>
      <c r="B2789" t="s">
        <v>9557</v>
      </c>
      <c r="C2789" s="1">
        <v>43064</v>
      </c>
      <c r="D2789" s="22">
        <f>MONTH(Table3[[#This Row],[Order Date]])</f>
        <v>11</v>
      </c>
      <c r="E2789" t="s">
        <v>3194</v>
      </c>
      <c r="F2789" t="s">
        <v>3195</v>
      </c>
      <c r="G2789" s="23" t="s">
        <v>64</v>
      </c>
      <c r="H2789" s="23" t="s">
        <v>65</v>
      </c>
      <c r="I2789" t="s">
        <v>1504</v>
      </c>
      <c r="J2789" t="s">
        <v>22</v>
      </c>
      <c r="K2789" s="22">
        <v>5</v>
      </c>
      <c r="L2789" s="1">
        <v>43069</v>
      </c>
      <c r="M2789" s="22">
        <f>Table3[[#This Row],[Ship Date]]-Table3[[#This Row],[Order Date]]</f>
        <v>5</v>
      </c>
      <c r="N2789" s="23" t="s">
        <v>45</v>
      </c>
      <c r="O2789" s="23" t="s">
        <v>23</v>
      </c>
      <c r="P2789" s="23" t="s">
        <v>94</v>
      </c>
      <c r="Q2789" s="23" t="s">
        <v>95</v>
      </c>
      <c r="R2789" s="23" t="s">
        <v>165</v>
      </c>
      <c r="S2789" s="33">
        <v>0.2</v>
      </c>
      <c r="T2789" s="13">
        <v>299.95999999999998</v>
      </c>
      <c r="U2789" s="13">
        <v>37.494999999999997</v>
      </c>
      <c r="V2789" s="55">
        <f>Table3[[#This Row],[Profit]]/Table3[[#This Row],[Sales]]</f>
        <v>0.125</v>
      </c>
    </row>
    <row r="2790" spans="1:22" x14ac:dyDescent="0.2">
      <c r="A2790">
        <v>2789</v>
      </c>
      <c r="B2790" t="s">
        <v>9557</v>
      </c>
      <c r="C2790" s="1">
        <v>43064</v>
      </c>
      <c r="D2790" s="22">
        <f>MONTH(Table3[[#This Row],[Order Date]])</f>
        <v>11</v>
      </c>
      <c r="E2790" t="s">
        <v>5853</v>
      </c>
      <c r="F2790" t="s">
        <v>5854</v>
      </c>
      <c r="G2790" s="23" t="s">
        <v>41</v>
      </c>
      <c r="H2790" s="23" t="s">
        <v>71</v>
      </c>
      <c r="I2790" t="s">
        <v>1504</v>
      </c>
      <c r="J2790" t="s">
        <v>22</v>
      </c>
      <c r="K2790" s="22">
        <v>5</v>
      </c>
      <c r="L2790" s="1">
        <v>43069</v>
      </c>
      <c r="M2790" s="22">
        <f>Table3[[#This Row],[Ship Date]]-Table3[[#This Row],[Order Date]]</f>
        <v>5</v>
      </c>
      <c r="N2790" s="23" t="s">
        <v>45</v>
      </c>
      <c r="O2790" s="23" t="s">
        <v>23</v>
      </c>
      <c r="P2790" s="23" t="s">
        <v>94</v>
      </c>
      <c r="Q2790" s="23" t="s">
        <v>95</v>
      </c>
      <c r="R2790" s="23" t="s">
        <v>165</v>
      </c>
      <c r="S2790" s="33">
        <v>0.8</v>
      </c>
      <c r="T2790" s="13">
        <v>67.84</v>
      </c>
      <c r="U2790" s="13">
        <v>-179.77600000000001</v>
      </c>
      <c r="V2790" s="55">
        <f>Table3[[#This Row],[Profit]]/Table3[[#This Row],[Sales]]</f>
        <v>-2.65</v>
      </c>
    </row>
    <row r="2791" spans="1:22" x14ac:dyDescent="0.2">
      <c r="A2791">
        <v>2790</v>
      </c>
      <c r="B2791" t="s">
        <v>9557</v>
      </c>
      <c r="C2791" s="1">
        <v>43064</v>
      </c>
      <c r="D2791" s="22">
        <f>MONTH(Table3[[#This Row],[Order Date]])</f>
        <v>11</v>
      </c>
      <c r="E2791" t="s">
        <v>2937</v>
      </c>
      <c r="F2791" t="s">
        <v>2938</v>
      </c>
      <c r="G2791" s="23" t="s">
        <v>28</v>
      </c>
      <c r="H2791" s="23" t="s">
        <v>32</v>
      </c>
      <c r="I2791" t="s">
        <v>1504</v>
      </c>
      <c r="J2791" t="s">
        <v>22</v>
      </c>
      <c r="K2791" s="22">
        <v>5</v>
      </c>
      <c r="L2791" s="1">
        <v>43069</v>
      </c>
      <c r="M2791" s="22">
        <f>Table3[[#This Row],[Ship Date]]-Table3[[#This Row],[Order Date]]</f>
        <v>5</v>
      </c>
      <c r="N2791" s="23" t="s">
        <v>45</v>
      </c>
      <c r="O2791" s="23" t="s">
        <v>23</v>
      </c>
      <c r="P2791" s="23" t="s">
        <v>94</v>
      </c>
      <c r="Q2791" s="23" t="s">
        <v>95</v>
      </c>
      <c r="R2791" s="23" t="s">
        <v>165</v>
      </c>
      <c r="S2791" s="33">
        <v>0.3</v>
      </c>
      <c r="T2791" s="13">
        <v>853.93</v>
      </c>
      <c r="U2791" s="13">
        <v>-24.398</v>
      </c>
      <c r="V2791" s="55">
        <f>Table3[[#This Row],[Profit]]/Table3[[#This Row],[Sales]]</f>
        <v>-2.8571428571428574E-2</v>
      </c>
    </row>
    <row r="2792" spans="1:22" x14ac:dyDescent="0.2">
      <c r="A2792">
        <v>2791</v>
      </c>
      <c r="B2792" t="s">
        <v>9557</v>
      </c>
      <c r="C2792" s="1">
        <v>43064</v>
      </c>
      <c r="D2792" s="22">
        <f>MONTH(Table3[[#This Row],[Order Date]])</f>
        <v>11</v>
      </c>
      <c r="E2792" t="s">
        <v>6767</v>
      </c>
      <c r="F2792" t="s">
        <v>6768</v>
      </c>
      <c r="G2792" s="23" t="s">
        <v>41</v>
      </c>
      <c r="H2792" s="23" t="s">
        <v>61</v>
      </c>
      <c r="I2792" t="s">
        <v>1504</v>
      </c>
      <c r="J2792" t="s">
        <v>22</v>
      </c>
      <c r="K2792" s="22">
        <v>4</v>
      </c>
      <c r="L2792" s="1">
        <v>43069</v>
      </c>
      <c r="M2792" s="22">
        <f>Table3[[#This Row],[Ship Date]]-Table3[[#This Row],[Order Date]]</f>
        <v>5</v>
      </c>
      <c r="N2792" s="23" t="s">
        <v>45</v>
      </c>
      <c r="O2792" s="23" t="s">
        <v>23</v>
      </c>
      <c r="P2792" s="23" t="s">
        <v>94</v>
      </c>
      <c r="Q2792" s="23" t="s">
        <v>95</v>
      </c>
      <c r="R2792" s="23" t="s">
        <v>165</v>
      </c>
      <c r="S2792" s="33">
        <v>0.2</v>
      </c>
      <c r="T2792" s="13">
        <v>18.687999999999999</v>
      </c>
      <c r="U2792" s="13">
        <v>3.7376</v>
      </c>
      <c r="V2792" s="55">
        <f>Table3[[#This Row],[Profit]]/Table3[[#This Row],[Sales]]</f>
        <v>0.2</v>
      </c>
    </row>
    <row r="2793" spans="1:22" x14ac:dyDescent="0.2">
      <c r="A2793">
        <v>2792</v>
      </c>
      <c r="B2793" t="s">
        <v>9856</v>
      </c>
      <c r="C2793" s="1">
        <v>43064</v>
      </c>
      <c r="D2793" s="22">
        <f>MONTH(Table3[[#This Row],[Order Date]])</f>
        <v>11</v>
      </c>
      <c r="E2793" t="s">
        <v>3992</v>
      </c>
      <c r="F2793" t="s">
        <v>3993</v>
      </c>
      <c r="G2793" s="23" t="s">
        <v>28</v>
      </c>
      <c r="H2793" s="23" t="s">
        <v>32</v>
      </c>
      <c r="I2793" t="s">
        <v>275</v>
      </c>
      <c r="J2793" t="s">
        <v>36</v>
      </c>
      <c r="K2793" s="22">
        <v>2</v>
      </c>
      <c r="L2793" s="1">
        <v>43069</v>
      </c>
      <c r="M2793" s="22">
        <f>Table3[[#This Row],[Ship Date]]-Table3[[#This Row],[Order Date]]</f>
        <v>5</v>
      </c>
      <c r="N2793" s="23" t="s">
        <v>20</v>
      </c>
      <c r="O2793" s="23" t="s">
        <v>23</v>
      </c>
      <c r="P2793" s="23" t="s">
        <v>25</v>
      </c>
      <c r="Q2793" s="23" t="s">
        <v>26</v>
      </c>
      <c r="R2793" s="23" t="s">
        <v>1303</v>
      </c>
      <c r="S2793" s="33">
        <v>0</v>
      </c>
      <c r="T2793" s="13">
        <v>701.96</v>
      </c>
      <c r="U2793" s="13">
        <v>168.47040000000001</v>
      </c>
      <c r="V2793" s="55">
        <f>Table3[[#This Row],[Profit]]/Table3[[#This Row],[Sales]]</f>
        <v>0.24</v>
      </c>
    </row>
    <row r="2794" spans="1:22" x14ac:dyDescent="0.2">
      <c r="A2794">
        <v>2793</v>
      </c>
      <c r="B2794" t="s">
        <v>1545</v>
      </c>
      <c r="C2794" s="1">
        <v>43065</v>
      </c>
      <c r="D2794" s="22">
        <f>MONTH(Table3[[#This Row],[Order Date]])</f>
        <v>11</v>
      </c>
      <c r="E2794" t="s">
        <v>1548</v>
      </c>
      <c r="F2794" t="s">
        <v>1549</v>
      </c>
      <c r="G2794" s="23" t="s">
        <v>28</v>
      </c>
      <c r="H2794" s="23" t="s">
        <v>58</v>
      </c>
      <c r="I2794" t="s">
        <v>1546</v>
      </c>
      <c r="J2794" t="s">
        <v>22</v>
      </c>
      <c r="K2794" s="22">
        <v>3</v>
      </c>
      <c r="L2794" s="1">
        <v>43066</v>
      </c>
      <c r="M2794" s="22">
        <f>Table3[[#This Row],[Ship Date]]-Table3[[#This Row],[Order Date]]</f>
        <v>1</v>
      </c>
      <c r="N2794" s="23" t="s">
        <v>169</v>
      </c>
      <c r="O2794" s="23" t="s">
        <v>23</v>
      </c>
      <c r="P2794" s="23" t="s">
        <v>528</v>
      </c>
      <c r="Q2794" s="23" t="s">
        <v>95</v>
      </c>
      <c r="R2794" s="23" t="s">
        <v>1547</v>
      </c>
      <c r="S2794" s="33">
        <v>0</v>
      </c>
      <c r="T2794" s="13">
        <v>126.3</v>
      </c>
      <c r="U2794" s="13">
        <v>40.415999999999997</v>
      </c>
      <c r="V2794" s="55">
        <f>Table3[[#This Row],[Profit]]/Table3[[#This Row],[Sales]]</f>
        <v>0.32</v>
      </c>
    </row>
    <row r="2795" spans="1:22" x14ac:dyDescent="0.2">
      <c r="A2795">
        <v>2794</v>
      </c>
      <c r="B2795" t="s">
        <v>1545</v>
      </c>
      <c r="C2795" s="1">
        <v>43065</v>
      </c>
      <c r="D2795" s="22">
        <f>MONTH(Table3[[#This Row],[Order Date]])</f>
        <v>11</v>
      </c>
      <c r="E2795" t="s">
        <v>1550</v>
      </c>
      <c r="F2795" t="s">
        <v>1551</v>
      </c>
      <c r="G2795" s="23" t="s">
        <v>64</v>
      </c>
      <c r="H2795" s="23" t="s">
        <v>144</v>
      </c>
      <c r="I2795" t="s">
        <v>1546</v>
      </c>
      <c r="J2795" t="s">
        <v>22</v>
      </c>
      <c r="K2795" s="22">
        <v>2</v>
      </c>
      <c r="L2795" s="1">
        <v>43066</v>
      </c>
      <c r="M2795" s="22">
        <f>Table3[[#This Row],[Ship Date]]-Table3[[#This Row],[Order Date]]</f>
        <v>1</v>
      </c>
      <c r="N2795" s="23" t="s">
        <v>169</v>
      </c>
      <c r="O2795" s="23" t="s">
        <v>23</v>
      </c>
      <c r="P2795" s="23" t="s">
        <v>528</v>
      </c>
      <c r="Q2795" s="23" t="s">
        <v>95</v>
      </c>
      <c r="R2795" s="23" t="s">
        <v>1547</v>
      </c>
      <c r="S2795" s="33">
        <v>0</v>
      </c>
      <c r="T2795" s="13">
        <v>38.04</v>
      </c>
      <c r="U2795" s="13">
        <v>12.172800000000001</v>
      </c>
      <c r="V2795" s="55">
        <f>Table3[[#This Row],[Profit]]/Table3[[#This Row],[Sales]]</f>
        <v>0.32</v>
      </c>
    </row>
    <row r="2796" spans="1:22" x14ac:dyDescent="0.2">
      <c r="A2796">
        <v>2795</v>
      </c>
      <c r="B2796" t="s">
        <v>3405</v>
      </c>
      <c r="C2796" s="1">
        <v>43065</v>
      </c>
      <c r="D2796" s="22">
        <f>MONTH(Table3[[#This Row],[Order Date]])</f>
        <v>11</v>
      </c>
      <c r="E2796" t="s">
        <v>1782</v>
      </c>
      <c r="F2796" t="s">
        <v>1783</v>
      </c>
      <c r="G2796" s="23" t="s">
        <v>64</v>
      </c>
      <c r="H2796" s="23" t="s">
        <v>65</v>
      </c>
      <c r="I2796" t="s">
        <v>2178</v>
      </c>
      <c r="J2796" t="s">
        <v>22</v>
      </c>
      <c r="K2796" s="22">
        <v>8</v>
      </c>
      <c r="L2796" s="1">
        <v>43069</v>
      </c>
      <c r="M2796" s="22">
        <f>Table3[[#This Row],[Ship Date]]-Table3[[#This Row],[Order Date]]</f>
        <v>4</v>
      </c>
      <c r="N2796" s="23" t="s">
        <v>45</v>
      </c>
      <c r="O2796" s="23" t="s">
        <v>23</v>
      </c>
      <c r="P2796" s="23" t="s">
        <v>441</v>
      </c>
      <c r="Q2796" s="23" t="s">
        <v>133</v>
      </c>
      <c r="R2796" s="23" t="s">
        <v>440</v>
      </c>
      <c r="S2796" s="33">
        <v>0.4</v>
      </c>
      <c r="T2796" s="13">
        <v>220.75200000000001</v>
      </c>
      <c r="U2796" s="13">
        <v>-40.471200000000003</v>
      </c>
      <c r="V2796" s="55">
        <f>Table3[[#This Row],[Profit]]/Table3[[#This Row],[Sales]]</f>
        <v>-0.18333333333333335</v>
      </c>
    </row>
    <row r="2797" spans="1:22" x14ac:dyDescent="0.2">
      <c r="A2797">
        <v>2796</v>
      </c>
      <c r="B2797" t="s">
        <v>3669</v>
      </c>
      <c r="C2797" s="1">
        <v>43065</v>
      </c>
      <c r="D2797" s="22">
        <f>MONTH(Table3[[#This Row],[Order Date]])</f>
        <v>11</v>
      </c>
      <c r="E2797" t="s">
        <v>3670</v>
      </c>
      <c r="F2797" t="s">
        <v>3671</v>
      </c>
      <c r="G2797" s="23" t="s">
        <v>41</v>
      </c>
      <c r="H2797" s="23" t="s">
        <v>61</v>
      </c>
      <c r="I2797" t="s">
        <v>2486</v>
      </c>
      <c r="J2797" t="s">
        <v>36</v>
      </c>
      <c r="K2797" s="22">
        <v>3</v>
      </c>
      <c r="L2797" s="1">
        <v>43069</v>
      </c>
      <c r="M2797" s="22">
        <f>Table3[[#This Row],[Ship Date]]-Table3[[#This Row],[Order Date]]</f>
        <v>4</v>
      </c>
      <c r="N2797" s="23" t="s">
        <v>45</v>
      </c>
      <c r="O2797" s="23" t="s">
        <v>23</v>
      </c>
      <c r="P2797" s="23" t="s">
        <v>1125</v>
      </c>
      <c r="Q2797" s="23" t="s">
        <v>26</v>
      </c>
      <c r="R2797" s="23" t="s">
        <v>1537</v>
      </c>
      <c r="S2797" s="33">
        <v>0</v>
      </c>
      <c r="T2797" s="13">
        <v>12.84</v>
      </c>
      <c r="U2797" s="13">
        <v>3.7235999999999998</v>
      </c>
      <c r="V2797" s="55">
        <f>Table3[[#This Row],[Profit]]/Table3[[#This Row],[Sales]]</f>
        <v>0.28999999999999998</v>
      </c>
    </row>
    <row r="2798" spans="1:22" x14ac:dyDescent="0.2">
      <c r="A2798">
        <v>2797</v>
      </c>
      <c r="B2798" t="s">
        <v>6086</v>
      </c>
      <c r="C2798" s="1">
        <v>43065</v>
      </c>
      <c r="D2798" s="22">
        <f>MONTH(Table3[[#This Row],[Order Date]])</f>
        <v>11</v>
      </c>
      <c r="E2798" t="s">
        <v>3918</v>
      </c>
      <c r="F2798" t="s">
        <v>3919</v>
      </c>
      <c r="G2798" s="23" t="s">
        <v>41</v>
      </c>
      <c r="H2798" s="23" t="s">
        <v>71</v>
      </c>
      <c r="I2798" t="s">
        <v>4392</v>
      </c>
      <c r="J2798" t="s">
        <v>36</v>
      </c>
      <c r="K2798" s="22">
        <v>3</v>
      </c>
      <c r="L2798" s="1">
        <v>43069</v>
      </c>
      <c r="M2798" s="22">
        <f>Table3[[#This Row],[Ship Date]]-Table3[[#This Row],[Order Date]]</f>
        <v>4</v>
      </c>
      <c r="N2798" s="23" t="s">
        <v>45</v>
      </c>
      <c r="O2798" s="23" t="s">
        <v>23</v>
      </c>
      <c r="P2798" s="23" t="s">
        <v>441</v>
      </c>
      <c r="Q2798" s="23" t="s">
        <v>133</v>
      </c>
      <c r="R2798" s="23" t="s">
        <v>440</v>
      </c>
      <c r="S2798" s="33">
        <v>0.2</v>
      </c>
      <c r="T2798" s="13">
        <v>52.271999999999998</v>
      </c>
      <c r="U2798" s="13">
        <v>9.8010000000000002</v>
      </c>
      <c r="V2798" s="55">
        <f>Table3[[#This Row],[Profit]]/Table3[[#This Row],[Sales]]</f>
        <v>0.1875</v>
      </c>
    </row>
    <row r="2799" spans="1:22" x14ac:dyDescent="0.2">
      <c r="A2799">
        <v>2798</v>
      </c>
      <c r="B2799" t="s">
        <v>6086</v>
      </c>
      <c r="C2799" s="1">
        <v>43065</v>
      </c>
      <c r="D2799" s="22">
        <f>MONTH(Table3[[#This Row],[Order Date]])</f>
        <v>11</v>
      </c>
      <c r="E2799" t="s">
        <v>1758</v>
      </c>
      <c r="F2799" t="s">
        <v>1759</v>
      </c>
      <c r="G2799" s="23" t="s">
        <v>41</v>
      </c>
      <c r="H2799" s="23" t="s">
        <v>71</v>
      </c>
      <c r="I2799" t="s">
        <v>4392</v>
      </c>
      <c r="J2799" t="s">
        <v>36</v>
      </c>
      <c r="K2799" s="22">
        <v>7</v>
      </c>
      <c r="L2799" s="1">
        <v>43069</v>
      </c>
      <c r="M2799" s="22">
        <f>Table3[[#This Row],[Ship Date]]-Table3[[#This Row],[Order Date]]</f>
        <v>4</v>
      </c>
      <c r="N2799" s="23" t="s">
        <v>45</v>
      </c>
      <c r="O2799" s="23" t="s">
        <v>23</v>
      </c>
      <c r="P2799" s="23" t="s">
        <v>441</v>
      </c>
      <c r="Q2799" s="23" t="s">
        <v>133</v>
      </c>
      <c r="R2799" s="23" t="s">
        <v>440</v>
      </c>
      <c r="S2799" s="33">
        <v>0.2</v>
      </c>
      <c r="T2799" s="13">
        <v>213.136</v>
      </c>
      <c r="U2799" s="13">
        <v>23.977799999999998</v>
      </c>
      <c r="V2799" s="55">
        <f>Table3[[#This Row],[Profit]]/Table3[[#This Row],[Sales]]</f>
        <v>0.11249999999999999</v>
      </c>
    </row>
    <row r="2800" spans="1:22" x14ac:dyDescent="0.2">
      <c r="A2800">
        <v>2799</v>
      </c>
      <c r="B2800" t="s">
        <v>6276</v>
      </c>
      <c r="C2800" s="1">
        <v>43065</v>
      </c>
      <c r="D2800" s="22">
        <f>MONTH(Table3[[#This Row],[Order Date]])</f>
        <v>11</v>
      </c>
      <c r="E2800" t="s">
        <v>1060</v>
      </c>
      <c r="F2800" t="s">
        <v>1061</v>
      </c>
      <c r="G2800" s="23" t="s">
        <v>41</v>
      </c>
      <c r="H2800" s="23" t="s">
        <v>68</v>
      </c>
      <c r="I2800" t="s">
        <v>1151</v>
      </c>
      <c r="J2800" t="s">
        <v>22</v>
      </c>
      <c r="K2800" s="22">
        <v>8</v>
      </c>
      <c r="L2800" s="1">
        <v>43068</v>
      </c>
      <c r="M2800" s="22">
        <f>Table3[[#This Row],[Ship Date]]-Table3[[#This Row],[Order Date]]</f>
        <v>3</v>
      </c>
      <c r="N2800" s="23" t="s">
        <v>169</v>
      </c>
      <c r="O2800" s="23" t="s">
        <v>23</v>
      </c>
      <c r="P2800" s="23" t="s">
        <v>189</v>
      </c>
      <c r="Q2800" s="23" t="s">
        <v>95</v>
      </c>
      <c r="R2800" s="23" t="s">
        <v>2731</v>
      </c>
      <c r="S2800" s="33">
        <v>0.8</v>
      </c>
      <c r="T2800" s="13">
        <v>33.567999999999998</v>
      </c>
      <c r="U2800" s="13">
        <v>-53.708799999999997</v>
      </c>
      <c r="V2800" s="55">
        <f>Table3[[#This Row],[Profit]]/Table3[[#This Row],[Sales]]</f>
        <v>-1.6</v>
      </c>
    </row>
    <row r="2801" spans="1:22" x14ac:dyDescent="0.2">
      <c r="A2801">
        <v>2800</v>
      </c>
      <c r="B2801" t="s">
        <v>7264</v>
      </c>
      <c r="C2801" s="1">
        <v>43065</v>
      </c>
      <c r="D2801" s="22">
        <f>MONTH(Table3[[#This Row],[Order Date]])</f>
        <v>11</v>
      </c>
      <c r="E2801" t="s">
        <v>6396</v>
      </c>
      <c r="F2801" t="s">
        <v>6397</v>
      </c>
      <c r="G2801" s="23" t="s">
        <v>41</v>
      </c>
      <c r="H2801" s="23" t="s">
        <v>71</v>
      </c>
      <c r="I2801" t="s">
        <v>3239</v>
      </c>
      <c r="J2801" t="s">
        <v>92</v>
      </c>
      <c r="K2801" s="22">
        <v>7</v>
      </c>
      <c r="L2801" s="1">
        <v>43069</v>
      </c>
      <c r="M2801" s="22">
        <f>Table3[[#This Row],[Ship Date]]-Table3[[#This Row],[Order Date]]</f>
        <v>4</v>
      </c>
      <c r="N2801" s="23" t="s">
        <v>45</v>
      </c>
      <c r="O2801" s="23" t="s">
        <v>23</v>
      </c>
      <c r="P2801" s="23" t="s">
        <v>238</v>
      </c>
      <c r="Q2801" s="23" t="s">
        <v>133</v>
      </c>
      <c r="R2801" s="23" t="s">
        <v>237</v>
      </c>
      <c r="S2801" s="33">
        <v>0</v>
      </c>
      <c r="T2801" s="13">
        <v>58.73</v>
      </c>
      <c r="U2801" s="13">
        <v>14.682499999999999</v>
      </c>
      <c r="V2801" s="55">
        <f>Table3[[#This Row],[Profit]]/Table3[[#This Row],[Sales]]</f>
        <v>0.25</v>
      </c>
    </row>
    <row r="2802" spans="1:22" x14ac:dyDescent="0.2">
      <c r="A2802">
        <v>2801</v>
      </c>
      <c r="B2802" t="s">
        <v>7264</v>
      </c>
      <c r="C2802" s="1">
        <v>43065</v>
      </c>
      <c r="D2802" s="22">
        <f>MONTH(Table3[[#This Row],[Order Date]])</f>
        <v>11</v>
      </c>
      <c r="E2802" t="s">
        <v>2422</v>
      </c>
      <c r="F2802" t="s">
        <v>2423</v>
      </c>
      <c r="G2802" s="23" t="s">
        <v>41</v>
      </c>
      <c r="H2802" s="23" t="s">
        <v>68</v>
      </c>
      <c r="I2802" t="s">
        <v>3239</v>
      </c>
      <c r="J2802" t="s">
        <v>92</v>
      </c>
      <c r="K2802" s="22">
        <v>4</v>
      </c>
      <c r="L2802" s="1">
        <v>43069</v>
      </c>
      <c r="M2802" s="22">
        <f>Table3[[#This Row],[Ship Date]]-Table3[[#This Row],[Order Date]]</f>
        <v>4</v>
      </c>
      <c r="N2802" s="23" t="s">
        <v>45</v>
      </c>
      <c r="O2802" s="23" t="s">
        <v>23</v>
      </c>
      <c r="P2802" s="23" t="s">
        <v>238</v>
      </c>
      <c r="Q2802" s="23" t="s">
        <v>133</v>
      </c>
      <c r="R2802" s="23" t="s">
        <v>237</v>
      </c>
      <c r="S2802" s="33">
        <v>0.2</v>
      </c>
      <c r="T2802" s="13">
        <v>93.343999999999994</v>
      </c>
      <c r="U2802" s="13">
        <v>32.670400000000001</v>
      </c>
      <c r="V2802" s="55">
        <f>Table3[[#This Row],[Profit]]/Table3[[#This Row],[Sales]]</f>
        <v>0.35000000000000003</v>
      </c>
    </row>
    <row r="2803" spans="1:22" x14ac:dyDescent="0.2">
      <c r="A2803">
        <v>2802</v>
      </c>
      <c r="B2803" t="s">
        <v>8526</v>
      </c>
      <c r="C2803" s="1">
        <v>43065</v>
      </c>
      <c r="D2803" s="22">
        <f>MONTH(Table3[[#This Row],[Order Date]])</f>
        <v>11</v>
      </c>
      <c r="E2803" t="s">
        <v>3373</v>
      </c>
      <c r="F2803" t="s">
        <v>2884</v>
      </c>
      <c r="G2803" s="23" t="s">
        <v>28</v>
      </c>
      <c r="H2803" s="23" t="s">
        <v>50</v>
      </c>
      <c r="I2803" t="s">
        <v>3683</v>
      </c>
      <c r="J2803" t="s">
        <v>92</v>
      </c>
      <c r="K2803" s="22">
        <v>3</v>
      </c>
      <c r="L2803" s="1">
        <v>43070</v>
      </c>
      <c r="M2803" s="22">
        <f>Table3[[#This Row],[Ship Date]]-Table3[[#This Row],[Order Date]]</f>
        <v>5</v>
      </c>
      <c r="N2803" s="23" t="s">
        <v>45</v>
      </c>
      <c r="O2803" s="23" t="s">
        <v>23</v>
      </c>
      <c r="P2803" s="23" t="s">
        <v>226</v>
      </c>
      <c r="Q2803" s="23" t="s">
        <v>95</v>
      </c>
      <c r="R2803" s="23" t="s">
        <v>1294</v>
      </c>
      <c r="S2803" s="33">
        <v>0</v>
      </c>
      <c r="T2803" s="13">
        <v>257.94</v>
      </c>
      <c r="U2803" s="13">
        <v>67.064400000000006</v>
      </c>
      <c r="V2803" s="55">
        <f>Table3[[#This Row],[Profit]]/Table3[[#This Row],[Sales]]</f>
        <v>0.26</v>
      </c>
    </row>
    <row r="2804" spans="1:22" x14ac:dyDescent="0.2">
      <c r="A2804">
        <v>2803</v>
      </c>
      <c r="B2804" t="s">
        <v>8526</v>
      </c>
      <c r="C2804" s="1">
        <v>43065</v>
      </c>
      <c r="D2804" s="22">
        <f>MONTH(Table3[[#This Row],[Order Date]])</f>
        <v>11</v>
      </c>
      <c r="E2804" t="s">
        <v>4055</v>
      </c>
      <c r="F2804" t="s">
        <v>4056</v>
      </c>
      <c r="G2804" s="23" t="s">
        <v>64</v>
      </c>
      <c r="H2804" s="23" t="s">
        <v>65</v>
      </c>
      <c r="I2804" t="s">
        <v>3683</v>
      </c>
      <c r="J2804" t="s">
        <v>92</v>
      </c>
      <c r="K2804" s="22">
        <v>4</v>
      </c>
      <c r="L2804" s="1">
        <v>43070</v>
      </c>
      <c r="M2804" s="22">
        <f>Table3[[#This Row],[Ship Date]]-Table3[[#This Row],[Order Date]]</f>
        <v>5</v>
      </c>
      <c r="N2804" s="23" t="s">
        <v>45</v>
      </c>
      <c r="O2804" s="23" t="s">
        <v>23</v>
      </c>
      <c r="P2804" s="23" t="s">
        <v>226</v>
      </c>
      <c r="Q2804" s="23" t="s">
        <v>95</v>
      </c>
      <c r="R2804" s="23" t="s">
        <v>1294</v>
      </c>
      <c r="S2804" s="33">
        <v>0</v>
      </c>
      <c r="T2804" s="13">
        <v>1879.96</v>
      </c>
      <c r="U2804" s="13">
        <v>545.1884</v>
      </c>
      <c r="V2804" s="55">
        <f>Table3[[#This Row],[Profit]]/Table3[[#This Row],[Sales]]</f>
        <v>0.28999999999999998</v>
      </c>
    </row>
    <row r="2805" spans="1:22" x14ac:dyDescent="0.2">
      <c r="A2805">
        <v>2804</v>
      </c>
      <c r="B2805" t="s">
        <v>8526</v>
      </c>
      <c r="C2805" s="1">
        <v>43065</v>
      </c>
      <c r="D2805" s="22">
        <f>MONTH(Table3[[#This Row],[Order Date]])</f>
        <v>11</v>
      </c>
      <c r="E2805" t="s">
        <v>3465</v>
      </c>
      <c r="F2805" t="s">
        <v>3466</v>
      </c>
      <c r="G2805" s="23" t="s">
        <v>28</v>
      </c>
      <c r="H2805" s="23" t="s">
        <v>58</v>
      </c>
      <c r="I2805" t="s">
        <v>3683</v>
      </c>
      <c r="J2805" t="s">
        <v>92</v>
      </c>
      <c r="K2805" s="22">
        <v>2</v>
      </c>
      <c r="L2805" s="1">
        <v>43070</v>
      </c>
      <c r="M2805" s="22">
        <f>Table3[[#This Row],[Ship Date]]-Table3[[#This Row],[Order Date]]</f>
        <v>5</v>
      </c>
      <c r="N2805" s="23" t="s">
        <v>45</v>
      </c>
      <c r="O2805" s="23" t="s">
        <v>23</v>
      </c>
      <c r="P2805" s="23" t="s">
        <v>226</v>
      </c>
      <c r="Q2805" s="23" t="s">
        <v>95</v>
      </c>
      <c r="R2805" s="23" t="s">
        <v>1294</v>
      </c>
      <c r="S2805" s="33">
        <v>0</v>
      </c>
      <c r="T2805" s="13">
        <v>27.46</v>
      </c>
      <c r="U2805" s="13">
        <v>9.8856000000000002</v>
      </c>
      <c r="V2805" s="55">
        <f>Table3[[#This Row],[Profit]]/Table3[[#This Row],[Sales]]</f>
        <v>0.36</v>
      </c>
    </row>
    <row r="2806" spans="1:22" x14ac:dyDescent="0.2">
      <c r="A2806">
        <v>2805</v>
      </c>
      <c r="B2806" t="s">
        <v>8526</v>
      </c>
      <c r="C2806" s="1">
        <v>43065</v>
      </c>
      <c r="D2806" s="22">
        <f>MONTH(Table3[[#This Row],[Order Date]])</f>
        <v>11</v>
      </c>
      <c r="E2806" t="s">
        <v>2819</v>
      </c>
      <c r="F2806" t="s">
        <v>2820</v>
      </c>
      <c r="G2806" s="23" t="s">
        <v>64</v>
      </c>
      <c r="H2806" s="23" t="s">
        <v>65</v>
      </c>
      <c r="I2806" t="s">
        <v>3683</v>
      </c>
      <c r="J2806" t="s">
        <v>92</v>
      </c>
      <c r="K2806" s="22">
        <v>2</v>
      </c>
      <c r="L2806" s="1">
        <v>43070</v>
      </c>
      <c r="M2806" s="22">
        <f>Table3[[#This Row],[Ship Date]]-Table3[[#This Row],[Order Date]]</f>
        <v>5</v>
      </c>
      <c r="N2806" s="23" t="s">
        <v>45</v>
      </c>
      <c r="O2806" s="23" t="s">
        <v>23</v>
      </c>
      <c r="P2806" s="23" t="s">
        <v>226</v>
      </c>
      <c r="Q2806" s="23" t="s">
        <v>95</v>
      </c>
      <c r="R2806" s="23" t="s">
        <v>1294</v>
      </c>
      <c r="S2806" s="33">
        <v>0</v>
      </c>
      <c r="T2806" s="13">
        <v>89.98</v>
      </c>
      <c r="U2806" s="13">
        <v>43.190399999999997</v>
      </c>
      <c r="V2806" s="55">
        <f>Table3[[#This Row],[Profit]]/Table3[[#This Row],[Sales]]</f>
        <v>0.47999999999999993</v>
      </c>
    </row>
    <row r="2807" spans="1:22" x14ac:dyDescent="0.2">
      <c r="A2807">
        <v>2806</v>
      </c>
      <c r="B2807" t="s">
        <v>8526</v>
      </c>
      <c r="C2807" s="1">
        <v>43065</v>
      </c>
      <c r="D2807" s="22">
        <f>MONTH(Table3[[#This Row],[Order Date]])</f>
        <v>11</v>
      </c>
      <c r="E2807" t="s">
        <v>606</v>
      </c>
      <c r="F2807" t="s">
        <v>607</v>
      </c>
      <c r="G2807" s="23" t="s">
        <v>28</v>
      </c>
      <c r="H2807" s="23" t="s">
        <v>32</v>
      </c>
      <c r="I2807" t="s">
        <v>3683</v>
      </c>
      <c r="J2807" t="s">
        <v>92</v>
      </c>
      <c r="K2807" s="22">
        <v>3</v>
      </c>
      <c r="L2807" s="1">
        <v>43070</v>
      </c>
      <c r="M2807" s="22">
        <f>Table3[[#This Row],[Ship Date]]-Table3[[#This Row],[Order Date]]</f>
        <v>5</v>
      </c>
      <c r="N2807" s="23" t="s">
        <v>45</v>
      </c>
      <c r="O2807" s="23" t="s">
        <v>23</v>
      </c>
      <c r="P2807" s="23" t="s">
        <v>226</v>
      </c>
      <c r="Q2807" s="23" t="s">
        <v>95</v>
      </c>
      <c r="R2807" s="23" t="s">
        <v>1294</v>
      </c>
      <c r="S2807" s="33">
        <v>0</v>
      </c>
      <c r="T2807" s="13">
        <v>828.6</v>
      </c>
      <c r="U2807" s="13">
        <v>240.29400000000001</v>
      </c>
      <c r="V2807" s="55">
        <f>Table3[[#This Row],[Profit]]/Table3[[#This Row],[Sales]]</f>
        <v>0.28999999999999998</v>
      </c>
    </row>
    <row r="2808" spans="1:22" x14ac:dyDescent="0.2">
      <c r="A2808">
        <v>2807</v>
      </c>
      <c r="B2808" t="s">
        <v>8641</v>
      </c>
      <c r="C2808" s="1">
        <v>43065</v>
      </c>
      <c r="D2808" s="22">
        <f>MONTH(Table3[[#This Row],[Order Date]])</f>
        <v>11</v>
      </c>
      <c r="E2808" t="s">
        <v>3337</v>
      </c>
      <c r="F2808" t="s">
        <v>5077</v>
      </c>
      <c r="G2808" s="23" t="s">
        <v>64</v>
      </c>
      <c r="H2808" s="23" t="s">
        <v>65</v>
      </c>
      <c r="I2808" t="s">
        <v>3247</v>
      </c>
      <c r="J2808" t="s">
        <v>22</v>
      </c>
      <c r="K2808" s="22">
        <v>5</v>
      </c>
      <c r="L2808" s="1">
        <v>43068</v>
      </c>
      <c r="M2808" s="22">
        <f>Table3[[#This Row],[Ship Date]]-Table3[[#This Row],[Order Date]]</f>
        <v>3</v>
      </c>
      <c r="N2808" s="23" t="s">
        <v>20</v>
      </c>
      <c r="O2808" s="23" t="s">
        <v>23</v>
      </c>
      <c r="P2808" s="23" t="s">
        <v>238</v>
      </c>
      <c r="Q2808" s="23" t="s">
        <v>133</v>
      </c>
      <c r="R2808" s="23" t="s">
        <v>237</v>
      </c>
      <c r="S2808" s="33">
        <v>0</v>
      </c>
      <c r="T2808" s="13">
        <v>979.95</v>
      </c>
      <c r="U2808" s="13">
        <v>264.5865</v>
      </c>
      <c r="V2808" s="55">
        <f>Table3[[#This Row],[Profit]]/Table3[[#This Row],[Sales]]</f>
        <v>0.26999999999999996</v>
      </c>
    </row>
    <row r="2809" spans="1:22" x14ac:dyDescent="0.2">
      <c r="A2809">
        <v>2808</v>
      </c>
      <c r="B2809" t="s">
        <v>8641</v>
      </c>
      <c r="C2809" s="1">
        <v>43065</v>
      </c>
      <c r="D2809" s="22">
        <f>MONTH(Table3[[#This Row],[Order Date]])</f>
        <v>11</v>
      </c>
      <c r="E2809" t="s">
        <v>4472</v>
      </c>
      <c r="F2809" t="s">
        <v>4473</v>
      </c>
      <c r="G2809" s="23" t="s">
        <v>28</v>
      </c>
      <c r="H2809" s="23" t="s">
        <v>58</v>
      </c>
      <c r="I2809" t="s">
        <v>3247</v>
      </c>
      <c r="J2809" t="s">
        <v>22</v>
      </c>
      <c r="K2809" s="22">
        <v>5</v>
      </c>
      <c r="L2809" s="1">
        <v>43068</v>
      </c>
      <c r="M2809" s="22">
        <f>Table3[[#This Row],[Ship Date]]-Table3[[#This Row],[Order Date]]</f>
        <v>3</v>
      </c>
      <c r="N2809" s="23" t="s">
        <v>20</v>
      </c>
      <c r="O2809" s="23" t="s">
        <v>23</v>
      </c>
      <c r="P2809" s="23" t="s">
        <v>238</v>
      </c>
      <c r="Q2809" s="23" t="s">
        <v>133</v>
      </c>
      <c r="R2809" s="23" t="s">
        <v>237</v>
      </c>
      <c r="S2809" s="33">
        <v>0</v>
      </c>
      <c r="T2809" s="13">
        <v>135.30000000000001</v>
      </c>
      <c r="U2809" s="13">
        <v>37.884</v>
      </c>
      <c r="V2809" s="55">
        <f>Table3[[#This Row],[Profit]]/Table3[[#This Row],[Sales]]</f>
        <v>0.27999999999999997</v>
      </c>
    </row>
    <row r="2810" spans="1:22" x14ac:dyDescent="0.2">
      <c r="A2810">
        <v>2809</v>
      </c>
      <c r="B2810" t="s">
        <v>2467</v>
      </c>
      <c r="C2810" s="1">
        <v>43066</v>
      </c>
      <c r="D2810" s="22">
        <f>MONTH(Table3[[#This Row],[Order Date]])</f>
        <v>11</v>
      </c>
      <c r="E2810" t="s">
        <v>955</v>
      </c>
      <c r="F2810" t="s">
        <v>956</v>
      </c>
      <c r="G2810" s="23" t="s">
        <v>28</v>
      </c>
      <c r="H2810" s="23" t="s">
        <v>58</v>
      </c>
      <c r="I2810" t="s">
        <v>2296</v>
      </c>
      <c r="J2810" t="s">
        <v>36</v>
      </c>
      <c r="K2810" s="22">
        <v>1</v>
      </c>
      <c r="L2810" s="1">
        <v>43068</v>
      </c>
      <c r="M2810" s="22">
        <f>Table3[[#This Row],[Ship Date]]-Table3[[#This Row],[Order Date]]</f>
        <v>2</v>
      </c>
      <c r="N2810" s="23" t="s">
        <v>169</v>
      </c>
      <c r="O2810" s="23" t="s">
        <v>23</v>
      </c>
      <c r="P2810" s="23" t="s">
        <v>103</v>
      </c>
      <c r="Q2810" s="23" t="s">
        <v>95</v>
      </c>
      <c r="R2810" s="23" t="s">
        <v>2242</v>
      </c>
      <c r="S2810" s="33">
        <v>0</v>
      </c>
      <c r="T2810" s="13">
        <v>46.94</v>
      </c>
      <c r="U2810" s="13">
        <v>19.2454</v>
      </c>
      <c r="V2810" s="55">
        <f>Table3[[#This Row],[Profit]]/Table3[[#This Row],[Sales]]</f>
        <v>0.41000000000000003</v>
      </c>
    </row>
    <row r="2811" spans="1:22" x14ac:dyDescent="0.2">
      <c r="A2811">
        <v>2810</v>
      </c>
      <c r="B2811" t="s">
        <v>2467</v>
      </c>
      <c r="C2811" s="1">
        <v>43066</v>
      </c>
      <c r="D2811" s="22">
        <f>MONTH(Table3[[#This Row],[Order Date]])</f>
        <v>11</v>
      </c>
      <c r="E2811" t="s">
        <v>1399</v>
      </c>
      <c r="F2811" t="s">
        <v>1400</v>
      </c>
      <c r="G2811" s="23" t="s">
        <v>64</v>
      </c>
      <c r="H2811" s="23" t="s">
        <v>144</v>
      </c>
      <c r="I2811" t="s">
        <v>2296</v>
      </c>
      <c r="J2811" t="s">
        <v>36</v>
      </c>
      <c r="K2811" s="22">
        <v>9</v>
      </c>
      <c r="L2811" s="1">
        <v>43068</v>
      </c>
      <c r="M2811" s="22">
        <f>Table3[[#This Row],[Ship Date]]-Table3[[#This Row],[Order Date]]</f>
        <v>2</v>
      </c>
      <c r="N2811" s="23" t="s">
        <v>169</v>
      </c>
      <c r="O2811" s="23" t="s">
        <v>23</v>
      </c>
      <c r="P2811" s="23" t="s">
        <v>103</v>
      </c>
      <c r="Q2811" s="23" t="s">
        <v>95</v>
      </c>
      <c r="R2811" s="23" t="s">
        <v>2242</v>
      </c>
      <c r="S2811" s="33">
        <v>0</v>
      </c>
      <c r="T2811" s="13">
        <v>143.72999999999999</v>
      </c>
      <c r="U2811" s="13">
        <v>56.054699999999997</v>
      </c>
      <c r="V2811" s="55">
        <f>Table3[[#This Row],[Profit]]/Table3[[#This Row],[Sales]]</f>
        <v>0.39</v>
      </c>
    </row>
    <row r="2812" spans="1:22" x14ac:dyDescent="0.2">
      <c r="A2812">
        <v>2811</v>
      </c>
      <c r="B2812" t="s">
        <v>4244</v>
      </c>
      <c r="C2812" s="1">
        <v>43066</v>
      </c>
      <c r="D2812" s="22">
        <f>MONTH(Table3[[#This Row],[Order Date]])</f>
        <v>11</v>
      </c>
      <c r="E2812" t="s">
        <v>4099</v>
      </c>
      <c r="F2812" t="s">
        <v>4100</v>
      </c>
      <c r="G2812" s="23" t="s">
        <v>41</v>
      </c>
      <c r="H2812" s="23" t="s">
        <v>82</v>
      </c>
      <c r="I2812" t="s">
        <v>2560</v>
      </c>
      <c r="J2812" t="s">
        <v>36</v>
      </c>
      <c r="K2812" s="22">
        <v>5</v>
      </c>
      <c r="L2812" s="1">
        <v>43072</v>
      </c>
      <c r="M2812" s="22">
        <f>Table3[[#This Row],[Ship Date]]-Table3[[#This Row],[Order Date]]</f>
        <v>6</v>
      </c>
      <c r="N2812" s="23" t="s">
        <v>45</v>
      </c>
      <c r="O2812" s="23" t="s">
        <v>23</v>
      </c>
      <c r="P2812" s="23" t="s">
        <v>38</v>
      </c>
      <c r="Q2812" s="23" t="s">
        <v>39</v>
      </c>
      <c r="R2812" s="23" t="s">
        <v>114</v>
      </c>
      <c r="S2812" s="33">
        <v>0</v>
      </c>
      <c r="T2812" s="13">
        <v>244.55</v>
      </c>
      <c r="U2812" s="13">
        <v>114.9385</v>
      </c>
      <c r="V2812" s="55">
        <f>Table3[[#This Row],[Profit]]/Table3[[#This Row],[Sales]]</f>
        <v>0.47</v>
      </c>
    </row>
    <row r="2813" spans="1:22" x14ac:dyDescent="0.2">
      <c r="A2813">
        <v>2812</v>
      </c>
      <c r="B2813" t="s">
        <v>4244</v>
      </c>
      <c r="C2813" s="1">
        <v>43066</v>
      </c>
      <c r="D2813" s="22">
        <f>MONTH(Table3[[#This Row],[Order Date]])</f>
        <v>11</v>
      </c>
      <c r="E2813" t="s">
        <v>4245</v>
      </c>
      <c r="F2813" t="s">
        <v>4246</v>
      </c>
      <c r="G2813" s="23" t="s">
        <v>64</v>
      </c>
      <c r="H2813" s="23" t="s">
        <v>144</v>
      </c>
      <c r="I2813" t="s">
        <v>2560</v>
      </c>
      <c r="J2813" t="s">
        <v>36</v>
      </c>
      <c r="K2813" s="22">
        <v>8</v>
      </c>
      <c r="L2813" s="1">
        <v>43072</v>
      </c>
      <c r="M2813" s="22">
        <f>Table3[[#This Row],[Ship Date]]-Table3[[#This Row],[Order Date]]</f>
        <v>6</v>
      </c>
      <c r="N2813" s="23" t="s">
        <v>45</v>
      </c>
      <c r="O2813" s="23" t="s">
        <v>23</v>
      </c>
      <c r="P2813" s="23" t="s">
        <v>38</v>
      </c>
      <c r="Q2813" s="23" t="s">
        <v>39</v>
      </c>
      <c r="R2813" s="23" t="s">
        <v>114</v>
      </c>
      <c r="S2813" s="33">
        <v>0</v>
      </c>
      <c r="T2813" s="13">
        <v>166.16</v>
      </c>
      <c r="U2813" s="13">
        <v>59.817599999999999</v>
      </c>
      <c r="V2813" s="55">
        <f>Table3[[#This Row],[Profit]]/Table3[[#This Row],[Sales]]</f>
        <v>0.36</v>
      </c>
    </row>
    <row r="2814" spans="1:22" x14ac:dyDescent="0.2">
      <c r="A2814">
        <v>2813</v>
      </c>
      <c r="B2814" t="s">
        <v>5166</v>
      </c>
      <c r="C2814" s="1">
        <v>43066</v>
      </c>
      <c r="D2814" s="22">
        <f>MONTH(Table3[[#This Row],[Order Date]])</f>
        <v>11</v>
      </c>
      <c r="E2814" t="s">
        <v>3117</v>
      </c>
      <c r="F2814" t="s">
        <v>3118</v>
      </c>
      <c r="G2814" s="23" t="s">
        <v>41</v>
      </c>
      <c r="H2814" s="23" t="s">
        <v>61</v>
      </c>
      <c r="I2814" t="s">
        <v>1071</v>
      </c>
      <c r="J2814" t="s">
        <v>22</v>
      </c>
      <c r="K2814" s="22">
        <v>5</v>
      </c>
      <c r="L2814" s="1">
        <v>43071</v>
      </c>
      <c r="M2814" s="22">
        <f>Table3[[#This Row],[Ship Date]]-Table3[[#This Row],[Order Date]]</f>
        <v>5</v>
      </c>
      <c r="N2814" s="23" t="s">
        <v>45</v>
      </c>
      <c r="O2814" s="23" t="s">
        <v>23</v>
      </c>
      <c r="P2814" s="23" t="s">
        <v>80</v>
      </c>
      <c r="Q2814" s="23" t="s">
        <v>26</v>
      </c>
      <c r="R2814" s="23" t="s">
        <v>2188</v>
      </c>
      <c r="S2814" s="33">
        <v>0.2</v>
      </c>
      <c r="T2814" s="13">
        <v>8.76</v>
      </c>
      <c r="U2814" s="13">
        <v>0.76649999999999996</v>
      </c>
      <c r="V2814" s="55">
        <f>Table3[[#This Row],[Profit]]/Table3[[#This Row],[Sales]]</f>
        <v>8.7499999999999994E-2</v>
      </c>
    </row>
    <row r="2815" spans="1:22" x14ac:dyDescent="0.2">
      <c r="A2815">
        <v>2814</v>
      </c>
      <c r="B2815" t="s">
        <v>5166</v>
      </c>
      <c r="C2815" s="1">
        <v>43066</v>
      </c>
      <c r="D2815" s="22">
        <f>MONTH(Table3[[#This Row],[Order Date]])</f>
        <v>11</v>
      </c>
      <c r="E2815" t="s">
        <v>4763</v>
      </c>
      <c r="F2815" t="s">
        <v>4764</v>
      </c>
      <c r="G2815" s="23" t="s">
        <v>41</v>
      </c>
      <c r="H2815" s="23" t="s">
        <v>71</v>
      </c>
      <c r="I2815" t="s">
        <v>1071</v>
      </c>
      <c r="J2815" t="s">
        <v>22</v>
      </c>
      <c r="K2815" s="22">
        <v>1</v>
      </c>
      <c r="L2815" s="1">
        <v>43071</v>
      </c>
      <c r="M2815" s="22">
        <f>Table3[[#This Row],[Ship Date]]-Table3[[#This Row],[Order Date]]</f>
        <v>5</v>
      </c>
      <c r="N2815" s="23" t="s">
        <v>45</v>
      </c>
      <c r="O2815" s="23" t="s">
        <v>23</v>
      </c>
      <c r="P2815" s="23" t="s">
        <v>80</v>
      </c>
      <c r="Q2815" s="23" t="s">
        <v>26</v>
      </c>
      <c r="R2815" s="23" t="s">
        <v>2188</v>
      </c>
      <c r="S2815" s="33">
        <v>0.2</v>
      </c>
      <c r="T2815" s="13">
        <v>43.584000000000003</v>
      </c>
      <c r="U2815" s="13">
        <v>4.3583999999999996</v>
      </c>
      <c r="V2815" s="55">
        <f>Table3[[#This Row],[Profit]]/Table3[[#This Row],[Sales]]</f>
        <v>9.9999999999999978E-2</v>
      </c>
    </row>
    <row r="2816" spans="1:22" x14ac:dyDescent="0.2">
      <c r="A2816">
        <v>2815</v>
      </c>
      <c r="B2816" t="s">
        <v>7137</v>
      </c>
      <c r="C2816" s="1">
        <v>43066</v>
      </c>
      <c r="D2816" s="22">
        <f>MONTH(Table3[[#This Row],[Order Date]])</f>
        <v>11</v>
      </c>
      <c r="E2816" t="s">
        <v>1851</v>
      </c>
      <c r="F2816" t="s">
        <v>1852</v>
      </c>
      <c r="G2816" s="23" t="s">
        <v>41</v>
      </c>
      <c r="H2816" s="23" t="s">
        <v>68</v>
      </c>
      <c r="I2816" t="s">
        <v>1655</v>
      </c>
      <c r="J2816" t="s">
        <v>22</v>
      </c>
      <c r="K2816" s="22">
        <v>7</v>
      </c>
      <c r="L2816" s="1">
        <v>43071</v>
      </c>
      <c r="M2816" s="22">
        <f>Table3[[#This Row],[Ship Date]]-Table3[[#This Row],[Order Date]]</f>
        <v>5</v>
      </c>
      <c r="N2816" s="23" t="s">
        <v>45</v>
      </c>
      <c r="O2816" s="23" t="s">
        <v>23</v>
      </c>
      <c r="P2816" s="23" t="s">
        <v>38</v>
      </c>
      <c r="Q2816" s="23" t="s">
        <v>39</v>
      </c>
      <c r="R2816" s="23" t="s">
        <v>37</v>
      </c>
      <c r="S2816" s="33">
        <v>0.2</v>
      </c>
      <c r="T2816" s="13">
        <v>117.488</v>
      </c>
      <c r="U2816" s="13">
        <v>41.120800000000003</v>
      </c>
      <c r="V2816" s="55">
        <f>Table3[[#This Row],[Profit]]/Table3[[#This Row],[Sales]]</f>
        <v>0.35000000000000003</v>
      </c>
    </row>
    <row r="2817" spans="1:22" x14ac:dyDescent="0.2">
      <c r="A2817">
        <v>2816</v>
      </c>
      <c r="B2817" t="s">
        <v>7137</v>
      </c>
      <c r="C2817" s="1">
        <v>43066</v>
      </c>
      <c r="D2817" s="22">
        <f>MONTH(Table3[[#This Row],[Order Date]])</f>
        <v>11</v>
      </c>
      <c r="E2817" t="s">
        <v>1861</v>
      </c>
      <c r="F2817" t="s">
        <v>1862</v>
      </c>
      <c r="G2817" s="23" t="s">
        <v>28</v>
      </c>
      <c r="H2817" s="23" t="s">
        <v>58</v>
      </c>
      <c r="I2817" t="s">
        <v>1655</v>
      </c>
      <c r="J2817" t="s">
        <v>22</v>
      </c>
      <c r="K2817" s="22">
        <v>3</v>
      </c>
      <c r="L2817" s="1">
        <v>43071</v>
      </c>
      <c r="M2817" s="22">
        <f>Table3[[#This Row],[Ship Date]]-Table3[[#This Row],[Order Date]]</f>
        <v>5</v>
      </c>
      <c r="N2817" s="23" t="s">
        <v>45</v>
      </c>
      <c r="O2817" s="23" t="s">
        <v>23</v>
      </c>
      <c r="P2817" s="23" t="s">
        <v>38</v>
      </c>
      <c r="Q2817" s="23" t="s">
        <v>39</v>
      </c>
      <c r="R2817" s="23" t="s">
        <v>37</v>
      </c>
      <c r="S2817" s="33">
        <v>0</v>
      </c>
      <c r="T2817" s="13">
        <v>18.84</v>
      </c>
      <c r="U2817" s="13">
        <v>6.0288000000000004</v>
      </c>
      <c r="V2817" s="55">
        <f>Table3[[#This Row],[Profit]]/Table3[[#This Row],[Sales]]</f>
        <v>0.32</v>
      </c>
    </row>
    <row r="2818" spans="1:22" x14ac:dyDescent="0.2">
      <c r="A2818">
        <v>2817</v>
      </c>
      <c r="B2818" t="s">
        <v>7751</v>
      </c>
      <c r="C2818" s="1">
        <v>43066</v>
      </c>
      <c r="D2818" s="22">
        <f>MONTH(Table3[[#This Row],[Order Date]])</f>
        <v>11</v>
      </c>
      <c r="E2818" t="s">
        <v>7753</v>
      </c>
      <c r="F2818" t="s">
        <v>7754</v>
      </c>
      <c r="G2818" s="23" t="s">
        <v>64</v>
      </c>
      <c r="H2818" s="23" t="s">
        <v>65</v>
      </c>
      <c r="I2818" t="s">
        <v>7752</v>
      </c>
      <c r="J2818" t="s">
        <v>22</v>
      </c>
      <c r="K2818" s="22">
        <v>4</v>
      </c>
      <c r="L2818" s="1">
        <v>43072</v>
      </c>
      <c r="M2818" s="22">
        <f>Table3[[#This Row],[Ship Date]]-Table3[[#This Row],[Order Date]]</f>
        <v>6</v>
      </c>
      <c r="N2818" s="23" t="s">
        <v>45</v>
      </c>
      <c r="O2818" s="23" t="s">
        <v>23</v>
      </c>
      <c r="P2818" s="23" t="s">
        <v>38</v>
      </c>
      <c r="Q2818" s="23" t="s">
        <v>39</v>
      </c>
      <c r="R2818" s="23" t="s">
        <v>37</v>
      </c>
      <c r="S2818" s="33">
        <v>0.2</v>
      </c>
      <c r="T2818" s="13">
        <v>57.567999999999998</v>
      </c>
      <c r="U2818" s="13">
        <v>5.7568000000000001</v>
      </c>
      <c r="V2818" s="55">
        <f>Table3[[#This Row],[Profit]]/Table3[[#This Row],[Sales]]</f>
        <v>0.1</v>
      </c>
    </row>
    <row r="2819" spans="1:22" x14ac:dyDescent="0.2">
      <c r="A2819">
        <v>2818</v>
      </c>
      <c r="B2819" t="s">
        <v>8233</v>
      </c>
      <c r="C2819" s="1">
        <v>43066</v>
      </c>
      <c r="D2819" s="22">
        <f>MONTH(Table3[[#This Row],[Order Date]])</f>
        <v>11</v>
      </c>
      <c r="E2819" t="s">
        <v>1298</v>
      </c>
      <c r="F2819" t="s">
        <v>1299</v>
      </c>
      <c r="G2819" s="23" t="s">
        <v>41</v>
      </c>
      <c r="H2819" s="23" t="s">
        <v>61</v>
      </c>
      <c r="I2819" t="s">
        <v>1919</v>
      </c>
      <c r="J2819" t="s">
        <v>22</v>
      </c>
      <c r="K2819" s="22">
        <v>3</v>
      </c>
      <c r="L2819" s="1">
        <v>43069</v>
      </c>
      <c r="M2819" s="22">
        <f>Table3[[#This Row],[Ship Date]]-Table3[[#This Row],[Order Date]]</f>
        <v>3</v>
      </c>
      <c r="N2819" s="23" t="s">
        <v>20</v>
      </c>
      <c r="O2819" s="23" t="s">
        <v>23</v>
      </c>
      <c r="P2819" s="23" t="s">
        <v>238</v>
      </c>
      <c r="Q2819" s="23" t="s">
        <v>133</v>
      </c>
      <c r="R2819" s="23" t="s">
        <v>237</v>
      </c>
      <c r="S2819" s="33">
        <v>0</v>
      </c>
      <c r="T2819" s="13">
        <v>6.99</v>
      </c>
      <c r="U2819" s="13">
        <v>2.0270999999999999</v>
      </c>
      <c r="V2819" s="55">
        <f>Table3[[#This Row],[Profit]]/Table3[[#This Row],[Sales]]</f>
        <v>0.28999999999999998</v>
      </c>
    </row>
    <row r="2820" spans="1:22" x14ac:dyDescent="0.2">
      <c r="A2820">
        <v>2819</v>
      </c>
      <c r="B2820" t="s">
        <v>8233</v>
      </c>
      <c r="C2820" s="1">
        <v>43066</v>
      </c>
      <c r="D2820" s="22">
        <f>MONTH(Table3[[#This Row],[Order Date]])</f>
        <v>11</v>
      </c>
      <c r="E2820" t="s">
        <v>5170</v>
      </c>
      <c r="F2820" t="s">
        <v>5171</v>
      </c>
      <c r="G2820" s="23" t="s">
        <v>41</v>
      </c>
      <c r="H2820" s="23" t="s">
        <v>68</v>
      </c>
      <c r="I2820" t="s">
        <v>1919</v>
      </c>
      <c r="J2820" t="s">
        <v>22</v>
      </c>
      <c r="K2820" s="22">
        <v>6</v>
      </c>
      <c r="L2820" s="1">
        <v>43069</v>
      </c>
      <c r="M2820" s="22">
        <f>Table3[[#This Row],[Ship Date]]-Table3[[#This Row],[Order Date]]</f>
        <v>3</v>
      </c>
      <c r="N2820" s="23" t="s">
        <v>20</v>
      </c>
      <c r="O2820" s="23" t="s">
        <v>23</v>
      </c>
      <c r="P2820" s="23" t="s">
        <v>238</v>
      </c>
      <c r="Q2820" s="23" t="s">
        <v>133</v>
      </c>
      <c r="R2820" s="23" t="s">
        <v>237</v>
      </c>
      <c r="S2820" s="33">
        <v>0.2</v>
      </c>
      <c r="T2820" s="13">
        <v>107.42400000000001</v>
      </c>
      <c r="U2820" s="13">
        <v>36.255600000000001</v>
      </c>
      <c r="V2820" s="55">
        <f>Table3[[#This Row],[Profit]]/Table3[[#This Row],[Sales]]</f>
        <v>0.33749999999999997</v>
      </c>
    </row>
    <row r="2821" spans="1:22" x14ac:dyDescent="0.2">
      <c r="A2821">
        <v>2820</v>
      </c>
      <c r="B2821" t="s">
        <v>8755</v>
      </c>
      <c r="C2821" s="1">
        <v>43066</v>
      </c>
      <c r="D2821" s="22">
        <f>MONTH(Table3[[#This Row],[Order Date]])</f>
        <v>11</v>
      </c>
      <c r="E2821" t="s">
        <v>3294</v>
      </c>
      <c r="F2821" t="s">
        <v>3295</v>
      </c>
      <c r="G2821" s="23" t="s">
        <v>41</v>
      </c>
      <c r="H2821" s="23" t="s">
        <v>82</v>
      </c>
      <c r="I2821" t="s">
        <v>2434</v>
      </c>
      <c r="J2821" t="s">
        <v>36</v>
      </c>
      <c r="K2821" s="22">
        <v>6</v>
      </c>
      <c r="L2821" s="1">
        <v>43071</v>
      </c>
      <c r="M2821" s="22">
        <f>Table3[[#This Row],[Ship Date]]-Table3[[#This Row],[Order Date]]</f>
        <v>5</v>
      </c>
      <c r="N2821" s="23" t="s">
        <v>45</v>
      </c>
      <c r="O2821" s="23" t="s">
        <v>23</v>
      </c>
      <c r="P2821" s="23" t="s">
        <v>226</v>
      </c>
      <c r="Q2821" s="23" t="s">
        <v>95</v>
      </c>
      <c r="R2821" s="23" t="s">
        <v>440</v>
      </c>
      <c r="S2821" s="33">
        <v>0</v>
      </c>
      <c r="T2821" s="13">
        <v>158.28</v>
      </c>
      <c r="U2821" s="13">
        <v>72.808800000000005</v>
      </c>
      <c r="V2821" s="55">
        <f>Table3[[#This Row],[Profit]]/Table3[[#This Row],[Sales]]</f>
        <v>0.46</v>
      </c>
    </row>
    <row r="2822" spans="1:22" x14ac:dyDescent="0.2">
      <c r="A2822">
        <v>2821</v>
      </c>
      <c r="B2822" t="s">
        <v>8755</v>
      </c>
      <c r="C2822" s="1">
        <v>43066</v>
      </c>
      <c r="D2822" s="22">
        <f>MONTH(Table3[[#This Row],[Order Date]])</f>
        <v>11</v>
      </c>
      <c r="E2822" t="s">
        <v>3071</v>
      </c>
      <c r="F2822" t="s">
        <v>3072</v>
      </c>
      <c r="G2822" s="23" t="s">
        <v>41</v>
      </c>
      <c r="H2822" s="23" t="s">
        <v>68</v>
      </c>
      <c r="I2822" t="s">
        <v>2434</v>
      </c>
      <c r="J2822" t="s">
        <v>36</v>
      </c>
      <c r="K2822" s="22">
        <v>3</v>
      </c>
      <c r="L2822" s="1">
        <v>43071</v>
      </c>
      <c r="M2822" s="22">
        <f>Table3[[#This Row],[Ship Date]]-Table3[[#This Row],[Order Date]]</f>
        <v>5</v>
      </c>
      <c r="N2822" s="23" t="s">
        <v>45</v>
      </c>
      <c r="O2822" s="23" t="s">
        <v>23</v>
      </c>
      <c r="P2822" s="23" t="s">
        <v>226</v>
      </c>
      <c r="Q2822" s="23" t="s">
        <v>95</v>
      </c>
      <c r="R2822" s="23" t="s">
        <v>440</v>
      </c>
      <c r="S2822" s="33">
        <v>0</v>
      </c>
      <c r="T2822" s="13">
        <v>497.94</v>
      </c>
      <c r="U2822" s="13">
        <v>224.07300000000001</v>
      </c>
      <c r="V2822" s="55">
        <f>Table3[[#This Row],[Profit]]/Table3[[#This Row],[Sales]]</f>
        <v>0.45</v>
      </c>
    </row>
    <row r="2823" spans="1:22" x14ac:dyDescent="0.2">
      <c r="A2823">
        <v>2822</v>
      </c>
      <c r="B2823" t="s">
        <v>2534</v>
      </c>
      <c r="C2823" s="1">
        <v>43067</v>
      </c>
      <c r="D2823" s="22">
        <f>MONTH(Table3[[#This Row],[Order Date]])</f>
        <v>11</v>
      </c>
      <c r="E2823" t="s">
        <v>2535</v>
      </c>
      <c r="F2823" t="s">
        <v>2536</v>
      </c>
      <c r="G2823" s="23" t="s">
        <v>28</v>
      </c>
      <c r="H2823" s="23" t="s">
        <v>58</v>
      </c>
      <c r="I2823" t="s">
        <v>1334</v>
      </c>
      <c r="J2823" t="s">
        <v>92</v>
      </c>
      <c r="K2823" s="22">
        <v>7</v>
      </c>
      <c r="L2823" s="1">
        <v>43071</v>
      </c>
      <c r="M2823" s="22">
        <f>Table3[[#This Row],[Ship Date]]-Table3[[#This Row],[Order Date]]</f>
        <v>4</v>
      </c>
      <c r="N2823" s="23" t="s">
        <v>45</v>
      </c>
      <c r="O2823" s="23" t="s">
        <v>23</v>
      </c>
      <c r="P2823" s="23" t="s">
        <v>132</v>
      </c>
      <c r="Q2823" s="23" t="s">
        <v>133</v>
      </c>
      <c r="R2823" s="23" t="s">
        <v>131</v>
      </c>
      <c r="S2823" s="33">
        <v>0.2</v>
      </c>
      <c r="T2823" s="13">
        <v>516.48800000000006</v>
      </c>
      <c r="U2823" s="13">
        <v>-12.9122</v>
      </c>
      <c r="V2823" s="55">
        <f>Table3[[#This Row],[Profit]]/Table3[[#This Row],[Sales]]</f>
        <v>-2.4999999999999998E-2</v>
      </c>
    </row>
    <row r="2824" spans="1:22" x14ac:dyDescent="0.2">
      <c r="A2824">
        <v>2823</v>
      </c>
      <c r="B2824" t="s">
        <v>2534</v>
      </c>
      <c r="C2824" s="1">
        <v>43067</v>
      </c>
      <c r="D2824" s="22">
        <f>MONTH(Table3[[#This Row],[Order Date]])</f>
        <v>11</v>
      </c>
      <c r="E2824" t="s">
        <v>811</v>
      </c>
      <c r="F2824" t="s">
        <v>812</v>
      </c>
      <c r="G2824" s="23" t="s">
        <v>28</v>
      </c>
      <c r="H2824" s="23" t="s">
        <v>58</v>
      </c>
      <c r="I2824" t="s">
        <v>1334</v>
      </c>
      <c r="J2824" t="s">
        <v>92</v>
      </c>
      <c r="K2824" s="22">
        <v>6</v>
      </c>
      <c r="L2824" s="1">
        <v>43071</v>
      </c>
      <c r="M2824" s="22">
        <f>Table3[[#This Row],[Ship Date]]-Table3[[#This Row],[Order Date]]</f>
        <v>4</v>
      </c>
      <c r="N2824" s="23" t="s">
        <v>45</v>
      </c>
      <c r="O2824" s="23" t="s">
        <v>23</v>
      </c>
      <c r="P2824" s="23" t="s">
        <v>132</v>
      </c>
      <c r="Q2824" s="23" t="s">
        <v>133</v>
      </c>
      <c r="R2824" s="23" t="s">
        <v>131</v>
      </c>
      <c r="S2824" s="33">
        <v>0.2</v>
      </c>
      <c r="T2824" s="13">
        <v>1007.232</v>
      </c>
      <c r="U2824" s="13">
        <v>75.542400000000001</v>
      </c>
      <c r="V2824" s="55">
        <f>Table3[[#This Row],[Profit]]/Table3[[#This Row],[Sales]]</f>
        <v>7.4999999999999997E-2</v>
      </c>
    </row>
    <row r="2825" spans="1:22" x14ac:dyDescent="0.2">
      <c r="A2825">
        <v>2824</v>
      </c>
      <c r="B2825" t="s">
        <v>2534</v>
      </c>
      <c r="C2825" s="1">
        <v>43067</v>
      </c>
      <c r="D2825" s="22">
        <f>MONTH(Table3[[#This Row],[Order Date]])</f>
        <v>11</v>
      </c>
      <c r="E2825" t="s">
        <v>2537</v>
      </c>
      <c r="F2825" t="s">
        <v>2538</v>
      </c>
      <c r="G2825" s="23" t="s">
        <v>28</v>
      </c>
      <c r="H2825" s="23" t="s">
        <v>50</v>
      </c>
      <c r="I2825" t="s">
        <v>1334</v>
      </c>
      <c r="J2825" t="s">
        <v>92</v>
      </c>
      <c r="K2825" s="22">
        <v>12</v>
      </c>
      <c r="L2825" s="1">
        <v>43071</v>
      </c>
      <c r="M2825" s="22">
        <f>Table3[[#This Row],[Ship Date]]-Table3[[#This Row],[Order Date]]</f>
        <v>4</v>
      </c>
      <c r="N2825" s="23" t="s">
        <v>45</v>
      </c>
      <c r="O2825" s="23" t="s">
        <v>23</v>
      </c>
      <c r="P2825" s="23" t="s">
        <v>132</v>
      </c>
      <c r="Q2825" s="23" t="s">
        <v>133</v>
      </c>
      <c r="R2825" s="23" t="s">
        <v>131</v>
      </c>
      <c r="S2825" s="33">
        <v>0.4</v>
      </c>
      <c r="T2825" s="13">
        <v>2065.3200000000002</v>
      </c>
      <c r="U2825" s="13">
        <v>-619.596</v>
      </c>
      <c r="V2825" s="55">
        <f>Table3[[#This Row],[Profit]]/Table3[[#This Row],[Sales]]</f>
        <v>-0.3</v>
      </c>
    </row>
    <row r="2826" spans="1:22" x14ac:dyDescent="0.2">
      <c r="A2826">
        <v>2825</v>
      </c>
      <c r="B2826" t="s">
        <v>2534</v>
      </c>
      <c r="C2826" s="1">
        <v>43067</v>
      </c>
      <c r="D2826" s="22">
        <f>MONTH(Table3[[#This Row],[Order Date]])</f>
        <v>11</v>
      </c>
      <c r="E2826" t="s">
        <v>2539</v>
      </c>
      <c r="F2826" t="s">
        <v>2540</v>
      </c>
      <c r="G2826" s="23" t="s">
        <v>41</v>
      </c>
      <c r="H2826" s="23" t="s">
        <v>82</v>
      </c>
      <c r="I2826" t="s">
        <v>1334</v>
      </c>
      <c r="J2826" t="s">
        <v>92</v>
      </c>
      <c r="K2826" s="22">
        <v>3</v>
      </c>
      <c r="L2826" s="1">
        <v>43071</v>
      </c>
      <c r="M2826" s="22">
        <f>Table3[[#This Row],[Ship Date]]-Table3[[#This Row],[Order Date]]</f>
        <v>4</v>
      </c>
      <c r="N2826" s="23" t="s">
        <v>45</v>
      </c>
      <c r="O2826" s="23" t="s">
        <v>23</v>
      </c>
      <c r="P2826" s="23" t="s">
        <v>132</v>
      </c>
      <c r="Q2826" s="23" t="s">
        <v>133</v>
      </c>
      <c r="R2826" s="23" t="s">
        <v>131</v>
      </c>
      <c r="S2826" s="33">
        <v>0.2</v>
      </c>
      <c r="T2826" s="13">
        <v>15.552</v>
      </c>
      <c r="U2826" s="13">
        <v>5.4432</v>
      </c>
      <c r="V2826" s="55">
        <f>Table3[[#This Row],[Profit]]/Table3[[#This Row],[Sales]]</f>
        <v>0.35000000000000003</v>
      </c>
    </row>
    <row r="2827" spans="1:22" x14ac:dyDescent="0.2">
      <c r="A2827">
        <v>2826</v>
      </c>
      <c r="B2827" t="s">
        <v>2534</v>
      </c>
      <c r="C2827" s="1">
        <v>43067</v>
      </c>
      <c r="D2827" s="22">
        <f>MONTH(Table3[[#This Row],[Order Date]])</f>
        <v>11</v>
      </c>
      <c r="E2827" t="s">
        <v>805</v>
      </c>
      <c r="F2827" t="s">
        <v>806</v>
      </c>
      <c r="G2827" s="23" t="s">
        <v>41</v>
      </c>
      <c r="H2827" s="23" t="s">
        <v>82</v>
      </c>
      <c r="I2827" t="s">
        <v>1334</v>
      </c>
      <c r="J2827" t="s">
        <v>92</v>
      </c>
      <c r="K2827" s="22">
        <v>6</v>
      </c>
      <c r="L2827" s="1">
        <v>43071</v>
      </c>
      <c r="M2827" s="22">
        <f>Table3[[#This Row],[Ship Date]]-Table3[[#This Row],[Order Date]]</f>
        <v>4</v>
      </c>
      <c r="N2827" s="23" t="s">
        <v>45</v>
      </c>
      <c r="O2827" s="23" t="s">
        <v>23</v>
      </c>
      <c r="P2827" s="23" t="s">
        <v>132</v>
      </c>
      <c r="Q2827" s="23" t="s">
        <v>133</v>
      </c>
      <c r="R2827" s="23" t="s">
        <v>131</v>
      </c>
      <c r="S2827" s="33">
        <v>0.2</v>
      </c>
      <c r="T2827" s="13">
        <v>25.344000000000001</v>
      </c>
      <c r="U2827" s="13">
        <v>7.92</v>
      </c>
      <c r="V2827" s="55">
        <f>Table3[[#This Row],[Profit]]/Table3[[#This Row],[Sales]]</f>
        <v>0.3125</v>
      </c>
    </row>
    <row r="2828" spans="1:22" x14ac:dyDescent="0.2">
      <c r="A2828">
        <v>2827</v>
      </c>
      <c r="B2828" t="s">
        <v>4234</v>
      </c>
      <c r="C2828" s="1">
        <v>43067</v>
      </c>
      <c r="D2828" s="22">
        <f>MONTH(Table3[[#This Row],[Order Date]])</f>
        <v>11</v>
      </c>
      <c r="E2828" t="s">
        <v>1439</v>
      </c>
      <c r="F2828" t="s">
        <v>1440</v>
      </c>
      <c r="G2828" s="23" t="s">
        <v>41</v>
      </c>
      <c r="H2828" s="23" t="s">
        <v>82</v>
      </c>
      <c r="I2828" t="s">
        <v>2196</v>
      </c>
      <c r="J2828" t="s">
        <v>22</v>
      </c>
      <c r="K2828" s="22">
        <v>2</v>
      </c>
      <c r="L2828" s="1">
        <v>43070</v>
      </c>
      <c r="M2828" s="22">
        <f>Table3[[#This Row],[Ship Date]]-Table3[[#This Row],[Order Date]]</f>
        <v>3</v>
      </c>
      <c r="N2828" s="23" t="s">
        <v>169</v>
      </c>
      <c r="O2828" s="23" t="s">
        <v>23</v>
      </c>
      <c r="P2828" s="23" t="s">
        <v>405</v>
      </c>
      <c r="Q2828" s="23" t="s">
        <v>39</v>
      </c>
      <c r="R2828" s="23" t="s">
        <v>711</v>
      </c>
      <c r="S2828" s="33">
        <v>0.2</v>
      </c>
      <c r="T2828" s="13">
        <v>88.768000000000001</v>
      </c>
      <c r="U2828" s="13">
        <v>31.0688</v>
      </c>
      <c r="V2828" s="55">
        <f>Table3[[#This Row],[Profit]]/Table3[[#This Row],[Sales]]</f>
        <v>0.35</v>
      </c>
    </row>
    <row r="2829" spans="1:22" x14ac:dyDescent="0.2">
      <c r="A2829">
        <v>2828</v>
      </c>
      <c r="B2829" t="s">
        <v>5148</v>
      </c>
      <c r="C2829" s="1">
        <v>43067</v>
      </c>
      <c r="D2829" s="22">
        <f>MONTH(Table3[[#This Row],[Order Date]])</f>
        <v>11</v>
      </c>
      <c r="E2829" t="s">
        <v>5149</v>
      </c>
      <c r="F2829" t="s">
        <v>5150</v>
      </c>
      <c r="G2829" s="23" t="s">
        <v>64</v>
      </c>
      <c r="H2829" s="23" t="s">
        <v>65</v>
      </c>
      <c r="I2829" t="s">
        <v>2737</v>
      </c>
      <c r="J2829" t="s">
        <v>36</v>
      </c>
      <c r="K2829" s="22">
        <v>11</v>
      </c>
      <c r="L2829" s="1">
        <v>43071</v>
      </c>
      <c r="M2829" s="22">
        <f>Table3[[#This Row],[Ship Date]]-Table3[[#This Row],[Order Date]]</f>
        <v>4</v>
      </c>
      <c r="N2829" s="23" t="s">
        <v>45</v>
      </c>
      <c r="O2829" s="23" t="s">
        <v>23</v>
      </c>
      <c r="P2829" s="23" t="s">
        <v>238</v>
      </c>
      <c r="Q2829" s="23" t="s">
        <v>133</v>
      </c>
      <c r="R2829" s="23" t="s">
        <v>237</v>
      </c>
      <c r="S2829" s="33">
        <v>0</v>
      </c>
      <c r="T2829" s="13">
        <v>1979.89</v>
      </c>
      <c r="U2829" s="13">
        <v>494.97250000000003</v>
      </c>
      <c r="V2829" s="55">
        <f>Table3[[#This Row],[Profit]]/Table3[[#This Row],[Sales]]</f>
        <v>0.25</v>
      </c>
    </row>
    <row r="2830" spans="1:22" x14ac:dyDescent="0.2">
      <c r="A2830">
        <v>2829</v>
      </c>
      <c r="B2830" t="s">
        <v>5148</v>
      </c>
      <c r="C2830" s="1">
        <v>43067</v>
      </c>
      <c r="D2830" s="22">
        <f>MONTH(Table3[[#This Row],[Order Date]])</f>
        <v>11</v>
      </c>
      <c r="E2830" t="s">
        <v>3049</v>
      </c>
      <c r="F2830" t="s">
        <v>3050</v>
      </c>
      <c r="G2830" s="23" t="s">
        <v>41</v>
      </c>
      <c r="H2830" s="23" t="s">
        <v>155</v>
      </c>
      <c r="I2830" t="s">
        <v>2737</v>
      </c>
      <c r="J2830" t="s">
        <v>36</v>
      </c>
      <c r="K2830" s="22">
        <v>2</v>
      </c>
      <c r="L2830" s="1">
        <v>43071</v>
      </c>
      <c r="M2830" s="22">
        <f>Table3[[#This Row],[Ship Date]]-Table3[[#This Row],[Order Date]]</f>
        <v>4</v>
      </c>
      <c r="N2830" s="23" t="s">
        <v>45</v>
      </c>
      <c r="O2830" s="23" t="s">
        <v>23</v>
      </c>
      <c r="P2830" s="23" t="s">
        <v>238</v>
      </c>
      <c r="Q2830" s="23" t="s">
        <v>133</v>
      </c>
      <c r="R2830" s="23" t="s">
        <v>237</v>
      </c>
      <c r="S2830" s="33">
        <v>0</v>
      </c>
      <c r="T2830" s="13">
        <v>79.959999999999994</v>
      </c>
      <c r="U2830" s="13">
        <v>35.981999999999999</v>
      </c>
      <c r="V2830" s="55">
        <f>Table3[[#This Row],[Profit]]/Table3[[#This Row],[Sales]]</f>
        <v>0.45</v>
      </c>
    </row>
    <row r="2831" spans="1:22" x14ac:dyDescent="0.2">
      <c r="A2831">
        <v>2830</v>
      </c>
      <c r="B2831" t="s">
        <v>6616</v>
      </c>
      <c r="C2831" s="1">
        <v>43067</v>
      </c>
      <c r="D2831" s="22">
        <f>MONTH(Table3[[#This Row],[Order Date]])</f>
        <v>11</v>
      </c>
      <c r="E2831" t="s">
        <v>4259</v>
      </c>
      <c r="F2831" t="s">
        <v>4260</v>
      </c>
      <c r="G2831" s="23" t="s">
        <v>41</v>
      </c>
      <c r="H2831" s="23" t="s">
        <v>61</v>
      </c>
      <c r="I2831" t="s">
        <v>487</v>
      </c>
      <c r="J2831" t="s">
        <v>92</v>
      </c>
      <c r="K2831" s="22">
        <v>1</v>
      </c>
      <c r="L2831" s="1">
        <v>43073</v>
      </c>
      <c r="M2831" s="22">
        <f>Table3[[#This Row],[Ship Date]]-Table3[[#This Row],[Order Date]]</f>
        <v>6</v>
      </c>
      <c r="N2831" s="23" t="s">
        <v>45</v>
      </c>
      <c r="O2831" s="23" t="s">
        <v>23</v>
      </c>
      <c r="P2831" s="23" t="s">
        <v>2408</v>
      </c>
      <c r="Q2831" s="23" t="s">
        <v>133</v>
      </c>
      <c r="R2831" s="23" t="s">
        <v>3967</v>
      </c>
      <c r="S2831" s="33">
        <v>0</v>
      </c>
      <c r="T2831" s="13">
        <v>1.64</v>
      </c>
      <c r="U2831" s="13">
        <v>0.73799999999999999</v>
      </c>
      <c r="V2831" s="55">
        <f>Table3[[#This Row],[Profit]]/Table3[[#This Row],[Sales]]</f>
        <v>0.45</v>
      </c>
    </row>
    <row r="2832" spans="1:22" x14ac:dyDescent="0.2">
      <c r="A2832">
        <v>2831</v>
      </c>
      <c r="B2832" t="s">
        <v>6616</v>
      </c>
      <c r="C2832" s="1">
        <v>43067</v>
      </c>
      <c r="D2832" s="22">
        <f>MONTH(Table3[[#This Row],[Order Date]])</f>
        <v>11</v>
      </c>
      <c r="E2832" t="s">
        <v>811</v>
      </c>
      <c r="F2832" t="s">
        <v>812</v>
      </c>
      <c r="G2832" s="23" t="s">
        <v>28</v>
      </c>
      <c r="H2832" s="23" t="s">
        <v>58</v>
      </c>
      <c r="I2832" t="s">
        <v>487</v>
      </c>
      <c r="J2832" t="s">
        <v>92</v>
      </c>
      <c r="K2832" s="22">
        <v>5</v>
      </c>
      <c r="L2832" s="1">
        <v>43073</v>
      </c>
      <c r="M2832" s="22">
        <f>Table3[[#This Row],[Ship Date]]-Table3[[#This Row],[Order Date]]</f>
        <v>6</v>
      </c>
      <c r="N2832" s="23" t="s">
        <v>45</v>
      </c>
      <c r="O2832" s="23" t="s">
        <v>23</v>
      </c>
      <c r="P2832" s="23" t="s">
        <v>2408</v>
      </c>
      <c r="Q2832" s="23" t="s">
        <v>133</v>
      </c>
      <c r="R2832" s="23" t="s">
        <v>3967</v>
      </c>
      <c r="S2832" s="33">
        <v>0</v>
      </c>
      <c r="T2832" s="13">
        <v>1049.2</v>
      </c>
      <c r="U2832" s="13">
        <v>272.79199999999997</v>
      </c>
      <c r="V2832" s="55">
        <f>Table3[[#This Row],[Profit]]/Table3[[#This Row],[Sales]]</f>
        <v>0.25999999999999995</v>
      </c>
    </row>
    <row r="2833" spans="1:22" x14ac:dyDescent="0.2">
      <c r="A2833">
        <v>2832</v>
      </c>
      <c r="B2833" t="s">
        <v>6616</v>
      </c>
      <c r="C2833" s="1">
        <v>43067</v>
      </c>
      <c r="D2833" s="22">
        <f>MONTH(Table3[[#This Row],[Order Date]])</f>
        <v>11</v>
      </c>
      <c r="E2833" t="s">
        <v>3490</v>
      </c>
      <c r="F2833" t="s">
        <v>3491</v>
      </c>
      <c r="G2833" s="23" t="s">
        <v>28</v>
      </c>
      <c r="H2833" s="23" t="s">
        <v>58</v>
      </c>
      <c r="I2833" t="s">
        <v>487</v>
      </c>
      <c r="J2833" t="s">
        <v>92</v>
      </c>
      <c r="K2833" s="22">
        <v>5</v>
      </c>
      <c r="L2833" s="1">
        <v>43073</v>
      </c>
      <c r="M2833" s="22">
        <f>Table3[[#This Row],[Ship Date]]-Table3[[#This Row],[Order Date]]</f>
        <v>6</v>
      </c>
      <c r="N2833" s="23" t="s">
        <v>45</v>
      </c>
      <c r="O2833" s="23" t="s">
        <v>23</v>
      </c>
      <c r="P2833" s="23" t="s">
        <v>2408</v>
      </c>
      <c r="Q2833" s="23" t="s">
        <v>133</v>
      </c>
      <c r="R2833" s="23" t="s">
        <v>3967</v>
      </c>
      <c r="S2833" s="33">
        <v>0</v>
      </c>
      <c r="T2833" s="13">
        <v>20.9</v>
      </c>
      <c r="U2833" s="13">
        <v>7.524</v>
      </c>
      <c r="V2833" s="55">
        <f>Table3[[#This Row],[Profit]]/Table3[[#This Row],[Sales]]</f>
        <v>0.36000000000000004</v>
      </c>
    </row>
    <row r="2834" spans="1:22" x14ac:dyDescent="0.2">
      <c r="A2834">
        <v>2833</v>
      </c>
      <c r="B2834" t="s">
        <v>10024</v>
      </c>
      <c r="C2834" s="1">
        <v>43067</v>
      </c>
      <c r="D2834" s="22">
        <f>MONTH(Table3[[#This Row],[Order Date]])</f>
        <v>11</v>
      </c>
      <c r="E2834" t="s">
        <v>1058</v>
      </c>
      <c r="F2834" t="s">
        <v>1059</v>
      </c>
      <c r="G2834" s="23" t="s">
        <v>41</v>
      </c>
      <c r="H2834" s="23" t="s">
        <v>42</v>
      </c>
      <c r="I2834" t="s">
        <v>1617</v>
      </c>
      <c r="J2834" t="s">
        <v>22</v>
      </c>
      <c r="K2834" s="22">
        <v>5</v>
      </c>
      <c r="L2834" s="1">
        <v>43071</v>
      </c>
      <c r="M2834" s="22">
        <f>Table3[[#This Row],[Ship Date]]-Table3[[#This Row],[Order Date]]</f>
        <v>4</v>
      </c>
      <c r="N2834" s="23" t="s">
        <v>45</v>
      </c>
      <c r="O2834" s="23" t="s">
        <v>23</v>
      </c>
      <c r="P2834" s="23" t="s">
        <v>38</v>
      </c>
      <c r="Q2834" s="23" t="s">
        <v>39</v>
      </c>
      <c r="R2834" s="23" t="s">
        <v>836</v>
      </c>
      <c r="S2834" s="33">
        <v>0</v>
      </c>
      <c r="T2834" s="13">
        <v>62.65</v>
      </c>
      <c r="U2834" s="13">
        <v>29.445499999999999</v>
      </c>
      <c r="V2834" s="55">
        <f>Table3[[#This Row],[Profit]]/Table3[[#This Row],[Sales]]</f>
        <v>0.47</v>
      </c>
    </row>
    <row r="2835" spans="1:22" x14ac:dyDescent="0.2">
      <c r="A2835">
        <v>2834</v>
      </c>
      <c r="B2835" t="s">
        <v>8679</v>
      </c>
      <c r="C2835" s="1">
        <v>43068</v>
      </c>
      <c r="D2835" s="22">
        <f>MONTH(Table3[[#This Row],[Order Date]])</f>
        <v>11</v>
      </c>
      <c r="E2835" t="s">
        <v>31</v>
      </c>
      <c r="F2835" t="s">
        <v>33</v>
      </c>
      <c r="G2835" s="23" t="s">
        <v>28</v>
      </c>
      <c r="H2835" s="23" t="s">
        <v>32</v>
      </c>
      <c r="I2835" t="s">
        <v>579</v>
      </c>
      <c r="J2835" t="s">
        <v>22</v>
      </c>
      <c r="K2835" s="22">
        <v>2</v>
      </c>
      <c r="L2835" s="1">
        <v>43072</v>
      </c>
      <c r="M2835" s="22">
        <f>Table3[[#This Row],[Ship Date]]-Table3[[#This Row],[Order Date]]</f>
        <v>4</v>
      </c>
      <c r="N2835" s="23" t="s">
        <v>45</v>
      </c>
      <c r="O2835" s="23" t="s">
        <v>23</v>
      </c>
      <c r="P2835" s="23" t="s">
        <v>299</v>
      </c>
      <c r="Q2835" s="23" t="s">
        <v>26</v>
      </c>
      <c r="R2835" s="23" t="s">
        <v>5570</v>
      </c>
      <c r="S2835" s="33">
        <v>0.2</v>
      </c>
      <c r="T2835" s="13">
        <v>390.36799999999999</v>
      </c>
      <c r="U2835" s="13">
        <v>48.795999999999999</v>
      </c>
      <c r="V2835" s="55">
        <f>Table3[[#This Row],[Profit]]/Table3[[#This Row],[Sales]]</f>
        <v>0.125</v>
      </c>
    </row>
    <row r="2836" spans="1:22" x14ac:dyDescent="0.2">
      <c r="A2836">
        <v>2835</v>
      </c>
      <c r="B2836" t="s">
        <v>8679</v>
      </c>
      <c r="C2836" s="1">
        <v>43068</v>
      </c>
      <c r="D2836" s="22">
        <f>MONTH(Table3[[#This Row],[Order Date]])</f>
        <v>11</v>
      </c>
      <c r="E2836" t="s">
        <v>798</v>
      </c>
      <c r="F2836" t="s">
        <v>6256</v>
      </c>
      <c r="G2836" s="23" t="s">
        <v>28</v>
      </c>
      <c r="H2836" s="23" t="s">
        <v>58</v>
      </c>
      <c r="I2836" t="s">
        <v>579</v>
      </c>
      <c r="J2836" t="s">
        <v>22</v>
      </c>
      <c r="K2836" s="22">
        <v>5</v>
      </c>
      <c r="L2836" s="1">
        <v>43072</v>
      </c>
      <c r="M2836" s="22">
        <f>Table3[[#This Row],[Ship Date]]-Table3[[#This Row],[Order Date]]</f>
        <v>4</v>
      </c>
      <c r="N2836" s="23" t="s">
        <v>45</v>
      </c>
      <c r="O2836" s="23" t="s">
        <v>23</v>
      </c>
      <c r="P2836" s="23" t="s">
        <v>299</v>
      </c>
      <c r="Q2836" s="23" t="s">
        <v>26</v>
      </c>
      <c r="R2836" s="23" t="s">
        <v>5570</v>
      </c>
      <c r="S2836" s="33">
        <v>0.2</v>
      </c>
      <c r="T2836" s="13">
        <v>101.52</v>
      </c>
      <c r="U2836" s="13">
        <v>19.035</v>
      </c>
      <c r="V2836" s="55">
        <f>Table3[[#This Row],[Profit]]/Table3[[#This Row],[Sales]]</f>
        <v>0.1875</v>
      </c>
    </row>
    <row r="2837" spans="1:22" x14ac:dyDescent="0.2">
      <c r="A2837">
        <v>2836</v>
      </c>
      <c r="B2837" t="s">
        <v>2388</v>
      </c>
      <c r="C2837" s="1">
        <v>43069</v>
      </c>
      <c r="D2837" s="22">
        <f>MONTH(Table3[[#This Row],[Order Date]])</f>
        <v>11</v>
      </c>
      <c r="E2837" t="s">
        <v>2389</v>
      </c>
      <c r="F2837" t="s">
        <v>2390</v>
      </c>
      <c r="G2837" s="23" t="s">
        <v>41</v>
      </c>
      <c r="H2837" s="23" t="s">
        <v>68</v>
      </c>
      <c r="I2837" t="s">
        <v>91</v>
      </c>
      <c r="J2837" t="s">
        <v>92</v>
      </c>
      <c r="K2837" s="22">
        <v>3</v>
      </c>
      <c r="L2837" s="1">
        <v>43071</v>
      </c>
      <c r="M2837" s="22">
        <f>Table3[[#This Row],[Ship Date]]-Table3[[#This Row],[Order Date]]</f>
        <v>2</v>
      </c>
      <c r="N2837" s="23" t="s">
        <v>20</v>
      </c>
      <c r="O2837" s="23" t="s">
        <v>23</v>
      </c>
      <c r="P2837" s="23" t="s">
        <v>238</v>
      </c>
      <c r="Q2837" s="23" t="s">
        <v>133</v>
      </c>
      <c r="R2837" s="23" t="s">
        <v>237</v>
      </c>
      <c r="S2837" s="33">
        <v>0.2</v>
      </c>
      <c r="T2837" s="13">
        <v>68.471999999999994</v>
      </c>
      <c r="U2837" s="13">
        <v>23.109300000000001</v>
      </c>
      <c r="V2837" s="55">
        <f>Table3[[#This Row],[Profit]]/Table3[[#This Row],[Sales]]</f>
        <v>0.33750000000000002</v>
      </c>
    </row>
    <row r="2838" spans="1:22" x14ac:dyDescent="0.2">
      <c r="A2838">
        <v>2837</v>
      </c>
      <c r="B2838" t="s">
        <v>2388</v>
      </c>
      <c r="C2838" s="1">
        <v>43069</v>
      </c>
      <c r="D2838" s="22">
        <f>MONTH(Table3[[#This Row],[Order Date]])</f>
        <v>11</v>
      </c>
      <c r="E2838" t="s">
        <v>606</v>
      </c>
      <c r="F2838" t="s">
        <v>607</v>
      </c>
      <c r="G2838" s="23" t="s">
        <v>28</v>
      </c>
      <c r="H2838" s="23" t="s">
        <v>32</v>
      </c>
      <c r="I2838" t="s">
        <v>91</v>
      </c>
      <c r="J2838" t="s">
        <v>92</v>
      </c>
      <c r="K2838" s="22">
        <v>5</v>
      </c>
      <c r="L2838" s="1">
        <v>43071</v>
      </c>
      <c r="M2838" s="22">
        <f>Table3[[#This Row],[Ship Date]]-Table3[[#This Row],[Order Date]]</f>
        <v>2</v>
      </c>
      <c r="N2838" s="23" t="s">
        <v>20</v>
      </c>
      <c r="O2838" s="23" t="s">
        <v>23</v>
      </c>
      <c r="P2838" s="23" t="s">
        <v>238</v>
      </c>
      <c r="Q2838" s="23" t="s">
        <v>133</v>
      </c>
      <c r="R2838" s="23" t="s">
        <v>237</v>
      </c>
      <c r="S2838" s="33">
        <v>0.1</v>
      </c>
      <c r="T2838" s="13">
        <v>1242.9000000000001</v>
      </c>
      <c r="U2838" s="13">
        <v>262.39</v>
      </c>
      <c r="V2838" s="55">
        <f>Table3[[#This Row],[Profit]]/Table3[[#This Row],[Sales]]</f>
        <v>0.21111111111111108</v>
      </c>
    </row>
    <row r="2839" spans="1:22" x14ac:dyDescent="0.2">
      <c r="A2839">
        <v>2838</v>
      </c>
      <c r="B2839" t="s">
        <v>2547</v>
      </c>
      <c r="C2839" s="1">
        <v>43069</v>
      </c>
      <c r="D2839" s="22">
        <f>MONTH(Table3[[#This Row],[Order Date]])</f>
        <v>11</v>
      </c>
      <c r="E2839" t="s">
        <v>247</v>
      </c>
      <c r="F2839" t="s">
        <v>248</v>
      </c>
      <c r="G2839" s="23" t="s">
        <v>41</v>
      </c>
      <c r="H2839" s="23" t="s">
        <v>53</v>
      </c>
      <c r="I2839" t="s">
        <v>2548</v>
      </c>
      <c r="J2839" t="s">
        <v>22</v>
      </c>
      <c r="K2839" s="22">
        <v>5</v>
      </c>
      <c r="L2839" s="1">
        <v>43073</v>
      </c>
      <c r="M2839" s="22">
        <f>Table3[[#This Row],[Ship Date]]-Table3[[#This Row],[Order Date]]</f>
        <v>4</v>
      </c>
      <c r="N2839" s="23" t="s">
        <v>45</v>
      </c>
      <c r="O2839" s="23" t="s">
        <v>23</v>
      </c>
      <c r="P2839" s="23" t="s">
        <v>1315</v>
      </c>
      <c r="Q2839" s="23" t="s">
        <v>26</v>
      </c>
      <c r="R2839" s="23" t="s">
        <v>293</v>
      </c>
      <c r="S2839" s="33">
        <v>0</v>
      </c>
      <c r="T2839" s="13">
        <v>173.8</v>
      </c>
      <c r="U2839" s="13">
        <v>43.45</v>
      </c>
      <c r="V2839" s="55">
        <f>Table3[[#This Row],[Profit]]/Table3[[#This Row],[Sales]]</f>
        <v>0.25</v>
      </c>
    </row>
    <row r="2840" spans="1:22" x14ac:dyDescent="0.2">
      <c r="A2840">
        <v>2839</v>
      </c>
      <c r="B2840" t="s">
        <v>3727</v>
      </c>
      <c r="C2840" s="1">
        <v>43069</v>
      </c>
      <c r="D2840" s="22">
        <f>MONTH(Table3[[#This Row],[Order Date]])</f>
        <v>11</v>
      </c>
      <c r="E2840" t="s">
        <v>3728</v>
      </c>
      <c r="F2840" t="s">
        <v>3729</v>
      </c>
      <c r="G2840" s="23" t="s">
        <v>41</v>
      </c>
      <c r="H2840" s="23" t="s">
        <v>61</v>
      </c>
      <c r="I2840" t="s">
        <v>1850</v>
      </c>
      <c r="J2840" t="s">
        <v>22</v>
      </c>
      <c r="K2840" s="22">
        <v>6</v>
      </c>
      <c r="L2840" s="1">
        <v>43073</v>
      </c>
      <c r="M2840" s="22">
        <f>Table3[[#This Row],[Ship Date]]-Table3[[#This Row],[Order Date]]</f>
        <v>4</v>
      </c>
      <c r="N2840" s="23" t="s">
        <v>45</v>
      </c>
      <c r="O2840" s="23" t="s">
        <v>23</v>
      </c>
      <c r="P2840" s="23" t="s">
        <v>218</v>
      </c>
      <c r="Q2840" s="23" t="s">
        <v>133</v>
      </c>
      <c r="R2840" s="23" t="s">
        <v>536</v>
      </c>
      <c r="S2840" s="33">
        <v>0</v>
      </c>
      <c r="T2840" s="13">
        <v>155.94</v>
      </c>
      <c r="U2840" s="13">
        <v>45.2226</v>
      </c>
      <c r="V2840" s="55">
        <f>Table3[[#This Row],[Profit]]/Table3[[#This Row],[Sales]]</f>
        <v>0.28999999999999998</v>
      </c>
    </row>
    <row r="2841" spans="1:22" x14ac:dyDescent="0.2">
      <c r="A2841">
        <v>2840</v>
      </c>
      <c r="B2841" t="s">
        <v>5608</v>
      </c>
      <c r="C2841" s="1">
        <v>43069</v>
      </c>
      <c r="D2841" s="22">
        <f>MONTH(Table3[[#This Row],[Order Date]])</f>
        <v>11</v>
      </c>
      <c r="E2841" t="s">
        <v>5532</v>
      </c>
      <c r="F2841" t="s">
        <v>5533</v>
      </c>
      <c r="G2841" s="23" t="s">
        <v>41</v>
      </c>
      <c r="H2841" s="23" t="s">
        <v>71</v>
      </c>
      <c r="I2841" t="s">
        <v>3956</v>
      </c>
      <c r="J2841" t="s">
        <v>92</v>
      </c>
      <c r="K2841" s="22">
        <v>4</v>
      </c>
      <c r="L2841" s="1">
        <v>43069</v>
      </c>
      <c r="M2841" s="22">
        <f>Table3[[#This Row],[Ship Date]]-Table3[[#This Row],[Order Date]]</f>
        <v>0</v>
      </c>
      <c r="N2841" s="23" t="s">
        <v>1141</v>
      </c>
      <c r="O2841" s="23" t="s">
        <v>23</v>
      </c>
      <c r="P2841" s="23" t="s">
        <v>441</v>
      </c>
      <c r="Q2841" s="23" t="s">
        <v>133</v>
      </c>
      <c r="R2841" s="23" t="s">
        <v>2496</v>
      </c>
      <c r="S2841" s="33">
        <v>0.2</v>
      </c>
      <c r="T2841" s="13">
        <v>663.93600000000004</v>
      </c>
      <c r="U2841" s="13">
        <v>82.992000000000004</v>
      </c>
      <c r="V2841" s="55">
        <f>Table3[[#This Row],[Profit]]/Table3[[#This Row],[Sales]]</f>
        <v>0.125</v>
      </c>
    </row>
    <row r="2842" spans="1:22" x14ac:dyDescent="0.2">
      <c r="A2842">
        <v>2841</v>
      </c>
      <c r="B2842" t="s">
        <v>6210</v>
      </c>
      <c r="C2842" s="1">
        <v>43069</v>
      </c>
      <c r="D2842" s="22">
        <f>MONTH(Table3[[#This Row],[Order Date]])</f>
        <v>11</v>
      </c>
      <c r="E2842" t="s">
        <v>3434</v>
      </c>
      <c r="F2842" t="s">
        <v>3435</v>
      </c>
      <c r="G2842" s="23" t="s">
        <v>64</v>
      </c>
      <c r="H2842" s="23" t="s">
        <v>65</v>
      </c>
      <c r="I2842" t="s">
        <v>378</v>
      </c>
      <c r="J2842" t="s">
        <v>92</v>
      </c>
      <c r="K2842" s="22">
        <v>3</v>
      </c>
      <c r="L2842" s="1">
        <v>43071</v>
      </c>
      <c r="M2842" s="22">
        <f>Table3[[#This Row],[Ship Date]]-Table3[[#This Row],[Order Date]]</f>
        <v>2</v>
      </c>
      <c r="N2842" s="23" t="s">
        <v>20</v>
      </c>
      <c r="O2842" s="23" t="s">
        <v>23</v>
      </c>
      <c r="P2842" s="23" t="s">
        <v>48</v>
      </c>
      <c r="Q2842" s="23" t="s">
        <v>26</v>
      </c>
      <c r="R2842" s="23" t="s">
        <v>1253</v>
      </c>
      <c r="S2842" s="33">
        <v>0.2</v>
      </c>
      <c r="T2842" s="13">
        <v>71.975999999999999</v>
      </c>
      <c r="U2842" s="13">
        <v>8.9969999999999999</v>
      </c>
      <c r="V2842" s="55">
        <f>Table3[[#This Row],[Profit]]/Table3[[#This Row],[Sales]]</f>
        <v>0.125</v>
      </c>
    </row>
    <row r="2843" spans="1:22" x14ac:dyDescent="0.2">
      <c r="A2843">
        <v>2842</v>
      </c>
      <c r="B2843" t="s">
        <v>6320</v>
      </c>
      <c r="C2843" s="1">
        <v>43069</v>
      </c>
      <c r="D2843" s="22">
        <f>MONTH(Table3[[#This Row],[Order Date]])</f>
        <v>11</v>
      </c>
      <c r="E2843" t="s">
        <v>3806</v>
      </c>
      <c r="F2843" t="s">
        <v>3807</v>
      </c>
      <c r="G2843" s="23" t="s">
        <v>41</v>
      </c>
      <c r="H2843" s="23" t="s">
        <v>240</v>
      </c>
      <c r="I2843" t="s">
        <v>4333</v>
      </c>
      <c r="J2843" t="s">
        <v>22</v>
      </c>
      <c r="K2843" s="22">
        <v>2</v>
      </c>
      <c r="L2843" s="1">
        <v>43073</v>
      </c>
      <c r="M2843" s="22">
        <f>Table3[[#This Row],[Ship Date]]-Table3[[#This Row],[Order Date]]</f>
        <v>4</v>
      </c>
      <c r="N2843" s="23" t="s">
        <v>45</v>
      </c>
      <c r="O2843" s="23" t="s">
        <v>23</v>
      </c>
      <c r="P2843" s="23" t="s">
        <v>94</v>
      </c>
      <c r="Q2843" s="23" t="s">
        <v>95</v>
      </c>
      <c r="R2843" s="23" t="s">
        <v>6321</v>
      </c>
      <c r="S2843" s="33">
        <v>0.2</v>
      </c>
      <c r="T2843" s="13">
        <v>2.3679999999999999</v>
      </c>
      <c r="U2843" s="13">
        <v>0.82879999999999998</v>
      </c>
      <c r="V2843" s="55">
        <f>Table3[[#This Row],[Profit]]/Table3[[#This Row],[Sales]]</f>
        <v>0.35000000000000003</v>
      </c>
    </row>
    <row r="2844" spans="1:22" x14ac:dyDescent="0.2">
      <c r="A2844">
        <v>2843</v>
      </c>
      <c r="B2844" t="s">
        <v>7220</v>
      </c>
      <c r="C2844" s="1">
        <v>43069</v>
      </c>
      <c r="D2844" s="22">
        <f>MONTH(Table3[[#This Row],[Order Date]])</f>
        <v>11</v>
      </c>
      <c r="E2844" t="s">
        <v>948</v>
      </c>
      <c r="F2844" t="s">
        <v>949</v>
      </c>
      <c r="G2844" s="23" t="s">
        <v>64</v>
      </c>
      <c r="H2844" s="23" t="s">
        <v>144</v>
      </c>
      <c r="I2844" t="s">
        <v>4910</v>
      </c>
      <c r="J2844" t="s">
        <v>22</v>
      </c>
      <c r="K2844" s="22">
        <v>3</v>
      </c>
      <c r="L2844" s="1">
        <v>43076</v>
      </c>
      <c r="M2844" s="22">
        <f>Table3[[#This Row],[Ship Date]]-Table3[[#This Row],[Order Date]]</f>
        <v>7</v>
      </c>
      <c r="N2844" s="23" t="s">
        <v>45</v>
      </c>
      <c r="O2844" s="23" t="s">
        <v>23</v>
      </c>
      <c r="P2844" s="23" t="s">
        <v>80</v>
      </c>
      <c r="Q2844" s="23" t="s">
        <v>26</v>
      </c>
      <c r="R2844" s="23" t="s">
        <v>1957</v>
      </c>
      <c r="S2844" s="33">
        <v>0.2</v>
      </c>
      <c r="T2844" s="13">
        <v>383.976</v>
      </c>
      <c r="U2844" s="13">
        <v>81.594899999999996</v>
      </c>
      <c r="V2844" s="55">
        <f>Table3[[#This Row],[Profit]]/Table3[[#This Row],[Sales]]</f>
        <v>0.21249999999999999</v>
      </c>
    </row>
    <row r="2845" spans="1:22" x14ac:dyDescent="0.2">
      <c r="A2845">
        <v>2844</v>
      </c>
      <c r="B2845" t="s">
        <v>7220</v>
      </c>
      <c r="C2845" s="1">
        <v>43069</v>
      </c>
      <c r="D2845" s="22">
        <f>MONTH(Table3[[#This Row],[Order Date]])</f>
        <v>11</v>
      </c>
      <c r="E2845" t="s">
        <v>1418</v>
      </c>
      <c r="F2845" t="s">
        <v>1419</v>
      </c>
      <c r="G2845" s="23" t="s">
        <v>28</v>
      </c>
      <c r="H2845" s="23" t="s">
        <v>50</v>
      </c>
      <c r="I2845" t="s">
        <v>4910</v>
      </c>
      <c r="J2845" t="s">
        <v>22</v>
      </c>
      <c r="K2845" s="22">
        <v>7</v>
      </c>
      <c r="L2845" s="1">
        <v>43076</v>
      </c>
      <c r="M2845" s="22">
        <f>Table3[[#This Row],[Ship Date]]-Table3[[#This Row],[Order Date]]</f>
        <v>7</v>
      </c>
      <c r="N2845" s="23" t="s">
        <v>45</v>
      </c>
      <c r="O2845" s="23" t="s">
        <v>23</v>
      </c>
      <c r="P2845" s="23" t="s">
        <v>80</v>
      </c>
      <c r="Q2845" s="23" t="s">
        <v>26</v>
      </c>
      <c r="R2845" s="23" t="s">
        <v>1957</v>
      </c>
      <c r="S2845" s="33">
        <v>0.4</v>
      </c>
      <c r="T2845" s="13">
        <v>1781.682</v>
      </c>
      <c r="U2845" s="13">
        <v>-653.28340000000003</v>
      </c>
      <c r="V2845" s="55">
        <f>Table3[[#This Row],[Profit]]/Table3[[#This Row],[Sales]]</f>
        <v>-0.3666666666666667</v>
      </c>
    </row>
    <row r="2846" spans="1:22" x14ac:dyDescent="0.2">
      <c r="A2846">
        <v>2845</v>
      </c>
      <c r="B2846" t="s">
        <v>7581</v>
      </c>
      <c r="C2846" s="1">
        <v>43069</v>
      </c>
      <c r="D2846" s="22">
        <f>MONTH(Table3[[#This Row],[Order Date]])</f>
        <v>11</v>
      </c>
      <c r="E2846" t="s">
        <v>7582</v>
      </c>
      <c r="F2846" t="s">
        <v>7583</v>
      </c>
      <c r="G2846" s="23" t="s">
        <v>41</v>
      </c>
      <c r="H2846" s="23" t="s">
        <v>53</v>
      </c>
      <c r="I2846" t="s">
        <v>1227</v>
      </c>
      <c r="J2846" t="s">
        <v>92</v>
      </c>
      <c r="K2846" s="22">
        <v>4</v>
      </c>
      <c r="L2846" s="1">
        <v>43073</v>
      </c>
      <c r="M2846" s="22">
        <f>Table3[[#This Row],[Ship Date]]-Table3[[#This Row],[Order Date]]</f>
        <v>4</v>
      </c>
      <c r="N2846" s="23" t="s">
        <v>45</v>
      </c>
      <c r="O2846" s="23" t="s">
        <v>23</v>
      </c>
      <c r="P2846" s="23" t="s">
        <v>238</v>
      </c>
      <c r="Q2846" s="23" t="s">
        <v>133</v>
      </c>
      <c r="R2846" s="23" t="s">
        <v>237</v>
      </c>
      <c r="S2846" s="33">
        <v>0</v>
      </c>
      <c r="T2846" s="13">
        <v>83.56</v>
      </c>
      <c r="U2846" s="13">
        <v>1.6712</v>
      </c>
      <c r="V2846" s="55">
        <f>Table3[[#This Row],[Profit]]/Table3[[#This Row],[Sales]]</f>
        <v>0.02</v>
      </c>
    </row>
    <row r="2847" spans="1:22" x14ac:dyDescent="0.2">
      <c r="A2847">
        <v>2846</v>
      </c>
      <c r="B2847" t="s">
        <v>7581</v>
      </c>
      <c r="C2847" s="1">
        <v>43069</v>
      </c>
      <c r="D2847" s="22">
        <f>MONTH(Table3[[#This Row],[Order Date]])</f>
        <v>11</v>
      </c>
      <c r="E2847" t="s">
        <v>7584</v>
      </c>
      <c r="F2847" t="s">
        <v>7585</v>
      </c>
      <c r="G2847" s="23" t="s">
        <v>64</v>
      </c>
      <c r="H2847" s="23" t="s">
        <v>65</v>
      </c>
      <c r="I2847" t="s">
        <v>1227</v>
      </c>
      <c r="J2847" t="s">
        <v>92</v>
      </c>
      <c r="K2847" s="22">
        <v>3</v>
      </c>
      <c r="L2847" s="1">
        <v>43073</v>
      </c>
      <c r="M2847" s="22">
        <f>Table3[[#This Row],[Ship Date]]-Table3[[#This Row],[Order Date]]</f>
        <v>4</v>
      </c>
      <c r="N2847" s="23" t="s">
        <v>45</v>
      </c>
      <c r="O2847" s="23" t="s">
        <v>23</v>
      </c>
      <c r="P2847" s="23" t="s">
        <v>238</v>
      </c>
      <c r="Q2847" s="23" t="s">
        <v>133</v>
      </c>
      <c r="R2847" s="23" t="s">
        <v>237</v>
      </c>
      <c r="S2847" s="33">
        <v>0</v>
      </c>
      <c r="T2847" s="13">
        <v>546.05999999999995</v>
      </c>
      <c r="U2847" s="13">
        <v>163.81800000000001</v>
      </c>
      <c r="V2847" s="55">
        <f>Table3[[#This Row],[Profit]]/Table3[[#This Row],[Sales]]</f>
        <v>0.30000000000000004</v>
      </c>
    </row>
    <row r="2848" spans="1:22" x14ac:dyDescent="0.2">
      <c r="A2848">
        <v>2847</v>
      </c>
      <c r="B2848" t="s">
        <v>7581</v>
      </c>
      <c r="C2848" s="1">
        <v>43069</v>
      </c>
      <c r="D2848" s="22">
        <f>MONTH(Table3[[#This Row],[Order Date]])</f>
        <v>11</v>
      </c>
      <c r="E2848" t="s">
        <v>1495</v>
      </c>
      <c r="F2848" t="s">
        <v>1496</v>
      </c>
      <c r="G2848" s="23" t="s">
        <v>41</v>
      </c>
      <c r="H2848" s="23" t="s">
        <v>53</v>
      </c>
      <c r="I2848" t="s">
        <v>1227</v>
      </c>
      <c r="J2848" t="s">
        <v>92</v>
      </c>
      <c r="K2848" s="22">
        <v>3</v>
      </c>
      <c r="L2848" s="1">
        <v>43073</v>
      </c>
      <c r="M2848" s="22">
        <f>Table3[[#This Row],[Ship Date]]-Table3[[#This Row],[Order Date]]</f>
        <v>4</v>
      </c>
      <c r="N2848" s="23" t="s">
        <v>45</v>
      </c>
      <c r="O2848" s="23" t="s">
        <v>23</v>
      </c>
      <c r="P2848" s="23" t="s">
        <v>238</v>
      </c>
      <c r="Q2848" s="23" t="s">
        <v>133</v>
      </c>
      <c r="R2848" s="23" t="s">
        <v>237</v>
      </c>
      <c r="S2848" s="33">
        <v>0</v>
      </c>
      <c r="T2848" s="13">
        <v>269.49</v>
      </c>
      <c r="U2848" s="13">
        <v>5.3898000000000001</v>
      </c>
      <c r="V2848" s="55">
        <f>Table3[[#This Row],[Profit]]/Table3[[#This Row],[Sales]]</f>
        <v>0.02</v>
      </c>
    </row>
    <row r="2849" spans="1:22" x14ac:dyDescent="0.2">
      <c r="A2849">
        <v>2848</v>
      </c>
      <c r="B2849" t="s">
        <v>8045</v>
      </c>
      <c r="C2849" s="1">
        <v>43069</v>
      </c>
      <c r="D2849" s="22">
        <f>MONTH(Table3[[#This Row],[Order Date]])</f>
        <v>11</v>
      </c>
      <c r="E2849" t="s">
        <v>8046</v>
      </c>
      <c r="F2849" t="s">
        <v>8047</v>
      </c>
      <c r="G2849" s="23" t="s">
        <v>28</v>
      </c>
      <c r="H2849" s="23" t="s">
        <v>58</v>
      </c>
      <c r="I2849" t="s">
        <v>4652</v>
      </c>
      <c r="J2849" t="s">
        <v>92</v>
      </c>
      <c r="K2849" s="22">
        <v>3</v>
      </c>
      <c r="L2849" s="1">
        <v>43072</v>
      </c>
      <c r="M2849" s="22">
        <f>Table3[[#This Row],[Ship Date]]-Table3[[#This Row],[Order Date]]</f>
        <v>3</v>
      </c>
      <c r="N2849" s="23" t="s">
        <v>169</v>
      </c>
      <c r="O2849" s="23" t="s">
        <v>23</v>
      </c>
      <c r="P2849" s="23" t="s">
        <v>38</v>
      </c>
      <c r="Q2849" s="23" t="s">
        <v>39</v>
      </c>
      <c r="R2849" s="23" t="s">
        <v>114</v>
      </c>
      <c r="S2849" s="33">
        <v>0</v>
      </c>
      <c r="T2849" s="13">
        <v>25.83</v>
      </c>
      <c r="U2849" s="13">
        <v>9.5571000000000002</v>
      </c>
      <c r="V2849" s="55">
        <f>Table3[[#This Row],[Profit]]/Table3[[#This Row],[Sales]]</f>
        <v>0.37000000000000005</v>
      </c>
    </row>
    <row r="2850" spans="1:22" x14ac:dyDescent="0.2">
      <c r="A2850">
        <v>2849</v>
      </c>
      <c r="B2850" t="s">
        <v>8409</v>
      </c>
      <c r="C2850" s="1">
        <v>43069</v>
      </c>
      <c r="D2850" s="22">
        <f>MONTH(Table3[[#This Row],[Order Date]])</f>
        <v>11</v>
      </c>
      <c r="E2850" t="s">
        <v>394</v>
      </c>
      <c r="F2850" t="s">
        <v>395</v>
      </c>
      <c r="G2850" s="23" t="s">
        <v>64</v>
      </c>
      <c r="H2850" s="23" t="s">
        <v>144</v>
      </c>
      <c r="I2850" t="s">
        <v>1222</v>
      </c>
      <c r="J2850" t="s">
        <v>36</v>
      </c>
      <c r="K2850" s="22">
        <v>3</v>
      </c>
      <c r="L2850" s="1">
        <v>43072</v>
      </c>
      <c r="M2850" s="22">
        <f>Table3[[#This Row],[Ship Date]]-Table3[[#This Row],[Order Date]]</f>
        <v>3</v>
      </c>
      <c r="N2850" s="23" t="s">
        <v>20</v>
      </c>
      <c r="O2850" s="23" t="s">
        <v>23</v>
      </c>
      <c r="P2850" s="23" t="s">
        <v>94</v>
      </c>
      <c r="Q2850" s="23" t="s">
        <v>95</v>
      </c>
      <c r="R2850" s="23" t="s">
        <v>3679</v>
      </c>
      <c r="S2850" s="33">
        <v>0.2</v>
      </c>
      <c r="T2850" s="13">
        <v>95.975999999999999</v>
      </c>
      <c r="U2850" s="13">
        <v>-10.7973</v>
      </c>
      <c r="V2850" s="55">
        <f>Table3[[#This Row],[Profit]]/Table3[[#This Row],[Sales]]</f>
        <v>-0.1125</v>
      </c>
    </row>
    <row r="2851" spans="1:22" x14ac:dyDescent="0.2">
      <c r="A2851">
        <v>2850</v>
      </c>
      <c r="B2851" t="s">
        <v>9749</v>
      </c>
      <c r="C2851" s="1">
        <v>43069</v>
      </c>
      <c r="D2851" s="22">
        <f>MONTH(Table3[[#This Row],[Order Date]])</f>
        <v>11</v>
      </c>
      <c r="E2851" t="s">
        <v>4220</v>
      </c>
      <c r="F2851" t="s">
        <v>4221</v>
      </c>
      <c r="G2851" s="23" t="s">
        <v>28</v>
      </c>
      <c r="H2851" s="23" t="s">
        <v>32</v>
      </c>
      <c r="I2851" t="s">
        <v>4488</v>
      </c>
      <c r="J2851" t="s">
        <v>22</v>
      </c>
      <c r="K2851" s="22">
        <v>6</v>
      </c>
      <c r="L2851" s="1">
        <v>43072</v>
      </c>
      <c r="M2851" s="22">
        <f>Table3[[#This Row],[Ship Date]]-Table3[[#This Row],[Order Date]]</f>
        <v>3</v>
      </c>
      <c r="N2851" s="23" t="s">
        <v>169</v>
      </c>
      <c r="O2851" s="23" t="s">
        <v>23</v>
      </c>
      <c r="P2851" s="23" t="s">
        <v>132</v>
      </c>
      <c r="Q2851" s="23" t="s">
        <v>133</v>
      </c>
      <c r="R2851" s="23" t="s">
        <v>131</v>
      </c>
      <c r="S2851" s="33">
        <v>0.3</v>
      </c>
      <c r="T2851" s="13">
        <v>1079.316</v>
      </c>
      <c r="U2851" s="13">
        <v>-15.418799999999999</v>
      </c>
      <c r="V2851" s="55">
        <f>Table3[[#This Row],[Profit]]/Table3[[#This Row],[Sales]]</f>
        <v>-1.4285714285714285E-2</v>
      </c>
    </row>
    <row r="2852" spans="1:22" x14ac:dyDescent="0.2">
      <c r="A2852">
        <v>2851</v>
      </c>
      <c r="B2852" t="s">
        <v>730</v>
      </c>
      <c r="C2852" s="1">
        <v>43070</v>
      </c>
      <c r="D2852" s="22">
        <f>MONTH(Table3[[#This Row],[Order Date]])</f>
        <v>12</v>
      </c>
      <c r="E2852" t="s">
        <v>733</v>
      </c>
      <c r="F2852" t="s">
        <v>734</v>
      </c>
      <c r="G2852" s="23" t="s">
        <v>41</v>
      </c>
      <c r="H2852" s="23" t="s">
        <v>53</v>
      </c>
      <c r="I2852" t="s">
        <v>731</v>
      </c>
      <c r="J2852" t="s">
        <v>22</v>
      </c>
      <c r="K2852" s="22">
        <v>4</v>
      </c>
      <c r="L2852" s="1">
        <v>43076</v>
      </c>
      <c r="M2852" s="22">
        <f>Table3[[#This Row],[Ship Date]]-Table3[[#This Row],[Order Date]]</f>
        <v>6</v>
      </c>
      <c r="N2852" s="23" t="s">
        <v>45</v>
      </c>
      <c r="O2852" s="23" t="s">
        <v>23</v>
      </c>
      <c r="P2852" s="23" t="s">
        <v>212</v>
      </c>
      <c r="Q2852" s="23" t="s">
        <v>95</v>
      </c>
      <c r="R2852" s="23" t="s">
        <v>732</v>
      </c>
      <c r="S2852" s="33">
        <v>0</v>
      </c>
      <c r="T2852" s="13">
        <v>83.92</v>
      </c>
      <c r="U2852" s="13">
        <v>5.8743999999999996</v>
      </c>
      <c r="V2852" s="55">
        <f>Table3[[#This Row],[Profit]]/Table3[[#This Row],[Sales]]</f>
        <v>6.9999999999999993E-2</v>
      </c>
    </row>
    <row r="2853" spans="1:22" x14ac:dyDescent="0.2">
      <c r="A2853">
        <v>2852</v>
      </c>
      <c r="B2853" t="s">
        <v>730</v>
      </c>
      <c r="C2853" s="1">
        <v>43070</v>
      </c>
      <c r="D2853" s="22">
        <f>MONTH(Table3[[#This Row],[Order Date]])</f>
        <v>12</v>
      </c>
      <c r="E2853" t="s">
        <v>735</v>
      </c>
      <c r="F2853" t="s">
        <v>736</v>
      </c>
      <c r="G2853" s="23" t="s">
        <v>64</v>
      </c>
      <c r="H2853" s="23" t="s">
        <v>65</v>
      </c>
      <c r="I2853" t="s">
        <v>731</v>
      </c>
      <c r="J2853" t="s">
        <v>22</v>
      </c>
      <c r="K2853" s="22">
        <v>2</v>
      </c>
      <c r="L2853" s="1">
        <v>43076</v>
      </c>
      <c r="M2853" s="22">
        <f>Table3[[#This Row],[Ship Date]]-Table3[[#This Row],[Order Date]]</f>
        <v>6</v>
      </c>
      <c r="N2853" s="23" t="s">
        <v>45</v>
      </c>
      <c r="O2853" s="23" t="s">
        <v>23</v>
      </c>
      <c r="P2853" s="23" t="s">
        <v>212</v>
      </c>
      <c r="Q2853" s="23" t="s">
        <v>95</v>
      </c>
      <c r="R2853" s="23" t="s">
        <v>732</v>
      </c>
      <c r="S2853" s="33">
        <v>0</v>
      </c>
      <c r="T2853" s="13">
        <v>131.97999999999999</v>
      </c>
      <c r="U2853" s="13">
        <v>35.634599999999999</v>
      </c>
      <c r="V2853" s="55">
        <f>Table3[[#This Row],[Profit]]/Table3[[#This Row],[Sales]]</f>
        <v>0.27</v>
      </c>
    </row>
    <row r="2854" spans="1:22" x14ac:dyDescent="0.2">
      <c r="A2854">
        <v>2853</v>
      </c>
      <c r="B2854" t="s">
        <v>730</v>
      </c>
      <c r="C2854" s="1">
        <v>43070</v>
      </c>
      <c r="D2854" s="22">
        <f>MONTH(Table3[[#This Row],[Order Date]])</f>
        <v>12</v>
      </c>
      <c r="E2854" t="s">
        <v>482</v>
      </c>
      <c r="F2854" t="s">
        <v>483</v>
      </c>
      <c r="G2854" s="23" t="s">
        <v>41</v>
      </c>
      <c r="H2854" s="23" t="s">
        <v>68</v>
      </c>
      <c r="I2854" t="s">
        <v>731</v>
      </c>
      <c r="J2854" t="s">
        <v>22</v>
      </c>
      <c r="K2854" s="22">
        <v>4</v>
      </c>
      <c r="L2854" s="1">
        <v>43076</v>
      </c>
      <c r="M2854" s="22">
        <f>Table3[[#This Row],[Ship Date]]-Table3[[#This Row],[Order Date]]</f>
        <v>6</v>
      </c>
      <c r="N2854" s="23" t="s">
        <v>45</v>
      </c>
      <c r="O2854" s="23" t="s">
        <v>23</v>
      </c>
      <c r="P2854" s="23" t="s">
        <v>212</v>
      </c>
      <c r="Q2854" s="23" t="s">
        <v>95</v>
      </c>
      <c r="R2854" s="23" t="s">
        <v>732</v>
      </c>
      <c r="S2854" s="33">
        <v>0</v>
      </c>
      <c r="T2854" s="13">
        <v>15.92</v>
      </c>
      <c r="U2854" s="13">
        <v>7.4824000000000002</v>
      </c>
      <c r="V2854" s="55">
        <f>Table3[[#This Row],[Profit]]/Table3[[#This Row],[Sales]]</f>
        <v>0.47000000000000003</v>
      </c>
    </row>
    <row r="2855" spans="1:22" x14ac:dyDescent="0.2">
      <c r="A2855">
        <v>2854</v>
      </c>
      <c r="B2855" t="s">
        <v>730</v>
      </c>
      <c r="C2855" s="1">
        <v>43070</v>
      </c>
      <c r="D2855" s="22">
        <f>MONTH(Table3[[#This Row],[Order Date]])</f>
        <v>12</v>
      </c>
      <c r="E2855" t="s">
        <v>737</v>
      </c>
      <c r="F2855" t="s">
        <v>738</v>
      </c>
      <c r="G2855" s="23" t="s">
        <v>41</v>
      </c>
      <c r="H2855" s="23" t="s">
        <v>240</v>
      </c>
      <c r="I2855" t="s">
        <v>731</v>
      </c>
      <c r="J2855" t="s">
        <v>22</v>
      </c>
      <c r="K2855" s="22">
        <v>9</v>
      </c>
      <c r="L2855" s="1">
        <v>43076</v>
      </c>
      <c r="M2855" s="22">
        <f>Table3[[#This Row],[Ship Date]]-Table3[[#This Row],[Order Date]]</f>
        <v>6</v>
      </c>
      <c r="N2855" s="23" t="s">
        <v>45</v>
      </c>
      <c r="O2855" s="23" t="s">
        <v>23</v>
      </c>
      <c r="P2855" s="23" t="s">
        <v>212</v>
      </c>
      <c r="Q2855" s="23" t="s">
        <v>95</v>
      </c>
      <c r="R2855" s="23" t="s">
        <v>732</v>
      </c>
      <c r="S2855" s="33">
        <v>0</v>
      </c>
      <c r="T2855" s="13">
        <v>52.29</v>
      </c>
      <c r="U2855" s="13">
        <v>16.209900000000001</v>
      </c>
      <c r="V2855" s="55">
        <f>Table3[[#This Row],[Profit]]/Table3[[#This Row],[Sales]]</f>
        <v>0.31000000000000005</v>
      </c>
    </row>
    <row r="2856" spans="1:22" x14ac:dyDescent="0.2">
      <c r="A2856">
        <v>2855</v>
      </c>
      <c r="B2856" t="s">
        <v>730</v>
      </c>
      <c r="C2856" s="1">
        <v>43070</v>
      </c>
      <c r="D2856" s="22">
        <f>MONTH(Table3[[#This Row],[Order Date]])</f>
        <v>12</v>
      </c>
      <c r="E2856" t="s">
        <v>739</v>
      </c>
      <c r="F2856" t="s">
        <v>740</v>
      </c>
      <c r="G2856" s="23" t="s">
        <v>41</v>
      </c>
      <c r="H2856" s="23" t="s">
        <v>53</v>
      </c>
      <c r="I2856" t="s">
        <v>731</v>
      </c>
      <c r="J2856" t="s">
        <v>22</v>
      </c>
      <c r="K2856" s="22">
        <v>1</v>
      </c>
      <c r="L2856" s="1">
        <v>43076</v>
      </c>
      <c r="M2856" s="22">
        <f>Table3[[#This Row],[Ship Date]]-Table3[[#This Row],[Order Date]]</f>
        <v>6</v>
      </c>
      <c r="N2856" s="23" t="s">
        <v>45</v>
      </c>
      <c r="O2856" s="23" t="s">
        <v>23</v>
      </c>
      <c r="P2856" s="23" t="s">
        <v>212</v>
      </c>
      <c r="Q2856" s="23" t="s">
        <v>95</v>
      </c>
      <c r="R2856" s="23" t="s">
        <v>732</v>
      </c>
      <c r="S2856" s="33">
        <v>0</v>
      </c>
      <c r="T2856" s="13">
        <v>91.99</v>
      </c>
      <c r="U2856" s="13">
        <v>3.6796000000000002</v>
      </c>
      <c r="V2856" s="55">
        <f>Table3[[#This Row],[Profit]]/Table3[[#This Row],[Sales]]</f>
        <v>4.0000000000000008E-2</v>
      </c>
    </row>
    <row r="2857" spans="1:22" x14ac:dyDescent="0.2">
      <c r="A2857">
        <v>2856</v>
      </c>
      <c r="B2857" t="s">
        <v>851</v>
      </c>
      <c r="C2857" s="1">
        <v>43070</v>
      </c>
      <c r="D2857" s="22">
        <f>MONTH(Table3[[#This Row],[Order Date]])</f>
        <v>12</v>
      </c>
      <c r="E2857" t="s">
        <v>853</v>
      </c>
      <c r="F2857" t="s">
        <v>854</v>
      </c>
      <c r="G2857" s="23" t="s">
        <v>64</v>
      </c>
      <c r="H2857" s="23" t="s">
        <v>144</v>
      </c>
      <c r="I2857" t="s">
        <v>852</v>
      </c>
      <c r="J2857" t="s">
        <v>22</v>
      </c>
      <c r="K2857" s="22">
        <v>3</v>
      </c>
      <c r="L2857" s="1">
        <v>43072</v>
      </c>
      <c r="M2857" s="22">
        <f>Table3[[#This Row],[Ship Date]]-Table3[[#This Row],[Order Date]]</f>
        <v>2</v>
      </c>
      <c r="N2857" s="23" t="s">
        <v>20</v>
      </c>
      <c r="O2857" s="23" t="s">
        <v>23</v>
      </c>
      <c r="P2857" s="23" t="s">
        <v>238</v>
      </c>
      <c r="Q2857" s="23" t="s">
        <v>133</v>
      </c>
      <c r="R2857" s="23" t="s">
        <v>237</v>
      </c>
      <c r="S2857" s="33">
        <v>0</v>
      </c>
      <c r="T2857" s="13">
        <v>20.37</v>
      </c>
      <c r="U2857" s="13">
        <v>6.9257999999999997</v>
      </c>
      <c r="V2857" s="55">
        <f>Table3[[#This Row],[Profit]]/Table3[[#This Row],[Sales]]</f>
        <v>0.33999999999999997</v>
      </c>
    </row>
    <row r="2858" spans="1:22" x14ac:dyDescent="0.2">
      <c r="A2858">
        <v>2857</v>
      </c>
      <c r="B2858" t="s">
        <v>851</v>
      </c>
      <c r="C2858" s="1">
        <v>43070</v>
      </c>
      <c r="D2858" s="22">
        <f>MONTH(Table3[[#This Row],[Order Date]])</f>
        <v>12</v>
      </c>
      <c r="E2858" t="s">
        <v>855</v>
      </c>
      <c r="F2858" t="s">
        <v>856</v>
      </c>
      <c r="G2858" s="23" t="s">
        <v>41</v>
      </c>
      <c r="H2858" s="23" t="s">
        <v>53</v>
      </c>
      <c r="I2858" t="s">
        <v>852</v>
      </c>
      <c r="J2858" t="s">
        <v>22</v>
      </c>
      <c r="K2858" s="22">
        <v>3</v>
      </c>
      <c r="L2858" s="1">
        <v>43072</v>
      </c>
      <c r="M2858" s="22">
        <f>Table3[[#This Row],[Ship Date]]-Table3[[#This Row],[Order Date]]</f>
        <v>2</v>
      </c>
      <c r="N2858" s="23" t="s">
        <v>20</v>
      </c>
      <c r="O2858" s="23" t="s">
        <v>23</v>
      </c>
      <c r="P2858" s="23" t="s">
        <v>238</v>
      </c>
      <c r="Q2858" s="23" t="s">
        <v>133</v>
      </c>
      <c r="R2858" s="23" t="s">
        <v>237</v>
      </c>
      <c r="S2858" s="33">
        <v>0</v>
      </c>
      <c r="T2858" s="13">
        <v>221.55</v>
      </c>
      <c r="U2858" s="13">
        <v>6.6464999999999996</v>
      </c>
      <c r="V2858" s="55">
        <f>Table3[[#This Row],[Profit]]/Table3[[#This Row],[Sales]]</f>
        <v>2.9999999999999995E-2</v>
      </c>
    </row>
    <row r="2859" spans="1:22" x14ac:dyDescent="0.2">
      <c r="A2859">
        <v>2858</v>
      </c>
      <c r="B2859" t="s">
        <v>851</v>
      </c>
      <c r="C2859" s="1">
        <v>43070</v>
      </c>
      <c r="D2859" s="22">
        <f>MONTH(Table3[[#This Row],[Order Date]])</f>
        <v>12</v>
      </c>
      <c r="E2859" t="s">
        <v>857</v>
      </c>
      <c r="F2859" t="s">
        <v>858</v>
      </c>
      <c r="G2859" s="23" t="s">
        <v>41</v>
      </c>
      <c r="H2859" s="23" t="s">
        <v>68</v>
      </c>
      <c r="I2859" t="s">
        <v>852</v>
      </c>
      <c r="J2859" t="s">
        <v>22</v>
      </c>
      <c r="K2859" s="22">
        <v>5</v>
      </c>
      <c r="L2859" s="1">
        <v>43072</v>
      </c>
      <c r="M2859" s="22">
        <f>Table3[[#This Row],[Ship Date]]-Table3[[#This Row],[Order Date]]</f>
        <v>2</v>
      </c>
      <c r="N2859" s="23" t="s">
        <v>20</v>
      </c>
      <c r="O2859" s="23" t="s">
        <v>23</v>
      </c>
      <c r="P2859" s="23" t="s">
        <v>238</v>
      </c>
      <c r="Q2859" s="23" t="s">
        <v>133</v>
      </c>
      <c r="R2859" s="23" t="s">
        <v>237</v>
      </c>
      <c r="S2859" s="33">
        <v>0.2</v>
      </c>
      <c r="T2859" s="13">
        <v>17.52</v>
      </c>
      <c r="U2859" s="13">
        <v>6.1319999999999997</v>
      </c>
      <c r="V2859" s="55">
        <f>Table3[[#This Row],[Profit]]/Table3[[#This Row],[Sales]]</f>
        <v>0.35</v>
      </c>
    </row>
    <row r="2860" spans="1:22" x14ac:dyDescent="0.2">
      <c r="A2860">
        <v>2859</v>
      </c>
      <c r="B2860" t="s">
        <v>1732</v>
      </c>
      <c r="C2860" s="1">
        <v>43070</v>
      </c>
      <c r="D2860" s="22">
        <f>MONTH(Table3[[#This Row],[Order Date]])</f>
        <v>12</v>
      </c>
      <c r="E2860" t="s">
        <v>172</v>
      </c>
      <c r="F2860" t="s">
        <v>173</v>
      </c>
      <c r="G2860" s="23" t="s">
        <v>64</v>
      </c>
      <c r="H2860" s="23" t="s">
        <v>65</v>
      </c>
      <c r="I2860" t="s">
        <v>1733</v>
      </c>
      <c r="J2860" t="s">
        <v>22</v>
      </c>
      <c r="K2860" s="22">
        <v>3</v>
      </c>
      <c r="L2860" s="1">
        <v>43074</v>
      </c>
      <c r="M2860" s="22">
        <f>Table3[[#This Row],[Ship Date]]-Table3[[#This Row],[Order Date]]</f>
        <v>4</v>
      </c>
      <c r="N2860" s="23" t="s">
        <v>45</v>
      </c>
      <c r="O2860" s="23" t="s">
        <v>23</v>
      </c>
      <c r="P2860" s="23" t="s">
        <v>405</v>
      </c>
      <c r="Q2860" s="23" t="s">
        <v>39</v>
      </c>
      <c r="R2860" s="23" t="s">
        <v>711</v>
      </c>
      <c r="S2860" s="33">
        <v>0.2</v>
      </c>
      <c r="T2860" s="13">
        <v>470.37599999999998</v>
      </c>
      <c r="U2860" s="13">
        <v>52.917299999999997</v>
      </c>
      <c r="V2860" s="55">
        <f>Table3[[#This Row],[Profit]]/Table3[[#This Row],[Sales]]</f>
        <v>0.1125</v>
      </c>
    </row>
    <row r="2861" spans="1:22" x14ac:dyDescent="0.2">
      <c r="A2861">
        <v>2860</v>
      </c>
      <c r="B2861" t="s">
        <v>1732</v>
      </c>
      <c r="C2861" s="1">
        <v>43070</v>
      </c>
      <c r="D2861" s="22">
        <f>MONTH(Table3[[#This Row],[Order Date]])</f>
        <v>12</v>
      </c>
      <c r="E2861" t="s">
        <v>1734</v>
      </c>
      <c r="F2861" t="s">
        <v>1735</v>
      </c>
      <c r="G2861" s="23" t="s">
        <v>64</v>
      </c>
      <c r="H2861" s="23" t="s">
        <v>65</v>
      </c>
      <c r="I2861" t="s">
        <v>1733</v>
      </c>
      <c r="J2861" t="s">
        <v>22</v>
      </c>
      <c r="K2861" s="22">
        <v>2</v>
      </c>
      <c r="L2861" s="1">
        <v>43074</v>
      </c>
      <c r="M2861" s="22">
        <f>Table3[[#This Row],[Ship Date]]-Table3[[#This Row],[Order Date]]</f>
        <v>4</v>
      </c>
      <c r="N2861" s="23" t="s">
        <v>45</v>
      </c>
      <c r="O2861" s="23" t="s">
        <v>23</v>
      </c>
      <c r="P2861" s="23" t="s">
        <v>405</v>
      </c>
      <c r="Q2861" s="23" t="s">
        <v>39</v>
      </c>
      <c r="R2861" s="23" t="s">
        <v>711</v>
      </c>
      <c r="S2861" s="33">
        <v>0.2</v>
      </c>
      <c r="T2861" s="13">
        <v>105.584</v>
      </c>
      <c r="U2861" s="13">
        <v>9.2385999999999999</v>
      </c>
      <c r="V2861" s="55">
        <f>Table3[[#This Row],[Profit]]/Table3[[#This Row],[Sales]]</f>
        <v>8.7499999999999994E-2</v>
      </c>
    </row>
    <row r="2862" spans="1:22" x14ac:dyDescent="0.2">
      <c r="A2862">
        <v>2861</v>
      </c>
      <c r="B2862" t="s">
        <v>1732</v>
      </c>
      <c r="C2862" s="1">
        <v>43070</v>
      </c>
      <c r="D2862" s="22">
        <f>MONTH(Table3[[#This Row],[Order Date]])</f>
        <v>12</v>
      </c>
      <c r="E2862" t="s">
        <v>388</v>
      </c>
      <c r="F2862" t="s">
        <v>389</v>
      </c>
      <c r="G2862" s="23" t="s">
        <v>41</v>
      </c>
      <c r="H2862" s="23" t="s">
        <v>71</v>
      </c>
      <c r="I2862" t="s">
        <v>1733</v>
      </c>
      <c r="J2862" t="s">
        <v>22</v>
      </c>
      <c r="K2862" s="22">
        <v>3</v>
      </c>
      <c r="L2862" s="1">
        <v>43074</v>
      </c>
      <c r="M2862" s="22">
        <f>Table3[[#This Row],[Ship Date]]-Table3[[#This Row],[Order Date]]</f>
        <v>4</v>
      </c>
      <c r="N2862" s="23" t="s">
        <v>45</v>
      </c>
      <c r="O2862" s="23" t="s">
        <v>23</v>
      </c>
      <c r="P2862" s="23" t="s">
        <v>405</v>
      </c>
      <c r="Q2862" s="23" t="s">
        <v>39</v>
      </c>
      <c r="R2862" s="23" t="s">
        <v>711</v>
      </c>
      <c r="S2862" s="33">
        <v>0.2</v>
      </c>
      <c r="T2862" s="13">
        <v>31.152000000000001</v>
      </c>
      <c r="U2862" s="13">
        <v>3.5045999999999999</v>
      </c>
      <c r="V2862" s="55">
        <f>Table3[[#This Row],[Profit]]/Table3[[#This Row],[Sales]]</f>
        <v>0.11249999999999999</v>
      </c>
    </row>
    <row r="2863" spans="1:22" x14ac:dyDescent="0.2">
      <c r="A2863">
        <v>2862</v>
      </c>
      <c r="B2863" t="s">
        <v>1732</v>
      </c>
      <c r="C2863" s="1">
        <v>43070</v>
      </c>
      <c r="D2863" s="22">
        <f>MONTH(Table3[[#This Row],[Order Date]])</f>
        <v>12</v>
      </c>
      <c r="E2863" t="s">
        <v>1736</v>
      </c>
      <c r="F2863" t="s">
        <v>1737</v>
      </c>
      <c r="G2863" s="23" t="s">
        <v>41</v>
      </c>
      <c r="H2863" s="23" t="s">
        <v>68</v>
      </c>
      <c r="I2863" t="s">
        <v>1733</v>
      </c>
      <c r="J2863" t="s">
        <v>22</v>
      </c>
      <c r="K2863" s="22">
        <v>7</v>
      </c>
      <c r="L2863" s="1">
        <v>43074</v>
      </c>
      <c r="M2863" s="22">
        <f>Table3[[#This Row],[Ship Date]]-Table3[[#This Row],[Order Date]]</f>
        <v>4</v>
      </c>
      <c r="N2863" s="23" t="s">
        <v>45</v>
      </c>
      <c r="O2863" s="23" t="s">
        <v>23</v>
      </c>
      <c r="P2863" s="23" t="s">
        <v>405</v>
      </c>
      <c r="Q2863" s="23" t="s">
        <v>39</v>
      </c>
      <c r="R2863" s="23" t="s">
        <v>711</v>
      </c>
      <c r="S2863" s="33">
        <v>0.7</v>
      </c>
      <c r="T2863" s="13">
        <v>6.7830000000000004</v>
      </c>
      <c r="U2863" s="13">
        <v>-4.7481</v>
      </c>
      <c r="V2863" s="55">
        <f>Table3[[#This Row],[Profit]]/Table3[[#This Row],[Sales]]</f>
        <v>-0.7</v>
      </c>
    </row>
    <row r="2864" spans="1:22" x14ac:dyDescent="0.2">
      <c r="A2864">
        <v>2863</v>
      </c>
      <c r="B2864" t="s">
        <v>1732</v>
      </c>
      <c r="C2864" s="1">
        <v>43070</v>
      </c>
      <c r="D2864" s="22">
        <f>MONTH(Table3[[#This Row],[Order Date]])</f>
        <v>12</v>
      </c>
      <c r="E2864" t="s">
        <v>553</v>
      </c>
      <c r="F2864" t="s">
        <v>554</v>
      </c>
      <c r="G2864" s="23" t="s">
        <v>64</v>
      </c>
      <c r="H2864" s="23" t="s">
        <v>65</v>
      </c>
      <c r="I2864" t="s">
        <v>1733</v>
      </c>
      <c r="J2864" t="s">
        <v>22</v>
      </c>
      <c r="K2864" s="22">
        <v>4</v>
      </c>
      <c r="L2864" s="1">
        <v>43074</v>
      </c>
      <c r="M2864" s="22">
        <f>Table3[[#This Row],[Ship Date]]-Table3[[#This Row],[Order Date]]</f>
        <v>4</v>
      </c>
      <c r="N2864" s="23" t="s">
        <v>45</v>
      </c>
      <c r="O2864" s="23" t="s">
        <v>23</v>
      </c>
      <c r="P2864" s="23" t="s">
        <v>405</v>
      </c>
      <c r="Q2864" s="23" t="s">
        <v>39</v>
      </c>
      <c r="R2864" s="23" t="s">
        <v>711</v>
      </c>
      <c r="S2864" s="33">
        <v>0.2</v>
      </c>
      <c r="T2864" s="13">
        <v>406.36799999999999</v>
      </c>
      <c r="U2864" s="13">
        <v>30.477599999999999</v>
      </c>
      <c r="V2864" s="55">
        <f>Table3[[#This Row],[Profit]]/Table3[[#This Row],[Sales]]</f>
        <v>7.4999999999999997E-2</v>
      </c>
    </row>
    <row r="2865" spans="1:22" x14ac:dyDescent="0.2">
      <c r="A2865">
        <v>2864</v>
      </c>
      <c r="B2865" t="s">
        <v>4464</v>
      </c>
      <c r="C2865" s="1">
        <v>43070</v>
      </c>
      <c r="D2865" s="22">
        <f>MONTH(Table3[[#This Row],[Order Date]])</f>
        <v>12</v>
      </c>
      <c r="E2865" t="s">
        <v>4465</v>
      </c>
      <c r="F2865" t="s">
        <v>4466</v>
      </c>
      <c r="G2865" s="23" t="s">
        <v>41</v>
      </c>
      <c r="H2865" s="23" t="s">
        <v>155</v>
      </c>
      <c r="I2865" t="s">
        <v>2781</v>
      </c>
      <c r="J2865" t="s">
        <v>92</v>
      </c>
      <c r="K2865" s="22">
        <v>5</v>
      </c>
      <c r="L2865" s="1">
        <v>43074</v>
      </c>
      <c r="M2865" s="22">
        <f>Table3[[#This Row],[Ship Date]]-Table3[[#This Row],[Order Date]]</f>
        <v>4</v>
      </c>
      <c r="N2865" s="23" t="s">
        <v>45</v>
      </c>
      <c r="O2865" s="23" t="s">
        <v>23</v>
      </c>
      <c r="P2865" s="23" t="s">
        <v>132</v>
      </c>
      <c r="Q2865" s="23" t="s">
        <v>133</v>
      </c>
      <c r="R2865" s="23" t="s">
        <v>131</v>
      </c>
      <c r="S2865" s="33">
        <v>0.2</v>
      </c>
      <c r="T2865" s="13">
        <v>104.68</v>
      </c>
      <c r="U2865" s="13">
        <v>35.329500000000003</v>
      </c>
      <c r="V2865" s="55">
        <f>Table3[[#This Row],[Profit]]/Table3[[#This Row],[Sales]]</f>
        <v>0.33750000000000002</v>
      </c>
    </row>
    <row r="2866" spans="1:22" x14ac:dyDescent="0.2">
      <c r="A2866">
        <v>2865</v>
      </c>
      <c r="B2866" t="s">
        <v>4464</v>
      </c>
      <c r="C2866" s="1">
        <v>43070</v>
      </c>
      <c r="D2866" s="22">
        <f>MONTH(Table3[[#This Row],[Order Date]])</f>
        <v>12</v>
      </c>
      <c r="E2866" t="s">
        <v>4467</v>
      </c>
      <c r="F2866" t="s">
        <v>4468</v>
      </c>
      <c r="G2866" s="23" t="s">
        <v>64</v>
      </c>
      <c r="H2866" s="23" t="s">
        <v>65</v>
      </c>
      <c r="I2866" t="s">
        <v>2781</v>
      </c>
      <c r="J2866" t="s">
        <v>92</v>
      </c>
      <c r="K2866" s="22">
        <v>7</v>
      </c>
      <c r="L2866" s="1">
        <v>43074</v>
      </c>
      <c r="M2866" s="22">
        <f>Table3[[#This Row],[Ship Date]]-Table3[[#This Row],[Order Date]]</f>
        <v>4</v>
      </c>
      <c r="N2866" s="23" t="s">
        <v>45</v>
      </c>
      <c r="O2866" s="23" t="s">
        <v>23</v>
      </c>
      <c r="P2866" s="23" t="s">
        <v>132</v>
      </c>
      <c r="Q2866" s="23" t="s">
        <v>133</v>
      </c>
      <c r="R2866" s="23" t="s">
        <v>131</v>
      </c>
      <c r="S2866" s="33">
        <v>0.4</v>
      </c>
      <c r="T2866" s="13">
        <v>62.957999999999998</v>
      </c>
      <c r="U2866" s="13">
        <v>9.4436999999999998</v>
      </c>
      <c r="V2866" s="55">
        <f>Table3[[#This Row],[Profit]]/Table3[[#This Row],[Sales]]</f>
        <v>0.15</v>
      </c>
    </row>
    <row r="2867" spans="1:22" x14ac:dyDescent="0.2">
      <c r="A2867">
        <v>2866</v>
      </c>
      <c r="B2867" t="s">
        <v>5770</v>
      </c>
      <c r="C2867" s="1">
        <v>43070</v>
      </c>
      <c r="D2867" s="22">
        <f>MONTH(Table3[[#This Row],[Order Date]])</f>
        <v>12</v>
      </c>
      <c r="E2867" t="s">
        <v>5772</v>
      </c>
      <c r="F2867" t="s">
        <v>5773</v>
      </c>
      <c r="G2867" s="23" t="s">
        <v>64</v>
      </c>
      <c r="H2867" s="23" t="s">
        <v>65</v>
      </c>
      <c r="I2867" t="s">
        <v>5771</v>
      </c>
      <c r="J2867" t="s">
        <v>22</v>
      </c>
      <c r="K2867" s="22">
        <v>5</v>
      </c>
      <c r="L2867" s="1">
        <v>43074</v>
      </c>
      <c r="M2867" s="22">
        <f>Table3[[#This Row],[Ship Date]]-Table3[[#This Row],[Order Date]]</f>
        <v>4</v>
      </c>
      <c r="N2867" s="23" t="s">
        <v>45</v>
      </c>
      <c r="O2867" s="23" t="s">
        <v>23</v>
      </c>
      <c r="P2867" s="23" t="s">
        <v>94</v>
      </c>
      <c r="Q2867" s="23" t="s">
        <v>95</v>
      </c>
      <c r="R2867" s="23" t="s">
        <v>669</v>
      </c>
      <c r="S2867" s="33">
        <v>0.2</v>
      </c>
      <c r="T2867" s="13">
        <v>219.8</v>
      </c>
      <c r="U2867" s="13">
        <v>24.727499999999999</v>
      </c>
      <c r="V2867" s="55">
        <f>Table3[[#This Row],[Profit]]/Table3[[#This Row],[Sales]]</f>
        <v>0.11249999999999999</v>
      </c>
    </row>
    <row r="2868" spans="1:22" x14ac:dyDescent="0.2">
      <c r="A2868">
        <v>2867</v>
      </c>
      <c r="B2868" t="s">
        <v>5770</v>
      </c>
      <c r="C2868" s="1">
        <v>43070</v>
      </c>
      <c r="D2868" s="22">
        <f>MONTH(Table3[[#This Row],[Order Date]])</f>
        <v>12</v>
      </c>
      <c r="E2868" t="s">
        <v>1029</v>
      </c>
      <c r="F2868" t="s">
        <v>1030</v>
      </c>
      <c r="G2868" s="23" t="s">
        <v>28</v>
      </c>
      <c r="H2868" s="23" t="s">
        <v>32</v>
      </c>
      <c r="I2868" t="s">
        <v>5771</v>
      </c>
      <c r="J2868" t="s">
        <v>22</v>
      </c>
      <c r="K2868" s="22">
        <v>3</v>
      </c>
      <c r="L2868" s="1">
        <v>43074</v>
      </c>
      <c r="M2868" s="22">
        <f>Table3[[#This Row],[Ship Date]]-Table3[[#This Row],[Order Date]]</f>
        <v>4</v>
      </c>
      <c r="N2868" s="23" t="s">
        <v>45</v>
      </c>
      <c r="O2868" s="23" t="s">
        <v>23</v>
      </c>
      <c r="P2868" s="23" t="s">
        <v>94</v>
      </c>
      <c r="Q2868" s="23" t="s">
        <v>95</v>
      </c>
      <c r="R2868" s="23" t="s">
        <v>669</v>
      </c>
      <c r="S2868" s="33">
        <v>0.3</v>
      </c>
      <c r="T2868" s="13">
        <v>317.05799999999999</v>
      </c>
      <c r="U2868" s="13">
        <v>-18.117599999999999</v>
      </c>
      <c r="V2868" s="55">
        <f>Table3[[#This Row],[Profit]]/Table3[[#This Row],[Sales]]</f>
        <v>-5.7142857142857141E-2</v>
      </c>
    </row>
    <row r="2869" spans="1:22" x14ac:dyDescent="0.2">
      <c r="A2869">
        <v>2868</v>
      </c>
      <c r="B2869" t="s">
        <v>6031</v>
      </c>
      <c r="C2869" s="1">
        <v>43070</v>
      </c>
      <c r="D2869" s="22">
        <f>MONTH(Table3[[#This Row],[Order Date]])</f>
        <v>12</v>
      </c>
      <c r="E2869" t="s">
        <v>2861</v>
      </c>
      <c r="F2869" t="s">
        <v>2862</v>
      </c>
      <c r="G2869" s="23" t="s">
        <v>41</v>
      </c>
      <c r="H2869" s="23" t="s">
        <v>82</v>
      </c>
      <c r="I2869" t="s">
        <v>1097</v>
      </c>
      <c r="J2869" t="s">
        <v>22</v>
      </c>
      <c r="K2869" s="22">
        <v>7</v>
      </c>
      <c r="L2869" s="1">
        <v>43074</v>
      </c>
      <c r="M2869" s="22">
        <f>Table3[[#This Row],[Ship Date]]-Table3[[#This Row],[Order Date]]</f>
        <v>4</v>
      </c>
      <c r="N2869" s="23" t="s">
        <v>45</v>
      </c>
      <c r="O2869" s="23" t="s">
        <v>23</v>
      </c>
      <c r="P2869" s="23" t="s">
        <v>38</v>
      </c>
      <c r="Q2869" s="23" t="s">
        <v>39</v>
      </c>
      <c r="R2869" s="23" t="s">
        <v>37</v>
      </c>
      <c r="S2869" s="33">
        <v>0</v>
      </c>
      <c r="T2869" s="13">
        <v>45.36</v>
      </c>
      <c r="U2869" s="13">
        <v>21.7728</v>
      </c>
      <c r="V2869" s="55">
        <f>Table3[[#This Row],[Profit]]/Table3[[#This Row],[Sales]]</f>
        <v>0.48</v>
      </c>
    </row>
    <row r="2870" spans="1:22" x14ac:dyDescent="0.2">
      <c r="A2870">
        <v>2869</v>
      </c>
      <c r="B2870" t="s">
        <v>6031</v>
      </c>
      <c r="C2870" s="1">
        <v>43070</v>
      </c>
      <c r="D2870" s="22">
        <f>MONTH(Table3[[#This Row],[Order Date]])</f>
        <v>12</v>
      </c>
      <c r="E2870" t="s">
        <v>2949</v>
      </c>
      <c r="F2870" t="s">
        <v>2950</v>
      </c>
      <c r="G2870" s="23" t="s">
        <v>41</v>
      </c>
      <c r="H2870" s="23" t="s">
        <v>68</v>
      </c>
      <c r="I2870" t="s">
        <v>1097</v>
      </c>
      <c r="J2870" t="s">
        <v>22</v>
      </c>
      <c r="K2870" s="22">
        <v>2</v>
      </c>
      <c r="L2870" s="1">
        <v>43074</v>
      </c>
      <c r="M2870" s="22">
        <f>Table3[[#This Row],[Ship Date]]-Table3[[#This Row],[Order Date]]</f>
        <v>4</v>
      </c>
      <c r="N2870" s="23" t="s">
        <v>45</v>
      </c>
      <c r="O2870" s="23" t="s">
        <v>23</v>
      </c>
      <c r="P2870" s="23" t="s">
        <v>38</v>
      </c>
      <c r="Q2870" s="23" t="s">
        <v>39</v>
      </c>
      <c r="R2870" s="23" t="s">
        <v>37</v>
      </c>
      <c r="S2870" s="33">
        <v>0.2</v>
      </c>
      <c r="T2870" s="13">
        <v>10.128</v>
      </c>
      <c r="U2870" s="13">
        <v>3.6714000000000002</v>
      </c>
      <c r="V2870" s="55">
        <f>Table3[[#This Row],[Profit]]/Table3[[#This Row],[Sales]]</f>
        <v>0.36250000000000004</v>
      </c>
    </row>
    <row r="2871" spans="1:22" x14ac:dyDescent="0.2">
      <c r="A2871">
        <v>2870</v>
      </c>
      <c r="B2871" t="s">
        <v>6516</v>
      </c>
      <c r="C2871" s="1">
        <v>43070</v>
      </c>
      <c r="D2871" s="22">
        <f>MONTH(Table3[[#This Row],[Order Date]])</f>
        <v>12</v>
      </c>
      <c r="E2871" t="s">
        <v>841</v>
      </c>
      <c r="F2871" t="s">
        <v>1542</v>
      </c>
      <c r="G2871" s="23" t="s">
        <v>41</v>
      </c>
      <c r="H2871" s="23" t="s">
        <v>53</v>
      </c>
      <c r="I2871" t="s">
        <v>1965</v>
      </c>
      <c r="J2871" t="s">
        <v>22</v>
      </c>
      <c r="K2871" s="22">
        <v>3</v>
      </c>
      <c r="L2871" s="1">
        <v>43073</v>
      </c>
      <c r="M2871" s="22">
        <f>Table3[[#This Row],[Ship Date]]-Table3[[#This Row],[Order Date]]</f>
        <v>3</v>
      </c>
      <c r="N2871" s="23" t="s">
        <v>169</v>
      </c>
      <c r="O2871" s="23" t="s">
        <v>23</v>
      </c>
      <c r="P2871" s="23" t="s">
        <v>132</v>
      </c>
      <c r="Q2871" s="23" t="s">
        <v>133</v>
      </c>
      <c r="R2871" s="23" t="s">
        <v>131</v>
      </c>
      <c r="S2871" s="33">
        <v>0.2</v>
      </c>
      <c r="T2871" s="13">
        <v>37.392000000000003</v>
      </c>
      <c r="U2871" s="13">
        <v>2.3370000000000002</v>
      </c>
      <c r="V2871" s="55">
        <f>Table3[[#This Row],[Profit]]/Table3[[#This Row],[Sales]]</f>
        <v>6.25E-2</v>
      </c>
    </row>
    <row r="2872" spans="1:22" x14ac:dyDescent="0.2">
      <c r="A2872">
        <v>2871</v>
      </c>
      <c r="B2872" t="s">
        <v>6516</v>
      </c>
      <c r="C2872" s="1">
        <v>43070</v>
      </c>
      <c r="D2872" s="22">
        <f>MONTH(Table3[[#This Row],[Order Date]])</f>
        <v>12</v>
      </c>
      <c r="E2872" t="s">
        <v>6400</v>
      </c>
      <c r="F2872" t="s">
        <v>6401</v>
      </c>
      <c r="G2872" s="23" t="s">
        <v>28</v>
      </c>
      <c r="H2872" s="23" t="s">
        <v>58</v>
      </c>
      <c r="I2872" t="s">
        <v>1965</v>
      </c>
      <c r="J2872" t="s">
        <v>22</v>
      </c>
      <c r="K2872" s="22">
        <v>5</v>
      </c>
      <c r="L2872" s="1">
        <v>43073</v>
      </c>
      <c r="M2872" s="22">
        <f>Table3[[#This Row],[Ship Date]]-Table3[[#This Row],[Order Date]]</f>
        <v>3</v>
      </c>
      <c r="N2872" s="23" t="s">
        <v>169</v>
      </c>
      <c r="O2872" s="23" t="s">
        <v>23</v>
      </c>
      <c r="P2872" s="23" t="s">
        <v>132</v>
      </c>
      <c r="Q2872" s="23" t="s">
        <v>133</v>
      </c>
      <c r="R2872" s="23" t="s">
        <v>131</v>
      </c>
      <c r="S2872" s="33">
        <v>0.2</v>
      </c>
      <c r="T2872" s="13">
        <v>79.12</v>
      </c>
      <c r="U2872" s="13">
        <v>13.846</v>
      </c>
      <c r="V2872" s="55">
        <f>Table3[[#This Row],[Profit]]/Table3[[#This Row],[Sales]]</f>
        <v>0.17499999999999999</v>
      </c>
    </row>
    <row r="2873" spans="1:22" x14ac:dyDescent="0.2">
      <c r="A2873">
        <v>2872</v>
      </c>
      <c r="B2873" t="s">
        <v>7121</v>
      </c>
      <c r="C2873" s="1">
        <v>43070</v>
      </c>
      <c r="D2873" s="22">
        <f>MONTH(Table3[[#This Row],[Order Date]])</f>
        <v>12</v>
      </c>
      <c r="E2873" t="s">
        <v>4236</v>
      </c>
      <c r="F2873" t="s">
        <v>4237</v>
      </c>
      <c r="G2873" s="23" t="s">
        <v>41</v>
      </c>
      <c r="H2873" s="23" t="s">
        <v>82</v>
      </c>
      <c r="I2873" t="s">
        <v>471</v>
      </c>
      <c r="J2873" t="s">
        <v>92</v>
      </c>
      <c r="K2873" s="22">
        <v>3</v>
      </c>
      <c r="L2873" s="1">
        <v>43075</v>
      </c>
      <c r="M2873" s="22">
        <f>Table3[[#This Row],[Ship Date]]-Table3[[#This Row],[Order Date]]</f>
        <v>5</v>
      </c>
      <c r="N2873" s="23" t="s">
        <v>45</v>
      </c>
      <c r="O2873" s="23" t="s">
        <v>23</v>
      </c>
      <c r="P2873" s="23" t="s">
        <v>660</v>
      </c>
      <c r="Q2873" s="23" t="s">
        <v>133</v>
      </c>
      <c r="R2873" s="23" t="s">
        <v>659</v>
      </c>
      <c r="S2873" s="33">
        <v>0</v>
      </c>
      <c r="T2873" s="13">
        <v>19.440000000000001</v>
      </c>
      <c r="U2873" s="13">
        <v>9.3312000000000008</v>
      </c>
      <c r="V2873" s="55">
        <f>Table3[[#This Row],[Profit]]/Table3[[#This Row],[Sales]]</f>
        <v>0.48000000000000004</v>
      </c>
    </row>
    <row r="2874" spans="1:22" x14ac:dyDescent="0.2">
      <c r="A2874">
        <v>2873</v>
      </c>
      <c r="B2874" t="s">
        <v>7121</v>
      </c>
      <c r="C2874" s="1">
        <v>43070</v>
      </c>
      <c r="D2874" s="22">
        <f>MONTH(Table3[[#This Row],[Order Date]])</f>
        <v>12</v>
      </c>
      <c r="E2874" t="s">
        <v>4186</v>
      </c>
      <c r="F2874" t="s">
        <v>4187</v>
      </c>
      <c r="G2874" s="23" t="s">
        <v>28</v>
      </c>
      <c r="H2874" s="23" t="s">
        <v>32</v>
      </c>
      <c r="I2874" t="s">
        <v>471</v>
      </c>
      <c r="J2874" t="s">
        <v>92</v>
      </c>
      <c r="K2874" s="22">
        <v>3</v>
      </c>
      <c r="L2874" s="1">
        <v>43075</v>
      </c>
      <c r="M2874" s="22">
        <f>Table3[[#This Row],[Ship Date]]-Table3[[#This Row],[Order Date]]</f>
        <v>5</v>
      </c>
      <c r="N2874" s="23" t="s">
        <v>45</v>
      </c>
      <c r="O2874" s="23" t="s">
        <v>23</v>
      </c>
      <c r="P2874" s="23" t="s">
        <v>660</v>
      </c>
      <c r="Q2874" s="23" t="s">
        <v>133</v>
      </c>
      <c r="R2874" s="23" t="s">
        <v>659</v>
      </c>
      <c r="S2874" s="33">
        <v>0</v>
      </c>
      <c r="T2874" s="13">
        <v>897.15</v>
      </c>
      <c r="U2874" s="13">
        <v>251.202</v>
      </c>
      <c r="V2874" s="55">
        <f>Table3[[#This Row],[Profit]]/Table3[[#This Row],[Sales]]</f>
        <v>0.28000000000000003</v>
      </c>
    </row>
    <row r="2875" spans="1:22" x14ac:dyDescent="0.2">
      <c r="A2875">
        <v>2874</v>
      </c>
      <c r="B2875" t="s">
        <v>7976</v>
      </c>
      <c r="C2875" s="1">
        <v>43070</v>
      </c>
      <c r="D2875" s="22">
        <f>MONTH(Table3[[#This Row],[Order Date]])</f>
        <v>12</v>
      </c>
      <c r="E2875" t="s">
        <v>2631</v>
      </c>
      <c r="F2875" t="s">
        <v>2632</v>
      </c>
      <c r="G2875" s="23" t="s">
        <v>28</v>
      </c>
      <c r="H2875" s="23" t="s">
        <v>58</v>
      </c>
      <c r="I2875" t="s">
        <v>2758</v>
      </c>
      <c r="J2875" t="s">
        <v>92</v>
      </c>
      <c r="K2875" s="22">
        <v>2</v>
      </c>
      <c r="L2875" s="1">
        <v>43072</v>
      </c>
      <c r="M2875" s="22">
        <f>Table3[[#This Row],[Ship Date]]-Table3[[#This Row],[Order Date]]</f>
        <v>2</v>
      </c>
      <c r="N2875" s="23" t="s">
        <v>169</v>
      </c>
      <c r="O2875" s="23" t="s">
        <v>23</v>
      </c>
      <c r="P2875" s="23" t="s">
        <v>441</v>
      </c>
      <c r="Q2875" s="23" t="s">
        <v>133</v>
      </c>
      <c r="R2875" s="23" t="s">
        <v>4594</v>
      </c>
      <c r="S2875" s="33">
        <v>0.2</v>
      </c>
      <c r="T2875" s="13">
        <v>7.7119999999999997</v>
      </c>
      <c r="U2875" s="13">
        <v>1.7352000000000001</v>
      </c>
      <c r="V2875" s="55">
        <f>Table3[[#This Row],[Profit]]/Table3[[#This Row],[Sales]]</f>
        <v>0.22500000000000001</v>
      </c>
    </row>
    <row r="2876" spans="1:22" x14ac:dyDescent="0.2">
      <c r="A2876">
        <v>2875</v>
      </c>
      <c r="B2876" t="s">
        <v>8366</v>
      </c>
      <c r="C2876" s="1">
        <v>43070</v>
      </c>
      <c r="D2876" s="22">
        <f>MONTH(Table3[[#This Row],[Order Date]])</f>
        <v>12</v>
      </c>
      <c r="E2876" t="s">
        <v>5357</v>
      </c>
      <c r="F2876" t="s">
        <v>5358</v>
      </c>
      <c r="G2876" s="23" t="s">
        <v>41</v>
      </c>
      <c r="H2876" s="23" t="s">
        <v>82</v>
      </c>
      <c r="I2876" t="s">
        <v>1522</v>
      </c>
      <c r="J2876" t="s">
        <v>36</v>
      </c>
      <c r="K2876" s="22">
        <v>2</v>
      </c>
      <c r="L2876" s="1">
        <v>43077</v>
      </c>
      <c r="M2876" s="22">
        <f>Table3[[#This Row],[Ship Date]]-Table3[[#This Row],[Order Date]]</f>
        <v>7</v>
      </c>
      <c r="N2876" s="23" t="s">
        <v>45</v>
      </c>
      <c r="O2876" s="23" t="s">
        <v>23</v>
      </c>
      <c r="P2876" s="23" t="s">
        <v>94</v>
      </c>
      <c r="Q2876" s="23" t="s">
        <v>95</v>
      </c>
      <c r="R2876" s="23" t="s">
        <v>598</v>
      </c>
      <c r="S2876" s="33">
        <v>0.2</v>
      </c>
      <c r="T2876" s="13">
        <v>10.368</v>
      </c>
      <c r="U2876" s="13">
        <v>3.6288</v>
      </c>
      <c r="V2876" s="55">
        <f>Table3[[#This Row],[Profit]]/Table3[[#This Row],[Sales]]</f>
        <v>0.35</v>
      </c>
    </row>
    <row r="2877" spans="1:22" x14ac:dyDescent="0.2">
      <c r="A2877">
        <v>2876</v>
      </c>
      <c r="B2877" t="s">
        <v>8521</v>
      </c>
      <c r="C2877" s="1">
        <v>43070</v>
      </c>
      <c r="D2877" s="22">
        <f>MONTH(Table3[[#This Row],[Order Date]])</f>
        <v>12</v>
      </c>
      <c r="E2877" t="s">
        <v>7922</v>
      </c>
      <c r="F2877" t="s">
        <v>7923</v>
      </c>
      <c r="G2877" s="23" t="s">
        <v>41</v>
      </c>
      <c r="H2877" s="23" t="s">
        <v>82</v>
      </c>
      <c r="I2877" t="s">
        <v>46</v>
      </c>
      <c r="J2877" t="s">
        <v>22</v>
      </c>
      <c r="K2877" s="22">
        <v>7</v>
      </c>
      <c r="L2877" s="1">
        <v>43077</v>
      </c>
      <c r="M2877" s="22">
        <f>Table3[[#This Row],[Ship Date]]-Table3[[#This Row],[Order Date]]</f>
        <v>7</v>
      </c>
      <c r="N2877" s="23" t="s">
        <v>45</v>
      </c>
      <c r="O2877" s="23" t="s">
        <v>23</v>
      </c>
      <c r="P2877" s="23" t="s">
        <v>87</v>
      </c>
      <c r="Q2877" s="23" t="s">
        <v>39</v>
      </c>
      <c r="R2877" s="23" t="s">
        <v>86</v>
      </c>
      <c r="S2877" s="33">
        <v>0</v>
      </c>
      <c r="T2877" s="13">
        <v>41.86</v>
      </c>
      <c r="U2877" s="13">
        <v>18.837</v>
      </c>
      <c r="V2877" s="55">
        <f>Table3[[#This Row],[Profit]]/Table3[[#This Row],[Sales]]</f>
        <v>0.45</v>
      </c>
    </row>
    <row r="2878" spans="1:22" x14ac:dyDescent="0.2">
      <c r="A2878">
        <v>2877</v>
      </c>
      <c r="B2878" t="s">
        <v>8521</v>
      </c>
      <c r="C2878" s="1">
        <v>43070</v>
      </c>
      <c r="D2878" s="22">
        <f>MONTH(Table3[[#This Row],[Order Date]])</f>
        <v>12</v>
      </c>
      <c r="E2878" t="s">
        <v>5879</v>
      </c>
      <c r="F2878" t="s">
        <v>5880</v>
      </c>
      <c r="G2878" s="23" t="s">
        <v>28</v>
      </c>
      <c r="H2878" s="23" t="s">
        <v>29</v>
      </c>
      <c r="I2878" t="s">
        <v>46</v>
      </c>
      <c r="J2878" t="s">
        <v>22</v>
      </c>
      <c r="K2878" s="22">
        <v>2</v>
      </c>
      <c r="L2878" s="1">
        <v>43077</v>
      </c>
      <c r="M2878" s="22">
        <f>Table3[[#This Row],[Ship Date]]-Table3[[#This Row],[Order Date]]</f>
        <v>7</v>
      </c>
      <c r="N2878" s="23" t="s">
        <v>45</v>
      </c>
      <c r="O2878" s="23" t="s">
        <v>23</v>
      </c>
      <c r="P2878" s="23" t="s">
        <v>87</v>
      </c>
      <c r="Q2878" s="23" t="s">
        <v>39</v>
      </c>
      <c r="R2878" s="23" t="s">
        <v>86</v>
      </c>
      <c r="S2878" s="33">
        <v>0</v>
      </c>
      <c r="T2878" s="13">
        <v>141.96</v>
      </c>
      <c r="U2878" s="13">
        <v>41.168399999999998</v>
      </c>
      <c r="V2878" s="55">
        <f>Table3[[#This Row],[Profit]]/Table3[[#This Row],[Sales]]</f>
        <v>0.28999999999999998</v>
      </c>
    </row>
    <row r="2879" spans="1:22" x14ac:dyDescent="0.2">
      <c r="A2879">
        <v>2878</v>
      </c>
      <c r="B2879" t="s">
        <v>9500</v>
      </c>
      <c r="C2879" s="1">
        <v>43070</v>
      </c>
      <c r="D2879" s="22">
        <f>MONTH(Table3[[#This Row],[Order Date]])</f>
        <v>12</v>
      </c>
      <c r="E2879" t="s">
        <v>5179</v>
      </c>
      <c r="F2879" t="s">
        <v>5180</v>
      </c>
      <c r="G2879" s="23" t="s">
        <v>41</v>
      </c>
      <c r="H2879" s="23" t="s">
        <v>68</v>
      </c>
      <c r="I2879" t="s">
        <v>518</v>
      </c>
      <c r="J2879" t="s">
        <v>36</v>
      </c>
      <c r="K2879" s="22">
        <v>5</v>
      </c>
      <c r="L2879" s="1">
        <v>43075</v>
      </c>
      <c r="M2879" s="22">
        <f>Table3[[#This Row],[Ship Date]]-Table3[[#This Row],[Order Date]]</f>
        <v>5</v>
      </c>
      <c r="N2879" s="23" t="s">
        <v>45</v>
      </c>
      <c r="O2879" s="23" t="s">
        <v>23</v>
      </c>
      <c r="P2879" s="23" t="s">
        <v>87</v>
      </c>
      <c r="Q2879" s="23" t="s">
        <v>39</v>
      </c>
      <c r="R2879" s="23" t="s">
        <v>86</v>
      </c>
      <c r="S2879" s="33">
        <v>0.2</v>
      </c>
      <c r="T2879" s="13">
        <v>15.92</v>
      </c>
      <c r="U2879" s="13">
        <v>5.3730000000000002</v>
      </c>
      <c r="V2879" s="55">
        <f>Table3[[#This Row],[Profit]]/Table3[[#This Row],[Sales]]</f>
        <v>0.33750000000000002</v>
      </c>
    </row>
    <row r="2880" spans="1:22" x14ac:dyDescent="0.2">
      <c r="A2880">
        <v>2879</v>
      </c>
      <c r="B2880" t="s">
        <v>9500</v>
      </c>
      <c r="C2880" s="1">
        <v>43070</v>
      </c>
      <c r="D2880" s="22">
        <f>MONTH(Table3[[#This Row],[Order Date]])</f>
        <v>12</v>
      </c>
      <c r="E2880" t="s">
        <v>1136</v>
      </c>
      <c r="F2880" t="s">
        <v>1137</v>
      </c>
      <c r="G2880" s="23" t="s">
        <v>28</v>
      </c>
      <c r="H2880" s="23" t="s">
        <v>58</v>
      </c>
      <c r="I2880" t="s">
        <v>518</v>
      </c>
      <c r="J2880" t="s">
        <v>36</v>
      </c>
      <c r="K2880" s="22">
        <v>12</v>
      </c>
      <c r="L2880" s="1">
        <v>43075</v>
      </c>
      <c r="M2880" s="22">
        <f>Table3[[#This Row],[Ship Date]]-Table3[[#This Row],[Order Date]]</f>
        <v>5</v>
      </c>
      <c r="N2880" s="23" t="s">
        <v>45</v>
      </c>
      <c r="O2880" s="23" t="s">
        <v>23</v>
      </c>
      <c r="P2880" s="23" t="s">
        <v>87</v>
      </c>
      <c r="Q2880" s="23" t="s">
        <v>39</v>
      </c>
      <c r="R2880" s="23" t="s">
        <v>86</v>
      </c>
      <c r="S2880" s="33">
        <v>0</v>
      </c>
      <c r="T2880" s="13">
        <v>70.680000000000007</v>
      </c>
      <c r="U2880" s="13">
        <v>31.0992</v>
      </c>
      <c r="V2880" s="55">
        <f>Table3[[#This Row],[Profit]]/Table3[[#This Row],[Sales]]</f>
        <v>0.43999999999999995</v>
      </c>
    </row>
    <row r="2881" spans="1:22" x14ac:dyDescent="0.2">
      <c r="A2881">
        <v>2880</v>
      </c>
      <c r="B2881" t="s">
        <v>9500</v>
      </c>
      <c r="C2881" s="1">
        <v>43070</v>
      </c>
      <c r="D2881" s="22">
        <f>MONTH(Table3[[#This Row],[Order Date]])</f>
        <v>12</v>
      </c>
      <c r="E2881" t="s">
        <v>969</v>
      </c>
      <c r="F2881" t="s">
        <v>970</v>
      </c>
      <c r="G2881" s="23" t="s">
        <v>41</v>
      </c>
      <c r="H2881" s="23" t="s">
        <v>53</v>
      </c>
      <c r="I2881" t="s">
        <v>518</v>
      </c>
      <c r="J2881" t="s">
        <v>36</v>
      </c>
      <c r="K2881" s="22">
        <v>4</v>
      </c>
      <c r="L2881" s="1">
        <v>43075</v>
      </c>
      <c r="M2881" s="22">
        <f>Table3[[#This Row],[Ship Date]]-Table3[[#This Row],[Order Date]]</f>
        <v>5</v>
      </c>
      <c r="N2881" s="23" t="s">
        <v>45</v>
      </c>
      <c r="O2881" s="23" t="s">
        <v>23</v>
      </c>
      <c r="P2881" s="23" t="s">
        <v>87</v>
      </c>
      <c r="Q2881" s="23" t="s">
        <v>39</v>
      </c>
      <c r="R2881" s="23" t="s">
        <v>86</v>
      </c>
      <c r="S2881" s="33">
        <v>0</v>
      </c>
      <c r="T2881" s="13">
        <v>541.24</v>
      </c>
      <c r="U2881" s="13">
        <v>5.4123999999999999</v>
      </c>
      <c r="V2881" s="55">
        <f>Table3[[#This Row],[Profit]]/Table3[[#This Row],[Sales]]</f>
        <v>0.01</v>
      </c>
    </row>
    <row r="2882" spans="1:22" x14ac:dyDescent="0.2">
      <c r="A2882">
        <v>2881</v>
      </c>
      <c r="B2882" t="s">
        <v>9514</v>
      </c>
      <c r="C2882" s="1">
        <v>43070</v>
      </c>
      <c r="D2882" s="22">
        <f>MONTH(Table3[[#This Row],[Order Date]])</f>
        <v>12</v>
      </c>
      <c r="E2882" t="s">
        <v>1994</v>
      </c>
      <c r="F2882" t="s">
        <v>1995</v>
      </c>
      <c r="G2882" s="23" t="s">
        <v>28</v>
      </c>
      <c r="H2882" s="23" t="s">
        <v>58</v>
      </c>
      <c r="I2882" t="s">
        <v>3956</v>
      </c>
      <c r="J2882" t="s">
        <v>92</v>
      </c>
      <c r="K2882" s="22">
        <v>9</v>
      </c>
      <c r="L2882" s="1">
        <v>43076</v>
      </c>
      <c r="M2882" s="22">
        <f>Table3[[#This Row],[Ship Date]]-Table3[[#This Row],[Order Date]]</f>
        <v>6</v>
      </c>
      <c r="N2882" s="23" t="s">
        <v>45</v>
      </c>
      <c r="O2882" s="23" t="s">
        <v>23</v>
      </c>
      <c r="P2882" s="23" t="s">
        <v>38</v>
      </c>
      <c r="Q2882" s="23" t="s">
        <v>39</v>
      </c>
      <c r="R2882" s="23" t="s">
        <v>4457</v>
      </c>
      <c r="S2882" s="33">
        <v>0</v>
      </c>
      <c r="T2882" s="13">
        <v>629.64</v>
      </c>
      <c r="U2882" s="13">
        <v>107.03879999999999</v>
      </c>
      <c r="V2882" s="55">
        <f>Table3[[#This Row],[Profit]]/Table3[[#This Row],[Sales]]</f>
        <v>0.16999999999999998</v>
      </c>
    </row>
    <row r="2883" spans="1:22" x14ac:dyDescent="0.2">
      <c r="A2883">
        <v>2882</v>
      </c>
      <c r="B2883" t="s">
        <v>9741</v>
      </c>
      <c r="C2883" s="1">
        <v>43070</v>
      </c>
      <c r="D2883" s="22">
        <f>MONTH(Table3[[#This Row],[Order Date]])</f>
        <v>12</v>
      </c>
      <c r="E2883" t="s">
        <v>2362</v>
      </c>
      <c r="F2883" t="s">
        <v>2363</v>
      </c>
      <c r="G2883" s="23" t="s">
        <v>41</v>
      </c>
      <c r="H2883" s="23" t="s">
        <v>42</v>
      </c>
      <c r="I2883" t="s">
        <v>1871</v>
      </c>
      <c r="J2883" t="s">
        <v>22</v>
      </c>
      <c r="K2883" s="22">
        <v>4</v>
      </c>
      <c r="L2883" s="1">
        <v>43074</v>
      </c>
      <c r="M2883" s="22">
        <f>Table3[[#This Row],[Ship Date]]-Table3[[#This Row],[Order Date]]</f>
        <v>4</v>
      </c>
      <c r="N2883" s="23" t="s">
        <v>45</v>
      </c>
      <c r="O2883" s="23" t="s">
        <v>23</v>
      </c>
      <c r="P2883" s="23" t="s">
        <v>132</v>
      </c>
      <c r="Q2883" s="23" t="s">
        <v>133</v>
      </c>
      <c r="R2883" s="23" t="s">
        <v>131</v>
      </c>
      <c r="S2883" s="33">
        <v>0.2</v>
      </c>
      <c r="T2883" s="13">
        <v>15.936</v>
      </c>
      <c r="U2883" s="13">
        <v>5.1791999999999998</v>
      </c>
      <c r="V2883" s="55">
        <f>Table3[[#This Row],[Profit]]/Table3[[#This Row],[Sales]]</f>
        <v>0.32500000000000001</v>
      </c>
    </row>
    <row r="2884" spans="1:22" x14ac:dyDescent="0.2">
      <c r="A2884">
        <v>2883</v>
      </c>
      <c r="B2884" t="s">
        <v>9741</v>
      </c>
      <c r="C2884" s="1">
        <v>43070</v>
      </c>
      <c r="D2884" s="22">
        <f>MONTH(Table3[[#This Row],[Order Date]])</f>
        <v>12</v>
      </c>
      <c r="E2884" t="s">
        <v>2524</v>
      </c>
      <c r="F2884" t="s">
        <v>2525</v>
      </c>
      <c r="G2884" s="23" t="s">
        <v>41</v>
      </c>
      <c r="H2884" s="23" t="s">
        <v>68</v>
      </c>
      <c r="I2884" t="s">
        <v>1871</v>
      </c>
      <c r="J2884" t="s">
        <v>22</v>
      </c>
      <c r="K2884" s="22">
        <v>7</v>
      </c>
      <c r="L2884" s="1">
        <v>43074</v>
      </c>
      <c r="M2884" s="22">
        <f>Table3[[#This Row],[Ship Date]]-Table3[[#This Row],[Order Date]]</f>
        <v>4</v>
      </c>
      <c r="N2884" s="23" t="s">
        <v>45</v>
      </c>
      <c r="O2884" s="23" t="s">
        <v>23</v>
      </c>
      <c r="P2884" s="23" t="s">
        <v>132</v>
      </c>
      <c r="Q2884" s="23" t="s">
        <v>133</v>
      </c>
      <c r="R2884" s="23" t="s">
        <v>131</v>
      </c>
      <c r="S2884" s="33">
        <v>0.7</v>
      </c>
      <c r="T2884" s="13">
        <v>8.0009999999999994</v>
      </c>
      <c r="U2884" s="13">
        <v>-5.6006999999999998</v>
      </c>
      <c r="V2884" s="55">
        <f>Table3[[#This Row],[Profit]]/Table3[[#This Row],[Sales]]</f>
        <v>-0.70000000000000007</v>
      </c>
    </row>
    <row r="2885" spans="1:22" x14ac:dyDescent="0.2">
      <c r="A2885">
        <v>2884</v>
      </c>
      <c r="B2885" t="s">
        <v>9741</v>
      </c>
      <c r="C2885" s="1">
        <v>43070</v>
      </c>
      <c r="D2885" s="22">
        <f>MONTH(Table3[[#This Row],[Order Date]])</f>
        <v>12</v>
      </c>
      <c r="E2885" t="s">
        <v>1588</v>
      </c>
      <c r="F2885" t="s">
        <v>1589</v>
      </c>
      <c r="G2885" s="23" t="s">
        <v>28</v>
      </c>
      <c r="H2885" s="23" t="s">
        <v>32</v>
      </c>
      <c r="I2885" t="s">
        <v>1871</v>
      </c>
      <c r="J2885" t="s">
        <v>22</v>
      </c>
      <c r="K2885" s="22">
        <v>2</v>
      </c>
      <c r="L2885" s="1">
        <v>43074</v>
      </c>
      <c r="M2885" s="22">
        <f>Table3[[#This Row],[Ship Date]]-Table3[[#This Row],[Order Date]]</f>
        <v>4</v>
      </c>
      <c r="N2885" s="23" t="s">
        <v>45</v>
      </c>
      <c r="O2885" s="23" t="s">
        <v>23</v>
      </c>
      <c r="P2885" s="23" t="s">
        <v>132</v>
      </c>
      <c r="Q2885" s="23" t="s">
        <v>133</v>
      </c>
      <c r="R2885" s="23" t="s">
        <v>131</v>
      </c>
      <c r="S2885" s="33">
        <v>0.3</v>
      </c>
      <c r="T2885" s="13">
        <v>398.97199999999998</v>
      </c>
      <c r="U2885" s="13">
        <v>-28.498000000000001</v>
      </c>
      <c r="V2885" s="55">
        <f>Table3[[#This Row],[Profit]]/Table3[[#This Row],[Sales]]</f>
        <v>-7.1428571428571438E-2</v>
      </c>
    </row>
    <row r="2886" spans="1:22" x14ac:dyDescent="0.2">
      <c r="A2886">
        <v>2885</v>
      </c>
      <c r="B2886" t="s">
        <v>3938</v>
      </c>
      <c r="C2886" s="1">
        <v>43071</v>
      </c>
      <c r="D2886" s="22">
        <f>MONTH(Table3[[#This Row],[Order Date]])</f>
        <v>12</v>
      </c>
      <c r="E2886" t="s">
        <v>2833</v>
      </c>
      <c r="F2886" t="s">
        <v>2834</v>
      </c>
      <c r="G2886" s="23" t="s">
        <v>41</v>
      </c>
      <c r="H2886" s="23" t="s">
        <v>53</v>
      </c>
      <c r="I2886" t="s">
        <v>746</v>
      </c>
      <c r="J2886" t="s">
        <v>36</v>
      </c>
      <c r="K2886" s="22">
        <v>9</v>
      </c>
      <c r="L2886" s="1">
        <v>43074</v>
      </c>
      <c r="M2886" s="22">
        <f>Table3[[#This Row],[Ship Date]]-Table3[[#This Row],[Order Date]]</f>
        <v>3</v>
      </c>
      <c r="N2886" s="23" t="s">
        <v>169</v>
      </c>
      <c r="O2886" s="23" t="s">
        <v>23</v>
      </c>
      <c r="P2886" s="23" t="s">
        <v>38</v>
      </c>
      <c r="Q2886" s="23" t="s">
        <v>39</v>
      </c>
      <c r="R2886" s="23" t="s">
        <v>114</v>
      </c>
      <c r="S2886" s="33">
        <v>0</v>
      </c>
      <c r="T2886" s="13">
        <v>559.62</v>
      </c>
      <c r="U2886" s="13">
        <v>151.09739999999999</v>
      </c>
      <c r="V2886" s="55">
        <f>Table3[[#This Row],[Profit]]/Table3[[#This Row],[Sales]]</f>
        <v>0.26999999999999996</v>
      </c>
    </row>
    <row r="2887" spans="1:22" x14ac:dyDescent="0.2">
      <c r="A2887">
        <v>2886</v>
      </c>
      <c r="B2887" t="s">
        <v>3938</v>
      </c>
      <c r="C2887" s="1">
        <v>43071</v>
      </c>
      <c r="D2887" s="22">
        <f>MONTH(Table3[[#This Row],[Order Date]])</f>
        <v>12</v>
      </c>
      <c r="E2887" t="s">
        <v>3800</v>
      </c>
      <c r="F2887" t="s">
        <v>3801</v>
      </c>
      <c r="G2887" s="23" t="s">
        <v>41</v>
      </c>
      <c r="H2887" s="23" t="s">
        <v>82</v>
      </c>
      <c r="I2887" t="s">
        <v>746</v>
      </c>
      <c r="J2887" t="s">
        <v>36</v>
      </c>
      <c r="K2887" s="22">
        <v>2</v>
      </c>
      <c r="L2887" s="1">
        <v>43074</v>
      </c>
      <c r="M2887" s="22">
        <f>Table3[[#This Row],[Ship Date]]-Table3[[#This Row],[Order Date]]</f>
        <v>3</v>
      </c>
      <c r="N2887" s="23" t="s">
        <v>169</v>
      </c>
      <c r="O2887" s="23" t="s">
        <v>23</v>
      </c>
      <c r="P2887" s="23" t="s">
        <v>38</v>
      </c>
      <c r="Q2887" s="23" t="s">
        <v>39</v>
      </c>
      <c r="R2887" s="23" t="s">
        <v>114</v>
      </c>
      <c r="S2887" s="33">
        <v>0</v>
      </c>
      <c r="T2887" s="13">
        <v>109.92</v>
      </c>
      <c r="U2887" s="13">
        <v>53.860799999999998</v>
      </c>
      <c r="V2887" s="55">
        <f>Table3[[#This Row],[Profit]]/Table3[[#This Row],[Sales]]</f>
        <v>0.49</v>
      </c>
    </row>
    <row r="2888" spans="1:22" x14ac:dyDescent="0.2">
      <c r="A2888">
        <v>2887</v>
      </c>
      <c r="B2888" t="s">
        <v>3938</v>
      </c>
      <c r="C2888" s="1">
        <v>43071</v>
      </c>
      <c r="D2888" s="22">
        <f>MONTH(Table3[[#This Row],[Order Date]])</f>
        <v>12</v>
      </c>
      <c r="E2888" t="s">
        <v>3939</v>
      </c>
      <c r="F2888" t="s">
        <v>3940</v>
      </c>
      <c r="G2888" s="23" t="s">
        <v>41</v>
      </c>
      <c r="H2888" s="23" t="s">
        <v>82</v>
      </c>
      <c r="I2888" t="s">
        <v>746</v>
      </c>
      <c r="J2888" t="s">
        <v>36</v>
      </c>
      <c r="K2888" s="22">
        <v>2</v>
      </c>
      <c r="L2888" s="1">
        <v>43074</v>
      </c>
      <c r="M2888" s="22">
        <f>Table3[[#This Row],[Ship Date]]-Table3[[#This Row],[Order Date]]</f>
        <v>3</v>
      </c>
      <c r="N2888" s="23" t="s">
        <v>169</v>
      </c>
      <c r="O2888" s="23" t="s">
        <v>23</v>
      </c>
      <c r="P2888" s="23" t="s">
        <v>38</v>
      </c>
      <c r="Q2888" s="23" t="s">
        <v>39</v>
      </c>
      <c r="R2888" s="23" t="s">
        <v>114</v>
      </c>
      <c r="S2888" s="33">
        <v>0</v>
      </c>
      <c r="T2888" s="13">
        <v>8.56</v>
      </c>
      <c r="U2888" s="13">
        <v>3.8519999999999999</v>
      </c>
      <c r="V2888" s="55">
        <f>Table3[[#This Row],[Profit]]/Table3[[#This Row],[Sales]]</f>
        <v>0.44999999999999996</v>
      </c>
    </row>
    <row r="2889" spans="1:22" x14ac:dyDescent="0.2">
      <c r="A2889">
        <v>2888</v>
      </c>
      <c r="B2889" t="s">
        <v>4165</v>
      </c>
      <c r="C2889" s="1">
        <v>43071</v>
      </c>
      <c r="D2889" s="22">
        <f>MONTH(Table3[[#This Row],[Order Date]])</f>
        <v>12</v>
      </c>
      <c r="E2889" t="s">
        <v>4168</v>
      </c>
      <c r="F2889" t="s">
        <v>4169</v>
      </c>
      <c r="G2889" s="23" t="s">
        <v>41</v>
      </c>
      <c r="H2889" s="23" t="s">
        <v>61</v>
      </c>
      <c r="I2889" t="s">
        <v>4166</v>
      </c>
      <c r="J2889" t="s">
        <v>22</v>
      </c>
      <c r="K2889" s="22">
        <v>3</v>
      </c>
      <c r="L2889" s="1">
        <v>43074</v>
      </c>
      <c r="M2889" s="22">
        <f>Table3[[#This Row],[Ship Date]]-Table3[[#This Row],[Order Date]]</f>
        <v>3</v>
      </c>
      <c r="N2889" s="23" t="s">
        <v>169</v>
      </c>
      <c r="O2889" s="23" t="s">
        <v>23</v>
      </c>
      <c r="P2889" s="23" t="s">
        <v>285</v>
      </c>
      <c r="Q2889" s="23" t="s">
        <v>26</v>
      </c>
      <c r="R2889" s="23" t="s">
        <v>4167</v>
      </c>
      <c r="S2889" s="33">
        <v>0</v>
      </c>
      <c r="T2889" s="13">
        <v>34.65</v>
      </c>
      <c r="U2889" s="13">
        <v>10.395</v>
      </c>
      <c r="V2889" s="55">
        <f>Table3[[#This Row],[Profit]]/Table3[[#This Row],[Sales]]</f>
        <v>0.3</v>
      </c>
    </row>
    <row r="2890" spans="1:22" x14ac:dyDescent="0.2">
      <c r="A2890">
        <v>2889</v>
      </c>
      <c r="B2890" t="s">
        <v>4315</v>
      </c>
      <c r="C2890" s="1">
        <v>43071</v>
      </c>
      <c r="D2890" s="22">
        <f>MONTH(Table3[[#This Row],[Order Date]])</f>
        <v>12</v>
      </c>
      <c r="E2890" t="s">
        <v>4317</v>
      </c>
      <c r="F2890" t="s">
        <v>4318</v>
      </c>
      <c r="G2890" s="23" t="s">
        <v>41</v>
      </c>
      <c r="H2890" s="23" t="s">
        <v>71</v>
      </c>
      <c r="I2890" t="s">
        <v>4316</v>
      </c>
      <c r="J2890" t="s">
        <v>22</v>
      </c>
      <c r="K2890" s="22">
        <v>5</v>
      </c>
      <c r="L2890" s="1">
        <v>43073</v>
      </c>
      <c r="M2890" s="22">
        <f>Table3[[#This Row],[Ship Date]]-Table3[[#This Row],[Order Date]]</f>
        <v>2</v>
      </c>
      <c r="N2890" s="23" t="s">
        <v>20</v>
      </c>
      <c r="O2890" s="23" t="s">
        <v>23</v>
      </c>
      <c r="P2890" s="23" t="s">
        <v>94</v>
      </c>
      <c r="Q2890" s="23" t="s">
        <v>95</v>
      </c>
      <c r="R2890" s="23" t="s">
        <v>165</v>
      </c>
      <c r="S2890" s="33">
        <v>0.8</v>
      </c>
      <c r="T2890" s="13">
        <v>294.62</v>
      </c>
      <c r="U2890" s="13">
        <v>-766.01199999999994</v>
      </c>
      <c r="V2890" s="55">
        <f>Table3[[#This Row],[Profit]]/Table3[[#This Row],[Sales]]</f>
        <v>-2.5999999999999996</v>
      </c>
    </row>
    <row r="2891" spans="1:22" x14ac:dyDescent="0.2">
      <c r="A2891">
        <v>2890</v>
      </c>
      <c r="B2891" t="s">
        <v>4315</v>
      </c>
      <c r="C2891" s="1">
        <v>43071</v>
      </c>
      <c r="D2891" s="22">
        <f>MONTH(Table3[[#This Row],[Order Date]])</f>
        <v>12</v>
      </c>
      <c r="E2891" t="s">
        <v>1689</v>
      </c>
      <c r="F2891" t="s">
        <v>1690</v>
      </c>
      <c r="G2891" s="23" t="s">
        <v>28</v>
      </c>
      <c r="H2891" s="23" t="s">
        <v>58</v>
      </c>
      <c r="I2891" t="s">
        <v>4316</v>
      </c>
      <c r="J2891" t="s">
        <v>22</v>
      </c>
      <c r="K2891" s="22">
        <v>4</v>
      </c>
      <c r="L2891" s="1">
        <v>43073</v>
      </c>
      <c r="M2891" s="22">
        <f>Table3[[#This Row],[Ship Date]]-Table3[[#This Row],[Order Date]]</f>
        <v>2</v>
      </c>
      <c r="N2891" s="23" t="s">
        <v>20</v>
      </c>
      <c r="O2891" s="23" t="s">
        <v>23</v>
      </c>
      <c r="P2891" s="23" t="s">
        <v>94</v>
      </c>
      <c r="Q2891" s="23" t="s">
        <v>95</v>
      </c>
      <c r="R2891" s="23" t="s">
        <v>165</v>
      </c>
      <c r="S2891" s="33">
        <v>0.6</v>
      </c>
      <c r="T2891" s="13">
        <v>8.7520000000000007</v>
      </c>
      <c r="U2891" s="13">
        <v>-3.7195999999999998</v>
      </c>
      <c r="V2891" s="55">
        <f>Table3[[#This Row],[Profit]]/Table3[[#This Row],[Sales]]</f>
        <v>-0.42499999999999993</v>
      </c>
    </row>
    <row r="2892" spans="1:22" x14ac:dyDescent="0.2">
      <c r="A2892">
        <v>2891</v>
      </c>
      <c r="B2892" t="s">
        <v>4671</v>
      </c>
      <c r="C2892" s="1">
        <v>43071</v>
      </c>
      <c r="D2892" s="22">
        <f>MONTH(Table3[[#This Row],[Order Date]])</f>
        <v>12</v>
      </c>
      <c r="E2892" t="s">
        <v>1287</v>
      </c>
      <c r="F2892" t="s">
        <v>1288</v>
      </c>
      <c r="G2892" s="23" t="s">
        <v>41</v>
      </c>
      <c r="H2892" s="23" t="s">
        <v>61</v>
      </c>
      <c r="I2892" t="s">
        <v>1142</v>
      </c>
      <c r="J2892" t="s">
        <v>36</v>
      </c>
      <c r="K2892" s="22">
        <v>5</v>
      </c>
      <c r="L2892" s="1">
        <v>43076</v>
      </c>
      <c r="M2892" s="22">
        <f>Table3[[#This Row],[Ship Date]]-Table3[[#This Row],[Order Date]]</f>
        <v>5</v>
      </c>
      <c r="N2892" s="23" t="s">
        <v>45</v>
      </c>
      <c r="O2892" s="23" t="s">
        <v>23</v>
      </c>
      <c r="P2892" s="23" t="s">
        <v>48</v>
      </c>
      <c r="Q2892" s="23" t="s">
        <v>26</v>
      </c>
      <c r="R2892" s="23" t="s">
        <v>1253</v>
      </c>
      <c r="S2892" s="33">
        <v>0.2</v>
      </c>
      <c r="T2892" s="13">
        <v>47.96</v>
      </c>
      <c r="U2892" s="13">
        <v>4.1965000000000003</v>
      </c>
      <c r="V2892" s="55">
        <f>Table3[[#This Row],[Profit]]/Table3[[#This Row],[Sales]]</f>
        <v>8.7500000000000008E-2</v>
      </c>
    </row>
    <row r="2893" spans="1:22" x14ac:dyDescent="0.2">
      <c r="A2893">
        <v>2892</v>
      </c>
      <c r="B2893" t="s">
        <v>4769</v>
      </c>
      <c r="C2893" s="1">
        <v>43071</v>
      </c>
      <c r="D2893" s="22">
        <f>MONTH(Table3[[#This Row],[Order Date]])</f>
        <v>12</v>
      </c>
      <c r="E2893" t="s">
        <v>2134</v>
      </c>
      <c r="F2893" t="s">
        <v>2135</v>
      </c>
      <c r="G2893" s="23" t="s">
        <v>41</v>
      </c>
      <c r="H2893" s="23" t="s">
        <v>68</v>
      </c>
      <c r="I2893" t="s">
        <v>668</v>
      </c>
      <c r="J2893" t="s">
        <v>36</v>
      </c>
      <c r="K2893" s="22">
        <v>6</v>
      </c>
      <c r="L2893" s="1">
        <v>43072</v>
      </c>
      <c r="M2893" s="22">
        <f>Table3[[#This Row],[Ship Date]]-Table3[[#This Row],[Order Date]]</f>
        <v>1</v>
      </c>
      <c r="N2893" s="23" t="s">
        <v>1141</v>
      </c>
      <c r="O2893" s="23" t="s">
        <v>23</v>
      </c>
      <c r="P2893" s="23" t="s">
        <v>38</v>
      </c>
      <c r="Q2893" s="23" t="s">
        <v>39</v>
      </c>
      <c r="R2893" s="23" t="s">
        <v>37</v>
      </c>
      <c r="S2893" s="33">
        <v>0.2</v>
      </c>
      <c r="T2893" s="13">
        <v>9.0239999999999991</v>
      </c>
      <c r="U2893" s="13">
        <v>3.1583999999999999</v>
      </c>
      <c r="V2893" s="55">
        <f>Table3[[#This Row],[Profit]]/Table3[[#This Row],[Sales]]</f>
        <v>0.35000000000000003</v>
      </c>
    </row>
    <row r="2894" spans="1:22" x14ac:dyDescent="0.2">
      <c r="A2894">
        <v>2893</v>
      </c>
      <c r="B2894" t="s">
        <v>4769</v>
      </c>
      <c r="C2894" s="1">
        <v>43071</v>
      </c>
      <c r="D2894" s="22">
        <f>MONTH(Table3[[#This Row],[Order Date]])</f>
        <v>12</v>
      </c>
      <c r="E2894" t="s">
        <v>4770</v>
      </c>
      <c r="F2894" t="s">
        <v>4771</v>
      </c>
      <c r="G2894" s="23" t="s">
        <v>41</v>
      </c>
      <c r="H2894" s="23" t="s">
        <v>68</v>
      </c>
      <c r="I2894" t="s">
        <v>668</v>
      </c>
      <c r="J2894" t="s">
        <v>36</v>
      </c>
      <c r="K2894" s="22">
        <v>2</v>
      </c>
      <c r="L2894" s="1">
        <v>43072</v>
      </c>
      <c r="M2894" s="22">
        <f>Table3[[#This Row],[Ship Date]]-Table3[[#This Row],[Order Date]]</f>
        <v>1</v>
      </c>
      <c r="N2894" s="23" t="s">
        <v>1141</v>
      </c>
      <c r="O2894" s="23" t="s">
        <v>23</v>
      </c>
      <c r="P2894" s="23" t="s">
        <v>38</v>
      </c>
      <c r="Q2894" s="23" t="s">
        <v>39</v>
      </c>
      <c r="R2894" s="23" t="s">
        <v>37</v>
      </c>
      <c r="S2894" s="33">
        <v>0.2</v>
      </c>
      <c r="T2894" s="13">
        <v>69.456000000000003</v>
      </c>
      <c r="U2894" s="13">
        <v>22.5732</v>
      </c>
      <c r="V2894" s="55">
        <f>Table3[[#This Row],[Profit]]/Table3[[#This Row],[Sales]]</f>
        <v>0.32500000000000001</v>
      </c>
    </row>
    <row r="2895" spans="1:22" x14ac:dyDescent="0.2">
      <c r="A2895">
        <v>2894</v>
      </c>
      <c r="B2895" t="s">
        <v>4769</v>
      </c>
      <c r="C2895" s="1">
        <v>43071</v>
      </c>
      <c r="D2895" s="22">
        <f>MONTH(Table3[[#This Row],[Order Date]])</f>
        <v>12</v>
      </c>
      <c r="E2895" t="s">
        <v>1267</v>
      </c>
      <c r="F2895" t="s">
        <v>1268</v>
      </c>
      <c r="G2895" s="23" t="s">
        <v>41</v>
      </c>
      <c r="H2895" s="23" t="s">
        <v>82</v>
      </c>
      <c r="I2895" t="s">
        <v>668</v>
      </c>
      <c r="J2895" t="s">
        <v>36</v>
      </c>
      <c r="K2895" s="22">
        <v>2</v>
      </c>
      <c r="L2895" s="1">
        <v>43072</v>
      </c>
      <c r="M2895" s="22">
        <f>Table3[[#This Row],[Ship Date]]-Table3[[#This Row],[Order Date]]</f>
        <v>1</v>
      </c>
      <c r="N2895" s="23" t="s">
        <v>1141</v>
      </c>
      <c r="O2895" s="23" t="s">
        <v>23</v>
      </c>
      <c r="P2895" s="23" t="s">
        <v>38</v>
      </c>
      <c r="Q2895" s="23" t="s">
        <v>39</v>
      </c>
      <c r="R2895" s="23" t="s">
        <v>37</v>
      </c>
      <c r="S2895" s="33">
        <v>0</v>
      </c>
      <c r="T2895" s="13">
        <v>10.86</v>
      </c>
      <c r="U2895" s="13">
        <v>5.3213999999999997</v>
      </c>
      <c r="V2895" s="55">
        <f>Table3[[#This Row],[Profit]]/Table3[[#This Row],[Sales]]</f>
        <v>0.49</v>
      </c>
    </row>
    <row r="2896" spans="1:22" x14ac:dyDescent="0.2">
      <c r="A2896">
        <v>2895</v>
      </c>
      <c r="B2896" t="s">
        <v>4769</v>
      </c>
      <c r="C2896" s="1">
        <v>43071</v>
      </c>
      <c r="D2896" s="22">
        <f>MONTH(Table3[[#This Row],[Order Date]])</f>
        <v>12</v>
      </c>
      <c r="E2896" t="s">
        <v>4606</v>
      </c>
      <c r="F2896" t="s">
        <v>4607</v>
      </c>
      <c r="G2896" s="23" t="s">
        <v>41</v>
      </c>
      <c r="H2896" s="23" t="s">
        <v>71</v>
      </c>
      <c r="I2896" t="s">
        <v>668</v>
      </c>
      <c r="J2896" t="s">
        <v>36</v>
      </c>
      <c r="K2896" s="22">
        <v>3</v>
      </c>
      <c r="L2896" s="1">
        <v>43072</v>
      </c>
      <c r="M2896" s="22">
        <f>Table3[[#This Row],[Ship Date]]-Table3[[#This Row],[Order Date]]</f>
        <v>1</v>
      </c>
      <c r="N2896" s="23" t="s">
        <v>1141</v>
      </c>
      <c r="O2896" s="23" t="s">
        <v>23</v>
      </c>
      <c r="P2896" s="23" t="s">
        <v>38</v>
      </c>
      <c r="Q2896" s="23" t="s">
        <v>39</v>
      </c>
      <c r="R2896" s="23" t="s">
        <v>37</v>
      </c>
      <c r="S2896" s="33">
        <v>0</v>
      </c>
      <c r="T2896" s="13">
        <v>79.47</v>
      </c>
      <c r="U2896" s="13">
        <v>22.2516</v>
      </c>
      <c r="V2896" s="55">
        <f>Table3[[#This Row],[Profit]]/Table3[[#This Row],[Sales]]</f>
        <v>0.28000000000000003</v>
      </c>
    </row>
    <row r="2897" spans="1:22" x14ac:dyDescent="0.2">
      <c r="A2897">
        <v>2896</v>
      </c>
      <c r="B2897" t="s">
        <v>4769</v>
      </c>
      <c r="C2897" s="1">
        <v>43071</v>
      </c>
      <c r="D2897" s="22">
        <f>MONTH(Table3[[#This Row],[Order Date]])</f>
        <v>12</v>
      </c>
      <c r="E2897" t="s">
        <v>257</v>
      </c>
      <c r="F2897" t="s">
        <v>258</v>
      </c>
      <c r="G2897" s="23" t="s">
        <v>41</v>
      </c>
      <c r="H2897" s="23" t="s">
        <v>61</v>
      </c>
      <c r="I2897" t="s">
        <v>668</v>
      </c>
      <c r="J2897" t="s">
        <v>36</v>
      </c>
      <c r="K2897" s="22">
        <v>6</v>
      </c>
      <c r="L2897" s="1">
        <v>43072</v>
      </c>
      <c r="M2897" s="22">
        <f>Table3[[#This Row],[Ship Date]]-Table3[[#This Row],[Order Date]]</f>
        <v>1</v>
      </c>
      <c r="N2897" s="23" t="s">
        <v>1141</v>
      </c>
      <c r="O2897" s="23" t="s">
        <v>23</v>
      </c>
      <c r="P2897" s="23" t="s">
        <v>38</v>
      </c>
      <c r="Q2897" s="23" t="s">
        <v>39</v>
      </c>
      <c r="R2897" s="23" t="s">
        <v>37</v>
      </c>
      <c r="S2897" s="33">
        <v>0</v>
      </c>
      <c r="T2897" s="13">
        <v>10.08</v>
      </c>
      <c r="U2897" s="13">
        <v>5.04</v>
      </c>
      <c r="V2897" s="55">
        <f>Table3[[#This Row],[Profit]]/Table3[[#This Row],[Sales]]</f>
        <v>0.5</v>
      </c>
    </row>
    <row r="2898" spans="1:22" x14ac:dyDescent="0.2">
      <c r="A2898">
        <v>2897</v>
      </c>
      <c r="B2898" t="s">
        <v>4981</v>
      </c>
      <c r="C2898" s="1">
        <v>43071</v>
      </c>
      <c r="D2898" s="22">
        <f>MONTH(Table3[[#This Row],[Order Date]])</f>
        <v>12</v>
      </c>
      <c r="E2898" t="s">
        <v>1618</v>
      </c>
      <c r="F2898" t="s">
        <v>1619</v>
      </c>
      <c r="G2898" s="23" t="s">
        <v>41</v>
      </c>
      <c r="H2898" s="23" t="s">
        <v>68</v>
      </c>
      <c r="I2898" t="s">
        <v>4982</v>
      </c>
      <c r="J2898" t="s">
        <v>92</v>
      </c>
      <c r="K2898" s="22">
        <v>5</v>
      </c>
      <c r="L2898" s="1">
        <v>43075</v>
      </c>
      <c r="M2898" s="22">
        <f>Table3[[#This Row],[Ship Date]]-Table3[[#This Row],[Order Date]]</f>
        <v>4</v>
      </c>
      <c r="N2898" s="23" t="s">
        <v>45</v>
      </c>
      <c r="O2898" s="23" t="s">
        <v>23</v>
      </c>
      <c r="P2898" s="23" t="s">
        <v>48</v>
      </c>
      <c r="Q2898" s="23" t="s">
        <v>26</v>
      </c>
      <c r="R2898" s="23" t="s">
        <v>793</v>
      </c>
      <c r="S2898" s="33">
        <v>0.7</v>
      </c>
      <c r="T2898" s="13">
        <v>45.66</v>
      </c>
      <c r="U2898" s="13">
        <v>-33.484000000000002</v>
      </c>
      <c r="V2898" s="55">
        <f>Table3[[#This Row],[Profit]]/Table3[[#This Row],[Sales]]</f>
        <v>-0.73333333333333339</v>
      </c>
    </row>
    <row r="2899" spans="1:22" x14ac:dyDescent="0.2">
      <c r="A2899">
        <v>2898</v>
      </c>
      <c r="B2899" t="s">
        <v>6801</v>
      </c>
      <c r="C2899" s="1">
        <v>43071</v>
      </c>
      <c r="D2899" s="22">
        <f>MONTH(Table3[[#This Row],[Order Date]])</f>
        <v>12</v>
      </c>
      <c r="E2899" t="s">
        <v>457</v>
      </c>
      <c r="F2899" t="s">
        <v>458</v>
      </c>
      <c r="G2899" s="23" t="s">
        <v>41</v>
      </c>
      <c r="H2899" s="23" t="s">
        <v>68</v>
      </c>
      <c r="I2899" t="s">
        <v>4088</v>
      </c>
      <c r="J2899" t="s">
        <v>22</v>
      </c>
      <c r="K2899" s="22">
        <v>4</v>
      </c>
      <c r="L2899" s="1">
        <v>43078</v>
      </c>
      <c r="M2899" s="22">
        <f>Table3[[#This Row],[Ship Date]]-Table3[[#This Row],[Order Date]]</f>
        <v>7</v>
      </c>
      <c r="N2899" s="23" t="s">
        <v>45</v>
      </c>
      <c r="O2899" s="23" t="s">
        <v>23</v>
      </c>
      <c r="P2899" s="23" t="s">
        <v>132</v>
      </c>
      <c r="Q2899" s="23" t="s">
        <v>133</v>
      </c>
      <c r="R2899" s="23" t="s">
        <v>131</v>
      </c>
      <c r="S2899" s="33">
        <v>0.7</v>
      </c>
      <c r="T2899" s="13">
        <v>631.17600000000004</v>
      </c>
      <c r="U2899" s="13">
        <v>-462.86239999999998</v>
      </c>
      <c r="V2899" s="55">
        <f>Table3[[#This Row],[Profit]]/Table3[[#This Row],[Sales]]</f>
        <v>-0.73333333333333328</v>
      </c>
    </row>
    <row r="2900" spans="1:22" x14ac:dyDescent="0.2">
      <c r="A2900">
        <v>2899</v>
      </c>
      <c r="B2900" t="s">
        <v>7548</v>
      </c>
      <c r="C2900" s="1">
        <v>43071</v>
      </c>
      <c r="D2900" s="22">
        <f>MONTH(Table3[[#This Row],[Order Date]])</f>
        <v>12</v>
      </c>
      <c r="E2900" t="s">
        <v>2223</v>
      </c>
      <c r="F2900" t="s">
        <v>2224</v>
      </c>
      <c r="G2900" s="23" t="s">
        <v>64</v>
      </c>
      <c r="H2900" s="23" t="s">
        <v>65</v>
      </c>
      <c r="I2900" t="s">
        <v>7549</v>
      </c>
      <c r="J2900" t="s">
        <v>22</v>
      </c>
      <c r="K2900" s="22">
        <v>4</v>
      </c>
      <c r="L2900" s="1">
        <v>43075</v>
      </c>
      <c r="M2900" s="22">
        <f>Table3[[#This Row],[Ship Date]]-Table3[[#This Row],[Order Date]]</f>
        <v>4</v>
      </c>
      <c r="N2900" s="23" t="s">
        <v>45</v>
      </c>
      <c r="O2900" s="23" t="s">
        <v>23</v>
      </c>
      <c r="P2900" s="23" t="s">
        <v>124</v>
      </c>
      <c r="Q2900" s="23" t="s">
        <v>95</v>
      </c>
      <c r="R2900" s="23" t="s">
        <v>2226</v>
      </c>
      <c r="S2900" s="33">
        <v>0</v>
      </c>
      <c r="T2900" s="13">
        <v>2479.96</v>
      </c>
      <c r="U2900" s="13">
        <v>743.98800000000006</v>
      </c>
      <c r="V2900" s="55">
        <f>Table3[[#This Row],[Profit]]/Table3[[#This Row],[Sales]]</f>
        <v>0.30000000000000004</v>
      </c>
    </row>
    <row r="2901" spans="1:22" x14ac:dyDescent="0.2">
      <c r="A2901">
        <v>2900</v>
      </c>
      <c r="B2901" t="s">
        <v>8024</v>
      </c>
      <c r="C2901" s="1">
        <v>43071</v>
      </c>
      <c r="D2901" s="22">
        <f>MONTH(Table3[[#This Row],[Order Date]])</f>
        <v>12</v>
      </c>
      <c r="E2901" t="s">
        <v>544</v>
      </c>
      <c r="F2901" t="s">
        <v>545</v>
      </c>
      <c r="G2901" s="23" t="s">
        <v>64</v>
      </c>
      <c r="H2901" s="23" t="s">
        <v>65</v>
      </c>
      <c r="I2901" t="s">
        <v>1355</v>
      </c>
      <c r="J2901" t="s">
        <v>36</v>
      </c>
      <c r="K2901" s="22">
        <v>1</v>
      </c>
      <c r="L2901" s="1">
        <v>43075</v>
      </c>
      <c r="M2901" s="22">
        <f>Table3[[#This Row],[Ship Date]]-Table3[[#This Row],[Order Date]]</f>
        <v>4</v>
      </c>
      <c r="N2901" s="23" t="s">
        <v>45</v>
      </c>
      <c r="O2901" s="23" t="s">
        <v>23</v>
      </c>
      <c r="P2901" s="23" t="s">
        <v>38</v>
      </c>
      <c r="Q2901" s="23" t="s">
        <v>39</v>
      </c>
      <c r="R2901" s="23" t="s">
        <v>2815</v>
      </c>
      <c r="S2901" s="33">
        <v>0.2</v>
      </c>
      <c r="T2901" s="13">
        <v>39.991999999999997</v>
      </c>
      <c r="U2901" s="13">
        <v>-7.9984000000000002</v>
      </c>
      <c r="V2901" s="55">
        <f>Table3[[#This Row],[Profit]]/Table3[[#This Row],[Sales]]</f>
        <v>-0.2</v>
      </c>
    </row>
    <row r="2902" spans="1:22" x14ac:dyDescent="0.2">
      <c r="A2902">
        <v>2901</v>
      </c>
      <c r="B2902" t="s">
        <v>8024</v>
      </c>
      <c r="C2902" s="1">
        <v>43071</v>
      </c>
      <c r="D2902" s="22">
        <f>MONTH(Table3[[#This Row],[Order Date]])</f>
        <v>12</v>
      </c>
      <c r="E2902" t="s">
        <v>6189</v>
      </c>
      <c r="F2902" t="s">
        <v>6190</v>
      </c>
      <c r="G2902" s="23" t="s">
        <v>28</v>
      </c>
      <c r="H2902" s="23" t="s">
        <v>32</v>
      </c>
      <c r="I2902" t="s">
        <v>1355</v>
      </c>
      <c r="J2902" t="s">
        <v>36</v>
      </c>
      <c r="K2902" s="22">
        <v>9</v>
      </c>
      <c r="L2902" s="1">
        <v>43075</v>
      </c>
      <c r="M2902" s="22">
        <f>Table3[[#This Row],[Ship Date]]-Table3[[#This Row],[Order Date]]</f>
        <v>4</v>
      </c>
      <c r="N2902" s="23" t="s">
        <v>45</v>
      </c>
      <c r="O2902" s="23" t="s">
        <v>23</v>
      </c>
      <c r="P2902" s="23" t="s">
        <v>38</v>
      </c>
      <c r="Q2902" s="23" t="s">
        <v>39</v>
      </c>
      <c r="R2902" s="23" t="s">
        <v>2815</v>
      </c>
      <c r="S2902" s="33">
        <v>0.2</v>
      </c>
      <c r="T2902" s="13">
        <v>1159.056</v>
      </c>
      <c r="U2902" s="13">
        <v>43.464599999999997</v>
      </c>
      <c r="V2902" s="55">
        <f>Table3[[#This Row],[Profit]]/Table3[[#This Row],[Sales]]</f>
        <v>3.7499999999999999E-2</v>
      </c>
    </row>
    <row r="2903" spans="1:22" x14ac:dyDescent="0.2">
      <c r="A2903">
        <v>2902</v>
      </c>
      <c r="B2903" t="s">
        <v>8024</v>
      </c>
      <c r="C2903" s="1">
        <v>43071</v>
      </c>
      <c r="D2903" s="22">
        <f>MONTH(Table3[[#This Row],[Order Date]])</f>
        <v>12</v>
      </c>
      <c r="E2903" t="s">
        <v>3137</v>
      </c>
      <c r="F2903" t="s">
        <v>3138</v>
      </c>
      <c r="G2903" s="23" t="s">
        <v>41</v>
      </c>
      <c r="H2903" s="23" t="s">
        <v>61</v>
      </c>
      <c r="I2903" t="s">
        <v>1355</v>
      </c>
      <c r="J2903" t="s">
        <v>36</v>
      </c>
      <c r="K2903" s="22">
        <v>5</v>
      </c>
      <c r="L2903" s="1">
        <v>43075</v>
      </c>
      <c r="M2903" s="22">
        <f>Table3[[#This Row],[Ship Date]]-Table3[[#This Row],[Order Date]]</f>
        <v>4</v>
      </c>
      <c r="N2903" s="23" t="s">
        <v>45</v>
      </c>
      <c r="O2903" s="23" t="s">
        <v>23</v>
      </c>
      <c r="P2903" s="23" t="s">
        <v>38</v>
      </c>
      <c r="Q2903" s="23" t="s">
        <v>39</v>
      </c>
      <c r="R2903" s="23" t="s">
        <v>2815</v>
      </c>
      <c r="S2903" s="33">
        <v>0</v>
      </c>
      <c r="T2903" s="13">
        <v>179.9</v>
      </c>
      <c r="U2903" s="13">
        <v>44.975000000000001</v>
      </c>
      <c r="V2903" s="55">
        <f>Table3[[#This Row],[Profit]]/Table3[[#This Row],[Sales]]</f>
        <v>0.25</v>
      </c>
    </row>
    <row r="2904" spans="1:22" x14ac:dyDescent="0.2">
      <c r="A2904">
        <v>2903</v>
      </c>
      <c r="B2904" t="s">
        <v>8039</v>
      </c>
      <c r="C2904" s="1">
        <v>43071</v>
      </c>
      <c r="D2904" s="22">
        <f>MONTH(Table3[[#This Row],[Order Date]])</f>
        <v>12</v>
      </c>
      <c r="E2904" t="s">
        <v>3992</v>
      </c>
      <c r="F2904" t="s">
        <v>3993</v>
      </c>
      <c r="G2904" s="23" t="s">
        <v>28</v>
      </c>
      <c r="H2904" s="23" t="s">
        <v>32</v>
      </c>
      <c r="I2904" t="s">
        <v>1850</v>
      </c>
      <c r="J2904" t="s">
        <v>22</v>
      </c>
      <c r="K2904" s="22">
        <v>2</v>
      </c>
      <c r="L2904" s="1">
        <v>43074</v>
      </c>
      <c r="M2904" s="22">
        <f>Table3[[#This Row],[Ship Date]]-Table3[[#This Row],[Order Date]]</f>
        <v>3</v>
      </c>
      <c r="N2904" s="23" t="s">
        <v>169</v>
      </c>
      <c r="O2904" s="23" t="s">
        <v>23</v>
      </c>
      <c r="P2904" s="23" t="s">
        <v>285</v>
      </c>
      <c r="Q2904" s="23" t="s">
        <v>26</v>
      </c>
      <c r="R2904" s="23" t="s">
        <v>1744</v>
      </c>
      <c r="S2904" s="33">
        <v>0</v>
      </c>
      <c r="T2904" s="13">
        <v>701.96</v>
      </c>
      <c r="U2904" s="13">
        <v>168.47040000000001</v>
      </c>
      <c r="V2904" s="55">
        <f>Table3[[#This Row],[Profit]]/Table3[[#This Row],[Sales]]</f>
        <v>0.24</v>
      </c>
    </row>
    <row r="2905" spans="1:22" x14ac:dyDescent="0.2">
      <c r="A2905">
        <v>2904</v>
      </c>
      <c r="B2905" t="s">
        <v>8260</v>
      </c>
      <c r="C2905" s="1">
        <v>43071</v>
      </c>
      <c r="D2905" s="22">
        <f>MONTH(Table3[[#This Row],[Order Date]])</f>
        <v>12</v>
      </c>
      <c r="E2905" t="s">
        <v>4619</v>
      </c>
      <c r="F2905" t="s">
        <v>4620</v>
      </c>
      <c r="G2905" s="23" t="s">
        <v>41</v>
      </c>
      <c r="H2905" s="23" t="s">
        <v>61</v>
      </c>
      <c r="I2905" t="s">
        <v>3986</v>
      </c>
      <c r="J2905" t="s">
        <v>36</v>
      </c>
      <c r="K2905" s="22">
        <v>5</v>
      </c>
      <c r="L2905" s="1">
        <v>43078</v>
      </c>
      <c r="M2905" s="22">
        <f>Table3[[#This Row],[Ship Date]]-Table3[[#This Row],[Order Date]]</f>
        <v>7</v>
      </c>
      <c r="N2905" s="23" t="s">
        <v>45</v>
      </c>
      <c r="O2905" s="23" t="s">
        <v>23</v>
      </c>
      <c r="P2905" s="23" t="s">
        <v>94</v>
      </c>
      <c r="Q2905" s="23" t="s">
        <v>95</v>
      </c>
      <c r="R2905" s="23" t="s">
        <v>165</v>
      </c>
      <c r="S2905" s="33">
        <v>0.2</v>
      </c>
      <c r="T2905" s="13">
        <v>12.16</v>
      </c>
      <c r="U2905" s="13">
        <v>2.1280000000000001</v>
      </c>
      <c r="V2905" s="55">
        <f>Table3[[#This Row],[Profit]]/Table3[[#This Row],[Sales]]</f>
        <v>0.17500000000000002</v>
      </c>
    </row>
    <row r="2906" spans="1:22" x14ac:dyDescent="0.2">
      <c r="A2906">
        <v>2905</v>
      </c>
      <c r="B2906" t="s">
        <v>8301</v>
      </c>
      <c r="C2906" s="1">
        <v>43071</v>
      </c>
      <c r="D2906" s="22">
        <f>MONTH(Table3[[#This Row],[Order Date]])</f>
        <v>12</v>
      </c>
      <c r="E2906" t="s">
        <v>3065</v>
      </c>
      <c r="F2906" t="s">
        <v>3066</v>
      </c>
      <c r="G2906" s="23" t="s">
        <v>41</v>
      </c>
      <c r="H2906" s="23" t="s">
        <v>61</v>
      </c>
      <c r="I2906" t="s">
        <v>7606</v>
      </c>
      <c r="J2906" t="s">
        <v>22</v>
      </c>
      <c r="K2906" s="22">
        <v>1</v>
      </c>
      <c r="L2906" s="1">
        <v>43077</v>
      </c>
      <c r="M2906" s="22">
        <f>Table3[[#This Row],[Ship Date]]-Table3[[#This Row],[Order Date]]</f>
        <v>6</v>
      </c>
      <c r="N2906" s="23" t="s">
        <v>45</v>
      </c>
      <c r="O2906" s="23" t="s">
        <v>23</v>
      </c>
      <c r="P2906" s="23" t="s">
        <v>80</v>
      </c>
      <c r="Q2906" s="23" t="s">
        <v>26</v>
      </c>
      <c r="R2906" s="23" t="s">
        <v>3963</v>
      </c>
      <c r="S2906" s="33">
        <v>0.2</v>
      </c>
      <c r="T2906" s="13">
        <v>32.776000000000003</v>
      </c>
      <c r="U2906" s="13">
        <v>2.4582000000000002</v>
      </c>
      <c r="V2906" s="55">
        <f>Table3[[#This Row],[Profit]]/Table3[[#This Row],[Sales]]</f>
        <v>7.4999999999999997E-2</v>
      </c>
    </row>
    <row r="2907" spans="1:22" x14ac:dyDescent="0.2">
      <c r="A2907">
        <v>2906</v>
      </c>
      <c r="B2907" t="s">
        <v>8749</v>
      </c>
      <c r="C2907" s="1">
        <v>43071</v>
      </c>
      <c r="D2907" s="22">
        <f>MONTH(Table3[[#This Row],[Order Date]])</f>
        <v>12</v>
      </c>
      <c r="E2907" t="s">
        <v>1341</v>
      </c>
      <c r="F2907" t="s">
        <v>1342</v>
      </c>
      <c r="G2907" s="23" t="s">
        <v>41</v>
      </c>
      <c r="H2907" s="23" t="s">
        <v>53</v>
      </c>
      <c r="I2907" t="s">
        <v>3783</v>
      </c>
      <c r="J2907" t="s">
        <v>36</v>
      </c>
      <c r="K2907" s="22">
        <v>1</v>
      </c>
      <c r="L2907" s="1">
        <v>43075</v>
      </c>
      <c r="M2907" s="22">
        <f>Table3[[#This Row],[Ship Date]]-Table3[[#This Row],[Order Date]]</f>
        <v>4</v>
      </c>
      <c r="N2907" s="23" t="s">
        <v>45</v>
      </c>
      <c r="O2907" s="23" t="s">
        <v>23</v>
      </c>
      <c r="P2907" s="23" t="s">
        <v>405</v>
      </c>
      <c r="Q2907" s="23" t="s">
        <v>39</v>
      </c>
      <c r="R2907" s="23" t="s">
        <v>711</v>
      </c>
      <c r="S2907" s="33">
        <v>0.2</v>
      </c>
      <c r="T2907" s="13">
        <v>114.288</v>
      </c>
      <c r="U2907" s="13">
        <v>12.8574</v>
      </c>
      <c r="V2907" s="55">
        <f>Table3[[#This Row],[Profit]]/Table3[[#This Row],[Sales]]</f>
        <v>0.1125</v>
      </c>
    </row>
    <row r="2908" spans="1:22" x14ac:dyDescent="0.2">
      <c r="A2908">
        <v>2907</v>
      </c>
      <c r="B2908" t="s">
        <v>8749</v>
      </c>
      <c r="C2908" s="1">
        <v>43071</v>
      </c>
      <c r="D2908" s="22">
        <f>MONTH(Table3[[#This Row],[Order Date]])</f>
        <v>12</v>
      </c>
      <c r="E2908" t="s">
        <v>2708</v>
      </c>
      <c r="F2908" t="s">
        <v>2709</v>
      </c>
      <c r="G2908" s="23" t="s">
        <v>41</v>
      </c>
      <c r="H2908" s="23" t="s">
        <v>68</v>
      </c>
      <c r="I2908" t="s">
        <v>3783</v>
      </c>
      <c r="J2908" t="s">
        <v>36</v>
      </c>
      <c r="K2908" s="22">
        <v>8</v>
      </c>
      <c r="L2908" s="1">
        <v>43075</v>
      </c>
      <c r="M2908" s="22">
        <f>Table3[[#This Row],[Ship Date]]-Table3[[#This Row],[Order Date]]</f>
        <v>4</v>
      </c>
      <c r="N2908" s="23" t="s">
        <v>45</v>
      </c>
      <c r="O2908" s="23" t="s">
        <v>23</v>
      </c>
      <c r="P2908" s="23" t="s">
        <v>405</v>
      </c>
      <c r="Q2908" s="23" t="s">
        <v>39</v>
      </c>
      <c r="R2908" s="23" t="s">
        <v>711</v>
      </c>
      <c r="S2908" s="33">
        <v>0.7</v>
      </c>
      <c r="T2908" s="13">
        <v>36.624000000000002</v>
      </c>
      <c r="U2908" s="13">
        <v>-24.416</v>
      </c>
      <c r="V2908" s="55">
        <f>Table3[[#This Row],[Profit]]/Table3[[#This Row],[Sales]]</f>
        <v>-0.66666666666666663</v>
      </c>
    </row>
    <row r="2909" spans="1:22" x14ac:dyDescent="0.2">
      <c r="A2909">
        <v>2908</v>
      </c>
      <c r="B2909" t="s">
        <v>8749</v>
      </c>
      <c r="C2909" s="1">
        <v>43071</v>
      </c>
      <c r="D2909" s="22">
        <f>MONTH(Table3[[#This Row],[Order Date]])</f>
        <v>12</v>
      </c>
      <c r="E2909" t="s">
        <v>6752</v>
      </c>
      <c r="F2909" t="s">
        <v>6753</v>
      </c>
      <c r="G2909" s="23" t="s">
        <v>28</v>
      </c>
      <c r="H2909" s="23" t="s">
        <v>29</v>
      </c>
      <c r="I2909" t="s">
        <v>3783</v>
      </c>
      <c r="J2909" t="s">
        <v>36</v>
      </c>
      <c r="K2909" s="22">
        <v>8</v>
      </c>
      <c r="L2909" s="1">
        <v>43075</v>
      </c>
      <c r="M2909" s="22">
        <f>Table3[[#This Row],[Ship Date]]-Table3[[#This Row],[Order Date]]</f>
        <v>4</v>
      </c>
      <c r="N2909" s="23" t="s">
        <v>45</v>
      </c>
      <c r="O2909" s="23" t="s">
        <v>23</v>
      </c>
      <c r="P2909" s="23" t="s">
        <v>405</v>
      </c>
      <c r="Q2909" s="23" t="s">
        <v>39</v>
      </c>
      <c r="R2909" s="23" t="s">
        <v>711</v>
      </c>
      <c r="S2909" s="33">
        <v>0.7</v>
      </c>
      <c r="T2909" s="13">
        <v>242.352</v>
      </c>
      <c r="U2909" s="13">
        <v>-363.52800000000002</v>
      </c>
      <c r="V2909" s="55">
        <f>Table3[[#This Row],[Profit]]/Table3[[#This Row],[Sales]]</f>
        <v>-1.5</v>
      </c>
    </row>
    <row r="2910" spans="1:22" x14ac:dyDescent="0.2">
      <c r="A2910">
        <v>2909</v>
      </c>
      <c r="B2910" t="s">
        <v>8749</v>
      </c>
      <c r="C2910" s="1">
        <v>43071</v>
      </c>
      <c r="D2910" s="22">
        <f>MONTH(Table3[[#This Row],[Order Date]])</f>
        <v>12</v>
      </c>
      <c r="E2910" t="s">
        <v>6807</v>
      </c>
      <c r="F2910" t="s">
        <v>6808</v>
      </c>
      <c r="G2910" s="23" t="s">
        <v>64</v>
      </c>
      <c r="H2910" s="23" t="s">
        <v>65</v>
      </c>
      <c r="I2910" t="s">
        <v>3783</v>
      </c>
      <c r="J2910" t="s">
        <v>36</v>
      </c>
      <c r="K2910" s="22">
        <v>2</v>
      </c>
      <c r="L2910" s="1">
        <v>43075</v>
      </c>
      <c r="M2910" s="22">
        <f>Table3[[#This Row],[Ship Date]]-Table3[[#This Row],[Order Date]]</f>
        <v>4</v>
      </c>
      <c r="N2910" s="23" t="s">
        <v>45</v>
      </c>
      <c r="O2910" s="23" t="s">
        <v>23</v>
      </c>
      <c r="P2910" s="23" t="s">
        <v>405</v>
      </c>
      <c r="Q2910" s="23" t="s">
        <v>39</v>
      </c>
      <c r="R2910" s="23" t="s">
        <v>711</v>
      </c>
      <c r="S2910" s="33">
        <v>0.2</v>
      </c>
      <c r="T2910" s="13">
        <v>49.616</v>
      </c>
      <c r="U2910" s="13">
        <v>4.9615999999999998</v>
      </c>
      <c r="V2910" s="55">
        <f>Table3[[#This Row],[Profit]]/Table3[[#This Row],[Sales]]</f>
        <v>9.9999999999999992E-2</v>
      </c>
    </row>
    <row r="2911" spans="1:22" x14ac:dyDescent="0.2">
      <c r="A2911">
        <v>2910</v>
      </c>
      <c r="B2911" t="s">
        <v>8749</v>
      </c>
      <c r="C2911" s="1">
        <v>43071</v>
      </c>
      <c r="D2911" s="22">
        <f>MONTH(Table3[[#This Row],[Order Date]])</f>
        <v>12</v>
      </c>
      <c r="E2911" t="s">
        <v>3722</v>
      </c>
      <c r="F2911" t="s">
        <v>3723</v>
      </c>
      <c r="G2911" s="23" t="s">
        <v>28</v>
      </c>
      <c r="H2911" s="23" t="s">
        <v>58</v>
      </c>
      <c r="I2911" t="s">
        <v>3783</v>
      </c>
      <c r="J2911" t="s">
        <v>36</v>
      </c>
      <c r="K2911" s="22">
        <v>6</v>
      </c>
      <c r="L2911" s="1">
        <v>43075</v>
      </c>
      <c r="M2911" s="22">
        <f>Table3[[#This Row],[Ship Date]]-Table3[[#This Row],[Order Date]]</f>
        <v>4</v>
      </c>
      <c r="N2911" s="23" t="s">
        <v>45</v>
      </c>
      <c r="O2911" s="23" t="s">
        <v>23</v>
      </c>
      <c r="P2911" s="23" t="s">
        <v>405</v>
      </c>
      <c r="Q2911" s="23" t="s">
        <v>39</v>
      </c>
      <c r="R2911" s="23" t="s">
        <v>711</v>
      </c>
      <c r="S2911" s="33">
        <v>0.2</v>
      </c>
      <c r="T2911" s="13">
        <v>508.70400000000001</v>
      </c>
      <c r="U2911" s="13">
        <v>0</v>
      </c>
      <c r="V2911" s="55">
        <f>Table3[[#This Row],[Profit]]/Table3[[#This Row],[Sales]]</f>
        <v>0</v>
      </c>
    </row>
    <row r="2912" spans="1:22" x14ac:dyDescent="0.2">
      <c r="A2912">
        <v>2911</v>
      </c>
      <c r="B2912" t="s">
        <v>8749</v>
      </c>
      <c r="C2912" s="1">
        <v>43071</v>
      </c>
      <c r="D2912" s="22">
        <f>MONTH(Table3[[#This Row],[Order Date]])</f>
        <v>12</v>
      </c>
      <c r="E2912" t="s">
        <v>5058</v>
      </c>
      <c r="F2912" t="s">
        <v>5059</v>
      </c>
      <c r="G2912" s="23" t="s">
        <v>64</v>
      </c>
      <c r="H2912" s="23" t="s">
        <v>65</v>
      </c>
      <c r="I2912" t="s">
        <v>3783</v>
      </c>
      <c r="J2912" t="s">
        <v>36</v>
      </c>
      <c r="K2912" s="22">
        <v>6</v>
      </c>
      <c r="L2912" s="1">
        <v>43075</v>
      </c>
      <c r="M2912" s="22">
        <f>Table3[[#This Row],[Ship Date]]-Table3[[#This Row],[Order Date]]</f>
        <v>4</v>
      </c>
      <c r="N2912" s="23" t="s">
        <v>45</v>
      </c>
      <c r="O2912" s="23" t="s">
        <v>23</v>
      </c>
      <c r="P2912" s="23" t="s">
        <v>405</v>
      </c>
      <c r="Q2912" s="23" t="s">
        <v>39</v>
      </c>
      <c r="R2912" s="23" t="s">
        <v>711</v>
      </c>
      <c r="S2912" s="33">
        <v>0.2</v>
      </c>
      <c r="T2912" s="13">
        <v>57.36</v>
      </c>
      <c r="U2912" s="13">
        <v>-14.34</v>
      </c>
      <c r="V2912" s="55">
        <f>Table3[[#This Row],[Profit]]/Table3[[#This Row],[Sales]]</f>
        <v>-0.25</v>
      </c>
    </row>
    <row r="2913" spans="1:22" x14ac:dyDescent="0.2">
      <c r="A2913">
        <v>2912</v>
      </c>
      <c r="B2913" t="s">
        <v>8749</v>
      </c>
      <c r="C2913" s="1">
        <v>43071</v>
      </c>
      <c r="D2913" s="22">
        <f>MONTH(Table3[[#This Row],[Order Date]])</f>
        <v>12</v>
      </c>
      <c r="E2913" t="s">
        <v>2160</v>
      </c>
      <c r="F2913" t="s">
        <v>2161</v>
      </c>
      <c r="G2913" s="23" t="s">
        <v>28</v>
      </c>
      <c r="H2913" s="23" t="s">
        <v>32</v>
      </c>
      <c r="I2913" t="s">
        <v>3783</v>
      </c>
      <c r="J2913" t="s">
        <v>36</v>
      </c>
      <c r="K2913" s="22">
        <v>5</v>
      </c>
      <c r="L2913" s="1">
        <v>43075</v>
      </c>
      <c r="M2913" s="22">
        <f>Table3[[#This Row],[Ship Date]]-Table3[[#This Row],[Order Date]]</f>
        <v>4</v>
      </c>
      <c r="N2913" s="23" t="s">
        <v>45</v>
      </c>
      <c r="O2913" s="23" t="s">
        <v>23</v>
      </c>
      <c r="P2913" s="23" t="s">
        <v>405</v>
      </c>
      <c r="Q2913" s="23" t="s">
        <v>39</v>
      </c>
      <c r="R2913" s="23" t="s">
        <v>711</v>
      </c>
      <c r="S2913" s="33">
        <v>0.2</v>
      </c>
      <c r="T2913" s="13">
        <v>906.68</v>
      </c>
      <c r="U2913" s="13">
        <v>68.001000000000005</v>
      </c>
      <c r="V2913" s="55">
        <f>Table3[[#This Row],[Profit]]/Table3[[#This Row],[Sales]]</f>
        <v>7.5000000000000011E-2</v>
      </c>
    </row>
    <row r="2914" spans="1:22" x14ac:dyDescent="0.2">
      <c r="A2914">
        <v>2913</v>
      </c>
      <c r="B2914" t="s">
        <v>9374</v>
      </c>
      <c r="C2914" s="1">
        <v>43071</v>
      </c>
      <c r="D2914" s="22">
        <f>MONTH(Table3[[#This Row],[Order Date]])</f>
        <v>12</v>
      </c>
      <c r="E2914" t="s">
        <v>1524</v>
      </c>
      <c r="F2914" t="s">
        <v>1525</v>
      </c>
      <c r="G2914" s="23" t="s">
        <v>41</v>
      </c>
      <c r="H2914" s="23" t="s">
        <v>68</v>
      </c>
      <c r="I2914" t="s">
        <v>4719</v>
      </c>
      <c r="J2914" t="s">
        <v>22</v>
      </c>
      <c r="K2914" s="22">
        <v>6</v>
      </c>
      <c r="L2914" s="1">
        <v>43071</v>
      </c>
      <c r="M2914" s="22">
        <f>Table3[[#This Row],[Ship Date]]-Table3[[#This Row],[Order Date]]</f>
        <v>0</v>
      </c>
      <c r="N2914" s="23" t="s">
        <v>1141</v>
      </c>
      <c r="O2914" s="23" t="s">
        <v>23</v>
      </c>
      <c r="P2914" s="23" t="s">
        <v>277</v>
      </c>
      <c r="Q2914" s="23" t="s">
        <v>39</v>
      </c>
      <c r="R2914" s="23" t="s">
        <v>1223</v>
      </c>
      <c r="S2914" s="33">
        <v>0.7</v>
      </c>
      <c r="T2914" s="13">
        <v>67.86</v>
      </c>
      <c r="U2914" s="13">
        <v>-45.24</v>
      </c>
      <c r="V2914" s="55">
        <f>Table3[[#This Row],[Profit]]/Table3[[#This Row],[Sales]]</f>
        <v>-0.66666666666666674</v>
      </c>
    </row>
    <row r="2915" spans="1:22" x14ac:dyDescent="0.2">
      <c r="A2915">
        <v>2914</v>
      </c>
      <c r="B2915" t="s">
        <v>9562</v>
      </c>
      <c r="C2915" s="1">
        <v>43071</v>
      </c>
      <c r="D2915" s="22">
        <f>MONTH(Table3[[#This Row],[Order Date]])</f>
        <v>12</v>
      </c>
      <c r="E2915" t="s">
        <v>1538</v>
      </c>
      <c r="F2915" t="s">
        <v>1539</v>
      </c>
      <c r="G2915" s="23" t="s">
        <v>41</v>
      </c>
      <c r="H2915" s="23" t="s">
        <v>61</v>
      </c>
      <c r="I2915" t="s">
        <v>197</v>
      </c>
      <c r="J2915" t="s">
        <v>36</v>
      </c>
      <c r="K2915" s="22">
        <v>9</v>
      </c>
      <c r="L2915" s="1">
        <v>43076</v>
      </c>
      <c r="M2915" s="22">
        <f>Table3[[#This Row],[Ship Date]]-Table3[[#This Row],[Order Date]]</f>
        <v>5</v>
      </c>
      <c r="N2915" s="23" t="s">
        <v>45</v>
      </c>
      <c r="O2915" s="23" t="s">
        <v>23</v>
      </c>
      <c r="P2915" s="23" t="s">
        <v>441</v>
      </c>
      <c r="Q2915" s="23" t="s">
        <v>133</v>
      </c>
      <c r="R2915" s="23" t="s">
        <v>990</v>
      </c>
      <c r="S2915" s="33">
        <v>0.2</v>
      </c>
      <c r="T2915" s="13">
        <v>19.728000000000002</v>
      </c>
      <c r="U2915" s="13">
        <v>1.7262</v>
      </c>
      <c r="V2915" s="55">
        <f>Table3[[#This Row],[Profit]]/Table3[[#This Row],[Sales]]</f>
        <v>8.7499999999999994E-2</v>
      </c>
    </row>
    <row r="2916" spans="1:22" x14ac:dyDescent="0.2">
      <c r="A2916">
        <v>2915</v>
      </c>
      <c r="B2916" t="s">
        <v>9562</v>
      </c>
      <c r="C2916" s="1">
        <v>43071</v>
      </c>
      <c r="D2916" s="22">
        <f>MONTH(Table3[[#This Row],[Order Date]])</f>
        <v>12</v>
      </c>
      <c r="E2916" t="s">
        <v>2481</v>
      </c>
      <c r="F2916" t="s">
        <v>5219</v>
      </c>
      <c r="G2916" s="23" t="s">
        <v>64</v>
      </c>
      <c r="H2916" s="23" t="s">
        <v>65</v>
      </c>
      <c r="I2916" t="s">
        <v>197</v>
      </c>
      <c r="J2916" t="s">
        <v>36</v>
      </c>
      <c r="K2916" s="22">
        <v>2</v>
      </c>
      <c r="L2916" s="1">
        <v>43076</v>
      </c>
      <c r="M2916" s="22">
        <f>Table3[[#This Row],[Ship Date]]-Table3[[#This Row],[Order Date]]</f>
        <v>5</v>
      </c>
      <c r="N2916" s="23" t="s">
        <v>45</v>
      </c>
      <c r="O2916" s="23" t="s">
        <v>23</v>
      </c>
      <c r="P2916" s="23" t="s">
        <v>441</v>
      </c>
      <c r="Q2916" s="23" t="s">
        <v>133</v>
      </c>
      <c r="R2916" s="23" t="s">
        <v>990</v>
      </c>
      <c r="S2916" s="33">
        <v>0.4</v>
      </c>
      <c r="T2916" s="13">
        <v>151.18799999999999</v>
      </c>
      <c r="U2916" s="13">
        <v>-25.198</v>
      </c>
      <c r="V2916" s="55">
        <f>Table3[[#This Row],[Profit]]/Table3[[#This Row],[Sales]]</f>
        <v>-0.16666666666666669</v>
      </c>
    </row>
    <row r="2917" spans="1:22" x14ac:dyDescent="0.2">
      <c r="A2917">
        <v>2916</v>
      </c>
      <c r="B2917" t="s">
        <v>10016</v>
      </c>
      <c r="C2917" s="1">
        <v>43071</v>
      </c>
      <c r="D2917" s="22">
        <f>MONTH(Table3[[#This Row],[Order Date]])</f>
        <v>12</v>
      </c>
      <c r="E2917" t="s">
        <v>4972</v>
      </c>
      <c r="F2917" t="s">
        <v>4973</v>
      </c>
      <c r="G2917" s="23" t="s">
        <v>41</v>
      </c>
      <c r="H2917" s="23" t="s">
        <v>71</v>
      </c>
      <c r="I2917" t="s">
        <v>260</v>
      </c>
      <c r="J2917" t="s">
        <v>22</v>
      </c>
      <c r="K2917" s="22">
        <v>7</v>
      </c>
      <c r="L2917" s="1">
        <v>43073</v>
      </c>
      <c r="M2917" s="22">
        <f>Table3[[#This Row],[Ship Date]]-Table3[[#This Row],[Order Date]]</f>
        <v>2</v>
      </c>
      <c r="N2917" s="23" t="s">
        <v>169</v>
      </c>
      <c r="O2917" s="23" t="s">
        <v>23</v>
      </c>
      <c r="P2917" s="23" t="s">
        <v>1101</v>
      </c>
      <c r="Q2917" s="23" t="s">
        <v>133</v>
      </c>
      <c r="R2917" s="23" t="s">
        <v>1100</v>
      </c>
      <c r="S2917" s="33">
        <v>0</v>
      </c>
      <c r="T2917" s="13">
        <v>286.86</v>
      </c>
      <c r="U2917" s="13">
        <v>80.320800000000006</v>
      </c>
      <c r="V2917" s="55">
        <f>Table3[[#This Row],[Profit]]/Table3[[#This Row],[Sales]]</f>
        <v>0.28000000000000003</v>
      </c>
    </row>
    <row r="2918" spans="1:22" x14ac:dyDescent="0.2">
      <c r="A2918">
        <v>2917</v>
      </c>
      <c r="B2918" t="s">
        <v>10016</v>
      </c>
      <c r="C2918" s="1">
        <v>43071</v>
      </c>
      <c r="D2918" s="22">
        <f>MONTH(Table3[[#This Row],[Order Date]])</f>
        <v>12</v>
      </c>
      <c r="E2918" t="s">
        <v>172</v>
      </c>
      <c r="F2918" t="s">
        <v>173</v>
      </c>
      <c r="G2918" s="23" t="s">
        <v>64</v>
      </c>
      <c r="H2918" s="23" t="s">
        <v>65</v>
      </c>
      <c r="I2918" t="s">
        <v>260</v>
      </c>
      <c r="J2918" t="s">
        <v>22</v>
      </c>
      <c r="K2918" s="22">
        <v>5</v>
      </c>
      <c r="L2918" s="1">
        <v>43073</v>
      </c>
      <c r="M2918" s="22">
        <f>Table3[[#This Row],[Ship Date]]-Table3[[#This Row],[Order Date]]</f>
        <v>2</v>
      </c>
      <c r="N2918" s="23" t="s">
        <v>169</v>
      </c>
      <c r="O2918" s="23" t="s">
        <v>23</v>
      </c>
      <c r="P2918" s="23" t="s">
        <v>1101</v>
      </c>
      <c r="Q2918" s="23" t="s">
        <v>133</v>
      </c>
      <c r="R2918" s="23" t="s">
        <v>1100</v>
      </c>
      <c r="S2918" s="33">
        <v>0</v>
      </c>
      <c r="T2918" s="13">
        <v>979.95</v>
      </c>
      <c r="U2918" s="13">
        <v>284.18549999999999</v>
      </c>
      <c r="V2918" s="55">
        <f>Table3[[#This Row],[Profit]]/Table3[[#This Row],[Sales]]</f>
        <v>0.28999999999999998</v>
      </c>
    </row>
    <row r="2919" spans="1:22" x14ac:dyDescent="0.2">
      <c r="A2919">
        <v>2918</v>
      </c>
      <c r="B2919" t="s">
        <v>10016</v>
      </c>
      <c r="C2919" s="1">
        <v>43071</v>
      </c>
      <c r="D2919" s="22">
        <f>MONTH(Table3[[#This Row],[Order Date]])</f>
        <v>12</v>
      </c>
      <c r="E2919" t="s">
        <v>1653</v>
      </c>
      <c r="F2919" t="s">
        <v>1147</v>
      </c>
      <c r="G2919" s="23" t="s">
        <v>41</v>
      </c>
      <c r="H2919" s="23" t="s">
        <v>513</v>
      </c>
      <c r="I2919" t="s">
        <v>260</v>
      </c>
      <c r="J2919" t="s">
        <v>22</v>
      </c>
      <c r="K2919" s="22">
        <v>2</v>
      </c>
      <c r="L2919" s="1">
        <v>43073</v>
      </c>
      <c r="M2919" s="22">
        <f>Table3[[#This Row],[Ship Date]]-Table3[[#This Row],[Order Date]]</f>
        <v>2</v>
      </c>
      <c r="N2919" s="23" t="s">
        <v>169</v>
      </c>
      <c r="O2919" s="23" t="s">
        <v>23</v>
      </c>
      <c r="P2919" s="23" t="s">
        <v>1101</v>
      </c>
      <c r="Q2919" s="23" t="s">
        <v>133</v>
      </c>
      <c r="R2919" s="23" t="s">
        <v>1100</v>
      </c>
      <c r="S2919" s="33">
        <v>0</v>
      </c>
      <c r="T2919" s="13">
        <v>4.3600000000000003</v>
      </c>
      <c r="U2919" s="13">
        <v>0.1744</v>
      </c>
      <c r="V2919" s="55">
        <f>Table3[[#This Row],[Profit]]/Table3[[#This Row],[Sales]]</f>
        <v>3.9999999999999994E-2</v>
      </c>
    </row>
    <row r="2920" spans="1:22" x14ac:dyDescent="0.2">
      <c r="A2920">
        <v>2919</v>
      </c>
      <c r="B2920" t="s">
        <v>4911</v>
      </c>
      <c r="C2920" s="1">
        <v>43072</v>
      </c>
      <c r="D2920" s="22">
        <f>MONTH(Table3[[#This Row],[Order Date]])</f>
        <v>12</v>
      </c>
      <c r="E2920" t="s">
        <v>1060</v>
      </c>
      <c r="F2920" t="s">
        <v>1061</v>
      </c>
      <c r="G2920" s="23" t="s">
        <v>41</v>
      </c>
      <c r="H2920" s="23" t="s">
        <v>68</v>
      </c>
      <c r="I2920" t="s">
        <v>3190</v>
      </c>
      <c r="J2920" t="s">
        <v>22</v>
      </c>
      <c r="K2920" s="22">
        <v>5</v>
      </c>
      <c r="L2920" s="1">
        <v>43078</v>
      </c>
      <c r="M2920" s="22">
        <f>Table3[[#This Row],[Ship Date]]-Table3[[#This Row],[Order Date]]</f>
        <v>6</v>
      </c>
      <c r="N2920" s="23" t="s">
        <v>45</v>
      </c>
      <c r="O2920" s="23" t="s">
        <v>23</v>
      </c>
      <c r="P2920" s="23" t="s">
        <v>238</v>
      </c>
      <c r="Q2920" s="23" t="s">
        <v>133</v>
      </c>
      <c r="R2920" s="23" t="s">
        <v>237</v>
      </c>
      <c r="S2920" s="33">
        <v>0.2</v>
      </c>
      <c r="T2920" s="13">
        <v>83.92</v>
      </c>
      <c r="U2920" s="13">
        <v>29.372</v>
      </c>
      <c r="V2920" s="55">
        <f>Table3[[#This Row],[Profit]]/Table3[[#This Row],[Sales]]</f>
        <v>0.35</v>
      </c>
    </row>
    <row r="2921" spans="1:22" x14ac:dyDescent="0.2">
      <c r="A2921">
        <v>2920</v>
      </c>
      <c r="B2921" t="s">
        <v>4911</v>
      </c>
      <c r="C2921" s="1">
        <v>43072</v>
      </c>
      <c r="D2921" s="22">
        <f>MONTH(Table3[[#This Row],[Order Date]])</f>
        <v>12</v>
      </c>
      <c r="E2921" t="s">
        <v>4784</v>
      </c>
      <c r="F2921" t="s">
        <v>4785</v>
      </c>
      <c r="G2921" s="23" t="s">
        <v>41</v>
      </c>
      <c r="H2921" s="23" t="s">
        <v>68</v>
      </c>
      <c r="I2921" t="s">
        <v>3190</v>
      </c>
      <c r="J2921" t="s">
        <v>22</v>
      </c>
      <c r="K2921" s="22">
        <v>2</v>
      </c>
      <c r="L2921" s="1">
        <v>43078</v>
      </c>
      <c r="M2921" s="22">
        <f>Table3[[#This Row],[Ship Date]]-Table3[[#This Row],[Order Date]]</f>
        <v>6</v>
      </c>
      <c r="N2921" s="23" t="s">
        <v>45</v>
      </c>
      <c r="O2921" s="23" t="s">
        <v>23</v>
      </c>
      <c r="P2921" s="23" t="s">
        <v>238</v>
      </c>
      <c r="Q2921" s="23" t="s">
        <v>133</v>
      </c>
      <c r="R2921" s="23" t="s">
        <v>237</v>
      </c>
      <c r="S2921" s="33">
        <v>0.2</v>
      </c>
      <c r="T2921" s="13">
        <v>14.624000000000001</v>
      </c>
      <c r="U2921" s="13">
        <v>5.1184000000000003</v>
      </c>
      <c r="V2921" s="55">
        <f>Table3[[#This Row],[Profit]]/Table3[[#This Row],[Sales]]</f>
        <v>0.35000000000000003</v>
      </c>
    </row>
    <row r="2922" spans="1:22" x14ac:dyDescent="0.2">
      <c r="A2922">
        <v>2921</v>
      </c>
      <c r="B2922" t="s">
        <v>4911</v>
      </c>
      <c r="C2922" s="1">
        <v>43072</v>
      </c>
      <c r="D2922" s="22">
        <f>MONTH(Table3[[#This Row],[Order Date]])</f>
        <v>12</v>
      </c>
      <c r="E2922" t="s">
        <v>2824</v>
      </c>
      <c r="F2922" t="s">
        <v>2825</v>
      </c>
      <c r="G2922" s="23" t="s">
        <v>64</v>
      </c>
      <c r="H2922" s="23" t="s">
        <v>65</v>
      </c>
      <c r="I2922" t="s">
        <v>3190</v>
      </c>
      <c r="J2922" t="s">
        <v>22</v>
      </c>
      <c r="K2922" s="22">
        <v>1</v>
      </c>
      <c r="L2922" s="1">
        <v>43078</v>
      </c>
      <c r="M2922" s="22">
        <f>Table3[[#This Row],[Ship Date]]-Table3[[#This Row],[Order Date]]</f>
        <v>6</v>
      </c>
      <c r="N2922" s="23" t="s">
        <v>45</v>
      </c>
      <c r="O2922" s="23" t="s">
        <v>23</v>
      </c>
      <c r="P2922" s="23" t="s">
        <v>238</v>
      </c>
      <c r="Q2922" s="23" t="s">
        <v>133</v>
      </c>
      <c r="R2922" s="23" t="s">
        <v>237</v>
      </c>
      <c r="S2922" s="33">
        <v>0</v>
      </c>
      <c r="T2922" s="13">
        <v>136.99</v>
      </c>
      <c r="U2922" s="13">
        <v>36.987299999999998</v>
      </c>
      <c r="V2922" s="55">
        <f>Table3[[#This Row],[Profit]]/Table3[[#This Row],[Sales]]</f>
        <v>0.26999999999999996</v>
      </c>
    </row>
    <row r="2923" spans="1:22" x14ac:dyDescent="0.2">
      <c r="A2923">
        <v>2922</v>
      </c>
      <c r="B2923" t="s">
        <v>4911</v>
      </c>
      <c r="C2923" s="1">
        <v>43072</v>
      </c>
      <c r="D2923" s="22">
        <f>MONTH(Table3[[#This Row],[Order Date]])</f>
        <v>12</v>
      </c>
      <c r="E2923" t="s">
        <v>1372</v>
      </c>
      <c r="F2923" t="s">
        <v>1373</v>
      </c>
      <c r="G2923" s="23" t="s">
        <v>41</v>
      </c>
      <c r="H2923" s="23" t="s">
        <v>42</v>
      </c>
      <c r="I2923" t="s">
        <v>3190</v>
      </c>
      <c r="J2923" t="s">
        <v>22</v>
      </c>
      <c r="K2923" s="22">
        <v>1</v>
      </c>
      <c r="L2923" s="1">
        <v>43078</v>
      </c>
      <c r="M2923" s="22">
        <f>Table3[[#This Row],[Ship Date]]-Table3[[#This Row],[Order Date]]</f>
        <v>6</v>
      </c>
      <c r="N2923" s="23" t="s">
        <v>45</v>
      </c>
      <c r="O2923" s="23" t="s">
        <v>23</v>
      </c>
      <c r="P2923" s="23" t="s">
        <v>238</v>
      </c>
      <c r="Q2923" s="23" t="s">
        <v>133</v>
      </c>
      <c r="R2923" s="23" t="s">
        <v>237</v>
      </c>
      <c r="S2923" s="33">
        <v>0</v>
      </c>
      <c r="T2923" s="13">
        <v>3.15</v>
      </c>
      <c r="U2923" s="13">
        <v>1.512</v>
      </c>
      <c r="V2923" s="55">
        <f>Table3[[#This Row],[Profit]]/Table3[[#This Row],[Sales]]</f>
        <v>0.48000000000000004</v>
      </c>
    </row>
    <row r="2924" spans="1:22" x14ac:dyDescent="0.2">
      <c r="A2924">
        <v>2923</v>
      </c>
      <c r="B2924" t="s">
        <v>5164</v>
      </c>
      <c r="C2924" s="1">
        <v>43072</v>
      </c>
      <c r="D2924" s="22">
        <f>MONTH(Table3[[#This Row],[Order Date]])</f>
        <v>12</v>
      </c>
      <c r="E2924" t="s">
        <v>1532</v>
      </c>
      <c r="F2924" t="s">
        <v>4440</v>
      </c>
      <c r="G2924" s="23" t="s">
        <v>41</v>
      </c>
      <c r="H2924" s="23" t="s">
        <v>82</v>
      </c>
      <c r="I2924" t="s">
        <v>5165</v>
      </c>
      <c r="J2924" t="s">
        <v>22</v>
      </c>
      <c r="K2924" s="22">
        <v>3</v>
      </c>
      <c r="L2924" s="1">
        <v>43072</v>
      </c>
      <c r="M2924" s="22">
        <f>Table3[[#This Row],[Ship Date]]-Table3[[#This Row],[Order Date]]</f>
        <v>0</v>
      </c>
      <c r="N2924" s="23" t="s">
        <v>1141</v>
      </c>
      <c r="O2924" s="23" t="s">
        <v>23</v>
      </c>
      <c r="P2924" s="23" t="s">
        <v>38</v>
      </c>
      <c r="Q2924" s="23" t="s">
        <v>39</v>
      </c>
      <c r="R2924" s="23" t="s">
        <v>836</v>
      </c>
      <c r="S2924" s="33">
        <v>0</v>
      </c>
      <c r="T2924" s="13">
        <v>166.44</v>
      </c>
      <c r="U2924" s="13">
        <v>79.891199999999998</v>
      </c>
      <c r="V2924" s="55">
        <f>Table3[[#This Row],[Profit]]/Table3[[#This Row],[Sales]]</f>
        <v>0.48</v>
      </c>
    </row>
    <row r="2925" spans="1:22" x14ac:dyDescent="0.2">
      <c r="A2925">
        <v>2924</v>
      </c>
      <c r="B2925" t="s">
        <v>5956</v>
      </c>
      <c r="C2925" s="1">
        <v>43072</v>
      </c>
      <c r="D2925" s="22">
        <f>MONTH(Table3[[#This Row],[Order Date]])</f>
        <v>12</v>
      </c>
      <c r="E2925" t="s">
        <v>3010</v>
      </c>
      <c r="F2925" t="s">
        <v>3011</v>
      </c>
      <c r="G2925" s="23" t="s">
        <v>64</v>
      </c>
      <c r="H2925" s="23" t="s">
        <v>144</v>
      </c>
      <c r="I2925" t="s">
        <v>3293</v>
      </c>
      <c r="J2925" t="s">
        <v>22</v>
      </c>
      <c r="K2925" s="22">
        <v>1</v>
      </c>
      <c r="L2925" s="1">
        <v>43074</v>
      </c>
      <c r="M2925" s="22">
        <f>Table3[[#This Row],[Ship Date]]-Table3[[#This Row],[Order Date]]</f>
        <v>2</v>
      </c>
      <c r="N2925" s="23" t="s">
        <v>20</v>
      </c>
      <c r="O2925" s="23" t="s">
        <v>23</v>
      </c>
      <c r="P2925" s="23" t="s">
        <v>48</v>
      </c>
      <c r="Q2925" s="23" t="s">
        <v>26</v>
      </c>
      <c r="R2925" s="23" t="s">
        <v>1345</v>
      </c>
      <c r="S2925" s="33">
        <v>0.2</v>
      </c>
      <c r="T2925" s="13">
        <v>47.991999999999997</v>
      </c>
      <c r="U2925" s="13">
        <v>7.1988000000000003</v>
      </c>
      <c r="V2925" s="55">
        <f>Table3[[#This Row],[Profit]]/Table3[[#This Row],[Sales]]</f>
        <v>0.15000000000000002</v>
      </c>
    </row>
    <row r="2926" spans="1:22" x14ac:dyDescent="0.2">
      <c r="A2926">
        <v>2925</v>
      </c>
      <c r="B2926" t="s">
        <v>6862</v>
      </c>
      <c r="C2926" s="1">
        <v>43072</v>
      </c>
      <c r="D2926" s="22">
        <f>MONTH(Table3[[#This Row],[Order Date]])</f>
        <v>12</v>
      </c>
      <c r="E2926" t="s">
        <v>1884</v>
      </c>
      <c r="F2926" t="s">
        <v>1885</v>
      </c>
      <c r="G2926" s="23" t="s">
        <v>41</v>
      </c>
      <c r="H2926" s="23" t="s">
        <v>71</v>
      </c>
      <c r="I2926" t="s">
        <v>3220</v>
      </c>
      <c r="J2926" t="s">
        <v>22</v>
      </c>
      <c r="K2926" s="22">
        <v>3</v>
      </c>
      <c r="L2926" s="1">
        <v>43079</v>
      </c>
      <c r="M2926" s="22">
        <f>Table3[[#This Row],[Ship Date]]-Table3[[#This Row],[Order Date]]</f>
        <v>7</v>
      </c>
      <c r="N2926" s="23" t="s">
        <v>45</v>
      </c>
      <c r="O2926" s="23" t="s">
        <v>23</v>
      </c>
      <c r="P2926" s="23" t="s">
        <v>80</v>
      </c>
      <c r="Q2926" s="23" t="s">
        <v>26</v>
      </c>
      <c r="R2926" s="23" t="s">
        <v>1509</v>
      </c>
      <c r="S2926" s="33">
        <v>0.2</v>
      </c>
      <c r="T2926" s="13">
        <v>45.216000000000001</v>
      </c>
      <c r="U2926" s="13">
        <v>4.5216000000000003</v>
      </c>
      <c r="V2926" s="55">
        <f>Table3[[#This Row],[Profit]]/Table3[[#This Row],[Sales]]</f>
        <v>0.1</v>
      </c>
    </row>
    <row r="2927" spans="1:22" x14ac:dyDescent="0.2">
      <c r="A2927">
        <v>2926</v>
      </c>
      <c r="B2927" t="s">
        <v>6862</v>
      </c>
      <c r="C2927" s="1">
        <v>43072</v>
      </c>
      <c r="D2927" s="22">
        <f>MONTH(Table3[[#This Row],[Order Date]])</f>
        <v>12</v>
      </c>
      <c r="E2927" t="s">
        <v>5144</v>
      </c>
      <c r="F2927" t="s">
        <v>5145</v>
      </c>
      <c r="G2927" s="23" t="s">
        <v>41</v>
      </c>
      <c r="H2927" s="23" t="s">
        <v>68</v>
      </c>
      <c r="I2927" t="s">
        <v>3220</v>
      </c>
      <c r="J2927" t="s">
        <v>22</v>
      </c>
      <c r="K2927" s="22">
        <v>6</v>
      </c>
      <c r="L2927" s="1">
        <v>43079</v>
      </c>
      <c r="M2927" s="22">
        <f>Table3[[#This Row],[Ship Date]]-Table3[[#This Row],[Order Date]]</f>
        <v>7</v>
      </c>
      <c r="N2927" s="23" t="s">
        <v>45</v>
      </c>
      <c r="O2927" s="23" t="s">
        <v>23</v>
      </c>
      <c r="P2927" s="23" t="s">
        <v>80</v>
      </c>
      <c r="Q2927" s="23" t="s">
        <v>26</v>
      </c>
      <c r="R2927" s="23" t="s">
        <v>1509</v>
      </c>
      <c r="S2927" s="33">
        <v>0.7</v>
      </c>
      <c r="T2927" s="13">
        <v>28.782</v>
      </c>
      <c r="U2927" s="13">
        <v>-21.1068</v>
      </c>
      <c r="V2927" s="55">
        <f>Table3[[#This Row],[Profit]]/Table3[[#This Row],[Sales]]</f>
        <v>-0.73333333333333328</v>
      </c>
    </row>
    <row r="2928" spans="1:22" x14ac:dyDescent="0.2">
      <c r="A2928">
        <v>2927</v>
      </c>
      <c r="B2928" t="s">
        <v>6862</v>
      </c>
      <c r="C2928" s="1">
        <v>43072</v>
      </c>
      <c r="D2928" s="22">
        <f>MONTH(Table3[[#This Row],[Order Date]])</f>
        <v>12</v>
      </c>
      <c r="E2928" t="s">
        <v>2851</v>
      </c>
      <c r="F2928" t="s">
        <v>2852</v>
      </c>
      <c r="G2928" s="23" t="s">
        <v>41</v>
      </c>
      <c r="H2928" s="23" t="s">
        <v>82</v>
      </c>
      <c r="I2928" t="s">
        <v>3220</v>
      </c>
      <c r="J2928" t="s">
        <v>22</v>
      </c>
      <c r="K2928" s="22">
        <v>4</v>
      </c>
      <c r="L2928" s="1">
        <v>43079</v>
      </c>
      <c r="M2928" s="22">
        <f>Table3[[#This Row],[Ship Date]]-Table3[[#This Row],[Order Date]]</f>
        <v>7</v>
      </c>
      <c r="N2928" s="23" t="s">
        <v>45</v>
      </c>
      <c r="O2928" s="23" t="s">
        <v>23</v>
      </c>
      <c r="P2928" s="23" t="s">
        <v>80</v>
      </c>
      <c r="Q2928" s="23" t="s">
        <v>26</v>
      </c>
      <c r="R2928" s="23" t="s">
        <v>1509</v>
      </c>
      <c r="S2928" s="33">
        <v>0.2</v>
      </c>
      <c r="T2928" s="13">
        <v>24.448</v>
      </c>
      <c r="U2928" s="13">
        <v>8.8623999999999992</v>
      </c>
      <c r="V2928" s="55">
        <f>Table3[[#This Row],[Profit]]/Table3[[#This Row],[Sales]]</f>
        <v>0.36249999999999993</v>
      </c>
    </row>
    <row r="2929" spans="1:22" x14ac:dyDescent="0.2">
      <c r="A2929">
        <v>2928</v>
      </c>
      <c r="B2929" t="s">
        <v>6968</v>
      </c>
      <c r="C2929" s="1">
        <v>43072</v>
      </c>
      <c r="D2929" s="22">
        <f>MONTH(Table3[[#This Row],[Order Date]])</f>
        <v>12</v>
      </c>
      <c r="E2929" t="s">
        <v>3356</v>
      </c>
      <c r="F2929" t="s">
        <v>3357</v>
      </c>
      <c r="G2929" s="23" t="s">
        <v>28</v>
      </c>
      <c r="H2929" s="23" t="s">
        <v>50</v>
      </c>
      <c r="I2929" t="s">
        <v>3522</v>
      </c>
      <c r="J2929" t="s">
        <v>92</v>
      </c>
      <c r="K2929" s="22">
        <v>2</v>
      </c>
      <c r="L2929" s="1">
        <v>43076</v>
      </c>
      <c r="M2929" s="22">
        <f>Table3[[#This Row],[Ship Date]]-Table3[[#This Row],[Order Date]]</f>
        <v>4</v>
      </c>
      <c r="N2929" s="23" t="s">
        <v>20</v>
      </c>
      <c r="O2929" s="23" t="s">
        <v>23</v>
      </c>
      <c r="P2929" s="23" t="s">
        <v>87</v>
      </c>
      <c r="Q2929" s="23" t="s">
        <v>39</v>
      </c>
      <c r="R2929" s="23" t="s">
        <v>86</v>
      </c>
      <c r="S2929" s="33">
        <v>0</v>
      </c>
      <c r="T2929" s="13">
        <v>521.96</v>
      </c>
      <c r="U2929" s="13">
        <v>88.733199999999997</v>
      </c>
      <c r="V2929" s="55">
        <f>Table3[[#This Row],[Profit]]/Table3[[#This Row],[Sales]]</f>
        <v>0.16999999999999998</v>
      </c>
    </row>
    <row r="2930" spans="1:22" x14ac:dyDescent="0.2">
      <c r="A2930">
        <v>2929</v>
      </c>
      <c r="B2930" t="s">
        <v>8747</v>
      </c>
      <c r="C2930" s="1">
        <v>43072</v>
      </c>
      <c r="D2930" s="22">
        <f>MONTH(Table3[[#This Row],[Order Date]])</f>
        <v>12</v>
      </c>
      <c r="E2930" t="s">
        <v>8248</v>
      </c>
      <c r="F2930" t="s">
        <v>8249</v>
      </c>
      <c r="G2930" s="23" t="s">
        <v>28</v>
      </c>
      <c r="H2930" s="23" t="s">
        <v>58</v>
      </c>
      <c r="I2930" t="s">
        <v>4656</v>
      </c>
      <c r="J2930" t="s">
        <v>22</v>
      </c>
      <c r="K2930" s="22">
        <v>2</v>
      </c>
      <c r="L2930" s="1">
        <v>43077</v>
      </c>
      <c r="M2930" s="22">
        <f>Table3[[#This Row],[Ship Date]]-Table3[[#This Row],[Order Date]]</f>
        <v>5</v>
      </c>
      <c r="N2930" s="23" t="s">
        <v>45</v>
      </c>
      <c r="O2930" s="23" t="s">
        <v>23</v>
      </c>
      <c r="P2930" s="23" t="s">
        <v>94</v>
      </c>
      <c r="Q2930" s="23" t="s">
        <v>95</v>
      </c>
      <c r="R2930" s="23" t="s">
        <v>165</v>
      </c>
      <c r="S2930" s="33">
        <v>0.6</v>
      </c>
      <c r="T2930" s="13">
        <v>13.592000000000001</v>
      </c>
      <c r="U2930" s="13">
        <v>-14.271599999999999</v>
      </c>
      <c r="V2930" s="55">
        <f>Table3[[#This Row],[Profit]]/Table3[[#This Row],[Sales]]</f>
        <v>-1.0499999999999998</v>
      </c>
    </row>
    <row r="2931" spans="1:22" x14ac:dyDescent="0.2">
      <c r="A2931">
        <v>2930</v>
      </c>
      <c r="B2931" t="s">
        <v>8873</v>
      </c>
      <c r="C2931" s="1">
        <v>43072</v>
      </c>
      <c r="D2931" s="22">
        <f>MONTH(Table3[[#This Row],[Order Date]])</f>
        <v>12</v>
      </c>
      <c r="E2931" t="s">
        <v>4070</v>
      </c>
      <c r="F2931" t="s">
        <v>4071</v>
      </c>
      <c r="G2931" s="23" t="s">
        <v>41</v>
      </c>
      <c r="H2931" s="23" t="s">
        <v>82</v>
      </c>
      <c r="I2931" t="s">
        <v>1097</v>
      </c>
      <c r="J2931" t="s">
        <v>22</v>
      </c>
      <c r="K2931" s="22">
        <v>2</v>
      </c>
      <c r="L2931" s="1">
        <v>43075</v>
      </c>
      <c r="M2931" s="22">
        <f>Table3[[#This Row],[Ship Date]]-Table3[[#This Row],[Order Date]]</f>
        <v>3</v>
      </c>
      <c r="N2931" s="23" t="s">
        <v>169</v>
      </c>
      <c r="O2931" s="23" t="s">
        <v>23</v>
      </c>
      <c r="P2931" s="23" t="s">
        <v>94</v>
      </c>
      <c r="Q2931" s="23" t="s">
        <v>95</v>
      </c>
      <c r="R2931" s="23" t="s">
        <v>3835</v>
      </c>
      <c r="S2931" s="33">
        <v>0.2</v>
      </c>
      <c r="T2931" s="13">
        <v>10.368</v>
      </c>
      <c r="U2931" s="13">
        <v>3.6288</v>
      </c>
      <c r="V2931" s="55">
        <f>Table3[[#This Row],[Profit]]/Table3[[#This Row],[Sales]]</f>
        <v>0.35</v>
      </c>
    </row>
    <row r="2932" spans="1:22" x14ac:dyDescent="0.2">
      <c r="A2932">
        <v>2931</v>
      </c>
      <c r="B2932" t="s">
        <v>8941</v>
      </c>
      <c r="C2932" s="1">
        <v>43072</v>
      </c>
      <c r="D2932" s="22">
        <f>MONTH(Table3[[#This Row],[Order Date]])</f>
        <v>12</v>
      </c>
      <c r="E2932" t="s">
        <v>1540</v>
      </c>
      <c r="F2932" t="s">
        <v>1541</v>
      </c>
      <c r="G2932" s="23" t="s">
        <v>41</v>
      </c>
      <c r="H2932" s="23" t="s">
        <v>61</v>
      </c>
      <c r="I2932" t="s">
        <v>403</v>
      </c>
      <c r="J2932" t="s">
        <v>22</v>
      </c>
      <c r="K2932" s="22">
        <v>6</v>
      </c>
      <c r="L2932" s="1">
        <v>43075</v>
      </c>
      <c r="M2932" s="22">
        <f>Table3[[#This Row],[Ship Date]]-Table3[[#This Row],[Order Date]]</f>
        <v>3</v>
      </c>
      <c r="N2932" s="23" t="s">
        <v>20</v>
      </c>
      <c r="O2932" s="23" t="s">
        <v>23</v>
      </c>
      <c r="P2932" s="23" t="s">
        <v>405</v>
      </c>
      <c r="Q2932" s="23" t="s">
        <v>39</v>
      </c>
      <c r="R2932" s="23" t="s">
        <v>6282</v>
      </c>
      <c r="S2932" s="33">
        <v>0.2</v>
      </c>
      <c r="T2932" s="13">
        <v>13.343999999999999</v>
      </c>
      <c r="U2932" s="13">
        <v>1.0007999999999999</v>
      </c>
      <c r="V2932" s="55">
        <f>Table3[[#This Row],[Profit]]/Table3[[#This Row],[Sales]]</f>
        <v>7.4999999999999997E-2</v>
      </c>
    </row>
    <row r="2933" spans="1:22" x14ac:dyDescent="0.2">
      <c r="A2933">
        <v>2932</v>
      </c>
      <c r="B2933" t="s">
        <v>8941</v>
      </c>
      <c r="C2933" s="1">
        <v>43072</v>
      </c>
      <c r="D2933" s="22">
        <f>MONTH(Table3[[#This Row],[Order Date]])</f>
        <v>12</v>
      </c>
      <c r="E2933" t="s">
        <v>3867</v>
      </c>
      <c r="F2933" t="s">
        <v>3868</v>
      </c>
      <c r="G2933" s="23" t="s">
        <v>64</v>
      </c>
      <c r="H2933" s="23" t="s">
        <v>144</v>
      </c>
      <c r="I2933" t="s">
        <v>403</v>
      </c>
      <c r="J2933" t="s">
        <v>22</v>
      </c>
      <c r="K2933" s="22">
        <v>6</v>
      </c>
      <c r="L2933" s="1">
        <v>43075</v>
      </c>
      <c r="M2933" s="22">
        <f>Table3[[#This Row],[Ship Date]]-Table3[[#This Row],[Order Date]]</f>
        <v>3</v>
      </c>
      <c r="N2933" s="23" t="s">
        <v>20</v>
      </c>
      <c r="O2933" s="23" t="s">
        <v>23</v>
      </c>
      <c r="P2933" s="23" t="s">
        <v>405</v>
      </c>
      <c r="Q2933" s="23" t="s">
        <v>39</v>
      </c>
      <c r="R2933" s="23" t="s">
        <v>6282</v>
      </c>
      <c r="S2933" s="33">
        <v>0.2</v>
      </c>
      <c r="T2933" s="13">
        <v>76.751999999999995</v>
      </c>
      <c r="U2933" s="13">
        <v>10.5534</v>
      </c>
      <c r="V2933" s="55">
        <f>Table3[[#This Row],[Profit]]/Table3[[#This Row],[Sales]]</f>
        <v>0.13750000000000001</v>
      </c>
    </row>
    <row r="2934" spans="1:22" x14ac:dyDescent="0.2">
      <c r="A2934">
        <v>2933</v>
      </c>
      <c r="B2934" t="s">
        <v>8941</v>
      </c>
      <c r="C2934" s="1">
        <v>43072</v>
      </c>
      <c r="D2934" s="22">
        <f>MONTH(Table3[[#This Row],[Order Date]])</f>
        <v>12</v>
      </c>
      <c r="E2934" t="s">
        <v>3867</v>
      </c>
      <c r="F2934" t="s">
        <v>3868</v>
      </c>
      <c r="G2934" s="23" t="s">
        <v>64</v>
      </c>
      <c r="H2934" s="23" t="s">
        <v>144</v>
      </c>
      <c r="I2934" t="s">
        <v>403</v>
      </c>
      <c r="J2934" t="s">
        <v>22</v>
      </c>
      <c r="K2934" s="22">
        <v>8</v>
      </c>
      <c r="L2934" s="1">
        <v>43075</v>
      </c>
      <c r="M2934" s="22">
        <f>Table3[[#This Row],[Ship Date]]-Table3[[#This Row],[Order Date]]</f>
        <v>3</v>
      </c>
      <c r="N2934" s="23" t="s">
        <v>20</v>
      </c>
      <c r="O2934" s="23" t="s">
        <v>23</v>
      </c>
      <c r="P2934" s="23" t="s">
        <v>405</v>
      </c>
      <c r="Q2934" s="23" t="s">
        <v>39</v>
      </c>
      <c r="R2934" s="23" t="s">
        <v>6282</v>
      </c>
      <c r="S2934" s="33">
        <v>0.2</v>
      </c>
      <c r="T2934" s="13">
        <v>102.336</v>
      </c>
      <c r="U2934" s="13">
        <v>14.071199999999999</v>
      </c>
      <c r="V2934" s="55">
        <f>Table3[[#This Row],[Profit]]/Table3[[#This Row],[Sales]]</f>
        <v>0.13749999999999998</v>
      </c>
    </row>
    <row r="2935" spans="1:22" x14ac:dyDescent="0.2">
      <c r="A2935">
        <v>2934</v>
      </c>
      <c r="B2935" t="s">
        <v>8941</v>
      </c>
      <c r="C2935" s="1">
        <v>43072</v>
      </c>
      <c r="D2935" s="22">
        <f>MONTH(Table3[[#This Row],[Order Date]])</f>
        <v>12</v>
      </c>
      <c r="E2935" t="s">
        <v>5188</v>
      </c>
      <c r="F2935" t="s">
        <v>5189</v>
      </c>
      <c r="G2935" s="23" t="s">
        <v>41</v>
      </c>
      <c r="H2935" s="23" t="s">
        <v>82</v>
      </c>
      <c r="I2935" t="s">
        <v>403</v>
      </c>
      <c r="J2935" t="s">
        <v>22</v>
      </c>
      <c r="K2935" s="22">
        <v>2</v>
      </c>
      <c r="L2935" s="1">
        <v>43075</v>
      </c>
      <c r="M2935" s="22">
        <f>Table3[[#This Row],[Ship Date]]-Table3[[#This Row],[Order Date]]</f>
        <v>3</v>
      </c>
      <c r="N2935" s="23" t="s">
        <v>20</v>
      </c>
      <c r="O2935" s="23" t="s">
        <v>23</v>
      </c>
      <c r="P2935" s="23" t="s">
        <v>405</v>
      </c>
      <c r="Q2935" s="23" t="s">
        <v>39</v>
      </c>
      <c r="R2935" s="23" t="s">
        <v>6282</v>
      </c>
      <c r="S2935" s="33">
        <v>0.2</v>
      </c>
      <c r="T2935" s="13">
        <v>10.32</v>
      </c>
      <c r="U2935" s="13">
        <v>3.7410000000000001</v>
      </c>
      <c r="V2935" s="55">
        <f>Table3[[#This Row],[Profit]]/Table3[[#This Row],[Sales]]</f>
        <v>0.36249999999999999</v>
      </c>
    </row>
    <row r="2936" spans="1:22" x14ac:dyDescent="0.2">
      <c r="A2936">
        <v>2935</v>
      </c>
      <c r="B2936" t="s">
        <v>8941</v>
      </c>
      <c r="C2936" s="1">
        <v>43072</v>
      </c>
      <c r="D2936" s="22">
        <f>MONTH(Table3[[#This Row],[Order Date]])</f>
        <v>12</v>
      </c>
      <c r="E2936" t="s">
        <v>6118</v>
      </c>
      <c r="F2936" t="s">
        <v>6119</v>
      </c>
      <c r="G2936" s="23" t="s">
        <v>41</v>
      </c>
      <c r="H2936" s="23" t="s">
        <v>513</v>
      </c>
      <c r="I2936" t="s">
        <v>403</v>
      </c>
      <c r="J2936" t="s">
        <v>22</v>
      </c>
      <c r="K2936" s="22">
        <v>7</v>
      </c>
      <c r="L2936" s="1">
        <v>43075</v>
      </c>
      <c r="M2936" s="22">
        <f>Table3[[#This Row],[Ship Date]]-Table3[[#This Row],[Order Date]]</f>
        <v>3</v>
      </c>
      <c r="N2936" s="23" t="s">
        <v>20</v>
      </c>
      <c r="O2936" s="23" t="s">
        <v>23</v>
      </c>
      <c r="P2936" s="23" t="s">
        <v>405</v>
      </c>
      <c r="Q2936" s="23" t="s">
        <v>39</v>
      </c>
      <c r="R2936" s="23" t="s">
        <v>6282</v>
      </c>
      <c r="S2936" s="33">
        <v>0.2</v>
      </c>
      <c r="T2936" s="13">
        <v>47.32</v>
      </c>
      <c r="U2936" s="13">
        <v>5.915</v>
      </c>
      <c r="V2936" s="55">
        <f>Table3[[#This Row],[Profit]]/Table3[[#This Row],[Sales]]</f>
        <v>0.125</v>
      </c>
    </row>
    <row r="2937" spans="1:22" x14ac:dyDescent="0.2">
      <c r="A2937">
        <v>2936</v>
      </c>
      <c r="B2937" t="s">
        <v>8941</v>
      </c>
      <c r="C2937" s="1">
        <v>43072</v>
      </c>
      <c r="D2937" s="22">
        <f>MONTH(Table3[[#This Row],[Order Date]])</f>
        <v>12</v>
      </c>
      <c r="E2937" t="s">
        <v>813</v>
      </c>
      <c r="F2937" t="s">
        <v>814</v>
      </c>
      <c r="G2937" s="23" t="s">
        <v>28</v>
      </c>
      <c r="H2937" s="23" t="s">
        <v>58</v>
      </c>
      <c r="I2937" t="s">
        <v>403</v>
      </c>
      <c r="J2937" t="s">
        <v>22</v>
      </c>
      <c r="K2937" s="22">
        <v>3</v>
      </c>
      <c r="L2937" s="1">
        <v>43075</v>
      </c>
      <c r="M2937" s="22">
        <f>Table3[[#This Row],[Ship Date]]-Table3[[#This Row],[Order Date]]</f>
        <v>3</v>
      </c>
      <c r="N2937" s="23" t="s">
        <v>20</v>
      </c>
      <c r="O2937" s="23" t="s">
        <v>23</v>
      </c>
      <c r="P2937" s="23" t="s">
        <v>405</v>
      </c>
      <c r="Q2937" s="23" t="s">
        <v>39</v>
      </c>
      <c r="R2937" s="23" t="s">
        <v>6282</v>
      </c>
      <c r="S2937" s="33">
        <v>0.2</v>
      </c>
      <c r="T2937" s="13">
        <v>23.376000000000001</v>
      </c>
      <c r="U2937" s="13">
        <v>7.0128000000000004</v>
      </c>
      <c r="V2937" s="55">
        <f>Table3[[#This Row],[Profit]]/Table3[[#This Row],[Sales]]</f>
        <v>0.3</v>
      </c>
    </row>
    <row r="2938" spans="1:22" x14ac:dyDescent="0.2">
      <c r="A2938">
        <v>2937</v>
      </c>
      <c r="B2938" t="s">
        <v>8941</v>
      </c>
      <c r="C2938" s="1">
        <v>43072</v>
      </c>
      <c r="D2938" s="22">
        <f>MONTH(Table3[[#This Row],[Order Date]])</f>
        <v>12</v>
      </c>
      <c r="E2938" t="s">
        <v>3490</v>
      </c>
      <c r="F2938" t="s">
        <v>3491</v>
      </c>
      <c r="G2938" s="23" t="s">
        <v>28</v>
      </c>
      <c r="H2938" s="23" t="s">
        <v>58</v>
      </c>
      <c r="I2938" t="s">
        <v>403</v>
      </c>
      <c r="J2938" t="s">
        <v>22</v>
      </c>
      <c r="K2938" s="22">
        <v>5</v>
      </c>
      <c r="L2938" s="1">
        <v>43075</v>
      </c>
      <c r="M2938" s="22">
        <f>Table3[[#This Row],[Ship Date]]-Table3[[#This Row],[Order Date]]</f>
        <v>3</v>
      </c>
      <c r="N2938" s="23" t="s">
        <v>20</v>
      </c>
      <c r="O2938" s="23" t="s">
        <v>23</v>
      </c>
      <c r="P2938" s="23" t="s">
        <v>405</v>
      </c>
      <c r="Q2938" s="23" t="s">
        <v>39</v>
      </c>
      <c r="R2938" s="23" t="s">
        <v>6282</v>
      </c>
      <c r="S2938" s="33">
        <v>0.2</v>
      </c>
      <c r="T2938" s="13">
        <v>16.72</v>
      </c>
      <c r="U2938" s="13">
        <v>3.3439999999999999</v>
      </c>
      <c r="V2938" s="55">
        <f>Table3[[#This Row],[Profit]]/Table3[[#This Row],[Sales]]</f>
        <v>0.2</v>
      </c>
    </row>
    <row r="2939" spans="1:22" x14ac:dyDescent="0.2">
      <c r="A2939">
        <v>2938</v>
      </c>
      <c r="B2939" t="s">
        <v>8941</v>
      </c>
      <c r="C2939" s="1">
        <v>43072</v>
      </c>
      <c r="D2939" s="22">
        <f>MONTH(Table3[[#This Row],[Order Date]])</f>
        <v>12</v>
      </c>
      <c r="E2939" t="s">
        <v>6696</v>
      </c>
      <c r="F2939" t="s">
        <v>6697</v>
      </c>
      <c r="G2939" s="23" t="s">
        <v>28</v>
      </c>
      <c r="H2939" s="23" t="s">
        <v>58</v>
      </c>
      <c r="I2939" t="s">
        <v>403</v>
      </c>
      <c r="J2939" t="s">
        <v>22</v>
      </c>
      <c r="K2939" s="22">
        <v>1</v>
      </c>
      <c r="L2939" s="1">
        <v>43075</v>
      </c>
      <c r="M2939" s="22">
        <f>Table3[[#This Row],[Ship Date]]-Table3[[#This Row],[Order Date]]</f>
        <v>3</v>
      </c>
      <c r="N2939" s="23" t="s">
        <v>20</v>
      </c>
      <c r="O2939" s="23" t="s">
        <v>23</v>
      </c>
      <c r="P2939" s="23" t="s">
        <v>405</v>
      </c>
      <c r="Q2939" s="23" t="s">
        <v>39</v>
      </c>
      <c r="R2939" s="23" t="s">
        <v>6282</v>
      </c>
      <c r="S2939" s="33">
        <v>0.2</v>
      </c>
      <c r="T2939" s="13">
        <v>16.192</v>
      </c>
      <c r="U2939" s="13">
        <v>4.6551999999999998</v>
      </c>
      <c r="V2939" s="55">
        <f>Table3[[#This Row],[Profit]]/Table3[[#This Row],[Sales]]</f>
        <v>0.28749999999999998</v>
      </c>
    </row>
    <row r="2940" spans="1:22" x14ac:dyDescent="0.2">
      <c r="A2940">
        <v>2939</v>
      </c>
      <c r="B2940" t="s">
        <v>5185</v>
      </c>
      <c r="C2940" s="1">
        <v>43073</v>
      </c>
      <c r="D2940" s="22">
        <f>MONTH(Table3[[#This Row],[Order Date]])</f>
        <v>12</v>
      </c>
      <c r="E2940" t="s">
        <v>3421</v>
      </c>
      <c r="F2940" t="s">
        <v>1073</v>
      </c>
      <c r="G2940" s="23" t="s">
        <v>41</v>
      </c>
      <c r="H2940" s="23" t="s">
        <v>68</v>
      </c>
      <c r="I2940" t="s">
        <v>2775</v>
      </c>
      <c r="J2940" t="s">
        <v>22</v>
      </c>
      <c r="K2940" s="22">
        <v>3</v>
      </c>
      <c r="L2940" s="1">
        <v>43077</v>
      </c>
      <c r="M2940" s="22">
        <f>Table3[[#This Row],[Ship Date]]-Table3[[#This Row],[Order Date]]</f>
        <v>4</v>
      </c>
      <c r="N2940" s="23" t="s">
        <v>45</v>
      </c>
      <c r="O2940" s="23" t="s">
        <v>23</v>
      </c>
      <c r="P2940" s="23" t="s">
        <v>132</v>
      </c>
      <c r="Q2940" s="23" t="s">
        <v>133</v>
      </c>
      <c r="R2940" s="23" t="s">
        <v>131</v>
      </c>
      <c r="S2940" s="33">
        <v>0.7</v>
      </c>
      <c r="T2940" s="13">
        <v>5.3460000000000001</v>
      </c>
      <c r="U2940" s="13">
        <v>-4.4550000000000001</v>
      </c>
      <c r="V2940" s="55">
        <f>Table3[[#This Row],[Profit]]/Table3[[#This Row],[Sales]]</f>
        <v>-0.83333333333333337</v>
      </c>
    </row>
    <row r="2941" spans="1:22" x14ac:dyDescent="0.2">
      <c r="A2941">
        <v>2940</v>
      </c>
      <c r="B2941" t="s">
        <v>5498</v>
      </c>
      <c r="C2941" s="1">
        <v>43073</v>
      </c>
      <c r="D2941" s="22">
        <f>MONTH(Table3[[#This Row],[Order Date]])</f>
        <v>12</v>
      </c>
      <c r="E2941" t="s">
        <v>5499</v>
      </c>
      <c r="F2941" t="s">
        <v>5500</v>
      </c>
      <c r="G2941" s="23" t="s">
        <v>28</v>
      </c>
      <c r="H2941" s="23" t="s">
        <v>32</v>
      </c>
      <c r="I2941" t="s">
        <v>35</v>
      </c>
      <c r="J2941" t="s">
        <v>36</v>
      </c>
      <c r="K2941" s="22">
        <v>7</v>
      </c>
      <c r="L2941" s="1">
        <v>43073</v>
      </c>
      <c r="M2941" s="22">
        <f>Table3[[#This Row],[Ship Date]]-Table3[[#This Row],[Order Date]]</f>
        <v>0</v>
      </c>
      <c r="N2941" s="23" t="s">
        <v>1141</v>
      </c>
      <c r="O2941" s="23" t="s">
        <v>23</v>
      </c>
      <c r="P2941" s="23" t="s">
        <v>132</v>
      </c>
      <c r="Q2941" s="23" t="s">
        <v>133</v>
      </c>
      <c r="R2941" s="23" t="s">
        <v>131</v>
      </c>
      <c r="S2941" s="33">
        <v>0.3</v>
      </c>
      <c r="T2941" s="13">
        <v>188.55199999999999</v>
      </c>
      <c r="U2941" s="13">
        <v>-2.6936</v>
      </c>
      <c r="V2941" s="55">
        <f>Table3[[#This Row],[Profit]]/Table3[[#This Row],[Sales]]</f>
        <v>-1.4285714285714287E-2</v>
      </c>
    </row>
    <row r="2942" spans="1:22" x14ac:dyDescent="0.2">
      <c r="A2942">
        <v>2941</v>
      </c>
      <c r="B2942" t="s">
        <v>7538</v>
      </c>
      <c r="C2942" s="1">
        <v>43073</v>
      </c>
      <c r="D2942" s="22">
        <f>MONTH(Table3[[#This Row],[Order Date]])</f>
        <v>12</v>
      </c>
      <c r="E2942" t="s">
        <v>3012</v>
      </c>
      <c r="F2942" t="s">
        <v>3013</v>
      </c>
      <c r="G2942" s="23" t="s">
        <v>28</v>
      </c>
      <c r="H2942" s="23" t="s">
        <v>32</v>
      </c>
      <c r="I2942" t="s">
        <v>742</v>
      </c>
      <c r="J2942" t="s">
        <v>36</v>
      </c>
      <c r="K2942" s="22">
        <v>10</v>
      </c>
      <c r="L2942" s="1">
        <v>43078</v>
      </c>
      <c r="M2942" s="22">
        <f>Table3[[#This Row],[Ship Date]]-Table3[[#This Row],[Order Date]]</f>
        <v>5</v>
      </c>
      <c r="N2942" s="23" t="s">
        <v>45</v>
      </c>
      <c r="O2942" s="23" t="s">
        <v>23</v>
      </c>
      <c r="P2942" s="23" t="s">
        <v>132</v>
      </c>
      <c r="Q2942" s="23" t="s">
        <v>133</v>
      </c>
      <c r="R2942" s="23" t="s">
        <v>131</v>
      </c>
      <c r="S2942" s="33">
        <v>0.3</v>
      </c>
      <c r="T2942" s="13">
        <v>239.96</v>
      </c>
      <c r="U2942" s="13">
        <v>-10.284000000000001</v>
      </c>
      <c r="V2942" s="55">
        <f>Table3[[#This Row],[Profit]]/Table3[[#This Row],[Sales]]</f>
        <v>-4.2857142857142858E-2</v>
      </c>
    </row>
    <row r="2943" spans="1:22" x14ac:dyDescent="0.2">
      <c r="A2943">
        <v>2942</v>
      </c>
      <c r="B2943" t="s">
        <v>7538</v>
      </c>
      <c r="C2943" s="1">
        <v>43073</v>
      </c>
      <c r="D2943" s="22">
        <f>MONTH(Table3[[#This Row],[Order Date]])</f>
        <v>12</v>
      </c>
      <c r="E2943" t="s">
        <v>4195</v>
      </c>
      <c r="F2943" t="s">
        <v>4196</v>
      </c>
      <c r="G2943" s="23" t="s">
        <v>28</v>
      </c>
      <c r="H2943" s="23" t="s">
        <v>58</v>
      </c>
      <c r="I2943" t="s">
        <v>742</v>
      </c>
      <c r="J2943" t="s">
        <v>36</v>
      </c>
      <c r="K2943" s="22">
        <v>2</v>
      </c>
      <c r="L2943" s="1">
        <v>43078</v>
      </c>
      <c r="M2943" s="22">
        <f>Table3[[#This Row],[Ship Date]]-Table3[[#This Row],[Order Date]]</f>
        <v>5</v>
      </c>
      <c r="N2943" s="23" t="s">
        <v>45</v>
      </c>
      <c r="O2943" s="23" t="s">
        <v>23</v>
      </c>
      <c r="P2943" s="23" t="s">
        <v>132</v>
      </c>
      <c r="Q2943" s="23" t="s">
        <v>133</v>
      </c>
      <c r="R2943" s="23" t="s">
        <v>131</v>
      </c>
      <c r="S2943" s="33">
        <v>0.2</v>
      </c>
      <c r="T2943" s="13">
        <v>54.768000000000001</v>
      </c>
      <c r="U2943" s="13">
        <v>6.8460000000000001</v>
      </c>
      <c r="V2943" s="55">
        <f>Table3[[#This Row],[Profit]]/Table3[[#This Row],[Sales]]</f>
        <v>0.125</v>
      </c>
    </row>
    <row r="2944" spans="1:22" x14ac:dyDescent="0.2">
      <c r="A2944">
        <v>2943</v>
      </c>
      <c r="B2944" t="s">
        <v>7538</v>
      </c>
      <c r="C2944" s="1">
        <v>43073</v>
      </c>
      <c r="D2944" s="22">
        <f>MONTH(Table3[[#This Row],[Order Date]])</f>
        <v>12</v>
      </c>
      <c r="E2944" t="s">
        <v>2746</v>
      </c>
      <c r="F2944" t="s">
        <v>2747</v>
      </c>
      <c r="G2944" s="23" t="s">
        <v>41</v>
      </c>
      <c r="H2944" s="23" t="s">
        <v>61</v>
      </c>
      <c r="I2944" t="s">
        <v>742</v>
      </c>
      <c r="J2944" t="s">
        <v>36</v>
      </c>
      <c r="K2944" s="22">
        <v>3</v>
      </c>
      <c r="L2944" s="1">
        <v>43078</v>
      </c>
      <c r="M2944" s="22">
        <f>Table3[[#This Row],[Ship Date]]-Table3[[#This Row],[Order Date]]</f>
        <v>5</v>
      </c>
      <c r="N2944" s="23" t="s">
        <v>45</v>
      </c>
      <c r="O2944" s="23" t="s">
        <v>23</v>
      </c>
      <c r="P2944" s="23" t="s">
        <v>132</v>
      </c>
      <c r="Q2944" s="23" t="s">
        <v>133</v>
      </c>
      <c r="R2944" s="23" t="s">
        <v>131</v>
      </c>
      <c r="S2944" s="33">
        <v>0.2</v>
      </c>
      <c r="T2944" s="13">
        <v>13.391999999999999</v>
      </c>
      <c r="U2944" s="13">
        <v>3.1806000000000001</v>
      </c>
      <c r="V2944" s="55">
        <f>Table3[[#This Row],[Profit]]/Table3[[#This Row],[Sales]]</f>
        <v>0.23750000000000002</v>
      </c>
    </row>
    <row r="2945" spans="1:22" x14ac:dyDescent="0.2">
      <c r="A2945">
        <v>2944</v>
      </c>
      <c r="B2945" t="s">
        <v>7538</v>
      </c>
      <c r="C2945" s="1">
        <v>43073</v>
      </c>
      <c r="D2945" s="22">
        <f>MONTH(Table3[[#This Row],[Order Date]])</f>
        <v>12</v>
      </c>
      <c r="E2945" t="s">
        <v>6874</v>
      </c>
      <c r="F2945" t="s">
        <v>6875</v>
      </c>
      <c r="G2945" s="23" t="s">
        <v>41</v>
      </c>
      <c r="H2945" s="23" t="s">
        <v>82</v>
      </c>
      <c r="I2945" t="s">
        <v>742</v>
      </c>
      <c r="J2945" t="s">
        <v>36</v>
      </c>
      <c r="K2945" s="22">
        <v>5</v>
      </c>
      <c r="L2945" s="1">
        <v>43078</v>
      </c>
      <c r="M2945" s="22">
        <f>Table3[[#This Row],[Ship Date]]-Table3[[#This Row],[Order Date]]</f>
        <v>5</v>
      </c>
      <c r="N2945" s="23" t="s">
        <v>45</v>
      </c>
      <c r="O2945" s="23" t="s">
        <v>23</v>
      </c>
      <c r="P2945" s="23" t="s">
        <v>132</v>
      </c>
      <c r="Q2945" s="23" t="s">
        <v>133</v>
      </c>
      <c r="R2945" s="23" t="s">
        <v>131</v>
      </c>
      <c r="S2945" s="33">
        <v>0.2</v>
      </c>
      <c r="T2945" s="13">
        <v>23.92</v>
      </c>
      <c r="U2945" s="13">
        <v>8.6709999999999994</v>
      </c>
      <c r="V2945" s="55">
        <f>Table3[[#This Row],[Profit]]/Table3[[#This Row],[Sales]]</f>
        <v>0.36249999999999993</v>
      </c>
    </row>
    <row r="2946" spans="1:22" x14ac:dyDescent="0.2">
      <c r="A2946">
        <v>2945</v>
      </c>
      <c r="B2946" t="s">
        <v>7538</v>
      </c>
      <c r="C2946" s="1">
        <v>43073</v>
      </c>
      <c r="D2946" s="22">
        <f>MONTH(Table3[[#This Row],[Order Date]])</f>
        <v>12</v>
      </c>
      <c r="E2946" t="s">
        <v>3133</v>
      </c>
      <c r="F2946" t="s">
        <v>3134</v>
      </c>
      <c r="G2946" s="23" t="s">
        <v>64</v>
      </c>
      <c r="H2946" s="23" t="s">
        <v>144</v>
      </c>
      <c r="I2946" t="s">
        <v>742</v>
      </c>
      <c r="J2946" t="s">
        <v>36</v>
      </c>
      <c r="K2946" s="22">
        <v>4</v>
      </c>
      <c r="L2946" s="1">
        <v>43078</v>
      </c>
      <c r="M2946" s="22">
        <f>Table3[[#This Row],[Ship Date]]-Table3[[#This Row],[Order Date]]</f>
        <v>5</v>
      </c>
      <c r="N2946" s="23" t="s">
        <v>45</v>
      </c>
      <c r="O2946" s="23" t="s">
        <v>23</v>
      </c>
      <c r="P2946" s="23" t="s">
        <v>132</v>
      </c>
      <c r="Q2946" s="23" t="s">
        <v>133</v>
      </c>
      <c r="R2946" s="23" t="s">
        <v>131</v>
      </c>
      <c r="S2946" s="33">
        <v>0.2</v>
      </c>
      <c r="T2946" s="13">
        <v>255.96799999999999</v>
      </c>
      <c r="U2946" s="13">
        <v>-28.796399999999998</v>
      </c>
      <c r="V2946" s="55">
        <f>Table3[[#This Row],[Profit]]/Table3[[#This Row],[Sales]]</f>
        <v>-0.1125</v>
      </c>
    </row>
    <row r="2947" spans="1:22" x14ac:dyDescent="0.2">
      <c r="A2947">
        <v>2946</v>
      </c>
      <c r="B2947" t="s">
        <v>7919</v>
      </c>
      <c r="C2947" s="1">
        <v>43073</v>
      </c>
      <c r="D2947" s="22">
        <f>MONTH(Table3[[#This Row],[Order Date]])</f>
        <v>12</v>
      </c>
      <c r="E2947" t="s">
        <v>5268</v>
      </c>
      <c r="F2947" t="s">
        <v>5269</v>
      </c>
      <c r="G2947" s="23" t="s">
        <v>41</v>
      </c>
      <c r="H2947" s="23" t="s">
        <v>53</v>
      </c>
      <c r="I2947" t="s">
        <v>4300</v>
      </c>
      <c r="J2947" t="s">
        <v>22</v>
      </c>
      <c r="K2947" s="22">
        <v>2</v>
      </c>
      <c r="L2947" s="1">
        <v>43078</v>
      </c>
      <c r="M2947" s="22">
        <f>Table3[[#This Row],[Ship Date]]-Table3[[#This Row],[Order Date]]</f>
        <v>5</v>
      </c>
      <c r="N2947" s="23" t="s">
        <v>45</v>
      </c>
      <c r="O2947" s="23" t="s">
        <v>23</v>
      </c>
      <c r="P2947" s="23" t="s">
        <v>189</v>
      </c>
      <c r="Q2947" s="23" t="s">
        <v>95</v>
      </c>
      <c r="R2947" s="23" t="s">
        <v>271</v>
      </c>
      <c r="S2947" s="33">
        <v>0.2</v>
      </c>
      <c r="T2947" s="13">
        <v>61.567999999999998</v>
      </c>
      <c r="U2947" s="13">
        <v>4.6176000000000004</v>
      </c>
      <c r="V2947" s="55">
        <f>Table3[[#This Row],[Profit]]/Table3[[#This Row],[Sales]]</f>
        <v>7.5000000000000011E-2</v>
      </c>
    </row>
    <row r="2948" spans="1:22" x14ac:dyDescent="0.2">
      <c r="A2948">
        <v>2947</v>
      </c>
      <c r="B2948" t="s">
        <v>8173</v>
      </c>
      <c r="C2948" s="1">
        <v>43073</v>
      </c>
      <c r="D2948" s="22">
        <f>MONTH(Table3[[#This Row],[Order Date]])</f>
        <v>12</v>
      </c>
      <c r="E2948" t="s">
        <v>3637</v>
      </c>
      <c r="F2948" t="s">
        <v>3638</v>
      </c>
      <c r="G2948" s="23" t="s">
        <v>41</v>
      </c>
      <c r="H2948" s="23" t="s">
        <v>61</v>
      </c>
      <c r="I2948" t="s">
        <v>1763</v>
      </c>
      <c r="J2948" t="s">
        <v>22</v>
      </c>
      <c r="K2948" s="22">
        <v>5</v>
      </c>
      <c r="L2948" s="1">
        <v>43077</v>
      </c>
      <c r="M2948" s="22">
        <f>Table3[[#This Row],[Ship Date]]-Table3[[#This Row],[Order Date]]</f>
        <v>4</v>
      </c>
      <c r="N2948" s="23" t="s">
        <v>45</v>
      </c>
      <c r="O2948" s="23" t="s">
        <v>23</v>
      </c>
      <c r="P2948" s="23" t="s">
        <v>204</v>
      </c>
      <c r="Q2948" s="23" t="s">
        <v>95</v>
      </c>
      <c r="R2948" s="23" t="s">
        <v>347</v>
      </c>
      <c r="S2948" s="33">
        <v>0</v>
      </c>
      <c r="T2948" s="13">
        <v>8.8000000000000007</v>
      </c>
      <c r="U2948" s="13">
        <v>2.552</v>
      </c>
      <c r="V2948" s="55">
        <f>Table3[[#This Row],[Profit]]/Table3[[#This Row],[Sales]]</f>
        <v>0.28999999999999998</v>
      </c>
    </row>
    <row r="2949" spans="1:22" x14ac:dyDescent="0.2">
      <c r="A2949">
        <v>2948</v>
      </c>
      <c r="B2949" t="s">
        <v>8173</v>
      </c>
      <c r="C2949" s="1">
        <v>43073</v>
      </c>
      <c r="D2949" s="22">
        <f>MONTH(Table3[[#This Row],[Order Date]])</f>
        <v>12</v>
      </c>
      <c r="E2949" t="s">
        <v>8028</v>
      </c>
      <c r="F2949" t="s">
        <v>8029</v>
      </c>
      <c r="G2949" s="23" t="s">
        <v>64</v>
      </c>
      <c r="H2949" s="23" t="s">
        <v>144</v>
      </c>
      <c r="I2949" t="s">
        <v>1763</v>
      </c>
      <c r="J2949" t="s">
        <v>22</v>
      </c>
      <c r="K2949" s="22">
        <v>1</v>
      </c>
      <c r="L2949" s="1">
        <v>43077</v>
      </c>
      <c r="M2949" s="22">
        <f>Table3[[#This Row],[Ship Date]]-Table3[[#This Row],[Order Date]]</f>
        <v>4</v>
      </c>
      <c r="N2949" s="23" t="s">
        <v>45</v>
      </c>
      <c r="O2949" s="23" t="s">
        <v>23</v>
      </c>
      <c r="P2949" s="23" t="s">
        <v>204</v>
      </c>
      <c r="Q2949" s="23" t="s">
        <v>95</v>
      </c>
      <c r="R2949" s="23" t="s">
        <v>347</v>
      </c>
      <c r="S2949" s="33">
        <v>0</v>
      </c>
      <c r="T2949" s="13">
        <v>142.80000000000001</v>
      </c>
      <c r="U2949" s="13">
        <v>29.988</v>
      </c>
      <c r="V2949" s="55">
        <f>Table3[[#This Row],[Profit]]/Table3[[#This Row],[Sales]]</f>
        <v>0.21</v>
      </c>
    </row>
    <row r="2950" spans="1:22" x14ac:dyDescent="0.2">
      <c r="A2950">
        <v>2949</v>
      </c>
      <c r="B2950" t="s">
        <v>8173</v>
      </c>
      <c r="C2950" s="1">
        <v>43073</v>
      </c>
      <c r="D2950" s="22">
        <f>MONTH(Table3[[#This Row],[Order Date]])</f>
        <v>12</v>
      </c>
      <c r="E2950" t="s">
        <v>6283</v>
      </c>
      <c r="F2950" t="s">
        <v>6284</v>
      </c>
      <c r="G2950" s="23" t="s">
        <v>64</v>
      </c>
      <c r="H2950" s="23" t="s">
        <v>144</v>
      </c>
      <c r="I2950" t="s">
        <v>1763</v>
      </c>
      <c r="J2950" t="s">
        <v>22</v>
      </c>
      <c r="K2950" s="22">
        <v>5</v>
      </c>
      <c r="L2950" s="1">
        <v>43077</v>
      </c>
      <c r="M2950" s="22">
        <f>Table3[[#This Row],[Ship Date]]-Table3[[#This Row],[Order Date]]</f>
        <v>4</v>
      </c>
      <c r="N2950" s="23" t="s">
        <v>45</v>
      </c>
      <c r="O2950" s="23" t="s">
        <v>23</v>
      </c>
      <c r="P2950" s="23" t="s">
        <v>204</v>
      </c>
      <c r="Q2950" s="23" t="s">
        <v>95</v>
      </c>
      <c r="R2950" s="23" t="s">
        <v>347</v>
      </c>
      <c r="S2950" s="33">
        <v>0</v>
      </c>
      <c r="T2950" s="13">
        <v>399.95</v>
      </c>
      <c r="U2950" s="13">
        <v>143.982</v>
      </c>
      <c r="V2950" s="55">
        <f>Table3[[#This Row],[Profit]]/Table3[[#This Row],[Sales]]</f>
        <v>0.36</v>
      </c>
    </row>
    <row r="2951" spans="1:22" x14ac:dyDescent="0.2">
      <c r="A2951">
        <v>2950</v>
      </c>
      <c r="B2951" t="s">
        <v>8623</v>
      </c>
      <c r="C2951" s="1">
        <v>43073</v>
      </c>
      <c r="D2951" s="22">
        <f>MONTH(Table3[[#This Row],[Order Date]])</f>
        <v>12</v>
      </c>
      <c r="E2951" t="s">
        <v>8624</v>
      </c>
      <c r="F2951" t="s">
        <v>8306</v>
      </c>
      <c r="G2951" s="23" t="s">
        <v>64</v>
      </c>
      <c r="H2951" s="23" t="s">
        <v>602</v>
      </c>
      <c r="I2951" t="s">
        <v>1757</v>
      </c>
      <c r="J2951" t="s">
        <v>22</v>
      </c>
      <c r="K2951" s="22">
        <v>2</v>
      </c>
      <c r="L2951" s="1">
        <v>43078</v>
      </c>
      <c r="M2951" s="22">
        <f>Table3[[#This Row],[Ship Date]]-Table3[[#This Row],[Order Date]]</f>
        <v>5</v>
      </c>
      <c r="N2951" s="23" t="s">
        <v>45</v>
      </c>
      <c r="O2951" s="23" t="s">
        <v>23</v>
      </c>
      <c r="P2951" s="23" t="s">
        <v>299</v>
      </c>
      <c r="Q2951" s="23" t="s">
        <v>26</v>
      </c>
      <c r="R2951" s="23" t="s">
        <v>5035</v>
      </c>
      <c r="S2951" s="33">
        <v>0.5</v>
      </c>
      <c r="T2951" s="13">
        <v>649</v>
      </c>
      <c r="U2951" s="13">
        <v>-272.58</v>
      </c>
      <c r="V2951" s="55">
        <f>Table3[[#This Row],[Profit]]/Table3[[#This Row],[Sales]]</f>
        <v>-0.42</v>
      </c>
    </row>
    <row r="2952" spans="1:22" x14ac:dyDescent="0.2">
      <c r="A2952">
        <v>2951</v>
      </c>
      <c r="B2952" t="s">
        <v>8680</v>
      </c>
      <c r="C2952" s="1">
        <v>43073</v>
      </c>
      <c r="D2952" s="22">
        <f>MONTH(Table3[[#This Row],[Order Date]])</f>
        <v>12</v>
      </c>
      <c r="E2952" t="s">
        <v>4163</v>
      </c>
      <c r="F2952" t="s">
        <v>4164</v>
      </c>
      <c r="G2952" s="23" t="s">
        <v>41</v>
      </c>
      <c r="H2952" s="23" t="s">
        <v>82</v>
      </c>
      <c r="I2952" t="s">
        <v>2943</v>
      </c>
      <c r="J2952" t="s">
        <v>22</v>
      </c>
      <c r="K2952" s="22">
        <v>3</v>
      </c>
      <c r="L2952" s="1">
        <v>43076</v>
      </c>
      <c r="M2952" s="22">
        <f>Table3[[#This Row],[Ship Date]]-Table3[[#This Row],[Order Date]]</f>
        <v>3</v>
      </c>
      <c r="N2952" s="23" t="s">
        <v>20</v>
      </c>
      <c r="O2952" s="23" t="s">
        <v>23</v>
      </c>
      <c r="P2952" s="23" t="s">
        <v>441</v>
      </c>
      <c r="Q2952" s="23" t="s">
        <v>133</v>
      </c>
      <c r="R2952" s="23" t="s">
        <v>659</v>
      </c>
      <c r="S2952" s="33">
        <v>0.2</v>
      </c>
      <c r="T2952" s="13">
        <v>74.352000000000004</v>
      </c>
      <c r="U2952" s="13">
        <v>23.234999999999999</v>
      </c>
      <c r="V2952" s="55">
        <f>Table3[[#This Row],[Profit]]/Table3[[#This Row],[Sales]]</f>
        <v>0.3125</v>
      </c>
    </row>
    <row r="2953" spans="1:22" x14ac:dyDescent="0.2">
      <c r="A2953">
        <v>2952</v>
      </c>
      <c r="B2953" t="s">
        <v>9220</v>
      </c>
      <c r="C2953" s="1">
        <v>43073</v>
      </c>
      <c r="D2953" s="22">
        <f>MONTH(Table3[[#This Row],[Order Date]])</f>
        <v>12</v>
      </c>
      <c r="E2953" t="s">
        <v>3532</v>
      </c>
      <c r="F2953" t="s">
        <v>3533</v>
      </c>
      <c r="G2953" s="23" t="s">
        <v>41</v>
      </c>
      <c r="H2953" s="23" t="s">
        <v>82</v>
      </c>
      <c r="I2953" t="s">
        <v>2128</v>
      </c>
      <c r="J2953" t="s">
        <v>36</v>
      </c>
      <c r="K2953" s="22">
        <v>2</v>
      </c>
      <c r="L2953" s="1">
        <v>43075</v>
      </c>
      <c r="M2953" s="22">
        <f>Table3[[#This Row],[Ship Date]]-Table3[[#This Row],[Order Date]]</f>
        <v>2</v>
      </c>
      <c r="N2953" s="23" t="s">
        <v>169</v>
      </c>
      <c r="O2953" s="23" t="s">
        <v>23</v>
      </c>
      <c r="P2953" s="23" t="s">
        <v>38</v>
      </c>
      <c r="Q2953" s="23" t="s">
        <v>39</v>
      </c>
      <c r="R2953" s="23" t="s">
        <v>37</v>
      </c>
      <c r="S2953" s="33">
        <v>0</v>
      </c>
      <c r="T2953" s="13">
        <v>11.76</v>
      </c>
      <c r="U2953" s="13">
        <v>5.7624000000000004</v>
      </c>
      <c r="V2953" s="55">
        <f>Table3[[#This Row],[Profit]]/Table3[[#This Row],[Sales]]</f>
        <v>0.49000000000000005</v>
      </c>
    </row>
    <row r="2954" spans="1:22" x14ac:dyDescent="0.2">
      <c r="A2954">
        <v>2953</v>
      </c>
      <c r="B2954" t="s">
        <v>9300</v>
      </c>
      <c r="C2954" s="1">
        <v>43073</v>
      </c>
      <c r="D2954" s="22">
        <f>MONTH(Table3[[#This Row],[Order Date]])</f>
        <v>12</v>
      </c>
      <c r="E2954" t="s">
        <v>8816</v>
      </c>
      <c r="F2954" t="s">
        <v>8817</v>
      </c>
      <c r="G2954" s="23" t="s">
        <v>28</v>
      </c>
      <c r="H2954" s="23" t="s">
        <v>58</v>
      </c>
      <c r="I2954" t="s">
        <v>7752</v>
      </c>
      <c r="J2954" t="s">
        <v>22</v>
      </c>
      <c r="K2954" s="22">
        <v>1</v>
      </c>
      <c r="L2954" s="1">
        <v>43079</v>
      </c>
      <c r="M2954" s="22">
        <f>Table3[[#This Row],[Ship Date]]-Table3[[#This Row],[Order Date]]</f>
        <v>6</v>
      </c>
      <c r="N2954" s="23" t="s">
        <v>45</v>
      </c>
      <c r="O2954" s="23" t="s">
        <v>23</v>
      </c>
      <c r="P2954" s="23" t="s">
        <v>695</v>
      </c>
      <c r="Q2954" s="23" t="s">
        <v>133</v>
      </c>
      <c r="R2954" s="23" t="s">
        <v>4273</v>
      </c>
      <c r="S2954" s="33">
        <v>0</v>
      </c>
      <c r="T2954" s="13">
        <v>12.99</v>
      </c>
      <c r="U2954" s="13">
        <v>1.5588</v>
      </c>
      <c r="V2954" s="55">
        <f>Table3[[#This Row],[Profit]]/Table3[[#This Row],[Sales]]</f>
        <v>0.12</v>
      </c>
    </row>
    <row r="2955" spans="1:22" x14ac:dyDescent="0.2">
      <c r="A2955">
        <v>2954</v>
      </c>
      <c r="B2955" t="s">
        <v>9300</v>
      </c>
      <c r="C2955" s="1">
        <v>43073</v>
      </c>
      <c r="D2955" s="22">
        <f>MONTH(Table3[[#This Row],[Order Date]])</f>
        <v>12</v>
      </c>
      <c r="E2955" t="s">
        <v>620</v>
      </c>
      <c r="F2955" t="s">
        <v>621</v>
      </c>
      <c r="G2955" s="23" t="s">
        <v>28</v>
      </c>
      <c r="H2955" s="23" t="s">
        <v>32</v>
      </c>
      <c r="I2955" t="s">
        <v>7752</v>
      </c>
      <c r="J2955" t="s">
        <v>22</v>
      </c>
      <c r="K2955" s="22">
        <v>3</v>
      </c>
      <c r="L2955" s="1">
        <v>43079</v>
      </c>
      <c r="M2955" s="22">
        <f>Table3[[#This Row],[Ship Date]]-Table3[[#This Row],[Order Date]]</f>
        <v>6</v>
      </c>
      <c r="N2955" s="23" t="s">
        <v>45</v>
      </c>
      <c r="O2955" s="23" t="s">
        <v>23</v>
      </c>
      <c r="P2955" s="23" t="s">
        <v>695</v>
      </c>
      <c r="Q2955" s="23" t="s">
        <v>133</v>
      </c>
      <c r="R2955" s="23" t="s">
        <v>4273</v>
      </c>
      <c r="S2955" s="33">
        <v>0</v>
      </c>
      <c r="T2955" s="13">
        <v>182.22</v>
      </c>
      <c r="U2955" s="13">
        <v>45.555</v>
      </c>
      <c r="V2955" s="55">
        <f>Table3[[#This Row],[Profit]]/Table3[[#This Row],[Sales]]</f>
        <v>0.25</v>
      </c>
    </row>
    <row r="2956" spans="1:22" x14ac:dyDescent="0.2">
      <c r="A2956">
        <v>2955</v>
      </c>
      <c r="B2956" t="s">
        <v>9300</v>
      </c>
      <c r="C2956" s="1">
        <v>43073</v>
      </c>
      <c r="D2956" s="22">
        <f>MONTH(Table3[[#This Row],[Order Date]])</f>
        <v>12</v>
      </c>
      <c r="E2956" t="s">
        <v>784</v>
      </c>
      <c r="F2956" t="s">
        <v>785</v>
      </c>
      <c r="G2956" s="23" t="s">
        <v>28</v>
      </c>
      <c r="H2956" s="23" t="s">
        <v>32</v>
      </c>
      <c r="I2956" t="s">
        <v>7752</v>
      </c>
      <c r="J2956" t="s">
        <v>22</v>
      </c>
      <c r="K2956" s="22">
        <v>3</v>
      </c>
      <c r="L2956" s="1">
        <v>43079</v>
      </c>
      <c r="M2956" s="22">
        <f>Table3[[#This Row],[Ship Date]]-Table3[[#This Row],[Order Date]]</f>
        <v>6</v>
      </c>
      <c r="N2956" s="23" t="s">
        <v>45</v>
      </c>
      <c r="O2956" s="23" t="s">
        <v>23</v>
      </c>
      <c r="P2956" s="23" t="s">
        <v>695</v>
      </c>
      <c r="Q2956" s="23" t="s">
        <v>133</v>
      </c>
      <c r="R2956" s="23" t="s">
        <v>4273</v>
      </c>
      <c r="S2956" s="33">
        <v>0</v>
      </c>
      <c r="T2956" s="13">
        <v>302.94</v>
      </c>
      <c r="U2956" s="13">
        <v>18.176400000000001</v>
      </c>
      <c r="V2956" s="55">
        <f>Table3[[#This Row],[Profit]]/Table3[[#This Row],[Sales]]</f>
        <v>6.0000000000000005E-2</v>
      </c>
    </row>
    <row r="2957" spans="1:22" x14ac:dyDescent="0.2">
      <c r="A2957">
        <v>2956</v>
      </c>
      <c r="B2957" t="s">
        <v>9625</v>
      </c>
      <c r="C2957" s="1">
        <v>43073</v>
      </c>
      <c r="D2957" s="22">
        <f>MONTH(Table3[[#This Row],[Order Date]])</f>
        <v>12</v>
      </c>
      <c r="E2957" t="s">
        <v>1003</v>
      </c>
      <c r="F2957" t="s">
        <v>1004</v>
      </c>
      <c r="G2957" s="23" t="s">
        <v>28</v>
      </c>
      <c r="H2957" s="23" t="s">
        <v>58</v>
      </c>
      <c r="I2957" t="s">
        <v>6265</v>
      </c>
      <c r="J2957" t="s">
        <v>36</v>
      </c>
      <c r="K2957" s="22">
        <v>3</v>
      </c>
      <c r="L2957" s="1">
        <v>43074</v>
      </c>
      <c r="M2957" s="22">
        <f>Table3[[#This Row],[Ship Date]]-Table3[[#This Row],[Order Date]]</f>
        <v>1</v>
      </c>
      <c r="N2957" s="23" t="s">
        <v>169</v>
      </c>
      <c r="O2957" s="23" t="s">
        <v>23</v>
      </c>
      <c r="P2957" s="23" t="s">
        <v>132</v>
      </c>
      <c r="Q2957" s="23" t="s">
        <v>133</v>
      </c>
      <c r="R2957" s="23" t="s">
        <v>131</v>
      </c>
      <c r="S2957" s="33">
        <v>0.2</v>
      </c>
      <c r="T2957" s="13">
        <v>11.352</v>
      </c>
      <c r="U2957" s="13">
        <v>2.6960999999999999</v>
      </c>
      <c r="V2957" s="55">
        <f>Table3[[#This Row],[Profit]]/Table3[[#This Row],[Sales]]</f>
        <v>0.23749999999999999</v>
      </c>
    </row>
    <row r="2958" spans="1:22" x14ac:dyDescent="0.2">
      <c r="A2958">
        <v>2957</v>
      </c>
      <c r="B2958" t="s">
        <v>1932</v>
      </c>
      <c r="C2958" s="1">
        <v>43074</v>
      </c>
      <c r="D2958" s="22">
        <f>MONTH(Table3[[#This Row],[Order Date]])</f>
        <v>12</v>
      </c>
      <c r="E2958" t="s">
        <v>1934</v>
      </c>
      <c r="F2958" t="s">
        <v>1935</v>
      </c>
      <c r="G2958" s="23" t="s">
        <v>41</v>
      </c>
      <c r="H2958" s="23" t="s">
        <v>71</v>
      </c>
      <c r="I2958" t="s">
        <v>1933</v>
      </c>
      <c r="J2958" t="s">
        <v>22</v>
      </c>
      <c r="K2958" s="22">
        <v>3</v>
      </c>
      <c r="L2958" s="1">
        <v>43077</v>
      </c>
      <c r="M2958" s="22">
        <f>Table3[[#This Row],[Ship Date]]-Table3[[#This Row],[Order Date]]</f>
        <v>3</v>
      </c>
      <c r="N2958" s="23" t="s">
        <v>169</v>
      </c>
      <c r="O2958" s="23" t="s">
        <v>23</v>
      </c>
      <c r="P2958" s="23" t="s">
        <v>226</v>
      </c>
      <c r="Q2958" s="23" t="s">
        <v>95</v>
      </c>
      <c r="R2958" s="23" t="s">
        <v>440</v>
      </c>
      <c r="S2958" s="33">
        <v>0</v>
      </c>
      <c r="T2958" s="13">
        <v>61.44</v>
      </c>
      <c r="U2958" s="13">
        <v>16.588799999999999</v>
      </c>
      <c r="V2958" s="55">
        <f>Table3[[#This Row],[Profit]]/Table3[[#This Row],[Sales]]</f>
        <v>0.27</v>
      </c>
    </row>
    <row r="2959" spans="1:22" x14ac:dyDescent="0.2">
      <c r="A2959">
        <v>2958</v>
      </c>
      <c r="B2959" t="s">
        <v>1932</v>
      </c>
      <c r="C2959" s="1">
        <v>43074</v>
      </c>
      <c r="D2959" s="22">
        <f>MONTH(Table3[[#This Row],[Order Date]])</f>
        <v>12</v>
      </c>
      <c r="E2959" t="s">
        <v>1936</v>
      </c>
      <c r="F2959" t="s">
        <v>1937</v>
      </c>
      <c r="G2959" s="23" t="s">
        <v>41</v>
      </c>
      <c r="H2959" s="23" t="s">
        <v>82</v>
      </c>
      <c r="I2959" t="s">
        <v>1933</v>
      </c>
      <c r="J2959" t="s">
        <v>22</v>
      </c>
      <c r="K2959" s="22">
        <v>5</v>
      </c>
      <c r="L2959" s="1">
        <v>43077</v>
      </c>
      <c r="M2959" s="22">
        <f>Table3[[#This Row],[Ship Date]]-Table3[[#This Row],[Order Date]]</f>
        <v>3</v>
      </c>
      <c r="N2959" s="23" t="s">
        <v>169</v>
      </c>
      <c r="O2959" s="23" t="s">
        <v>23</v>
      </c>
      <c r="P2959" s="23" t="s">
        <v>226</v>
      </c>
      <c r="Q2959" s="23" t="s">
        <v>95</v>
      </c>
      <c r="R2959" s="23" t="s">
        <v>440</v>
      </c>
      <c r="S2959" s="33">
        <v>0</v>
      </c>
      <c r="T2959" s="13">
        <v>38.9</v>
      </c>
      <c r="U2959" s="13">
        <v>17.504999999999999</v>
      </c>
      <c r="V2959" s="55">
        <f>Table3[[#This Row],[Profit]]/Table3[[#This Row],[Sales]]</f>
        <v>0.45</v>
      </c>
    </row>
    <row r="2960" spans="1:22" x14ac:dyDescent="0.2">
      <c r="A2960">
        <v>2959</v>
      </c>
      <c r="B2960" t="s">
        <v>1932</v>
      </c>
      <c r="C2960" s="1">
        <v>43074</v>
      </c>
      <c r="D2960" s="22">
        <f>MONTH(Table3[[#This Row],[Order Date]])</f>
        <v>12</v>
      </c>
      <c r="E2960" t="s">
        <v>800</v>
      </c>
      <c r="F2960" t="s">
        <v>1581</v>
      </c>
      <c r="G2960" s="23" t="s">
        <v>64</v>
      </c>
      <c r="H2960" s="23" t="s">
        <v>144</v>
      </c>
      <c r="I2960" t="s">
        <v>1933</v>
      </c>
      <c r="J2960" t="s">
        <v>22</v>
      </c>
      <c r="K2960" s="22">
        <v>3</v>
      </c>
      <c r="L2960" s="1">
        <v>43077</v>
      </c>
      <c r="M2960" s="22">
        <f>Table3[[#This Row],[Ship Date]]-Table3[[#This Row],[Order Date]]</f>
        <v>3</v>
      </c>
      <c r="N2960" s="23" t="s">
        <v>169</v>
      </c>
      <c r="O2960" s="23" t="s">
        <v>23</v>
      </c>
      <c r="P2960" s="23" t="s">
        <v>226</v>
      </c>
      <c r="Q2960" s="23" t="s">
        <v>95</v>
      </c>
      <c r="R2960" s="23" t="s">
        <v>440</v>
      </c>
      <c r="S2960" s="33">
        <v>0</v>
      </c>
      <c r="T2960" s="13">
        <v>99.39</v>
      </c>
      <c r="U2960" s="13">
        <v>40.749899999999997</v>
      </c>
      <c r="V2960" s="55">
        <f>Table3[[#This Row],[Profit]]/Table3[[#This Row],[Sales]]</f>
        <v>0.41</v>
      </c>
    </row>
    <row r="2961" spans="1:22" x14ac:dyDescent="0.2">
      <c r="A2961">
        <v>2960</v>
      </c>
      <c r="B2961" t="s">
        <v>4229</v>
      </c>
      <c r="C2961" s="1">
        <v>43074</v>
      </c>
      <c r="D2961" s="22">
        <f>MONTH(Table3[[#This Row],[Order Date]])</f>
        <v>12</v>
      </c>
      <c r="E2961" t="s">
        <v>1169</v>
      </c>
      <c r="F2961" t="s">
        <v>1170</v>
      </c>
      <c r="G2961" s="23" t="s">
        <v>41</v>
      </c>
      <c r="H2961" s="23" t="s">
        <v>82</v>
      </c>
      <c r="I2961" t="s">
        <v>1969</v>
      </c>
      <c r="J2961" t="s">
        <v>22</v>
      </c>
      <c r="K2961" s="22">
        <v>3</v>
      </c>
      <c r="L2961" s="1">
        <v>43076</v>
      </c>
      <c r="M2961" s="22">
        <f>Table3[[#This Row],[Ship Date]]-Table3[[#This Row],[Order Date]]</f>
        <v>2</v>
      </c>
      <c r="N2961" s="23" t="s">
        <v>20</v>
      </c>
      <c r="O2961" s="23" t="s">
        <v>23</v>
      </c>
      <c r="P2961" s="23" t="s">
        <v>38</v>
      </c>
      <c r="Q2961" s="23" t="s">
        <v>39</v>
      </c>
      <c r="R2961" s="23" t="s">
        <v>836</v>
      </c>
      <c r="S2961" s="33">
        <v>0</v>
      </c>
      <c r="T2961" s="13">
        <v>92.94</v>
      </c>
      <c r="U2961" s="13">
        <v>41.823</v>
      </c>
      <c r="V2961" s="55">
        <f>Table3[[#This Row],[Profit]]/Table3[[#This Row],[Sales]]</f>
        <v>0.45</v>
      </c>
    </row>
    <row r="2962" spans="1:22" x14ac:dyDescent="0.2">
      <c r="A2962">
        <v>2961</v>
      </c>
      <c r="B2962" t="s">
        <v>4616</v>
      </c>
      <c r="C2962" s="1">
        <v>43074</v>
      </c>
      <c r="D2962" s="22">
        <f>MONTH(Table3[[#This Row],[Order Date]])</f>
        <v>12</v>
      </c>
      <c r="E2962" t="s">
        <v>2844</v>
      </c>
      <c r="F2962" t="s">
        <v>2845</v>
      </c>
      <c r="G2962" s="23" t="s">
        <v>64</v>
      </c>
      <c r="H2962" s="23" t="s">
        <v>144</v>
      </c>
      <c r="I2962" t="s">
        <v>3182</v>
      </c>
      <c r="J2962" t="s">
        <v>36</v>
      </c>
      <c r="K2962" s="22">
        <v>7</v>
      </c>
      <c r="L2962" s="1">
        <v>43079</v>
      </c>
      <c r="M2962" s="22">
        <f>Table3[[#This Row],[Ship Date]]-Table3[[#This Row],[Order Date]]</f>
        <v>5</v>
      </c>
      <c r="N2962" s="23" t="s">
        <v>45</v>
      </c>
      <c r="O2962" s="23" t="s">
        <v>23</v>
      </c>
      <c r="P2962" s="23" t="s">
        <v>4617</v>
      </c>
      <c r="Q2962" s="23" t="s">
        <v>133</v>
      </c>
      <c r="R2962" s="23" t="s">
        <v>1957</v>
      </c>
      <c r="S2962" s="33">
        <v>0</v>
      </c>
      <c r="T2962" s="13">
        <v>205.03</v>
      </c>
      <c r="U2962" s="13">
        <v>67.659899999999993</v>
      </c>
      <c r="V2962" s="55">
        <f>Table3[[#This Row],[Profit]]/Table3[[#This Row],[Sales]]</f>
        <v>0.32999999999999996</v>
      </c>
    </row>
    <row r="2963" spans="1:22" x14ac:dyDescent="0.2">
      <c r="A2963">
        <v>2962</v>
      </c>
      <c r="B2963" t="s">
        <v>5707</v>
      </c>
      <c r="C2963" s="1">
        <v>43074</v>
      </c>
      <c r="D2963" s="22">
        <f>MONTH(Table3[[#This Row],[Order Date]])</f>
        <v>12</v>
      </c>
      <c r="E2963" t="s">
        <v>57</v>
      </c>
      <c r="F2963" t="s">
        <v>59</v>
      </c>
      <c r="G2963" s="23" t="s">
        <v>28</v>
      </c>
      <c r="H2963" s="23" t="s">
        <v>58</v>
      </c>
      <c r="I2963" t="s">
        <v>3108</v>
      </c>
      <c r="J2963" t="s">
        <v>36</v>
      </c>
      <c r="K2963" s="22">
        <v>3</v>
      </c>
      <c r="L2963" s="1">
        <v>43080</v>
      </c>
      <c r="M2963" s="22">
        <f>Table3[[#This Row],[Ship Date]]-Table3[[#This Row],[Order Date]]</f>
        <v>6</v>
      </c>
      <c r="N2963" s="23" t="s">
        <v>45</v>
      </c>
      <c r="O2963" s="23" t="s">
        <v>23</v>
      </c>
      <c r="P2963" s="23" t="s">
        <v>238</v>
      </c>
      <c r="Q2963" s="23" t="s">
        <v>133</v>
      </c>
      <c r="R2963" s="23" t="s">
        <v>237</v>
      </c>
      <c r="S2963" s="33">
        <v>0</v>
      </c>
      <c r="T2963" s="13">
        <v>20.94</v>
      </c>
      <c r="U2963" s="13">
        <v>6.0726000000000004</v>
      </c>
      <c r="V2963" s="55">
        <f>Table3[[#This Row],[Profit]]/Table3[[#This Row],[Sales]]</f>
        <v>0.28999999999999998</v>
      </c>
    </row>
    <row r="2964" spans="1:22" x14ac:dyDescent="0.2">
      <c r="A2964">
        <v>2963</v>
      </c>
      <c r="B2964" t="s">
        <v>5707</v>
      </c>
      <c r="C2964" s="1">
        <v>43074</v>
      </c>
      <c r="D2964" s="22">
        <f>MONTH(Table3[[#This Row],[Order Date]])</f>
        <v>12</v>
      </c>
      <c r="E2964" t="s">
        <v>537</v>
      </c>
      <c r="F2964" t="s">
        <v>538</v>
      </c>
      <c r="G2964" s="23" t="s">
        <v>28</v>
      </c>
      <c r="H2964" s="23" t="s">
        <v>58</v>
      </c>
      <c r="I2964" t="s">
        <v>3108</v>
      </c>
      <c r="J2964" t="s">
        <v>36</v>
      </c>
      <c r="K2964" s="22">
        <v>2</v>
      </c>
      <c r="L2964" s="1">
        <v>43080</v>
      </c>
      <c r="M2964" s="22">
        <f>Table3[[#This Row],[Ship Date]]-Table3[[#This Row],[Order Date]]</f>
        <v>6</v>
      </c>
      <c r="N2964" s="23" t="s">
        <v>45</v>
      </c>
      <c r="O2964" s="23" t="s">
        <v>23</v>
      </c>
      <c r="P2964" s="23" t="s">
        <v>238</v>
      </c>
      <c r="Q2964" s="23" t="s">
        <v>133</v>
      </c>
      <c r="R2964" s="23" t="s">
        <v>237</v>
      </c>
      <c r="S2964" s="33">
        <v>0</v>
      </c>
      <c r="T2964" s="13">
        <v>58.68</v>
      </c>
      <c r="U2964" s="13">
        <v>18.190799999999999</v>
      </c>
      <c r="V2964" s="55">
        <f>Table3[[#This Row],[Profit]]/Table3[[#This Row],[Sales]]</f>
        <v>0.31</v>
      </c>
    </row>
    <row r="2965" spans="1:22" x14ac:dyDescent="0.2">
      <c r="A2965">
        <v>2964</v>
      </c>
      <c r="B2965" t="s">
        <v>5707</v>
      </c>
      <c r="C2965" s="1">
        <v>43074</v>
      </c>
      <c r="D2965" s="22">
        <f>MONTH(Table3[[#This Row],[Order Date]])</f>
        <v>12</v>
      </c>
      <c r="E2965" t="s">
        <v>1625</v>
      </c>
      <c r="F2965" t="s">
        <v>1626</v>
      </c>
      <c r="G2965" s="23" t="s">
        <v>41</v>
      </c>
      <c r="H2965" s="23" t="s">
        <v>71</v>
      </c>
      <c r="I2965" t="s">
        <v>3108</v>
      </c>
      <c r="J2965" t="s">
        <v>36</v>
      </c>
      <c r="K2965" s="22">
        <v>5</v>
      </c>
      <c r="L2965" s="1">
        <v>43080</v>
      </c>
      <c r="M2965" s="22">
        <f>Table3[[#This Row],[Ship Date]]-Table3[[#This Row],[Order Date]]</f>
        <v>6</v>
      </c>
      <c r="N2965" s="23" t="s">
        <v>45</v>
      </c>
      <c r="O2965" s="23" t="s">
        <v>23</v>
      </c>
      <c r="P2965" s="23" t="s">
        <v>238</v>
      </c>
      <c r="Q2965" s="23" t="s">
        <v>133</v>
      </c>
      <c r="R2965" s="23" t="s">
        <v>237</v>
      </c>
      <c r="S2965" s="33">
        <v>0</v>
      </c>
      <c r="T2965" s="13">
        <v>254.9</v>
      </c>
      <c r="U2965" s="13">
        <v>68.822999999999993</v>
      </c>
      <c r="V2965" s="55">
        <f>Table3[[#This Row],[Profit]]/Table3[[#This Row],[Sales]]</f>
        <v>0.26999999999999996</v>
      </c>
    </row>
    <row r="2966" spans="1:22" x14ac:dyDescent="0.2">
      <c r="A2966">
        <v>2965</v>
      </c>
      <c r="B2966" t="s">
        <v>5927</v>
      </c>
      <c r="C2966" s="1">
        <v>43074</v>
      </c>
      <c r="D2966" s="22">
        <f>MONTH(Table3[[#This Row],[Order Date]])</f>
        <v>12</v>
      </c>
      <c r="E2966" t="s">
        <v>4876</v>
      </c>
      <c r="F2966" t="s">
        <v>4877</v>
      </c>
      <c r="G2966" s="23" t="s">
        <v>41</v>
      </c>
      <c r="H2966" s="23" t="s">
        <v>68</v>
      </c>
      <c r="I2966" t="s">
        <v>1976</v>
      </c>
      <c r="J2966" t="s">
        <v>22</v>
      </c>
      <c r="K2966" s="22">
        <v>3</v>
      </c>
      <c r="L2966" s="1">
        <v>43078</v>
      </c>
      <c r="M2966" s="22">
        <f>Table3[[#This Row],[Ship Date]]-Table3[[#This Row],[Order Date]]</f>
        <v>4</v>
      </c>
      <c r="N2966" s="23" t="s">
        <v>45</v>
      </c>
      <c r="O2966" s="23" t="s">
        <v>23</v>
      </c>
      <c r="P2966" s="23" t="s">
        <v>87</v>
      </c>
      <c r="Q2966" s="23" t="s">
        <v>39</v>
      </c>
      <c r="R2966" s="23" t="s">
        <v>3636</v>
      </c>
      <c r="S2966" s="33">
        <v>0.2</v>
      </c>
      <c r="T2966" s="13">
        <v>24.815999999999999</v>
      </c>
      <c r="U2966" s="13">
        <v>8.3754000000000008</v>
      </c>
      <c r="V2966" s="55">
        <f>Table3[[#This Row],[Profit]]/Table3[[#This Row],[Sales]]</f>
        <v>0.33750000000000002</v>
      </c>
    </row>
    <row r="2967" spans="1:22" x14ac:dyDescent="0.2">
      <c r="A2967">
        <v>2966</v>
      </c>
      <c r="B2967" t="s">
        <v>5927</v>
      </c>
      <c r="C2967" s="1">
        <v>43074</v>
      </c>
      <c r="D2967" s="22">
        <f>MONTH(Table3[[#This Row],[Order Date]])</f>
        <v>12</v>
      </c>
      <c r="E2967" t="s">
        <v>2563</v>
      </c>
      <c r="F2967" t="s">
        <v>2564</v>
      </c>
      <c r="G2967" s="23" t="s">
        <v>41</v>
      </c>
      <c r="H2967" s="23" t="s">
        <v>68</v>
      </c>
      <c r="I2967" t="s">
        <v>1976</v>
      </c>
      <c r="J2967" t="s">
        <v>22</v>
      </c>
      <c r="K2967" s="22">
        <v>6</v>
      </c>
      <c r="L2967" s="1">
        <v>43078</v>
      </c>
      <c r="M2967" s="22">
        <f>Table3[[#This Row],[Ship Date]]-Table3[[#This Row],[Order Date]]</f>
        <v>4</v>
      </c>
      <c r="N2967" s="23" t="s">
        <v>45</v>
      </c>
      <c r="O2967" s="23" t="s">
        <v>23</v>
      </c>
      <c r="P2967" s="23" t="s">
        <v>87</v>
      </c>
      <c r="Q2967" s="23" t="s">
        <v>39</v>
      </c>
      <c r="R2967" s="23" t="s">
        <v>3636</v>
      </c>
      <c r="S2967" s="33">
        <v>0.2</v>
      </c>
      <c r="T2967" s="13">
        <v>14.976000000000001</v>
      </c>
      <c r="U2967" s="13">
        <v>5.4287999999999998</v>
      </c>
      <c r="V2967" s="55">
        <f>Table3[[#This Row],[Profit]]/Table3[[#This Row],[Sales]]</f>
        <v>0.36249999999999999</v>
      </c>
    </row>
    <row r="2968" spans="1:22" x14ac:dyDescent="0.2">
      <c r="A2968">
        <v>2967</v>
      </c>
      <c r="B2968" t="s">
        <v>8643</v>
      </c>
      <c r="C2968" s="1">
        <v>43074</v>
      </c>
      <c r="D2968" s="22">
        <f>MONTH(Table3[[#This Row],[Order Date]])</f>
        <v>12</v>
      </c>
      <c r="E2968" t="s">
        <v>428</v>
      </c>
      <c r="F2968" t="s">
        <v>429</v>
      </c>
      <c r="G2968" s="23" t="s">
        <v>28</v>
      </c>
      <c r="H2968" s="23" t="s">
        <v>58</v>
      </c>
      <c r="I2968" t="s">
        <v>1725</v>
      </c>
      <c r="J2968" t="s">
        <v>22</v>
      </c>
      <c r="K2968" s="22">
        <v>2</v>
      </c>
      <c r="L2968" s="1">
        <v>43077</v>
      </c>
      <c r="M2968" s="22">
        <f>Table3[[#This Row],[Ship Date]]-Table3[[#This Row],[Order Date]]</f>
        <v>3</v>
      </c>
      <c r="N2968" s="23" t="s">
        <v>169</v>
      </c>
      <c r="O2968" s="23" t="s">
        <v>23</v>
      </c>
      <c r="P2968" s="23" t="s">
        <v>238</v>
      </c>
      <c r="Q2968" s="23" t="s">
        <v>133</v>
      </c>
      <c r="R2968" s="23" t="s">
        <v>237</v>
      </c>
      <c r="S2968" s="33">
        <v>0</v>
      </c>
      <c r="T2968" s="13">
        <v>41.96</v>
      </c>
      <c r="U2968" s="13">
        <v>10.909599999999999</v>
      </c>
      <c r="V2968" s="55">
        <f>Table3[[#This Row],[Profit]]/Table3[[#This Row],[Sales]]</f>
        <v>0.25999999999999995</v>
      </c>
    </row>
    <row r="2969" spans="1:22" x14ac:dyDescent="0.2">
      <c r="A2969">
        <v>2968</v>
      </c>
      <c r="B2969" t="s">
        <v>8643</v>
      </c>
      <c r="C2969" s="1">
        <v>43074</v>
      </c>
      <c r="D2969" s="22">
        <f>MONTH(Table3[[#This Row],[Order Date]])</f>
        <v>12</v>
      </c>
      <c r="E2969" t="s">
        <v>1273</v>
      </c>
      <c r="F2969" t="s">
        <v>1274</v>
      </c>
      <c r="G2969" s="23" t="s">
        <v>41</v>
      </c>
      <c r="H2969" s="23" t="s">
        <v>42</v>
      </c>
      <c r="I2969" t="s">
        <v>1725</v>
      </c>
      <c r="J2969" t="s">
        <v>22</v>
      </c>
      <c r="K2969" s="22">
        <v>3</v>
      </c>
      <c r="L2969" s="1">
        <v>43077</v>
      </c>
      <c r="M2969" s="22">
        <f>Table3[[#This Row],[Ship Date]]-Table3[[#This Row],[Order Date]]</f>
        <v>3</v>
      </c>
      <c r="N2969" s="23" t="s">
        <v>169</v>
      </c>
      <c r="O2969" s="23" t="s">
        <v>23</v>
      </c>
      <c r="P2969" s="23" t="s">
        <v>238</v>
      </c>
      <c r="Q2969" s="23" t="s">
        <v>133</v>
      </c>
      <c r="R2969" s="23" t="s">
        <v>237</v>
      </c>
      <c r="S2969" s="33">
        <v>0</v>
      </c>
      <c r="T2969" s="13">
        <v>9.4499999999999993</v>
      </c>
      <c r="U2969" s="13">
        <v>4.5359999999999996</v>
      </c>
      <c r="V2969" s="55">
        <f>Table3[[#This Row],[Profit]]/Table3[[#This Row],[Sales]]</f>
        <v>0.48</v>
      </c>
    </row>
    <row r="2970" spans="1:22" x14ac:dyDescent="0.2">
      <c r="A2970">
        <v>2969</v>
      </c>
      <c r="B2970" t="s">
        <v>9894</v>
      </c>
      <c r="C2970" s="1">
        <v>43074</v>
      </c>
      <c r="D2970" s="22">
        <f>MONTH(Table3[[#This Row],[Order Date]])</f>
        <v>12</v>
      </c>
      <c r="E2970" t="s">
        <v>1060</v>
      </c>
      <c r="F2970" t="s">
        <v>1061</v>
      </c>
      <c r="G2970" s="23" t="s">
        <v>41</v>
      </c>
      <c r="H2970" s="23" t="s">
        <v>68</v>
      </c>
      <c r="I2970" t="s">
        <v>4540</v>
      </c>
      <c r="J2970" t="s">
        <v>92</v>
      </c>
      <c r="K2970" s="22">
        <v>5</v>
      </c>
      <c r="L2970" s="1">
        <v>43075</v>
      </c>
      <c r="M2970" s="22">
        <f>Table3[[#This Row],[Ship Date]]-Table3[[#This Row],[Order Date]]</f>
        <v>1</v>
      </c>
      <c r="N2970" s="23" t="s">
        <v>169</v>
      </c>
      <c r="O2970" s="23" t="s">
        <v>23</v>
      </c>
      <c r="P2970" s="23" t="s">
        <v>87</v>
      </c>
      <c r="Q2970" s="23" t="s">
        <v>39</v>
      </c>
      <c r="R2970" s="23" t="s">
        <v>86</v>
      </c>
      <c r="S2970" s="33">
        <v>0.2</v>
      </c>
      <c r="T2970" s="13">
        <v>83.92</v>
      </c>
      <c r="U2970" s="13">
        <v>29.372</v>
      </c>
      <c r="V2970" s="55">
        <f>Table3[[#This Row],[Profit]]/Table3[[#This Row],[Sales]]</f>
        <v>0.35</v>
      </c>
    </row>
    <row r="2971" spans="1:22" x14ac:dyDescent="0.2">
      <c r="A2971">
        <v>2970</v>
      </c>
      <c r="B2971" t="s">
        <v>9894</v>
      </c>
      <c r="C2971" s="1">
        <v>43074</v>
      </c>
      <c r="D2971" s="22">
        <f>MONTH(Table3[[#This Row],[Order Date]])</f>
        <v>12</v>
      </c>
      <c r="E2971" t="s">
        <v>3059</v>
      </c>
      <c r="F2971" t="s">
        <v>3060</v>
      </c>
      <c r="G2971" s="23" t="s">
        <v>28</v>
      </c>
      <c r="H2971" s="23" t="s">
        <v>58</v>
      </c>
      <c r="I2971" t="s">
        <v>4540</v>
      </c>
      <c r="J2971" t="s">
        <v>92</v>
      </c>
      <c r="K2971" s="22">
        <v>5</v>
      </c>
      <c r="L2971" s="1">
        <v>43075</v>
      </c>
      <c r="M2971" s="22">
        <f>Table3[[#This Row],[Ship Date]]-Table3[[#This Row],[Order Date]]</f>
        <v>1</v>
      </c>
      <c r="N2971" s="23" t="s">
        <v>169</v>
      </c>
      <c r="O2971" s="23" t="s">
        <v>23</v>
      </c>
      <c r="P2971" s="23" t="s">
        <v>87</v>
      </c>
      <c r="Q2971" s="23" t="s">
        <v>39</v>
      </c>
      <c r="R2971" s="23" t="s">
        <v>86</v>
      </c>
      <c r="S2971" s="33">
        <v>0</v>
      </c>
      <c r="T2971" s="13">
        <v>199.9</v>
      </c>
      <c r="U2971" s="13">
        <v>39.979999999999997</v>
      </c>
      <c r="V2971" s="55">
        <f>Table3[[#This Row],[Profit]]/Table3[[#This Row],[Sales]]</f>
        <v>0.19999999999999998</v>
      </c>
    </row>
    <row r="2972" spans="1:22" x14ac:dyDescent="0.2">
      <c r="A2972">
        <v>2971</v>
      </c>
      <c r="B2972" t="s">
        <v>9894</v>
      </c>
      <c r="C2972" s="1">
        <v>43074</v>
      </c>
      <c r="D2972" s="22">
        <f>MONTH(Table3[[#This Row],[Order Date]])</f>
        <v>12</v>
      </c>
      <c r="E2972" t="s">
        <v>2691</v>
      </c>
      <c r="F2972" t="s">
        <v>2692</v>
      </c>
      <c r="G2972" s="23" t="s">
        <v>64</v>
      </c>
      <c r="H2972" s="23" t="s">
        <v>65</v>
      </c>
      <c r="I2972" t="s">
        <v>4540</v>
      </c>
      <c r="J2972" t="s">
        <v>92</v>
      </c>
      <c r="K2972" s="22">
        <v>3</v>
      </c>
      <c r="L2972" s="1">
        <v>43075</v>
      </c>
      <c r="M2972" s="22">
        <f>Table3[[#This Row],[Ship Date]]-Table3[[#This Row],[Order Date]]</f>
        <v>1</v>
      </c>
      <c r="N2972" s="23" t="s">
        <v>169</v>
      </c>
      <c r="O2972" s="23" t="s">
        <v>23</v>
      </c>
      <c r="P2972" s="23" t="s">
        <v>87</v>
      </c>
      <c r="Q2972" s="23" t="s">
        <v>39</v>
      </c>
      <c r="R2972" s="23" t="s">
        <v>86</v>
      </c>
      <c r="S2972" s="33">
        <v>0.2</v>
      </c>
      <c r="T2972" s="13">
        <v>31.175999999999998</v>
      </c>
      <c r="U2972" s="13">
        <v>-7.0145999999999997</v>
      </c>
      <c r="V2972" s="55">
        <f>Table3[[#This Row],[Profit]]/Table3[[#This Row],[Sales]]</f>
        <v>-0.22500000000000001</v>
      </c>
    </row>
    <row r="2973" spans="1:22" x14ac:dyDescent="0.2">
      <c r="A2973">
        <v>2972</v>
      </c>
      <c r="B2973" t="s">
        <v>9894</v>
      </c>
      <c r="C2973" s="1">
        <v>43074</v>
      </c>
      <c r="D2973" s="22">
        <f>MONTH(Table3[[#This Row],[Order Date]])</f>
        <v>12</v>
      </c>
      <c r="E2973" t="s">
        <v>1322</v>
      </c>
      <c r="F2973" t="s">
        <v>1323</v>
      </c>
      <c r="G2973" s="23" t="s">
        <v>41</v>
      </c>
      <c r="H2973" s="23" t="s">
        <v>68</v>
      </c>
      <c r="I2973" t="s">
        <v>4540</v>
      </c>
      <c r="J2973" t="s">
        <v>92</v>
      </c>
      <c r="K2973" s="22">
        <v>6</v>
      </c>
      <c r="L2973" s="1">
        <v>43075</v>
      </c>
      <c r="M2973" s="22">
        <f>Table3[[#This Row],[Ship Date]]-Table3[[#This Row],[Order Date]]</f>
        <v>1</v>
      </c>
      <c r="N2973" s="23" t="s">
        <v>169</v>
      </c>
      <c r="O2973" s="23" t="s">
        <v>23</v>
      </c>
      <c r="P2973" s="23" t="s">
        <v>87</v>
      </c>
      <c r="Q2973" s="23" t="s">
        <v>39</v>
      </c>
      <c r="R2973" s="23" t="s">
        <v>86</v>
      </c>
      <c r="S2973" s="33">
        <v>0.2</v>
      </c>
      <c r="T2973" s="13">
        <v>172.75200000000001</v>
      </c>
      <c r="U2973" s="13">
        <v>60.463200000000001</v>
      </c>
      <c r="V2973" s="55">
        <f>Table3[[#This Row],[Profit]]/Table3[[#This Row],[Sales]]</f>
        <v>0.35</v>
      </c>
    </row>
    <row r="2974" spans="1:22" x14ac:dyDescent="0.2">
      <c r="A2974">
        <v>2973</v>
      </c>
      <c r="B2974" t="s">
        <v>9894</v>
      </c>
      <c r="C2974" s="1">
        <v>43074</v>
      </c>
      <c r="D2974" s="22">
        <f>MONTH(Table3[[#This Row],[Order Date]])</f>
        <v>12</v>
      </c>
      <c r="E2974" t="s">
        <v>2401</v>
      </c>
      <c r="F2974" t="s">
        <v>2402</v>
      </c>
      <c r="G2974" s="23" t="s">
        <v>41</v>
      </c>
      <c r="H2974" s="23" t="s">
        <v>68</v>
      </c>
      <c r="I2974" t="s">
        <v>4540</v>
      </c>
      <c r="J2974" t="s">
        <v>92</v>
      </c>
      <c r="K2974" s="22">
        <v>2</v>
      </c>
      <c r="L2974" s="1">
        <v>43075</v>
      </c>
      <c r="M2974" s="22">
        <f>Table3[[#This Row],[Ship Date]]-Table3[[#This Row],[Order Date]]</f>
        <v>1</v>
      </c>
      <c r="N2974" s="23" t="s">
        <v>169</v>
      </c>
      <c r="O2974" s="23" t="s">
        <v>23</v>
      </c>
      <c r="P2974" s="23" t="s">
        <v>87</v>
      </c>
      <c r="Q2974" s="23" t="s">
        <v>39</v>
      </c>
      <c r="R2974" s="23" t="s">
        <v>86</v>
      </c>
      <c r="S2974" s="33">
        <v>0.2</v>
      </c>
      <c r="T2974" s="13">
        <v>9.2959999999999994</v>
      </c>
      <c r="U2974" s="13">
        <v>3.0211999999999999</v>
      </c>
      <c r="V2974" s="55">
        <f>Table3[[#This Row],[Profit]]/Table3[[#This Row],[Sales]]</f>
        <v>0.32500000000000001</v>
      </c>
    </row>
    <row r="2975" spans="1:22" x14ac:dyDescent="0.2">
      <c r="A2975">
        <v>2974</v>
      </c>
      <c r="B2975" t="s">
        <v>9945</v>
      </c>
      <c r="C2975" s="1">
        <v>43074</v>
      </c>
      <c r="D2975" s="22">
        <f>MONTH(Table3[[#This Row],[Order Date]])</f>
        <v>12</v>
      </c>
      <c r="E2975" t="s">
        <v>6034</v>
      </c>
      <c r="F2975" t="s">
        <v>6035</v>
      </c>
      <c r="G2975" s="23" t="s">
        <v>41</v>
      </c>
      <c r="H2975" s="23" t="s">
        <v>82</v>
      </c>
      <c r="I2975" t="s">
        <v>4405</v>
      </c>
      <c r="J2975" t="s">
        <v>22</v>
      </c>
      <c r="K2975" s="22">
        <v>6</v>
      </c>
      <c r="L2975" s="1">
        <v>43077</v>
      </c>
      <c r="M2975" s="22">
        <f>Table3[[#This Row],[Ship Date]]-Table3[[#This Row],[Order Date]]</f>
        <v>3</v>
      </c>
      <c r="N2975" s="23" t="s">
        <v>20</v>
      </c>
      <c r="O2975" s="23" t="s">
        <v>23</v>
      </c>
      <c r="P2975" s="23" t="s">
        <v>238</v>
      </c>
      <c r="Q2975" s="23" t="s">
        <v>133</v>
      </c>
      <c r="R2975" s="23" t="s">
        <v>237</v>
      </c>
      <c r="S2975" s="33">
        <v>0</v>
      </c>
      <c r="T2975" s="13">
        <v>21.6</v>
      </c>
      <c r="U2975" s="13">
        <v>9.9359999999999999</v>
      </c>
      <c r="V2975" s="55">
        <f>Table3[[#This Row],[Profit]]/Table3[[#This Row],[Sales]]</f>
        <v>0.45999999999999996</v>
      </c>
    </row>
    <row r="2976" spans="1:22" x14ac:dyDescent="0.2">
      <c r="A2976">
        <v>2975</v>
      </c>
      <c r="B2976" t="s">
        <v>9945</v>
      </c>
      <c r="C2976" s="1">
        <v>43074</v>
      </c>
      <c r="D2976" s="22">
        <f>MONTH(Table3[[#This Row],[Order Date]])</f>
        <v>12</v>
      </c>
      <c r="E2976" t="s">
        <v>4412</v>
      </c>
      <c r="F2976" t="s">
        <v>4413</v>
      </c>
      <c r="G2976" s="23" t="s">
        <v>41</v>
      </c>
      <c r="H2976" s="23" t="s">
        <v>42</v>
      </c>
      <c r="I2976" t="s">
        <v>4405</v>
      </c>
      <c r="J2976" t="s">
        <v>22</v>
      </c>
      <c r="K2976" s="22">
        <v>3</v>
      </c>
      <c r="L2976" s="1">
        <v>43077</v>
      </c>
      <c r="M2976" s="22">
        <f>Table3[[#This Row],[Ship Date]]-Table3[[#This Row],[Order Date]]</f>
        <v>3</v>
      </c>
      <c r="N2976" s="23" t="s">
        <v>20</v>
      </c>
      <c r="O2976" s="23" t="s">
        <v>23</v>
      </c>
      <c r="P2976" s="23" t="s">
        <v>238</v>
      </c>
      <c r="Q2976" s="23" t="s">
        <v>133</v>
      </c>
      <c r="R2976" s="23" t="s">
        <v>237</v>
      </c>
      <c r="S2976" s="33">
        <v>0</v>
      </c>
      <c r="T2976" s="13">
        <v>11.07</v>
      </c>
      <c r="U2976" s="13">
        <v>5.2028999999999996</v>
      </c>
      <c r="V2976" s="55">
        <f>Table3[[#This Row],[Profit]]/Table3[[#This Row],[Sales]]</f>
        <v>0.47</v>
      </c>
    </row>
    <row r="2977" spans="1:22" x14ac:dyDescent="0.2">
      <c r="A2977">
        <v>2976</v>
      </c>
      <c r="B2977" t="s">
        <v>8386</v>
      </c>
      <c r="C2977" s="1">
        <v>43075</v>
      </c>
      <c r="D2977" s="22">
        <f>MONTH(Table3[[#This Row],[Order Date]])</f>
        <v>12</v>
      </c>
      <c r="E2977" t="s">
        <v>2338</v>
      </c>
      <c r="F2977" t="s">
        <v>2339</v>
      </c>
      <c r="G2977" s="23" t="s">
        <v>41</v>
      </c>
      <c r="H2977" s="23" t="s">
        <v>53</v>
      </c>
      <c r="I2977" t="s">
        <v>2001</v>
      </c>
      <c r="J2977" t="s">
        <v>36</v>
      </c>
      <c r="K2977" s="22">
        <v>1</v>
      </c>
      <c r="L2977" s="1">
        <v>43077</v>
      </c>
      <c r="M2977" s="22">
        <f>Table3[[#This Row],[Ship Date]]-Table3[[#This Row],[Order Date]]</f>
        <v>2</v>
      </c>
      <c r="N2977" s="23" t="s">
        <v>20</v>
      </c>
      <c r="O2977" s="23" t="s">
        <v>23</v>
      </c>
      <c r="P2977" s="23" t="s">
        <v>38</v>
      </c>
      <c r="Q2977" s="23" t="s">
        <v>39</v>
      </c>
      <c r="R2977" s="23" t="s">
        <v>873</v>
      </c>
      <c r="S2977" s="33">
        <v>0</v>
      </c>
      <c r="T2977" s="13">
        <v>10.68</v>
      </c>
      <c r="U2977" s="13">
        <v>2.8835999999999999</v>
      </c>
      <c r="V2977" s="55">
        <f>Table3[[#This Row],[Profit]]/Table3[[#This Row],[Sales]]</f>
        <v>0.27</v>
      </c>
    </row>
    <row r="2978" spans="1:22" x14ac:dyDescent="0.2">
      <c r="A2978">
        <v>2977</v>
      </c>
      <c r="B2978" t="s">
        <v>1695</v>
      </c>
      <c r="C2978" s="1">
        <v>43076</v>
      </c>
      <c r="D2978" s="22">
        <f>MONTH(Table3[[#This Row],[Order Date]])</f>
        <v>12</v>
      </c>
      <c r="E2978" t="s">
        <v>1697</v>
      </c>
      <c r="F2978" t="s">
        <v>1698</v>
      </c>
      <c r="G2978" s="23" t="s">
        <v>64</v>
      </c>
      <c r="H2978" s="23" t="s">
        <v>65</v>
      </c>
      <c r="I2978" t="s">
        <v>1696</v>
      </c>
      <c r="J2978" t="s">
        <v>22</v>
      </c>
      <c r="K2978" s="22">
        <v>3</v>
      </c>
      <c r="L2978" s="1">
        <v>43079</v>
      </c>
      <c r="M2978" s="22">
        <f>Table3[[#This Row],[Ship Date]]-Table3[[#This Row],[Order Date]]</f>
        <v>3</v>
      </c>
      <c r="N2978" s="23" t="s">
        <v>169</v>
      </c>
      <c r="O2978" s="23" t="s">
        <v>23</v>
      </c>
      <c r="P2978" s="23" t="s">
        <v>38</v>
      </c>
      <c r="Q2978" s="23" t="s">
        <v>39</v>
      </c>
      <c r="R2978" s="23" t="s">
        <v>37</v>
      </c>
      <c r="S2978" s="33">
        <v>0.2</v>
      </c>
      <c r="T2978" s="13">
        <v>374.37599999999998</v>
      </c>
      <c r="U2978" s="13">
        <v>46.796999999999997</v>
      </c>
      <c r="V2978" s="55">
        <f>Table3[[#This Row],[Profit]]/Table3[[#This Row],[Sales]]</f>
        <v>0.125</v>
      </c>
    </row>
    <row r="2979" spans="1:22" x14ac:dyDescent="0.2">
      <c r="A2979">
        <v>2978</v>
      </c>
      <c r="B2979" t="s">
        <v>6319</v>
      </c>
      <c r="C2979" s="1">
        <v>43076</v>
      </c>
      <c r="D2979" s="22">
        <f>MONTH(Table3[[#This Row],[Order Date]])</f>
        <v>12</v>
      </c>
      <c r="E2979" t="s">
        <v>3806</v>
      </c>
      <c r="F2979" t="s">
        <v>3807</v>
      </c>
      <c r="G2979" s="23" t="s">
        <v>41</v>
      </c>
      <c r="H2979" s="23" t="s">
        <v>240</v>
      </c>
      <c r="I2979" t="s">
        <v>774</v>
      </c>
      <c r="J2979" t="s">
        <v>36</v>
      </c>
      <c r="K2979" s="22">
        <v>3</v>
      </c>
      <c r="L2979" s="1">
        <v>43081</v>
      </c>
      <c r="M2979" s="22">
        <f>Table3[[#This Row],[Ship Date]]-Table3[[#This Row],[Order Date]]</f>
        <v>5</v>
      </c>
      <c r="N2979" s="23" t="s">
        <v>45</v>
      </c>
      <c r="O2979" s="23" t="s">
        <v>23</v>
      </c>
      <c r="P2979" s="23" t="s">
        <v>94</v>
      </c>
      <c r="Q2979" s="23" t="s">
        <v>95</v>
      </c>
      <c r="R2979" s="23" t="s">
        <v>598</v>
      </c>
      <c r="S2979" s="33">
        <v>0.2</v>
      </c>
      <c r="T2979" s="13">
        <v>3.552</v>
      </c>
      <c r="U2979" s="13">
        <v>1.2432000000000001</v>
      </c>
      <c r="V2979" s="55">
        <f>Table3[[#This Row],[Profit]]/Table3[[#This Row],[Sales]]</f>
        <v>0.35000000000000003</v>
      </c>
    </row>
    <row r="2980" spans="1:22" x14ac:dyDescent="0.2">
      <c r="A2980">
        <v>2979</v>
      </c>
      <c r="B2980" t="s">
        <v>6319</v>
      </c>
      <c r="C2980" s="1">
        <v>43076</v>
      </c>
      <c r="D2980" s="22">
        <f>MONTH(Table3[[#This Row],[Order Date]])</f>
        <v>12</v>
      </c>
      <c r="E2980" t="s">
        <v>360</v>
      </c>
      <c r="F2980" t="s">
        <v>361</v>
      </c>
      <c r="G2980" s="23" t="s">
        <v>41</v>
      </c>
      <c r="H2980" s="23" t="s">
        <v>82</v>
      </c>
      <c r="I2980" t="s">
        <v>774</v>
      </c>
      <c r="J2980" t="s">
        <v>36</v>
      </c>
      <c r="K2980" s="22">
        <v>3</v>
      </c>
      <c r="L2980" s="1">
        <v>43081</v>
      </c>
      <c r="M2980" s="22">
        <f>Table3[[#This Row],[Ship Date]]-Table3[[#This Row],[Order Date]]</f>
        <v>5</v>
      </c>
      <c r="N2980" s="23" t="s">
        <v>45</v>
      </c>
      <c r="O2980" s="23" t="s">
        <v>23</v>
      </c>
      <c r="P2980" s="23" t="s">
        <v>94</v>
      </c>
      <c r="Q2980" s="23" t="s">
        <v>95</v>
      </c>
      <c r="R2980" s="23" t="s">
        <v>598</v>
      </c>
      <c r="S2980" s="33">
        <v>0.2</v>
      </c>
      <c r="T2980" s="13">
        <v>15.552</v>
      </c>
      <c r="U2980" s="13">
        <v>5.4432</v>
      </c>
      <c r="V2980" s="55">
        <f>Table3[[#This Row],[Profit]]/Table3[[#This Row],[Sales]]</f>
        <v>0.35000000000000003</v>
      </c>
    </row>
    <row r="2981" spans="1:22" x14ac:dyDescent="0.2">
      <c r="A2981">
        <v>2980</v>
      </c>
      <c r="B2981" t="s">
        <v>6322</v>
      </c>
      <c r="C2981" s="1">
        <v>43076</v>
      </c>
      <c r="D2981" s="22">
        <f>MONTH(Table3[[#This Row],[Order Date]])</f>
        <v>12</v>
      </c>
      <c r="E2981" t="s">
        <v>1472</v>
      </c>
      <c r="F2981" t="s">
        <v>1473</v>
      </c>
      <c r="G2981" s="23" t="s">
        <v>64</v>
      </c>
      <c r="H2981" s="23" t="s">
        <v>144</v>
      </c>
      <c r="I2981" t="s">
        <v>996</v>
      </c>
      <c r="J2981" t="s">
        <v>22</v>
      </c>
      <c r="K2981" s="22">
        <v>2</v>
      </c>
      <c r="L2981" s="1">
        <v>43078</v>
      </c>
      <c r="M2981" s="22">
        <f>Table3[[#This Row],[Ship Date]]-Table3[[#This Row],[Order Date]]</f>
        <v>2</v>
      </c>
      <c r="N2981" s="23" t="s">
        <v>169</v>
      </c>
      <c r="O2981" s="23" t="s">
        <v>23</v>
      </c>
      <c r="P2981" s="23" t="s">
        <v>441</v>
      </c>
      <c r="Q2981" s="23" t="s">
        <v>133</v>
      </c>
      <c r="R2981" s="23" t="s">
        <v>2496</v>
      </c>
      <c r="S2981" s="33">
        <v>0.2</v>
      </c>
      <c r="T2981" s="13">
        <v>127.98399999999999</v>
      </c>
      <c r="U2981" s="13">
        <v>25.596800000000002</v>
      </c>
      <c r="V2981" s="55">
        <f>Table3[[#This Row],[Profit]]/Table3[[#This Row],[Sales]]</f>
        <v>0.2</v>
      </c>
    </row>
    <row r="2982" spans="1:22" x14ac:dyDescent="0.2">
      <c r="A2982">
        <v>2981</v>
      </c>
      <c r="B2982" t="s">
        <v>6669</v>
      </c>
      <c r="C2982" s="1">
        <v>43076</v>
      </c>
      <c r="D2982" s="22">
        <f>MONTH(Table3[[#This Row],[Order Date]])</f>
        <v>12</v>
      </c>
      <c r="E2982" t="s">
        <v>6670</v>
      </c>
      <c r="F2982" t="s">
        <v>6671</v>
      </c>
      <c r="G2982" s="23" t="s">
        <v>28</v>
      </c>
      <c r="H2982" s="23" t="s">
        <v>58</v>
      </c>
      <c r="I2982" t="s">
        <v>2115</v>
      </c>
      <c r="J2982" t="s">
        <v>22</v>
      </c>
      <c r="K2982" s="22">
        <v>6</v>
      </c>
      <c r="L2982" s="1">
        <v>43080</v>
      </c>
      <c r="M2982" s="22">
        <f>Table3[[#This Row],[Ship Date]]-Table3[[#This Row],[Order Date]]</f>
        <v>4</v>
      </c>
      <c r="N2982" s="23" t="s">
        <v>45</v>
      </c>
      <c r="O2982" s="23" t="s">
        <v>23</v>
      </c>
      <c r="P2982" s="23" t="s">
        <v>285</v>
      </c>
      <c r="Q2982" s="23" t="s">
        <v>26</v>
      </c>
      <c r="R2982" s="23" t="s">
        <v>1294</v>
      </c>
      <c r="S2982" s="33">
        <v>0</v>
      </c>
      <c r="T2982" s="13">
        <v>82.38</v>
      </c>
      <c r="U2982" s="13">
        <v>25.537800000000001</v>
      </c>
      <c r="V2982" s="55">
        <f>Table3[[#This Row],[Profit]]/Table3[[#This Row],[Sales]]</f>
        <v>0.31000000000000005</v>
      </c>
    </row>
    <row r="2983" spans="1:22" x14ac:dyDescent="0.2">
      <c r="A2983">
        <v>2982</v>
      </c>
      <c r="B2983" t="s">
        <v>7164</v>
      </c>
      <c r="C2983" s="1">
        <v>43076</v>
      </c>
      <c r="D2983" s="22">
        <f>MONTH(Table3[[#This Row],[Order Date]])</f>
        <v>12</v>
      </c>
      <c r="E2983" t="s">
        <v>6481</v>
      </c>
      <c r="F2983" t="s">
        <v>6482</v>
      </c>
      <c r="G2983" s="23" t="s">
        <v>41</v>
      </c>
      <c r="H2983" s="23" t="s">
        <v>68</v>
      </c>
      <c r="I2983" t="s">
        <v>3208</v>
      </c>
      <c r="J2983" t="s">
        <v>36</v>
      </c>
      <c r="K2983" s="22">
        <v>5</v>
      </c>
      <c r="L2983" s="1">
        <v>43082</v>
      </c>
      <c r="M2983" s="22">
        <f>Table3[[#This Row],[Ship Date]]-Table3[[#This Row],[Order Date]]</f>
        <v>6</v>
      </c>
      <c r="N2983" s="23" t="s">
        <v>45</v>
      </c>
      <c r="O2983" s="23" t="s">
        <v>23</v>
      </c>
      <c r="P2983" s="23" t="s">
        <v>189</v>
      </c>
      <c r="Q2983" s="23" t="s">
        <v>95</v>
      </c>
      <c r="R2983" s="23" t="s">
        <v>271</v>
      </c>
      <c r="S2983" s="33">
        <v>0.8</v>
      </c>
      <c r="T2983" s="13">
        <v>1889.99</v>
      </c>
      <c r="U2983" s="13">
        <v>-2929.4845</v>
      </c>
      <c r="V2983" s="55">
        <f>Table3[[#This Row],[Profit]]/Table3[[#This Row],[Sales]]</f>
        <v>-1.55</v>
      </c>
    </row>
    <row r="2984" spans="1:22" x14ac:dyDescent="0.2">
      <c r="A2984">
        <v>2983</v>
      </c>
      <c r="B2984" t="s">
        <v>8925</v>
      </c>
      <c r="C2984" s="1">
        <v>43076</v>
      </c>
      <c r="D2984" s="22">
        <f>MONTH(Table3[[#This Row],[Order Date]])</f>
        <v>12</v>
      </c>
      <c r="E2984" t="s">
        <v>4787</v>
      </c>
      <c r="F2984" t="s">
        <v>4788</v>
      </c>
      <c r="G2984" s="23" t="s">
        <v>41</v>
      </c>
      <c r="H2984" s="23" t="s">
        <v>71</v>
      </c>
      <c r="I2984" t="s">
        <v>56</v>
      </c>
      <c r="J2984" t="s">
        <v>22</v>
      </c>
      <c r="K2984" s="22">
        <v>4</v>
      </c>
      <c r="L2984" s="1">
        <v>43081</v>
      </c>
      <c r="M2984" s="22">
        <f>Table3[[#This Row],[Ship Date]]-Table3[[#This Row],[Order Date]]</f>
        <v>5</v>
      </c>
      <c r="N2984" s="23" t="s">
        <v>45</v>
      </c>
      <c r="O2984" s="23" t="s">
        <v>23</v>
      </c>
      <c r="P2984" s="23" t="s">
        <v>1315</v>
      </c>
      <c r="Q2984" s="23" t="s">
        <v>26</v>
      </c>
      <c r="R2984" s="23" t="s">
        <v>6877</v>
      </c>
      <c r="S2984" s="33">
        <v>0</v>
      </c>
      <c r="T2984" s="13">
        <v>320.64</v>
      </c>
      <c r="U2984" s="13">
        <v>89.779200000000003</v>
      </c>
      <c r="V2984" s="55">
        <f>Table3[[#This Row],[Profit]]/Table3[[#This Row],[Sales]]</f>
        <v>0.28000000000000003</v>
      </c>
    </row>
    <row r="2985" spans="1:22" x14ac:dyDescent="0.2">
      <c r="A2985">
        <v>2984</v>
      </c>
      <c r="B2985" t="s">
        <v>8925</v>
      </c>
      <c r="C2985" s="1">
        <v>43076</v>
      </c>
      <c r="D2985" s="22">
        <f>MONTH(Table3[[#This Row],[Order Date]])</f>
        <v>12</v>
      </c>
      <c r="E2985" t="s">
        <v>743</v>
      </c>
      <c r="F2985" t="s">
        <v>744</v>
      </c>
      <c r="G2985" s="23" t="s">
        <v>64</v>
      </c>
      <c r="H2985" s="23" t="s">
        <v>144</v>
      </c>
      <c r="I2985" t="s">
        <v>56</v>
      </c>
      <c r="J2985" t="s">
        <v>22</v>
      </c>
      <c r="K2985" s="22">
        <v>4</v>
      </c>
      <c r="L2985" s="1">
        <v>43081</v>
      </c>
      <c r="M2985" s="22">
        <f>Table3[[#This Row],[Ship Date]]-Table3[[#This Row],[Order Date]]</f>
        <v>5</v>
      </c>
      <c r="N2985" s="23" t="s">
        <v>45</v>
      </c>
      <c r="O2985" s="23" t="s">
        <v>23</v>
      </c>
      <c r="P2985" s="23" t="s">
        <v>1315</v>
      </c>
      <c r="Q2985" s="23" t="s">
        <v>26</v>
      </c>
      <c r="R2985" s="23" t="s">
        <v>6877</v>
      </c>
      <c r="S2985" s="33">
        <v>0</v>
      </c>
      <c r="T2985" s="13">
        <v>52</v>
      </c>
      <c r="U2985" s="13">
        <v>23.4</v>
      </c>
      <c r="V2985" s="55">
        <f>Table3[[#This Row],[Profit]]/Table3[[#This Row],[Sales]]</f>
        <v>0.44999999999999996</v>
      </c>
    </row>
    <row r="2986" spans="1:22" x14ac:dyDescent="0.2">
      <c r="A2986">
        <v>2985</v>
      </c>
      <c r="B2986" t="s">
        <v>10040</v>
      </c>
      <c r="C2986" s="1">
        <v>43076</v>
      </c>
      <c r="D2986" s="22">
        <f>MONTH(Table3[[#This Row],[Order Date]])</f>
        <v>12</v>
      </c>
      <c r="E2986" t="s">
        <v>4744</v>
      </c>
      <c r="F2986" t="s">
        <v>4745</v>
      </c>
      <c r="G2986" s="23" t="s">
        <v>41</v>
      </c>
      <c r="H2986" s="23" t="s">
        <v>82</v>
      </c>
      <c r="I2986" t="s">
        <v>3186</v>
      </c>
      <c r="J2986" t="s">
        <v>92</v>
      </c>
      <c r="K2986" s="22">
        <v>6</v>
      </c>
      <c r="L2986" s="1">
        <v>43083</v>
      </c>
      <c r="M2986" s="22">
        <f>Table3[[#This Row],[Ship Date]]-Table3[[#This Row],[Order Date]]</f>
        <v>7</v>
      </c>
      <c r="N2986" s="23" t="s">
        <v>45</v>
      </c>
      <c r="O2986" s="23" t="s">
        <v>23</v>
      </c>
      <c r="P2986" s="23" t="s">
        <v>38</v>
      </c>
      <c r="Q2986" s="23" t="s">
        <v>39</v>
      </c>
      <c r="R2986" s="23" t="s">
        <v>114</v>
      </c>
      <c r="S2986" s="33">
        <v>0</v>
      </c>
      <c r="T2986" s="13">
        <v>50.04</v>
      </c>
      <c r="U2986" s="13">
        <v>25.02</v>
      </c>
      <c r="V2986" s="55">
        <f>Table3[[#This Row],[Profit]]/Table3[[#This Row],[Sales]]</f>
        <v>0.5</v>
      </c>
    </row>
    <row r="2987" spans="1:22" x14ac:dyDescent="0.2">
      <c r="A2987">
        <v>2986</v>
      </c>
      <c r="B2987" t="s">
        <v>1263</v>
      </c>
      <c r="C2987" s="1">
        <v>43077</v>
      </c>
      <c r="D2987" s="22">
        <f>MONTH(Table3[[#This Row],[Order Date]])</f>
        <v>12</v>
      </c>
      <c r="E2987" t="s">
        <v>1249</v>
      </c>
      <c r="F2987" t="s">
        <v>1250</v>
      </c>
      <c r="G2987" s="23" t="s">
        <v>64</v>
      </c>
      <c r="H2987" s="23" t="s">
        <v>144</v>
      </c>
      <c r="I2987" t="s">
        <v>1264</v>
      </c>
      <c r="J2987" t="s">
        <v>22</v>
      </c>
      <c r="K2987" s="22">
        <v>5</v>
      </c>
      <c r="L2987" s="1">
        <v>43081</v>
      </c>
      <c r="M2987" s="22">
        <f>Table3[[#This Row],[Ship Date]]-Table3[[#This Row],[Order Date]]</f>
        <v>4</v>
      </c>
      <c r="N2987" s="23" t="s">
        <v>45</v>
      </c>
      <c r="O2987" s="23" t="s">
        <v>23</v>
      </c>
      <c r="P2987" s="23" t="s">
        <v>38</v>
      </c>
      <c r="Q2987" s="23" t="s">
        <v>39</v>
      </c>
      <c r="R2987" s="23" t="s">
        <v>114</v>
      </c>
      <c r="S2987" s="33">
        <v>0</v>
      </c>
      <c r="T2987" s="13">
        <v>179.95</v>
      </c>
      <c r="U2987" s="13">
        <v>37.789499999999997</v>
      </c>
      <c r="V2987" s="55">
        <f>Table3[[#This Row],[Profit]]/Table3[[#This Row],[Sales]]</f>
        <v>0.21</v>
      </c>
    </row>
    <row r="2988" spans="1:22" x14ac:dyDescent="0.2">
      <c r="A2988">
        <v>2987</v>
      </c>
      <c r="B2988" t="s">
        <v>1263</v>
      </c>
      <c r="C2988" s="1">
        <v>43077</v>
      </c>
      <c r="D2988" s="22">
        <f>MONTH(Table3[[#This Row],[Order Date]])</f>
        <v>12</v>
      </c>
      <c r="E2988" t="s">
        <v>1265</v>
      </c>
      <c r="F2988" t="s">
        <v>1266</v>
      </c>
      <c r="G2988" s="23" t="s">
        <v>64</v>
      </c>
      <c r="H2988" s="23" t="s">
        <v>1075</v>
      </c>
      <c r="I2988" t="s">
        <v>1264</v>
      </c>
      <c r="J2988" t="s">
        <v>22</v>
      </c>
      <c r="K2988" s="22">
        <v>3</v>
      </c>
      <c r="L2988" s="1">
        <v>43081</v>
      </c>
      <c r="M2988" s="22">
        <f>Table3[[#This Row],[Ship Date]]-Table3[[#This Row],[Order Date]]</f>
        <v>4</v>
      </c>
      <c r="N2988" s="23" t="s">
        <v>45</v>
      </c>
      <c r="O2988" s="23" t="s">
        <v>23</v>
      </c>
      <c r="P2988" s="23" t="s">
        <v>38</v>
      </c>
      <c r="Q2988" s="23" t="s">
        <v>39</v>
      </c>
      <c r="R2988" s="23" t="s">
        <v>114</v>
      </c>
      <c r="S2988" s="33">
        <v>0.2</v>
      </c>
      <c r="T2988" s="13">
        <v>1199.9760000000001</v>
      </c>
      <c r="U2988" s="13">
        <v>434.99130000000002</v>
      </c>
      <c r="V2988" s="55">
        <f>Table3[[#This Row],[Profit]]/Table3[[#This Row],[Sales]]</f>
        <v>0.36249999999999999</v>
      </c>
    </row>
    <row r="2989" spans="1:22" x14ac:dyDescent="0.2">
      <c r="A2989">
        <v>2988</v>
      </c>
      <c r="B2989" t="s">
        <v>1263</v>
      </c>
      <c r="C2989" s="1">
        <v>43077</v>
      </c>
      <c r="D2989" s="22">
        <f>MONTH(Table3[[#This Row],[Order Date]])</f>
        <v>12</v>
      </c>
      <c r="E2989" t="s">
        <v>1267</v>
      </c>
      <c r="F2989" t="s">
        <v>1268</v>
      </c>
      <c r="G2989" s="23" t="s">
        <v>41</v>
      </c>
      <c r="H2989" s="23" t="s">
        <v>82</v>
      </c>
      <c r="I2989" t="s">
        <v>1264</v>
      </c>
      <c r="J2989" t="s">
        <v>22</v>
      </c>
      <c r="K2989" s="22">
        <v>5</v>
      </c>
      <c r="L2989" s="1">
        <v>43081</v>
      </c>
      <c r="M2989" s="22">
        <f>Table3[[#This Row],[Ship Date]]-Table3[[#This Row],[Order Date]]</f>
        <v>4</v>
      </c>
      <c r="N2989" s="23" t="s">
        <v>45</v>
      </c>
      <c r="O2989" s="23" t="s">
        <v>23</v>
      </c>
      <c r="P2989" s="23" t="s">
        <v>38</v>
      </c>
      <c r="Q2989" s="23" t="s">
        <v>39</v>
      </c>
      <c r="R2989" s="23" t="s">
        <v>114</v>
      </c>
      <c r="S2989" s="33">
        <v>0</v>
      </c>
      <c r="T2989" s="13">
        <v>27.15</v>
      </c>
      <c r="U2989" s="13">
        <v>13.3035</v>
      </c>
      <c r="V2989" s="55">
        <f>Table3[[#This Row],[Profit]]/Table3[[#This Row],[Sales]]</f>
        <v>0.49</v>
      </c>
    </row>
    <row r="2990" spans="1:22" x14ac:dyDescent="0.2">
      <c r="A2990">
        <v>2989</v>
      </c>
      <c r="B2990" t="s">
        <v>1263</v>
      </c>
      <c r="C2990" s="1">
        <v>43077</v>
      </c>
      <c r="D2990" s="22">
        <f>MONTH(Table3[[#This Row],[Order Date]])</f>
        <v>12</v>
      </c>
      <c r="E2990" t="s">
        <v>1269</v>
      </c>
      <c r="F2990" t="s">
        <v>1270</v>
      </c>
      <c r="G2990" s="23" t="s">
        <v>28</v>
      </c>
      <c r="H2990" s="23" t="s">
        <v>50</v>
      </c>
      <c r="I2990" t="s">
        <v>1264</v>
      </c>
      <c r="J2990" t="s">
        <v>22</v>
      </c>
      <c r="K2990" s="22">
        <v>7</v>
      </c>
      <c r="L2990" s="1">
        <v>43081</v>
      </c>
      <c r="M2990" s="22">
        <f>Table3[[#This Row],[Ship Date]]-Table3[[#This Row],[Order Date]]</f>
        <v>4</v>
      </c>
      <c r="N2990" s="23" t="s">
        <v>45</v>
      </c>
      <c r="O2990" s="23" t="s">
        <v>23</v>
      </c>
      <c r="P2990" s="23" t="s">
        <v>38</v>
      </c>
      <c r="Q2990" s="23" t="s">
        <v>39</v>
      </c>
      <c r="R2990" s="23" t="s">
        <v>114</v>
      </c>
      <c r="S2990" s="33">
        <v>0.2</v>
      </c>
      <c r="T2990" s="13">
        <v>1004.024</v>
      </c>
      <c r="U2990" s="13">
        <v>-112.95269999999999</v>
      </c>
      <c r="V2990" s="55">
        <f>Table3[[#This Row],[Profit]]/Table3[[#This Row],[Sales]]</f>
        <v>-0.11249999999999999</v>
      </c>
    </row>
    <row r="2991" spans="1:22" x14ac:dyDescent="0.2">
      <c r="A2991">
        <v>2990</v>
      </c>
      <c r="B2991" t="s">
        <v>1263</v>
      </c>
      <c r="C2991" s="1">
        <v>43077</v>
      </c>
      <c r="D2991" s="22">
        <f>MONTH(Table3[[#This Row],[Order Date]])</f>
        <v>12</v>
      </c>
      <c r="E2991" t="s">
        <v>1271</v>
      </c>
      <c r="F2991" t="s">
        <v>1272</v>
      </c>
      <c r="G2991" s="23" t="s">
        <v>41</v>
      </c>
      <c r="H2991" s="23" t="s">
        <v>82</v>
      </c>
      <c r="I2991" t="s">
        <v>1264</v>
      </c>
      <c r="J2991" t="s">
        <v>22</v>
      </c>
      <c r="K2991" s="22">
        <v>1</v>
      </c>
      <c r="L2991" s="1">
        <v>43081</v>
      </c>
      <c r="M2991" s="22">
        <f>Table3[[#This Row],[Ship Date]]-Table3[[#This Row],[Order Date]]</f>
        <v>4</v>
      </c>
      <c r="N2991" s="23" t="s">
        <v>45</v>
      </c>
      <c r="O2991" s="23" t="s">
        <v>23</v>
      </c>
      <c r="P2991" s="23" t="s">
        <v>38</v>
      </c>
      <c r="Q2991" s="23" t="s">
        <v>39</v>
      </c>
      <c r="R2991" s="23" t="s">
        <v>114</v>
      </c>
      <c r="S2991" s="33">
        <v>0</v>
      </c>
      <c r="T2991" s="13">
        <v>9.68</v>
      </c>
      <c r="U2991" s="13">
        <v>4.6463999999999999</v>
      </c>
      <c r="V2991" s="55">
        <f>Table3[[#This Row],[Profit]]/Table3[[#This Row],[Sales]]</f>
        <v>0.48</v>
      </c>
    </row>
    <row r="2992" spans="1:22" x14ac:dyDescent="0.2">
      <c r="A2992">
        <v>2991</v>
      </c>
      <c r="B2992" t="s">
        <v>1263</v>
      </c>
      <c r="C2992" s="1">
        <v>43077</v>
      </c>
      <c r="D2992" s="22">
        <f>MONTH(Table3[[#This Row],[Order Date]])</f>
        <v>12</v>
      </c>
      <c r="E2992" t="s">
        <v>1273</v>
      </c>
      <c r="F2992" t="s">
        <v>1274</v>
      </c>
      <c r="G2992" s="23" t="s">
        <v>41</v>
      </c>
      <c r="H2992" s="23" t="s">
        <v>42</v>
      </c>
      <c r="I2992" t="s">
        <v>1264</v>
      </c>
      <c r="J2992" t="s">
        <v>22</v>
      </c>
      <c r="K2992" s="22">
        <v>9</v>
      </c>
      <c r="L2992" s="1">
        <v>43081</v>
      </c>
      <c r="M2992" s="22">
        <f>Table3[[#This Row],[Ship Date]]-Table3[[#This Row],[Order Date]]</f>
        <v>4</v>
      </c>
      <c r="N2992" s="23" t="s">
        <v>45</v>
      </c>
      <c r="O2992" s="23" t="s">
        <v>23</v>
      </c>
      <c r="P2992" s="23" t="s">
        <v>38</v>
      </c>
      <c r="Q2992" s="23" t="s">
        <v>39</v>
      </c>
      <c r="R2992" s="23" t="s">
        <v>114</v>
      </c>
      <c r="S2992" s="33">
        <v>0</v>
      </c>
      <c r="T2992" s="13">
        <v>28.35</v>
      </c>
      <c r="U2992" s="13">
        <v>13.608000000000001</v>
      </c>
      <c r="V2992" s="55">
        <f>Table3[[#This Row],[Profit]]/Table3[[#This Row],[Sales]]</f>
        <v>0.48</v>
      </c>
    </row>
    <row r="2993" spans="1:22" x14ac:dyDescent="0.2">
      <c r="A2993">
        <v>2992</v>
      </c>
      <c r="B2993" t="s">
        <v>1263</v>
      </c>
      <c r="C2993" s="1">
        <v>43077</v>
      </c>
      <c r="D2993" s="22">
        <f>MONTH(Table3[[#This Row],[Order Date]])</f>
        <v>12</v>
      </c>
      <c r="E2993" t="s">
        <v>1106</v>
      </c>
      <c r="F2993" t="s">
        <v>1275</v>
      </c>
      <c r="G2993" s="23" t="s">
        <v>41</v>
      </c>
      <c r="H2993" s="23" t="s">
        <v>82</v>
      </c>
      <c r="I2993" t="s">
        <v>1264</v>
      </c>
      <c r="J2993" t="s">
        <v>22</v>
      </c>
      <c r="K2993" s="22">
        <v>1</v>
      </c>
      <c r="L2993" s="1">
        <v>43081</v>
      </c>
      <c r="M2993" s="22">
        <f>Table3[[#This Row],[Ship Date]]-Table3[[#This Row],[Order Date]]</f>
        <v>4</v>
      </c>
      <c r="N2993" s="23" t="s">
        <v>45</v>
      </c>
      <c r="O2993" s="23" t="s">
        <v>23</v>
      </c>
      <c r="P2993" s="23" t="s">
        <v>38</v>
      </c>
      <c r="Q2993" s="23" t="s">
        <v>39</v>
      </c>
      <c r="R2993" s="23" t="s">
        <v>114</v>
      </c>
      <c r="S2993" s="33">
        <v>0</v>
      </c>
      <c r="T2993" s="13">
        <v>55.98</v>
      </c>
      <c r="U2993" s="13">
        <v>27.430199999999999</v>
      </c>
      <c r="V2993" s="55">
        <f>Table3[[#This Row],[Profit]]/Table3[[#This Row],[Sales]]</f>
        <v>0.49</v>
      </c>
    </row>
    <row r="2994" spans="1:22" x14ac:dyDescent="0.2">
      <c r="A2994">
        <v>2993</v>
      </c>
      <c r="B2994" t="s">
        <v>1263</v>
      </c>
      <c r="C2994" s="1">
        <v>43077</v>
      </c>
      <c r="D2994" s="22">
        <f>MONTH(Table3[[#This Row],[Order Date]])</f>
        <v>12</v>
      </c>
      <c r="E2994" t="s">
        <v>1276</v>
      </c>
      <c r="F2994" t="s">
        <v>1277</v>
      </c>
      <c r="G2994" s="23" t="s">
        <v>28</v>
      </c>
      <c r="H2994" s="23" t="s">
        <v>29</v>
      </c>
      <c r="I2994" t="s">
        <v>1264</v>
      </c>
      <c r="J2994" t="s">
        <v>22</v>
      </c>
      <c r="K2994" s="22">
        <v>13</v>
      </c>
      <c r="L2994" s="1">
        <v>43081</v>
      </c>
      <c r="M2994" s="22">
        <f>Table3[[#This Row],[Ship Date]]-Table3[[#This Row],[Order Date]]</f>
        <v>4</v>
      </c>
      <c r="N2994" s="23" t="s">
        <v>45</v>
      </c>
      <c r="O2994" s="23" t="s">
        <v>23</v>
      </c>
      <c r="P2994" s="23" t="s">
        <v>38</v>
      </c>
      <c r="Q2994" s="23" t="s">
        <v>39</v>
      </c>
      <c r="R2994" s="23" t="s">
        <v>114</v>
      </c>
      <c r="S2994" s="33">
        <v>0.15</v>
      </c>
      <c r="T2994" s="13">
        <v>1336.829</v>
      </c>
      <c r="U2994" s="13">
        <v>31.454799999999999</v>
      </c>
      <c r="V2994" s="55">
        <f>Table3[[#This Row],[Profit]]/Table3[[#This Row],[Sales]]</f>
        <v>2.3529411764705882E-2</v>
      </c>
    </row>
    <row r="2995" spans="1:22" x14ac:dyDescent="0.2">
      <c r="A2995">
        <v>2994</v>
      </c>
      <c r="B2995" t="s">
        <v>1263</v>
      </c>
      <c r="C2995" s="1">
        <v>43077</v>
      </c>
      <c r="D2995" s="22">
        <f>MONTH(Table3[[#This Row],[Order Date]])</f>
        <v>12</v>
      </c>
      <c r="E2995" t="s">
        <v>1278</v>
      </c>
      <c r="F2995" t="s">
        <v>1279</v>
      </c>
      <c r="G2995" s="23" t="s">
        <v>28</v>
      </c>
      <c r="H2995" s="23" t="s">
        <v>32</v>
      </c>
      <c r="I2995" t="s">
        <v>1264</v>
      </c>
      <c r="J2995" t="s">
        <v>22</v>
      </c>
      <c r="K2995" s="22">
        <v>2</v>
      </c>
      <c r="L2995" s="1">
        <v>43081</v>
      </c>
      <c r="M2995" s="22">
        <f>Table3[[#This Row],[Ship Date]]-Table3[[#This Row],[Order Date]]</f>
        <v>4</v>
      </c>
      <c r="N2995" s="23" t="s">
        <v>45</v>
      </c>
      <c r="O2995" s="23" t="s">
        <v>23</v>
      </c>
      <c r="P2995" s="23" t="s">
        <v>38</v>
      </c>
      <c r="Q2995" s="23" t="s">
        <v>39</v>
      </c>
      <c r="R2995" s="23" t="s">
        <v>114</v>
      </c>
      <c r="S2995" s="33">
        <v>0.2</v>
      </c>
      <c r="T2995" s="13">
        <v>113.568</v>
      </c>
      <c r="U2995" s="13">
        <v>-18.454799999999999</v>
      </c>
      <c r="V2995" s="55">
        <f>Table3[[#This Row],[Profit]]/Table3[[#This Row],[Sales]]</f>
        <v>-0.16250000000000001</v>
      </c>
    </row>
    <row r="2996" spans="1:22" x14ac:dyDescent="0.2">
      <c r="A2996">
        <v>2995</v>
      </c>
      <c r="B2996" t="s">
        <v>2954</v>
      </c>
      <c r="C2996" s="1">
        <v>43077</v>
      </c>
      <c r="D2996" s="22">
        <f>MONTH(Table3[[#This Row],[Order Date]])</f>
        <v>12</v>
      </c>
      <c r="E2996" t="s">
        <v>2955</v>
      </c>
      <c r="F2996" t="s">
        <v>2956</v>
      </c>
      <c r="G2996" s="23" t="s">
        <v>28</v>
      </c>
      <c r="H2996" s="23" t="s">
        <v>58</v>
      </c>
      <c r="I2996" t="s">
        <v>840</v>
      </c>
      <c r="J2996" t="s">
        <v>22</v>
      </c>
      <c r="K2996" s="22">
        <v>2</v>
      </c>
      <c r="L2996" s="1">
        <v>43079</v>
      </c>
      <c r="M2996" s="22">
        <f>Table3[[#This Row],[Ship Date]]-Table3[[#This Row],[Order Date]]</f>
        <v>2</v>
      </c>
      <c r="N2996" s="23" t="s">
        <v>20</v>
      </c>
      <c r="O2996" s="23" t="s">
        <v>23</v>
      </c>
      <c r="P2996" s="23" t="s">
        <v>238</v>
      </c>
      <c r="Q2996" s="23" t="s">
        <v>133</v>
      </c>
      <c r="R2996" s="23" t="s">
        <v>237</v>
      </c>
      <c r="S2996" s="33">
        <v>0</v>
      </c>
      <c r="T2996" s="13">
        <v>109.48</v>
      </c>
      <c r="U2996" s="13">
        <v>33.938800000000001</v>
      </c>
      <c r="V2996" s="55">
        <f>Table3[[#This Row],[Profit]]/Table3[[#This Row],[Sales]]</f>
        <v>0.31</v>
      </c>
    </row>
    <row r="2997" spans="1:22" x14ac:dyDescent="0.2">
      <c r="A2997">
        <v>2996</v>
      </c>
      <c r="B2997" t="s">
        <v>2954</v>
      </c>
      <c r="C2997" s="1">
        <v>43077</v>
      </c>
      <c r="D2997" s="22">
        <f>MONTH(Table3[[#This Row],[Order Date]])</f>
        <v>12</v>
      </c>
      <c r="E2997" t="s">
        <v>304</v>
      </c>
      <c r="F2997" t="s">
        <v>305</v>
      </c>
      <c r="G2997" s="23" t="s">
        <v>41</v>
      </c>
      <c r="H2997" s="23" t="s">
        <v>53</v>
      </c>
      <c r="I2997" t="s">
        <v>840</v>
      </c>
      <c r="J2997" t="s">
        <v>22</v>
      </c>
      <c r="K2997" s="22">
        <v>3</v>
      </c>
      <c r="L2997" s="1">
        <v>43079</v>
      </c>
      <c r="M2997" s="22">
        <f>Table3[[#This Row],[Ship Date]]-Table3[[#This Row],[Order Date]]</f>
        <v>2</v>
      </c>
      <c r="N2997" s="23" t="s">
        <v>20</v>
      </c>
      <c r="O2997" s="23" t="s">
        <v>23</v>
      </c>
      <c r="P2997" s="23" t="s">
        <v>238</v>
      </c>
      <c r="Q2997" s="23" t="s">
        <v>133</v>
      </c>
      <c r="R2997" s="23" t="s">
        <v>237</v>
      </c>
      <c r="S2997" s="33">
        <v>0</v>
      </c>
      <c r="T2997" s="13">
        <v>272.94</v>
      </c>
      <c r="U2997" s="13">
        <v>0</v>
      </c>
      <c r="V2997" s="55">
        <f>Table3[[#This Row],[Profit]]/Table3[[#This Row],[Sales]]</f>
        <v>0</v>
      </c>
    </row>
    <row r="2998" spans="1:22" x14ac:dyDescent="0.2">
      <c r="A2998">
        <v>2997</v>
      </c>
      <c r="B2998" t="s">
        <v>2954</v>
      </c>
      <c r="C2998" s="1">
        <v>43077</v>
      </c>
      <c r="D2998" s="22">
        <f>MONTH(Table3[[#This Row],[Order Date]])</f>
        <v>12</v>
      </c>
      <c r="E2998" t="s">
        <v>2957</v>
      </c>
      <c r="F2998" t="s">
        <v>2958</v>
      </c>
      <c r="G2998" s="23" t="s">
        <v>41</v>
      </c>
      <c r="H2998" s="23" t="s">
        <v>82</v>
      </c>
      <c r="I2998" t="s">
        <v>840</v>
      </c>
      <c r="J2998" t="s">
        <v>22</v>
      </c>
      <c r="K2998" s="22">
        <v>3</v>
      </c>
      <c r="L2998" s="1">
        <v>43079</v>
      </c>
      <c r="M2998" s="22">
        <f>Table3[[#This Row],[Ship Date]]-Table3[[#This Row],[Order Date]]</f>
        <v>2</v>
      </c>
      <c r="N2998" s="23" t="s">
        <v>20</v>
      </c>
      <c r="O2998" s="23" t="s">
        <v>23</v>
      </c>
      <c r="P2998" s="23" t="s">
        <v>238</v>
      </c>
      <c r="Q2998" s="23" t="s">
        <v>133</v>
      </c>
      <c r="R2998" s="23" t="s">
        <v>237</v>
      </c>
      <c r="S2998" s="33">
        <v>0</v>
      </c>
      <c r="T2998" s="13">
        <v>19.440000000000001</v>
      </c>
      <c r="U2998" s="13">
        <v>9.3312000000000008</v>
      </c>
      <c r="V2998" s="55">
        <f>Table3[[#This Row],[Profit]]/Table3[[#This Row],[Sales]]</f>
        <v>0.48000000000000004</v>
      </c>
    </row>
    <row r="2999" spans="1:22" x14ac:dyDescent="0.2">
      <c r="A2999">
        <v>2998</v>
      </c>
      <c r="B2999" t="s">
        <v>2954</v>
      </c>
      <c r="C2999" s="1">
        <v>43077</v>
      </c>
      <c r="D2999" s="22">
        <f>MONTH(Table3[[#This Row],[Order Date]])</f>
        <v>12</v>
      </c>
      <c r="E2999" t="s">
        <v>2959</v>
      </c>
      <c r="F2999" t="s">
        <v>2960</v>
      </c>
      <c r="G2999" s="23" t="s">
        <v>41</v>
      </c>
      <c r="H2999" s="23" t="s">
        <v>53</v>
      </c>
      <c r="I2999" t="s">
        <v>840</v>
      </c>
      <c r="J2999" t="s">
        <v>22</v>
      </c>
      <c r="K2999" s="22">
        <v>4</v>
      </c>
      <c r="L2999" s="1">
        <v>43079</v>
      </c>
      <c r="M2999" s="22">
        <f>Table3[[#This Row],[Ship Date]]-Table3[[#This Row],[Order Date]]</f>
        <v>2</v>
      </c>
      <c r="N2999" s="23" t="s">
        <v>20</v>
      </c>
      <c r="O2999" s="23" t="s">
        <v>23</v>
      </c>
      <c r="P2999" s="23" t="s">
        <v>238</v>
      </c>
      <c r="Q2999" s="23" t="s">
        <v>133</v>
      </c>
      <c r="R2999" s="23" t="s">
        <v>237</v>
      </c>
      <c r="S2999" s="33">
        <v>0</v>
      </c>
      <c r="T2999" s="13">
        <v>31.92</v>
      </c>
      <c r="U2999" s="13">
        <v>8.2992000000000008</v>
      </c>
      <c r="V2999" s="55">
        <f>Table3[[#This Row],[Profit]]/Table3[[#This Row],[Sales]]</f>
        <v>0.26</v>
      </c>
    </row>
    <row r="3000" spans="1:22" x14ac:dyDescent="0.2">
      <c r="A3000">
        <v>2999</v>
      </c>
      <c r="B3000" t="s">
        <v>5924</v>
      </c>
      <c r="C3000" s="1">
        <v>43077</v>
      </c>
      <c r="D3000" s="22">
        <f>MONTH(Table3[[#This Row],[Order Date]])</f>
        <v>12</v>
      </c>
      <c r="E3000" t="s">
        <v>1179</v>
      </c>
      <c r="F3000" t="s">
        <v>1180</v>
      </c>
      <c r="G3000" s="23" t="s">
        <v>41</v>
      </c>
      <c r="H3000" s="23" t="s">
        <v>53</v>
      </c>
      <c r="I3000" t="s">
        <v>1252</v>
      </c>
      <c r="J3000" t="s">
        <v>22</v>
      </c>
      <c r="K3000" s="22">
        <v>3</v>
      </c>
      <c r="L3000" s="1">
        <v>43078</v>
      </c>
      <c r="M3000" s="22">
        <f>Table3[[#This Row],[Ship Date]]-Table3[[#This Row],[Order Date]]</f>
        <v>1</v>
      </c>
      <c r="N3000" s="23" t="s">
        <v>169</v>
      </c>
      <c r="O3000" s="23" t="s">
        <v>23</v>
      </c>
      <c r="P3000" s="23" t="s">
        <v>38</v>
      </c>
      <c r="Q3000" s="23" t="s">
        <v>39</v>
      </c>
      <c r="R3000" s="23" t="s">
        <v>905</v>
      </c>
      <c r="S3000" s="33">
        <v>0</v>
      </c>
      <c r="T3000" s="13">
        <v>29.79</v>
      </c>
      <c r="U3000" s="13">
        <v>8.6390999999999991</v>
      </c>
      <c r="V3000" s="55">
        <f>Table3[[#This Row],[Profit]]/Table3[[#This Row],[Sales]]</f>
        <v>0.28999999999999998</v>
      </c>
    </row>
    <row r="3001" spans="1:22" x14ac:dyDescent="0.2">
      <c r="A3001">
        <v>3000</v>
      </c>
      <c r="B3001" t="s">
        <v>5924</v>
      </c>
      <c r="C3001" s="1">
        <v>43077</v>
      </c>
      <c r="D3001" s="22">
        <f>MONTH(Table3[[#This Row],[Order Date]])</f>
        <v>12</v>
      </c>
      <c r="E3001" t="s">
        <v>5925</v>
      </c>
      <c r="F3001" t="s">
        <v>5926</v>
      </c>
      <c r="G3001" s="23" t="s">
        <v>28</v>
      </c>
      <c r="H3001" s="23" t="s">
        <v>58</v>
      </c>
      <c r="I3001" t="s">
        <v>1252</v>
      </c>
      <c r="J3001" t="s">
        <v>22</v>
      </c>
      <c r="K3001" s="22">
        <v>2</v>
      </c>
      <c r="L3001" s="1">
        <v>43078</v>
      </c>
      <c r="M3001" s="22">
        <f>Table3[[#This Row],[Ship Date]]-Table3[[#This Row],[Order Date]]</f>
        <v>1</v>
      </c>
      <c r="N3001" s="23" t="s">
        <v>169</v>
      </c>
      <c r="O3001" s="23" t="s">
        <v>23</v>
      </c>
      <c r="P3001" s="23" t="s">
        <v>38</v>
      </c>
      <c r="Q3001" s="23" t="s">
        <v>39</v>
      </c>
      <c r="R3001" s="23" t="s">
        <v>905</v>
      </c>
      <c r="S3001" s="33">
        <v>0</v>
      </c>
      <c r="T3001" s="13">
        <v>128.9</v>
      </c>
      <c r="U3001" s="13">
        <v>15.468</v>
      </c>
      <c r="V3001" s="55">
        <f>Table3[[#This Row],[Profit]]/Table3[[#This Row],[Sales]]</f>
        <v>0.12</v>
      </c>
    </row>
    <row r="3002" spans="1:22" x14ac:dyDescent="0.2">
      <c r="A3002">
        <v>3001</v>
      </c>
      <c r="B3002" t="s">
        <v>5924</v>
      </c>
      <c r="C3002" s="1">
        <v>43077</v>
      </c>
      <c r="D3002" s="22">
        <f>MONTH(Table3[[#This Row],[Order Date]])</f>
        <v>12</v>
      </c>
      <c r="E3002" t="s">
        <v>2244</v>
      </c>
      <c r="F3002" t="s">
        <v>2245</v>
      </c>
      <c r="G3002" s="23" t="s">
        <v>41</v>
      </c>
      <c r="H3002" s="23" t="s">
        <v>82</v>
      </c>
      <c r="I3002" t="s">
        <v>1252</v>
      </c>
      <c r="J3002" t="s">
        <v>22</v>
      </c>
      <c r="K3002" s="22">
        <v>9</v>
      </c>
      <c r="L3002" s="1">
        <v>43078</v>
      </c>
      <c r="M3002" s="22">
        <f>Table3[[#This Row],[Ship Date]]-Table3[[#This Row],[Order Date]]</f>
        <v>1</v>
      </c>
      <c r="N3002" s="23" t="s">
        <v>169</v>
      </c>
      <c r="O3002" s="23" t="s">
        <v>23</v>
      </c>
      <c r="P3002" s="23" t="s">
        <v>38</v>
      </c>
      <c r="Q3002" s="23" t="s">
        <v>39</v>
      </c>
      <c r="R3002" s="23" t="s">
        <v>905</v>
      </c>
      <c r="S3002" s="33">
        <v>0</v>
      </c>
      <c r="T3002" s="13">
        <v>60.12</v>
      </c>
      <c r="U3002" s="13">
        <v>28.857600000000001</v>
      </c>
      <c r="V3002" s="55">
        <f>Table3[[#This Row],[Profit]]/Table3[[#This Row],[Sales]]</f>
        <v>0.48000000000000004</v>
      </c>
    </row>
    <row r="3003" spans="1:22" x14ac:dyDescent="0.2">
      <c r="A3003">
        <v>3002</v>
      </c>
      <c r="B3003" t="s">
        <v>7140</v>
      </c>
      <c r="C3003" s="1">
        <v>43077</v>
      </c>
      <c r="D3003" s="22">
        <f>MONTH(Table3[[#This Row],[Order Date]])</f>
        <v>12</v>
      </c>
      <c r="E3003" t="s">
        <v>7141</v>
      </c>
      <c r="F3003" t="s">
        <v>7142</v>
      </c>
      <c r="G3003" s="23" t="s">
        <v>41</v>
      </c>
      <c r="H3003" s="23" t="s">
        <v>71</v>
      </c>
      <c r="I3003" t="s">
        <v>981</v>
      </c>
      <c r="J3003" t="s">
        <v>36</v>
      </c>
      <c r="K3003" s="22">
        <v>1</v>
      </c>
      <c r="L3003" s="1">
        <v>43081</v>
      </c>
      <c r="M3003" s="22">
        <f>Table3[[#This Row],[Ship Date]]-Table3[[#This Row],[Order Date]]</f>
        <v>4</v>
      </c>
      <c r="N3003" s="23" t="s">
        <v>20</v>
      </c>
      <c r="O3003" s="23" t="s">
        <v>23</v>
      </c>
      <c r="P3003" s="23" t="s">
        <v>38</v>
      </c>
      <c r="Q3003" s="23" t="s">
        <v>39</v>
      </c>
      <c r="R3003" s="23" t="s">
        <v>114</v>
      </c>
      <c r="S3003" s="33">
        <v>0</v>
      </c>
      <c r="T3003" s="13">
        <v>69.48</v>
      </c>
      <c r="U3003" s="13">
        <v>20.844000000000001</v>
      </c>
      <c r="V3003" s="55">
        <f>Table3[[#This Row],[Profit]]/Table3[[#This Row],[Sales]]</f>
        <v>0.3</v>
      </c>
    </row>
    <row r="3004" spans="1:22" x14ac:dyDescent="0.2">
      <c r="A3004">
        <v>3003</v>
      </c>
      <c r="B3004" t="s">
        <v>7449</v>
      </c>
      <c r="C3004" s="1">
        <v>43077</v>
      </c>
      <c r="D3004" s="22">
        <f>MONTH(Table3[[#This Row],[Order Date]])</f>
        <v>12</v>
      </c>
      <c r="E3004" t="s">
        <v>6778</v>
      </c>
      <c r="F3004" t="s">
        <v>7450</v>
      </c>
      <c r="G3004" s="23" t="s">
        <v>41</v>
      </c>
      <c r="H3004" s="23" t="s">
        <v>82</v>
      </c>
      <c r="I3004" t="s">
        <v>5370</v>
      </c>
      <c r="J3004" t="s">
        <v>36</v>
      </c>
      <c r="K3004" s="22">
        <v>4</v>
      </c>
      <c r="L3004" s="1">
        <v>43083</v>
      </c>
      <c r="M3004" s="22">
        <f>Table3[[#This Row],[Ship Date]]-Table3[[#This Row],[Order Date]]</f>
        <v>6</v>
      </c>
      <c r="N3004" s="23" t="s">
        <v>45</v>
      </c>
      <c r="O3004" s="23" t="s">
        <v>23</v>
      </c>
      <c r="P3004" s="23" t="s">
        <v>38</v>
      </c>
      <c r="Q3004" s="23" t="s">
        <v>39</v>
      </c>
      <c r="R3004" s="23" t="s">
        <v>114</v>
      </c>
      <c r="S3004" s="33">
        <v>0</v>
      </c>
      <c r="T3004" s="13">
        <v>87.92</v>
      </c>
      <c r="U3004" s="13">
        <v>40.443199999999997</v>
      </c>
      <c r="V3004" s="55">
        <f>Table3[[#This Row],[Profit]]/Table3[[#This Row],[Sales]]</f>
        <v>0.45999999999999996</v>
      </c>
    </row>
    <row r="3005" spans="1:22" x14ac:dyDescent="0.2">
      <c r="A3005">
        <v>3004</v>
      </c>
      <c r="B3005" t="s">
        <v>7449</v>
      </c>
      <c r="C3005" s="1">
        <v>43077</v>
      </c>
      <c r="D3005" s="22">
        <f>MONTH(Table3[[#This Row],[Order Date]])</f>
        <v>12</v>
      </c>
      <c r="E3005" t="s">
        <v>3128</v>
      </c>
      <c r="F3005" t="s">
        <v>3129</v>
      </c>
      <c r="G3005" s="23" t="s">
        <v>41</v>
      </c>
      <c r="H3005" s="23" t="s">
        <v>68</v>
      </c>
      <c r="I3005" t="s">
        <v>5370</v>
      </c>
      <c r="J3005" t="s">
        <v>36</v>
      </c>
      <c r="K3005" s="22">
        <v>1</v>
      </c>
      <c r="L3005" s="1">
        <v>43083</v>
      </c>
      <c r="M3005" s="22">
        <f>Table3[[#This Row],[Ship Date]]-Table3[[#This Row],[Order Date]]</f>
        <v>6</v>
      </c>
      <c r="N3005" s="23" t="s">
        <v>45</v>
      </c>
      <c r="O3005" s="23" t="s">
        <v>23</v>
      </c>
      <c r="P3005" s="23" t="s">
        <v>38</v>
      </c>
      <c r="Q3005" s="23" t="s">
        <v>39</v>
      </c>
      <c r="R3005" s="23" t="s">
        <v>114</v>
      </c>
      <c r="S3005" s="33">
        <v>0.2</v>
      </c>
      <c r="T3005" s="13">
        <v>22.423999999999999</v>
      </c>
      <c r="U3005" s="13">
        <v>8.4090000000000007</v>
      </c>
      <c r="V3005" s="55">
        <f>Table3[[#This Row],[Profit]]/Table3[[#This Row],[Sales]]</f>
        <v>0.37500000000000006</v>
      </c>
    </row>
    <row r="3006" spans="1:22" x14ac:dyDescent="0.2">
      <c r="A3006">
        <v>3005</v>
      </c>
      <c r="B3006" t="s">
        <v>7449</v>
      </c>
      <c r="C3006" s="1">
        <v>43077</v>
      </c>
      <c r="D3006" s="22">
        <f>MONTH(Table3[[#This Row],[Order Date]])</f>
        <v>12</v>
      </c>
      <c r="E3006" t="s">
        <v>1524</v>
      </c>
      <c r="F3006" t="s">
        <v>1525</v>
      </c>
      <c r="G3006" s="23" t="s">
        <v>41</v>
      </c>
      <c r="H3006" s="23" t="s">
        <v>68</v>
      </c>
      <c r="I3006" t="s">
        <v>5370</v>
      </c>
      <c r="J3006" t="s">
        <v>36</v>
      </c>
      <c r="K3006" s="22">
        <v>3</v>
      </c>
      <c r="L3006" s="1">
        <v>43083</v>
      </c>
      <c r="M3006" s="22">
        <f>Table3[[#This Row],[Ship Date]]-Table3[[#This Row],[Order Date]]</f>
        <v>6</v>
      </c>
      <c r="N3006" s="23" t="s">
        <v>45</v>
      </c>
      <c r="O3006" s="23" t="s">
        <v>23</v>
      </c>
      <c r="P3006" s="23" t="s">
        <v>38</v>
      </c>
      <c r="Q3006" s="23" t="s">
        <v>39</v>
      </c>
      <c r="R3006" s="23" t="s">
        <v>114</v>
      </c>
      <c r="S3006" s="33">
        <v>0.2</v>
      </c>
      <c r="T3006" s="13">
        <v>90.48</v>
      </c>
      <c r="U3006" s="13">
        <v>33.93</v>
      </c>
      <c r="V3006" s="55">
        <f>Table3[[#This Row],[Profit]]/Table3[[#This Row],[Sales]]</f>
        <v>0.375</v>
      </c>
    </row>
    <row r="3007" spans="1:22" x14ac:dyDescent="0.2">
      <c r="A3007">
        <v>3006</v>
      </c>
      <c r="B3007" t="s">
        <v>7449</v>
      </c>
      <c r="C3007" s="1">
        <v>43077</v>
      </c>
      <c r="D3007" s="22">
        <f>MONTH(Table3[[#This Row],[Order Date]])</f>
        <v>12</v>
      </c>
      <c r="E3007" t="s">
        <v>4941</v>
      </c>
      <c r="F3007" t="s">
        <v>4942</v>
      </c>
      <c r="G3007" s="23" t="s">
        <v>41</v>
      </c>
      <c r="H3007" s="23" t="s">
        <v>53</v>
      </c>
      <c r="I3007" t="s">
        <v>5370</v>
      </c>
      <c r="J3007" t="s">
        <v>36</v>
      </c>
      <c r="K3007" s="22">
        <v>1</v>
      </c>
      <c r="L3007" s="1">
        <v>43083</v>
      </c>
      <c r="M3007" s="22">
        <f>Table3[[#This Row],[Ship Date]]-Table3[[#This Row],[Order Date]]</f>
        <v>6</v>
      </c>
      <c r="N3007" s="23" t="s">
        <v>45</v>
      </c>
      <c r="O3007" s="23" t="s">
        <v>23</v>
      </c>
      <c r="P3007" s="23" t="s">
        <v>38</v>
      </c>
      <c r="Q3007" s="23" t="s">
        <v>39</v>
      </c>
      <c r="R3007" s="23" t="s">
        <v>114</v>
      </c>
      <c r="S3007" s="33">
        <v>0</v>
      </c>
      <c r="T3007" s="13">
        <v>42.76</v>
      </c>
      <c r="U3007" s="13">
        <v>11.117599999999999</v>
      </c>
      <c r="V3007" s="55">
        <f>Table3[[#This Row],[Profit]]/Table3[[#This Row],[Sales]]</f>
        <v>0.26</v>
      </c>
    </row>
    <row r="3008" spans="1:22" x14ac:dyDescent="0.2">
      <c r="A3008">
        <v>3007</v>
      </c>
      <c r="B3008" t="s">
        <v>7683</v>
      </c>
      <c r="C3008" s="1">
        <v>43077</v>
      </c>
      <c r="D3008" s="22">
        <f>MONTH(Table3[[#This Row],[Order Date]])</f>
        <v>12</v>
      </c>
      <c r="E3008" t="s">
        <v>3824</v>
      </c>
      <c r="F3008" t="s">
        <v>3825</v>
      </c>
      <c r="G3008" s="23" t="s">
        <v>64</v>
      </c>
      <c r="H3008" s="23" t="s">
        <v>144</v>
      </c>
      <c r="I3008" t="s">
        <v>1442</v>
      </c>
      <c r="J3008" t="s">
        <v>22</v>
      </c>
      <c r="K3008" s="22">
        <v>3</v>
      </c>
      <c r="L3008" s="1">
        <v>43082</v>
      </c>
      <c r="M3008" s="22">
        <f>Table3[[#This Row],[Ship Date]]-Table3[[#This Row],[Order Date]]</f>
        <v>5</v>
      </c>
      <c r="N3008" s="23" t="s">
        <v>45</v>
      </c>
      <c r="O3008" s="23" t="s">
        <v>23</v>
      </c>
      <c r="P3008" s="23" t="s">
        <v>103</v>
      </c>
      <c r="Q3008" s="23" t="s">
        <v>95</v>
      </c>
      <c r="R3008" s="23" t="s">
        <v>102</v>
      </c>
      <c r="S3008" s="33">
        <v>0</v>
      </c>
      <c r="T3008" s="13">
        <v>178.11</v>
      </c>
      <c r="U3008" s="13">
        <v>32.059800000000003</v>
      </c>
      <c r="V3008" s="55">
        <f>Table3[[#This Row],[Profit]]/Table3[[#This Row],[Sales]]</f>
        <v>0.18</v>
      </c>
    </row>
    <row r="3009" spans="1:22" x14ac:dyDescent="0.2">
      <c r="A3009">
        <v>3008</v>
      </c>
      <c r="B3009" t="s">
        <v>7683</v>
      </c>
      <c r="C3009" s="1">
        <v>43077</v>
      </c>
      <c r="D3009" s="22">
        <f>MONTH(Table3[[#This Row],[Order Date]])</f>
        <v>12</v>
      </c>
      <c r="E3009" t="s">
        <v>3331</v>
      </c>
      <c r="F3009" t="s">
        <v>3332</v>
      </c>
      <c r="G3009" s="23" t="s">
        <v>41</v>
      </c>
      <c r="H3009" s="23" t="s">
        <v>71</v>
      </c>
      <c r="I3009" t="s">
        <v>1442</v>
      </c>
      <c r="J3009" t="s">
        <v>22</v>
      </c>
      <c r="K3009" s="22">
        <v>3</v>
      </c>
      <c r="L3009" s="1">
        <v>43082</v>
      </c>
      <c r="M3009" s="22">
        <f>Table3[[#This Row],[Ship Date]]-Table3[[#This Row],[Order Date]]</f>
        <v>5</v>
      </c>
      <c r="N3009" s="23" t="s">
        <v>45</v>
      </c>
      <c r="O3009" s="23" t="s">
        <v>23</v>
      </c>
      <c r="P3009" s="23" t="s">
        <v>103</v>
      </c>
      <c r="Q3009" s="23" t="s">
        <v>95</v>
      </c>
      <c r="R3009" s="23" t="s">
        <v>102</v>
      </c>
      <c r="S3009" s="33">
        <v>0</v>
      </c>
      <c r="T3009" s="13">
        <v>1089.75</v>
      </c>
      <c r="U3009" s="13">
        <v>305.13</v>
      </c>
      <c r="V3009" s="55">
        <f>Table3[[#This Row],[Profit]]/Table3[[#This Row],[Sales]]</f>
        <v>0.27999999999999997</v>
      </c>
    </row>
    <row r="3010" spans="1:22" x14ac:dyDescent="0.2">
      <c r="A3010">
        <v>3009</v>
      </c>
      <c r="B3010" t="s">
        <v>7683</v>
      </c>
      <c r="C3010" s="1">
        <v>43077</v>
      </c>
      <c r="D3010" s="22">
        <f>MONTH(Table3[[#This Row],[Order Date]])</f>
        <v>12</v>
      </c>
      <c r="E3010" t="s">
        <v>1986</v>
      </c>
      <c r="F3010" t="s">
        <v>1987</v>
      </c>
      <c r="G3010" s="23" t="s">
        <v>41</v>
      </c>
      <c r="H3010" s="23" t="s">
        <v>42</v>
      </c>
      <c r="I3010" t="s">
        <v>1442</v>
      </c>
      <c r="J3010" t="s">
        <v>22</v>
      </c>
      <c r="K3010" s="22">
        <v>2</v>
      </c>
      <c r="L3010" s="1">
        <v>43082</v>
      </c>
      <c r="M3010" s="22">
        <f>Table3[[#This Row],[Ship Date]]-Table3[[#This Row],[Order Date]]</f>
        <v>5</v>
      </c>
      <c r="N3010" s="23" t="s">
        <v>45</v>
      </c>
      <c r="O3010" s="23" t="s">
        <v>23</v>
      </c>
      <c r="P3010" s="23" t="s">
        <v>103</v>
      </c>
      <c r="Q3010" s="23" t="s">
        <v>95</v>
      </c>
      <c r="R3010" s="23" t="s">
        <v>102</v>
      </c>
      <c r="S3010" s="33">
        <v>0</v>
      </c>
      <c r="T3010" s="13">
        <v>61.06</v>
      </c>
      <c r="U3010" s="13">
        <v>28.087599999999998</v>
      </c>
      <c r="V3010" s="55">
        <f>Table3[[#This Row],[Profit]]/Table3[[#This Row],[Sales]]</f>
        <v>0.45999999999999996</v>
      </c>
    </row>
    <row r="3011" spans="1:22" x14ac:dyDescent="0.2">
      <c r="A3011">
        <v>3010</v>
      </c>
      <c r="B3011" t="s">
        <v>7683</v>
      </c>
      <c r="C3011" s="1">
        <v>43077</v>
      </c>
      <c r="D3011" s="22">
        <f>MONTH(Table3[[#This Row],[Order Date]])</f>
        <v>12</v>
      </c>
      <c r="E3011" t="s">
        <v>3953</v>
      </c>
      <c r="F3011" t="s">
        <v>3954</v>
      </c>
      <c r="G3011" s="23" t="s">
        <v>28</v>
      </c>
      <c r="H3011" s="23" t="s">
        <v>29</v>
      </c>
      <c r="I3011" t="s">
        <v>1442</v>
      </c>
      <c r="J3011" t="s">
        <v>22</v>
      </c>
      <c r="K3011" s="22">
        <v>4</v>
      </c>
      <c r="L3011" s="1">
        <v>43082</v>
      </c>
      <c r="M3011" s="22">
        <f>Table3[[#This Row],[Ship Date]]-Table3[[#This Row],[Order Date]]</f>
        <v>5</v>
      </c>
      <c r="N3011" s="23" t="s">
        <v>45</v>
      </c>
      <c r="O3011" s="23" t="s">
        <v>23</v>
      </c>
      <c r="P3011" s="23" t="s">
        <v>103</v>
      </c>
      <c r="Q3011" s="23" t="s">
        <v>95</v>
      </c>
      <c r="R3011" s="23" t="s">
        <v>102</v>
      </c>
      <c r="S3011" s="33">
        <v>0</v>
      </c>
      <c r="T3011" s="13">
        <v>459.92</v>
      </c>
      <c r="U3011" s="13">
        <v>41.392800000000001</v>
      </c>
      <c r="V3011" s="55">
        <f>Table3[[#This Row],[Profit]]/Table3[[#This Row],[Sales]]</f>
        <v>0.09</v>
      </c>
    </row>
    <row r="3012" spans="1:22" x14ac:dyDescent="0.2">
      <c r="A3012">
        <v>3011</v>
      </c>
      <c r="B3012" t="s">
        <v>7683</v>
      </c>
      <c r="C3012" s="1">
        <v>43077</v>
      </c>
      <c r="D3012" s="22">
        <f>MONTH(Table3[[#This Row],[Order Date]])</f>
        <v>12</v>
      </c>
      <c r="E3012" t="s">
        <v>1120</v>
      </c>
      <c r="F3012" t="s">
        <v>1121</v>
      </c>
      <c r="G3012" s="23" t="s">
        <v>41</v>
      </c>
      <c r="H3012" s="23" t="s">
        <v>82</v>
      </c>
      <c r="I3012" t="s">
        <v>1442</v>
      </c>
      <c r="J3012" t="s">
        <v>22</v>
      </c>
      <c r="K3012" s="22">
        <v>4</v>
      </c>
      <c r="L3012" s="1">
        <v>43082</v>
      </c>
      <c r="M3012" s="22">
        <f>Table3[[#This Row],[Ship Date]]-Table3[[#This Row],[Order Date]]</f>
        <v>5</v>
      </c>
      <c r="N3012" s="23" t="s">
        <v>45</v>
      </c>
      <c r="O3012" s="23" t="s">
        <v>23</v>
      </c>
      <c r="P3012" s="23" t="s">
        <v>103</v>
      </c>
      <c r="Q3012" s="23" t="s">
        <v>95</v>
      </c>
      <c r="R3012" s="23" t="s">
        <v>102</v>
      </c>
      <c r="S3012" s="33">
        <v>0</v>
      </c>
      <c r="T3012" s="13">
        <v>27.52</v>
      </c>
      <c r="U3012" s="13">
        <v>12.6592</v>
      </c>
      <c r="V3012" s="55">
        <f>Table3[[#This Row],[Profit]]/Table3[[#This Row],[Sales]]</f>
        <v>0.46</v>
      </c>
    </row>
    <row r="3013" spans="1:22" x14ac:dyDescent="0.2">
      <c r="A3013">
        <v>3012</v>
      </c>
      <c r="B3013" t="s">
        <v>8905</v>
      </c>
      <c r="C3013" s="1">
        <v>43077</v>
      </c>
      <c r="D3013" s="22">
        <f>MONTH(Table3[[#This Row],[Order Date]])</f>
        <v>12</v>
      </c>
      <c r="E3013" t="s">
        <v>2042</v>
      </c>
      <c r="F3013" t="s">
        <v>2043</v>
      </c>
      <c r="G3013" s="23" t="s">
        <v>41</v>
      </c>
      <c r="H3013" s="23" t="s">
        <v>53</v>
      </c>
      <c r="I3013" t="s">
        <v>1487</v>
      </c>
      <c r="J3013" t="s">
        <v>92</v>
      </c>
      <c r="K3013" s="22">
        <v>6</v>
      </c>
      <c r="L3013" s="1">
        <v>43079</v>
      </c>
      <c r="M3013" s="22">
        <f>Table3[[#This Row],[Ship Date]]-Table3[[#This Row],[Order Date]]</f>
        <v>2</v>
      </c>
      <c r="N3013" s="23" t="s">
        <v>20</v>
      </c>
      <c r="O3013" s="23" t="s">
        <v>23</v>
      </c>
      <c r="P3013" s="23" t="s">
        <v>1235</v>
      </c>
      <c r="Q3013" s="23" t="s">
        <v>133</v>
      </c>
      <c r="R3013" s="23" t="s">
        <v>6573</v>
      </c>
      <c r="S3013" s="33">
        <v>0</v>
      </c>
      <c r="T3013" s="13">
        <v>592.74</v>
      </c>
      <c r="U3013" s="13">
        <v>160.03980000000001</v>
      </c>
      <c r="V3013" s="55">
        <f>Table3[[#This Row],[Profit]]/Table3[[#This Row],[Sales]]</f>
        <v>0.27</v>
      </c>
    </row>
    <row r="3014" spans="1:22" x14ac:dyDescent="0.2">
      <c r="A3014">
        <v>3013</v>
      </c>
      <c r="B3014" t="s">
        <v>9055</v>
      </c>
      <c r="C3014" s="1">
        <v>43077</v>
      </c>
      <c r="D3014" s="22">
        <f>MONTH(Table3[[#This Row],[Order Date]])</f>
        <v>12</v>
      </c>
      <c r="E3014" t="s">
        <v>1359</v>
      </c>
      <c r="F3014" t="s">
        <v>1360</v>
      </c>
      <c r="G3014" s="23" t="s">
        <v>28</v>
      </c>
      <c r="H3014" s="23" t="s">
        <v>32</v>
      </c>
      <c r="I3014" t="s">
        <v>2060</v>
      </c>
      <c r="J3014" t="s">
        <v>22</v>
      </c>
      <c r="K3014" s="22">
        <v>4</v>
      </c>
      <c r="L3014" s="1">
        <v>43084</v>
      </c>
      <c r="M3014" s="22">
        <f>Table3[[#This Row],[Ship Date]]-Table3[[#This Row],[Order Date]]</f>
        <v>7</v>
      </c>
      <c r="N3014" s="23" t="s">
        <v>45</v>
      </c>
      <c r="O3014" s="23" t="s">
        <v>23</v>
      </c>
      <c r="P3014" s="23" t="s">
        <v>132</v>
      </c>
      <c r="Q3014" s="23" t="s">
        <v>133</v>
      </c>
      <c r="R3014" s="23" t="s">
        <v>131</v>
      </c>
      <c r="S3014" s="33">
        <v>0.3</v>
      </c>
      <c r="T3014" s="13">
        <v>215.54400000000001</v>
      </c>
      <c r="U3014" s="13">
        <v>-58.504800000000003</v>
      </c>
      <c r="V3014" s="55">
        <f>Table3[[#This Row],[Profit]]/Table3[[#This Row],[Sales]]</f>
        <v>-0.27142857142857141</v>
      </c>
    </row>
    <row r="3015" spans="1:22" x14ac:dyDescent="0.2">
      <c r="A3015">
        <v>3014</v>
      </c>
      <c r="B3015" t="s">
        <v>9428</v>
      </c>
      <c r="C3015" s="1">
        <v>43077</v>
      </c>
      <c r="D3015" s="22">
        <f>MONTH(Table3[[#This Row],[Order Date]])</f>
        <v>12</v>
      </c>
      <c r="E3015" t="s">
        <v>599</v>
      </c>
      <c r="F3015" t="s">
        <v>600</v>
      </c>
      <c r="G3015" s="23" t="s">
        <v>41</v>
      </c>
      <c r="H3015" s="23" t="s">
        <v>61</v>
      </c>
      <c r="I3015" t="s">
        <v>593</v>
      </c>
      <c r="J3015" t="s">
        <v>22</v>
      </c>
      <c r="K3015" s="22">
        <v>4</v>
      </c>
      <c r="L3015" s="1">
        <v>43080</v>
      </c>
      <c r="M3015" s="22">
        <f>Table3[[#This Row],[Ship Date]]-Table3[[#This Row],[Order Date]]</f>
        <v>3</v>
      </c>
      <c r="N3015" s="23" t="s">
        <v>169</v>
      </c>
      <c r="O3015" s="23" t="s">
        <v>23</v>
      </c>
      <c r="P3015" s="23" t="s">
        <v>132</v>
      </c>
      <c r="Q3015" s="23" t="s">
        <v>133</v>
      </c>
      <c r="R3015" s="23" t="s">
        <v>131</v>
      </c>
      <c r="S3015" s="33">
        <v>0.2</v>
      </c>
      <c r="T3015" s="13">
        <v>13.247999999999999</v>
      </c>
      <c r="U3015" s="13">
        <v>3.6432000000000002</v>
      </c>
      <c r="V3015" s="55">
        <f>Table3[[#This Row],[Profit]]/Table3[[#This Row],[Sales]]</f>
        <v>0.27500000000000002</v>
      </c>
    </row>
    <row r="3016" spans="1:22" x14ac:dyDescent="0.2">
      <c r="A3016">
        <v>3015</v>
      </c>
      <c r="B3016" t="s">
        <v>9428</v>
      </c>
      <c r="C3016" s="1">
        <v>43077</v>
      </c>
      <c r="D3016" s="22">
        <f>MONTH(Table3[[#This Row],[Order Date]])</f>
        <v>12</v>
      </c>
      <c r="E3016" t="s">
        <v>1480</v>
      </c>
      <c r="F3016" t="s">
        <v>1481</v>
      </c>
      <c r="G3016" s="23" t="s">
        <v>64</v>
      </c>
      <c r="H3016" s="23" t="s">
        <v>65</v>
      </c>
      <c r="I3016" t="s">
        <v>593</v>
      </c>
      <c r="J3016" t="s">
        <v>22</v>
      </c>
      <c r="K3016" s="22">
        <v>2</v>
      </c>
      <c r="L3016" s="1">
        <v>43080</v>
      </c>
      <c r="M3016" s="22">
        <f>Table3[[#This Row],[Ship Date]]-Table3[[#This Row],[Order Date]]</f>
        <v>3</v>
      </c>
      <c r="N3016" s="23" t="s">
        <v>169</v>
      </c>
      <c r="O3016" s="23" t="s">
        <v>23</v>
      </c>
      <c r="P3016" s="23" t="s">
        <v>132</v>
      </c>
      <c r="Q3016" s="23" t="s">
        <v>133</v>
      </c>
      <c r="R3016" s="23" t="s">
        <v>131</v>
      </c>
      <c r="S3016" s="33">
        <v>0.4</v>
      </c>
      <c r="T3016" s="13">
        <v>83.988</v>
      </c>
      <c r="U3016" s="13">
        <v>-20.997</v>
      </c>
      <c r="V3016" s="55">
        <f>Table3[[#This Row],[Profit]]/Table3[[#This Row],[Sales]]</f>
        <v>-0.25</v>
      </c>
    </row>
    <row r="3017" spans="1:22" x14ac:dyDescent="0.2">
      <c r="A3017">
        <v>3016</v>
      </c>
      <c r="B3017" t="s">
        <v>306</v>
      </c>
      <c r="C3017" s="1">
        <v>43078</v>
      </c>
      <c r="D3017" s="22">
        <f>MONTH(Table3[[#This Row],[Order Date]])</f>
        <v>12</v>
      </c>
      <c r="E3017" t="s">
        <v>308</v>
      </c>
      <c r="F3017" t="s">
        <v>309</v>
      </c>
      <c r="G3017" s="23" t="s">
        <v>41</v>
      </c>
      <c r="H3017" s="23" t="s">
        <v>68</v>
      </c>
      <c r="I3017" t="s">
        <v>307</v>
      </c>
      <c r="J3017" t="s">
        <v>36</v>
      </c>
      <c r="K3017" s="22">
        <v>3</v>
      </c>
      <c r="L3017" s="1">
        <v>43080</v>
      </c>
      <c r="M3017" s="22">
        <f>Table3[[#This Row],[Ship Date]]-Table3[[#This Row],[Order Date]]</f>
        <v>2</v>
      </c>
      <c r="N3017" s="23" t="s">
        <v>169</v>
      </c>
      <c r="O3017" s="23" t="s">
        <v>23</v>
      </c>
      <c r="P3017" s="23" t="s">
        <v>94</v>
      </c>
      <c r="Q3017" s="23" t="s">
        <v>95</v>
      </c>
      <c r="R3017" s="23" t="s">
        <v>165</v>
      </c>
      <c r="S3017" s="33">
        <v>0.8</v>
      </c>
      <c r="T3017" s="13">
        <v>1.248</v>
      </c>
      <c r="U3017" s="13">
        <v>-1.9343999999999999</v>
      </c>
      <c r="V3017" s="55">
        <f>Table3[[#This Row],[Profit]]/Table3[[#This Row],[Sales]]</f>
        <v>-1.5499999999999998</v>
      </c>
    </row>
    <row r="3018" spans="1:22" x14ac:dyDescent="0.2">
      <c r="A3018">
        <v>3017</v>
      </c>
      <c r="B3018" t="s">
        <v>306</v>
      </c>
      <c r="C3018" s="1">
        <v>43078</v>
      </c>
      <c r="D3018" s="22">
        <f>MONTH(Table3[[#This Row],[Order Date]])</f>
        <v>12</v>
      </c>
      <c r="E3018" t="s">
        <v>310</v>
      </c>
      <c r="F3018" t="s">
        <v>311</v>
      </c>
      <c r="G3018" s="23" t="s">
        <v>28</v>
      </c>
      <c r="H3018" s="23" t="s">
        <v>58</v>
      </c>
      <c r="I3018" t="s">
        <v>307</v>
      </c>
      <c r="J3018" t="s">
        <v>36</v>
      </c>
      <c r="K3018" s="22">
        <v>3</v>
      </c>
      <c r="L3018" s="1">
        <v>43080</v>
      </c>
      <c r="M3018" s="22">
        <f>Table3[[#This Row],[Ship Date]]-Table3[[#This Row],[Order Date]]</f>
        <v>2</v>
      </c>
      <c r="N3018" s="23" t="s">
        <v>169</v>
      </c>
      <c r="O3018" s="23" t="s">
        <v>23</v>
      </c>
      <c r="P3018" s="23" t="s">
        <v>94</v>
      </c>
      <c r="Q3018" s="23" t="s">
        <v>95</v>
      </c>
      <c r="R3018" s="23" t="s">
        <v>165</v>
      </c>
      <c r="S3018" s="33">
        <v>0.6</v>
      </c>
      <c r="T3018" s="13">
        <v>9.7080000000000002</v>
      </c>
      <c r="U3018" s="13">
        <v>-5.8247999999999998</v>
      </c>
      <c r="V3018" s="55">
        <f>Table3[[#This Row],[Profit]]/Table3[[#This Row],[Sales]]</f>
        <v>-0.6</v>
      </c>
    </row>
    <row r="3019" spans="1:22" x14ac:dyDescent="0.2">
      <c r="A3019">
        <v>3018</v>
      </c>
      <c r="B3019" t="s">
        <v>306</v>
      </c>
      <c r="C3019" s="1">
        <v>43078</v>
      </c>
      <c r="D3019" s="22">
        <f>MONTH(Table3[[#This Row],[Order Date]])</f>
        <v>12</v>
      </c>
      <c r="E3019" t="s">
        <v>312</v>
      </c>
      <c r="F3019" t="s">
        <v>313</v>
      </c>
      <c r="G3019" s="23" t="s">
        <v>41</v>
      </c>
      <c r="H3019" s="23" t="s">
        <v>53</v>
      </c>
      <c r="I3019" t="s">
        <v>307</v>
      </c>
      <c r="J3019" t="s">
        <v>36</v>
      </c>
      <c r="K3019" s="22">
        <v>3</v>
      </c>
      <c r="L3019" s="1">
        <v>43080</v>
      </c>
      <c r="M3019" s="22">
        <f>Table3[[#This Row],[Ship Date]]-Table3[[#This Row],[Order Date]]</f>
        <v>2</v>
      </c>
      <c r="N3019" s="23" t="s">
        <v>169</v>
      </c>
      <c r="O3019" s="23" t="s">
        <v>23</v>
      </c>
      <c r="P3019" s="23" t="s">
        <v>94</v>
      </c>
      <c r="Q3019" s="23" t="s">
        <v>95</v>
      </c>
      <c r="R3019" s="23" t="s">
        <v>165</v>
      </c>
      <c r="S3019" s="33">
        <v>0.2</v>
      </c>
      <c r="T3019" s="13">
        <v>27.24</v>
      </c>
      <c r="U3019" s="13">
        <v>2.7240000000000002</v>
      </c>
      <c r="V3019" s="55">
        <f>Table3[[#This Row],[Profit]]/Table3[[#This Row],[Sales]]</f>
        <v>0.10000000000000002</v>
      </c>
    </row>
    <row r="3020" spans="1:22" x14ac:dyDescent="0.2">
      <c r="A3020">
        <v>3019</v>
      </c>
      <c r="B3020" t="s">
        <v>725</v>
      </c>
      <c r="C3020" s="1">
        <v>43078</v>
      </c>
      <c r="D3020" s="22">
        <f>MONTH(Table3[[#This Row],[Order Date]])</f>
        <v>12</v>
      </c>
      <c r="E3020" t="s">
        <v>728</v>
      </c>
      <c r="F3020" t="s">
        <v>729</v>
      </c>
      <c r="G3020" s="23" t="s">
        <v>64</v>
      </c>
      <c r="H3020" s="23" t="s">
        <v>65</v>
      </c>
      <c r="I3020" t="s">
        <v>726</v>
      </c>
      <c r="J3020" t="s">
        <v>22</v>
      </c>
      <c r="K3020" s="22">
        <v>4</v>
      </c>
      <c r="L3020" s="1">
        <v>43083</v>
      </c>
      <c r="M3020" s="22">
        <f>Table3[[#This Row],[Ship Date]]-Table3[[#This Row],[Order Date]]</f>
        <v>5</v>
      </c>
      <c r="N3020" s="23" t="s">
        <v>45</v>
      </c>
      <c r="O3020" s="23" t="s">
        <v>23</v>
      </c>
      <c r="P3020" s="23" t="s">
        <v>38</v>
      </c>
      <c r="Q3020" s="23" t="s">
        <v>39</v>
      </c>
      <c r="R3020" s="23" t="s">
        <v>727</v>
      </c>
      <c r="S3020" s="33">
        <v>0.2</v>
      </c>
      <c r="T3020" s="13">
        <v>444.76799999999997</v>
      </c>
      <c r="U3020" s="13">
        <v>44.476799999999997</v>
      </c>
      <c r="V3020" s="55">
        <f>Table3[[#This Row],[Profit]]/Table3[[#This Row],[Sales]]</f>
        <v>0.1</v>
      </c>
    </row>
    <row r="3021" spans="1:22" x14ac:dyDescent="0.2">
      <c r="A3021">
        <v>3020</v>
      </c>
      <c r="B3021" t="s">
        <v>885</v>
      </c>
      <c r="C3021" s="1">
        <v>43078</v>
      </c>
      <c r="D3021" s="22">
        <f>MONTH(Table3[[#This Row],[Order Date]])</f>
        <v>12</v>
      </c>
      <c r="E3021" t="s">
        <v>888</v>
      </c>
      <c r="F3021" t="s">
        <v>889</v>
      </c>
      <c r="G3021" s="23" t="s">
        <v>41</v>
      </c>
      <c r="H3021" s="23" t="s">
        <v>53</v>
      </c>
      <c r="I3021" t="s">
        <v>886</v>
      </c>
      <c r="J3021" t="s">
        <v>36</v>
      </c>
      <c r="K3021" s="22">
        <v>1</v>
      </c>
      <c r="L3021" s="1">
        <v>43082</v>
      </c>
      <c r="M3021" s="22">
        <f>Table3[[#This Row],[Ship Date]]-Table3[[#This Row],[Order Date]]</f>
        <v>4</v>
      </c>
      <c r="N3021" s="23" t="s">
        <v>45</v>
      </c>
      <c r="O3021" s="23" t="s">
        <v>23</v>
      </c>
      <c r="P3021" s="23" t="s">
        <v>441</v>
      </c>
      <c r="Q3021" s="23" t="s">
        <v>133</v>
      </c>
      <c r="R3021" s="23" t="s">
        <v>887</v>
      </c>
      <c r="S3021" s="33">
        <v>0.2</v>
      </c>
      <c r="T3021" s="13">
        <v>37.207999999999998</v>
      </c>
      <c r="U3021" s="13">
        <v>-7.4416000000000002</v>
      </c>
      <c r="V3021" s="55">
        <f>Table3[[#This Row],[Profit]]/Table3[[#This Row],[Sales]]</f>
        <v>-0.2</v>
      </c>
    </row>
    <row r="3022" spans="1:22" x14ac:dyDescent="0.2">
      <c r="A3022">
        <v>3021</v>
      </c>
      <c r="B3022" t="s">
        <v>885</v>
      </c>
      <c r="C3022" s="1">
        <v>43078</v>
      </c>
      <c r="D3022" s="22">
        <f>MONTH(Table3[[#This Row],[Order Date]])</f>
        <v>12</v>
      </c>
      <c r="E3022" t="s">
        <v>890</v>
      </c>
      <c r="F3022" t="s">
        <v>891</v>
      </c>
      <c r="G3022" s="23" t="s">
        <v>41</v>
      </c>
      <c r="H3022" s="23" t="s">
        <v>155</v>
      </c>
      <c r="I3022" t="s">
        <v>886</v>
      </c>
      <c r="J3022" t="s">
        <v>36</v>
      </c>
      <c r="K3022" s="22">
        <v>3</v>
      </c>
      <c r="L3022" s="1">
        <v>43082</v>
      </c>
      <c r="M3022" s="22">
        <f>Table3[[#This Row],[Ship Date]]-Table3[[#This Row],[Order Date]]</f>
        <v>4</v>
      </c>
      <c r="N3022" s="23" t="s">
        <v>45</v>
      </c>
      <c r="O3022" s="23" t="s">
        <v>23</v>
      </c>
      <c r="P3022" s="23" t="s">
        <v>441</v>
      </c>
      <c r="Q3022" s="23" t="s">
        <v>133</v>
      </c>
      <c r="R3022" s="23" t="s">
        <v>887</v>
      </c>
      <c r="S3022" s="33">
        <v>0.2</v>
      </c>
      <c r="T3022" s="13">
        <v>57.576000000000001</v>
      </c>
      <c r="U3022" s="13">
        <v>21.591000000000001</v>
      </c>
      <c r="V3022" s="55">
        <f>Table3[[#This Row],[Profit]]/Table3[[#This Row],[Sales]]</f>
        <v>0.375</v>
      </c>
    </row>
    <row r="3023" spans="1:22" x14ac:dyDescent="0.2">
      <c r="A3023">
        <v>3022</v>
      </c>
      <c r="B3023" t="s">
        <v>3479</v>
      </c>
      <c r="C3023" s="1">
        <v>43078</v>
      </c>
      <c r="D3023" s="22">
        <f>MONTH(Table3[[#This Row],[Order Date]])</f>
        <v>12</v>
      </c>
      <c r="E3023" t="s">
        <v>3480</v>
      </c>
      <c r="F3023" t="s">
        <v>3481</v>
      </c>
      <c r="G3023" s="23" t="s">
        <v>28</v>
      </c>
      <c r="H3023" s="23" t="s">
        <v>32</v>
      </c>
      <c r="I3023" t="s">
        <v>3402</v>
      </c>
      <c r="J3023" t="s">
        <v>36</v>
      </c>
      <c r="K3023" s="22">
        <v>3</v>
      </c>
      <c r="L3023" s="1">
        <v>43082</v>
      </c>
      <c r="M3023" s="22">
        <f>Table3[[#This Row],[Ship Date]]-Table3[[#This Row],[Order Date]]</f>
        <v>4</v>
      </c>
      <c r="N3023" s="23" t="s">
        <v>45</v>
      </c>
      <c r="O3023" s="23" t="s">
        <v>23</v>
      </c>
      <c r="P3023" s="23" t="s">
        <v>212</v>
      </c>
      <c r="Q3023" s="23" t="s">
        <v>95</v>
      </c>
      <c r="R3023" s="23" t="s">
        <v>775</v>
      </c>
      <c r="S3023" s="33">
        <v>0</v>
      </c>
      <c r="T3023" s="13">
        <v>872.94</v>
      </c>
      <c r="U3023" s="13">
        <v>226.96440000000001</v>
      </c>
      <c r="V3023" s="55">
        <f>Table3[[#This Row],[Profit]]/Table3[[#This Row],[Sales]]</f>
        <v>0.26</v>
      </c>
    </row>
    <row r="3024" spans="1:22" x14ac:dyDescent="0.2">
      <c r="A3024">
        <v>3023</v>
      </c>
      <c r="B3024" t="s">
        <v>3479</v>
      </c>
      <c r="C3024" s="1">
        <v>43078</v>
      </c>
      <c r="D3024" s="22">
        <f>MONTH(Table3[[#This Row],[Order Date]])</f>
        <v>12</v>
      </c>
      <c r="E3024" t="s">
        <v>1224</v>
      </c>
      <c r="F3024" t="s">
        <v>1225</v>
      </c>
      <c r="G3024" s="23" t="s">
        <v>41</v>
      </c>
      <c r="H3024" s="23" t="s">
        <v>68</v>
      </c>
      <c r="I3024" t="s">
        <v>3402</v>
      </c>
      <c r="J3024" t="s">
        <v>36</v>
      </c>
      <c r="K3024" s="22">
        <v>2</v>
      </c>
      <c r="L3024" s="1">
        <v>43082</v>
      </c>
      <c r="M3024" s="22">
        <f>Table3[[#This Row],[Ship Date]]-Table3[[#This Row],[Order Date]]</f>
        <v>4</v>
      </c>
      <c r="N3024" s="23" t="s">
        <v>45</v>
      </c>
      <c r="O3024" s="23" t="s">
        <v>23</v>
      </c>
      <c r="P3024" s="23" t="s">
        <v>212</v>
      </c>
      <c r="Q3024" s="23" t="s">
        <v>95</v>
      </c>
      <c r="R3024" s="23" t="s">
        <v>775</v>
      </c>
      <c r="S3024" s="33">
        <v>0</v>
      </c>
      <c r="T3024" s="13">
        <v>41.54</v>
      </c>
      <c r="U3024" s="13">
        <v>19.523800000000001</v>
      </c>
      <c r="V3024" s="55">
        <f>Table3[[#This Row],[Profit]]/Table3[[#This Row],[Sales]]</f>
        <v>0.47000000000000003</v>
      </c>
    </row>
    <row r="3025" spans="1:22" x14ac:dyDescent="0.2">
      <c r="A3025">
        <v>3024</v>
      </c>
      <c r="B3025" t="s">
        <v>3479</v>
      </c>
      <c r="C3025" s="1">
        <v>43078</v>
      </c>
      <c r="D3025" s="22">
        <f>MONTH(Table3[[#This Row],[Order Date]])</f>
        <v>12</v>
      </c>
      <c r="E3025" t="s">
        <v>3482</v>
      </c>
      <c r="F3025" t="s">
        <v>3483</v>
      </c>
      <c r="G3025" s="23" t="s">
        <v>41</v>
      </c>
      <c r="H3025" s="23" t="s">
        <v>82</v>
      </c>
      <c r="I3025" t="s">
        <v>3402</v>
      </c>
      <c r="J3025" t="s">
        <v>36</v>
      </c>
      <c r="K3025" s="22">
        <v>2</v>
      </c>
      <c r="L3025" s="1">
        <v>43082</v>
      </c>
      <c r="M3025" s="22">
        <f>Table3[[#This Row],[Ship Date]]-Table3[[#This Row],[Order Date]]</f>
        <v>4</v>
      </c>
      <c r="N3025" s="23" t="s">
        <v>45</v>
      </c>
      <c r="O3025" s="23" t="s">
        <v>23</v>
      </c>
      <c r="P3025" s="23" t="s">
        <v>212</v>
      </c>
      <c r="Q3025" s="23" t="s">
        <v>95</v>
      </c>
      <c r="R3025" s="23" t="s">
        <v>775</v>
      </c>
      <c r="S3025" s="33">
        <v>0</v>
      </c>
      <c r="T3025" s="13">
        <v>12.96</v>
      </c>
      <c r="U3025" s="13">
        <v>6.2207999999999997</v>
      </c>
      <c r="V3025" s="55">
        <f>Table3[[#This Row],[Profit]]/Table3[[#This Row],[Sales]]</f>
        <v>0.47999999999999993</v>
      </c>
    </row>
    <row r="3026" spans="1:22" x14ac:dyDescent="0.2">
      <c r="A3026">
        <v>3025</v>
      </c>
      <c r="B3026" t="s">
        <v>3857</v>
      </c>
      <c r="C3026" s="1">
        <v>43078</v>
      </c>
      <c r="D3026" s="22">
        <f>MONTH(Table3[[#This Row],[Order Date]])</f>
        <v>12</v>
      </c>
      <c r="E3026" t="s">
        <v>3751</v>
      </c>
      <c r="F3026" t="s">
        <v>3752</v>
      </c>
      <c r="G3026" s="23" t="s">
        <v>41</v>
      </c>
      <c r="H3026" s="23" t="s">
        <v>82</v>
      </c>
      <c r="I3026" t="s">
        <v>3858</v>
      </c>
      <c r="J3026" t="s">
        <v>22</v>
      </c>
      <c r="K3026" s="22">
        <v>5</v>
      </c>
      <c r="L3026" s="1">
        <v>43084</v>
      </c>
      <c r="M3026" s="22">
        <f>Table3[[#This Row],[Ship Date]]-Table3[[#This Row],[Order Date]]</f>
        <v>6</v>
      </c>
      <c r="N3026" s="23" t="s">
        <v>45</v>
      </c>
      <c r="O3026" s="23" t="s">
        <v>23</v>
      </c>
      <c r="P3026" s="23" t="s">
        <v>226</v>
      </c>
      <c r="Q3026" s="23" t="s">
        <v>95</v>
      </c>
      <c r="R3026" s="23" t="s">
        <v>3859</v>
      </c>
      <c r="S3026" s="33">
        <v>0</v>
      </c>
      <c r="T3026" s="13">
        <v>33.450000000000003</v>
      </c>
      <c r="U3026" s="13">
        <v>15.387</v>
      </c>
      <c r="V3026" s="55">
        <f>Table3[[#This Row],[Profit]]/Table3[[#This Row],[Sales]]</f>
        <v>0.45999999999999996</v>
      </c>
    </row>
    <row r="3027" spans="1:22" x14ac:dyDescent="0.2">
      <c r="A3027">
        <v>3026</v>
      </c>
      <c r="B3027" t="s">
        <v>3857</v>
      </c>
      <c r="C3027" s="1">
        <v>43078</v>
      </c>
      <c r="D3027" s="22">
        <f>MONTH(Table3[[#This Row],[Order Date]])</f>
        <v>12</v>
      </c>
      <c r="E3027" t="s">
        <v>308</v>
      </c>
      <c r="F3027" t="s">
        <v>309</v>
      </c>
      <c r="G3027" s="23" t="s">
        <v>41</v>
      </c>
      <c r="H3027" s="23" t="s">
        <v>68</v>
      </c>
      <c r="I3027" t="s">
        <v>3858</v>
      </c>
      <c r="J3027" t="s">
        <v>22</v>
      </c>
      <c r="K3027" s="22">
        <v>5</v>
      </c>
      <c r="L3027" s="1">
        <v>43084</v>
      </c>
      <c r="M3027" s="22">
        <f>Table3[[#This Row],[Ship Date]]-Table3[[#This Row],[Order Date]]</f>
        <v>6</v>
      </c>
      <c r="N3027" s="23" t="s">
        <v>45</v>
      </c>
      <c r="O3027" s="23" t="s">
        <v>23</v>
      </c>
      <c r="P3027" s="23" t="s">
        <v>226</v>
      </c>
      <c r="Q3027" s="23" t="s">
        <v>95</v>
      </c>
      <c r="R3027" s="23" t="s">
        <v>3859</v>
      </c>
      <c r="S3027" s="33">
        <v>0</v>
      </c>
      <c r="T3027" s="13">
        <v>10.4</v>
      </c>
      <c r="U3027" s="13">
        <v>5.0960000000000001</v>
      </c>
      <c r="V3027" s="55">
        <f>Table3[[#This Row],[Profit]]/Table3[[#This Row],[Sales]]</f>
        <v>0.49</v>
      </c>
    </row>
    <row r="3028" spans="1:22" x14ac:dyDescent="0.2">
      <c r="A3028">
        <v>3027</v>
      </c>
      <c r="B3028" t="s">
        <v>6063</v>
      </c>
      <c r="C3028" s="1">
        <v>43078</v>
      </c>
      <c r="D3028" s="22">
        <f>MONTH(Table3[[#This Row],[Order Date]])</f>
        <v>12</v>
      </c>
      <c r="E3028" t="s">
        <v>1208</v>
      </c>
      <c r="F3028" t="s">
        <v>1209</v>
      </c>
      <c r="G3028" s="23" t="s">
        <v>41</v>
      </c>
      <c r="H3028" s="23" t="s">
        <v>61</v>
      </c>
      <c r="I3028" t="s">
        <v>2663</v>
      </c>
      <c r="J3028" t="s">
        <v>36</v>
      </c>
      <c r="K3028" s="22">
        <v>1</v>
      </c>
      <c r="L3028" s="1">
        <v>43084</v>
      </c>
      <c r="M3028" s="22">
        <f>Table3[[#This Row],[Ship Date]]-Table3[[#This Row],[Order Date]]</f>
        <v>6</v>
      </c>
      <c r="N3028" s="23" t="s">
        <v>45</v>
      </c>
      <c r="O3028" s="23" t="s">
        <v>23</v>
      </c>
      <c r="P3028" s="23" t="s">
        <v>132</v>
      </c>
      <c r="Q3028" s="23" t="s">
        <v>133</v>
      </c>
      <c r="R3028" s="23" t="s">
        <v>131</v>
      </c>
      <c r="S3028" s="33">
        <v>0.2</v>
      </c>
      <c r="T3028" s="13">
        <v>2.6240000000000001</v>
      </c>
      <c r="U3028" s="13">
        <v>0.4264</v>
      </c>
      <c r="V3028" s="55">
        <f>Table3[[#This Row],[Profit]]/Table3[[#This Row],[Sales]]</f>
        <v>0.16250000000000001</v>
      </c>
    </row>
    <row r="3029" spans="1:22" x14ac:dyDescent="0.2">
      <c r="A3029">
        <v>3028</v>
      </c>
      <c r="B3029" t="s">
        <v>6105</v>
      </c>
      <c r="C3029" s="1">
        <v>43078</v>
      </c>
      <c r="D3029" s="22">
        <f>MONTH(Table3[[#This Row],[Order Date]])</f>
        <v>12</v>
      </c>
      <c r="E3029" t="s">
        <v>6106</v>
      </c>
      <c r="F3029" t="s">
        <v>6107</v>
      </c>
      <c r="G3029" s="23" t="s">
        <v>64</v>
      </c>
      <c r="H3029" s="23" t="s">
        <v>144</v>
      </c>
      <c r="I3029" t="s">
        <v>1571</v>
      </c>
      <c r="J3029" t="s">
        <v>22</v>
      </c>
      <c r="K3029" s="22">
        <v>6</v>
      </c>
      <c r="L3029" s="1">
        <v>43080</v>
      </c>
      <c r="M3029" s="22">
        <f>Table3[[#This Row],[Ship Date]]-Table3[[#This Row],[Order Date]]</f>
        <v>2</v>
      </c>
      <c r="N3029" s="23" t="s">
        <v>20</v>
      </c>
      <c r="O3029" s="23" t="s">
        <v>23</v>
      </c>
      <c r="P3029" s="23" t="s">
        <v>212</v>
      </c>
      <c r="Q3029" s="23" t="s">
        <v>95</v>
      </c>
      <c r="R3029" s="23" t="s">
        <v>775</v>
      </c>
      <c r="S3029" s="33">
        <v>0</v>
      </c>
      <c r="T3029" s="13">
        <v>104.88</v>
      </c>
      <c r="U3029" s="13">
        <v>41.951999999999998</v>
      </c>
      <c r="V3029" s="55">
        <f>Table3[[#This Row],[Profit]]/Table3[[#This Row],[Sales]]</f>
        <v>0.4</v>
      </c>
    </row>
    <row r="3030" spans="1:22" x14ac:dyDescent="0.2">
      <c r="A3030">
        <v>3029</v>
      </c>
      <c r="B3030" t="s">
        <v>6105</v>
      </c>
      <c r="C3030" s="1">
        <v>43078</v>
      </c>
      <c r="D3030" s="22">
        <f>MONTH(Table3[[#This Row],[Order Date]])</f>
        <v>12</v>
      </c>
      <c r="E3030" t="s">
        <v>3167</v>
      </c>
      <c r="F3030" t="s">
        <v>3168</v>
      </c>
      <c r="G3030" s="23" t="s">
        <v>41</v>
      </c>
      <c r="H3030" s="23" t="s">
        <v>61</v>
      </c>
      <c r="I3030" t="s">
        <v>1571</v>
      </c>
      <c r="J3030" t="s">
        <v>22</v>
      </c>
      <c r="K3030" s="22">
        <v>5</v>
      </c>
      <c r="L3030" s="1">
        <v>43080</v>
      </c>
      <c r="M3030" s="22">
        <f>Table3[[#This Row],[Ship Date]]-Table3[[#This Row],[Order Date]]</f>
        <v>2</v>
      </c>
      <c r="N3030" s="23" t="s">
        <v>20</v>
      </c>
      <c r="O3030" s="23" t="s">
        <v>23</v>
      </c>
      <c r="P3030" s="23" t="s">
        <v>212</v>
      </c>
      <c r="Q3030" s="23" t="s">
        <v>95</v>
      </c>
      <c r="R3030" s="23" t="s">
        <v>775</v>
      </c>
      <c r="S3030" s="33">
        <v>0</v>
      </c>
      <c r="T3030" s="13">
        <v>34.700000000000003</v>
      </c>
      <c r="U3030" s="13">
        <v>12.492000000000001</v>
      </c>
      <c r="V3030" s="55">
        <f>Table3[[#This Row],[Profit]]/Table3[[#This Row],[Sales]]</f>
        <v>0.36</v>
      </c>
    </row>
    <row r="3031" spans="1:22" x14ac:dyDescent="0.2">
      <c r="A3031">
        <v>3030</v>
      </c>
      <c r="B3031" t="s">
        <v>6105</v>
      </c>
      <c r="C3031" s="1">
        <v>43078</v>
      </c>
      <c r="D3031" s="22">
        <f>MONTH(Table3[[#This Row],[Order Date]])</f>
        <v>12</v>
      </c>
      <c r="E3031" t="s">
        <v>2305</v>
      </c>
      <c r="F3031" t="s">
        <v>2306</v>
      </c>
      <c r="G3031" s="23" t="s">
        <v>41</v>
      </c>
      <c r="H3031" s="23" t="s">
        <v>68</v>
      </c>
      <c r="I3031" t="s">
        <v>1571</v>
      </c>
      <c r="J3031" t="s">
        <v>22</v>
      </c>
      <c r="K3031" s="22">
        <v>4</v>
      </c>
      <c r="L3031" s="1">
        <v>43080</v>
      </c>
      <c r="M3031" s="22">
        <f>Table3[[#This Row],[Ship Date]]-Table3[[#This Row],[Order Date]]</f>
        <v>2</v>
      </c>
      <c r="N3031" s="23" t="s">
        <v>20</v>
      </c>
      <c r="O3031" s="23" t="s">
        <v>23</v>
      </c>
      <c r="P3031" s="23" t="s">
        <v>212</v>
      </c>
      <c r="Q3031" s="23" t="s">
        <v>95</v>
      </c>
      <c r="R3031" s="23" t="s">
        <v>775</v>
      </c>
      <c r="S3031" s="33">
        <v>0</v>
      </c>
      <c r="T3031" s="13">
        <v>33.72</v>
      </c>
      <c r="U3031" s="13">
        <v>15.511200000000001</v>
      </c>
      <c r="V3031" s="55">
        <f>Table3[[#This Row],[Profit]]/Table3[[#This Row],[Sales]]</f>
        <v>0.46</v>
      </c>
    </row>
    <row r="3032" spans="1:22" x14ac:dyDescent="0.2">
      <c r="A3032">
        <v>3031</v>
      </c>
      <c r="B3032" t="s">
        <v>6105</v>
      </c>
      <c r="C3032" s="1">
        <v>43078</v>
      </c>
      <c r="D3032" s="22">
        <f>MONTH(Table3[[#This Row],[Order Date]])</f>
        <v>12</v>
      </c>
      <c r="E3032" t="s">
        <v>2802</v>
      </c>
      <c r="F3032" t="s">
        <v>167</v>
      </c>
      <c r="G3032" s="23" t="s">
        <v>41</v>
      </c>
      <c r="H3032" s="23" t="s">
        <v>82</v>
      </c>
      <c r="I3032" t="s">
        <v>1571</v>
      </c>
      <c r="J3032" t="s">
        <v>22</v>
      </c>
      <c r="K3032" s="22">
        <v>3</v>
      </c>
      <c r="L3032" s="1">
        <v>43080</v>
      </c>
      <c r="M3032" s="22">
        <f>Table3[[#This Row],[Ship Date]]-Table3[[#This Row],[Order Date]]</f>
        <v>2</v>
      </c>
      <c r="N3032" s="23" t="s">
        <v>20</v>
      </c>
      <c r="O3032" s="23" t="s">
        <v>23</v>
      </c>
      <c r="P3032" s="23" t="s">
        <v>212</v>
      </c>
      <c r="Q3032" s="23" t="s">
        <v>95</v>
      </c>
      <c r="R3032" s="23" t="s">
        <v>775</v>
      </c>
      <c r="S3032" s="33">
        <v>0</v>
      </c>
      <c r="T3032" s="13">
        <v>14.94</v>
      </c>
      <c r="U3032" s="13">
        <v>7.0217999999999998</v>
      </c>
      <c r="V3032" s="55">
        <f>Table3[[#This Row],[Profit]]/Table3[[#This Row],[Sales]]</f>
        <v>0.47000000000000003</v>
      </c>
    </row>
    <row r="3033" spans="1:22" x14ac:dyDescent="0.2">
      <c r="A3033">
        <v>3032</v>
      </c>
      <c r="B3033" t="s">
        <v>6574</v>
      </c>
      <c r="C3033" s="1">
        <v>43078</v>
      </c>
      <c r="D3033" s="22">
        <f>MONTH(Table3[[#This Row],[Order Date]])</f>
        <v>12</v>
      </c>
      <c r="E3033" t="s">
        <v>446</v>
      </c>
      <c r="F3033" t="s">
        <v>447</v>
      </c>
      <c r="G3033" s="23" t="s">
        <v>41</v>
      </c>
      <c r="H3033" s="23" t="s">
        <v>82</v>
      </c>
      <c r="I3033" t="s">
        <v>6575</v>
      </c>
      <c r="J3033" t="s">
        <v>22</v>
      </c>
      <c r="K3033" s="22">
        <v>2</v>
      </c>
      <c r="L3033" s="1">
        <v>43083</v>
      </c>
      <c r="M3033" s="22">
        <f>Table3[[#This Row],[Ship Date]]-Table3[[#This Row],[Order Date]]</f>
        <v>5</v>
      </c>
      <c r="N3033" s="23" t="s">
        <v>45</v>
      </c>
      <c r="O3033" s="23" t="s">
        <v>23</v>
      </c>
      <c r="P3033" s="23" t="s">
        <v>189</v>
      </c>
      <c r="Q3033" s="23" t="s">
        <v>95</v>
      </c>
      <c r="R3033" s="23" t="s">
        <v>271</v>
      </c>
      <c r="S3033" s="33">
        <v>0.2</v>
      </c>
      <c r="T3033" s="13">
        <v>15.984</v>
      </c>
      <c r="U3033" s="13">
        <v>4.9950000000000001</v>
      </c>
      <c r="V3033" s="55">
        <f>Table3[[#This Row],[Profit]]/Table3[[#This Row],[Sales]]</f>
        <v>0.3125</v>
      </c>
    </row>
    <row r="3034" spans="1:22" x14ac:dyDescent="0.2">
      <c r="A3034">
        <v>3033</v>
      </c>
      <c r="B3034" t="s">
        <v>6651</v>
      </c>
      <c r="C3034" s="1">
        <v>43078</v>
      </c>
      <c r="D3034" s="22">
        <f>MONTH(Table3[[#This Row],[Order Date]])</f>
        <v>12</v>
      </c>
      <c r="E3034" t="s">
        <v>1090</v>
      </c>
      <c r="F3034" t="s">
        <v>1091</v>
      </c>
      <c r="G3034" s="23" t="s">
        <v>41</v>
      </c>
      <c r="H3034" s="23" t="s">
        <v>61</v>
      </c>
      <c r="I3034" t="s">
        <v>2974</v>
      </c>
      <c r="J3034" t="s">
        <v>92</v>
      </c>
      <c r="K3034" s="22">
        <v>2</v>
      </c>
      <c r="L3034" s="1">
        <v>43082</v>
      </c>
      <c r="M3034" s="22">
        <f>Table3[[#This Row],[Ship Date]]-Table3[[#This Row],[Order Date]]</f>
        <v>4</v>
      </c>
      <c r="N3034" s="23" t="s">
        <v>20</v>
      </c>
      <c r="O3034" s="23" t="s">
        <v>23</v>
      </c>
      <c r="P3034" s="23" t="s">
        <v>38</v>
      </c>
      <c r="Q3034" s="23" t="s">
        <v>39</v>
      </c>
      <c r="R3034" s="23" t="s">
        <v>37</v>
      </c>
      <c r="S3034" s="33">
        <v>0</v>
      </c>
      <c r="T3034" s="13">
        <v>11.16</v>
      </c>
      <c r="U3034" s="13">
        <v>2.79</v>
      </c>
      <c r="V3034" s="55">
        <f>Table3[[#This Row],[Profit]]/Table3[[#This Row],[Sales]]</f>
        <v>0.25</v>
      </c>
    </row>
    <row r="3035" spans="1:22" x14ac:dyDescent="0.2">
      <c r="A3035">
        <v>3034</v>
      </c>
      <c r="B3035" t="s">
        <v>6651</v>
      </c>
      <c r="C3035" s="1">
        <v>43078</v>
      </c>
      <c r="D3035" s="22">
        <f>MONTH(Table3[[#This Row],[Order Date]])</f>
        <v>12</v>
      </c>
      <c r="E3035" t="s">
        <v>778</v>
      </c>
      <c r="F3035" t="s">
        <v>779</v>
      </c>
      <c r="G3035" s="23" t="s">
        <v>28</v>
      </c>
      <c r="H3035" s="23" t="s">
        <v>50</v>
      </c>
      <c r="I3035" t="s">
        <v>2974</v>
      </c>
      <c r="J3035" t="s">
        <v>92</v>
      </c>
      <c r="K3035" s="22">
        <v>9</v>
      </c>
      <c r="L3035" s="1">
        <v>43082</v>
      </c>
      <c r="M3035" s="22">
        <f>Table3[[#This Row],[Ship Date]]-Table3[[#This Row],[Order Date]]</f>
        <v>4</v>
      </c>
      <c r="N3035" s="23" t="s">
        <v>20</v>
      </c>
      <c r="O3035" s="23" t="s">
        <v>23</v>
      </c>
      <c r="P3035" s="23" t="s">
        <v>38</v>
      </c>
      <c r="Q3035" s="23" t="s">
        <v>39</v>
      </c>
      <c r="R3035" s="23" t="s">
        <v>37</v>
      </c>
      <c r="S3035" s="33">
        <v>0.2</v>
      </c>
      <c r="T3035" s="13">
        <v>896.32799999999997</v>
      </c>
      <c r="U3035" s="13">
        <v>22.408200000000001</v>
      </c>
      <c r="V3035" s="55">
        <f>Table3[[#This Row],[Profit]]/Table3[[#This Row],[Sales]]</f>
        <v>2.5000000000000001E-2</v>
      </c>
    </row>
    <row r="3036" spans="1:22" x14ac:dyDescent="0.2">
      <c r="A3036">
        <v>3035</v>
      </c>
      <c r="B3036" t="s">
        <v>6651</v>
      </c>
      <c r="C3036" s="1">
        <v>43078</v>
      </c>
      <c r="D3036" s="22">
        <f>MONTH(Table3[[#This Row],[Order Date]])</f>
        <v>12</v>
      </c>
      <c r="E3036" t="s">
        <v>4037</v>
      </c>
      <c r="F3036" t="s">
        <v>4038</v>
      </c>
      <c r="G3036" s="23" t="s">
        <v>41</v>
      </c>
      <c r="H3036" s="23" t="s">
        <v>71</v>
      </c>
      <c r="I3036" t="s">
        <v>2974</v>
      </c>
      <c r="J3036" t="s">
        <v>92</v>
      </c>
      <c r="K3036" s="22">
        <v>1</v>
      </c>
      <c r="L3036" s="1">
        <v>43082</v>
      </c>
      <c r="M3036" s="22">
        <f>Table3[[#This Row],[Ship Date]]-Table3[[#This Row],[Order Date]]</f>
        <v>4</v>
      </c>
      <c r="N3036" s="23" t="s">
        <v>20</v>
      </c>
      <c r="O3036" s="23" t="s">
        <v>23</v>
      </c>
      <c r="P3036" s="23" t="s">
        <v>38</v>
      </c>
      <c r="Q3036" s="23" t="s">
        <v>39</v>
      </c>
      <c r="R3036" s="23" t="s">
        <v>37</v>
      </c>
      <c r="S3036" s="33">
        <v>0</v>
      </c>
      <c r="T3036" s="13">
        <v>189</v>
      </c>
      <c r="U3036" s="13">
        <v>68.040000000000006</v>
      </c>
      <c r="V3036" s="55">
        <f>Table3[[#This Row],[Profit]]/Table3[[#This Row],[Sales]]</f>
        <v>0.36000000000000004</v>
      </c>
    </row>
    <row r="3037" spans="1:22" x14ac:dyDescent="0.2">
      <c r="A3037">
        <v>3036</v>
      </c>
      <c r="B3037" t="s">
        <v>7408</v>
      </c>
      <c r="C3037" s="1">
        <v>43078</v>
      </c>
      <c r="D3037" s="22">
        <f>MONTH(Table3[[#This Row],[Order Date]])</f>
        <v>12</v>
      </c>
      <c r="E3037" t="s">
        <v>2334</v>
      </c>
      <c r="F3037" t="s">
        <v>2335</v>
      </c>
      <c r="G3037" s="23" t="s">
        <v>41</v>
      </c>
      <c r="H3037" s="23" t="s">
        <v>82</v>
      </c>
      <c r="I3037" t="s">
        <v>216</v>
      </c>
      <c r="J3037" t="s">
        <v>22</v>
      </c>
      <c r="K3037" s="22">
        <v>9</v>
      </c>
      <c r="L3037" s="1">
        <v>43085</v>
      </c>
      <c r="M3037" s="22">
        <f>Table3[[#This Row],[Ship Date]]-Table3[[#This Row],[Order Date]]</f>
        <v>7</v>
      </c>
      <c r="N3037" s="23" t="s">
        <v>45</v>
      </c>
      <c r="O3037" s="23" t="s">
        <v>23</v>
      </c>
      <c r="P3037" s="23" t="s">
        <v>189</v>
      </c>
      <c r="Q3037" s="23" t="s">
        <v>95</v>
      </c>
      <c r="R3037" s="23" t="s">
        <v>1428</v>
      </c>
      <c r="S3037" s="33">
        <v>0.2</v>
      </c>
      <c r="T3037" s="13">
        <v>143.85599999999999</v>
      </c>
      <c r="U3037" s="13">
        <v>48.551400000000001</v>
      </c>
      <c r="V3037" s="55">
        <f>Table3[[#This Row],[Profit]]/Table3[[#This Row],[Sales]]</f>
        <v>0.33750000000000002</v>
      </c>
    </row>
    <row r="3038" spans="1:22" x14ac:dyDescent="0.2">
      <c r="A3038">
        <v>3037</v>
      </c>
      <c r="B3038" t="s">
        <v>8310</v>
      </c>
      <c r="C3038" s="1">
        <v>43078</v>
      </c>
      <c r="D3038" s="22">
        <f>MONTH(Table3[[#This Row],[Order Date]])</f>
        <v>12</v>
      </c>
      <c r="E3038" t="s">
        <v>3788</v>
      </c>
      <c r="F3038" t="s">
        <v>3789</v>
      </c>
      <c r="G3038" s="23" t="s">
        <v>41</v>
      </c>
      <c r="H3038" s="23" t="s">
        <v>82</v>
      </c>
      <c r="I3038" t="s">
        <v>6075</v>
      </c>
      <c r="J3038" t="s">
        <v>36</v>
      </c>
      <c r="K3038" s="22">
        <v>5</v>
      </c>
      <c r="L3038" s="1">
        <v>43082</v>
      </c>
      <c r="M3038" s="22">
        <f>Table3[[#This Row],[Ship Date]]-Table3[[#This Row],[Order Date]]</f>
        <v>4</v>
      </c>
      <c r="N3038" s="23" t="s">
        <v>45</v>
      </c>
      <c r="O3038" s="23" t="s">
        <v>23</v>
      </c>
      <c r="P3038" s="23" t="s">
        <v>277</v>
      </c>
      <c r="Q3038" s="23" t="s">
        <v>39</v>
      </c>
      <c r="R3038" s="23" t="s">
        <v>481</v>
      </c>
      <c r="S3038" s="33">
        <v>0.2</v>
      </c>
      <c r="T3038" s="13">
        <v>419.4</v>
      </c>
      <c r="U3038" s="13">
        <v>146.79</v>
      </c>
      <c r="V3038" s="55">
        <f>Table3[[#This Row],[Profit]]/Table3[[#This Row],[Sales]]</f>
        <v>0.35</v>
      </c>
    </row>
    <row r="3039" spans="1:22" x14ac:dyDescent="0.2">
      <c r="A3039">
        <v>3038</v>
      </c>
      <c r="B3039" t="s">
        <v>8310</v>
      </c>
      <c r="C3039" s="1">
        <v>43078</v>
      </c>
      <c r="D3039" s="22">
        <f>MONTH(Table3[[#This Row],[Order Date]])</f>
        <v>12</v>
      </c>
      <c r="E3039" t="s">
        <v>8101</v>
      </c>
      <c r="F3039" t="s">
        <v>8102</v>
      </c>
      <c r="G3039" s="23" t="s">
        <v>41</v>
      </c>
      <c r="H3039" s="23" t="s">
        <v>68</v>
      </c>
      <c r="I3039" t="s">
        <v>6075</v>
      </c>
      <c r="J3039" t="s">
        <v>36</v>
      </c>
      <c r="K3039" s="22">
        <v>3</v>
      </c>
      <c r="L3039" s="1">
        <v>43082</v>
      </c>
      <c r="M3039" s="22">
        <f>Table3[[#This Row],[Ship Date]]-Table3[[#This Row],[Order Date]]</f>
        <v>4</v>
      </c>
      <c r="N3039" s="23" t="s">
        <v>45</v>
      </c>
      <c r="O3039" s="23" t="s">
        <v>23</v>
      </c>
      <c r="P3039" s="23" t="s">
        <v>277</v>
      </c>
      <c r="Q3039" s="23" t="s">
        <v>39</v>
      </c>
      <c r="R3039" s="23" t="s">
        <v>481</v>
      </c>
      <c r="S3039" s="33">
        <v>0.7</v>
      </c>
      <c r="T3039" s="13">
        <v>13.005000000000001</v>
      </c>
      <c r="U3039" s="13">
        <v>-9.9704999999999995</v>
      </c>
      <c r="V3039" s="55">
        <f>Table3[[#This Row],[Profit]]/Table3[[#This Row],[Sales]]</f>
        <v>-0.76666666666666661</v>
      </c>
    </row>
    <row r="3040" spans="1:22" x14ac:dyDescent="0.2">
      <c r="A3040">
        <v>3039</v>
      </c>
      <c r="B3040" t="s">
        <v>8464</v>
      </c>
      <c r="C3040" s="1">
        <v>43078</v>
      </c>
      <c r="D3040" s="22">
        <f>MONTH(Table3[[#This Row],[Order Date]])</f>
        <v>12</v>
      </c>
      <c r="E3040" t="s">
        <v>2299</v>
      </c>
      <c r="F3040" t="s">
        <v>2300</v>
      </c>
      <c r="G3040" s="23" t="s">
        <v>28</v>
      </c>
      <c r="H3040" s="23" t="s">
        <v>29</v>
      </c>
      <c r="I3040" t="s">
        <v>4982</v>
      </c>
      <c r="J3040" t="s">
        <v>92</v>
      </c>
      <c r="K3040" s="22">
        <v>3</v>
      </c>
      <c r="L3040" s="1">
        <v>43080</v>
      </c>
      <c r="M3040" s="22">
        <f>Table3[[#This Row],[Ship Date]]-Table3[[#This Row],[Order Date]]</f>
        <v>2</v>
      </c>
      <c r="N3040" s="23" t="s">
        <v>20</v>
      </c>
      <c r="O3040" s="23" t="s">
        <v>23</v>
      </c>
      <c r="P3040" s="23" t="s">
        <v>38</v>
      </c>
      <c r="Q3040" s="23" t="s">
        <v>39</v>
      </c>
      <c r="R3040" s="23" t="s">
        <v>2325</v>
      </c>
      <c r="S3040" s="33">
        <v>0.15</v>
      </c>
      <c r="T3040" s="13">
        <v>148.25700000000001</v>
      </c>
      <c r="U3040" s="13">
        <v>15.697800000000001</v>
      </c>
      <c r="V3040" s="55">
        <f>Table3[[#This Row],[Profit]]/Table3[[#This Row],[Sales]]</f>
        <v>0.10588235294117647</v>
      </c>
    </row>
    <row r="3041" spans="1:22" x14ac:dyDescent="0.2">
      <c r="A3041">
        <v>3040</v>
      </c>
      <c r="B3041" t="s">
        <v>8739</v>
      </c>
      <c r="C3041" s="1">
        <v>43078</v>
      </c>
      <c r="D3041" s="22">
        <f>MONTH(Table3[[#This Row],[Order Date]])</f>
        <v>12</v>
      </c>
      <c r="E3041" t="s">
        <v>3110</v>
      </c>
      <c r="F3041" t="s">
        <v>3111</v>
      </c>
      <c r="G3041" s="23" t="s">
        <v>41</v>
      </c>
      <c r="H3041" s="23" t="s">
        <v>68</v>
      </c>
      <c r="I3041" t="s">
        <v>1864</v>
      </c>
      <c r="J3041" t="s">
        <v>22</v>
      </c>
      <c r="K3041" s="22">
        <v>2</v>
      </c>
      <c r="L3041" s="1">
        <v>43081</v>
      </c>
      <c r="M3041" s="22">
        <f>Table3[[#This Row],[Ship Date]]-Table3[[#This Row],[Order Date]]</f>
        <v>3</v>
      </c>
      <c r="N3041" s="23" t="s">
        <v>20</v>
      </c>
      <c r="O3041" s="23" t="s">
        <v>23</v>
      </c>
      <c r="P3041" s="23" t="s">
        <v>25</v>
      </c>
      <c r="Q3041" s="23" t="s">
        <v>26</v>
      </c>
      <c r="R3041" s="23" t="s">
        <v>1294</v>
      </c>
      <c r="S3041" s="33">
        <v>0</v>
      </c>
      <c r="T3041" s="13">
        <v>29.36</v>
      </c>
      <c r="U3041" s="13">
        <v>13.505599999999999</v>
      </c>
      <c r="V3041" s="55">
        <f>Table3[[#This Row],[Profit]]/Table3[[#This Row],[Sales]]</f>
        <v>0.45999999999999996</v>
      </c>
    </row>
    <row r="3042" spans="1:22" x14ac:dyDescent="0.2">
      <c r="A3042">
        <v>3041</v>
      </c>
      <c r="B3042" t="s">
        <v>8739</v>
      </c>
      <c r="C3042" s="1">
        <v>43078</v>
      </c>
      <c r="D3042" s="22">
        <f>MONTH(Table3[[#This Row],[Order Date]])</f>
        <v>12</v>
      </c>
      <c r="E3042" t="s">
        <v>5287</v>
      </c>
      <c r="F3042" t="s">
        <v>5288</v>
      </c>
      <c r="G3042" s="23" t="s">
        <v>41</v>
      </c>
      <c r="H3042" s="23" t="s">
        <v>71</v>
      </c>
      <c r="I3042" t="s">
        <v>1864</v>
      </c>
      <c r="J3042" t="s">
        <v>22</v>
      </c>
      <c r="K3042" s="22">
        <v>5</v>
      </c>
      <c r="L3042" s="1">
        <v>43081</v>
      </c>
      <c r="M3042" s="22">
        <f>Table3[[#This Row],[Ship Date]]-Table3[[#This Row],[Order Date]]</f>
        <v>3</v>
      </c>
      <c r="N3042" s="23" t="s">
        <v>20</v>
      </c>
      <c r="O3042" s="23" t="s">
        <v>23</v>
      </c>
      <c r="P3042" s="23" t="s">
        <v>25</v>
      </c>
      <c r="Q3042" s="23" t="s">
        <v>26</v>
      </c>
      <c r="R3042" s="23" t="s">
        <v>1294</v>
      </c>
      <c r="S3042" s="33">
        <v>0</v>
      </c>
      <c r="T3042" s="13">
        <v>214.9</v>
      </c>
      <c r="U3042" s="13">
        <v>62.320999999999998</v>
      </c>
      <c r="V3042" s="55">
        <f>Table3[[#This Row],[Profit]]/Table3[[#This Row],[Sales]]</f>
        <v>0.28999999999999998</v>
      </c>
    </row>
    <row r="3043" spans="1:22" x14ac:dyDescent="0.2">
      <c r="A3043">
        <v>3042</v>
      </c>
      <c r="B3043" t="s">
        <v>8739</v>
      </c>
      <c r="C3043" s="1">
        <v>43078</v>
      </c>
      <c r="D3043" s="22">
        <f>MONTH(Table3[[#This Row],[Order Date]])</f>
        <v>12</v>
      </c>
      <c r="E3043" t="s">
        <v>482</v>
      </c>
      <c r="F3043" t="s">
        <v>483</v>
      </c>
      <c r="G3043" s="23" t="s">
        <v>41</v>
      </c>
      <c r="H3043" s="23" t="s">
        <v>68</v>
      </c>
      <c r="I3043" t="s">
        <v>1864</v>
      </c>
      <c r="J3043" t="s">
        <v>22</v>
      </c>
      <c r="K3043" s="22">
        <v>4</v>
      </c>
      <c r="L3043" s="1">
        <v>43081</v>
      </c>
      <c r="M3043" s="22">
        <f>Table3[[#This Row],[Ship Date]]-Table3[[#This Row],[Order Date]]</f>
        <v>3</v>
      </c>
      <c r="N3043" s="23" t="s">
        <v>20</v>
      </c>
      <c r="O3043" s="23" t="s">
        <v>23</v>
      </c>
      <c r="P3043" s="23" t="s">
        <v>25</v>
      </c>
      <c r="Q3043" s="23" t="s">
        <v>26</v>
      </c>
      <c r="R3043" s="23" t="s">
        <v>1294</v>
      </c>
      <c r="S3043" s="33">
        <v>0</v>
      </c>
      <c r="T3043" s="13">
        <v>15.92</v>
      </c>
      <c r="U3043" s="13">
        <v>7.4824000000000002</v>
      </c>
      <c r="V3043" s="55">
        <f>Table3[[#This Row],[Profit]]/Table3[[#This Row],[Sales]]</f>
        <v>0.47000000000000003</v>
      </c>
    </row>
    <row r="3044" spans="1:22" x14ac:dyDescent="0.2">
      <c r="A3044">
        <v>3043</v>
      </c>
      <c r="B3044" t="s">
        <v>8739</v>
      </c>
      <c r="C3044" s="1">
        <v>43078</v>
      </c>
      <c r="D3044" s="22">
        <f>MONTH(Table3[[#This Row],[Order Date]])</f>
        <v>12</v>
      </c>
      <c r="E3044" t="s">
        <v>2844</v>
      </c>
      <c r="F3044" t="s">
        <v>2845</v>
      </c>
      <c r="G3044" s="23" t="s">
        <v>64</v>
      </c>
      <c r="H3044" s="23" t="s">
        <v>144</v>
      </c>
      <c r="I3044" t="s">
        <v>1864</v>
      </c>
      <c r="J3044" t="s">
        <v>22</v>
      </c>
      <c r="K3044" s="22">
        <v>5</v>
      </c>
      <c r="L3044" s="1">
        <v>43081</v>
      </c>
      <c r="M3044" s="22">
        <f>Table3[[#This Row],[Ship Date]]-Table3[[#This Row],[Order Date]]</f>
        <v>3</v>
      </c>
      <c r="N3044" s="23" t="s">
        <v>20</v>
      </c>
      <c r="O3044" s="23" t="s">
        <v>23</v>
      </c>
      <c r="P3044" s="23" t="s">
        <v>25</v>
      </c>
      <c r="Q3044" s="23" t="s">
        <v>26</v>
      </c>
      <c r="R3044" s="23" t="s">
        <v>1294</v>
      </c>
      <c r="S3044" s="33">
        <v>0</v>
      </c>
      <c r="T3044" s="13">
        <v>146.44999999999999</v>
      </c>
      <c r="U3044" s="13">
        <v>48.328499999999998</v>
      </c>
      <c r="V3044" s="55">
        <f>Table3[[#This Row],[Profit]]/Table3[[#This Row],[Sales]]</f>
        <v>0.33</v>
      </c>
    </row>
    <row r="3045" spans="1:22" x14ac:dyDescent="0.2">
      <c r="A3045">
        <v>3044</v>
      </c>
      <c r="B3045" t="s">
        <v>8739</v>
      </c>
      <c r="C3045" s="1">
        <v>43078</v>
      </c>
      <c r="D3045" s="22">
        <f>MONTH(Table3[[#This Row],[Order Date]])</f>
        <v>12</v>
      </c>
      <c r="E3045" t="s">
        <v>1592</v>
      </c>
      <c r="F3045" t="s">
        <v>1593</v>
      </c>
      <c r="G3045" s="23" t="s">
        <v>41</v>
      </c>
      <c r="H3045" s="23" t="s">
        <v>53</v>
      </c>
      <c r="I3045" t="s">
        <v>1864</v>
      </c>
      <c r="J3045" t="s">
        <v>22</v>
      </c>
      <c r="K3045" s="22">
        <v>1</v>
      </c>
      <c r="L3045" s="1">
        <v>43081</v>
      </c>
      <c r="M3045" s="22">
        <f>Table3[[#This Row],[Ship Date]]-Table3[[#This Row],[Order Date]]</f>
        <v>3</v>
      </c>
      <c r="N3045" s="23" t="s">
        <v>20</v>
      </c>
      <c r="O3045" s="23" t="s">
        <v>23</v>
      </c>
      <c r="P3045" s="23" t="s">
        <v>25</v>
      </c>
      <c r="Q3045" s="23" t="s">
        <v>26</v>
      </c>
      <c r="R3045" s="23" t="s">
        <v>1294</v>
      </c>
      <c r="S3045" s="33">
        <v>0</v>
      </c>
      <c r="T3045" s="13">
        <v>15.14</v>
      </c>
      <c r="U3045" s="13">
        <v>0.60560000000000003</v>
      </c>
      <c r="V3045" s="55">
        <f>Table3[[#This Row],[Profit]]/Table3[[#This Row],[Sales]]</f>
        <v>0.04</v>
      </c>
    </row>
    <row r="3046" spans="1:22" x14ac:dyDescent="0.2">
      <c r="A3046">
        <v>3045</v>
      </c>
      <c r="B3046" t="s">
        <v>8739</v>
      </c>
      <c r="C3046" s="1">
        <v>43078</v>
      </c>
      <c r="D3046" s="22">
        <f>MONTH(Table3[[#This Row],[Order Date]])</f>
        <v>12</v>
      </c>
      <c r="E3046" t="s">
        <v>6125</v>
      </c>
      <c r="F3046" t="s">
        <v>6126</v>
      </c>
      <c r="G3046" s="23" t="s">
        <v>41</v>
      </c>
      <c r="H3046" s="23" t="s">
        <v>42</v>
      </c>
      <c r="I3046" t="s">
        <v>1864</v>
      </c>
      <c r="J3046" t="s">
        <v>22</v>
      </c>
      <c r="K3046" s="22">
        <v>2</v>
      </c>
      <c r="L3046" s="1">
        <v>43081</v>
      </c>
      <c r="M3046" s="22">
        <f>Table3[[#This Row],[Ship Date]]-Table3[[#This Row],[Order Date]]</f>
        <v>3</v>
      </c>
      <c r="N3046" s="23" t="s">
        <v>20</v>
      </c>
      <c r="O3046" s="23" t="s">
        <v>23</v>
      </c>
      <c r="P3046" s="23" t="s">
        <v>25</v>
      </c>
      <c r="Q3046" s="23" t="s">
        <v>26</v>
      </c>
      <c r="R3046" s="23" t="s">
        <v>1294</v>
      </c>
      <c r="S3046" s="33">
        <v>0</v>
      </c>
      <c r="T3046" s="13">
        <v>5.76</v>
      </c>
      <c r="U3046" s="13">
        <v>2.6496</v>
      </c>
      <c r="V3046" s="55">
        <f>Table3[[#This Row],[Profit]]/Table3[[#This Row],[Sales]]</f>
        <v>0.46</v>
      </c>
    </row>
    <row r="3047" spans="1:22" x14ac:dyDescent="0.2">
      <c r="A3047">
        <v>3046</v>
      </c>
      <c r="B3047" t="s">
        <v>8739</v>
      </c>
      <c r="C3047" s="1">
        <v>43078</v>
      </c>
      <c r="D3047" s="22">
        <f>MONTH(Table3[[#This Row],[Order Date]])</f>
        <v>12</v>
      </c>
      <c r="E3047" t="s">
        <v>3053</v>
      </c>
      <c r="F3047" t="s">
        <v>3054</v>
      </c>
      <c r="G3047" s="23" t="s">
        <v>64</v>
      </c>
      <c r="H3047" s="23" t="s">
        <v>1075</v>
      </c>
      <c r="I3047" t="s">
        <v>1864</v>
      </c>
      <c r="J3047" t="s">
        <v>22</v>
      </c>
      <c r="K3047" s="22">
        <v>2</v>
      </c>
      <c r="L3047" s="1">
        <v>43081</v>
      </c>
      <c r="M3047" s="22">
        <f>Table3[[#This Row],[Ship Date]]-Table3[[#This Row],[Order Date]]</f>
        <v>3</v>
      </c>
      <c r="N3047" s="23" t="s">
        <v>20</v>
      </c>
      <c r="O3047" s="23" t="s">
        <v>23</v>
      </c>
      <c r="P3047" s="23" t="s">
        <v>25</v>
      </c>
      <c r="Q3047" s="23" t="s">
        <v>26</v>
      </c>
      <c r="R3047" s="23" t="s">
        <v>1294</v>
      </c>
      <c r="S3047" s="33">
        <v>0</v>
      </c>
      <c r="T3047" s="13">
        <v>1399.98</v>
      </c>
      <c r="U3047" s="13">
        <v>629.99099999999999</v>
      </c>
      <c r="V3047" s="55">
        <f>Table3[[#This Row],[Profit]]/Table3[[#This Row],[Sales]]</f>
        <v>0.45</v>
      </c>
    </row>
    <row r="3048" spans="1:22" x14ac:dyDescent="0.2">
      <c r="A3048">
        <v>3047</v>
      </c>
      <c r="B3048" t="s">
        <v>9340</v>
      </c>
      <c r="C3048" s="1">
        <v>43078</v>
      </c>
      <c r="D3048" s="22">
        <f>MONTH(Table3[[#This Row],[Order Date]])</f>
        <v>12</v>
      </c>
      <c r="E3048" t="s">
        <v>3808</v>
      </c>
      <c r="F3048" t="s">
        <v>3809</v>
      </c>
      <c r="G3048" s="23" t="s">
        <v>41</v>
      </c>
      <c r="H3048" s="23" t="s">
        <v>68</v>
      </c>
      <c r="I3048" t="s">
        <v>6681</v>
      </c>
      <c r="J3048" t="s">
        <v>22</v>
      </c>
      <c r="K3048" s="22">
        <v>7</v>
      </c>
      <c r="L3048" s="1">
        <v>43084</v>
      </c>
      <c r="M3048" s="22">
        <f>Table3[[#This Row],[Ship Date]]-Table3[[#This Row],[Order Date]]</f>
        <v>6</v>
      </c>
      <c r="N3048" s="23" t="s">
        <v>45</v>
      </c>
      <c r="O3048" s="23" t="s">
        <v>23</v>
      </c>
      <c r="P3048" s="23" t="s">
        <v>132</v>
      </c>
      <c r="Q3048" s="23" t="s">
        <v>133</v>
      </c>
      <c r="R3048" s="23" t="s">
        <v>131</v>
      </c>
      <c r="S3048" s="33">
        <v>0.7</v>
      </c>
      <c r="T3048" s="13">
        <v>11.087999999999999</v>
      </c>
      <c r="U3048" s="13">
        <v>-8.1311999999999998</v>
      </c>
      <c r="V3048" s="55">
        <f>Table3[[#This Row],[Profit]]/Table3[[#This Row],[Sales]]</f>
        <v>-0.73333333333333339</v>
      </c>
    </row>
    <row r="3049" spans="1:22" x14ac:dyDescent="0.2">
      <c r="A3049">
        <v>3048</v>
      </c>
      <c r="B3049" t="s">
        <v>10039</v>
      </c>
      <c r="C3049" s="1">
        <v>43078</v>
      </c>
      <c r="D3049" s="22">
        <f>MONTH(Table3[[#This Row],[Order Date]])</f>
        <v>12</v>
      </c>
      <c r="E3049" t="s">
        <v>3666</v>
      </c>
      <c r="F3049" t="s">
        <v>3667</v>
      </c>
      <c r="G3049" s="23" t="s">
        <v>41</v>
      </c>
      <c r="H3049" s="23" t="s">
        <v>68</v>
      </c>
      <c r="I3049" t="s">
        <v>4322</v>
      </c>
      <c r="J3049" t="s">
        <v>22</v>
      </c>
      <c r="K3049" s="22">
        <v>5</v>
      </c>
      <c r="L3049" s="1">
        <v>43084</v>
      </c>
      <c r="M3049" s="22">
        <f>Table3[[#This Row],[Ship Date]]-Table3[[#This Row],[Order Date]]</f>
        <v>6</v>
      </c>
      <c r="N3049" s="23" t="s">
        <v>45</v>
      </c>
      <c r="O3049" s="23" t="s">
        <v>23</v>
      </c>
      <c r="P3049" s="23" t="s">
        <v>212</v>
      </c>
      <c r="Q3049" s="23" t="s">
        <v>95</v>
      </c>
      <c r="R3049" s="23" t="s">
        <v>5779</v>
      </c>
      <c r="S3049" s="33">
        <v>0</v>
      </c>
      <c r="T3049" s="13">
        <v>54.9</v>
      </c>
      <c r="U3049" s="13">
        <v>26.901</v>
      </c>
      <c r="V3049" s="55">
        <f>Table3[[#This Row],[Profit]]/Table3[[#This Row],[Sales]]</f>
        <v>0.49</v>
      </c>
    </row>
    <row r="3050" spans="1:22" x14ac:dyDescent="0.2">
      <c r="A3050">
        <v>3049</v>
      </c>
      <c r="B3050" t="s">
        <v>2752</v>
      </c>
      <c r="C3050" s="1">
        <v>43079</v>
      </c>
      <c r="D3050" s="22">
        <f>MONTH(Table3[[#This Row],[Order Date]])</f>
        <v>12</v>
      </c>
      <c r="E3050" t="s">
        <v>2753</v>
      </c>
      <c r="F3050" t="s">
        <v>2754</v>
      </c>
      <c r="G3050" s="23" t="s">
        <v>41</v>
      </c>
      <c r="H3050" s="23" t="s">
        <v>68</v>
      </c>
      <c r="I3050" t="s">
        <v>1001</v>
      </c>
      <c r="J3050" t="s">
        <v>36</v>
      </c>
      <c r="K3050" s="22">
        <v>4</v>
      </c>
      <c r="L3050" s="1">
        <v>43086</v>
      </c>
      <c r="M3050" s="22">
        <f>Table3[[#This Row],[Ship Date]]-Table3[[#This Row],[Order Date]]</f>
        <v>7</v>
      </c>
      <c r="N3050" s="23" t="s">
        <v>45</v>
      </c>
      <c r="O3050" s="23" t="s">
        <v>23</v>
      </c>
      <c r="P3050" s="23" t="s">
        <v>38</v>
      </c>
      <c r="Q3050" s="23" t="s">
        <v>39</v>
      </c>
      <c r="R3050" s="23" t="s">
        <v>836</v>
      </c>
      <c r="S3050" s="33">
        <v>0.2</v>
      </c>
      <c r="T3050" s="13">
        <v>19.936</v>
      </c>
      <c r="U3050" s="13">
        <v>7.2267999999999999</v>
      </c>
      <c r="V3050" s="55">
        <f>Table3[[#This Row],[Profit]]/Table3[[#This Row],[Sales]]</f>
        <v>0.36249999999999999</v>
      </c>
    </row>
    <row r="3051" spans="1:22" x14ac:dyDescent="0.2">
      <c r="A3051">
        <v>3050</v>
      </c>
      <c r="B3051" t="s">
        <v>2752</v>
      </c>
      <c r="C3051" s="1">
        <v>43079</v>
      </c>
      <c r="D3051" s="22">
        <f>MONTH(Table3[[#This Row],[Order Date]])</f>
        <v>12</v>
      </c>
      <c r="E3051" t="s">
        <v>2755</v>
      </c>
      <c r="F3051" t="s">
        <v>2756</v>
      </c>
      <c r="G3051" s="23" t="s">
        <v>41</v>
      </c>
      <c r="H3051" s="23" t="s">
        <v>68</v>
      </c>
      <c r="I3051" t="s">
        <v>1001</v>
      </c>
      <c r="J3051" t="s">
        <v>36</v>
      </c>
      <c r="K3051" s="22">
        <v>2</v>
      </c>
      <c r="L3051" s="1">
        <v>43086</v>
      </c>
      <c r="M3051" s="22">
        <f>Table3[[#This Row],[Ship Date]]-Table3[[#This Row],[Order Date]]</f>
        <v>7</v>
      </c>
      <c r="N3051" s="23" t="s">
        <v>45</v>
      </c>
      <c r="O3051" s="23" t="s">
        <v>23</v>
      </c>
      <c r="P3051" s="23" t="s">
        <v>38</v>
      </c>
      <c r="Q3051" s="23" t="s">
        <v>39</v>
      </c>
      <c r="R3051" s="23" t="s">
        <v>836</v>
      </c>
      <c r="S3051" s="33">
        <v>0.2</v>
      </c>
      <c r="T3051" s="13">
        <v>65.567999999999998</v>
      </c>
      <c r="U3051" s="13">
        <v>22.948799999999999</v>
      </c>
      <c r="V3051" s="55">
        <f>Table3[[#This Row],[Profit]]/Table3[[#This Row],[Sales]]</f>
        <v>0.35</v>
      </c>
    </row>
    <row r="3052" spans="1:22" x14ac:dyDescent="0.2">
      <c r="A3052">
        <v>3051</v>
      </c>
      <c r="B3052" t="s">
        <v>3213</v>
      </c>
      <c r="C3052" s="1">
        <v>43079</v>
      </c>
      <c r="D3052" s="22">
        <f>MONTH(Table3[[#This Row],[Order Date]])</f>
        <v>12</v>
      </c>
      <c r="E3052" t="s">
        <v>3214</v>
      </c>
      <c r="F3052" t="s">
        <v>3215</v>
      </c>
      <c r="G3052" s="23" t="s">
        <v>64</v>
      </c>
      <c r="H3052" s="23" t="s">
        <v>144</v>
      </c>
      <c r="I3052" t="s">
        <v>532</v>
      </c>
      <c r="J3052" t="s">
        <v>22</v>
      </c>
      <c r="K3052" s="22">
        <v>1</v>
      </c>
      <c r="L3052" s="1">
        <v>43083</v>
      </c>
      <c r="M3052" s="22">
        <f>Table3[[#This Row],[Ship Date]]-Table3[[#This Row],[Order Date]]</f>
        <v>4</v>
      </c>
      <c r="N3052" s="23" t="s">
        <v>45</v>
      </c>
      <c r="O3052" s="23" t="s">
        <v>23</v>
      </c>
      <c r="P3052" s="23" t="s">
        <v>132</v>
      </c>
      <c r="Q3052" s="23" t="s">
        <v>133</v>
      </c>
      <c r="R3052" s="23" t="s">
        <v>131</v>
      </c>
      <c r="S3052" s="33">
        <v>0.2</v>
      </c>
      <c r="T3052" s="13">
        <v>14.2</v>
      </c>
      <c r="U3052" s="13">
        <v>3.3725000000000001</v>
      </c>
      <c r="V3052" s="55">
        <f>Table3[[#This Row],[Profit]]/Table3[[#This Row],[Sales]]</f>
        <v>0.23750000000000002</v>
      </c>
    </row>
    <row r="3053" spans="1:22" x14ac:dyDescent="0.2">
      <c r="A3053">
        <v>3052</v>
      </c>
      <c r="B3053" t="s">
        <v>3558</v>
      </c>
      <c r="C3053" s="1">
        <v>43079</v>
      </c>
      <c r="D3053" s="22">
        <f>MONTH(Table3[[#This Row],[Order Date]])</f>
        <v>12</v>
      </c>
      <c r="E3053" t="s">
        <v>3559</v>
      </c>
      <c r="F3053" t="s">
        <v>3560</v>
      </c>
      <c r="G3053" s="23" t="s">
        <v>41</v>
      </c>
      <c r="H3053" s="23" t="s">
        <v>68</v>
      </c>
      <c r="I3053" t="s">
        <v>487</v>
      </c>
      <c r="J3053" t="s">
        <v>92</v>
      </c>
      <c r="K3053" s="22">
        <v>3</v>
      </c>
      <c r="L3053" s="1">
        <v>43079</v>
      </c>
      <c r="M3053" s="22">
        <f>Table3[[#This Row],[Ship Date]]-Table3[[#This Row],[Order Date]]</f>
        <v>0</v>
      </c>
      <c r="N3053" s="23" t="s">
        <v>1141</v>
      </c>
      <c r="O3053" s="23" t="s">
        <v>23</v>
      </c>
      <c r="P3053" s="23" t="s">
        <v>124</v>
      </c>
      <c r="Q3053" s="23" t="s">
        <v>95</v>
      </c>
      <c r="R3053" s="23" t="s">
        <v>2226</v>
      </c>
      <c r="S3053" s="33">
        <v>0</v>
      </c>
      <c r="T3053" s="13">
        <v>34.5</v>
      </c>
      <c r="U3053" s="13">
        <v>15.525</v>
      </c>
      <c r="V3053" s="55">
        <f>Table3[[#This Row],[Profit]]/Table3[[#This Row],[Sales]]</f>
        <v>0.45</v>
      </c>
    </row>
    <row r="3054" spans="1:22" x14ac:dyDescent="0.2">
      <c r="A3054">
        <v>3053</v>
      </c>
      <c r="B3054" t="s">
        <v>3567</v>
      </c>
      <c r="C3054" s="1">
        <v>43079</v>
      </c>
      <c r="D3054" s="22">
        <f>MONTH(Table3[[#This Row],[Order Date]])</f>
        <v>12</v>
      </c>
      <c r="E3054" t="s">
        <v>1677</v>
      </c>
      <c r="F3054" t="s">
        <v>1678</v>
      </c>
      <c r="G3054" s="23" t="s">
        <v>28</v>
      </c>
      <c r="H3054" s="23" t="s">
        <v>50</v>
      </c>
      <c r="I3054" t="s">
        <v>1961</v>
      </c>
      <c r="J3054" t="s">
        <v>22</v>
      </c>
      <c r="K3054" s="22">
        <v>4</v>
      </c>
      <c r="L3054" s="1">
        <v>43083</v>
      </c>
      <c r="M3054" s="22">
        <f>Table3[[#This Row],[Ship Date]]-Table3[[#This Row],[Order Date]]</f>
        <v>4</v>
      </c>
      <c r="N3054" s="23" t="s">
        <v>20</v>
      </c>
      <c r="O3054" s="23" t="s">
        <v>23</v>
      </c>
      <c r="P3054" s="23" t="s">
        <v>1229</v>
      </c>
      <c r="Q3054" s="23" t="s">
        <v>39</v>
      </c>
      <c r="R3054" s="23" t="s">
        <v>3568</v>
      </c>
      <c r="S3054" s="33">
        <v>0</v>
      </c>
      <c r="T3054" s="13">
        <v>1669.6</v>
      </c>
      <c r="U3054" s="13">
        <v>116.872</v>
      </c>
      <c r="V3054" s="55">
        <f>Table3[[#This Row],[Profit]]/Table3[[#This Row],[Sales]]</f>
        <v>7.0000000000000007E-2</v>
      </c>
    </row>
    <row r="3055" spans="1:22" x14ac:dyDescent="0.2">
      <c r="A3055">
        <v>3054</v>
      </c>
      <c r="B3055" t="s">
        <v>3855</v>
      </c>
      <c r="C3055" s="1">
        <v>43079</v>
      </c>
      <c r="D3055" s="22">
        <f>MONTH(Table3[[#This Row],[Order Date]])</f>
        <v>12</v>
      </c>
      <c r="E3055" t="s">
        <v>2539</v>
      </c>
      <c r="F3055" t="s">
        <v>2540</v>
      </c>
      <c r="G3055" s="23" t="s">
        <v>41</v>
      </c>
      <c r="H3055" s="23" t="s">
        <v>82</v>
      </c>
      <c r="I3055" t="s">
        <v>3662</v>
      </c>
      <c r="J3055" t="s">
        <v>22</v>
      </c>
      <c r="K3055" s="22">
        <v>2</v>
      </c>
      <c r="L3055" s="1">
        <v>43081</v>
      </c>
      <c r="M3055" s="22">
        <f>Table3[[#This Row],[Ship Date]]-Table3[[#This Row],[Order Date]]</f>
        <v>2</v>
      </c>
      <c r="N3055" s="23" t="s">
        <v>169</v>
      </c>
      <c r="O3055" s="23" t="s">
        <v>23</v>
      </c>
      <c r="P3055" s="23" t="s">
        <v>132</v>
      </c>
      <c r="Q3055" s="23" t="s">
        <v>133</v>
      </c>
      <c r="R3055" s="23" t="s">
        <v>131</v>
      </c>
      <c r="S3055" s="33">
        <v>0.2</v>
      </c>
      <c r="T3055" s="13">
        <v>10.368</v>
      </c>
      <c r="U3055" s="13">
        <v>3.6288</v>
      </c>
      <c r="V3055" s="55">
        <f>Table3[[#This Row],[Profit]]/Table3[[#This Row],[Sales]]</f>
        <v>0.35</v>
      </c>
    </row>
    <row r="3056" spans="1:22" x14ac:dyDescent="0.2">
      <c r="A3056">
        <v>3055</v>
      </c>
      <c r="B3056" t="s">
        <v>3855</v>
      </c>
      <c r="C3056" s="1">
        <v>43079</v>
      </c>
      <c r="D3056" s="22">
        <f>MONTH(Table3[[#This Row],[Order Date]])</f>
        <v>12</v>
      </c>
      <c r="E3056" t="s">
        <v>2140</v>
      </c>
      <c r="F3056" t="s">
        <v>2141</v>
      </c>
      <c r="G3056" s="23" t="s">
        <v>28</v>
      </c>
      <c r="H3056" s="23" t="s">
        <v>58</v>
      </c>
      <c r="I3056" t="s">
        <v>3662</v>
      </c>
      <c r="J3056" t="s">
        <v>22</v>
      </c>
      <c r="K3056" s="22">
        <v>2</v>
      </c>
      <c r="L3056" s="1">
        <v>43081</v>
      </c>
      <c r="M3056" s="22">
        <f>Table3[[#This Row],[Ship Date]]-Table3[[#This Row],[Order Date]]</f>
        <v>2</v>
      </c>
      <c r="N3056" s="23" t="s">
        <v>169</v>
      </c>
      <c r="O3056" s="23" t="s">
        <v>23</v>
      </c>
      <c r="P3056" s="23" t="s">
        <v>132</v>
      </c>
      <c r="Q3056" s="23" t="s">
        <v>133</v>
      </c>
      <c r="R3056" s="23" t="s">
        <v>131</v>
      </c>
      <c r="S3056" s="33">
        <v>0.2</v>
      </c>
      <c r="T3056" s="13">
        <v>310.88</v>
      </c>
      <c r="U3056" s="13">
        <v>23.315999999999999</v>
      </c>
      <c r="V3056" s="55">
        <f>Table3[[#This Row],[Profit]]/Table3[[#This Row],[Sales]]</f>
        <v>7.4999999999999997E-2</v>
      </c>
    </row>
    <row r="3057" spans="1:22" x14ac:dyDescent="0.2">
      <c r="A3057">
        <v>3056</v>
      </c>
      <c r="B3057" t="s">
        <v>4750</v>
      </c>
      <c r="C3057" s="1">
        <v>43079</v>
      </c>
      <c r="D3057" s="22">
        <f>MONTH(Table3[[#This Row],[Order Date]])</f>
        <v>12</v>
      </c>
      <c r="E3057" t="s">
        <v>521</v>
      </c>
      <c r="F3057" t="s">
        <v>522</v>
      </c>
      <c r="G3057" s="23" t="s">
        <v>41</v>
      </c>
      <c r="H3057" s="23" t="s">
        <v>155</v>
      </c>
      <c r="I3057" t="s">
        <v>3114</v>
      </c>
      <c r="J3057" t="s">
        <v>22</v>
      </c>
      <c r="K3057" s="22">
        <v>3</v>
      </c>
      <c r="L3057" s="1">
        <v>43079</v>
      </c>
      <c r="M3057" s="22">
        <f>Table3[[#This Row],[Ship Date]]-Table3[[#This Row],[Order Date]]</f>
        <v>0</v>
      </c>
      <c r="N3057" s="23" t="s">
        <v>1141</v>
      </c>
      <c r="O3057" s="23" t="s">
        <v>23</v>
      </c>
      <c r="P3057" s="23" t="s">
        <v>660</v>
      </c>
      <c r="Q3057" s="23" t="s">
        <v>133</v>
      </c>
      <c r="R3057" s="23" t="s">
        <v>659</v>
      </c>
      <c r="S3057" s="33">
        <v>0</v>
      </c>
      <c r="T3057" s="13">
        <v>10.86</v>
      </c>
      <c r="U3057" s="13">
        <v>5.1041999999999996</v>
      </c>
      <c r="V3057" s="55">
        <f>Table3[[#This Row],[Profit]]/Table3[[#This Row],[Sales]]</f>
        <v>0.47</v>
      </c>
    </row>
    <row r="3058" spans="1:22" x14ac:dyDescent="0.2">
      <c r="A3058">
        <v>3057</v>
      </c>
      <c r="B3058" t="s">
        <v>4750</v>
      </c>
      <c r="C3058" s="1">
        <v>43079</v>
      </c>
      <c r="D3058" s="22">
        <f>MONTH(Table3[[#This Row],[Order Date]])</f>
        <v>12</v>
      </c>
      <c r="E3058" t="s">
        <v>4751</v>
      </c>
      <c r="F3058" t="s">
        <v>4752</v>
      </c>
      <c r="G3058" s="23" t="s">
        <v>41</v>
      </c>
      <c r="H3058" s="23" t="s">
        <v>71</v>
      </c>
      <c r="I3058" t="s">
        <v>3114</v>
      </c>
      <c r="J3058" t="s">
        <v>22</v>
      </c>
      <c r="K3058" s="22">
        <v>7</v>
      </c>
      <c r="L3058" s="1">
        <v>43079</v>
      </c>
      <c r="M3058" s="22">
        <f>Table3[[#This Row],[Ship Date]]-Table3[[#This Row],[Order Date]]</f>
        <v>0</v>
      </c>
      <c r="N3058" s="23" t="s">
        <v>1141</v>
      </c>
      <c r="O3058" s="23" t="s">
        <v>23</v>
      </c>
      <c r="P3058" s="23" t="s">
        <v>660</v>
      </c>
      <c r="Q3058" s="23" t="s">
        <v>133</v>
      </c>
      <c r="R3058" s="23" t="s">
        <v>659</v>
      </c>
      <c r="S3058" s="33">
        <v>0</v>
      </c>
      <c r="T3058" s="13">
        <v>426.79</v>
      </c>
      <c r="U3058" s="13">
        <v>123.76909999999999</v>
      </c>
      <c r="V3058" s="55">
        <f>Table3[[#This Row],[Profit]]/Table3[[#This Row],[Sales]]</f>
        <v>0.28999999999999998</v>
      </c>
    </row>
    <row r="3059" spans="1:22" x14ac:dyDescent="0.2">
      <c r="A3059">
        <v>3058</v>
      </c>
      <c r="B3059" t="s">
        <v>5295</v>
      </c>
      <c r="C3059" s="1">
        <v>43079</v>
      </c>
      <c r="D3059" s="22">
        <f>MONTH(Table3[[#This Row],[Order Date]])</f>
        <v>12</v>
      </c>
      <c r="E3059" t="s">
        <v>2543</v>
      </c>
      <c r="F3059" t="s">
        <v>814</v>
      </c>
      <c r="G3059" s="23" t="s">
        <v>28</v>
      </c>
      <c r="H3059" s="23" t="s">
        <v>58</v>
      </c>
      <c r="I3059" t="s">
        <v>4027</v>
      </c>
      <c r="J3059" t="s">
        <v>22</v>
      </c>
      <c r="K3059" s="22">
        <v>3</v>
      </c>
      <c r="L3059" s="1">
        <v>43081</v>
      </c>
      <c r="M3059" s="22">
        <f>Table3[[#This Row],[Ship Date]]-Table3[[#This Row],[Order Date]]</f>
        <v>2</v>
      </c>
      <c r="N3059" s="23" t="s">
        <v>169</v>
      </c>
      <c r="O3059" s="23" t="s">
        <v>23</v>
      </c>
      <c r="P3059" s="23" t="s">
        <v>48</v>
      </c>
      <c r="Q3059" s="23" t="s">
        <v>26</v>
      </c>
      <c r="R3059" s="23" t="s">
        <v>47</v>
      </c>
      <c r="S3059" s="33">
        <v>0.2</v>
      </c>
      <c r="T3059" s="13">
        <v>19.103999999999999</v>
      </c>
      <c r="U3059" s="13">
        <v>5.7312000000000003</v>
      </c>
      <c r="V3059" s="55">
        <f>Table3[[#This Row],[Profit]]/Table3[[#This Row],[Sales]]</f>
        <v>0.30000000000000004</v>
      </c>
    </row>
    <row r="3060" spans="1:22" x14ac:dyDescent="0.2">
      <c r="A3060">
        <v>3059</v>
      </c>
      <c r="B3060" t="s">
        <v>5774</v>
      </c>
      <c r="C3060" s="1">
        <v>43079</v>
      </c>
      <c r="D3060" s="22">
        <f>MONTH(Table3[[#This Row],[Order Date]])</f>
        <v>12</v>
      </c>
      <c r="E3060" t="s">
        <v>3320</v>
      </c>
      <c r="F3060" t="s">
        <v>3321</v>
      </c>
      <c r="G3060" s="23" t="s">
        <v>64</v>
      </c>
      <c r="H3060" s="23" t="s">
        <v>144</v>
      </c>
      <c r="I3060" t="s">
        <v>1001</v>
      </c>
      <c r="J3060" t="s">
        <v>36</v>
      </c>
      <c r="K3060" s="22">
        <v>3</v>
      </c>
      <c r="L3060" s="1">
        <v>43081</v>
      </c>
      <c r="M3060" s="22">
        <f>Table3[[#This Row],[Ship Date]]-Table3[[#This Row],[Order Date]]</f>
        <v>2</v>
      </c>
      <c r="N3060" s="23" t="s">
        <v>20</v>
      </c>
      <c r="O3060" s="23" t="s">
        <v>23</v>
      </c>
      <c r="P3060" s="23" t="s">
        <v>87</v>
      </c>
      <c r="Q3060" s="23" t="s">
        <v>39</v>
      </c>
      <c r="R3060" s="23" t="s">
        <v>86</v>
      </c>
      <c r="S3060" s="33">
        <v>0</v>
      </c>
      <c r="T3060" s="13">
        <v>49.08</v>
      </c>
      <c r="U3060" s="13">
        <v>4.9080000000000004</v>
      </c>
      <c r="V3060" s="55">
        <f>Table3[[#This Row],[Profit]]/Table3[[#This Row],[Sales]]</f>
        <v>0.1</v>
      </c>
    </row>
    <row r="3061" spans="1:22" x14ac:dyDescent="0.2">
      <c r="A3061">
        <v>3060</v>
      </c>
      <c r="B3061" t="s">
        <v>5774</v>
      </c>
      <c r="C3061" s="1">
        <v>43079</v>
      </c>
      <c r="D3061" s="22">
        <f>MONTH(Table3[[#This Row],[Order Date]])</f>
        <v>12</v>
      </c>
      <c r="E3061" t="s">
        <v>1364</v>
      </c>
      <c r="F3061" t="s">
        <v>1365</v>
      </c>
      <c r="G3061" s="23" t="s">
        <v>41</v>
      </c>
      <c r="H3061" s="23" t="s">
        <v>53</v>
      </c>
      <c r="I3061" t="s">
        <v>1001</v>
      </c>
      <c r="J3061" t="s">
        <v>36</v>
      </c>
      <c r="K3061" s="22">
        <v>5</v>
      </c>
      <c r="L3061" s="1">
        <v>43081</v>
      </c>
      <c r="M3061" s="22">
        <f>Table3[[#This Row],[Ship Date]]-Table3[[#This Row],[Order Date]]</f>
        <v>2</v>
      </c>
      <c r="N3061" s="23" t="s">
        <v>20</v>
      </c>
      <c r="O3061" s="23" t="s">
        <v>23</v>
      </c>
      <c r="P3061" s="23" t="s">
        <v>87</v>
      </c>
      <c r="Q3061" s="23" t="s">
        <v>39</v>
      </c>
      <c r="R3061" s="23" t="s">
        <v>86</v>
      </c>
      <c r="S3061" s="33">
        <v>0</v>
      </c>
      <c r="T3061" s="13">
        <v>324.89999999999998</v>
      </c>
      <c r="U3061" s="13">
        <v>38.988</v>
      </c>
      <c r="V3061" s="55">
        <f>Table3[[#This Row],[Profit]]/Table3[[#This Row],[Sales]]</f>
        <v>0.12000000000000001</v>
      </c>
    </row>
    <row r="3062" spans="1:22" x14ac:dyDescent="0.2">
      <c r="A3062">
        <v>3061</v>
      </c>
      <c r="B3062" t="s">
        <v>5774</v>
      </c>
      <c r="C3062" s="1">
        <v>43079</v>
      </c>
      <c r="D3062" s="22">
        <f>MONTH(Table3[[#This Row],[Order Date]])</f>
        <v>12</v>
      </c>
      <c r="E3062" t="s">
        <v>5775</v>
      </c>
      <c r="F3062" t="s">
        <v>5776</v>
      </c>
      <c r="G3062" s="23" t="s">
        <v>41</v>
      </c>
      <c r="H3062" s="23" t="s">
        <v>61</v>
      </c>
      <c r="I3062" t="s">
        <v>1001</v>
      </c>
      <c r="J3062" t="s">
        <v>36</v>
      </c>
      <c r="K3062" s="22">
        <v>3</v>
      </c>
      <c r="L3062" s="1">
        <v>43081</v>
      </c>
      <c r="M3062" s="22">
        <f>Table3[[#This Row],[Ship Date]]-Table3[[#This Row],[Order Date]]</f>
        <v>2</v>
      </c>
      <c r="N3062" s="23" t="s">
        <v>20</v>
      </c>
      <c r="O3062" s="23" t="s">
        <v>23</v>
      </c>
      <c r="P3062" s="23" t="s">
        <v>87</v>
      </c>
      <c r="Q3062" s="23" t="s">
        <v>39</v>
      </c>
      <c r="R3062" s="23" t="s">
        <v>86</v>
      </c>
      <c r="S3062" s="33">
        <v>0</v>
      </c>
      <c r="T3062" s="13">
        <v>18.239999999999998</v>
      </c>
      <c r="U3062" s="13">
        <v>5.2896000000000001</v>
      </c>
      <c r="V3062" s="55">
        <f>Table3[[#This Row],[Profit]]/Table3[[#This Row],[Sales]]</f>
        <v>0.29000000000000004</v>
      </c>
    </row>
    <row r="3063" spans="1:22" x14ac:dyDescent="0.2">
      <c r="A3063">
        <v>3062</v>
      </c>
      <c r="B3063" t="s">
        <v>6006</v>
      </c>
      <c r="C3063" s="1">
        <v>43079</v>
      </c>
      <c r="D3063" s="22">
        <f>MONTH(Table3[[#This Row],[Order Date]])</f>
        <v>12</v>
      </c>
      <c r="E3063" t="s">
        <v>2238</v>
      </c>
      <c r="F3063" t="s">
        <v>2239</v>
      </c>
      <c r="G3063" s="23" t="s">
        <v>64</v>
      </c>
      <c r="H3063" s="23" t="s">
        <v>144</v>
      </c>
      <c r="I3063" t="s">
        <v>6007</v>
      </c>
      <c r="J3063" t="s">
        <v>92</v>
      </c>
      <c r="K3063" s="22">
        <v>3</v>
      </c>
      <c r="L3063" s="1">
        <v>43084</v>
      </c>
      <c r="M3063" s="22">
        <f>Table3[[#This Row],[Ship Date]]-Table3[[#This Row],[Order Date]]</f>
        <v>5</v>
      </c>
      <c r="N3063" s="23" t="s">
        <v>20</v>
      </c>
      <c r="O3063" s="23" t="s">
        <v>23</v>
      </c>
      <c r="P3063" s="23" t="s">
        <v>1315</v>
      </c>
      <c r="Q3063" s="23" t="s">
        <v>26</v>
      </c>
      <c r="R3063" s="23" t="s">
        <v>293</v>
      </c>
      <c r="S3063" s="33">
        <v>0</v>
      </c>
      <c r="T3063" s="13">
        <v>599.97</v>
      </c>
      <c r="U3063" s="13">
        <v>257.9871</v>
      </c>
      <c r="V3063" s="55">
        <f>Table3[[#This Row],[Profit]]/Table3[[#This Row],[Sales]]</f>
        <v>0.43</v>
      </c>
    </row>
    <row r="3064" spans="1:22" x14ac:dyDescent="0.2">
      <c r="A3064">
        <v>3063</v>
      </c>
      <c r="B3064" t="s">
        <v>6006</v>
      </c>
      <c r="C3064" s="1">
        <v>43079</v>
      </c>
      <c r="D3064" s="22">
        <f>MONTH(Table3[[#This Row],[Order Date]])</f>
        <v>12</v>
      </c>
      <c r="E3064" t="s">
        <v>2691</v>
      </c>
      <c r="F3064" t="s">
        <v>2692</v>
      </c>
      <c r="G3064" s="23" t="s">
        <v>64</v>
      </c>
      <c r="H3064" s="23" t="s">
        <v>65</v>
      </c>
      <c r="I3064" t="s">
        <v>6007</v>
      </c>
      <c r="J3064" t="s">
        <v>92</v>
      </c>
      <c r="K3064" s="22">
        <v>3</v>
      </c>
      <c r="L3064" s="1">
        <v>43084</v>
      </c>
      <c r="M3064" s="22">
        <f>Table3[[#This Row],[Ship Date]]-Table3[[#This Row],[Order Date]]</f>
        <v>5</v>
      </c>
      <c r="N3064" s="23" t="s">
        <v>20</v>
      </c>
      <c r="O3064" s="23" t="s">
        <v>23</v>
      </c>
      <c r="P3064" s="23" t="s">
        <v>1315</v>
      </c>
      <c r="Q3064" s="23" t="s">
        <v>26</v>
      </c>
      <c r="R3064" s="23" t="s">
        <v>293</v>
      </c>
      <c r="S3064" s="33">
        <v>0</v>
      </c>
      <c r="T3064" s="13">
        <v>38.97</v>
      </c>
      <c r="U3064" s="13">
        <v>0.77939999999999998</v>
      </c>
      <c r="V3064" s="55">
        <f>Table3[[#This Row],[Profit]]/Table3[[#This Row],[Sales]]</f>
        <v>0.02</v>
      </c>
    </row>
    <row r="3065" spans="1:22" x14ac:dyDescent="0.2">
      <c r="A3065">
        <v>3064</v>
      </c>
      <c r="B3065" t="s">
        <v>6006</v>
      </c>
      <c r="C3065" s="1">
        <v>43079</v>
      </c>
      <c r="D3065" s="22">
        <f>MONTH(Table3[[#This Row],[Order Date]])</f>
        <v>12</v>
      </c>
      <c r="E3065" t="s">
        <v>6008</v>
      </c>
      <c r="F3065" t="s">
        <v>6009</v>
      </c>
      <c r="G3065" s="23" t="s">
        <v>41</v>
      </c>
      <c r="H3065" s="23" t="s">
        <v>68</v>
      </c>
      <c r="I3065" t="s">
        <v>6007</v>
      </c>
      <c r="J3065" t="s">
        <v>92</v>
      </c>
      <c r="K3065" s="22">
        <v>8</v>
      </c>
      <c r="L3065" s="1">
        <v>43084</v>
      </c>
      <c r="M3065" s="22">
        <f>Table3[[#This Row],[Ship Date]]-Table3[[#This Row],[Order Date]]</f>
        <v>5</v>
      </c>
      <c r="N3065" s="23" t="s">
        <v>20</v>
      </c>
      <c r="O3065" s="23" t="s">
        <v>23</v>
      </c>
      <c r="P3065" s="23" t="s">
        <v>1315</v>
      </c>
      <c r="Q3065" s="23" t="s">
        <v>26</v>
      </c>
      <c r="R3065" s="23" t="s">
        <v>293</v>
      </c>
      <c r="S3065" s="33">
        <v>0</v>
      </c>
      <c r="T3065" s="13">
        <v>45.84</v>
      </c>
      <c r="U3065" s="13">
        <v>22.0032</v>
      </c>
      <c r="V3065" s="55">
        <f>Table3[[#This Row],[Profit]]/Table3[[#This Row],[Sales]]</f>
        <v>0.48</v>
      </c>
    </row>
    <row r="3066" spans="1:22" x14ac:dyDescent="0.2">
      <c r="A3066">
        <v>3065</v>
      </c>
      <c r="B3066" t="s">
        <v>6700</v>
      </c>
      <c r="C3066" s="1">
        <v>43079</v>
      </c>
      <c r="D3066" s="22">
        <f>MONTH(Table3[[#This Row],[Order Date]])</f>
        <v>12</v>
      </c>
      <c r="E3066" t="s">
        <v>6434</v>
      </c>
      <c r="F3066" t="s">
        <v>6435</v>
      </c>
      <c r="G3066" s="23" t="s">
        <v>64</v>
      </c>
      <c r="H3066" s="23" t="s">
        <v>65</v>
      </c>
      <c r="I3066" t="s">
        <v>6701</v>
      </c>
      <c r="J3066" t="s">
        <v>22</v>
      </c>
      <c r="K3066" s="22">
        <v>4</v>
      </c>
      <c r="L3066" s="1">
        <v>43081</v>
      </c>
      <c r="M3066" s="22">
        <f>Table3[[#This Row],[Ship Date]]-Table3[[#This Row],[Order Date]]</f>
        <v>2</v>
      </c>
      <c r="N3066" s="23" t="s">
        <v>20</v>
      </c>
      <c r="O3066" s="23" t="s">
        <v>23</v>
      </c>
      <c r="P3066" s="23" t="s">
        <v>38</v>
      </c>
      <c r="Q3066" s="23" t="s">
        <v>39</v>
      </c>
      <c r="R3066" s="23" t="s">
        <v>4457</v>
      </c>
      <c r="S3066" s="33">
        <v>0.2</v>
      </c>
      <c r="T3066" s="13">
        <v>95.84</v>
      </c>
      <c r="U3066" s="13">
        <v>34.741999999999997</v>
      </c>
      <c r="V3066" s="55">
        <f>Table3[[#This Row],[Profit]]/Table3[[#This Row],[Sales]]</f>
        <v>0.36249999999999993</v>
      </c>
    </row>
    <row r="3067" spans="1:22" x14ac:dyDescent="0.2">
      <c r="A3067">
        <v>3066</v>
      </c>
      <c r="B3067" t="s">
        <v>6700</v>
      </c>
      <c r="C3067" s="1">
        <v>43079</v>
      </c>
      <c r="D3067" s="22">
        <f>MONTH(Table3[[#This Row],[Order Date]])</f>
        <v>12</v>
      </c>
      <c r="E3067" t="s">
        <v>1747</v>
      </c>
      <c r="F3067" t="s">
        <v>1748</v>
      </c>
      <c r="G3067" s="23" t="s">
        <v>41</v>
      </c>
      <c r="H3067" s="23" t="s">
        <v>82</v>
      </c>
      <c r="I3067" t="s">
        <v>6701</v>
      </c>
      <c r="J3067" t="s">
        <v>22</v>
      </c>
      <c r="K3067" s="22">
        <v>2</v>
      </c>
      <c r="L3067" s="1">
        <v>43081</v>
      </c>
      <c r="M3067" s="22">
        <f>Table3[[#This Row],[Ship Date]]-Table3[[#This Row],[Order Date]]</f>
        <v>2</v>
      </c>
      <c r="N3067" s="23" t="s">
        <v>20</v>
      </c>
      <c r="O3067" s="23" t="s">
        <v>23</v>
      </c>
      <c r="P3067" s="23" t="s">
        <v>38</v>
      </c>
      <c r="Q3067" s="23" t="s">
        <v>39</v>
      </c>
      <c r="R3067" s="23" t="s">
        <v>4457</v>
      </c>
      <c r="S3067" s="33">
        <v>0</v>
      </c>
      <c r="T3067" s="13">
        <v>12.96</v>
      </c>
      <c r="U3067" s="13">
        <v>6.2207999999999997</v>
      </c>
      <c r="V3067" s="55">
        <f>Table3[[#This Row],[Profit]]/Table3[[#This Row],[Sales]]</f>
        <v>0.47999999999999993</v>
      </c>
    </row>
    <row r="3068" spans="1:22" x14ac:dyDescent="0.2">
      <c r="A3068">
        <v>3067</v>
      </c>
      <c r="B3068" t="s">
        <v>8389</v>
      </c>
      <c r="C3068" s="1">
        <v>43079</v>
      </c>
      <c r="D3068" s="22">
        <f>MONTH(Table3[[#This Row],[Order Date]])</f>
        <v>12</v>
      </c>
      <c r="E3068" t="s">
        <v>4489</v>
      </c>
      <c r="F3068" t="s">
        <v>4490</v>
      </c>
      <c r="G3068" s="23" t="s">
        <v>28</v>
      </c>
      <c r="H3068" s="23" t="s">
        <v>58</v>
      </c>
      <c r="I3068" t="s">
        <v>540</v>
      </c>
      <c r="J3068" t="s">
        <v>36</v>
      </c>
      <c r="K3068" s="22">
        <v>2</v>
      </c>
      <c r="L3068" s="1">
        <v>43084</v>
      </c>
      <c r="M3068" s="22">
        <f>Table3[[#This Row],[Ship Date]]-Table3[[#This Row],[Order Date]]</f>
        <v>5</v>
      </c>
      <c r="N3068" s="23" t="s">
        <v>45</v>
      </c>
      <c r="O3068" s="23" t="s">
        <v>23</v>
      </c>
      <c r="P3068" s="23" t="s">
        <v>342</v>
      </c>
      <c r="Q3068" s="23" t="s">
        <v>26</v>
      </c>
      <c r="R3068" s="23" t="s">
        <v>4901</v>
      </c>
      <c r="S3068" s="33">
        <v>0</v>
      </c>
      <c r="T3068" s="13">
        <v>14.76</v>
      </c>
      <c r="U3068" s="13">
        <v>4.2804000000000002</v>
      </c>
      <c r="V3068" s="55">
        <f>Table3[[#This Row],[Profit]]/Table3[[#This Row],[Sales]]</f>
        <v>0.29000000000000004</v>
      </c>
    </row>
    <row r="3069" spans="1:22" x14ac:dyDescent="0.2">
      <c r="A3069">
        <v>3068</v>
      </c>
      <c r="B3069" t="s">
        <v>9816</v>
      </c>
      <c r="C3069" s="1">
        <v>43079</v>
      </c>
      <c r="D3069" s="22">
        <f>MONTH(Table3[[#This Row],[Order Date]])</f>
        <v>12</v>
      </c>
      <c r="E3069" t="s">
        <v>2175</v>
      </c>
      <c r="F3069" t="s">
        <v>2176</v>
      </c>
      <c r="G3069" s="23" t="s">
        <v>41</v>
      </c>
      <c r="H3069" s="23" t="s">
        <v>68</v>
      </c>
      <c r="I3069" t="s">
        <v>4484</v>
      </c>
      <c r="J3069" t="s">
        <v>22</v>
      </c>
      <c r="K3069" s="22">
        <v>1</v>
      </c>
      <c r="L3069" s="1">
        <v>43082</v>
      </c>
      <c r="M3069" s="22">
        <f>Table3[[#This Row],[Ship Date]]-Table3[[#This Row],[Order Date]]</f>
        <v>3</v>
      </c>
      <c r="N3069" s="23" t="s">
        <v>169</v>
      </c>
      <c r="O3069" s="23" t="s">
        <v>23</v>
      </c>
      <c r="P3069" s="23" t="s">
        <v>132</v>
      </c>
      <c r="Q3069" s="23" t="s">
        <v>133</v>
      </c>
      <c r="R3069" s="23" t="s">
        <v>131</v>
      </c>
      <c r="S3069" s="33">
        <v>0.7</v>
      </c>
      <c r="T3069" s="13">
        <v>3.2730000000000001</v>
      </c>
      <c r="U3069" s="13">
        <v>-2.5093000000000001</v>
      </c>
      <c r="V3069" s="55">
        <f>Table3[[#This Row],[Profit]]/Table3[[#This Row],[Sales]]</f>
        <v>-0.76666666666666661</v>
      </c>
    </row>
    <row r="3070" spans="1:22" x14ac:dyDescent="0.2">
      <c r="A3070">
        <v>3069</v>
      </c>
      <c r="B3070" t="s">
        <v>9816</v>
      </c>
      <c r="C3070" s="1">
        <v>43079</v>
      </c>
      <c r="D3070" s="22">
        <f>MONTH(Table3[[#This Row],[Order Date]])</f>
        <v>12</v>
      </c>
      <c r="E3070" t="s">
        <v>1726</v>
      </c>
      <c r="F3070" t="s">
        <v>1727</v>
      </c>
      <c r="G3070" s="23" t="s">
        <v>28</v>
      </c>
      <c r="H3070" s="23" t="s">
        <v>58</v>
      </c>
      <c r="I3070" t="s">
        <v>4484</v>
      </c>
      <c r="J3070" t="s">
        <v>22</v>
      </c>
      <c r="K3070" s="22">
        <v>5</v>
      </c>
      <c r="L3070" s="1">
        <v>43082</v>
      </c>
      <c r="M3070" s="22">
        <f>Table3[[#This Row],[Ship Date]]-Table3[[#This Row],[Order Date]]</f>
        <v>3</v>
      </c>
      <c r="N3070" s="23" t="s">
        <v>169</v>
      </c>
      <c r="O3070" s="23" t="s">
        <v>23</v>
      </c>
      <c r="P3070" s="23" t="s">
        <v>132</v>
      </c>
      <c r="Q3070" s="23" t="s">
        <v>133</v>
      </c>
      <c r="R3070" s="23" t="s">
        <v>131</v>
      </c>
      <c r="S3070" s="33">
        <v>0.2</v>
      </c>
      <c r="T3070" s="13">
        <v>87.92</v>
      </c>
      <c r="U3070" s="13">
        <v>15.385999999999999</v>
      </c>
      <c r="V3070" s="55">
        <f>Table3[[#This Row],[Profit]]/Table3[[#This Row],[Sales]]</f>
        <v>0.17499999999999999</v>
      </c>
    </row>
    <row r="3071" spans="1:22" x14ac:dyDescent="0.2">
      <c r="A3071">
        <v>3070</v>
      </c>
      <c r="B3071" t="s">
        <v>1210</v>
      </c>
      <c r="C3071" s="1">
        <v>43080</v>
      </c>
      <c r="D3071" s="22">
        <f>MONTH(Table3[[#This Row],[Order Date]])</f>
        <v>12</v>
      </c>
      <c r="E3071" t="s">
        <v>1212</v>
      </c>
      <c r="F3071" t="s">
        <v>1213</v>
      </c>
      <c r="G3071" s="23" t="s">
        <v>41</v>
      </c>
      <c r="H3071" s="23" t="s">
        <v>68</v>
      </c>
      <c r="I3071" t="s">
        <v>1211</v>
      </c>
      <c r="J3071" t="s">
        <v>22</v>
      </c>
      <c r="K3071" s="22">
        <v>4</v>
      </c>
      <c r="L3071" s="1">
        <v>43084</v>
      </c>
      <c r="M3071" s="22">
        <f>Table3[[#This Row],[Ship Date]]-Table3[[#This Row],[Order Date]]</f>
        <v>4</v>
      </c>
      <c r="N3071" s="23" t="s">
        <v>45</v>
      </c>
      <c r="O3071" s="23" t="s">
        <v>23</v>
      </c>
      <c r="P3071" s="23" t="s">
        <v>238</v>
      </c>
      <c r="Q3071" s="23" t="s">
        <v>133</v>
      </c>
      <c r="R3071" s="23" t="s">
        <v>237</v>
      </c>
      <c r="S3071" s="33">
        <v>0.2</v>
      </c>
      <c r="T3071" s="13">
        <v>23.36</v>
      </c>
      <c r="U3071" s="13">
        <v>7.8840000000000003</v>
      </c>
      <c r="V3071" s="55">
        <f>Table3[[#This Row],[Profit]]/Table3[[#This Row],[Sales]]</f>
        <v>0.33750000000000002</v>
      </c>
    </row>
    <row r="3072" spans="1:22" x14ac:dyDescent="0.2">
      <c r="A3072">
        <v>3071</v>
      </c>
      <c r="B3072" t="s">
        <v>1210</v>
      </c>
      <c r="C3072" s="1">
        <v>43080</v>
      </c>
      <c r="D3072" s="22">
        <f>MONTH(Table3[[#This Row],[Order Date]])</f>
        <v>12</v>
      </c>
      <c r="E3072" t="s">
        <v>348</v>
      </c>
      <c r="F3072" t="s">
        <v>349</v>
      </c>
      <c r="G3072" s="23" t="s">
        <v>64</v>
      </c>
      <c r="H3072" s="23" t="s">
        <v>144</v>
      </c>
      <c r="I3072" t="s">
        <v>1211</v>
      </c>
      <c r="J3072" t="s">
        <v>22</v>
      </c>
      <c r="K3072" s="22">
        <v>2</v>
      </c>
      <c r="L3072" s="1">
        <v>43084</v>
      </c>
      <c r="M3072" s="22">
        <f>Table3[[#This Row],[Ship Date]]-Table3[[#This Row],[Order Date]]</f>
        <v>4</v>
      </c>
      <c r="N3072" s="23" t="s">
        <v>45</v>
      </c>
      <c r="O3072" s="23" t="s">
        <v>23</v>
      </c>
      <c r="P3072" s="23" t="s">
        <v>238</v>
      </c>
      <c r="Q3072" s="23" t="s">
        <v>133</v>
      </c>
      <c r="R3072" s="23" t="s">
        <v>237</v>
      </c>
      <c r="S3072" s="33">
        <v>0</v>
      </c>
      <c r="T3072" s="13">
        <v>39.979999999999997</v>
      </c>
      <c r="U3072" s="13">
        <v>13.5932</v>
      </c>
      <c r="V3072" s="55">
        <f>Table3[[#This Row],[Profit]]/Table3[[#This Row],[Sales]]</f>
        <v>0.34</v>
      </c>
    </row>
    <row r="3073" spans="1:22" x14ac:dyDescent="0.2">
      <c r="A3073">
        <v>3072</v>
      </c>
      <c r="B3073" t="s">
        <v>3565</v>
      </c>
      <c r="C3073" s="1">
        <v>43080</v>
      </c>
      <c r="D3073" s="22">
        <f>MONTH(Table3[[#This Row],[Order Date]])</f>
        <v>12</v>
      </c>
      <c r="E3073" t="s">
        <v>3300</v>
      </c>
      <c r="F3073" t="s">
        <v>3301</v>
      </c>
      <c r="G3073" s="23" t="s">
        <v>28</v>
      </c>
      <c r="H3073" s="23" t="s">
        <v>32</v>
      </c>
      <c r="I3073" t="s">
        <v>3566</v>
      </c>
      <c r="J3073" t="s">
        <v>22</v>
      </c>
      <c r="K3073" s="22">
        <v>1</v>
      </c>
      <c r="L3073" s="1">
        <v>43086</v>
      </c>
      <c r="M3073" s="22">
        <f>Table3[[#This Row],[Ship Date]]-Table3[[#This Row],[Order Date]]</f>
        <v>6</v>
      </c>
      <c r="N3073" s="23" t="s">
        <v>45</v>
      </c>
      <c r="O3073" s="23" t="s">
        <v>23</v>
      </c>
      <c r="P3073" s="23" t="s">
        <v>132</v>
      </c>
      <c r="Q3073" s="23" t="s">
        <v>133</v>
      </c>
      <c r="R3073" s="23" t="s">
        <v>131</v>
      </c>
      <c r="S3073" s="33">
        <v>0.3</v>
      </c>
      <c r="T3073" s="13">
        <v>63.686</v>
      </c>
      <c r="U3073" s="13">
        <v>-9.0980000000000008</v>
      </c>
      <c r="V3073" s="55">
        <f>Table3[[#This Row],[Profit]]/Table3[[#This Row],[Sales]]</f>
        <v>-0.14285714285714288</v>
      </c>
    </row>
    <row r="3074" spans="1:22" x14ac:dyDescent="0.2">
      <c r="A3074">
        <v>3073</v>
      </c>
      <c r="B3074" t="s">
        <v>6704</v>
      </c>
      <c r="C3074" s="1">
        <v>43080</v>
      </c>
      <c r="D3074" s="22">
        <f>MONTH(Table3[[#This Row],[Order Date]])</f>
        <v>12</v>
      </c>
      <c r="E3074" t="s">
        <v>1021</v>
      </c>
      <c r="F3074" t="s">
        <v>1022</v>
      </c>
      <c r="G3074" s="23" t="s">
        <v>41</v>
      </c>
      <c r="H3074" s="23" t="s">
        <v>82</v>
      </c>
      <c r="I3074" t="s">
        <v>4967</v>
      </c>
      <c r="J3074" t="s">
        <v>22</v>
      </c>
      <c r="K3074" s="22">
        <v>2</v>
      </c>
      <c r="L3074" s="1">
        <v>43080</v>
      </c>
      <c r="M3074" s="22">
        <f>Table3[[#This Row],[Ship Date]]-Table3[[#This Row],[Order Date]]</f>
        <v>0</v>
      </c>
      <c r="N3074" s="23" t="s">
        <v>1141</v>
      </c>
      <c r="O3074" s="23" t="s">
        <v>23</v>
      </c>
      <c r="P3074" s="23" t="s">
        <v>189</v>
      </c>
      <c r="Q3074" s="23" t="s">
        <v>95</v>
      </c>
      <c r="R3074" s="23" t="s">
        <v>404</v>
      </c>
      <c r="S3074" s="33">
        <v>0.2</v>
      </c>
      <c r="T3074" s="13">
        <v>10.368</v>
      </c>
      <c r="U3074" s="13">
        <v>3.6288</v>
      </c>
      <c r="V3074" s="55">
        <f>Table3[[#This Row],[Profit]]/Table3[[#This Row],[Sales]]</f>
        <v>0.35</v>
      </c>
    </row>
    <row r="3075" spans="1:22" x14ac:dyDescent="0.2">
      <c r="A3075">
        <v>3074</v>
      </c>
      <c r="B3075" t="s">
        <v>6704</v>
      </c>
      <c r="C3075" s="1">
        <v>43080</v>
      </c>
      <c r="D3075" s="22">
        <f>MONTH(Table3[[#This Row],[Order Date]])</f>
        <v>12</v>
      </c>
      <c r="E3075" t="s">
        <v>2140</v>
      </c>
      <c r="F3075" t="s">
        <v>2141</v>
      </c>
      <c r="G3075" s="23" t="s">
        <v>28</v>
      </c>
      <c r="H3075" s="23" t="s">
        <v>58</v>
      </c>
      <c r="I3075" t="s">
        <v>4967</v>
      </c>
      <c r="J3075" t="s">
        <v>22</v>
      </c>
      <c r="K3075" s="22">
        <v>1</v>
      </c>
      <c r="L3075" s="1">
        <v>43080</v>
      </c>
      <c r="M3075" s="22">
        <f>Table3[[#This Row],[Ship Date]]-Table3[[#This Row],[Order Date]]</f>
        <v>0</v>
      </c>
      <c r="N3075" s="23" t="s">
        <v>1141</v>
      </c>
      <c r="O3075" s="23" t="s">
        <v>23</v>
      </c>
      <c r="P3075" s="23" t="s">
        <v>189</v>
      </c>
      <c r="Q3075" s="23" t="s">
        <v>95</v>
      </c>
      <c r="R3075" s="23" t="s">
        <v>404</v>
      </c>
      <c r="S3075" s="33">
        <v>0.6</v>
      </c>
      <c r="T3075" s="13">
        <v>77.72</v>
      </c>
      <c r="U3075" s="13">
        <v>-66.061999999999998</v>
      </c>
      <c r="V3075" s="55">
        <f>Table3[[#This Row],[Profit]]/Table3[[#This Row],[Sales]]</f>
        <v>-0.85</v>
      </c>
    </row>
    <row r="3076" spans="1:22" x14ac:dyDescent="0.2">
      <c r="A3076">
        <v>3075</v>
      </c>
      <c r="B3076" t="s">
        <v>6704</v>
      </c>
      <c r="C3076" s="1">
        <v>43080</v>
      </c>
      <c r="D3076" s="22">
        <f>MONTH(Table3[[#This Row],[Order Date]])</f>
        <v>12</v>
      </c>
      <c r="E3076" t="s">
        <v>3001</v>
      </c>
      <c r="F3076" t="s">
        <v>3002</v>
      </c>
      <c r="G3076" s="23" t="s">
        <v>28</v>
      </c>
      <c r="H3076" s="23" t="s">
        <v>32</v>
      </c>
      <c r="I3076" t="s">
        <v>4967</v>
      </c>
      <c r="J3076" t="s">
        <v>22</v>
      </c>
      <c r="K3076" s="22">
        <v>2</v>
      </c>
      <c r="L3076" s="1">
        <v>43080</v>
      </c>
      <c r="M3076" s="22">
        <f>Table3[[#This Row],[Ship Date]]-Table3[[#This Row],[Order Date]]</f>
        <v>0</v>
      </c>
      <c r="N3076" s="23" t="s">
        <v>1141</v>
      </c>
      <c r="O3076" s="23" t="s">
        <v>23</v>
      </c>
      <c r="P3076" s="23" t="s">
        <v>189</v>
      </c>
      <c r="Q3076" s="23" t="s">
        <v>95</v>
      </c>
      <c r="R3076" s="23" t="s">
        <v>404</v>
      </c>
      <c r="S3076" s="33">
        <v>0.3</v>
      </c>
      <c r="T3076" s="13">
        <v>520.46400000000006</v>
      </c>
      <c r="U3076" s="13">
        <v>-14.8704</v>
      </c>
      <c r="V3076" s="55">
        <f>Table3[[#This Row],[Profit]]/Table3[[#This Row],[Sales]]</f>
        <v>-2.8571428571428567E-2</v>
      </c>
    </row>
    <row r="3077" spans="1:22" x14ac:dyDescent="0.2">
      <c r="A3077">
        <v>3076</v>
      </c>
      <c r="B3077" t="s">
        <v>7851</v>
      </c>
      <c r="C3077" s="1">
        <v>43080</v>
      </c>
      <c r="D3077" s="22">
        <f>MONTH(Table3[[#This Row],[Order Date]])</f>
        <v>12</v>
      </c>
      <c r="E3077" t="s">
        <v>4710</v>
      </c>
      <c r="F3077" t="s">
        <v>4711</v>
      </c>
      <c r="G3077" s="23" t="s">
        <v>64</v>
      </c>
      <c r="H3077" s="23" t="s">
        <v>65</v>
      </c>
      <c r="I3077" t="s">
        <v>3488</v>
      </c>
      <c r="J3077" t="s">
        <v>36</v>
      </c>
      <c r="K3077" s="22">
        <v>3</v>
      </c>
      <c r="L3077" s="1">
        <v>43087</v>
      </c>
      <c r="M3077" s="22">
        <f>Table3[[#This Row],[Ship Date]]-Table3[[#This Row],[Order Date]]</f>
        <v>7</v>
      </c>
      <c r="N3077" s="23" t="s">
        <v>45</v>
      </c>
      <c r="O3077" s="23" t="s">
        <v>23</v>
      </c>
      <c r="P3077" s="23" t="s">
        <v>1101</v>
      </c>
      <c r="Q3077" s="23" t="s">
        <v>133</v>
      </c>
      <c r="R3077" s="23" t="s">
        <v>3460</v>
      </c>
      <c r="S3077" s="33">
        <v>0</v>
      </c>
      <c r="T3077" s="13">
        <v>128.85</v>
      </c>
      <c r="U3077" s="13">
        <v>3.8654999999999999</v>
      </c>
      <c r="V3077" s="55">
        <f>Table3[[#This Row],[Profit]]/Table3[[#This Row],[Sales]]</f>
        <v>3.0000000000000002E-2</v>
      </c>
    </row>
    <row r="3078" spans="1:22" x14ac:dyDescent="0.2">
      <c r="A3078">
        <v>3077</v>
      </c>
      <c r="B3078" t="s">
        <v>8025</v>
      </c>
      <c r="C3078" s="1">
        <v>43080</v>
      </c>
      <c r="D3078" s="22">
        <f>MONTH(Table3[[#This Row],[Order Date]])</f>
        <v>12</v>
      </c>
      <c r="E3078" t="s">
        <v>4245</v>
      </c>
      <c r="F3078" t="s">
        <v>4246</v>
      </c>
      <c r="G3078" s="23" t="s">
        <v>64</v>
      </c>
      <c r="H3078" s="23" t="s">
        <v>144</v>
      </c>
      <c r="I3078" t="s">
        <v>1184</v>
      </c>
      <c r="J3078" t="s">
        <v>36</v>
      </c>
      <c r="K3078" s="22">
        <v>7</v>
      </c>
      <c r="L3078" s="1">
        <v>43081</v>
      </c>
      <c r="M3078" s="22">
        <f>Table3[[#This Row],[Ship Date]]-Table3[[#This Row],[Order Date]]</f>
        <v>1</v>
      </c>
      <c r="N3078" s="23" t="s">
        <v>169</v>
      </c>
      <c r="O3078" s="23" t="s">
        <v>23</v>
      </c>
      <c r="P3078" s="23" t="s">
        <v>189</v>
      </c>
      <c r="Q3078" s="23" t="s">
        <v>95</v>
      </c>
      <c r="R3078" s="23" t="s">
        <v>8026</v>
      </c>
      <c r="S3078" s="33">
        <v>0.2</v>
      </c>
      <c r="T3078" s="13">
        <v>116.312</v>
      </c>
      <c r="U3078" s="13">
        <v>23.2624</v>
      </c>
      <c r="V3078" s="55">
        <f>Table3[[#This Row],[Profit]]/Table3[[#This Row],[Sales]]</f>
        <v>0.2</v>
      </c>
    </row>
    <row r="3079" spans="1:22" x14ac:dyDescent="0.2">
      <c r="A3079">
        <v>3078</v>
      </c>
      <c r="B3079" t="s">
        <v>8297</v>
      </c>
      <c r="C3079" s="1">
        <v>43080</v>
      </c>
      <c r="D3079" s="22">
        <f>MONTH(Table3[[#This Row],[Order Date]])</f>
        <v>12</v>
      </c>
      <c r="E3079" t="s">
        <v>1515</v>
      </c>
      <c r="F3079" t="s">
        <v>1516</v>
      </c>
      <c r="G3079" s="23" t="s">
        <v>41</v>
      </c>
      <c r="H3079" s="23" t="s">
        <v>68</v>
      </c>
      <c r="I3079" t="s">
        <v>1612</v>
      </c>
      <c r="J3079" t="s">
        <v>22</v>
      </c>
      <c r="K3079" s="22">
        <v>1</v>
      </c>
      <c r="L3079" s="1">
        <v>43084</v>
      </c>
      <c r="M3079" s="22">
        <f>Table3[[#This Row],[Ship Date]]-Table3[[#This Row],[Order Date]]</f>
        <v>4</v>
      </c>
      <c r="N3079" s="23" t="s">
        <v>45</v>
      </c>
      <c r="O3079" s="23" t="s">
        <v>23</v>
      </c>
      <c r="P3079" s="23" t="s">
        <v>238</v>
      </c>
      <c r="Q3079" s="23" t="s">
        <v>133</v>
      </c>
      <c r="R3079" s="23" t="s">
        <v>237</v>
      </c>
      <c r="S3079" s="33">
        <v>0.2</v>
      </c>
      <c r="T3079" s="13">
        <v>14.952</v>
      </c>
      <c r="U3079" s="13">
        <v>5.0462999999999996</v>
      </c>
      <c r="V3079" s="55">
        <f>Table3[[#This Row],[Profit]]/Table3[[#This Row],[Sales]]</f>
        <v>0.33749999999999997</v>
      </c>
    </row>
    <row r="3080" spans="1:22" x14ac:dyDescent="0.2">
      <c r="A3080">
        <v>3079</v>
      </c>
      <c r="B3080" t="s">
        <v>8297</v>
      </c>
      <c r="C3080" s="1">
        <v>43080</v>
      </c>
      <c r="D3080" s="22">
        <f>MONTH(Table3[[#This Row],[Order Date]])</f>
        <v>12</v>
      </c>
      <c r="E3080" t="s">
        <v>4949</v>
      </c>
      <c r="F3080" t="s">
        <v>4950</v>
      </c>
      <c r="G3080" s="23" t="s">
        <v>41</v>
      </c>
      <c r="H3080" s="23" t="s">
        <v>82</v>
      </c>
      <c r="I3080" t="s">
        <v>1612</v>
      </c>
      <c r="J3080" t="s">
        <v>22</v>
      </c>
      <c r="K3080" s="22">
        <v>3</v>
      </c>
      <c r="L3080" s="1">
        <v>43084</v>
      </c>
      <c r="M3080" s="22">
        <f>Table3[[#This Row],[Ship Date]]-Table3[[#This Row],[Order Date]]</f>
        <v>4</v>
      </c>
      <c r="N3080" s="23" t="s">
        <v>45</v>
      </c>
      <c r="O3080" s="23" t="s">
        <v>23</v>
      </c>
      <c r="P3080" s="23" t="s">
        <v>238</v>
      </c>
      <c r="Q3080" s="23" t="s">
        <v>133</v>
      </c>
      <c r="R3080" s="23" t="s">
        <v>237</v>
      </c>
      <c r="S3080" s="33">
        <v>0</v>
      </c>
      <c r="T3080" s="13">
        <v>17.940000000000001</v>
      </c>
      <c r="U3080" s="13">
        <v>8.0730000000000004</v>
      </c>
      <c r="V3080" s="55">
        <f>Table3[[#This Row],[Profit]]/Table3[[#This Row],[Sales]]</f>
        <v>0.45</v>
      </c>
    </row>
    <row r="3081" spans="1:22" x14ac:dyDescent="0.2">
      <c r="A3081">
        <v>3080</v>
      </c>
      <c r="B3081" t="s">
        <v>8297</v>
      </c>
      <c r="C3081" s="1">
        <v>43080</v>
      </c>
      <c r="D3081" s="22">
        <f>MONTH(Table3[[#This Row],[Order Date]])</f>
        <v>12</v>
      </c>
      <c r="E3081" t="s">
        <v>7188</v>
      </c>
      <c r="F3081" t="s">
        <v>7189</v>
      </c>
      <c r="G3081" s="23" t="s">
        <v>64</v>
      </c>
      <c r="H3081" s="23" t="s">
        <v>65</v>
      </c>
      <c r="I3081" t="s">
        <v>1612</v>
      </c>
      <c r="J3081" t="s">
        <v>22</v>
      </c>
      <c r="K3081" s="22">
        <v>2</v>
      </c>
      <c r="L3081" s="1">
        <v>43084</v>
      </c>
      <c r="M3081" s="22">
        <f>Table3[[#This Row],[Ship Date]]-Table3[[#This Row],[Order Date]]</f>
        <v>4</v>
      </c>
      <c r="N3081" s="23" t="s">
        <v>45</v>
      </c>
      <c r="O3081" s="23" t="s">
        <v>23</v>
      </c>
      <c r="P3081" s="23" t="s">
        <v>238</v>
      </c>
      <c r="Q3081" s="23" t="s">
        <v>133</v>
      </c>
      <c r="R3081" s="23" t="s">
        <v>237</v>
      </c>
      <c r="S3081" s="33">
        <v>0</v>
      </c>
      <c r="T3081" s="13">
        <v>116.98</v>
      </c>
      <c r="U3081" s="13">
        <v>29.245000000000001</v>
      </c>
      <c r="V3081" s="55">
        <f>Table3[[#This Row],[Profit]]/Table3[[#This Row],[Sales]]</f>
        <v>0.25</v>
      </c>
    </row>
    <row r="3082" spans="1:22" x14ac:dyDescent="0.2">
      <c r="A3082">
        <v>3081</v>
      </c>
      <c r="B3082" t="s">
        <v>8447</v>
      </c>
      <c r="C3082" s="1">
        <v>43080</v>
      </c>
      <c r="D3082" s="22">
        <f>MONTH(Table3[[#This Row],[Order Date]])</f>
        <v>12</v>
      </c>
      <c r="E3082" t="s">
        <v>8449</v>
      </c>
      <c r="F3082" t="s">
        <v>8450</v>
      </c>
      <c r="G3082" s="23" t="s">
        <v>41</v>
      </c>
      <c r="H3082" s="23" t="s">
        <v>71</v>
      </c>
      <c r="I3082" t="s">
        <v>4593</v>
      </c>
      <c r="J3082" t="s">
        <v>22</v>
      </c>
      <c r="K3082" s="22">
        <v>2</v>
      </c>
      <c r="L3082" s="1">
        <v>43082</v>
      </c>
      <c r="M3082" s="22">
        <f>Table3[[#This Row],[Ship Date]]-Table3[[#This Row],[Order Date]]</f>
        <v>2</v>
      </c>
      <c r="N3082" s="23" t="s">
        <v>169</v>
      </c>
      <c r="O3082" s="23" t="s">
        <v>23</v>
      </c>
      <c r="P3082" s="23" t="s">
        <v>94</v>
      </c>
      <c r="Q3082" s="23" t="s">
        <v>95</v>
      </c>
      <c r="R3082" s="23" t="s">
        <v>8448</v>
      </c>
      <c r="S3082" s="33">
        <v>0.8</v>
      </c>
      <c r="T3082" s="13">
        <v>1.3919999999999999</v>
      </c>
      <c r="U3082" s="13">
        <v>-3.7584</v>
      </c>
      <c r="V3082" s="55">
        <f>Table3[[#This Row],[Profit]]/Table3[[#This Row],[Sales]]</f>
        <v>-2.7</v>
      </c>
    </row>
    <row r="3083" spans="1:22" x14ac:dyDescent="0.2">
      <c r="A3083">
        <v>3082</v>
      </c>
      <c r="B3083" t="s">
        <v>8656</v>
      </c>
      <c r="C3083" s="1">
        <v>43080</v>
      </c>
      <c r="D3083" s="22">
        <f>MONTH(Table3[[#This Row],[Order Date]])</f>
        <v>12</v>
      </c>
      <c r="E3083" t="s">
        <v>712</v>
      </c>
      <c r="F3083" t="s">
        <v>713</v>
      </c>
      <c r="G3083" s="23" t="s">
        <v>28</v>
      </c>
      <c r="H3083" s="23" t="s">
        <v>50</v>
      </c>
      <c r="I3083" t="s">
        <v>35</v>
      </c>
      <c r="J3083" t="s">
        <v>36</v>
      </c>
      <c r="K3083" s="22">
        <v>6</v>
      </c>
      <c r="L3083" s="1">
        <v>43086</v>
      </c>
      <c r="M3083" s="22">
        <f>Table3[[#This Row],[Ship Date]]-Table3[[#This Row],[Order Date]]</f>
        <v>6</v>
      </c>
      <c r="N3083" s="23" t="s">
        <v>45</v>
      </c>
      <c r="O3083" s="23" t="s">
        <v>23</v>
      </c>
      <c r="P3083" s="23" t="s">
        <v>48</v>
      </c>
      <c r="Q3083" s="23" t="s">
        <v>26</v>
      </c>
      <c r="R3083" s="23" t="s">
        <v>1345</v>
      </c>
      <c r="S3083" s="33">
        <v>0.45</v>
      </c>
      <c r="T3083" s="13">
        <v>721.875</v>
      </c>
      <c r="U3083" s="13">
        <v>-420</v>
      </c>
      <c r="V3083" s="55">
        <f>Table3[[#This Row],[Profit]]/Table3[[#This Row],[Sales]]</f>
        <v>-0.58181818181818179</v>
      </c>
    </row>
    <row r="3084" spans="1:22" x14ac:dyDescent="0.2">
      <c r="A3084">
        <v>3083</v>
      </c>
      <c r="B3084" t="s">
        <v>8656</v>
      </c>
      <c r="C3084" s="1">
        <v>43080</v>
      </c>
      <c r="D3084" s="22">
        <f>MONTH(Table3[[#This Row],[Order Date]])</f>
        <v>12</v>
      </c>
      <c r="E3084" t="s">
        <v>1579</v>
      </c>
      <c r="F3084" t="s">
        <v>1580</v>
      </c>
      <c r="G3084" s="23" t="s">
        <v>64</v>
      </c>
      <c r="H3084" s="23" t="s">
        <v>65</v>
      </c>
      <c r="I3084" t="s">
        <v>35</v>
      </c>
      <c r="J3084" t="s">
        <v>36</v>
      </c>
      <c r="K3084" s="22">
        <v>4</v>
      </c>
      <c r="L3084" s="1">
        <v>43086</v>
      </c>
      <c r="M3084" s="22">
        <f>Table3[[#This Row],[Ship Date]]-Table3[[#This Row],[Order Date]]</f>
        <v>6</v>
      </c>
      <c r="N3084" s="23" t="s">
        <v>45</v>
      </c>
      <c r="O3084" s="23" t="s">
        <v>23</v>
      </c>
      <c r="P3084" s="23" t="s">
        <v>48</v>
      </c>
      <c r="Q3084" s="23" t="s">
        <v>26</v>
      </c>
      <c r="R3084" s="23" t="s">
        <v>1345</v>
      </c>
      <c r="S3084" s="33">
        <v>0.2</v>
      </c>
      <c r="T3084" s="13">
        <v>73.567999999999998</v>
      </c>
      <c r="U3084" s="13">
        <v>-16.552800000000001</v>
      </c>
      <c r="V3084" s="55">
        <f>Table3[[#This Row],[Profit]]/Table3[[#This Row],[Sales]]</f>
        <v>-0.22500000000000003</v>
      </c>
    </row>
    <row r="3085" spans="1:22" x14ac:dyDescent="0.2">
      <c r="A3085">
        <v>3084</v>
      </c>
      <c r="B3085" t="s">
        <v>8656</v>
      </c>
      <c r="C3085" s="1">
        <v>43080</v>
      </c>
      <c r="D3085" s="22">
        <f>MONTH(Table3[[#This Row],[Order Date]])</f>
        <v>12</v>
      </c>
      <c r="E3085" t="s">
        <v>771</v>
      </c>
      <c r="F3085" t="s">
        <v>772</v>
      </c>
      <c r="G3085" s="23" t="s">
        <v>41</v>
      </c>
      <c r="H3085" s="23" t="s">
        <v>61</v>
      </c>
      <c r="I3085" t="s">
        <v>35</v>
      </c>
      <c r="J3085" t="s">
        <v>36</v>
      </c>
      <c r="K3085" s="22">
        <v>1</v>
      </c>
      <c r="L3085" s="1">
        <v>43086</v>
      </c>
      <c r="M3085" s="22">
        <f>Table3[[#This Row],[Ship Date]]-Table3[[#This Row],[Order Date]]</f>
        <v>6</v>
      </c>
      <c r="N3085" s="23" t="s">
        <v>45</v>
      </c>
      <c r="O3085" s="23" t="s">
        <v>23</v>
      </c>
      <c r="P3085" s="23" t="s">
        <v>48</v>
      </c>
      <c r="Q3085" s="23" t="s">
        <v>26</v>
      </c>
      <c r="R3085" s="23" t="s">
        <v>1345</v>
      </c>
      <c r="S3085" s="33">
        <v>0.2</v>
      </c>
      <c r="T3085" s="13">
        <v>13.584</v>
      </c>
      <c r="U3085" s="13">
        <v>1.3584000000000001</v>
      </c>
      <c r="V3085" s="55">
        <f>Table3[[#This Row],[Profit]]/Table3[[#This Row],[Sales]]</f>
        <v>0.1</v>
      </c>
    </row>
    <row r="3086" spans="1:22" x14ac:dyDescent="0.2">
      <c r="A3086">
        <v>3085</v>
      </c>
      <c r="B3086" t="s">
        <v>8656</v>
      </c>
      <c r="C3086" s="1">
        <v>43080</v>
      </c>
      <c r="D3086" s="22">
        <f>MONTH(Table3[[#This Row],[Order Date]])</f>
        <v>12</v>
      </c>
      <c r="E3086" t="s">
        <v>1403</v>
      </c>
      <c r="F3086" t="s">
        <v>1404</v>
      </c>
      <c r="G3086" s="23" t="s">
        <v>28</v>
      </c>
      <c r="H3086" s="23" t="s">
        <v>32</v>
      </c>
      <c r="I3086" t="s">
        <v>35</v>
      </c>
      <c r="J3086" t="s">
        <v>36</v>
      </c>
      <c r="K3086" s="22">
        <v>1</v>
      </c>
      <c r="L3086" s="1">
        <v>43086</v>
      </c>
      <c r="M3086" s="22">
        <f>Table3[[#This Row],[Ship Date]]-Table3[[#This Row],[Order Date]]</f>
        <v>6</v>
      </c>
      <c r="N3086" s="23" t="s">
        <v>45</v>
      </c>
      <c r="O3086" s="23" t="s">
        <v>23</v>
      </c>
      <c r="P3086" s="23" t="s">
        <v>48</v>
      </c>
      <c r="Q3086" s="23" t="s">
        <v>26</v>
      </c>
      <c r="R3086" s="23" t="s">
        <v>1345</v>
      </c>
      <c r="S3086" s="33">
        <v>0.2</v>
      </c>
      <c r="T3086" s="13">
        <v>64.784000000000006</v>
      </c>
      <c r="U3086" s="13">
        <v>-12.147</v>
      </c>
      <c r="V3086" s="55">
        <f>Table3[[#This Row],[Profit]]/Table3[[#This Row],[Sales]]</f>
        <v>-0.1875</v>
      </c>
    </row>
    <row r="3087" spans="1:22" x14ac:dyDescent="0.2">
      <c r="A3087">
        <v>3086</v>
      </c>
      <c r="B3087" t="s">
        <v>9700</v>
      </c>
      <c r="C3087" s="1">
        <v>43080</v>
      </c>
      <c r="D3087" s="22">
        <f>MONTH(Table3[[#This Row],[Order Date]])</f>
        <v>12</v>
      </c>
      <c r="E3087" t="s">
        <v>3673</v>
      </c>
      <c r="F3087" t="s">
        <v>3674</v>
      </c>
      <c r="G3087" s="23" t="s">
        <v>41</v>
      </c>
      <c r="H3087" s="23" t="s">
        <v>155</v>
      </c>
      <c r="I3087" t="s">
        <v>9701</v>
      </c>
      <c r="J3087" t="s">
        <v>92</v>
      </c>
      <c r="K3087" s="22">
        <v>1</v>
      </c>
      <c r="L3087" s="1">
        <v>43083</v>
      </c>
      <c r="M3087" s="22">
        <f>Table3[[#This Row],[Ship Date]]-Table3[[#This Row],[Order Date]]</f>
        <v>3</v>
      </c>
      <c r="N3087" s="23" t="s">
        <v>20</v>
      </c>
      <c r="O3087" s="23" t="s">
        <v>23</v>
      </c>
      <c r="P3087" s="23" t="s">
        <v>433</v>
      </c>
      <c r="Q3087" s="23" t="s">
        <v>95</v>
      </c>
      <c r="R3087" s="23" t="s">
        <v>1957</v>
      </c>
      <c r="S3087" s="33">
        <v>0</v>
      </c>
      <c r="T3087" s="13">
        <v>7.28</v>
      </c>
      <c r="U3087" s="13">
        <v>3.4944000000000002</v>
      </c>
      <c r="V3087" s="55">
        <f>Table3[[#This Row],[Profit]]/Table3[[#This Row],[Sales]]</f>
        <v>0.48</v>
      </c>
    </row>
    <row r="3088" spans="1:22" x14ac:dyDescent="0.2">
      <c r="A3088">
        <v>3087</v>
      </c>
      <c r="B3088" t="s">
        <v>9700</v>
      </c>
      <c r="C3088" s="1">
        <v>43080</v>
      </c>
      <c r="D3088" s="22">
        <f>MONTH(Table3[[#This Row],[Order Date]])</f>
        <v>12</v>
      </c>
      <c r="E3088" t="s">
        <v>2585</v>
      </c>
      <c r="F3088" t="s">
        <v>2586</v>
      </c>
      <c r="G3088" s="23" t="s">
        <v>41</v>
      </c>
      <c r="H3088" s="23" t="s">
        <v>68</v>
      </c>
      <c r="I3088" t="s">
        <v>9701</v>
      </c>
      <c r="J3088" t="s">
        <v>92</v>
      </c>
      <c r="K3088" s="22">
        <v>3</v>
      </c>
      <c r="L3088" s="1">
        <v>43083</v>
      </c>
      <c r="M3088" s="22">
        <f>Table3[[#This Row],[Ship Date]]-Table3[[#This Row],[Order Date]]</f>
        <v>3</v>
      </c>
      <c r="N3088" s="23" t="s">
        <v>20</v>
      </c>
      <c r="O3088" s="23" t="s">
        <v>23</v>
      </c>
      <c r="P3088" s="23" t="s">
        <v>433</v>
      </c>
      <c r="Q3088" s="23" t="s">
        <v>95</v>
      </c>
      <c r="R3088" s="23" t="s">
        <v>1957</v>
      </c>
      <c r="S3088" s="33">
        <v>0</v>
      </c>
      <c r="T3088" s="13">
        <v>5.4</v>
      </c>
      <c r="U3088" s="13">
        <v>2.5920000000000001</v>
      </c>
      <c r="V3088" s="55">
        <f>Table3[[#This Row],[Profit]]/Table3[[#This Row],[Sales]]</f>
        <v>0.48</v>
      </c>
    </row>
    <row r="3089" spans="1:22" x14ac:dyDescent="0.2">
      <c r="A3089">
        <v>3088</v>
      </c>
      <c r="B3089" t="s">
        <v>9869</v>
      </c>
      <c r="C3089" s="1">
        <v>43080</v>
      </c>
      <c r="D3089" s="22">
        <f>MONTH(Table3[[#This Row],[Order Date]])</f>
        <v>12</v>
      </c>
      <c r="E3089" t="s">
        <v>2906</v>
      </c>
      <c r="F3089" t="s">
        <v>2907</v>
      </c>
      <c r="G3089" s="23" t="s">
        <v>41</v>
      </c>
      <c r="H3089" s="23" t="s">
        <v>240</v>
      </c>
      <c r="I3089" t="s">
        <v>1785</v>
      </c>
      <c r="J3089" t="s">
        <v>36</v>
      </c>
      <c r="K3089" s="22">
        <v>3</v>
      </c>
      <c r="L3089" s="1">
        <v>43082</v>
      </c>
      <c r="M3089" s="22">
        <f>Table3[[#This Row],[Ship Date]]-Table3[[#This Row],[Order Date]]</f>
        <v>2</v>
      </c>
      <c r="N3089" s="23" t="s">
        <v>169</v>
      </c>
      <c r="O3089" s="23" t="s">
        <v>23</v>
      </c>
      <c r="P3089" s="23" t="s">
        <v>695</v>
      </c>
      <c r="Q3089" s="23" t="s">
        <v>133</v>
      </c>
      <c r="R3089" s="23" t="s">
        <v>4273</v>
      </c>
      <c r="S3089" s="33">
        <v>0</v>
      </c>
      <c r="T3089" s="13">
        <v>6.54</v>
      </c>
      <c r="U3089" s="13">
        <v>2.1581999999999999</v>
      </c>
      <c r="V3089" s="55">
        <f>Table3[[#This Row],[Profit]]/Table3[[#This Row],[Sales]]</f>
        <v>0.32999999999999996</v>
      </c>
    </row>
    <row r="3090" spans="1:22" x14ac:dyDescent="0.2">
      <c r="A3090">
        <v>3089</v>
      </c>
      <c r="B3090" t="s">
        <v>10131</v>
      </c>
      <c r="C3090" s="1">
        <v>43080</v>
      </c>
      <c r="D3090" s="22">
        <f>MONTH(Table3[[#This Row],[Order Date]])</f>
        <v>12</v>
      </c>
      <c r="E3090" t="s">
        <v>4384</v>
      </c>
      <c r="F3090" t="s">
        <v>4385</v>
      </c>
      <c r="G3090" s="23" t="s">
        <v>41</v>
      </c>
      <c r="H3090" s="23" t="s">
        <v>68</v>
      </c>
      <c r="I3090" t="s">
        <v>4508</v>
      </c>
      <c r="J3090" t="s">
        <v>22</v>
      </c>
      <c r="K3090" s="22">
        <v>5</v>
      </c>
      <c r="L3090" s="1">
        <v>43086</v>
      </c>
      <c r="M3090" s="22">
        <f>Table3[[#This Row],[Ship Date]]-Table3[[#This Row],[Order Date]]</f>
        <v>6</v>
      </c>
      <c r="N3090" s="23" t="s">
        <v>45</v>
      </c>
      <c r="O3090" s="23" t="s">
        <v>23</v>
      </c>
      <c r="P3090" s="23" t="s">
        <v>695</v>
      </c>
      <c r="Q3090" s="23" t="s">
        <v>133</v>
      </c>
      <c r="R3090" s="23" t="s">
        <v>1874</v>
      </c>
      <c r="S3090" s="33">
        <v>0</v>
      </c>
      <c r="T3090" s="13">
        <v>40.200000000000003</v>
      </c>
      <c r="U3090" s="13">
        <v>18.09</v>
      </c>
      <c r="V3090" s="55">
        <f>Table3[[#This Row],[Profit]]/Table3[[#This Row],[Sales]]</f>
        <v>0.44999999999999996</v>
      </c>
    </row>
    <row r="3091" spans="1:22" x14ac:dyDescent="0.2">
      <c r="A3091">
        <v>3090</v>
      </c>
      <c r="B3091" t="s">
        <v>10131</v>
      </c>
      <c r="C3091" s="1">
        <v>43080</v>
      </c>
      <c r="D3091" s="22">
        <f>MONTH(Table3[[#This Row],[Order Date]])</f>
        <v>12</v>
      </c>
      <c r="E3091" t="s">
        <v>5683</v>
      </c>
      <c r="F3091" t="s">
        <v>5684</v>
      </c>
      <c r="G3091" s="23" t="s">
        <v>41</v>
      </c>
      <c r="H3091" s="23" t="s">
        <v>68</v>
      </c>
      <c r="I3091" t="s">
        <v>4508</v>
      </c>
      <c r="J3091" t="s">
        <v>22</v>
      </c>
      <c r="K3091" s="22">
        <v>2</v>
      </c>
      <c r="L3091" s="1">
        <v>43086</v>
      </c>
      <c r="M3091" s="22">
        <f>Table3[[#This Row],[Ship Date]]-Table3[[#This Row],[Order Date]]</f>
        <v>6</v>
      </c>
      <c r="N3091" s="23" t="s">
        <v>45</v>
      </c>
      <c r="O3091" s="23" t="s">
        <v>23</v>
      </c>
      <c r="P3091" s="23" t="s">
        <v>695</v>
      </c>
      <c r="Q3091" s="23" t="s">
        <v>133</v>
      </c>
      <c r="R3091" s="23" t="s">
        <v>1874</v>
      </c>
      <c r="S3091" s="33">
        <v>0</v>
      </c>
      <c r="T3091" s="13">
        <v>735.98</v>
      </c>
      <c r="U3091" s="13">
        <v>331.19099999999997</v>
      </c>
      <c r="V3091" s="55">
        <f>Table3[[#This Row],[Profit]]/Table3[[#This Row],[Sales]]</f>
        <v>0.44999999999999996</v>
      </c>
    </row>
    <row r="3092" spans="1:22" x14ac:dyDescent="0.2">
      <c r="A3092">
        <v>3091</v>
      </c>
      <c r="B3092" t="s">
        <v>10131</v>
      </c>
      <c r="C3092" s="1">
        <v>43080</v>
      </c>
      <c r="D3092" s="22">
        <f>MONTH(Table3[[#This Row],[Order Date]])</f>
        <v>12</v>
      </c>
      <c r="E3092" t="s">
        <v>714</v>
      </c>
      <c r="F3092" t="s">
        <v>715</v>
      </c>
      <c r="G3092" s="23" t="s">
        <v>41</v>
      </c>
      <c r="H3092" s="23" t="s">
        <v>71</v>
      </c>
      <c r="I3092" t="s">
        <v>4508</v>
      </c>
      <c r="J3092" t="s">
        <v>22</v>
      </c>
      <c r="K3092" s="22">
        <v>7</v>
      </c>
      <c r="L3092" s="1">
        <v>43086</v>
      </c>
      <c r="M3092" s="22">
        <f>Table3[[#This Row],[Ship Date]]-Table3[[#This Row],[Order Date]]</f>
        <v>6</v>
      </c>
      <c r="N3092" s="23" t="s">
        <v>45</v>
      </c>
      <c r="O3092" s="23" t="s">
        <v>23</v>
      </c>
      <c r="P3092" s="23" t="s">
        <v>695</v>
      </c>
      <c r="Q3092" s="23" t="s">
        <v>133</v>
      </c>
      <c r="R3092" s="23" t="s">
        <v>1874</v>
      </c>
      <c r="S3092" s="33">
        <v>0</v>
      </c>
      <c r="T3092" s="13">
        <v>22.75</v>
      </c>
      <c r="U3092" s="13">
        <v>6.5975000000000001</v>
      </c>
      <c r="V3092" s="55">
        <f>Table3[[#This Row],[Profit]]/Table3[[#This Row],[Sales]]</f>
        <v>0.28999999999999998</v>
      </c>
    </row>
    <row r="3093" spans="1:22" x14ac:dyDescent="0.2">
      <c r="A3093">
        <v>3092</v>
      </c>
      <c r="B3093" t="s">
        <v>7969</v>
      </c>
      <c r="C3093" s="1">
        <v>43082</v>
      </c>
      <c r="D3093" s="22">
        <f>MONTH(Table3[[#This Row],[Order Date]])</f>
        <v>12</v>
      </c>
      <c r="E3093" t="s">
        <v>1614</v>
      </c>
      <c r="F3093" t="s">
        <v>1615</v>
      </c>
      <c r="G3093" s="23" t="s">
        <v>41</v>
      </c>
      <c r="H3093" s="23" t="s">
        <v>53</v>
      </c>
      <c r="I3093" t="s">
        <v>4654</v>
      </c>
      <c r="J3093" t="s">
        <v>22</v>
      </c>
      <c r="K3093" s="22">
        <v>3</v>
      </c>
      <c r="L3093" s="1">
        <v>43082</v>
      </c>
      <c r="M3093" s="22">
        <f>Table3[[#This Row],[Ship Date]]-Table3[[#This Row],[Order Date]]</f>
        <v>0</v>
      </c>
      <c r="N3093" s="23" t="s">
        <v>1141</v>
      </c>
      <c r="O3093" s="23" t="s">
        <v>23</v>
      </c>
      <c r="P3093" s="23" t="s">
        <v>87</v>
      </c>
      <c r="Q3093" s="23" t="s">
        <v>39</v>
      </c>
      <c r="R3093" s="23" t="s">
        <v>86</v>
      </c>
      <c r="S3093" s="33">
        <v>0</v>
      </c>
      <c r="T3093" s="13">
        <v>31.44</v>
      </c>
      <c r="U3093" s="13">
        <v>8.4887999999999995</v>
      </c>
      <c r="V3093" s="55">
        <f>Table3[[#This Row],[Profit]]/Table3[[#This Row],[Sales]]</f>
        <v>0.26999999999999996</v>
      </c>
    </row>
    <row r="3094" spans="1:22" x14ac:dyDescent="0.2">
      <c r="A3094">
        <v>3093</v>
      </c>
      <c r="B3094" t="s">
        <v>9449</v>
      </c>
      <c r="C3094" s="1">
        <v>43082</v>
      </c>
      <c r="D3094" s="22">
        <f>MONTH(Table3[[#This Row],[Order Date]])</f>
        <v>12</v>
      </c>
      <c r="E3094" t="s">
        <v>1966</v>
      </c>
      <c r="F3094" t="s">
        <v>1967</v>
      </c>
      <c r="G3094" s="23" t="s">
        <v>28</v>
      </c>
      <c r="H3094" s="23" t="s">
        <v>29</v>
      </c>
      <c r="I3094" t="s">
        <v>1222</v>
      </c>
      <c r="J3094" t="s">
        <v>36</v>
      </c>
      <c r="K3094" s="22">
        <v>3</v>
      </c>
      <c r="L3094" s="1">
        <v>43087</v>
      </c>
      <c r="M3094" s="22">
        <f>Table3[[#This Row],[Ship Date]]-Table3[[#This Row],[Order Date]]</f>
        <v>5</v>
      </c>
      <c r="N3094" s="23" t="s">
        <v>45</v>
      </c>
      <c r="O3094" s="23" t="s">
        <v>23</v>
      </c>
      <c r="P3094" s="23" t="s">
        <v>238</v>
      </c>
      <c r="Q3094" s="23" t="s">
        <v>133</v>
      </c>
      <c r="R3094" s="23" t="s">
        <v>237</v>
      </c>
      <c r="S3094" s="33">
        <v>0.2</v>
      </c>
      <c r="T3094" s="13">
        <v>287.976</v>
      </c>
      <c r="U3094" s="13">
        <v>7.1993999999999998</v>
      </c>
      <c r="V3094" s="55">
        <f>Table3[[#This Row],[Profit]]/Table3[[#This Row],[Sales]]</f>
        <v>2.4999999999999998E-2</v>
      </c>
    </row>
    <row r="3095" spans="1:22" x14ac:dyDescent="0.2">
      <c r="A3095">
        <v>3094</v>
      </c>
      <c r="B3095" t="s">
        <v>9988</v>
      </c>
      <c r="C3095" s="1">
        <v>43082</v>
      </c>
      <c r="D3095" s="22">
        <f>MONTH(Table3[[#This Row],[Order Date]])</f>
        <v>12</v>
      </c>
      <c r="E3095" t="s">
        <v>4988</v>
      </c>
      <c r="F3095" t="s">
        <v>4989</v>
      </c>
      <c r="G3095" s="23" t="s">
        <v>41</v>
      </c>
      <c r="H3095" s="23" t="s">
        <v>42</v>
      </c>
      <c r="I3095" t="s">
        <v>1617</v>
      </c>
      <c r="J3095" t="s">
        <v>22</v>
      </c>
      <c r="K3095" s="22">
        <v>3</v>
      </c>
      <c r="L3095" s="1">
        <v>43087</v>
      </c>
      <c r="M3095" s="22">
        <f>Table3[[#This Row],[Ship Date]]-Table3[[#This Row],[Order Date]]</f>
        <v>5</v>
      </c>
      <c r="N3095" s="23" t="s">
        <v>45</v>
      </c>
      <c r="O3095" s="23" t="s">
        <v>23</v>
      </c>
      <c r="P3095" s="23" t="s">
        <v>38</v>
      </c>
      <c r="Q3095" s="23" t="s">
        <v>39</v>
      </c>
      <c r="R3095" s="23" t="s">
        <v>114</v>
      </c>
      <c r="S3095" s="33">
        <v>0</v>
      </c>
      <c r="T3095" s="13">
        <v>8.64</v>
      </c>
      <c r="U3095" s="13">
        <v>4.2336</v>
      </c>
      <c r="V3095" s="55">
        <f>Table3[[#This Row],[Profit]]/Table3[[#This Row],[Sales]]</f>
        <v>0.49</v>
      </c>
    </row>
    <row r="3096" spans="1:22" x14ac:dyDescent="0.2">
      <c r="A3096">
        <v>3095</v>
      </c>
      <c r="B3096" t="s">
        <v>9988</v>
      </c>
      <c r="C3096" s="1">
        <v>43082</v>
      </c>
      <c r="D3096" s="22">
        <f>MONTH(Table3[[#This Row],[Order Date]])</f>
        <v>12</v>
      </c>
      <c r="E3096" t="s">
        <v>2957</v>
      </c>
      <c r="F3096" t="s">
        <v>2958</v>
      </c>
      <c r="G3096" s="23" t="s">
        <v>41</v>
      </c>
      <c r="H3096" s="23" t="s">
        <v>82</v>
      </c>
      <c r="I3096" t="s">
        <v>1617</v>
      </c>
      <c r="J3096" t="s">
        <v>22</v>
      </c>
      <c r="K3096" s="22">
        <v>6</v>
      </c>
      <c r="L3096" s="1">
        <v>43087</v>
      </c>
      <c r="M3096" s="22">
        <f>Table3[[#This Row],[Ship Date]]-Table3[[#This Row],[Order Date]]</f>
        <v>5</v>
      </c>
      <c r="N3096" s="23" t="s">
        <v>45</v>
      </c>
      <c r="O3096" s="23" t="s">
        <v>23</v>
      </c>
      <c r="P3096" s="23" t="s">
        <v>38</v>
      </c>
      <c r="Q3096" s="23" t="s">
        <v>39</v>
      </c>
      <c r="R3096" s="23" t="s">
        <v>114</v>
      </c>
      <c r="S3096" s="33">
        <v>0</v>
      </c>
      <c r="T3096" s="13">
        <v>38.880000000000003</v>
      </c>
      <c r="U3096" s="13">
        <v>18.662400000000002</v>
      </c>
      <c r="V3096" s="55">
        <f>Table3[[#This Row],[Profit]]/Table3[[#This Row],[Sales]]</f>
        <v>0.48000000000000004</v>
      </c>
    </row>
    <row r="3097" spans="1:22" x14ac:dyDescent="0.2">
      <c r="A3097">
        <v>3096</v>
      </c>
      <c r="B3097" t="s">
        <v>9988</v>
      </c>
      <c r="C3097" s="1">
        <v>43082</v>
      </c>
      <c r="D3097" s="22">
        <f>MONTH(Table3[[#This Row],[Order Date]])</f>
        <v>12</v>
      </c>
      <c r="E3097" t="s">
        <v>3465</v>
      </c>
      <c r="F3097" t="s">
        <v>4567</v>
      </c>
      <c r="G3097" s="23" t="s">
        <v>28</v>
      </c>
      <c r="H3097" s="23" t="s">
        <v>58</v>
      </c>
      <c r="I3097" t="s">
        <v>1617</v>
      </c>
      <c r="J3097" t="s">
        <v>22</v>
      </c>
      <c r="K3097" s="22">
        <v>8</v>
      </c>
      <c r="L3097" s="1">
        <v>43087</v>
      </c>
      <c r="M3097" s="22">
        <f>Table3[[#This Row],[Ship Date]]-Table3[[#This Row],[Order Date]]</f>
        <v>5</v>
      </c>
      <c r="N3097" s="23" t="s">
        <v>45</v>
      </c>
      <c r="O3097" s="23" t="s">
        <v>23</v>
      </c>
      <c r="P3097" s="23" t="s">
        <v>38</v>
      </c>
      <c r="Q3097" s="23" t="s">
        <v>39</v>
      </c>
      <c r="R3097" s="23" t="s">
        <v>114</v>
      </c>
      <c r="S3097" s="33">
        <v>0</v>
      </c>
      <c r="T3097" s="13">
        <v>201.04</v>
      </c>
      <c r="U3097" s="13">
        <v>54.280799999999999</v>
      </c>
      <c r="V3097" s="55">
        <f>Table3[[#This Row],[Profit]]/Table3[[#This Row],[Sales]]</f>
        <v>0.27</v>
      </c>
    </row>
    <row r="3098" spans="1:22" x14ac:dyDescent="0.2">
      <c r="A3098">
        <v>3097</v>
      </c>
      <c r="B3098" t="s">
        <v>9988</v>
      </c>
      <c r="C3098" s="1">
        <v>43082</v>
      </c>
      <c r="D3098" s="22">
        <f>MONTH(Table3[[#This Row],[Order Date]])</f>
        <v>12</v>
      </c>
      <c r="E3098" t="s">
        <v>6600</v>
      </c>
      <c r="F3098" t="s">
        <v>6601</v>
      </c>
      <c r="G3098" s="23" t="s">
        <v>41</v>
      </c>
      <c r="H3098" s="23" t="s">
        <v>82</v>
      </c>
      <c r="I3098" t="s">
        <v>1617</v>
      </c>
      <c r="J3098" t="s">
        <v>22</v>
      </c>
      <c r="K3098" s="22">
        <v>2</v>
      </c>
      <c r="L3098" s="1">
        <v>43087</v>
      </c>
      <c r="M3098" s="22">
        <f>Table3[[#This Row],[Ship Date]]-Table3[[#This Row],[Order Date]]</f>
        <v>5</v>
      </c>
      <c r="N3098" s="23" t="s">
        <v>45</v>
      </c>
      <c r="O3098" s="23" t="s">
        <v>23</v>
      </c>
      <c r="P3098" s="23" t="s">
        <v>38</v>
      </c>
      <c r="Q3098" s="23" t="s">
        <v>39</v>
      </c>
      <c r="R3098" s="23" t="s">
        <v>114</v>
      </c>
      <c r="S3098" s="33">
        <v>0</v>
      </c>
      <c r="T3098" s="13">
        <v>12.96</v>
      </c>
      <c r="U3098" s="13">
        <v>6.3503999999999996</v>
      </c>
      <c r="V3098" s="55">
        <f>Table3[[#This Row],[Profit]]/Table3[[#This Row],[Sales]]</f>
        <v>0.48999999999999994</v>
      </c>
    </row>
    <row r="3099" spans="1:22" x14ac:dyDescent="0.2">
      <c r="A3099">
        <v>3098</v>
      </c>
      <c r="B3099" t="s">
        <v>5469</v>
      </c>
      <c r="C3099" s="1">
        <v>43083</v>
      </c>
      <c r="D3099" s="22">
        <f>MONTH(Table3[[#This Row],[Order Date]])</f>
        <v>12</v>
      </c>
      <c r="E3099" t="s">
        <v>5470</v>
      </c>
      <c r="F3099" t="s">
        <v>5471</v>
      </c>
      <c r="G3099" s="23" t="s">
        <v>28</v>
      </c>
      <c r="H3099" s="23" t="s">
        <v>58</v>
      </c>
      <c r="I3099" t="s">
        <v>3602</v>
      </c>
      <c r="J3099" t="s">
        <v>92</v>
      </c>
      <c r="K3099" s="22">
        <v>3</v>
      </c>
      <c r="L3099" s="1">
        <v>43087</v>
      </c>
      <c r="M3099" s="22">
        <f>Table3[[#This Row],[Ship Date]]-Table3[[#This Row],[Order Date]]</f>
        <v>4</v>
      </c>
      <c r="N3099" s="23" t="s">
        <v>45</v>
      </c>
      <c r="O3099" s="23" t="s">
        <v>23</v>
      </c>
      <c r="P3099" s="23" t="s">
        <v>38</v>
      </c>
      <c r="Q3099" s="23" t="s">
        <v>39</v>
      </c>
      <c r="R3099" s="23" t="s">
        <v>836</v>
      </c>
      <c r="S3099" s="33">
        <v>0</v>
      </c>
      <c r="T3099" s="13">
        <v>26.25</v>
      </c>
      <c r="U3099" s="13">
        <v>11.025</v>
      </c>
      <c r="V3099" s="55">
        <f>Table3[[#This Row],[Profit]]/Table3[[#This Row],[Sales]]</f>
        <v>0.42000000000000004</v>
      </c>
    </row>
    <row r="3100" spans="1:22" x14ac:dyDescent="0.2">
      <c r="A3100">
        <v>3099</v>
      </c>
      <c r="B3100" t="s">
        <v>5469</v>
      </c>
      <c r="C3100" s="1">
        <v>43083</v>
      </c>
      <c r="D3100" s="22">
        <f>MONTH(Table3[[#This Row],[Order Date]])</f>
        <v>12</v>
      </c>
      <c r="E3100" t="s">
        <v>5472</v>
      </c>
      <c r="F3100" t="s">
        <v>5473</v>
      </c>
      <c r="G3100" s="23" t="s">
        <v>41</v>
      </c>
      <c r="H3100" s="23" t="s">
        <v>68</v>
      </c>
      <c r="I3100" t="s">
        <v>3602</v>
      </c>
      <c r="J3100" t="s">
        <v>92</v>
      </c>
      <c r="K3100" s="22">
        <v>14</v>
      </c>
      <c r="L3100" s="1">
        <v>43087</v>
      </c>
      <c r="M3100" s="22">
        <f>Table3[[#This Row],[Ship Date]]-Table3[[#This Row],[Order Date]]</f>
        <v>4</v>
      </c>
      <c r="N3100" s="23" t="s">
        <v>45</v>
      </c>
      <c r="O3100" s="23" t="s">
        <v>23</v>
      </c>
      <c r="P3100" s="23" t="s">
        <v>38</v>
      </c>
      <c r="Q3100" s="23" t="s">
        <v>39</v>
      </c>
      <c r="R3100" s="23" t="s">
        <v>836</v>
      </c>
      <c r="S3100" s="33">
        <v>0.2</v>
      </c>
      <c r="T3100" s="13">
        <v>64.959999999999994</v>
      </c>
      <c r="U3100" s="13">
        <v>22.736000000000001</v>
      </c>
      <c r="V3100" s="55">
        <f>Table3[[#This Row],[Profit]]/Table3[[#This Row],[Sales]]</f>
        <v>0.35000000000000003</v>
      </c>
    </row>
    <row r="3101" spans="1:22" x14ac:dyDescent="0.2">
      <c r="A3101">
        <v>3100</v>
      </c>
      <c r="B3101" t="s">
        <v>5469</v>
      </c>
      <c r="C3101" s="1">
        <v>43083</v>
      </c>
      <c r="D3101" s="22">
        <f>MONTH(Table3[[#This Row],[Order Date]])</f>
        <v>12</v>
      </c>
      <c r="E3101" t="s">
        <v>2602</v>
      </c>
      <c r="F3101" t="s">
        <v>2603</v>
      </c>
      <c r="G3101" s="23" t="s">
        <v>41</v>
      </c>
      <c r="H3101" s="23" t="s">
        <v>155</v>
      </c>
      <c r="I3101" t="s">
        <v>3602</v>
      </c>
      <c r="J3101" t="s">
        <v>92</v>
      </c>
      <c r="K3101" s="22">
        <v>5</v>
      </c>
      <c r="L3101" s="1">
        <v>43087</v>
      </c>
      <c r="M3101" s="22">
        <f>Table3[[#This Row],[Ship Date]]-Table3[[#This Row],[Order Date]]</f>
        <v>4</v>
      </c>
      <c r="N3101" s="23" t="s">
        <v>45</v>
      </c>
      <c r="O3101" s="23" t="s">
        <v>23</v>
      </c>
      <c r="P3101" s="23" t="s">
        <v>38</v>
      </c>
      <c r="Q3101" s="23" t="s">
        <v>39</v>
      </c>
      <c r="R3101" s="23" t="s">
        <v>836</v>
      </c>
      <c r="S3101" s="33">
        <v>0</v>
      </c>
      <c r="T3101" s="13">
        <v>43.7</v>
      </c>
      <c r="U3101" s="13">
        <v>20.539000000000001</v>
      </c>
      <c r="V3101" s="55">
        <f>Table3[[#This Row],[Profit]]/Table3[[#This Row],[Sales]]</f>
        <v>0.47000000000000003</v>
      </c>
    </row>
    <row r="3102" spans="1:22" x14ac:dyDescent="0.2">
      <c r="A3102">
        <v>3101</v>
      </c>
      <c r="B3102" t="s">
        <v>5842</v>
      </c>
      <c r="C3102" s="1">
        <v>43083</v>
      </c>
      <c r="D3102" s="22">
        <f>MONTH(Table3[[#This Row],[Order Date]])</f>
        <v>12</v>
      </c>
      <c r="E3102" t="s">
        <v>5843</v>
      </c>
      <c r="F3102" t="s">
        <v>5844</v>
      </c>
      <c r="G3102" s="23" t="s">
        <v>64</v>
      </c>
      <c r="H3102" s="23" t="s">
        <v>144</v>
      </c>
      <c r="I3102" t="s">
        <v>353</v>
      </c>
      <c r="J3102" t="s">
        <v>92</v>
      </c>
      <c r="K3102" s="22">
        <v>3</v>
      </c>
      <c r="L3102" s="1">
        <v>43089</v>
      </c>
      <c r="M3102" s="22">
        <f>Table3[[#This Row],[Ship Date]]-Table3[[#This Row],[Order Date]]</f>
        <v>6</v>
      </c>
      <c r="N3102" s="23" t="s">
        <v>45</v>
      </c>
      <c r="O3102" s="23" t="s">
        <v>23</v>
      </c>
      <c r="P3102" s="23" t="s">
        <v>189</v>
      </c>
      <c r="Q3102" s="23" t="s">
        <v>95</v>
      </c>
      <c r="R3102" s="23" t="s">
        <v>271</v>
      </c>
      <c r="S3102" s="33">
        <v>0.2</v>
      </c>
      <c r="T3102" s="13">
        <v>227.976</v>
      </c>
      <c r="U3102" s="13">
        <v>28.497</v>
      </c>
      <c r="V3102" s="55">
        <f>Table3[[#This Row],[Profit]]/Table3[[#This Row],[Sales]]</f>
        <v>0.125</v>
      </c>
    </row>
    <row r="3103" spans="1:22" x14ac:dyDescent="0.2">
      <c r="A3103">
        <v>3102</v>
      </c>
      <c r="B3103" t="s">
        <v>5842</v>
      </c>
      <c r="C3103" s="1">
        <v>43083</v>
      </c>
      <c r="D3103" s="22">
        <f>MONTH(Table3[[#This Row],[Order Date]])</f>
        <v>12</v>
      </c>
      <c r="E3103" t="s">
        <v>5766</v>
      </c>
      <c r="F3103" t="s">
        <v>5767</v>
      </c>
      <c r="G3103" s="23" t="s">
        <v>64</v>
      </c>
      <c r="H3103" s="23" t="s">
        <v>65</v>
      </c>
      <c r="I3103" t="s">
        <v>353</v>
      </c>
      <c r="J3103" t="s">
        <v>92</v>
      </c>
      <c r="K3103" s="22">
        <v>3</v>
      </c>
      <c r="L3103" s="1">
        <v>43089</v>
      </c>
      <c r="M3103" s="22">
        <f>Table3[[#This Row],[Ship Date]]-Table3[[#This Row],[Order Date]]</f>
        <v>6</v>
      </c>
      <c r="N3103" s="23" t="s">
        <v>45</v>
      </c>
      <c r="O3103" s="23" t="s">
        <v>23</v>
      </c>
      <c r="P3103" s="23" t="s">
        <v>189</v>
      </c>
      <c r="Q3103" s="23" t="s">
        <v>95</v>
      </c>
      <c r="R3103" s="23" t="s">
        <v>271</v>
      </c>
      <c r="S3103" s="33">
        <v>0.2</v>
      </c>
      <c r="T3103" s="13">
        <v>52.68</v>
      </c>
      <c r="U3103" s="13">
        <v>19.754999999999999</v>
      </c>
      <c r="V3103" s="55">
        <f>Table3[[#This Row],[Profit]]/Table3[[#This Row],[Sales]]</f>
        <v>0.375</v>
      </c>
    </row>
    <row r="3104" spans="1:22" x14ac:dyDescent="0.2">
      <c r="A3104">
        <v>3103</v>
      </c>
      <c r="B3104" t="s">
        <v>5842</v>
      </c>
      <c r="C3104" s="1">
        <v>43083</v>
      </c>
      <c r="D3104" s="22">
        <f>MONTH(Table3[[#This Row],[Order Date]])</f>
        <v>12</v>
      </c>
      <c r="E3104" t="s">
        <v>5845</v>
      </c>
      <c r="F3104" t="s">
        <v>5846</v>
      </c>
      <c r="G3104" s="23" t="s">
        <v>28</v>
      </c>
      <c r="H3104" s="23" t="s">
        <v>58</v>
      </c>
      <c r="I3104" t="s">
        <v>353</v>
      </c>
      <c r="J3104" t="s">
        <v>92</v>
      </c>
      <c r="K3104" s="22">
        <v>1</v>
      </c>
      <c r="L3104" s="1">
        <v>43089</v>
      </c>
      <c r="M3104" s="22">
        <f>Table3[[#This Row],[Ship Date]]-Table3[[#This Row],[Order Date]]</f>
        <v>6</v>
      </c>
      <c r="N3104" s="23" t="s">
        <v>45</v>
      </c>
      <c r="O3104" s="23" t="s">
        <v>23</v>
      </c>
      <c r="P3104" s="23" t="s">
        <v>189</v>
      </c>
      <c r="Q3104" s="23" t="s">
        <v>95</v>
      </c>
      <c r="R3104" s="23" t="s">
        <v>271</v>
      </c>
      <c r="S3104" s="33">
        <v>0.6</v>
      </c>
      <c r="T3104" s="13">
        <v>2.032</v>
      </c>
      <c r="U3104" s="13">
        <v>-1.3208</v>
      </c>
      <c r="V3104" s="55">
        <f>Table3[[#This Row],[Profit]]/Table3[[#This Row],[Sales]]</f>
        <v>-0.65</v>
      </c>
    </row>
    <row r="3105" spans="1:22" x14ac:dyDescent="0.2">
      <c r="A3105">
        <v>3104</v>
      </c>
      <c r="B3105" t="s">
        <v>7358</v>
      </c>
      <c r="C3105" s="1">
        <v>43083</v>
      </c>
      <c r="D3105" s="22">
        <f>MONTH(Table3[[#This Row],[Order Date]])</f>
        <v>12</v>
      </c>
      <c r="E3105" t="s">
        <v>874</v>
      </c>
      <c r="F3105" t="s">
        <v>875</v>
      </c>
      <c r="G3105" s="23" t="s">
        <v>64</v>
      </c>
      <c r="H3105" s="23" t="s">
        <v>144</v>
      </c>
      <c r="I3105" t="s">
        <v>953</v>
      </c>
      <c r="J3105" t="s">
        <v>36</v>
      </c>
      <c r="K3105" s="22">
        <v>4</v>
      </c>
      <c r="L3105" s="1">
        <v>43089</v>
      </c>
      <c r="M3105" s="22">
        <f>Table3[[#This Row],[Ship Date]]-Table3[[#This Row],[Order Date]]</f>
        <v>6</v>
      </c>
      <c r="N3105" s="23" t="s">
        <v>45</v>
      </c>
      <c r="O3105" s="23" t="s">
        <v>23</v>
      </c>
      <c r="P3105" s="23" t="s">
        <v>1510</v>
      </c>
      <c r="Q3105" s="23" t="s">
        <v>26</v>
      </c>
      <c r="R3105" s="23" t="s">
        <v>1509</v>
      </c>
      <c r="S3105" s="33">
        <v>0</v>
      </c>
      <c r="T3105" s="13">
        <v>159.80000000000001</v>
      </c>
      <c r="U3105" s="13">
        <v>70.311999999999998</v>
      </c>
      <c r="V3105" s="55">
        <f>Table3[[#This Row],[Profit]]/Table3[[#This Row],[Sales]]</f>
        <v>0.43999999999999995</v>
      </c>
    </row>
    <row r="3106" spans="1:22" x14ac:dyDescent="0.2">
      <c r="A3106">
        <v>3105</v>
      </c>
      <c r="B3106" t="s">
        <v>7358</v>
      </c>
      <c r="C3106" s="1">
        <v>43083</v>
      </c>
      <c r="D3106" s="22">
        <f>MONTH(Table3[[#This Row],[Order Date]])</f>
        <v>12</v>
      </c>
      <c r="E3106" t="s">
        <v>3664</v>
      </c>
      <c r="F3106" t="s">
        <v>3665</v>
      </c>
      <c r="G3106" s="23" t="s">
        <v>64</v>
      </c>
      <c r="H3106" s="23" t="s">
        <v>144</v>
      </c>
      <c r="I3106" t="s">
        <v>953</v>
      </c>
      <c r="J3106" t="s">
        <v>36</v>
      </c>
      <c r="K3106" s="22">
        <v>5</v>
      </c>
      <c r="L3106" s="1">
        <v>43089</v>
      </c>
      <c r="M3106" s="22">
        <f>Table3[[#This Row],[Ship Date]]-Table3[[#This Row],[Order Date]]</f>
        <v>6</v>
      </c>
      <c r="N3106" s="23" t="s">
        <v>45</v>
      </c>
      <c r="O3106" s="23" t="s">
        <v>23</v>
      </c>
      <c r="P3106" s="23" t="s">
        <v>1510</v>
      </c>
      <c r="Q3106" s="23" t="s">
        <v>26</v>
      </c>
      <c r="R3106" s="23" t="s">
        <v>1509</v>
      </c>
      <c r="S3106" s="33">
        <v>0</v>
      </c>
      <c r="T3106" s="13">
        <v>44.75</v>
      </c>
      <c r="U3106" s="13">
        <v>8.5024999999999995</v>
      </c>
      <c r="V3106" s="55">
        <f>Table3[[#This Row],[Profit]]/Table3[[#This Row],[Sales]]</f>
        <v>0.19</v>
      </c>
    </row>
    <row r="3107" spans="1:22" x14ac:dyDescent="0.2">
      <c r="A3107">
        <v>3106</v>
      </c>
      <c r="B3107" t="s">
        <v>8127</v>
      </c>
      <c r="C3107" s="1">
        <v>43083</v>
      </c>
      <c r="D3107" s="22">
        <f>MONTH(Table3[[#This Row],[Order Date]])</f>
        <v>12</v>
      </c>
      <c r="E3107" t="s">
        <v>49</v>
      </c>
      <c r="F3107" t="s">
        <v>51</v>
      </c>
      <c r="G3107" s="23" t="s">
        <v>28</v>
      </c>
      <c r="H3107" s="23" t="s">
        <v>50</v>
      </c>
      <c r="I3107" t="s">
        <v>500</v>
      </c>
      <c r="J3107" t="s">
        <v>22</v>
      </c>
      <c r="K3107" s="22">
        <v>4</v>
      </c>
      <c r="L3107" s="1">
        <v>43088</v>
      </c>
      <c r="M3107" s="22">
        <f>Table3[[#This Row],[Ship Date]]-Table3[[#This Row],[Order Date]]</f>
        <v>5</v>
      </c>
      <c r="N3107" s="23" t="s">
        <v>45</v>
      </c>
      <c r="O3107" s="23" t="s">
        <v>23</v>
      </c>
      <c r="P3107" s="23" t="s">
        <v>94</v>
      </c>
      <c r="Q3107" s="23" t="s">
        <v>95</v>
      </c>
      <c r="R3107" s="23" t="s">
        <v>3835</v>
      </c>
      <c r="S3107" s="33">
        <v>0.3</v>
      </c>
      <c r="T3107" s="13">
        <v>974.98800000000006</v>
      </c>
      <c r="U3107" s="13">
        <v>-97.498800000000003</v>
      </c>
      <c r="V3107" s="55">
        <f>Table3[[#This Row],[Profit]]/Table3[[#This Row],[Sales]]</f>
        <v>-9.9999999999999992E-2</v>
      </c>
    </row>
    <row r="3108" spans="1:22" x14ac:dyDescent="0.2">
      <c r="A3108">
        <v>3107</v>
      </c>
      <c r="B3108" t="s">
        <v>8279</v>
      </c>
      <c r="C3108" s="1">
        <v>43083</v>
      </c>
      <c r="D3108" s="22">
        <f>MONTH(Table3[[#This Row],[Order Date]])</f>
        <v>12</v>
      </c>
      <c r="E3108" t="s">
        <v>4795</v>
      </c>
      <c r="F3108" t="s">
        <v>4796</v>
      </c>
      <c r="G3108" s="23" t="s">
        <v>28</v>
      </c>
      <c r="H3108" s="23" t="s">
        <v>58</v>
      </c>
      <c r="I3108" t="s">
        <v>569</v>
      </c>
      <c r="J3108" t="s">
        <v>22</v>
      </c>
      <c r="K3108" s="22">
        <v>6</v>
      </c>
      <c r="L3108" s="1">
        <v>43083</v>
      </c>
      <c r="M3108" s="22">
        <f>Table3[[#This Row],[Ship Date]]-Table3[[#This Row],[Order Date]]</f>
        <v>0</v>
      </c>
      <c r="N3108" s="23" t="s">
        <v>1141</v>
      </c>
      <c r="O3108" s="23" t="s">
        <v>23</v>
      </c>
      <c r="P3108" s="23" t="s">
        <v>189</v>
      </c>
      <c r="Q3108" s="23" t="s">
        <v>95</v>
      </c>
      <c r="R3108" s="23" t="s">
        <v>3784</v>
      </c>
      <c r="S3108" s="33">
        <v>0.6</v>
      </c>
      <c r="T3108" s="13">
        <v>266.35199999999998</v>
      </c>
      <c r="U3108" s="13">
        <v>-292.98719999999997</v>
      </c>
      <c r="V3108" s="55">
        <f>Table3[[#This Row],[Profit]]/Table3[[#This Row],[Sales]]</f>
        <v>-1.1000000000000001</v>
      </c>
    </row>
    <row r="3109" spans="1:22" x14ac:dyDescent="0.2">
      <c r="A3109">
        <v>3108</v>
      </c>
      <c r="B3109" t="s">
        <v>8279</v>
      </c>
      <c r="C3109" s="1">
        <v>43083</v>
      </c>
      <c r="D3109" s="22">
        <f>MONTH(Table3[[#This Row],[Order Date]])</f>
        <v>12</v>
      </c>
      <c r="E3109" t="s">
        <v>955</v>
      </c>
      <c r="F3109" t="s">
        <v>956</v>
      </c>
      <c r="G3109" s="23" t="s">
        <v>28</v>
      </c>
      <c r="H3109" s="23" t="s">
        <v>58</v>
      </c>
      <c r="I3109" t="s">
        <v>569</v>
      </c>
      <c r="J3109" t="s">
        <v>22</v>
      </c>
      <c r="K3109" s="22">
        <v>3</v>
      </c>
      <c r="L3109" s="1">
        <v>43083</v>
      </c>
      <c r="M3109" s="22">
        <f>Table3[[#This Row],[Ship Date]]-Table3[[#This Row],[Order Date]]</f>
        <v>0</v>
      </c>
      <c r="N3109" s="23" t="s">
        <v>1141</v>
      </c>
      <c r="O3109" s="23" t="s">
        <v>23</v>
      </c>
      <c r="P3109" s="23" t="s">
        <v>189</v>
      </c>
      <c r="Q3109" s="23" t="s">
        <v>95</v>
      </c>
      <c r="R3109" s="23" t="s">
        <v>3784</v>
      </c>
      <c r="S3109" s="33">
        <v>0.6</v>
      </c>
      <c r="T3109" s="13">
        <v>56.328000000000003</v>
      </c>
      <c r="U3109" s="13">
        <v>-26.755800000000001</v>
      </c>
      <c r="V3109" s="55">
        <f>Table3[[#This Row],[Profit]]/Table3[[#This Row],[Sales]]</f>
        <v>-0.47499999999999998</v>
      </c>
    </row>
    <row r="3110" spans="1:22" x14ac:dyDescent="0.2">
      <c r="A3110">
        <v>3109</v>
      </c>
      <c r="B3110" t="s">
        <v>8279</v>
      </c>
      <c r="C3110" s="1">
        <v>43083</v>
      </c>
      <c r="D3110" s="22">
        <f>MONTH(Table3[[#This Row],[Order Date]])</f>
        <v>12</v>
      </c>
      <c r="E3110" t="s">
        <v>3320</v>
      </c>
      <c r="F3110" t="s">
        <v>3321</v>
      </c>
      <c r="G3110" s="23" t="s">
        <v>64</v>
      </c>
      <c r="H3110" s="23" t="s">
        <v>144</v>
      </c>
      <c r="I3110" t="s">
        <v>569</v>
      </c>
      <c r="J3110" t="s">
        <v>22</v>
      </c>
      <c r="K3110" s="22">
        <v>3</v>
      </c>
      <c r="L3110" s="1">
        <v>43083</v>
      </c>
      <c r="M3110" s="22">
        <f>Table3[[#This Row],[Ship Date]]-Table3[[#This Row],[Order Date]]</f>
        <v>0</v>
      </c>
      <c r="N3110" s="23" t="s">
        <v>1141</v>
      </c>
      <c r="O3110" s="23" t="s">
        <v>23</v>
      </c>
      <c r="P3110" s="23" t="s">
        <v>189</v>
      </c>
      <c r="Q3110" s="23" t="s">
        <v>95</v>
      </c>
      <c r="R3110" s="23" t="s">
        <v>3784</v>
      </c>
      <c r="S3110" s="33">
        <v>0.2</v>
      </c>
      <c r="T3110" s="13">
        <v>39.264000000000003</v>
      </c>
      <c r="U3110" s="13">
        <v>-4.9080000000000004</v>
      </c>
      <c r="V3110" s="55">
        <f>Table3[[#This Row],[Profit]]/Table3[[#This Row],[Sales]]</f>
        <v>-0.125</v>
      </c>
    </row>
    <row r="3111" spans="1:22" x14ac:dyDescent="0.2">
      <c r="A3111">
        <v>3110</v>
      </c>
      <c r="B3111" t="s">
        <v>8279</v>
      </c>
      <c r="C3111" s="1">
        <v>43083</v>
      </c>
      <c r="D3111" s="22">
        <f>MONTH(Table3[[#This Row],[Order Date]])</f>
        <v>12</v>
      </c>
      <c r="E3111" t="s">
        <v>6135</v>
      </c>
      <c r="F3111" t="s">
        <v>6136</v>
      </c>
      <c r="G3111" s="23" t="s">
        <v>41</v>
      </c>
      <c r="H3111" s="23" t="s">
        <v>61</v>
      </c>
      <c r="I3111" t="s">
        <v>569</v>
      </c>
      <c r="J3111" t="s">
        <v>22</v>
      </c>
      <c r="K3111" s="22">
        <v>6</v>
      </c>
      <c r="L3111" s="1">
        <v>43083</v>
      </c>
      <c r="M3111" s="22">
        <f>Table3[[#This Row],[Ship Date]]-Table3[[#This Row],[Order Date]]</f>
        <v>0</v>
      </c>
      <c r="N3111" s="23" t="s">
        <v>1141</v>
      </c>
      <c r="O3111" s="23" t="s">
        <v>23</v>
      </c>
      <c r="P3111" s="23" t="s">
        <v>189</v>
      </c>
      <c r="Q3111" s="23" t="s">
        <v>95</v>
      </c>
      <c r="R3111" s="23" t="s">
        <v>3784</v>
      </c>
      <c r="S3111" s="33">
        <v>0.2</v>
      </c>
      <c r="T3111" s="13">
        <v>95.231999999999999</v>
      </c>
      <c r="U3111" s="13">
        <v>24.9984</v>
      </c>
      <c r="V3111" s="55">
        <f>Table3[[#This Row],[Profit]]/Table3[[#This Row],[Sales]]</f>
        <v>0.26250000000000001</v>
      </c>
    </row>
    <row r="3112" spans="1:22" x14ac:dyDescent="0.2">
      <c r="A3112">
        <v>3111</v>
      </c>
      <c r="B3112" t="s">
        <v>8830</v>
      </c>
      <c r="C3112" s="1">
        <v>43083</v>
      </c>
      <c r="D3112" s="22">
        <f>MONTH(Table3[[#This Row],[Order Date]])</f>
        <v>12</v>
      </c>
      <c r="E3112" t="s">
        <v>1219</v>
      </c>
      <c r="F3112" t="s">
        <v>1220</v>
      </c>
      <c r="G3112" s="23" t="s">
        <v>64</v>
      </c>
      <c r="H3112" s="23" t="s">
        <v>1075</v>
      </c>
      <c r="I3112" t="s">
        <v>3034</v>
      </c>
      <c r="J3112" t="s">
        <v>92</v>
      </c>
      <c r="K3112" s="22">
        <v>2</v>
      </c>
      <c r="L3112" s="1">
        <v>43087</v>
      </c>
      <c r="M3112" s="22">
        <f>Table3[[#This Row],[Ship Date]]-Table3[[#This Row],[Order Date]]</f>
        <v>4</v>
      </c>
      <c r="N3112" s="23" t="s">
        <v>45</v>
      </c>
      <c r="O3112" s="23" t="s">
        <v>23</v>
      </c>
      <c r="P3112" s="23" t="s">
        <v>1101</v>
      </c>
      <c r="Q3112" s="23" t="s">
        <v>133</v>
      </c>
      <c r="R3112" s="23" t="s">
        <v>1308</v>
      </c>
      <c r="S3112" s="33">
        <v>0</v>
      </c>
      <c r="T3112" s="13">
        <v>1199.98</v>
      </c>
      <c r="U3112" s="13">
        <v>467.99220000000003</v>
      </c>
      <c r="V3112" s="55">
        <f>Table3[[#This Row],[Profit]]/Table3[[#This Row],[Sales]]</f>
        <v>0.39</v>
      </c>
    </row>
    <row r="3113" spans="1:22" x14ac:dyDescent="0.2">
      <c r="A3113">
        <v>3112</v>
      </c>
      <c r="B3113" t="s">
        <v>8830</v>
      </c>
      <c r="C3113" s="1">
        <v>43083</v>
      </c>
      <c r="D3113" s="22">
        <f>MONTH(Table3[[#This Row],[Order Date]])</f>
        <v>12</v>
      </c>
      <c r="E3113" t="s">
        <v>855</v>
      </c>
      <c r="F3113" t="s">
        <v>856</v>
      </c>
      <c r="G3113" s="23" t="s">
        <v>41</v>
      </c>
      <c r="H3113" s="23" t="s">
        <v>53</v>
      </c>
      <c r="I3113" t="s">
        <v>3034</v>
      </c>
      <c r="J3113" t="s">
        <v>92</v>
      </c>
      <c r="K3113" s="22">
        <v>1</v>
      </c>
      <c r="L3113" s="1">
        <v>43087</v>
      </c>
      <c r="M3113" s="22">
        <f>Table3[[#This Row],[Ship Date]]-Table3[[#This Row],[Order Date]]</f>
        <v>4</v>
      </c>
      <c r="N3113" s="23" t="s">
        <v>45</v>
      </c>
      <c r="O3113" s="23" t="s">
        <v>23</v>
      </c>
      <c r="P3113" s="23" t="s">
        <v>1101</v>
      </c>
      <c r="Q3113" s="23" t="s">
        <v>133</v>
      </c>
      <c r="R3113" s="23" t="s">
        <v>1308</v>
      </c>
      <c r="S3113" s="33">
        <v>0</v>
      </c>
      <c r="T3113" s="13">
        <v>73.849999999999994</v>
      </c>
      <c r="U3113" s="13">
        <v>2.2155</v>
      </c>
      <c r="V3113" s="55">
        <f>Table3[[#This Row],[Profit]]/Table3[[#This Row],[Sales]]</f>
        <v>3.0000000000000002E-2</v>
      </c>
    </row>
    <row r="3114" spans="1:22" x14ac:dyDescent="0.2">
      <c r="A3114">
        <v>3113</v>
      </c>
      <c r="B3114" t="s">
        <v>8830</v>
      </c>
      <c r="C3114" s="1">
        <v>43083</v>
      </c>
      <c r="D3114" s="22">
        <f>MONTH(Table3[[#This Row],[Order Date]])</f>
        <v>12</v>
      </c>
      <c r="E3114" t="s">
        <v>4493</v>
      </c>
      <c r="F3114" t="s">
        <v>4494</v>
      </c>
      <c r="G3114" s="23" t="s">
        <v>41</v>
      </c>
      <c r="H3114" s="23" t="s">
        <v>513</v>
      </c>
      <c r="I3114" t="s">
        <v>3034</v>
      </c>
      <c r="J3114" t="s">
        <v>92</v>
      </c>
      <c r="K3114" s="22">
        <v>3</v>
      </c>
      <c r="L3114" s="1">
        <v>43087</v>
      </c>
      <c r="M3114" s="22">
        <f>Table3[[#This Row],[Ship Date]]-Table3[[#This Row],[Order Date]]</f>
        <v>4</v>
      </c>
      <c r="N3114" s="23" t="s">
        <v>45</v>
      </c>
      <c r="O3114" s="23" t="s">
        <v>23</v>
      </c>
      <c r="P3114" s="23" t="s">
        <v>1101</v>
      </c>
      <c r="Q3114" s="23" t="s">
        <v>133</v>
      </c>
      <c r="R3114" s="23" t="s">
        <v>1308</v>
      </c>
      <c r="S3114" s="33">
        <v>0</v>
      </c>
      <c r="T3114" s="13">
        <v>25.71</v>
      </c>
      <c r="U3114" s="13">
        <v>6.6845999999999997</v>
      </c>
      <c r="V3114" s="55">
        <f>Table3[[#This Row],[Profit]]/Table3[[#This Row],[Sales]]</f>
        <v>0.25999999999999995</v>
      </c>
    </row>
    <row r="3115" spans="1:22" x14ac:dyDescent="0.2">
      <c r="A3115">
        <v>3114</v>
      </c>
      <c r="B3115" t="s">
        <v>8830</v>
      </c>
      <c r="C3115" s="1">
        <v>43083</v>
      </c>
      <c r="D3115" s="22">
        <f>MONTH(Table3[[#This Row],[Order Date]])</f>
        <v>12</v>
      </c>
      <c r="E3115" t="s">
        <v>6204</v>
      </c>
      <c r="F3115" t="s">
        <v>6205</v>
      </c>
      <c r="G3115" s="23" t="s">
        <v>41</v>
      </c>
      <c r="H3115" s="23" t="s">
        <v>240</v>
      </c>
      <c r="I3115" t="s">
        <v>3034</v>
      </c>
      <c r="J3115" t="s">
        <v>92</v>
      </c>
      <c r="K3115" s="22">
        <v>6</v>
      </c>
      <c r="L3115" s="1">
        <v>43087</v>
      </c>
      <c r="M3115" s="22">
        <f>Table3[[#This Row],[Ship Date]]-Table3[[#This Row],[Order Date]]</f>
        <v>4</v>
      </c>
      <c r="N3115" s="23" t="s">
        <v>45</v>
      </c>
      <c r="O3115" s="23" t="s">
        <v>23</v>
      </c>
      <c r="P3115" s="23" t="s">
        <v>1101</v>
      </c>
      <c r="Q3115" s="23" t="s">
        <v>133</v>
      </c>
      <c r="R3115" s="23" t="s">
        <v>1308</v>
      </c>
      <c r="S3115" s="33">
        <v>0</v>
      </c>
      <c r="T3115" s="13">
        <v>17.28</v>
      </c>
      <c r="U3115" s="13">
        <v>8.1216000000000008</v>
      </c>
      <c r="V3115" s="55">
        <f>Table3[[#This Row],[Profit]]/Table3[[#This Row],[Sales]]</f>
        <v>0.47000000000000003</v>
      </c>
    </row>
    <row r="3116" spans="1:22" x14ac:dyDescent="0.2">
      <c r="A3116">
        <v>3115</v>
      </c>
      <c r="B3116" t="s">
        <v>8830</v>
      </c>
      <c r="C3116" s="1">
        <v>43083</v>
      </c>
      <c r="D3116" s="22">
        <f>MONTH(Table3[[#This Row],[Order Date]])</f>
        <v>12</v>
      </c>
      <c r="E3116" t="s">
        <v>796</v>
      </c>
      <c r="F3116" t="s">
        <v>797</v>
      </c>
      <c r="G3116" s="23" t="s">
        <v>28</v>
      </c>
      <c r="H3116" s="23" t="s">
        <v>50</v>
      </c>
      <c r="I3116" t="s">
        <v>3034</v>
      </c>
      <c r="J3116" t="s">
        <v>92</v>
      </c>
      <c r="K3116" s="22">
        <v>2</v>
      </c>
      <c r="L3116" s="1">
        <v>43087</v>
      </c>
      <c r="M3116" s="22">
        <f>Table3[[#This Row],[Ship Date]]-Table3[[#This Row],[Order Date]]</f>
        <v>4</v>
      </c>
      <c r="N3116" s="23" t="s">
        <v>45</v>
      </c>
      <c r="O3116" s="23" t="s">
        <v>23</v>
      </c>
      <c r="P3116" s="23" t="s">
        <v>1101</v>
      </c>
      <c r="Q3116" s="23" t="s">
        <v>133</v>
      </c>
      <c r="R3116" s="23" t="s">
        <v>1308</v>
      </c>
      <c r="S3116" s="33">
        <v>0.3</v>
      </c>
      <c r="T3116" s="13">
        <v>526.58199999999999</v>
      </c>
      <c r="U3116" s="13">
        <v>-52.658200000000001</v>
      </c>
      <c r="V3116" s="55">
        <f>Table3[[#This Row],[Profit]]/Table3[[#This Row],[Sales]]</f>
        <v>-0.1</v>
      </c>
    </row>
    <row r="3117" spans="1:22" x14ac:dyDescent="0.2">
      <c r="A3117">
        <v>3116</v>
      </c>
      <c r="B3117" t="s">
        <v>6392</v>
      </c>
      <c r="C3117" s="1">
        <v>43084</v>
      </c>
      <c r="D3117" s="22">
        <f>MONTH(Table3[[#This Row],[Order Date]])</f>
        <v>12</v>
      </c>
      <c r="E3117" t="s">
        <v>1921</v>
      </c>
      <c r="F3117" t="s">
        <v>1922</v>
      </c>
      <c r="G3117" s="23" t="s">
        <v>28</v>
      </c>
      <c r="H3117" s="23" t="s">
        <v>58</v>
      </c>
      <c r="I3117" t="s">
        <v>3573</v>
      </c>
      <c r="J3117" t="s">
        <v>92</v>
      </c>
      <c r="K3117" s="22">
        <v>3</v>
      </c>
      <c r="L3117" s="1">
        <v>43089</v>
      </c>
      <c r="M3117" s="22">
        <f>Table3[[#This Row],[Ship Date]]-Table3[[#This Row],[Order Date]]</f>
        <v>5</v>
      </c>
      <c r="N3117" s="23" t="s">
        <v>45</v>
      </c>
      <c r="O3117" s="23" t="s">
        <v>23</v>
      </c>
      <c r="P3117" s="23" t="s">
        <v>87</v>
      </c>
      <c r="Q3117" s="23" t="s">
        <v>39</v>
      </c>
      <c r="R3117" s="23" t="s">
        <v>86</v>
      </c>
      <c r="S3117" s="33">
        <v>0</v>
      </c>
      <c r="T3117" s="13">
        <v>22.77</v>
      </c>
      <c r="U3117" s="13">
        <v>9.7911000000000001</v>
      </c>
      <c r="V3117" s="55">
        <f>Table3[[#This Row],[Profit]]/Table3[[#This Row],[Sales]]</f>
        <v>0.43</v>
      </c>
    </row>
    <row r="3118" spans="1:22" x14ac:dyDescent="0.2">
      <c r="A3118">
        <v>3117</v>
      </c>
      <c r="B3118" t="s">
        <v>7077</v>
      </c>
      <c r="C3118" s="1">
        <v>43084</v>
      </c>
      <c r="D3118" s="22">
        <f>MONTH(Table3[[#This Row],[Order Date]])</f>
        <v>12</v>
      </c>
      <c r="E3118" t="s">
        <v>3731</v>
      </c>
      <c r="F3118" t="s">
        <v>3732</v>
      </c>
      <c r="G3118" s="23" t="s">
        <v>41</v>
      </c>
      <c r="H3118" s="23" t="s">
        <v>61</v>
      </c>
      <c r="I3118" t="s">
        <v>1233</v>
      </c>
      <c r="J3118" t="s">
        <v>36</v>
      </c>
      <c r="K3118" s="22">
        <v>7</v>
      </c>
      <c r="L3118" s="1">
        <v>43088</v>
      </c>
      <c r="M3118" s="22">
        <f>Table3[[#This Row],[Ship Date]]-Table3[[#This Row],[Order Date]]</f>
        <v>4</v>
      </c>
      <c r="N3118" s="23" t="s">
        <v>45</v>
      </c>
      <c r="O3118" s="23" t="s">
        <v>23</v>
      </c>
      <c r="P3118" s="23" t="s">
        <v>189</v>
      </c>
      <c r="Q3118" s="23" t="s">
        <v>95</v>
      </c>
      <c r="R3118" s="23" t="s">
        <v>7078</v>
      </c>
      <c r="S3118" s="33">
        <v>0.2</v>
      </c>
      <c r="T3118" s="13">
        <v>10.192</v>
      </c>
      <c r="U3118" s="13">
        <v>1.0192000000000001</v>
      </c>
      <c r="V3118" s="55">
        <f>Table3[[#This Row],[Profit]]/Table3[[#This Row],[Sales]]</f>
        <v>0.1</v>
      </c>
    </row>
    <row r="3119" spans="1:22" x14ac:dyDescent="0.2">
      <c r="A3119">
        <v>3118</v>
      </c>
      <c r="B3119" t="s">
        <v>10000</v>
      </c>
      <c r="C3119" s="1">
        <v>43084</v>
      </c>
      <c r="D3119" s="22">
        <f>MONTH(Table3[[#This Row],[Order Date]])</f>
        <v>12</v>
      </c>
      <c r="E3119" t="s">
        <v>837</v>
      </c>
      <c r="F3119" t="s">
        <v>838</v>
      </c>
      <c r="G3119" s="23" t="s">
        <v>41</v>
      </c>
      <c r="H3119" s="23" t="s">
        <v>82</v>
      </c>
      <c r="I3119" t="s">
        <v>6418</v>
      </c>
      <c r="J3119" t="s">
        <v>22</v>
      </c>
      <c r="K3119" s="22">
        <v>3</v>
      </c>
      <c r="L3119" s="1">
        <v>43088</v>
      </c>
      <c r="M3119" s="22">
        <f>Table3[[#This Row],[Ship Date]]-Table3[[#This Row],[Order Date]]</f>
        <v>4</v>
      </c>
      <c r="N3119" s="23" t="s">
        <v>45</v>
      </c>
      <c r="O3119" s="23" t="s">
        <v>23</v>
      </c>
      <c r="P3119" s="23" t="s">
        <v>38</v>
      </c>
      <c r="Q3119" s="23" t="s">
        <v>39</v>
      </c>
      <c r="R3119" s="23" t="s">
        <v>905</v>
      </c>
      <c r="S3119" s="33">
        <v>0</v>
      </c>
      <c r="T3119" s="13">
        <v>22.83</v>
      </c>
      <c r="U3119" s="13">
        <v>10.7301</v>
      </c>
      <c r="V3119" s="55">
        <f>Table3[[#This Row],[Profit]]/Table3[[#This Row],[Sales]]</f>
        <v>0.47000000000000003</v>
      </c>
    </row>
    <row r="3120" spans="1:22" x14ac:dyDescent="0.2">
      <c r="A3120">
        <v>3119</v>
      </c>
      <c r="B3120" t="s">
        <v>10000</v>
      </c>
      <c r="C3120" s="1">
        <v>43084</v>
      </c>
      <c r="D3120" s="22">
        <f>MONTH(Table3[[#This Row],[Order Date]])</f>
        <v>12</v>
      </c>
      <c r="E3120" t="s">
        <v>8842</v>
      </c>
      <c r="F3120" t="s">
        <v>8843</v>
      </c>
      <c r="G3120" s="23" t="s">
        <v>41</v>
      </c>
      <c r="H3120" s="23" t="s">
        <v>71</v>
      </c>
      <c r="I3120" t="s">
        <v>6418</v>
      </c>
      <c r="J3120" t="s">
        <v>22</v>
      </c>
      <c r="K3120" s="22">
        <v>4</v>
      </c>
      <c r="L3120" s="1">
        <v>43088</v>
      </c>
      <c r="M3120" s="22">
        <f>Table3[[#This Row],[Ship Date]]-Table3[[#This Row],[Order Date]]</f>
        <v>4</v>
      </c>
      <c r="N3120" s="23" t="s">
        <v>45</v>
      </c>
      <c r="O3120" s="23" t="s">
        <v>23</v>
      </c>
      <c r="P3120" s="23" t="s">
        <v>38</v>
      </c>
      <c r="Q3120" s="23" t="s">
        <v>39</v>
      </c>
      <c r="R3120" s="23" t="s">
        <v>905</v>
      </c>
      <c r="S3120" s="33">
        <v>0</v>
      </c>
      <c r="T3120" s="13">
        <v>54.32</v>
      </c>
      <c r="U3120" s="13">
        <v>16.295999999999999</v>
      </c>
      <c r="V3120" s="55">
        <f>Table3[[#This Row],[Profit]]/Table3[[#This Row],[Sales]]</f>
        <v>0.3</v>
      </c>
    </row>
    <row r="3121" spans="1:22" x14ac:dyDescent="0.2">
      <c r="A3121">
        <v>3120</v>
      </c>
      <c r="B3121" t="s">
        <v>10000</v>
      </c>
      <c r="C3121" s="1">
        <v>43084</v>
      </c>
      <c r="D3121" s="22">
        <f>MONTH(Table3[[#This Row],[Order Date]])</f>
        <v>12</v>
      </c>
      <c r="E3121" t="s">
        <v>4975</v>
      </c>
      <c r="F3121" t="s">
        <v>4976</v>
      </c>
      <c r="G3121" s="23" t="s">
        <v>64</v>
      </c>
      <c r="H3121" s="23" t="s">
        <v>65</v>
      </c>
      <c r="I3121" t="s">
        <v>6418</v>
      </c>
      <c r="J3121" t="s">
        <v>22</v>
      </c>
      <c r="K3121" s="22">
        <v>3</v>
      </c>
      <c r="L3121" s="1">
        <v>43088</v>
      </c>
      <c r="M3121" s="22">
        <f>Table3[[#This Row],[Ship Date]]-Table3[[#This Row],[Order Date]]</f>
        <v>4</v>
      </c>
      <c r="N3121" s="23" t="s">
        <v>45</v>
      </c>
      <c r="O3121" s="23" t="s">
        <v>23</v>
      </c>
      <c r="P3121" s="23" t="s">
        <v>38</v>
      </c>
      <c r="Q3121" s="23" t="s">
        <v>39</v>
      </c>
      <c r="R3121" s="23" t="s">
        <v>905</v>
      </c>
      <c r="S3121" s="33">
        <v>0.2</v>
      </c>
      <c r="T3121" s="13">
        <v>196.77600000000001</v>
      </c>
      <c r="U3121" s="13">
        <v>14.7582</v>
      </c>
      <c r="V3121" s="55">
        <f>Table3[[#This Row],[Profit]]/Table3[[#This Row],[Sales]]</f>
        <v>7.4999999999999997E-2</v>
      </c>
    </row>
    <row r="3122" spans="1:22" x14ac:dyDescent="0.2">
      <c r="A3122">
        <v>3121</v>
      </c>
      <c r="B3122" t="s">
        <v>5488</v>
      </c>
      <c r="C3122" s="1">
        <v>43085</v>
      </c>
      <c r="D3122" s="22">
        <f>MONTH(Table3[[#This Row],[Order Date]])</f>
        <v>12</v>
      </c>
      <c r="E3122" t="s">
        <v>134</v>
      </c>
      <c r="F3122" t="s">
        <v>135</v>
      </c>
      <c r="G3122" s="23" t="s">
        <v>28</v>
      </c>
      <c r="H3122" s="23" t="s">
        <v>32</v>
      </c>
      <c r="I3122" t="s">
        <v>5489</v>
      </c>
      <c r="J3122" t="s">
        <v>36</v>
      </c>
      <c r="K3122" s="22">
        <v>2</v>
      </c>
      <c r="L3122" s="1">
        <v>43090</v>
      </c>
      <c r="M3122" s="22">
        <f>Table3[[#This Row],[Ship Date]]-Table3[[#This Row],[Order Date]]</f>
        <v>5</v>
      </c>
      <c r="N3122" s="23" t="s">
        <v>20</v>
      </c>
      <c r="O3122" s="23" t="s">
        <v>23</v>
      </c>
      <c r="P3122" s="23" t="s">
        <v>38</v>
      </c>
      <c r="Q3122" s="23" t="s">
        <v>39</v>
      </c>
      <c r="R3122" s="23" t="s">
        <v>2061</v>
      </c>
      <c r="S3122" s="33">
        <v>0.2</v>
      </c>
      <c r="T3122" s="13">
        <v>81.567999999999998</v>
      </c>
      <c r="U3122" s="13">
        <v>9.1763999999999992</v>
      </c>
      <c r="V3122" s="55">
        <f>Table3[[#This Row],[Profit]]/Table3[[#This Row],[Sales]]</f>
        <v>0.11249999999999999</v>
      </c>
    </row>
    <row r="3123" spans="1:22" x14ac:dyDescent="0.2">
      <c r="A3123">
        <v>3122</v>
      </c>
      <c r="B3123" t="s">
        <v>5488</v>
      </c>
      <c r="C3123" s="1">
        <v>43085</v>
      </c>
      <c r="D3123" s="22">
        <f>MONTH(Table3[[#This Row],[Order Date]])</f>
        <v>12</v>
      </c>
      <c r="E3123" t="s">
        <v>620</v>
      </c>
      <c r="F3123" t="s">
        <v>621</v>
      </c>
      <c r="G3123" s="23" t="s">
        <v>28</v>
      </c>
      <c r="H3123" s="23" t="s">
        <v>32</v>
      </c>
      <c r="I3123" t="s">
        <v>5489</v>
      </c>
      <c r="J3123" t="s">
        <v>36</v>
      </c>
      <c r="K3123" s="22">
        <v>2</v>
      </c>
      <c r="L3123" s="1">
        <v>43090</v>
      </c>
      <c r="M3123" s="22">
        <f>Table3[[#This Row],[Ship Date]]-Table3[[#This Row],[Order Date]]</f>
        <v>5</v>
      </c>
      <c r="N3123" s="23" t="s">
        <v>20</v>
      </c>
      <c r="O3123" s="23" t="s">
        <v>23</v>
      </c>
      <c r="P3123" s="23" t="s">
        <v>38</v>
      </c>
      <c r="Q3123" s="23" t="s">
        <v>39</v>
      </c>
      <c r="R3123" s="23" t="s">
        <v>2061</v>
      </c>
      <c r="S3123" s="33">
        <v>0.2</v>
      </c>
      <c r="T3123" s="13">
        <v>97.183999999999997</v>
      </c>
      <c r="U3123" s="13">
        <v>6.0739999999999998</v>
      </c>
      <c r="V3123" s="55">
        <f>Table3[[#This Row],[Profit]]/Table3[[#This Row],[Sales]]</f>
        <v>6.25E-2</v>
      </c>
    </row>
    <row r="3124" spans="1:22" x14ac:dyDescent="0.2">
      <c r="A3124">
        <v>3123</v>
      </c>
      <c r="B3124" t="s">
        <v>5488</v>
      </c>
      <c r="C3124" s="1">
        <v>43085</v>
      </c>
      <c r="D3124" s="22">
        <f>MONTH(Table3[[#This Row],[Order Date]])</f>
        <v>12</v>
      </c>
      <c r="E3124" t="s">
        <v>1797</v>
      </c>
      <c r="F3124" t="s">
        <v>1798</v>
      </c>
      <c r="G3124" s="23" t="s">
        <v>41</v>
      </c>
      <c r="H3124" s="23" t="s">
        <v>68</v>
      </c>
      <c r="I3124" t="s">
        <v>5489</v>
      </c>
      <c r="J3124" t="s">
        <v>36</v>
      </c>
      <c r="K3124" s="22">
        <v>5</v>
      </c>
      <c r="L3124" s="1">
        <v>43090</v>
      </c>
      <c r="M3124" s="22">
        <f>Table3[[#This Row],[Ship Date]]-Table3[[#This Row],[Order Date]]</f>
        <v>5</v>
      </c>
      <c r="N3124" s="23" t="s">
        <v>20</v>
      </c>
      <c r="O3124" s="23" t="s">
        <v>23</v>
      </c>
      <c r="P3124" s="23" t="s">
        <v>38</v>
      </c>
      <c r="Q3124" s="23" t="s">
        <v>39</v>
      </c>
      <c r="R3124" s="23" t="s">
        <v>2061</v>
      </c>
      <c r="S3124" s="33">
        <v>0.2</v>
      </c>
      <c r="T3124" s="13">
        <v>24.32</v>
      </c>
      <c r="U3124" s="13">
        <v>8.2080000000000002</v>
      </c>
      <c r="V3124" s="55">
        <f>Table3[[#This Row],[Profit]]/Table3[[#This Row],[Sales]]</f>
        <v>0.33750000000000002</v>
      </c>
    </row>
    <row r="3125" spans="1:22" x14ac:dyDescent="0.2">
      <c r="A3125">
        <v>3124</v>
      </c>
      <c r="B3125" t="s">
        <v>5488</v>
      </c>
      <c r="C3125" s="1">
        <v>43085</v>
      </c>
      <c r="D3125" s="22">
        <f>MONTH(Table3[[#This Row],[Order Date]])</f>
        <v>12</v>
      </c>
      <c r="E3125" t="s">
        <v>5490</v>
      </c>
      <c r="F3125" t="s">
        <v>5491</v>
      </c>
      <c r="G3125" s="23" t="s">
        <v>28</v>
      </c>
      <c r="H3125" s="23" t="s">
        <v>58</v>
      </c>
      <c r="I3125" t="s">
        <v>5489</v>
      </c>
      <c r="J3125" t="s">
        <v>36</v>
      </c>
      <c r="K3125" s="22">
        <v>2</v>
      </c>
      <c r="L3125" s="1">
        <v>43090</v>
      </c>
      <c r="M3125" s="22">
        <f>Table3[[#This Row],[Ship Date]]-Table3[[#This Row],[Order Date]]</f>
        <v>5</v>
      </c>
      <c r="N3125" s="23" t="s">
        <v>20</v>
      </c>
      <c r="O3125" s="23" t="s">
        <v>23</v>
      </c>
      <c r="P3125" s="23" t="s">
        <v>38</v>
      </c>
      <c r="Q3125" s="23" t="s">
        <v>39</v>
      </c>
      <c r="R3125" s="23" t="s">
        <v>2061</v>
      </c>
      <c r="S3125" s="33">
        <v>0</v>
      </c>
      <c r="T3125" s="13">
        <v>18.96</v>
      </c>
      <c r="U3125" s="13">
        <v>7.5839999999999996</v>
      </c>
      <c r="V3125" s="55">
        <f>Table3[[#This Row],[Profit]]/Table3[[#This Row],[Sales]]</f>
        <v>0.39999999999999997</v>
      </c>
    </row>
    <row r="3126" spans="1:22" x14ac:dyDescent="0.2">
      <c r="A3126">
        <v>3125</v>
      </c>
      <c r="B3126" t="s">
        <v>5494</v>
      </c>
      <c r="C3126" s="1">
        <v>43085</v>
      </c>
      <c r="D3126" s="22">
        <f>MONTH(Table3[[#This Row],[Order Date]])</f>
        <v>12</v>
      </c>
      <c r="E3126" t="s">
        <v>2993</v>
      </c>
      <c r="F3126" t="s">
        <v>2994</v>
      </c>
      <c r="G3126" s="23" t="s">
        <v>41</v>
      </c>
      <c r="H3126" s="23" t="s">
        <v>68</v>
      </c>
      <c r="I3126" t="s">
        <v>1779</v>
      </c>
      <c r="J3126" t="s">
        <v>22</v>
      </c>
      <c r="K3126" s="22">
        <v>5</v>
      </c>
      <c r="L3126" s="1">
        <v>43089</v>
      </c>
      <c r="M3126" s="22">
        <f>Table3[[#This Row],[Ship Date]]-Table3[[#This Row],[Order Date]]</f>
        <v>4</v>
      </c>
      <c r="N3126" s="23" t="s">
        <v>45</v>
      </c>
      <c r="O3126" s="23" t="s">
        <v>23</v>
      </c>
      <c r="P3126" s="23" t="s">
        <v>573</v>
      </c>
      <c r="Q3126" s="23" t="s">
        <v>95</v>
      </c>
      <c r="R3126" s="23" t="s">
        <v>4017</v>
      </c>
      <c r="S3126" s="33">
        <v>0</v>
      </c>
      <c r="T3126" s="13">
        <v>10.8</v>
      </c>
      <c r="U3126" s="13">
        <v>5.1840000000000002</v>
      </c>
      <c r="V3126" s="55">
        <f>Table3[[#This Row],[Profit]]/Table3[[#This Row],[Sales]]</f>
        <v>0.48</v>
      </c>
    </row>
    <row r="3127" spans="1:22" x14ac:dyDescent="0.2">
      <c r="A3127">
        <v>3126</v>
      </c>
      <c r="B3127" t="s">
        <v>5529</v>
      </c>
      <c r="C3127" s="1">
        <v>43085</v>
      </c>
      <c r="D3127" s="22">
        <f>MONTH(Table3[[#This Row],[Order Date]])</f>
        <v>12</v>
      </c>
      <c r="E3127" t="s">
        <v>3968</v>
      </c>
      <c r="F3127" t="s">
        <v>3969</v>
      </c>
      <c r="G3127" s="23" t="s">
        <v>41</v>
      </c>
      <c r="H3127" s="23" t="s">
        <v>68</v>
      </c>
      <c r="I3127" t="s">
        <v>2036</v>
      </c>
      <c r="J3127" t="s">
        <v>92</v>
      </c>
      <c r="K3127" s="22">
        <v>4</v>
      </c>
      <c r="L3127" s="1">
        <v>43092</v>
      </c>
      <c r="M3127" s="22">
        <f>Table3[[#This Row],[Ship Date]]-Table3[[#This Row],[Order Date]]</f>
        <v>7</v>
      </c>
      <c r="N3127" s="23" t="s">
        <v>45</v>
      </c>
      <c r="O3127" s="23" t="s">
        <v>23</v>
      </c>
      <c r="P3127" s="23" t="s">
        <v>238</v>
      </c>
      <c r="Q3127" s="23" t="s">
        <v>133</v>
      </c>
      <c r="R3127" s="23" t="s">
        <v>347</v>
      </c>
      <c r="S3127" s="33">
        <v>0.2</v>
      </c>
      <c r="T3127" s="13">
        <v>33.375999999999998</v>
      </c>
      <c r="U3127" s="13">
        <v>10.43</v>
      </c>
      <c r="V3127" s="55">
        <f>Table3[[#This Row],[Profit]]/Table3[[#This Row],[Sales]]</f>
        <v>0.3125</v>
      </c>
    </row>
    <row r="3128" spans="1:22" x14ac:dyDescent="0.2">
      <c r="A3128">
        <v>3127</v>
      </c>
      <c r="B3128" t="s">
        <v>8182</v>
      </c>
      <c r="C3128" s="1">
        <v>43085</v>
      </c>
      <c r="D3128" s="22">
        <f>MONTH(Table3[[#This Row],[Order Date]])</f>
        <v>12</v>
      </c>
      <c r="E3128" t="s">
        <v>1650</v>
      </c>
      <c r="F3128" t="s">
        <v>1651</v>
      </c>
      <c r="G3128" s="23" t="s">
        <v>41</v>
      </c>
      <c r="H3128" s="23" t="s">
        <v>82</v>
      </c>
      <c r="I3128" t="s">
        <v>391</v>
      </c>
      <c r="J3128" t="s">
        <v>92</v>
      </c>
      <c r="K3128" s="22">
        <v>2</v>
      </c>
      <c r="L3128" s="1">
        <v>43090</v>
      </c>
      <c r="M3128" s="22">
        <f>Table3[[#This Row],[Ship Date]]-Table3[[#This Row],[Order Date]]</f>
        <v>5</v>
      </c>
      <c r="N3128" s="23" t="s">
        <v>20</v>
      </c>
      <c r="O3128" s="23" t="s">
        <v>23</v>
      </c>
      <c r="P3128" s="23" t="s">
        <v>38</v>
      </c>
      <c r="Q3128" s="23" t="s">
        <v>39</v>
      </c>
      <c r="R3128" s="23" t="s">
        <v>37</v>
      </c>
      <c r="S3128" s="33">
        <v>0</v>
      </c>
      <c r="T3128" s="13">
        <v>13.36</v>
      </c>
      <c r="U3128" s="13">
        <v>6.4127999999999998</v>
      </c>
      <c r="V3128" s="55">
        <f>Table3[[#This Row],[Profit]]/Table3[[#This Row],[Sales]]</f>
        <v>0.48</v>
      </c>
    </row>
    <row r="3129" spans="1:22" x14ac:dyDescent="0.2">
      <c r="A3129">
        <v>3128</v>
      </c>
      <c r="B3129" t="s">
        <v>8182</v>
      </c>
      <c r="C3129" s="1">
        <v>43085</v>
      </c>
      <c r="D3129" s="22">
        <f>MONTH(Table3[[#This Row],[Order Date]])</f>
        <v>12</v>
      </c>
      <c r="E3129" t="s">
        <v>3339</v>
      </c>
      <c r="F3129" t="s">
        <v>3340</v>
      </c>
      <c r="G3129" s="23" t="s">
        <v>41</v>
      </c>
      <c r="H3129" s="23" t="s">
        <v>53</v>
      </c>
      <c r="I3129" t="s">
        <v>391</v>
      </c>
      <c r="J3129" t="s">
        <v>92</v>
      </c>
      <c r="K3129" s="22">
        <v>5</v>
      </c>
      <c r="L3129" s="1">
        <v>43090</v>
      </c>
      <c r="M3129" s="22">
        <f>Table3[[#This Row],[Ship Date]]-Table3[[#This Row],[Order Date]]</f>
        <v>5</v>
      </c>
      <c r="N3129" s="23" t="s">
        <v>20</v>
      </c>
      <c r="O3129" s="23" t="s">
        <v>23</v>
      </c>
      <c r="P3129" s="23" t="s">
        <v>38</v>
      </c>
      <c r="Q3129" s="23" t="s">
        <v>39</v>
      </c>
      <c r="R3129" s="23" t="s">
        <v>37</v>
      </c>
      <c r="S3129" s="33">
        <v>0</v>
      </c>
      <c r="T3129" s="13">
        <v>158.9</v>
      </c>
      <c r="U3129" s="13">
        <v>7.9450000000000003</v>
      </c>
      <c r="V3129" s="55">
        <f>Table3[[#This Row],[Profit]]/Table3[[#This Row],[Sales]]</f>
        <v>0.05</v>
      </c>
    </row>
    <row r="3130" spans="1:22" x14ac:dyDescent="0.2">
      <c r="A3130">
        <v>3129</v>
      </c>
      <c r="B3130" t="s">
        <v>9610</v>
      </c>
      <c r="C3130" s="1">
        <v>43085</v>
      </c>
      <c r="D3130" s="22">
        <f>MONTH(Table3[[#This Row],[Order Date]])</f>
        <v>12</v>
      </c>
      <c r="E3130" t="s">
        <v>5110</v>
      </c>
      <c r="F3130" t="s">
        <v>5111</v>
      </c>
      <c r="G3130" s="23" t="s">
        <v>41</v>
      </c>
      <c r="H3130" s="23" t="s">
        <v>68</v>
      </c>
      <c r="I3130" t="s">
        <v>2663</v>
      </c>
      <c r="J3130" t="s">
        <v>36</v>
      </c>
      <c r="K3130" s="22">
        <v>2</v>
      </c>
      <c r="L3130" s="1">
        <v>43089</v>
      </c>
      <c r="M3130" s="22">
        <f>Table3[[#This Row],[Ship Date]]-Table3[[#This Row],[Order Date]]</f>
        <v>4</v>
      </c>
      <c r="N3130" s="23" t="s">
        <v>20</v>
      </c>
      <c r="O3130" s="23" t="s">
        <v>23</v>
      </c>
      <c r="P3130" s="23" t="s">
        <v>38</v>
      </c>
      <c r="Q3130" s="23" t="s">
        <v>39</v>
      </c>
      <c r="R3130" s="23" t="s">
        <v>4462</v>
      </c>
      <c r="S3130" s="33">
        <v>0.2</v>
      </c>
      <c r="T3130" s="13">
        <v>5.984</v>
      </c>
      <c r="U3130" s="13">
        <v>2.2440000000000002</v>
      </c>
      <c r="V3130" s="55">
        <f>Table3[[#This Row],[Profit]]/Table3[[#This Row],[Sales]]</f>
        <v>0.37500000000000006</v>
      </c>
    </row>
    <row r="3131" spans="1:22" x14ac:dyDescent="0.2">
      <c r="A3131">
        <v>3130</v>
      </c>
      <c r="B3131" t="s">
        <v>9610</v>
      </c>
      <c r="C3131" s="1">
        <v>43085</v>
      </c>
      <c r="D3131" s="22">
        <f>MONTH(Table3[[#This Row],[Order Date]])</f>
        <v>12</v>
      </c>
      <c r="E3131" t="s">
        <v>4730</v>
      </c>
      <c r="F3131" t="s">
        <v>4731</v>
      </c>
      <c r="G3131" s="23" t="s">
        <v>64</v>
      </c>
      <c r="H3131" s="23" t="s">
        <v>144</v>
      </c>
      <c r="I3131" t="s">
        <v>2663</v>
      </c>
      <c r="J3131" t="s">
        <v>36</v>
      </c>
      <c r="K3131" s="22">
        <v>5</v>
      </c>
      <c r="L3131" s="1">
        <v>43089</v>
      </c>
      <c r="M3131" s="22">
        <f>Table3[[#This Row],[Ship Date]]-Table3[[#This Row],[Order Date]]</f>
        <v>4</v>
      </c>
      <c r="N3131" s="23" t="s">
        <v>20</v>
      </c>
      <c r="O3131" s="23" t="s">
        <v>23</v>
      </c>
      <c r="P3131" s="23" t="s">
        <v>38</v>
      </c>
      <c r="Q3131" s="23" t="s">
        <v>39</v>
      </c>
      <c r="R3131" s="23" t="s">
        <v>4462</v>
      </c>
      <c r="S3131" s="33">
        <v>0</v>
      </c>
      <c r="T3131" s="13">
        <v>189.95</v>
      </c>
      <c r="U3131" s="13">
        <v>45.588000000000001</v>
      </c>
      <c r="V3131" s="55">
        <f>Table3[[#This Row],[Profit]]/Table3[[#This Row],[Sales]]</f>
        <v>0.24000000000000002</v>
      </c>
    </row>
    <row r="3132" spans="1:22" x14ac:dyDescent="0.2">
      <c r="A3132">
        <v>3131</v>
      </c>
      <c r="B3132" t="s">
        <v>9610</v>
      </c>
      <c r="C3132" s="1">
        <v>43085</v>
      </c>
      <c r="D3132" s="22">
        <f>MONTH(Table3[[#This Row],[Order Date]])</f>
        <v>12</v>
      </c>
      <c r="E3132" t="s">
        <v>2168</v>
      </c>
      <c r="F3132" t="s">
        <v>2169</v>
      </c>
      <c r="G3132" s="23" t="s">
        <v>64</v>
      </c>
      <c r="H3132" s="23" t="s">
        <v>144</v>
      </c>
      <c r="I3132" t="s">
        <v>2663</v>
      </c>
      <c r="J3132" t="s">
        <v>36</v>
      </c>
      <c r="K3132" s="22">
        <v>5</v>
      </c>
      <c r="L3132" s="1">
        <v>43089</v>
      </c>
      <c r="M3132" s="22">
        <f>Table3[[#This Row],[Ship Date]]-Table3[[#This Row],[Order Date]]</f>
        <v>4</v>
      </c>
      <c r="N3132" s="23" t="s">
        <v>20</v>
      </c>
      <c r="O3132" s="23" t="s">
        <v>23</v>
      </c>
      <c r="P3132" s="23" t="s">
        <v>38</v>
      </c>
      <c r="Q3132" s="23" t="s">
        <v>39</v>
      </c>
      <c r="R3132" s="23" t="s">
        <v>4462</v>
      </c>
      <c r="S3132" s="33">
        <v>0</v>
      </c>
      <c r="T3132" s="13">
        <v>149.94999999999999</v>
      </c>
      <c r="U3132" s="13">
        <v>31.4895</v>
      </c>
      <c r="V3132" s="55">
        <f>Table3[[#This Row],[Profit]]/Table3[[#This Row],[Sales]]</f>
        <v>0.21000000000000002</v>
      </c>
    </row>
    <row r="3133" spans="1:22" x14ac:dyDescent="0.2">
      <c r="A3133">
        <v>3132</v>
      </c>
      <c r="B3133" t="s">
        <v>9610</v>
      </c>
      <c r="C3133" s="1">
        <v>43085</v>
      </c>
      <c r="D3133" s="22">
        <f>MONTH(Table3[[#This Row],[Order Date]])</f>
        <v>12</v>
      </c>
      <c r="E3133" t="s">
        <v>2611</v>
      </c>
      <c r="F3133" t="s">
        <v>2612</v>
      </c>
      <c r="G3133" s="23" t="s">
        <v>41</v>
      </c>
      <c r="H3133" s="23" t="s">
        <v>61</v>
      </c>
      <c r="I3133" t="s">
        <v>2663</v>
      </c>
      <c r="J3133" t="s">
        <v>36</v>
      </c>
      <c r="K3133" s="22">
        <v>5</v>
      </c>
      <c r="L3133" s="1">
        <v>43089</v>
      </c>
      <c r="M3133" s="22">
        <f>Table3[[#This Row],[Ship Date]]-Table3[[#This Row],[Order Date]]</f>
        <v>4</v>
      </c>
      <c r="N3133" s="23" t="s">
        <v>20</v>
      </c>
      <c r="O3133" s="23" t="s">
        <v>23</v>
      </c>
      <c r="P3133" s="23" t="s">
        <v>38</v>
      </c>
      <c r="Q3133" s="23" t="s">
        <v>39</v>
      </c>
      <c r="R3133" s="23" t="s">
        <v>4462</v>
      </c>
      <c r="S3133" s="33">
        <v>0</v>
      </c>
      <c r="T3133" s="13">
        <v>29.95</v>
      </c>
      <c r="U3133" s="13">
        <v>8.6854999999999993</v>
      </c>
      <c r="V3133" s="55">
        <f>Table3[[#This Row],[Profit]]/Table3[[#This Row],[Sales]]</f>
        <v>0.28999999999999998</v>
      </c>
    </row>
    <row r="3134" spans="1:22" x14ac:dyDescent="0.2">
      <c r="A3134">
        <v>3133</v>
      </c>
      <c r="B3134" t="s">
        <v>9610</v>
      </c>
      <c r="C3134" s="1">
        <v>43085</v>
      </c>
      <c r="D3134" s="22">
        <f>MONTH(Table3[[#This Row],[Order Date]])</f>
        <v>12</v>
      </c>
      <c r="E3134" t="s">
        <v>7695</v>
      </c>
      <c r="F3134" t="s">
        <v>7696</v>
      </c>
      <c r="G3134" s="23" t="s">
        <v>41</v>
      </c>
      <c r="H3134" s="23" t="s">
        <v>42</v>
      </c>
      <c r="I3134" t="s">
        <v>2663</v>
      </c>
      <c r="J3134" t="s">
        <v>36</v>
      </c>
      <c r="K3134" s="22">
        <v>3</v>
      </c>
      <c r="L3134" s="1">
        <v>43089</v>
      </c>
      <c r="M3134" s="22">
        <f>Table3[[#This Row],[Ship Date]]-Table3[[#This Row],[Order Date]]</f>
        <v>4</v>
      </c>
      <c r="N3134" s="23" t="s">
        <v>20</v>
      </c>
      <c r="O3134" s="23" t="s">
        <v>23</v>
      </c>
      <c r="P3134" s="23" t="s">
        <v>38</v>
      </c>
      <c r="Q3134" s="23" t="s">
        <v>39</v>
      </c>
      <c r="R3134" s="23" t="s">
        <v>4462</v>
      </c>
      <c r="S3134" s="33">
        <v>0</v>
      </c>
      <c r="T3134" s="13">
        <v>44.4</v>
      </c>
      <c r="U3134" s="13">
        <v>22.2</v>
      </c>
      <c r="V3134" s="55">
        <f>Table3[[#This Row],[Profit]]/Table3[[#This Row],[Sales]]</f>
        <v>0.5</v>
      </c>
    </row>
    <row r="3135" spans="1:22" x14ac:dyDescent="0.2">
      <c r="A3135">
        <v>3134</v>
      </c>
      <c r="B3135" t="s">
        <v>716</v>
      </c>
      <c r="C3135" s="1">
        <v>43086</v>
      </c>
      <c r="D3135" s="22">
        <f>MONTH(Table3[[#This Row],[Order Date]])</f>
        <v>12</v>
      </c>
      <c r="E3135" t="s">
        <v>719</v>
      </c>
      <c r="F3135" t="s">
        <v>720</v>
      </c>
      <c r="G3135" s="23" t="s">
        <v>41</v>
      </c>
      <c r="H3135" s="23" t="s">
        <v>71</v>
      </c>
      <c r="I3135" t="s">
        <v>717</v>
      </c>
      <c r="J3135" t="s">
        <v>22</v>
      </c>
      <c r="K3135" s="22">
        <v>2</v>
      </c>
      <c r="L3135" s="1">
        <v>43090</v>
      </c>
      <c r="M3135" s="22">
        <f>Table3[[#This Row],[Ship Date]]-Table3[[#This Row],[Order Date]]</f>
        <v>4</v>
      </c>
      <c r="N3135" s="23" t="s">
        <v>20</v>
      </c>
      <c r="O3135" s="23" t="s">
        <v>23</v>
      </c>
      <c r="P3135" s="23" t="s">
        <v>94</v>
      </c>
      <c r="Q3135" s="23" t="s">
        <v>95</v>
      </c>
      <c r="R3135" s="23" t="s">
        <v>718</v>
      </c>
      <c r="S3135" s="33">
        <v>0.8</v>
      </c>
      <c r="T3135" s="13">
        <v>66.284000000000006</v>
      </c>
      <c r="U3135" s="13">
        <v>-178.96680000000001</v>
      </c>
      <c r="V3135" s="55">
        <f>Table3[[#This Row],[Profit]]/Table3[[#This Row],[Sales]]</f>
        <v>-2.6999999999999997</v>
      </c>
    </row>
    <row r="3136" spans="1:22" x14ac:dyDescent="0.2">
      <c r="A3136">
        <v>3135</v>
      </c>
      <c r="B3136" t="s">
        <v>1830</v>
      </c>
      <c r="C3136" s="1">
        <v>43086</v>
      </c>
      <c r="D3136" s="22">
        <f>MONTH(Table3[[#This Row],[Order Date]])</f>
        <v>12</v>
      </c>
      <c r="E3136" t="s">
        <v>1831</v>
      </c>
      <c r="F3136" t="s">
        <v>1832</v>
      </c>
      <c r="G3136" s="23" t="s">
        <v>41</v>
      </c>
      <c r="H3136" s="23" t="s">
        <v>68</v>
      </c>
      <c r="I3136" t="s">
        <v>717</v>
      </c>
      <c r="J3136" t="s">
        <v>22</v>
      </c>
      <c r="K3136" s="22">
        <v>5</v>
      </c>
      <c r="L3136" s="1">
        <v>43090</v>
      </c>
      <c r="M3136" s="22">
        <f>Table3[[#This Row],[Ship Date]]-Table3[[#This Row],[Order Date]]</f>
        <v>4</v>
      </c>
      <c r="N3136" s="23" t="s">
        <v>45</v>
      </c>
      <c r="O3136" s="23" t="s">
        <v>23</v>
      </c>
      <c r="P3136" s="23" t="s">
        <v>38</v>
      </c>
      <c r="Q3136" s="23" t="s">
        <v>39</v>
      </c>
      <c r="R3136" s="23" t="s">
        <v>114</v>
      </c>
      <c r="S3136" s="33">
        <v>0.2</v>
      </c>
      <c r="T3136" s="13">
        <v>15.24</v>
      </c>
      <c r="U3136" s="13">
        <v>5.1435000000000004</v>
      </c>
      <c r="V3136" s="55">
        <f>Table3[[#This Row],[Profit]]/Table3[[#This Row],[Sales]]</f>
        <v>0.33750000000000002</v>
      </c>
    </row>
    <row r="3137" spans="1:22" x14ac:dyDescent="0.2">
      <c r="A3137">
        <v>3136</v>
      </c>
      <c r="B3137" t="s">
        <v>1830</v>
      </c>
      <c r="C3137" s="1">
        <v>43086</v>
      </c>
      <c r="D3137" s="22">
        <f>MONTH(Table3[[#This Row],[Order Date]])</f>
        <v>12</v>
      </c>
      <c r="E3137" t="s">
        <v>906</v>
      </c>
      <c r="F3137" t="s">
        <v>907</v>
      </c>
      <c r="G3137" s="23" t="s">
        <v>41</v>
      </c>
      <c r="H3137" s="23" t="s">
        <v>82</v>
      </c>
      <c r="I3137" t="s">
        <v>717</v>
      </c>
      <c r="J3137" t="s">
        <v>22</v>
      </c>
      <c r="K3137" s="22">
        <v>3</v>
      </c>
      <c r="L3137" s="1">
        <v>43090</v>
      </c>
      <c r="M3137" s="22">
        <f>Table3[[#This Row],[Ship Date]]-Table3[[#This Row],[Order Date]]</f>
        <v>4</v>
      </c>
      <c r="N3137" s="23" t="s">
        <v>45</v>
      </c>
      <c r="O3137" s="23" t="s">
        <v>23</v>
      </c>
      <c r="P3137" s="23" t="s">
        <v>38</v>
      </c>
      <c r="Q3137" s="23" t="s">
        <v>39</v>
      </c>
      <c r="R3137" s="23" t="s">
        <v>114</v>
      </c>
      <c r="S3137" s="33">
        <v>0</v>
      </c>
      <c r="T3137" s="13">
        <v>13.23</v>
      </c>
      <c r="U3137" s="13">
        <v>6.0857999999999999</v>
      </c>
      <c r="V3137" s="55">
        <f>Table3[[#This Row],[Profit]]/Table3[[#This Row],[Sales]]</f>
        <v>0.45999999999999996</v>
      </c>
    </row>
    <row r="3138" spans="1:22" x14ac:dyDescent="0.2">
      <c r="A3138">
        <v>3137</v>
      </c>
      <c r="B3138" t="s">
        <v>2681</v>
      </c>
      <c r="C3138" s="1">
        <v>43086</v>
      </c>
      <c r="D3138" s="22">
        <f>MONTH(Table3[[#This Row],[Order Date]])</f>
        <v>12</v>
      </c>
      <c r="E3138" t="s">
        <v>2683</v>
      </c>
      <c r="F3138" t="s">
        <v>2684</v>
      </c>
      <c r="G3138" s="23" t="s">
        <v>41</v>
      </c>
      <c r="H3138" s="23" t="s">
        <v>68</v>
      </c>
      <c r="I3138" t="s">
        <v>2682</v>
      </c>
      <c r="J3138" t="s">
        <v>92</v>
      </c>
      <c r="K3138" s="22">
        <v>2</v>
      </c>
      <c r="L3138" s="1">
        <v>43089</v>
      </c>
      <c r="M3138" s="22">
        <f>Table3[[#This Row],[Ship Date]]-Table3[[#This Row],[Order Date]]</f>
        <v>3</v>
      </c>
      <c r="N3138" s="23" t="s">
        <v>169</v>
      </c>
      <c r="O3138" s="23" t="s">
        <v>23</v>
      </c>
      <c r="P3138" s="23" t="s">
        <v>38</v>
      </c>
      <c r="Q3138" s="23" t="s">
        <v>39</v>
      </c>
      <c r="R3138" s="23" t="s">
        <v>37</v>
      </c>
      <c r="S3138" s="33">
        <v>0.2</v>
      </c>
      <c r="T3138" s="13">
        <v>11.808</v>
      </c>
      <c r="U3138" s="13">
        <v>4.2804000000000002</v>
      </c>
      <c r="V3138" s="55">
        <f>Table3[[#This Row],[Profit]]/Table3[[#This Row],[Sales]]</f>
        <v>0.36250000000000004</v>
      </c>
    </row>
    <row r="3139" spans="1:22" x14ac:dyDescent="0.2">
      <c r="A3139">
        <v>3138</v>
      </c>
      <c r="B3139" t="s">
        <v>5375</v>
      </c>
      <c r="C3139" s="1">
        <v>43086</v>
      </c>
      <c r="D3139" s="22">
        <f>MONTH(Table3[[#This Row],[Order Date]])</f>
        <v>12</v>
      </c>
      <c r="E3139" t="s">
        <v>2505</v>
      </c>
      <c r="F3139" t="s">
        <v>2506</v>
      </c>
      <c r="G3139" s="23" t="s">
        <v>41</v>
      </c>
      <c r="H3139" s="23" t="s">
        <v>82</v>
      </c>
      <c r="I3139" t="s">
        <v>5376</v>
      </c>
      <c r="J3139" t="s">
        <v>92</v>
      </c>
      <c r="K3139" s="22">
        <v>4</v>
      </c>
      <c r="L3139" s="1">
        <v>43091</v>
      </c>
      <c r="M3139" s="22">
        <f>Table3[[#This Row],[Ship Date]]-Table3[[#This Row],[Order Date]]</f>
        <v>5</v>
      </c>
      <c r="N3139" s="23" t="s">
        <v>45</v>
      </c>
      <c r="O3139" s="23" t="s">
        <v>23</v>
      </c>
      <c r="P3139" s="23" t="s">
        <v>226</v>
      </c>
      <c r="Q3139" s="23" t="s">
        <v>95</v>
      </c>
      <c r="R3139" s="23" t="s">
        <v>440</v>
      </c>
      <c r="S3139" s="33">
        <v>0</v>
      </c>
      <c r="T3139" s="13">
        <v>28.16</v>
      </c>
      <c r="U3139" s="13">
        <v>13.235200000000001</v>
      </c>
      <c r="V3139" s="55">
        <f>Table3[[#This Row],[Profit]]/Table3[[#This Row],[Sales]]</f>
        <v>0.47000000000000003</v>
      </c>
    </row>
    <row r="3140" spans="1:22" x14ac:dyDescent="0.2">
      <c r="A3140">
        <v>3139</v>
      </c>
      <c r="B3140" t="s">
        <v>5556</v>
      </c>
      <c r="C3140" s="1">
        <v>43086</v>
      </c>
      <c r="D3140" s="22">
        <f>MONTH(Table3[[#This Row],[Order Date]])</f>
        <v>12</v>
      </c>
      <c r="E3140" t="s">
        <v>3199</v>
      </c>
      <c r="F3140" t="s">
        <v>3200</v>
      </c>
      <c r="G3140" s="23" t="s">
        <v>28</v>
      </c>
      <c r="H3140" s="23" t="s">
        <v>32</v>
      </c>
      <c r="I3140" t="s">
        <v>3566</v>
      </c>
      <c r="J3140" t="s">
        <v>22</v>
      </c>
      <c r="K3140" s="22">
        <v>5</v>
      </c>
      <c r="L3140" s="1">
        <v>43090</v>
      </c>
      <c r="M3140" s="22">
        <f>Table3[[#This Row],[Ship Date]]-Table3[[#This Row],[Order Date]]</f>
        <v>4</v>
      </c>
      <c r="N3140" s="23" t="s">
        <v>45</v>
      </c>
      <c r="O3140" s="23" t="s">
        <v>23</v>
      </c>
      <c r="P3140" s="23" t="s">
        <v>285</v>
      </c>
      <c r="Q3140" s="23" t="s">
        <v>26</v>
      </c>
      <c r="R3140" s="23" t="s">
        <v>4320</v>
      </c>
      <c r="S3140" s="33">
        <v>0</v>
      </c>
      <c r="T3140" s="13">
        <v>504.9</v>
      </c>
      <c r="U3140" s="13">
        <v>80.784000000000006</v>
      </c>
      <c r="V3140" s="55">
        <f>Table3[[#This Row],[Profit]]/Table3[[#This Row],[Sales]]</f>
        <v>0.16000000000000003</v>
      </c>
    </row>
    <row r="3141" spans="1:22" x14ac:dyDescent="0.2">
      <c r="A3141">
        <v>3140</v>
      </c>
      <c r="B3141" t="s">
        <v>6693</v>
      </c>
      <c r="C3141" s="1">
        <v>43086</v>
      </c>
      <c r="D3141" s="22">
        <f>MONTH(Table3[[#This Row],[Order Date]])</f>
        <v>12</v>
      </c>
      <c r="E3141" t="s">
        <v>894</v>
      </c>
      <c r="F3141" t="s">
        <v>895</v>
      </c>
      <c r="G3141" s="23" t="s">
        <v>41</v>
      </c>
      <c r="H3141" s="23" t="s">
        <v>53</v>
      </c>
      <c r="I3141" t="s">
        <v>5505</v>
      </c>
      <c r="J3141" t="s">
        <v>22</v>
      </c>
      <c r="K3141" s="22">
        <v>3</v>
      </c>
      <c r="L3141" s="1">
        <v>43090</v>
      </c>
      <c r="M3141" s="22">
        <f>Table3[[#This Row],[Ship Date]]-Table3[[#This Row],[Order Date]]</f>
        <v>4</v>
      </c>
      <c r="N3141" s="23" t="s">
        <v>45</v>
      </c>
      <c r="O3141" s="23" t="s">
        <v>23</v>
      </c>
      <c r="P3141" s="23" t="s">
        <v>285</v>
      </c>
      <c r="Q3141" s="23" t="s">
        <v>26</v>
      </c>
      <c r="R3141" s="23" t="s">
        <v>997</v>
      </c>
      <c r="S3141" s="33">
        <v>0</v>
      </c>
      <c r="T3141" s="13">
        <v>544.38</v>
      </c>
      <c r="U3141" s="13">
        <v>157.87020000000001</v>
      </c>
      <c r="V3141" s="55">
        <f>Table3[[#This Row],[Profit]]/Table3[[#This Row],[Sales]]</f>
        <v>0.29000000000000004</v>
      </c>
    </row>
    <row r="3142" spans="1:22" x14ac:dyDescent="0.2">
      <c r="A3142">
        <v>3141</v>
      </c>
      <c r="B3142" t="s">
        <v>7101</v>
      </c>
      <c r="C3142" s="1">
        <v>43086</v>
      </c>
      <c r="D3142" s="22">
        <f>MONTH(Table3[[#This Row],[Order Date]])</f>
        <v>12</v>
      </c>
      <c r="E3142" t="s">
        <v>2668</v>
      </c>
      <c r="F3142" t="s">
        <v>2669</v>
      </c>
      <c r="G3142" s="23" t="s">
        <v>41</v>
      </c>
      <c r="H3142" s="23" t="s">
        <v>53</v>
      </c>
      <c r="I3142" t="s">
        <v>886</v>
      </c>
      <c r="J3142" t="s">
        <v>36</v>
      </c>
      <c r="K3142" s="22">
        <v>4</v>
      </c>
      <c r="L3142" s="1">
        <v>43090</v>
      </c>
      <c r="M3142" s="22">
        <f>Table3[[#This Row],[Ship Date]]-Table3[[#This Row],[Order Date]]</f>
        <v>4</v>
      </c>
      <c r="N3142" s="23" t="s">
        <v>45</v>
      </c>
      <c r="O3142" s="23" t="s">
        <v>23</v>
      </c>
      <c r="P3142" s="23" t="s">
        <v>38</v>
      </c>
      <c r="Q3142" s="23" t="s">
        <v>39</v>
      </c>
      <c r="R3142" s="23" t="s">
        <v>1666</v>
      </c>
      <c r="S3142" s="33">
        <v>0</v>
      </c>
      <c r="T3142" s="13">
        <v>481.32</v>
      </c>
      <c r="U3142" s="13">
        <v>125.14319999999999</v>
      </c>
      <c r="V3142" s="55">
        <f>Table3[[#This Row],[Profit]]/Table3[[#This Row],[Sales]]</f>
        <v>0.26</v>
      </c>
    </row>
    <row r="3143" spans="1:22" x14ac:dyDescent="0.2">
      <c r="A3143">
        <v>3142</v>
      </c>
      <c r="B3143" t="s">
        <v>7101</v>
      </c>
      <c r="C3143" s="1">
        <v>43086</v>
      </c>
      <c r="D3143" s="22">
        <f>MONTH(Table3[[#This Row],[Order Date]])</f>
        <v>12</v>
      </c>
      <c r="E3143" t="s">
        <v>4934</v>
      </c>
      <c r="F3143" t="s">
        <v>4935</v>
      </c>
      <c r="G3143" s="23" t="s">
        <v>41</v>
      </c>
      <c r="H3143" s="23" t="s">
        <v>513</v>
      </c>
      <c r="I3143" t="s">
        <v>886</v>
      </c>
      <c r="J3143" t="s">
        <v>36</v>
      </c>
      <c r="K3143" s="22">
        <v>1</v>
      </c>
      <c r="L3143" s="1">
        <v>43090</v>
      </c>
      <c r="M3143" s="22">
        <f>Table3[[#This Row],[Ship Date]]-Table3[[#This Row],[Order Date]]</f>
        <v>4</v>
      </c>
      <c r="N3143" s="23" t="s">
        <v>45</v>
      </c>
      <c r="O3143" s="23" t="s">
        <v>23</v>
      </c>
      <c r="P3143" s="23" t="s">
        <v>38</v>
      </c>
      <c r="Q3143" s="23" t="s">
        <v>39</v>
      </c>
      <c r="R3143" s="23" t="s">
        <v>1666</v>
      </c>
      <c r="S3143" s="33">
        <v>0</v>
      </c>
      <c r="T3143" s="13">
        <v>13.98</v>
      </c>
      <c r="U3143" s="13">
        <v>3.6347999999999998</v>
      </c>
      <c r="V3143" s="55">
        <f>Table3[[#This Row],[Profit]]/Table3[[#This Row],[Sales]]</f>
        <v>0.25999999999999995</v>
      </c>
    </row>
    <row r="3144" spans="1:22" x14ac:dyDescent="0.2">
      <c r="A3144">
        <v>3143</v>
      </c>
      <c r="B3144" t="s">
        <v>8479</v>
      </c>
      <c r="C3144" s="1">
        <v>43086</v>
      </c>
      <c r="D3144" s="22">
        <f>MONTH(Table3[[#This Row],[Order Date]])</f>
        <v>12</v>
      </c>
      <c r="E3144" t="s">
        <v>824</v>
      </c>
      <c r="F3144" t="s">
        <v>825</v>
      </c>
      <c r="G3144" s="23" t="s">
        <v>41</v>
      </c>
      <c r="H3144" s="23" t="s">
        <v>53</v>
      </c>
      <c r="I3144" t="s">
        <v>1827</v>
      </c>
      <c r="J3144" t="s">
        <v>22</v>
      </c>
      <c r="K3144" s="22">
        <v>2</v>
      </c>
      <c r="L3144" s="1">
        <v>43092</v>
      </c>
      <c r="M3144" s="22">
        <f>Table3[[#This Row],[Ship Date]]-Table3[[#This Row],[Order Date]]</f>
        <v>6</v>
      </c>
      <c r="N3144" s="23" t="s">
        <v>45</v>
      </c>
      <c r="O3144" s="23" t="s">
        <v>23</v>
      </c>
      <c r="P3144" s="23" t="s">
        <v>238</v>
      </c>
      <c r="Q3144" s="23" t="s">
        <v>133</v>
      </c>
      <c r="R3144" s="23" t="s">
        <v>237</v>
      </c>
      <c r="S3144" s="33">
        <v>0</v>
      </c>
      <c r="T3144" s="13">
        <v>166.72</v>
      </c>
      <c r="U3144" s="13">
        <v>41.68</v>
      </c>
      <c r="V3144" s="55">
        <f>Table3[[#This Row],[Profit]]/Table3[[#This Row],[Sales]]</f>
        <v>0.25</v>
      </c>
    </row>
    <row r="3145" spans="1:22" x14ac:dyDescent="0.2">
      <c r="A3145">
        <v>3144</v>
      </c>
      <c r="B3145" t="s">
        <v>8479</v>
      </c>
      <c r="C3145" s="1">
        <v>43086</v>
      </c>
      <c r="D3145" s="22">
        <f>MONTH(Table3[[#This Row],[Order Date]])</f>
        <v>12</v>
      </c>
      <c r="E3145" t="s">
        <v>4876</v>
      </c>
      <c r="F3145" t="s">
        <v>4877</v>
      </c>
      <c r="G3145" s="23" t="s">
        <v>41</v>
      </c>
      <c r="H3145" s="23" t="s">
        <v>68</v>
      </c>
      <c r="I3145" t="s">
        <v>1827</v>
      </c>
      <c r="J3145" t="s">
        <v>22</v>
      </c>
      <c r="K3145" s="22">
        <v>3</v>
      </c>
      <c r="L3145" s="1">
        <v>43092</v>
      </c>
      <c r="M3145" s="22">
        <f>Table3[[#This Row],[Ship Date]]-Table3[[#This Row],[Order Date]]</f>
        <v>6</v>
      </c>
      <c r="N3145" s="23" t="s">
        <v>45</v>
      </c>
      <c r="O3145" s="23" t="s">
        <v>23</v>
      </c>
      <c r="P3145" s="23" t="s">
        <v>238</v>
      </c>
      <c r="Q3145" s="23" t="s">
        <v>133</v>
      </c>
      <c r="R3145" s="23" t="s">
        <v>237</v>
      </c>
      <c r="S3145" s="33">
        <v>0.2</v>
      </c>
      <c r="T3145" s="13">
        <v>24.815999999999999</v>
      </c>
      <c r="U3145" s="13">
        <v>8.3754000000000008</v>
      </c>
      <c r="V3145" s="55">
        <f>Table3[[#This Row],[Profit]]/Table3[[#This Row],[Sales]]</f>
        <v>0.33750000000000002</v>
      </c>
    </row>
    <row r="3146" spans="1:22" x14ac:dyDescent="0.2">
      <c r="A3146">
        <v>3145</v>
      </c>
      <c r="B3146" t="s">
        <v>8479</v>
      </c>
      <c r="C3146" s="1">
        <v>43086</v>
      </c>
      <c r="D3146" s="22">
        <f>MONTH(Table3[[#This Row],[Order Date]])</f>
        <v>12</v>
      </c>
      <c r="E3146" t="s">
        <v>4676</v>
      </c>
      <c r="F3146" t="s">
        <v>4677</v>
      </c>
      <c r="G3146" s="23" t="s">
        <v>28</v>
      </c>
      <c r="H3146" s="23" t="s">
        <v>58</v>
      </c>
      <c r="I3146" t="s">
        <v>1827</v>
      </c>
      <c r="J3146" t="s">
        <v>22</v>
      </c>
      <c r="K3146" s="22">
        <v>2</v>
      </c>
      <c r="L3146" s="1">
        <v>43092</v>
      </c>
      <c r="M3146" s="22">
        <f>Table3[[#This Row],[Ship Date]]-Table3[[#This Row],[Order Date]]</f>
        <v>6</v>
      </c>
      <c r="N3146" s="23" t="s">
        <v>45</v>
      </c>
      <c r="O3146" s="23" t="s">
        <v>23</v>
      </c>
      <c r="P3146" s="23" t="s">
        <v>238</v>
      </c>
      <c r="Q3146" s="23" t="s">
        <v>133</v>
      </c>
      <c r="R3146" s="23" t="s">
        <v>237</v>
      </c>
      <c r="S3146" s="33">
        <v>0</v>
      </c>
      <c r="T3146" s="13">
        <v>124.36</v>
      </c>
      <c r="U3146" s="13">
        <v>27.359200000000001</v>
      </c>
      <c r="V3146" s="55">
        <f>Table3[[#This Row],[Profit]]/Table3[[#This Row],[Sales]]</f>
        <v>0.22</v>
      </c>
    </row>
    <row r="3147" spans="1:22" x14ac:dyDescent="0.2">
      <c r="A3147">
        <v>3146</v>
      </c>
      <c r="B3147" t="s">
        <v>9795</v>
      </c>
      <c r="C3147" s="1">
        <v>43086</v>
      </c>
      <c r="D3147" s="22">
        <f>MONTH(Table3[[#This Row],[Order Date]])</f>
        <v>12</v>
      </c>
      <c r="E3147" t="s">
        <v>6127</v>
      </c>
      <c r="F3147" t="s">
        <v>6128</v>
      </c>
      <c r="G3147" s="23" t="s">
        <v>41</v>
      </c>
      <c r="H3147" s="23" t="s">
        <v>53</v>
      </c>
      <c r="I3147" t="s">
        <v>2324</v>
      </c>
      <c r="J3147" t="s">
        <v>36</v>
      </c>
      <c r="K3147" s="22">
        <v>2</v>
      </c>
      <c r="L3147" s="1">
        <v>43090</v>
      </c>
      <c r="M3147" s="22">
        <f>Table3[[#This Row],[Ship Date]]-Table3[[#This Row],[Order Date]]</f>
        <v>4</v>
      </c>
      <c r="N3147" s="23" t="s">
        <v>45</v>
      </c>
      <c r="O3147" s="23" t="s">
        <v>23</v>
      </c>
      <c r="P3147" s="23" t="s">
        <v>103</v>
      </c>
      <c r="Q3147" s="23" t="s">
        <v>95</v>
      </c>
      <c r="R3147" s="23" t="s">
        <v>5535</v>
      </c>
      <c r="S3147" s="33">
        <v>0</v>
      </c>
      <c r="T3147" s="13">
        <v>32.56</v>
      </c>
      <c r="U3147" s="13">
        <v>8.4656000000000002</v>
      </c>
      <c r="V3147" s="55">
        <f>Table3[[#This Row],[Profit]]/Table3[[#This Row],[Sales]]</f>
        <v>0.26</v>
      </c>
    </row>
    <row r="3148" spans="1:22" x14ac:dyDescent="0.2">
      <c r="A3148">
        <v>3147</v>
      </c>
      <c r="B3148" t="s">
        <v>2863</v>
      </c>
      <c r="C3148" s="1">
        <v>43087</v>
      </c>
      <c r="D3148" s="22">
        <f>MONTH(Table3[[#This Row],[Order Date]])</f>
        <v>12</v>
      </c>
      <c r="E3148" t="s">
        <v>2422</v>
      </c>
      <c r="F3148" t="s">
        <v>2423</v>
      </c>
      <c r="G3148" s="23" t="s">
        <v>41</v>
      </c>
      <c r="H3148" s="23" t="s">
        <v>68</v>
      </c>
      <c r="I3148" t="s">
        <v>1176</v>
      </c>
      <c r="J3148" t="s">
        <v>22</v>
      </c>
      <c r="K3148" s="22">
        <v>2</v>
      </c>
      <c r="L3148" s="1">
        <v>43092</v>
      </c>
      <c r="M3148" s="22">
        <f>Table3[[#This Row],[Ship Date]]-Table3[[#This Row],[Order Date]]</f>
        <v>5</v>
      </c>
      <c r="N3148" s="23" t="s">
        <v>20</v>
      </c>
      <c r="O3148" s="23" t="s">
        <v>23</v>
      </c>
      <c r="P3148" s="23" t="s">
        <v>38</v>
      </c>
      <c r="Q3148" s="23" t="s">
        <v>39</v>
      </c>
      <c r="R3148" s="23" t="s">
        <v>2864</v>
      </c>
      <c r="S3148" s="33">
        <v>0.2</v>
      </c>
      <c r="T3148" s="13">
        <v>46.671999999999997</v>
      </c>
      <c r="U3148" s="13">
        <v>16.3352</v>
      </c>
      <c r="V3148" s="55">
        <f>Table3[[#This Row],[Profit]]/Table3[[#This Row],[Sales]]</f>
        <v>0.35000000000000003</v>
      </c>
    </row>
    <row r="3149" spans="1:22" x14ac:dyDescent="0.2">
      <c r="A3149">
        <v>3148</v>
      </c>
      <c r="B3149" t="s">
        <v>2863</v>
      </c>
      <c r="C3149" s="1">
        <v>43087</v>
      </c>
      <c r="D3149" s="22">
        <f>MONTH(Table3[[#This Row],[Order Date]])</f>
        <v>12</v>
      </c>
      <c r="E3149" t="s">
        <v>2865</v>
      </c>
      <c r="F3149" t="s">
        <v>2866</v>
      </c>
      <c r="G3149" s="23" t="s">
        <v>28</v>
      </c>
      <c r="H3149" s="23" t="s">
        <v>29</v>
      </c>
      <c r="I3149" t="s">
        <v>1176</v>
      </c>
      <c r="J3149" t="s">
        <v>22</v>
      </c>
      <c r="K3149" s="22">
        <v>1</v>
      </c>
      <c r="L3149" s="1">
        <v>43092</v>
      </c>
      <c r="M3149" s="22">
        <f>Table3[[#This Row],[Ship Date]]-Table3[[#This Row],[Order Date]]</f>
        <v>5</v>
      </c>
      <c r="N3149" s="23" t="s">
        <v>20</v>
      </c>
      <c r="O3149" s="23" t="s">
        <v>23</v>
      </c>
      <c r="P3149" s="23" t="s">
        <v>38</v>
      </c>
      <c r="Q3149" s="23" t="s">
        <v>39</v>
      </c>
      <c r="R3149" s="23" t="s">
        <v>2864</v>
      </c>
      <c r="S3149" s="33">
        <v>0.15</v>
      </c>
      <c r="T3149" s="13">
        <v>119.833</v>
      </c>
      <c r="U3149" s="13">
        <v>-12.6882</v>
      </c>
      <c r="V3149" s="55">
        <f>Table3[[#This Row],[Profit]]/Table3[[#This Row],[Sales]]</f>
        <v>-0.10588235294117647</v>
      </c>
    </row>
    <row r="3150" spans="1:22" x14ac:dyDescent="0.2">
      <c r="A3150">
        <v>3149</v>
      </c>
      <c r="B3150" t="s">
        <v>2863</v>
      </c>
      <c r="C3150" s="1">
        <v>43087</v>
      </c>
      <c r="D3150" s="22">
        <f>MONTH(Table3[[#This Row],[Order Date]])</f>
        <v>12</v>
      </c>
      <c r="E3150" t="s">
        <v>2070</v>
      </c>
      <c r="F3150" t="s">
        <v>2071</v>
      </c>
      <c r="G3150" s="23" t="s">
        <v>64</v>
      </c>
      <c r="H3150" s="23" t="s">
        <v>144</v>
      </c>
      <c r="I3150" t="s">
        <v>1176</v>
      </c>
      <c r="J3150" t="s">
        <v>22</v>
      </c>
      <c r="K3150" s="22">
        <v>2</v>
      </c>
      <c r="L3150" s="1">
        <v>43092</v>
      </c>
      <c r="M3150" s="22">
        <f>Table3[[#This Row],[Ship Date]]-Table3[[#This Row],[Order Date]]</f>
        <v>5</v>
      </c>
      <c r="N3150" s="23" t="s">
        <v>20</v>
      </c>
      <c r="O3150" s="23" t="s">
        <v>23</v>
      </c>
      <c r="P3150" s="23" t="s">
        <v>38</v>
      </c>
      <c r="Q3150" s="23" t="s">
        <v>39</v>
      </c>
      <c r="R3150" s="23" t="s">
        <v>2864</v>
      </c>
      <c r="S3150" s="33">
        <v>0</v>
      </c>
      <c r="T3150" s="13">
        <v>119.98</v>
      </c>
      <c r="U3150" s="13">
        <v>57.590400000000002</v>
      </c>
      <c r="V3150" s="55">
        <f>Table3[[#This Row],[Profit]]/Table3[[#This Row],[Sales]]</f>
        <v>0.48</v>
      </c>
    </row>
    <row r="3151" spans="1:22" x14ac:dyDescent="0.2">
      <c r="A3151">
        <v>3150</v>
      </c>
      <c r="B3151" t="s">
        <v>3085</v>
      </c>
      <c r="C3151" s="1">
        <v>43087</v>
      </c>
      <c r="D3151" s="22">
        <f>MONTH(Table3[[#This Row],[Order Date]])</f>
        <v>12</v>
      </c>
      <c r="E3151" t="s">
        <v>3086</v>
      </c>
      <c r="F3151" t="s">
        <v>2673</v>
      </c>
      <c r="G3151" s="23" t="s">
        <v>41</v>
      </c>
      <c r="H3151" s="23" t="s">
        <v>61</v>
      </c>
      <c r="I3151" t="s">
        <v>1950</v>
      </c>
      <c r="J3151" t="s">
        <v>22</v>
      </c>
      <c r="K3151" s="22">
        <v>6</v>
      </c>
      <c r="L3151" s="1">
        <v>43093</v>
      </c>
      <c r="M3151" s="22">
        <f>Table3[[#This Row],[Ship Date]]-Table3[[#This Row],[Order Date]]</f>
        <v>6</v>
      </c>
      <c r="N3151" s="23" t="s">
        <v>45</v>
      </c>
      <c r="O3151" s="23" t="s">
        <v>23</v>
      </c>
      <c r="P3151" s="23" t="s">
        <v>238</v>
      </c>
      <c r="Q3151" s="23" t="s">
        <v>133</v>
      </c>
      <c r="R3151" s="23" t="s">
        <v>237</v>
      </c>
      <c r="S3151" s="33">
        <v>0</v>
      </c>
      <c r="T3151" s="13">
        <v>38.82</v>
      </c>
      <c r="U3151" s="13">
        <v>17.469000000000001</v>
      </c>
      <c r="V3151" s="55">
        <f>Table3[[#This Row],[Profit]]/Table3[[#This Row],[Sales]]</f>
        <v>0.45</v>
      </c>
    </row>
    <row r="3152" spans="1:22" x14ac:dyDescent="0.2">
      <c r="A3152">
        <v>3151</v>
      </c>
      <c r="B3152" t="s">
        <v>3085</v>
      </c>
      <c r="C3152" s="1">
        <v>43087</v>
      </c>
      <c r="D3152" s="22">
        <f>MONTH(Table3[[#This Row],[Order Date]])</f>
        <v>12</v>
      </c>
      <c r="E3152" t="s">
        <v>3087</v>
      </c>
      <c r="F3152" t="s">
        <v>3088</v>
      </c>
      <c r="G3152" s="23" t="s">
        <v>28</v>
      </c>
      <c r="H3152" s="23" t="s">
        <v>32</v>
      </c>
      <c r="I3152" t="s">
        <v>1950</v>
      </c>
      <c r="J3152" t="s">
        <v>22</v>
      </c>
      <c r="K3152" s="22">
        <v>9</v>
      </c>
      <c r="L3152" s="1">
        <v>43093</v>
      </c>
      <c r="M3152" s="22">
        <f>Table3[[#This Row],[Ship Date]]-Table3[[#This Row],[Order Date]]</f>
        <v>6</v>
      </c>
      <c r="N3152" s="23" t="s">
        <v>45</v>
      </c>
      <c r="O3152" s="23" t="s">
        <v>23</v>
      </c>
      <c r="P3152" s="23" t="s">
        <v>238</v>
      </c>
      <c r="Q3152" s="23" t="s">
        <v>133</v>
      </c>
      <c r="R3152" s="23" t="s">
        <v>237</v>
      </c>
      <c r="S3152" s="33">
        <v>0.1</v>
      </c>
      <c r="T3152" s="13">
        <v>1141.9380000000001</v>
      </c>
      <c r="U3152" s="13">
        <v>139.5702</v>
      </c>
      <c r="V3152" s="55">
        <f>Table3[[#This Row],[Profit]]/Table3[[#This Row],[Sales]]</f>
        <v>0.1222222222222222</v>
      </c>
    </row>
    <row r="3153" spans="1:22" x14ac:dyDescent="0.2">
      <c r="A3153">
        <v>3152</v>
      </c>
      <c r="B3153" t="s">
        <v>3085</v>
      </c>
      <c r="C3153" s="1">
        <v>43087</v>
      </c>
      <c r="D3153" s="22">
        <f>MONTH(Table3[[#This Row],[Order Date]])</f>
        <v>12</v>
      </c>
      <c r="E3153" t="s">
        <v>624</v>
      </c>
      <c r="F3153" t="s">
        <v>625</v>
      </c>
      <c r="G3153" s="23" t="s">
        <v>41</v>
      </c>
      <c r="H3153" s="23" t="s">
        <v>71</v>
      </c>
      <c r="I3153" t="s">
        <v>1950</v>
      </c>
      <c r="J3153" t="s">
        <v>22</v>
      </c>
      <c r="K3153" s="22">
        <v>13</v>
      </c>
      <c r="L3153" s="1">
        <v>43093</v>
      </c>
      <c r="M3153" s="22">
        <f>Table3[[#This Row],[Ship Date]]-Table3[[#This Row],[Order Date]]</f>
        <v>6</v>
      </c>
      <c r="N3153" s="23" t="s">
        <v>45</v>
      </c>
      <c r="O3153" s="23" t="s">
        <v>23</v>
      </c>
      <c r="P3153" s="23" t="s">
        <v>238</v>
      </c>
      <c r="Q3153" s="23" t="s">
        <v>133</v>
      </c>
      <c r="R3153" s="23" t="s">
        <v>237</v>
      </c>
      <c r="S3153" s="33">
        <v>0</v>
      </c>
      <c r="T3153" s="13">
        <v>1704.56</v>
      </c>
      <c r="U3153" s="13">
        <v>511.36799999999999</v>
      </c>
      <c r="V3153" s="55">
        <f>Table3[[#This Row],[Profit]]/Table3[[#This Row],[Sales]]</f>
        <v>0.3</v>
      </c>
    </row>
    <row r="3154" spans="1:22" x14ac:dyDescent="0.2">
      <c r="A3154">
        <v>3153</v>
      </c>
      <c r="B3154" t="s">
        <v>3085</v>
      </c>
      <c r="C3154" s="1">
        <v>43087</v>
      </c>
      <c r="D3154" s="22">
        <f>MONTH(Table3[[#This Row],[Order Date]])</f>
        <v>12</v>
      </c>
      <c r="E3154" t="s">
        <v>3089</v>
      </c>
      <c r="F3154" t="s">
        <v>3090</v>
      </c>
      <c r="G3154" s="23" t="s">
        <v>41</v>
      </c>
      <c r="H3154" s="23" t="s">
        <v>61</v>
      </c>
      <c r="I3154" t="s">
        <v>1950</v>
      </c>
      <c r="J3154" t="s">
        <v>22</v>
      </c>
      <c r="K3154" s="22">
        <v>2</v>
      </c>
      <c r="L3154" s="1">
        <v>43093</v>
      </c>
      <c r="M3154" s="22">
        <f>Table3[[#This Row],[Ship Date]]-Table3[[#This Row],[Order Date]]</f>
        <v>6</v>
      </c>
      <c r="N3154" s="23" t="s">
        <v>45</v>
      </c>
      <c r="O3154" s="23" t="s">
        <v>23</v>
      </c>
      <c r="P3154" s="23" t="s">
        <v>238</v>
      </c>
      <c r="Q3154" s="23" t="s">
        <v>133</v>
      </c>
      <c r="R3154" s="23" t="s">
        <v>237</v>
      </c>
      <c r="S3154" s="33">
        <v>0</v>
      </c>
      <c r="T3154" s="13">
        <v>3.2</v>
      </c>
      <c r="U3154" s="13">
        <v>1.3759999999999999</v>
      </c>
      <c r="V3154" s="55">
        <f>Table3[[#This Row],[Profit]]/Table3[[#This Row],[Sales]]</f>
        <v>0.42999999999999994</v>
      </c>
    </row>
    <row r="3155" spans="1:22" x14ac:dyDescent="0.2">
      <c r="A3155">
        <v>3154</v>
      </c>
      <c r="B3155" t="s">
        <v>4197</v>
      </c>
      <c r="C3155" s="1">
        <v>43087</v>
      </c>
      <c r="D3155" s="22">
        <f>MONTH(Table3[[#This Row],[Order Date]])</f>
        <v>12</v>
      </c>
      <c r="E3155" t="s">
        <v>4199</v>
      </c>
      <c r="F3155" t="s">
        <v>4200</v>
      </c>
      <c r="G3155" s="23" t="s">
        <v>28</v>
      </c>
      <c r="H3155" s="23" t="s">
        <v>58</v>
      </c>
      <c r="I3155" t="s">
        <v>4198</v>
      </c>
      <c r="J3155" t="s">
        <v>22</v>
      </c>
      <c r="K3155" s="22">
        <v>2</v>
      </c>
      <c r="L3155" s="1">
        <v>43092</v>
      </c>
      <c r="M3155" s="22">
        <f>Table3[[#This Row],[Ship Date]]-Table3[[#This Row],[Order Date]]</f>
        <v>5</v>
      </c>
      <c r="N3155" s="23" t="s">
        <v>45</v>
      </c>
      <c r="O3155" s="23" t="s">
        <v>23</v>
      </c>
      <c r="P3155" s="23" t="s">
        <v>238</v>
      </c>
      <c r="Q3155" s="23" t="s">
        <v>133</v>
      </c>
      <c r="R3155" s="23" t="s">
        <v>2061</v>
      </c>
      <c r="S3155" s="33">
        <v>0</v>
      </c>
      <c r="T3155" s="13">
        <v>18.96</v>
      </c>
      <c r="U3155" s="13">
        <v>8.532</v>
      </c>
      <c r="V3155" s="55">
        <f>Table3[[#This Row],[Profit]]/Table3[[#This Row],[Sales]]</f>
        <v>0.44999999999999996</v>
      </c>
    </row>
    <row r="3156" spans="1:22" x14ac:dyDescent="0.2">
      <c r="A3156">
        <v>3155</v>
      </c>
      <c r="B3156" t="s">
        <v>5409</v>
      </c>
      <c r="C3156" s="1">
        <v>43087</v>
      </c>
      <c r="D3156" s="22">
        <f>MONTH(Table3[[#This Row],[Order Date]])</f>
        <v>12</v>
      </c>
      <c r="E3156" t="s">
        <v>1555</v>
      </c>
      <c r="F3156" t="s">
        <v>1556</v>
      </c>
      <c r="G3156" s="23" t="s">
        <v>41</v>
      </c>
      <c r="H3156" s="23" t="s">
        <v>61</v>
      </c>
      <c r="I3156" t="s">
        <v>1617</v>
      </c>
      <c r="J3156" t="s">
        <v>22</v>
      </c>
      <c r="K3156" s="22">
        <v>3</v>
      </c>
      <c r="L3156" s="1">
        <v>43088</v>
      </c>
      <c r="M3156" s="22">
        <f>Table3[[#This Row],[Ship Date]]-Table3[[#This Row],[Order Date]]</f>
        <v>1</v>
      </c>
      <c r="N3156" s="23" t="s">
        <v>169</v>
      </c>
      <c r="O3156" s="23" t="s">
        <v>23</v>
      </c>
      <c r="P3156" s="23" t="s">
        <v>38</v>
      </c>
      <c r="Q3156" s="23" t="s">
        <v>39</v>
      </c>
      <c r="R3156" s="23" t="s">
        <v>37</v>
      </c>
      <c r="S3156" s="33">
        <v>0</v>
      </c>
      <c r="T3156" s="13">
        <v>6.63</v>
      </c>
      <c r="U3156" s="13">
        <v>1.7901</v>
      </c>
      <c r="V3156" s="55">
        <f>Table3[[#This Row],[Profit]]/Table3[[#This Row],[Sales]]</f>
        <v>0.27</v>
      </c>
    </row>
    <row r="3157" spans="1:22" x14ac:dyDescent="0.2">
      <c r="A3157">
        <v>3156</v>
      </c>
      <c r="B3157" t="s">
        <v>5409</v>
      </c>
      <c r="C3157" s="1">
        <v>43087</v>
      </c>
      <c r="D3157" s="22">
        <f>MONTH(Table3[[#This Row],[Order Date]])</f>
        <v>12</v>
      </c>
      <c r="E3157" t="s">
        <v>2957</v>
      </c>
      <c r="F3157" t="s">
        <v>2958</v>
      </c>
      <c r="G3157" s="23" t="s">
        <v>41</v>
      </c>
      <c r="H3157" s="23" t="s">
        <v>82</v>
      </c>
      <c r="I3157" t="s">
        <v>1617</v>
      </c>
      <c r="J3157" t="s">
        <v>22</v>
      </c>
      <c r="K3157" s="22">
        <v>2</v>
      </c>
      <c r="L3157" s="1">
        <v>43088</v>
      </c>
      <c r="M3157" s="22">
        <f>Table3[[#This Row],[Ship Date]]-Table3[[#This Row],[Order Date]]</f>
        <v>1</v>
      </c>
      <c r="N3157" s="23" t="s">
        <v>169</v>
      </c>
      <c r="O3157" s="23" t="s">
        <v>23</v>
      </c>
      <c r="P3157" s="23" t="s">
        <v>38</v>
      </c>
      <c r="Q3157" s="23" t="s">
        <v>39</v>
      </c>
      <c r="R3157" s="23" t="s">
        <v>37</v>
      </c>
      <c r="S3157" s="33">
        <v>0</v>
      </c>
      <c r="T3157" s="13">
        <v>12.96</v>
      </c>
      <c r="U3157" s="13">
        <v>6.2207999999999997</v>
      </c>
      <c r="V3157" s="55">
        <f>Table3[[#This Row],[Profit]]/Table3[[#This Row],[Sales]]</f>
        <v>0.47999999999999993</v>
      </c>
    </row>
    <row r="3158" spans="1:22" x14ac:dyDescent="0.2">
      <c r="A3158">
        <v>3157</v>
      </c>
      <c r="B3158" t="s">
        <v>5409</v>
      </c>
      <c r="C3158" s="1">
        <v>43087</v>
      </c>
      <c r="D3158" s="22">
        <f>MONTH(Table3[[#This Row],[Order Date]])</f>
        <v>12</v>
      </c>
      <c r="E3158" t="s">
        <v>2514</v>
      </c>
      <c r="F3158" t="s">
        <v>2515</v>
      </c>
      <c r="G3158" s="23" t="s">
        <v>41</v>
      </c>
      <c r="H3158" s="23" t="s">
        <v>82</v>
      </c>
      <c r="I3158" t="s">
        <v>1617</v>
      </c>
      <c r="J3158" t="s">
        <v>22</v>
      </c>
      <c r="K3158" s="22">
        <v>5</v>
      </c>
      <c r="L3158" s="1">
        <v>43088</v>
      </c>
      <c r="M3158" s="22">
        <f>Table3[[#This Row],[Ship Date]]-Table3[[#This Row],[Order Date]]</f>
        <v>1</v>
      </c>
      <c r="N3158" s="23" t="s">
        <v>169</v>
      </c>
      <c r="O3158" s="23" t="s">
        <v>23</v>
      </c>
      <c r="P3158" s="23" t="s">
        <v>38</v>
      </c>
      <c r="Q3158" s="23" t="s">
        <v>39</v>
      </c>
      <c r="R3158" s="23" t="s">
        <v>37</v>
      </c>
      <c r="S3158" s="33">
        <v>0</v>
      </c>
      <c r="T3158" s="13">
        <v>32.4</v>
      </c>
      <c r="U3158" s="13">
        <v>15.552</v>
      </c>
      <c r="V3158" s="55">
        <f>Table3[[#This Row],[Profit]]/Table3[[#This Row],[Sales]]</f>
        <v>0.48</v>
      </c>
    </row>
    <row r="3159" spans="1:22" x14ac:dyDescent="0.2">
      <c r="A3159">
        <v>3158</v>
      </c>
      <c r="B3159" t="s">
        <v>5732</v>
      </c>
      <c r="C3159" s="1">
        <v>43087</v>
      </c>
      <c r="D3159" s="22">
        <f>MONTH(Table3[[#This Row],[Order Date]])</f>
        <v>12</v>
      </c>
      <c r="E3159" t="s">
        <v>5201</v>
      </c>
      <c r="F3159" t="s">
        <v>5202</v>
      </c>
      <c r="G3159" s="23" t="s">
        <v>41</v>
      </c>
      <c r="H3159" s="23" t="s">
        <v>61</v>
      </c>
      <c r="I3159" t="s">
        <v>5733</v>
      </c>
      <c r="J3159" t="s">
        <v>36</v>
      </c>
      <c r="K3159" s="22">
        <v>7</v>
      </c>
      <c r="L3159" s="1">
        <v>43091</v>
      </c>
      <c r="M3159" s="22">
        <f>Table3[[#This Row],[Ship Date]]-Table3[[#This Row],[Order Date]]</f>
        <v>4</v>
      </c>
      <c r="N3159" s="23" t="s">
        <v>45</v>
      </c>
      <c r="O3159" s="23" t="s">
        <v>23</v>
      </c>
      <c r="P3159" s="23" t="s">
        <v>132</v>
      </c>
      <c r="Q3159" s="23" t="s">
        <v>133</v>
      </c>
      <c r="R3159" s="23" t="s">
        <v>131</v>
      </c>
      <c r="S3159" s="33">
        <v>0.2</v>
      </c>
      <c r="T3159" s="13">
        <v>18.704000000000001</v>
      </c>
      <c r="U3159" s="13">
        <v>2.3380000000000001</v>
      </c>
      <c r="V3159" s="55">
        <f>Table3[[#This Row],[Profit]]/Table3[[#This Row],[Sales]]</f>
        <v>0.125</v>
      </c>
    </row>
    <row r="3160" spans="1:22" x14ac:dyDescent="0.2">
      <c r="A3160">
        <v>3159</v>
      </c>
      <c r="B3160" t="s">
        <v>8856</v>
      </c>
      <c r="C3160" s="1">
        <v>43087</v>
      </c>
      <c r="D3160" s="22">
        <f>MONTH(Table3[[#This Row],[Order Date]])</f>
        <v>12</v>
      </c>
      <c r="E3160" t="s">
        <v>3637</v>
      </c>
      <c r="F3160" t="s">
        <v>3638</v>
      </c>
      <c r="G3160" s="23" t="s">
        <v>41</v>
      </c>
      <c r="H3160" s="23" t="s">
        <v>61</v>
      </c>
      <c r="I3160" t="s">
        <v>6701</v>
      </c>
      <c r="J3160" t="s">
        <v>22</v>
      </c>
      <c r="K3160" s="22">
        <v>9</v>
      </c>
      <c r="L3160" s="1">
        <v>43089</v>
      </c>
      <c r="M3160" s="22">
        <f>Table3[[#This Row],[Ship Date]]-Table3[[#This Row],[Order Date]]</f>
        <v>2</v>
      </c>
      <c r="N3160" s="23" t="s">
        <v>169</v>
      </c>
      <c r="O3160" s="23" t="s">
        <v>23</v>
      </c>
      <c r="P3160" s="23" t="s">
        <v>80</v>
      </c>
      <c r="Q3160" s="23" t="s">
        <v>26</v>
      </c>
      <c r="R3160" s="23" t="s">
        <v>414</v>
      </c>
      <c r="S3160" s="33">
        <v>0.2</v>
      </c>
      <c r="T3160" s="13">
        <v>12.672000000000001</v>
      </c>
      <c r="U3160" s="13">
        <v>1.4256</v>
      </c>
      <c r="V3160" s="55">
        <f>Table3[[#This Row],[Profit]]/Table3[[#This Row],[Sales]]</f>
        <v>0.11249999999999999</v>
      </c>
    </row>
    <row r="3161" spans="1:22" x14ac:dyDescent="0.2">
      <c r="A3161">
        <v>3160</v>
      </c>
      <c r="B3161" t="s">
        <v>9275</v>
      </c>
      <c r="C3161" s="1">
        <v>43087</v>
      </c>
      <c r="D3161" s="22">
        <f>MONTH(Table3[[#This Row],[Order Date]])</f>
        <v>12</v>
      </c>
      <c r="E3161" t="s">
        <v>2297</v>
      </c>
      <c r="F3161" t="s">
        <v>2298</v>
      </c>
      <c r="G3161" s="23" t="s">
        <v>41</v>
      </c>
      <c r="H3161" s="23" t="s">
        <v>61</v>
      </c>
      <c r="I3161" t="s">
        <v>3683</v>
      </c>
      <c r="J3161" t="s">
        <v>92</v>
      </c>
      <c r="K3161" s="22">
        <v>2</v>
      </c>
      <c r="L3161" s="1">
        <v>43093</v>
      </c>
      <c r="M3161" s="22">
        <f>Table3[[#This Row],[Ship Date]]-Table3[[#This Row],[Order Date]]</f>
        <v>6</v>
      </c>
      <c r="N3161" s="23" t="s">
        <v>45</v>
      </c>
      <c r="O3161" s="23" t="s">
        <v>23</v>
      </c>
      <c r="P3161" s="23" t="s">
        <v>38</v>
      </c>
      <c r="Q3161" s="23" t="s">
        <v>39</v>
      </c>
      <c r="R3161" s="23" t="s">
        <v>114</v>
      </c>
      <c r="S3161" s="33">
        <v>0</v>
      </c>
      <c r="T3161" s="13">
        <v>5.76</v>
      </c>
      <c r="U3161" s="13">
        <v>1.6704000000000001</v>
      </c>
      <c r="V3161" s="55">
        <f>Table3[[#This Row],[Profit]]/Table3[[#This Row],[Sales]]</f>
        <v>0.29000000000000004</v>
      </c>
    </row>
    <row r="3162" spans="1:22" x14ac:dyDescent="0.2">
      <c r="A3162">
        <v>3161</v>
      </c>
      <c r="B3162" t="s">
        <v>9489</v>
      </c>
      <c r="C3162" s="1">
        <v>43087</v>
      </c>
      <c r="D3162" s="22">
        <f>MONTH(Table3[[#This Row],[Order Date]])</f>
        <v>12</v>
      </c>
      <c r="E3162" t="s">
        <v>4384</v>
      </c>
      <c r="F3162" t="s">
        <v>4385</v>
      </c>
      <c r="G3162" s="23" t="s">
        <v>41</v>
      </c>
      <c r="H3162" s="23" t="s">
        <v>68</v>
      </c>
      <c r="I3162" t="s">
        <v>3286</v>
      </c>
      <c r="J3162" t="s">
        <v>22</v>
      </c>
      <c r="K3162" s="22">
        <v>3</v>
      </c>
      <c r="L3162" s="1">
        <v>43092</v>
      </c>
      <c r="M3162" s="22">
        <f>Table3[[#This Row],[Ship Date]]-Table3[[#This Row],[Order Date]]</f>
        <v>5</v>
      </c>
      <c r="N3162" s="23" t="s">
        <v>45</v>
      </c>
      <c r="O3162" s="23" t="s">
        <v>23</v>
      </c>
      <c r="P3162" s="23" t="s">
        <v>441</v>
      </c>
      <c r="Q3162" s="23" t="s">
        <v>133</v>
      </c>
      <c r="R3162" s="23" t="s">
        <v>440</v>
      </c>
      <c r="S3162" s="33">
        <v>0.7</v>
      </c>
      <c r="T3162" s="13">
        <v>7.2359999999999998</v>
      </c>
      <c r="U3162" s="13">
        <v>-6.03</v>
      </c>
      <c r="V3162" s="55">
        <f>Table3[[#This Row],[Profit]]/Table3[[#This Row],[Sales]]</f>
        <v>-0.83333333333333337</v>
      </c>
    </row>
    <row r="3163" spans="1:22" x14ac:dyDescent="0.2">
      <c r="A3163">
        <v>3162</v>
      </c>
      <c r="B3163" t="s">
        <v>9489</v>
      </c>
      <c r="C3163" s="1">
        <v>43087</v>
      </c>
      <c r="D3163" s="22">
        <f>MONTH(Table3[[#This Row],[Order Date]])</f>
        <v>12</v>
      </c>
      <c r="E3163" t="s">
        <v>508</v>
      </c>
      <c r="F3163" t="s">
        <v>509</v>
      </c>
      <c r="G3163" s="23" t="s">
        <v>41</v>
      </c>
      <c r="H3163" s="23" t="s">
        <v>240</v>
      </c>
      <c r="I3163" t="s">
        <v>3286</v>
      </c>
      <c r="J3163" t="s">
        <v>22</v>
      </c>
      <c r="K3163" s="22">
        <v>3</v>
      </c>
      <c r="L3163" s="1">
        <v>43092</v>
      </c>
      <c r="M3163" s="22">
        <f>Table3[[#This Row],[Ship Date]]-Table3[[#This Row],[Order Date]]</f>
        <v>5</v>
      </c>
      <c r="N3163" s="23" t="s">
        <v>45</v>
      </c>
      <c r="O3163" s="23" t="s">
        <v>23</v>
      </c>
      <c r="P3163" s="23" t="s">
        <v>441</v>
      </c>
      <c r="Q3163" s="23" t="s">
        <v>133</v>
      </c>
      <c r="R3163" s="23" t="s">
        <v>440</v>
      </c>
      <c r="S3163" s="33">
        <v>0.2</v>
      </c>
      <c r="T3163" s="13">
        <v>4.8239999999999998</v>
      </c>
      <c r="U3163" s="13">
        <v>1.7486999999999999</v>
      </c>
      <c r="V3163" s="55">
        <f>Table3[[#This Row],[Profit]]/Table3[[#This Row],[Sales]]</f>
        <v>0.36249999999999999</v>
      </c>
    </row>
    <row r="3164" spans="1:22" x14ac:dyDescent="0.2">
      <c r="A3164">
        <v>3163</v>
      </c>
      <c r="B3164" t="s">
        <v>9489</v>
      </c>
      <c r="C3164" s="1">
        <v>43087</v>
      </c>
      <c r="D3164" s="22">
        <f>MONTH(Table3[[#This Row],[Order Date]])</f>
        <v>12</v>
      </c>
      <c r="E3164" t="s">
        <v>1368</v>
      </c>
      <c r="F3164" t="s">
        <v>1369</v>
      </c>
      <c r="G3164" s="23" t="s">
        <v>41</v>
      </c>
      <c r="H3164" s="23" t="s">
        <v>82</v>
      </c>
      <c r="I3164" t="s">
        <v>3286</v>
      </c>
      <c r="J3164" t="s">
        <v>22</v>
      </c>
      <c r="K3164" s="22">
        <v>5</v>
      </c>
      <c r="L3164" s="1">
        <v>43092</v>
      </c>
      <c r="M3164" s="22">
        <f>Table3[[#This Row],[Ship Date]]-Table3[[#This Row],[Order Date]]</f>
        <v>5</v>
      </c>
      <c r="N3164" s="23" t="s">
        <v>45</v>
      </c>
      <c r="O3164" s="23" t="s">
        <v>23</v>
      </c>
      <c r="P3164" s="23" t="s">
        <v>441</v>
      </c>
      <c r="Q3164" s="23" t="s">
        <v>133</v>
      </c>
      <c r="R3164" s="23" t="s">
        <v>440</v>
      </c>
      <c r="S3164" s="33">
        <v>0.2</v>
      </c>
      <c r="T3164" s="13">
        <v>91.36</v>
      </c>
      <c r="U3164" s="13">
        <v>29.692</v>
      </c>
      <c r="V3164" s="55">
        <f>Table3[[#This Row],[Profit]]/Table3[[#This Row],[Sales]]</f>
        <v>0.32500000000000001</v>
      </c>
    </row>
    <row r="3165" spans="1:22" x14ac:dyDescent="0.2">
      <c r="A3165">
        <v>3164</v>
      </c>
      <c r="B3165" t="s">
        <v>9489</v>
      </c>
      <c r="C3165" s="1">
        <v>43087</v>
      </c>
      <c r="D3165" s="22">
        <f>MONTH(Table3[[#This Row],[Order Date]])</f>
        <v>12</v>
      </c>
      <c r="E3165" t="s">
        <v>2483</v>
      </c>
      <c r="F3165" t="s">
        <v>2484</v>
      </c>
      <c r="G3165" s="23" t="s">
        <v>41</v>
      </c>
      <c r="H3165" s="23" t="s">
        <v>71</v>
      </c>
      <c r="I3165" t="s">
        <v>3286</v>
      </c>
      <c r="J3165" t="s">
        <v>22</v>
      </c>
      <c r="K3165" s="22">
        <v>2</v>
      </c>
      <c r="L3165" s="1">
        <v>43092</v>
      </c>
      <c r="M3165" s="22">
        <f>Table3[[#This Row],[Ship Date]]-Table3[[#This Row],[Order Date]]</f>
        <v>5</v>
      </c>
      <c r="N3165" s="23" t="s">
        <v>45</v>
      </c>
      <c r="O3165" s="23" t="s">
        <v>23</v>
      </c>
      <c r="P3165" s="23" t="s">
        <v>441</v>
      </c>
      <c r="Q3165" s="23" t="s">
        <v>133</v>
      </c>
      <c r="R3165" s="23" t="s">
        <v>440</v>
      </c>
      <c r="S3165" s="33">
        <v>0.2</v>
      </c>
      <c r="T3165" s="13">
        <v>130.11199999999999</v>
      </c>
      <c r="U3165" s="13">
        <v>13.011200000000001</v>
      </c>
      <c r="V3165" s="55">
        <f>Table3[[#This Row],[Profit]]/Table3[[#This Row],[Sales]]</f>
        <v>0.1</v>
      </c>
    </row>
    <row r="3166" spans="1:22" x14ac:dyDescent="0.2">
      <c r="A3166">
        <v>3165</v>
      </c>
      <c r="B3166" t="s">
        <v>9538</v>
      </c>
      <c r="C3166" s="1">
        <v>43087</v>
      </c>
      <c r="D3166" s="22">
        <f>MONTH(Table3[[#This Row],[Order Date]])</f>
        <v>12</v>
      </c>
      <c r="E3166" t="s">
        <v>8337</v>
      </c>
      <c r="F3166" t="s">
        <v>8338</v>
      </c>
      <c r="G3166" s="23" t="s">
        <v>28</v>
      </c>
      <c r="H3166" s="23" t="s">
        <v>58</v>
      </c>
      <c r="I3166" t="s">
        <v>9094</v>
      </c>
      <c r="J3166" t="s">
        <v>36</v>
      </c>
      <c r="K3166" s="22">
        <v>5</v>
      </c>
      <c r="L3166" s="1">
        <v>43093</v>
      </c>
      <c r="M3166" s="22">
        <f>Table3[[#This Row],[Ship Date]]-Table3[[#This Row],[Order Date]]</f>
        <v>6</v>
      </c>
      <c r="N3166" s="23" t="s">
        <v>45</v>
      </c>
      <c r="O3166" s="23" t="s">
        <v>23</v>
      </c>
      <c r="P3166" s="23" t="s">
        <v>103</v>
      </c>
      <c r="Q3166" s="23" t="s">
        <v>95</v>
      </c>
      <c r="R3166" s="23" t="s">
        <v>2242</v>
      </c>
      <c r="S3166" s="33">
        <v>0</v>
      </c>
      <c r="T3166" s="13">
        <v>99.95</v>
      </c>
      <c r="U3166" s="13">
        <v>22.988499999999998</v>
      </c>
      <c r="V3166" s="55">
        <f>Table3[[#This Row],[Profit]]/Table3[[#This Row],[Sales]]</f>
        <v>0.22999999999999998</v>
      </c>
    </row>
    <row r="3167" spans="1:22" x14ac:dyDescent="0.2">
      <c r="A3167">
        <v>3166</v>
      </c>
      <c r="B3167" t="s">
        <v>9538</v>
      </c>
      <c r="C3167" s="1">
        <v>43087</v>
      </c>
      <c r="D3167" s="22">
        <f>MONTH(Table3[[#This Row],[Order Date]])</f>
        <v>12</v>
      </c>
      <c r="E3167" t="s">
        <v>6317</v>
      </c>
      <c r="F3167" t="s">
        <v>6318</v>
      </c>
      <c r="G3167" s="23" t="s">
        <v>64</v>
      </c>
      <c r="H3167" s="23" t="s">
        <v>144</v>
      </c>
      <c r="I3167" t="s">
        <v>9094</v>
      </c>
      <c r="J3167" t="s">
        <v>36</v>
      </c>
      <c r="K3167" s="22">
        <v>3</v>
      </c>
      <c r="L3167" s="1">
        <v>43093</v>
      </c>
      <c r="M3167" s="22">
        <f>Table3[[#This Row],[Ship Date]]-Table3[[#This Row],[Order Date]]</f>
        <v>6</v>
      </c>
      <c r="N3167" s="23" t="s">
        <v>45</v>
      </c>
      <c r="O3167" s="23" t="s">
        <v>23</v>
      </c>
      <c r="P3167" s="23" t="s">
        <v>103</v>
      </c>
      <c r="Q3167" s="23" t="s">
        <v>95</v>
      </c>
      <c r="R3167" s="23" t="s">
        <v>2242</v>
      </c>
      <c r="S3167" s="33">
        <v>0</v>
      </c>
      <c r="T3167" s="13">
        <v>29.34</v>
      </c>
      <c r="U3167" s="13">
        <v>10.8558</v>
      </c>
      <c r="V3167" s="55">
        <f>Table3[[#This Row],[Profit]]/Table3[[#This Row],[Sales]]</f>
        <v>0.37</v>
      </c>
    </row>
    <row r="3168" spans="1:22" x14ac:dyDescent="0.2">
      <c r="A3168">
        <v>3167</v>
      </c>
      <c r="B3168" t="s">
        <v>3424</v>
      </c>
      <c r="C3168" s="1">
        <v>43088</v>
      </c>
      <c r="D3168" s="22">
        <f>MONTH(Table3[[#This Row],[Order Date]])</f>
        <v>12</v>
      </c>
      <c r="E3168" t="s">
        <v>2441</v>
      </c>
      <c r="F3168" t="s">
        <v>2442</v>
      </c>
      <c r="G3168" s="23" t="s">
        <v>41</v>
      </c>
      <c r="H3168" s="23" t="s">
        <v>68</v>
      </c>
      <c r="I3168" t="s">
        <v>3425</v>
      </c>
      <c r="J3168" t="s">
        <v>22</v>
      </c>
      <c r="K3168" s="22">
        <v>2</v>
      </c>
      <c r="L3168" s="1">
        <v>43093</v>
      </c>
      <c r="M3168" s="22">
        <f>Table3[[#This Row],[Ship Date]]-Table3[[#This Row],[Order Date]]</f>
        <v>5</v>
      </c>
      <c r="N3168" s="23" t="s">
        <v>20</v>
      </c>
      <c r="O3168" s="23" t="s">
        <v>23</v>
      </c>
      <c r="P3168" s="23" t="s">
        <v>38</v>
      </c>
      <c r="Q3168" s="23" t="s">
        <v>39</v>
      </c>
      <c r="R3168" s="23" t="s">
        <v>114</v>
      </c>
      <c r="S3168" s="33">
        <v>0.2</v>
      </c>
      <c r="T3168" s="13">
        <v>36.671999999999997</v>
      </c>
      <c r="U3168" s="13">
        <v>11.46</v>
      </c>
      <c r="V3168" s="55">
        <f>Table3[[#This Row],[Profit]]/Table3[[#This Row],[Sales]]</f>
        <v>0.31250000000000006</v>
      </c>
    </row>
    <row r="3169" spans="1:22" x14ac:dyDescent="0.2">
      <c r="A3169">
        <v>3168</v>
      </c>
      <c r="B3169" t="s">
        <v>6058</v>
      </c>
      <c r="C3169" s="1">
        <v>43088</v>
      </c>
      <c r="D3169" s="22">
        <f>MONTH(Table3[[#This Row],[Order Date]])</f>
        <v>12</v>
      </c>
      <c r="E3169" t="s">
        <v>1594</v>
      </c>
      <c r="F3169" t="s">
        <v>1595</v>
      </c>
      <c r="G3169" s="23" t="s">
        <v>41</v>
      </c>
      <c r="H3169" s="23" t="s">
        <v>513</v>
      </c>
      <c r="I3169" t="s">
        <v>4173</v>
      </c>
      <c r="J3169" t="s">
        <v>22</v>
      </c>
      <c r="K3169" s="22">
        <v>2</v>
      </c>
      <c r="L3169" s="1">
        <v>43090</v>
      </c>
      <c r="M3169" s="22">
        <f>Table3[[#This Row],[Ship Date]]-Table3[[#This Row],[Order Date]]</f>
        <v>2</v>
      </c>
      <c r="N3169" s="23" t="s">
        <v>169</v>
      </c>
      <c r="O3169" s="23" t="s">
        <v>23</v>
      </c>
      <c r="P3169" s="23" t="s">
        <v>650</v>
      </c>
      <c r="Q3169" s="23" t="s">
        <v>26</v>
      </c>
      <c r="R3169" s="23" t="s">
        <v>3766</v>
      </c>
      <c r="S3169" s="33">
        <v>0</v>
      </c>
      <c r="T3169" s="13">
        <v>1665.62</v>
      </c>
      <c r="U3169" s="13">
        <v>33.312399999999997</v>
      </c>
      <c r="V3169" s="55">
        <f>Table3[[#This Row],[Profit]]/Table3[[#This Row],[Sales]]</f>
        <v>0.02</v>
      </c>
    </row>
    <row r="3170" spans="1:22" x14ac:dyDescent="0.2">
      <c r="A3170">
        <v>3169</v>
      </c>
      <c r="B3170" t="s">
        <v>7511</v>
      </c>
      <c r="C3170" s="1">
        <v>43088</v>
      </c>
      <c r="D3170" s="22">
        <f>MONTH(Table3[[#This Row],[Order Date]])</f>
        <v>12</v>
      </c>
      <c r="E3170" t="s">
        <v>5892</v>
      </c>
      <c r="F3170" t="s">
        <v>5893</v>
      </c>
      <c r="G3170" s="23" t="s">
        <v>28</v>
      </c>
      <c r="H3170" s="23" t="s">
        <v>58</v>
      </c>
      <c r="I3170" t="s">
        <v>5837</v>
      </c>
      <c r="J3170" t="s">
        <v>22</v>
      </c>
      <c r="K3170" s="22">
        <v>5</v>
      </c>
      <c r="L3170" s="1">
        <v>43092</v>
      </c>
      <c r="M3170" s="22">
        <f>Table3[[#This Row],[Ship Date]]-Table3[[#This Row],[Order Date]]</f>
        <v>4</v>
      </c>
      <c r="N3170" s="23" t="s">
        <v>45</v>
      </c>
      <c r="O3170" s="23" t="s">
        <v>23</v>
      </c>
      <c r="P3170" s="23" t="s">
        <v>405</v>
      </c>
      <c r="Q3170" s="23" t="s">
        <v>39</v>
      </c>
      <c r="R3170" s="23" t="s">
        <v>1523</v>
      </c>
      <c r="S3170" s="33">
        <v>0.2</v>
      </c>
      <c r="T3170" s="13">
        <v>13.36</v>
      </c>
      <c r="U3170" s="13">
        <v>4.008</v>
      </c>
      <c r="V3170" s="55">
        <f>Table3[[#This Row],[Profit]]/Table3[[#This Row],[Sales]]</f>
        <v>0.3</v>
      </c>
    </row>
    <row r="3171" spans="1:22" x14ac:dyDescent="0.2">
      <c r="A3171">
        <v>3170</v>
      </c>
      <c r="B3171" t="s">
        <v>7511</v>
      </c>
      <c r="C3171" s="1">
        <v>43088</v>
      </c>
      <c r="D3171" s="22">
        <f>MONTH(Table3[[#This Row],[Order Date]])</f>
        <v>12</v>
      </c>
      <c r="E3171" t="s">
        <v>4124</v>
      </c>
      <c r="F3171" t="s">
        <v>4125</v>
      </c>
      <c r="G3171" s="23" t="s">
        <v>41</v>
      </c>
      <c r="H3171" s="23" t="s">
        <v>53</v>
      </c>
      <c r="I3171" t="s">
        <v>5837</v>
      </c>
      <c r="J3171" t="s">
        <v>22</v>
      </c>
      <c r="K3171" s="22">
        <v>2</v>
      </c>
      <c r="L3171" s="1">
        <v>43092</v>
      </c>
      <c r="M3171" s="22">
        <f>Table3[[#This Row],[Ship Date]]-Table3[[#This Row],[Order Date]]</f>
        <v>4</v>
      </c>
      <c r="N3171" s="23" t="s">
        <v>45</v>
      </c>
      <c r="O3171" s="23" t="s">
        <v>23</v>
      </c>
      <c r="P3171" s="23" t="s">
        <v>405</v>
      </c>
      <c r="Q3171" s="23" t="s">
        <v>39</v>
      </c>
      <c r="R3171" s="23" t="s">
        <v>1523</v>
      </c>
      <c r="S3171" s="33">
        <v>0.2</v>
      </c>
      <c r="T3171" s="13">
        <v>78.256</v>
      </c>
      <c r="U3171" s="13">
        <v>-17.607600000000001</v>
      </c>
      <c r="V3171" s="55">
        <f>Table3[[#This Row],[Profit]]/Table3[[#This Row],[Sales]]</f>
        <v>-0.22500000000000001</v>
      </c>
    </row>
    <row r="3172" spans="1:22" x14ac:dyDescent="0.2">
      <c r="A3172">
        <v>3171</v>
      </c>
      <c r="B3172" t="s">
        <v>7511</v>
      </c>
      <c r="C3172" s="1">
        <v>43088</v>
      </c>
      <c r="D3172" s="22">
        <f>MONTH(Table3[[#This Row],[Order Date]])</f>
        <v>12</v>
      </c>
      <c r="E3172" t="s">
        <v>4242</v>
      </c>
      <c r="F3172" t="s">
        <v>4243</v>
      </c>
      <c r="G3172" s="23" t="s">
        <v>28</v>
      </c>
      <c r="H3172" s="23" t="s">
        <v>29</v>
      </c>
      <c r="I3172" t="s">
        <v>5837</v>
      </c>
      <c r="J3172" t="s">
        <v>22</v>
      </c>
      <c r="K3172" s="22">
        <v>7</v>
      </c>
      <c r="L3172" s="1">
        <v>43092</v>
      </c>
      <c r="M3172" s="22">
        <f>Table3[[#This Row],[Ship Date]]-Table3[[#This Row],[Order Date]]</f>
        <v>4</v>
      </c>
      <c r="N3172" s="23" t="s">
        <v>45</v>
      </c>
      <c r="O3172" s="23" t="s">
        <v>23</v>
      </c>
      <c r="P3172" s="23" t="s">
        <v>405</v>
      </c>
      <c r="Q3172" s="23" t="s">
        <v>39</v>
      </c>
      <c r="R3172" s="23" t="s">
        <v>1523</v>
      </c>
      <c r="S3172" s="33">
        <v>0.7</v>
      </c>
      <c r="T3172" s="13">
        <v>102.018</v>
      </c>
      <c r="U3172" s="13">
        <v>-183.63239999999999</v>
      </c>
      <c r="V3172" s="55">
        <f>Table3[[#This Row],[Profit]]/Table3[[#This Row],[Sales]]</f>
        <v>-1.7999999999999998</v>
      </c>
    </row>
    <row r="3173" spans="1:22" x14ac:dyDescent="0.2">
      <c r="A3173">
        <v>3172</v>
      </c>
      <c r="B3173" t="s">
        <v>4668</v>
      </c>
      <c r="C3173" s="1">
        <v>43089</v>
      </c>
      <c r="D3173" s="22">
        <f>MONTH(Table3[[#This Row],[Order Date]])</f>
        <v>12</v>
      </c>
      <c r="E3173" t="s">
        <v>4669</v>
      </c>
      <c r="F3173" t="s">
        <v>4670</v>
      </c>
      <c r="G3173" s="23" t="s">
        <v>41</v>
      </c>
      <c r="H3173" s="23" t="s">
        <v>82</v>
      </c>
      <c r="I3173" t="s">
        <v>1201</v>
      </c>
      <c r="J3173" t="s">
        <v>36</v>
      </c>
      <c r="K3173" s="22">
        <v>1</v>
      </c>
      <c r="L3173" s="1">
        <v>43095</v>
      </c>
      <c r="M3173" s="22">
        <f>Table3[[#This Row],[Ship Date]]-Table3[[#This Row],[Order Date]]</f>
        <v>6</v>
      </c>
      <c r="N3173" s="23" t="s">
        <v>45</v>
      </c>
      <c r="O3173" s="23" t="s">
        <v>23</v>
      </c>
      <c r="P3173" s="23" t="s">
        <v>238</v>
      </c>
      <c r="Q3173" s="23" t="s">
        <v>133</v>
      </c>
      <c r="R3173" s="23" t="s">
        <v>347</v>
      </c>
      <c r="S3173" s="33">
        <v>0</v>
      </c>
      <c r="T3173" s="13">
        <v>6.48</v>
      </c>
      <c r="U3173" s="13">
        <v>3.1103999999999998</v>
      </c>
      <c r="V3173" s="55">
        <f>Table3[[#This Row],[Profit]]/Table3[[#This Row],[Sales]]</f>
        <v>0.47999999999999993</v>
      </c>
    </row>
    <row r="3174" spans="1:22" x14ac:dyDescent="0.2">
      <c r="A3174">
        <v>3173</v>
      </c>
      <c r="B3174" t="s">
        <v>4668</v>
      </c>
      <c r="C3174" s="1">
        <v>43089</v>
      </c>
      <c r="D3174" s="22">
        <f>MONTH(Table3[[#This Row],[Order Date]])</f>
        <v>12</v>
      </c>
      <c r="E3174" t="s">
        <v>207</v>
      </c>
      <c r="F3174" t="s">
        <v>208</v>
      </c>
      <c r="G3174" s="23" t="s">
        <v>41</v>
      </c>
      <c r="H3174" s="23" t="s">
        <v>68</v>
      </c>
      <c r="I3174" t="s">
        <v>1201</v>
      </c>
      <c r="J3174" t="s">
        <v>36</v>
      </c>
      <c r="K3174" s="22">
        <v>1</v>
      </c>
      <c r="L3174" s="1">
        <v>43095</v>
      </c>
      <c r="M3174" s="22">
        <f>Table3[[#This Row],[Ship Date]]-Table3[[#This Row],[Order Date]]</f>
        <v>6</v>
      </c>
      <c r="N3174" s="23" t="s">
        <v>45</v>
      </c>
      <c r="O3174" s="23" t="s">
        <v>23</v>
      </c>
      <c r="P3174" s="23" t="s">
        <v>238</v>
      </c>
      <c r="Q3174" s="23" t="s">
        <v>133</v>
      </c>
      <c r="R3174" s="23" t="s">
        <v>347</v>
      </c>
      <c r="S3174" s="33">
        <v>0.2</v>
      </c>
      <c r="T3174" s="13">
        <v>6.984</v>
      </c>
      <c r="U3174" s="13">
        <v>2.3571</v>
      </c>
      <c r="V3174" s="55">
        <f>Table3[[#This Row],[Profit]]/Table3[[#This Row],[Sales]]</f>
        <v>0.33750000000000002</v>
      </c>
    </row>
    <row r="3175" spans="1:22" x14ac:dyDescent="0.2">
      <c r="A3175">
        <v>3174</v>
      </c>
      <c r="B3175" t="s">
        <v>8161</v>
      </c>
      <c r="C3175" s="1">
        <v>43089</v>
      </c>
      <c r="D3175" s="22">
        <f>MONTH(Table3[[#This Row],[Order Date]])</f>
        <v>12</v>
      </c>
      <c r="E3175" t="s">
        <v>1106</v>
      </c>
      <c r="F3175" t="s">
        <v>1275</v>
      </c>
      <c r="G3175" s="23" t="s">
        <v>41</v>
      </c>
      <c r="H3175" s="23" t="s">
        <v>82</v>
      </c>
      <c r="I3175" t="s">
        <v>642</v>
      </c>
      <c r="J3175" t="s">
        <v>36</v>
      </c>
      <c r="K3175" s="22">
        <v>5</v>
      </c>
      <c r="L3175" s="1">
        <v>43095</v>
      </c>
      <c r="M3175" s="22">
        <f>Table3[[#This Row],[Ship Date]]-Table3[[#This Row],[Order Date]]</f>
        <v>6</v>
      </c>
      <c r="N3175" s="23" t="s">
        <v>45</v>
      </c>
      <c r="O3175" s="23" t="s">
        <v>23</v>
      </c>
      <c r="P3175" s="23" t="s">
        <v>238</v>
      </c>
      <c r="Q3175" s="23" t="s">
        <v>133</v>
      </c>
      <c r="R3175" s="23" t="s">
        <v>237</v>
      </c>
      <c r="S3175" s="33">
        <v>0</v>
      </c>
      <c r="T3175" s="13">
        <v>279.89999999999998</v>
      </c>
      <c r="U3175" s="13">
        <v>137.15100000000001</v>
      </c>
      <c r="V3175" s="55">
        <f>Table3[[#This Row],[Profit]]/Table3[[#This Row],[Sales]]</f>
        <v>0.4900000000000001</v>
      </c>
    </row>
    <row r="3176" spans="1:22" x14ac:dyDescent="0.2">
      <c r="A3176">
        <v>3175</v>
      </c>
      <c r="B3176" t="s">
        <v>8161</v>
      </c>
      <c r="C3176" s="1">
        <v>43089</v>
      </c>
      <c r="D3176" s="22">
        <f>MONTH(Table3[[#This Row],[Order Date]])</f>
        <v>12</v>
      </c>
      <c r="E3176" t="s">
        <v>1060</v>
      </c>
      <c r="F3176" t="s">
        <v>1061</v>
      </c>
      <c r="G3176" s="23" t="s">
        <v>41</v>
      </c>
      <c r="H3176" s="23" t="s">
        <v>68</v>
      </c>
      <c r="I3176" t="s">
        <v>642</v>
      </c>
      <c r="J3176" t="s">
        <v>36</v>
      </c>
      <c r="K3176" s="22">
        <v>3</v>
      </c>
      <c r="L3176" s="1">
        <v>43095</v>
      </c>
      <c r="M3176" s="22">
        <f>Table3[[#This Row],[Ship Date]]-Table3[[#This Row],[Order Date]]</f>
        <v>6</v>
      </c>
      <c r="N3176" s="23" t="s">
        <v>45</v>
      </c>
      <c r="O3176" s="23" t="s">
        <v>23</v>
      </c>
      <c r="P3176" s="23" t="s">
        <v>238</v>
      </c>
      <c r="Q3176" s="23" t="s">
        <v>133</v>
      </c>
      <c r="R3176" s="23" t="s">
        <v>237</v>
      </c>
      <c r="S3176" s="33">
        <v>0.2</v>
      </c>
      <c r="T3176" s="13">
        <v>50.351999999999997</v>
      </c>
      <c r="U3176" s="13">
        <v>17.623200000000001</v>
      </c>
      <c r="V3176" s="55">
        <f>Table3[[#This Row],[Profit]]/Table3[[#This Row],[Sales]]</f>
        <v>0.35000000000000003</v>
      </c>
    </row>
    <row r="3177" spans="1:22" x14ac:dyDescent="0.2">
      <c r="A3177">
        <v>3176</v>
      </c>
      <c r="B3177" t="s">
        <v>8161</v>
      </c>
      <c r="C3177" s="1">
        <v>43089</v>
      </c>
      <c r="D3177" s="22">
        <f>MONTH(Table3[[#This Row],[Order Date]])</f>
        <v>12</v>
      </c>
      <c r="E3177" t="s">
        <v>2591</v>
      </c>
      <c r="F3177" t="s">
        <v>2592</v>
      </c>
      <c r="G3177" s="23" t="s">
        <v>41</v>
      </c>
      <c r="H3177" s="23" t="s">
        <v>82</v>
      </c>
      <c r="I3177" t="s">
        <v>642</v>
      </c>
      <c r="J3177" t="s">
        <v>36</v>
      </c>
      <c r="K3177" s="22">
        <v>3</v>
      </c>
      <c r="L3177" s="1">
        <v>43095</v>
      </c>
      <c r="M3177" s="22">
        <f>Table3[[#This Row],[Ship Date]]-Table3[[#This Row],[Order Date]]</f>
        <v>6</v>
      </c>
      <c r="N3177" s="23" t="s">
        <v>45</v>
      </c>
      <c r="O3177" s="23" t="s">
        <v>23</v>
      </c>
      <c r="P3177" s="23" t="s">
        <v>238</v>
      </c>
      <c r="Q3177" s="23" t="s">
        <v>133</v>
      </c>
      <c r="R3177" s="23" t="s">
        <v>237</v>
      </c>
      <c r="S3177" s="33">
        <v>0</v>
      </c>
      <c r="T3177" s="13">
        <v>34.020000000000003</v>
      </c>
      <c r="U3177" s="13">
        <v>16.669799999999999</v>
      </c>
      <c r="V3177" s="55">
        <f>Table3[[#This Row],[Profit]]/Table3[[#This Row],[Sales]]</f>
        <v>0.48999999999999994</v>
      </c>
    </row>
    <row r="3178" spans="1:22" x14ac:dyDescent="0.2">
      <c r="A3178">
        <v>3177</v>
      </c>
      <c r="B3178" t="s">
        <v>1553</v>
      </c>
      <c r="C3178" s="1">
        <v>43090</v>
      </c>
      <c r="D3178" s="22">
        <f>MONTH(Table3[[#This Row],[Order Date]])</f>
        <v>12</v>
      </c>
      <c r="E3178" t="s">
        <v>1555</v>
      </c>
      <c r="F3178" t="s">
        <v>1556</v>
      </c>
      <c r="G3178" s="23" t="s">
        <v>41</v>
      </c>
      <c r="H3178" s="23" t="s">
        <v>61</v>
      </c>
      <c r="I3178" t="s">
        <v>1554</v>
      </c>
      <c r="J3178" t="s">
        <v>22</v>
      </c>
      <c r="K3178" s="22">
        <v>3</v>
      </c>
      <c r="L3178" s="1">
        <v>43094</v>
      </c>
      <c r="M3178" s="22">
        <f>Table3[[#This Row],[Ship Date]]-Table3[[#This Row],[Order Date]]</f>
        <v>4</v>
      </c>
      <c r="N3178" s="23" t="s">
        <v>45</v>
      </c>
      <c r="O3178" s="23" t="s">
        <v>23</v>
      </c>
      <c r="P3178" s="23" t="s">
        <v>38</v>
      </c>
      <c r="Q3178" s="23" t="s">
        <v>39</v>
      </c>
      <c r="R3178" s="23" t="s">
        <v>37</v>
      </c>
      <c r="S3178" s="33">
        <v>0</v>
      </c>
      <c r="T3178" s="13">
        <v>6.63</v>
      </c>
      <c r="U3178" s="13">
        <v>1.7901</v>
      </c>
      <c r="V3178" s="55">
        <f>Table3[[#This Row],[Profit]]/Table3[[#This Row],[Sales]]</f>
        <v>0.27</v>
      </c>
    </row>
    <row r="3179" spans="1:22" x14ac:dyDescent="0.2">
      <c r="A3179">
        <v>3178</v>
      </c>
      <c r="B3179" t="s">
        <v>1553</v>
      </c>
      <c r="C3179" s="1">
        <v>43090</v>
      </c>
      <c r="D3179" s="22">
        <f>MONTH(Table3[[#This Row],[Order Date]])</f>
        <v>12</v>
      </c>
      <c r="E3179" t="s">
        <v>1557</v>
      </c>
      <c r="F3179" t="s">
        <v>1558</v>
      </c>
      <c r="G3179" s="23" t="s">
        <v>41</v>
      </c>
      <c r="H3179" s="23" t="s">
        <v>61</v>
      </c>
      <c r="I3179" t="s">
        <v>1554</v>
      </c>
      <c r="J3179" t="s">
        <v>22</v>
      </c>
      <c r="K3179" s="22">
        <v>2</v>
      </c>
      <c r="L3179" s="1">
        <v>43094</v>
      </c>
      <c r="M3179" s="22">
        <f>Table3[[#This Row],[Ship Date]]-Table3[[#This Row],[Order Date]]</f>
        <v>4</v>
      </c>
      <c r="N3179" s="23" t="s">
        <v>45</v>
      </c>
      <c r="O3179" s="23" t="s">
        <v>23</v>
      </c>
      <c r="P3179" s="23" t="s">
        <v>38</v>
      </c>
      <c r="Q3179" s="23" t="s">
        <v>39</v>
      </c>
      <c r="R3179" s="23" t="s">
        <v>37</v>
      </c>
      <c r="S3179" s="33">
        <v>0</v>
      </c>
      <c r="T3179" s="13">
        <v>5.88</v>
      </c>
      <c r="U3179" s="13">
        <v>1.7052</v>
      </c>
      <c r="V3179" s="55">
        <f>Table3[[#This Row],[Profit]]/Table3[[#This Row],[Sales]]</f>
        <v>0.29000000000000004</v>
      </c>
    </row>
    <row r="3180" spans="1:22" x14ac:dyDescent="0.2">
      <c r="A3180">
        <v>3179</v>
      </c>
      <c r="B3180" t="s">
        <v>3741</v>
      </c>
      <c r="C3180" s="1">
        <v>43090</v>
      </c>
      <c r="D3180" s="22">
        <f>MONTH(Table3[[#This Row],[Order Date]])</f>
        <v>12</v>
      </c>
      <c r="E3180" t="s">
        <v>1341</v>
      </c>
      <c r="F3180" t="s">
        <v>1342</v>
      </c>
      <c r="G3180" s="23" t="s">
        <v>41</v>
      </c>
      <c r="H3180" s="23" t="s">
        <v>53</v>
      </c>
      <c r="I3180" t="s">
        <v>3354</v>
      </c>
      <c r="J3180" t="s">
        <v>36</v>
      </c>
      <c r="K3180" s="22">
        <v>7</v>
      </c>
      <c r="L3180" s="1">
        <v>43094</v>
      </c>
      <c r="M3180" s="22">
        <f>Table3[[#This Row],[Ship Date]]-Table3[[#This Row],[Order Date]]</f>
        <v>4</v>
      </c>
      <c r="N3180" s="23" t="s">
        <v>45</v>
      </c>
      <c r="O3180" s="23" t="s">
        <v>23</v>
      </c>
      <c r="P3180" s="23" t="s">
        <v>38</v>
      </c>
      <c r="Q3180" s="23" t="s">
        <v>39</v>
      </c>
      <c r="R3180" s="23" t="s">
        <v>2815</v>
      </c>
      <c r="S3180" s="33">
        <v>0</v>
      </c>
      <c r="T3180" s="13">
        <v>1000.02</v>
      </c>
      <c r="U3180" s="13">
        <v>290.00580000000002</v>
      </c>
      <c r="V3180" s="55">
        <f>Table3[[#This Row],[Profit]]/Table3[[#This Row],[Sales]]</f>
        <v>0.29000000000000004</v>
      </c>
    </row>
    <row r="3181" spans="1:22" x14ac:dyDescent="0.2">
      <c r="A3181">
        <v>3180</v>
      </c>
      <c r="B3181" t="s">
        <v>4272</v>
      </c>
      <c r="C3181" s="1">
        <v>43090</v>
      </c>
      <c r="D3181" s="22">
        <f>MONTH(Table3[[#This Row],[Order Date]])</f>
        <v>12</v>
      </c>
      <c r="E3181" t="s">
        <v>1839</v>
      </c>
      <c r="F3181" t="s">
        <v>1840</v>
      </c>
      <c r="G3181" s="23" t="s">
        <v>64</v>
      </c>
      <c r="H3181" s="23" t="s">
        <v>65</v>
      </c>
      <c r="I3181" t="s">
        <v>1571</v>
      </c>
      <c r="J3181" t="s">
        <v>22</v>
      </c>
      <c r="K3181" s="22">
        <v>3</v>
      </c>
      <c r="L3181" s="1">
        <v>43097</v>
      </c>
      <c r="M3181" s="22">
        <f>Table3[[#This Row],[Ship Date]]-Table3[[#This Row],[Order Date]]</f>
        <v>7</v>
      </c>
      <c r="N3181" s="23" t="s">
        <v>45</v>
      </c>
      <c r="O3181" s="23" t="s">
        <v>23</v>
      </c>
      <c r="P3181" s="23" t="s">
        <v>695</v>
      </c>
      <c r="Q3181" s="23" t="s">
        <v>133</v>
      </c>
      <c r="R3181" s="23" t="s">
        <v>4273</v>
      </c>
      <c r="S3181" s="33">
        <v>0</v>
      </c>
      <c r="T3181" s="13">
        <v>281.97000000000003</v>
      </c>
      <c r="U3181" s="13">
        <v>78.951599999999999</v>
      </c>
      <c r="V3181" s="55">
        <f>Table3[[#This Row],[Profit]]/Table3[[#This Row],[Sales]]</f>
        <v>0.27999999999999997</v>
      </c>
    </row>
    <row r="3182" spans="1:22" x14ac:dyDescent="0.2">
      <c r="A3182">
        <v>3181</v>
      </c>
      <c r="B3182" t="s">
        <v>4272</v>
      </c>
      <c r="C3182" s="1">
        <v>43090</v>
      </c>
      <c r="D3182" s="22">
        <f>MONTH(Table3[[#This Row],[Order Date]])</f>
        <v>12</v>
      </c>
      <c r="E3182" t="s">
        <v>4274</v>
      </c>
      <c r="F3182" t="s">
        <v>4275</v>
      </c>
      <c r="G3182" s="23" t="s">
        <v>41</v>
      </c>
      <c r="H3182" s="23" t="s">
        <v>513</v>
      </c>
      <c r="I3182" t="s">
        <v>1571</v>
      </c>
      <c r="J3182" t="s">
        <v>22</v>
      </c>
      <c r="K3182" s="22">
        <v>5</v>
      </c>
      <c r="L3182" s="1">
        <v>43097</v>
      </c>
      <c r="M3182" s="22">
        <f>Table3[[#This Row],[Ship Date]]-Table3[[#This Row],[Order Date]]</f>
        <v>7</v>
      </c>
      <c r="N3182" s="23" t="s">
        <v>45</v>
      </c>
      <c r="O3182" s="23" t="s">
        <v>23</v>
      </c>
      <c r="P3182" s="23" t="s">
        <v>695</v>
      </c>
      <c r="Q3182" s="23" t="s">
        <v>133</v>
      </c>
      <c r="R3182" s="23" t="s">
        <v>4273</v>
      </c>
      <c r="S3182" s="33">
        <v>0</v>
      </c>
      <c r="T3182" s="13">
        <v>69.5</v>
      </c>
      <c r="U3182" s="13">
        <v>20.155000000000001</v>
      </c>
      <c r="V3182" s="55">
        <f>Table3[[#This Row],[Profit]]/Table3[[#This Row],[Sales]]</f>
        <v>0.29000000000000004</v>
      </c>
    </row>
    <row r="3183" spans="1:22" x14ac:dyDescent="0.2">
      <c r="A3183">
        <v>3182</v>
      </c>
      <c r="B3183" t="s">
        <v>4272</v>
      </c>
      <c r="C3183" s="1">
        <v>43090</v>
      </c>
      <c r="D3183" s="22">
        <f>MONTH(Table3[[#This Row],[Order Date]])</f>
        <v>12</v>
      </c>
      <c r="E3183" t="s">
        <v>618</v>
      </c>
      <c r="F3183" t="s">
        <v>619</v>
      </c>
      <c r="G3183" s="23" t="s">
        <v>41</v>
      </c>
      <c r="H3183" s="23" t="s">
        <v>82</v>
      </c>
      <c r="I3183" t="s">
        <v>1571</v>
      </c>
      <c r="J3183" t="s">
        <v>22</v>
      </c>
      <c r="K3183" s="22">
        <v>3</v>
      </c>
      <c r="L3183" s="1">
        <v>43097</v>
      </c>
      <c r="M3183" s="22">
        <f>Table3[[#This Row],[Ship Date]]-Table3[[#This Row],[Order Date]]</f>
        <v>7</v>
      </c>
      <c r="N3183" s="23" t="s">
        <v>45</v>
      </c>
      <c r="O3183" s="23" t="s">
        <v>23</v>
      </c>
      <c r="P3183" s="23" t="s">
        <v>695</v>
      </c>
      <c r="Q3183" s="23" t="s">
        <v>133</v>
      </c>
      <c r="R3183" s="23" t="s">
        <v>4273</v>
      </c>
      <c r="S3183" s="33">
        <v>0</v>
      </c>
      <c r="T3183" s="13">
        <v>166.44</v>
      </c>
      <c r="U3183" s="13">
        <v>79.891199999999998</v>
      </c>
      <c r="V3183" s="55">
        <f>Table3[[#This Row],[Profit]]/Table3[[#This Row],[Sales]]</f>
        <v>0.48</v>
      </c>
    </row>
    <row r="3184" spans="1:22" x14ac:dyDescent="0.2">
      <c r="A3184">
        <v>3183</v>
      </c>
      <c r="B3184" t="s">
        <v>5039</v>
      </c>
      <c r="C3184" s="1">
        <v>43090</v>
      </c>
      <c r="D3184" s="22">
        <f>MONTH(Table3[[#This Row],[Order Date]])</f>
        <v>12</v>
      </c>
      <c r="E3184" t="s">
        <v>3214</v>
      </c>
      <c r="F3184" t="s">
        <v>3215</v>
      </c>
      <c r="G3184" s="23" t="s">
        <v>64</v>
      </c>
      <c r="H3184" s="23" t="s">
        <v>144</v>
      </c>
      <c r="I3184" t="s">
        <v>5040</v>
      </c>
      <c r="J3184" t="s">
        <v>22</v>
      </c>
      <c r="K3184" s="22">
        <v>4</v>
      </c>
      <c r="L3184" s="1">
        <v>43093</v>
      </c>
      <c r="M3184" s="22">
        <f>Table3[[#This Row],[Ship Date]]-Table3[[#This Row],[Order Date]]</f>
        <v>3</v>
      </c>
      <c r="N3184" s="23" t="s">
        <v>169</v>
      </c>
      <c r="O3184" s="23" t="s">
        <v>23</v>
      </c>
      <c r="P3184" s="23" t="s">
        <v>25</v>
      </c>
      <c r="Q3184" s="23" t="s">
        <v>26</v>
      </c>
      <c r="R3184" s="23" t="s">
        <v>4081</v>
      </c>
      <c r="S3184" s="33">
        <v>0</v>
      </c>
      <c r="T3184" s="13">
        <v>71</v>
      </c>
      <c r="U3184" s="13">
        <v>27.69</v>
      </c>
      <c r="V3184" s="55">
        <f>Table3[[#This Row],[Profit]]/Table3[[#This Row],[Sales]]</f>
        <v>0.39</v>
      </c>
    </row>
    <row r="3185" spans="1:22" x14ac:dyDescent="0.2">
      <c r="A3185">
        <v>3184</v>
      </c>
      <c r="B3185" t="s">
        <v>5229</v>
      </c>
      <c r="C3185" s="1">
        <v>43090</v>
      </c>
      <c r="D3185" s="22">
        <f>MONTH(Table3[[#This Row],[Order Date]])</f>
        <v>12</v>
      </c>
      <c r="E3185" t="s">
        <v>2833</v>
      </c>
      <c r="F3185" t="s">
        <v>2834</v>
      </c>
      <c r="G3185" s="23" t="s">
        <v>41</v>
      </c>
      <c r="H3185" s="23" t="s">
        <v>53</v>
      </c>
      <c r="I3185" t="s">
        <v>2478</v>
      </c>
      <c r="J3185" t="s">
        <v>22</v>
      </c>
      <c r="K3185" s="22">
        <v>2</v>
      </c>
      <c r="L3185" s="1">
        <v>43096</v>
      </c>
      <c r="M3185" s="22">
        <f>Table3[[#This Row],[Ship Date]]-Table3[[#This Row],[Order Date]]</f>
        <v>6</v>
      </c>
      <c r="N3185" s="23" t="s">
        <v>45</v>
      </c>
      <c r="O3185" s="23" t="s">
        <v>23</v>
      </c>
      <c r="P3185" s="23" t="s">
        <v>38</v>
      </c>
      <c r="Q3185" s="23" t="s">
        <v>39</v>
      </c>
      <c r="R3185" s="23" t="s">
        <v>1514</v>
      </c>
      <c r="S3185" s="33">
        <v>0</v>
      </c>
      <c r="T3185" s="13">
        <v>124.36</v>
      </c>
      <c r="U3185" s="13">
        <v>33.577199999999998</v>
      </c>
      <c r="V3185" s="55">
        <f>Table3[[#This Row],[Profit]]/Table3[[#This Row],[Sales]]</f>
        <v>0.26999999999999996</v>
      </c>
    </row>
    <row r="3186" spans="1:22" x14ac:dyDescent="0.2">
      <c r="A3186">
        <v>3185</v>
      </c>
      <c r="B3186" t="s">
        <v>5700</v>
      </c>
      <c r="C3186" s="1">
        <v>43090</v>
      </c>
      <c r="D3186" s="22">
        <f>MONTH(Table3[[#This Row],[Order Date]])</f>
        <v>12</v>
      </c>
      <c r="E3186" t="s">
        <v>5179</v>
      </c>
      <c r="F3186" t="s">
        <v>5180</v>
      </c>
      <c r="G3186" s="23" t="s">
        <v>41</v>
      </c>
      <c r="H3186" s="23" t="s">
        <v>68</v>
      </c>
      <c r="I3186" t="s">
        <v>101</v>
      </c>
      <c r="J3186" t="s">
        <v>22</v>
      </c>
      <c r="K3186" s="22">
        <v>6</v>
      </c>
      <c r="L3186" s="1">
        <v>43095</v>
      </c>
      <c r="M3186" s="22">
        <f>Table3[[#This Row],[Ship Date]]-Table3[[#This Row],[Order Date]]</f>
        <v>5</v>
      </c>
      <c r="N3186" s="23" t="s">
        <v>20</v>
      </c>
      <c r="O3186" s="23" t="s">
        <v>23</v>
      </c>
      <c r="P3186" s="23" t="s">
        <v>342</v>
      </c>
      <c r="Q3186" s="23" t="s">
        <v>26</v>
      </c>
      <c r="R3186" s="23" t="s">
        <v>341</v>
      </c>
      <c r="S3186" s="33">
        <v>0</v>
      </c>
      <c r="T3186" s="13">
        <v>23.88</v>
      </c>
      <c r="U3186" s="13">
        <v>11.223599999999999</v>
      </c>
      <c r="V3186" s="55">
        <f>Table3[[#This Row],[Profit]]/Table3[[#This Row],[Sales]]</f>
        <v>0.47</v>
      </c>
    </row>
    <row r="3187" spans="1:22" x14ac:dyDescent="0.2">
      <c r="A3187">
        <v>3186</v>
      </c>
      <c r="B3187" t="s">
        <v>6486</v>
      </c>
      <c r="C3187" s="1">
        <v>43090</v>
      </c>
      <c r="D3187" s="22">
        <f>MONTH(Table3[[#This Row],[Order Date]])</f>
        <v>12</v>
      </c>
      <c r="E3187" t="s">
        <v>2543</v>
      </c>
      <c r="F3187" t="s">
        <v>814</v>
      </c>
      <c r="G3187" s="23" t="s">
        <v>28</v>
      </c>
      <c r="H3187" s="23" t="s">
        <v>58</v>
      </c>
      <c r="I3187" t="s">
        <v>391</v>
      </c>
      <c r="J3187" t="s">
        <v>92</v>
      </c>
      <c r="K3187" s="22">
        <v>2</v>
      </c>
      <c r="L3187" s="1">
        <v>43090</v>
      </c>
      <c r="M3187" s="22">
        <f>Table3[[#This Row],[Ship Date]]-Table3[[#This Row],[Order Date]]</f>
        <v>0</v>
      </c>
      <c r="N3187" s="23" t="s">
        <v>1141</v>
      </c>
      <c r="O3187" s="23" t="s">
        <v>23</v>
      </c>
      <c r="P3187" s="23" t="s">
        <v>124</v>
      </c>
      <c r="Q3187" s="23" t="s">
        <v>95</v>
      </c>
      <c r="R3187" s="23" t="s">
        <v>123</v>
      </c>
      <c r="S3187" s="33">
        <v>0</v>
      </c>
      <c r="T3187" s="13">
        <v>15.92</v>
      </c>
      <c r="U3187" s="13">
        <v>7.0048000000000004</v>
      </c>
      <c r="V3187" s="55">
        <f>Table3[[#This Row],[Profit]]/Table3[[#This Row],[Sales]]</f>
        <v>0.44</v>
      </c>
    </row>
    <row r="3188" spans="1:22" x14ac:dyDescent="0.2">
      <c r="A3188">
        <v>3187</v>
      </c>
      <c r="B3188" t="s">
        <v>7134</v>
      </c>
      <c r="C3188" s="1">
        <v>43090</v>
      </c>
      <c r="D3188" s="22">
        <f>MONTH(Table3[[#This Row],[Order Date]])</f>
        <v>12</v>
      </c>
      <c r="E3188" t="s">
        <v>1568</v>
      </c>
      <c r="F3188" t="s">
        <v>1569</v>
      </c>
      <c r="G3188" s="23" t="s">
        <v>41</v>
      </c>
      <c r="H3188" s="23" t="s">
        <v>53</v>
      </c>
      <c r="I3188" t="s">
        <v>3222</v>
      </c>
      <c r="J3188" t="s">
        <v>22</v>
      </c>
      <c r="K3188" s="22">
        <v>1</v>
      </c>
      <c r="L3188" s="1">
        <v>43096</v>
      </c>
      <c r="M3188" s="22">
        <f>Table3[[#This Row],[Ship Date]]-Table3[[#This Row],[Order Date]]</f>
        <v>6</v>
      </c>
      <c r="N3188" s="23" t="s">
        <v>45</v>
      </c>
      <c r="O3188" s="23" t="s">
        <v>23</v>
      </c>
      <c r="P3188" s="23" t="s">
        <v>226</v>
      </c>
      <c r="Q3188" s="23" t="s">
        <v>95</v>
      </c>
      <c r="R3188" s="23" t="s">
        <v>3766</v>
      </c>
      <c r="S3188" s="33">
        <v>0</v>
      </c>
      <c r="T3188" s="13">
        <v>375.34</v>
      </c>
      <c r="U3188" s="13">
        <v>18.766999999999999</v>
      </c>
      <c r="V3188" s="55">
        <f>Table3[[#This Row],[Profit]]/Table3[[#This Row],[Sales]]</f>
        <v>0.05</v>
      </c>
    </row>
    <row r="3189" spans="1:22" x14ac:dyDescent="0.2">
      <c r="A3189">
        <v>3188</v>
      </c>
      <c r="B3189" t="s">
        <v>525</v>
      </c>
      <c r="C3189" s="1">
        <v>43091</v>
      </c>
      <c r="D3189" s="22">
        <f>MONTH(Table3[[#This Row],[Order Date]])</f>
        <v>12</v>
      </c>
      <c r="E3189" t="s">
        <v>529</v>
      </c>
      <c r="F3189" t="s">
        <v>530</v>
      </c>
      <c r="G3189" s="23" t="s">
        <v>41</v>
      </c>
      <c r="H3189" s="23" t="s">
        <v>71</v>
      </c>
      <c r="I3189" t="s">
        <v>526</v>
      </c>
      <c r="J3189" t="s">
        <v>22</v>
      </c>
      <c r="K3189" s="22">
        <v>3</v>
      </c>
      <c r="L3189" s="1">
        <v>43096</v>
      </c>
      <c r="M3189" s="22">
        <f>Table3[[#This Row],[Ship Date]]-Table3[[#This Row],[Order Date]]</f>
        <v>5</v>
      </c>
      <c r="N3189" s="23" t="s">
        <v>45</v>
      </c>
      <c r="O3189" s="23" t="s">
        <v>23</v>
      </c>
      <c r="P3189" s="23" t="s">
        <v>528</v>
      </c>
      <c r="Q3189" s="23" t="s">
        <v>95</v>
      </c>
      <c r="R3189" s="23" t="s">
        <v>527</v>
      </c>
      <c r="S3189" s="33">
        <v>0</v>
      </c>
      <c r="T3189" s="13">
        <v>839.43</v>
      </c>
      <c r="U3189" s="13">
        <v>218.2518</v>
      </c>
      <c r="V3189" s="55">
        <f>Table3[[#This Row],[Profit]]/Table3[[#This Row],[Sales]]</f>
        <v>0.26</v>
      </c>
    </row>
    <row r="3190" spans="1:22" x14ac:dyDescent="0.2">
      <c r="A3190">
        <v>3189</v>
      </c>
      <c r="B3190" t="s">
        <v>4159</v>
      </c>
      <c r="C3190" s="1">
        <v>43091</v>
      </c>
      <c r="D3190" s="22">
        <f>MONTH(Table3[[#This Row],[Order Date]])</f>
        <v>12</v>
      </c>
      <c r="E3190" t="s">
        <v>4145</v>
      </c>
      <c r="F3190" t="s">
        <v>591</v>
      </c>
      <c r="G3190" s="23" t="s">
        <v>41</v>
      </c>
      <c r="H3190" s="23" t="s">
        <v>155</v>
      </c>
      <c r="I3190" t="s">
        <v>1442</v>
      </c>
      <c r="J3190" t="s">
        <v>22</v>
      </c>
      <c r="K3190" s="22">
        <v>1</v>
      </c>
      <c r="L3190" s="1">
        <v>43093</v>
      </c>
      <c r="M3190" s="22">
        <f>Table3[[#This Row],[Ship Date]]-Table3[[#This Row],[Order Date]]</f>
        <v>2</v>
      </c>
      <c r="N3190" s="23" t="s">
        <v>20</v>
      </c>
      <c r="O3190" s="23" t="s">
        <v>23</v>
      </c>
      <c r="P3190" s="23" t="s">
        <v>48</v>
      </c>
      <c r="Q3190" s="23" t="s">
        <v>26</v>
      </c>
      <c r="R3190" s="23" t="s">
        <v>4160</v>
      </c>
      <c r="S3190" s="33">
        <v>0.2</v>
      </c>
      <c r="T3190" s="13">
        <v>7.8239999999999998</v>
      </c>
      <c r="U3190" s="13">
        <v>2.9340000000000002</v>
      </c>
      <c r="V3190" s="55">
        <f>Table3[[#This Row],[Profit]]/Table3[[#This Row],[Sales]]</f>
        <v>0.37500000000000006</v>
      </c>
    </row>
    <row r="3191" spans="1:22" x14ac:dyDescent="0.2">
      <c r="A3191">
        <v>3190</v>
      </c>
      <c r="B3191" t="s">
        <v>4373</v>
      </c>
      <c r="C3191" s="1">
        <v>43091</v>
      </c>
      <c r="D3191" s="22">
        <f>MONTH(Table3[[#This Row],[Order Date]])</f>
        <v>12</v>
      </c>
      <c r="E3191" t="s">
        <v>4374</v>
      </c>
      <c r="F3191" t="s">
        <v>4375</v>
      </c>
      <c r="G3191" s="23" t="s">
        <v>64</v>
      </c>
      <c r="H3191" s="23" t="s">
        <v>144</v>
      </c>
      <c r="I3191" t="s">
        <v>1763</v>
      </c>
      <c r="J3191" t="s">
        <v>22</v>
      </c>
      <c r="K3191" s="22">
        <v>5</v>
      </c>
      <c r="L3191" s="1">
        <v>43094</v>
      </c>
      <c r="M3191" s="22">
        <f>Table3[[#This Row],[Ship Date]]-Table3[[#This Row],[Order Date]]</f>
        <v>3</v>
      </c>
      <c r="N3191" s="23" t="s">
        <v>169</v>
      </c>
      <c r="O3191" s="23" t="s">
        <v>23</v>
      </c>
      <c r="P3191" s="23" t="s">
        <v>212</v>
      </c>
      <c r="Q3191" s="23" t="s">
        <v>95</v>
      </c>
      <c r="R3191" s="23" t="s">
        <v>775</v>
      </c>
      <c r="S3191" s="33">
        <v>0</v>
      </c>
      <c r="T3191" s="13">
        <v>199.95</v>
      </c>
      <c r="U3191" s="13">
        <v>63.984000000000002</v>
      </c>
      <c r="V3191" s="55">
        <f>Table3[[#This Row],[Profit]]/Table3[[#This Row],[Sales]]</f>
        <v>0.32</v>
      </c>
    </row>
    <row r="3192" spans="1:22" x14ac:dyDescent="0.2">
      <c r="A3192">
        <v>3191</v>
      </c>
      <c r="B3192" t="s">
        <v>4373</v>
      </c>
      <c r="C3192" s="1">
        <v>43091</v>
      </c>
      <c r="D3192" s="22">
        <f>MONTH(Table3[[#This Row],[Order Date]])</f>
        <v>12</v>
      </c>
      <c r="E3192" t="s">
        <v>2160</v>
      </c>
      <c r="F3192" t="s">
        <v>2161</v>
      </c>
      <c r="G3192" s="23" t="s">
        <v>28</v>
      </c>
      <c r="H3192" s="23" t="s">
        <v>32</v>
      </c>
      <c r="I3192" t="s">
        <v>1763</v>
      </c>
      <c r="J3192" t="s">
        <v>22</v>
      </c>
      <c r="K3192" s="22">
        <v>7</v>
      </c>
      <c r="L3192" s="1">
        <v>43094</v>
      </c>
      <c r="M3192" s="22">
        <f>Table3[[#This Row],[Ship Date]]-Table3[[#This Row],[Order Date]]</f>
        <v>3</v>
      </c>
      <c r="N3192" s="23" t="s">
        <v>169</v>
      </c>
      <c r="O3192" s="23" t="s">
        <v>23</v>
      </c>
      <c r="P3192" s="23" t="s">
        <v>212</v>
      </c>
      <c r="Q3192" s="23" t="s">
        <v>95</v>
      </c>
      <c r="R3192" s="23" t="s">
        <v>775</v>
      </c>
      <c r="S3192" s="33">
        <v>0</v>
      </c>
      <c r="T3192" s="13">
        <v>1586.69</v>
      </c>
      <c r="U3192" s="13">
        <v>412.5394</v>
      </c>
      <c r="V3192" s="55">
        <f>Table3[[#This Row],[Profit]]/Table3[[#This Row],[Sales]]</f>
        <v>0.26</v>
      </c>
    </row>
    <row r="3193" spans="1:22" x14ac:dyDescent="0.2">
      <c r="A3193">
        <v>3192</v>
      </c>
      <c r="B3193" t="s">
        <v>4373</v>
      </c>
      <c r="C3193" s="1">
        <v>43091</v>
      </c>
      <c r="D3193" s="22">
        <f>MONTH(Table3[[#This Row],[Order Date]])</f>
        <v>12</v>
      </c>
      <c r="E3193" t="s">
        <v>424</v>
      </c>
      <c r="F3193" t="s">
        <v>425</v>
      </c>
      <c r="G3193" s="23" t="s">
        <v>64</v>
      </c>
      <c r="H3193" s="23" t="s">
        <v>144</v>
      </c>
      <c r="I3193" t="s">
        <v>1763</v>
      </c>
      <c r="J3193" t="s">
        <v>22</v>
      </c>
      <c r="K3193" s="22">
        <v>1</v>
      </c>
      <c r="L3193" s="1">
        <v>43094</v>
      </c>
      <c r="M3193" s="22">
        <f>Table3[[#This Row],[Ship Date]]-Table3[[#This Row],[Order Date]]</f>
        <v>3</v>
      </c>
      <c r="N3193" s="23" t="s">
        <v>169</v>
      </c>
      <c r="O3193" s="23" t="s">
        <v>23</v>
      </c>
      <c r="P3193" s="23" t="s">
        <v>212</v>
      </c>
      <c r="Q3193" s="23" t="s">
        <v>95</v>
      </c>
      <c r="R3193" s="23" t="s">
        <v>775</v>
      </c>
      <c r="S3193" s="33">
        <v>0</v>
      </c>
      <c r="T3193" s="13">
        <v>84.99</v>
      </c>
      <c r="U3193" s="13">
        <v>30.596399999999999</v>
      </c>
      <c r="V3193" s="55">
        <f>Table3[[#This Row],[Profit]]/Table3[[#This Row],[Sales]]</f>
        <v>0.36</v>
      </c>
    </row>
    <row r="3194" spans="1:22" x14ac:dyDescent="0.2">
      <c r="A3194">
        <v>3193</v>
      </c>
      <c r="B3194" t="s">
        <v>4373</v>
      </c>
      <c r="C3194" s="1">
        <v>43091</v>
      </c>
      <c r="D3194" s="22">
        <f>MONTH(Table3[[#This Row],[Order Date]])</f>
        <v>12</v>
      </c>
      <c r="E3194" t="s">
        <v>477</v>
      </c>
      <c r="F3194" t="s">
        <v>478</v>
      </c>
      <c r="G3194" s="23" t="s">
        <v>28</v>
      </c>
      <c r="H3194" s="23" t="s">
        <v>50</v>
      </c>
      <c r="I3194" t="s">
        <v>1763</v>
      </c>
      <c r="J3194" t="s">
        <v>22</v>
      </c>
      <c r="K3194" s="22">
        <v>2</v>
      </c>
      <c r="L3194" s="1">
        <v>43094</v>
      </c>
      <c r="M3194" s="22">
        <f>Table3[[#This Row],[Ship Date]]-Table3[[#This Row],[Order Date]]</f>
        <v>3</v>
      </c>
      <c r="N3194" s="23" t="s">
        <v>169</v>
      </c>
      <c r="O3194" s="23" t="s">
        <v>23</v>
      </c>
      <c r="P3194" s="23" t="s">
        <v>212</v>
      </c>
      <c r="Q3194" s="23" t="s">
        <v>95</v>
      </c>
      <c r="R3194" s="23" t="s">
        <v>775</v>
      </c>
      <c r="S3194" s="33">
        <v>0</v>
      </c>
      <c r="T3194" s="13">
        <v>411.8</v>
      </c>
      <c r="U3194" s="13">
        <v>70.006</v>
      </c>
      <c r="V3194" s="55">
        <f>Table3[[#This Row],[Profit]]/Table3[[#This Row],[Sales]]</f>
        <v>0.16999999999999998</v>
      </c>
    </row>
    <row r="3195" spans="1:22" x14ac:dyDescent="0.2">
      <c r="A3195">
        <v>3194</v>
      </c>
      <c r="B3195" t="s">
        <v>5100</v>
      </c>
      <c r="C3195" s="1">
        <v>43091</v>
      </c>
      <c r="D3195" s="22">
        <f>MONTH(Table3[[#This Row],[Order Date]])</f>
        <v>12</v>
      </c>
      <c r="E3195" t="s">
        <v>1331</v>
      </c>
      <c r="F3195" t="s">
        <v>1332</v>
      </c>
      <c r="G3195" s="23" t="s">
        <v>41</v>
      </c>
      <c r="H3195" s="23" t="s">
        <v>61</v>
      </c>
      <c r="I3195" t="s">
        <v>3605</v>
      </c>
      <c r="J3195" t="s">
        <v>36</v>
      </c>
      <c r="K3195" s="22">
        <v>3</v>
      </c>
      <c r="L3195" s="1">
        <v>43095</v>
      </c>
      <c r="M3195" s="22">
        <f>Table3[[#This Row],[Ship Date]]-Table3[[#This Row],[Order Date]]</f>
        <v>4</v>
      </c>
      <c r="N3195" s="23" t="s">
        <v>45</v>
      </c>
      <c r="O3195" s="23" t="s">
        <v>23</v>
      </c>
      <c r="P3195" s="23" t="s">
        <v>589</v>
      </c>
      <c r="Q3195" s="23" t="s">
        <v>39</v>
      </c>
      <c r="R3195" s="23" t="s">
        <v>588</v>
      </c>
      <c r="S3195" s="33">
        <v>0</v>
      </c>
      <c r="T3195" s="13">
        <v>4.17</v>
      </c>
      <c r="U3195" s="13">
        <v>1.0842000000000001</v>
      </c>
      <c r="V3195" s="55">
        <f>Table3[[#This Row],[Profit]]/Table3[[#This Row],[Sales]]</f>
        <v>0.26</v>
      </c>
    </row>
    <row r="3196" spans="1:22" x14ac:dyDescent="0.2">
      <c r="A3196">
        <v>3195</v>
      </c>
      <c r="B3196" t="s">
        <v>5100</v>
      </c>
      <c r="C3196" s="1">
        <v>43091</v>
      </c>
      <c r="D3196" s="22">
        <f>MONTH(Table3[[#This Row],[Order Date]])</f>
        <v>12</v>
      </c>
      <c r="E3196" t="s">
        <v>3547</v>
      </c>
      <c r="F3196" t="s">
        <v>3548</v>
      </c>
      <c r="G3196" s="23" t="s">
        <v>64</v>
      </c>
      <c r="H3196" s="23" t="s">
        <v>65</v>
      </c>
      <c r="I3196" t="s">
        <v>3605</v>
      </c>
      <c r="J3196" t="s">
        <v>36</v>
      </c>
      <c r="K3196" s="22">
        <v>4</v>
      </c>
      <c r="L3196" s="1">
        <v>43095</v>
      </c>
      <c r="M3196" s="22">
        <f>Table3[[#This Row],[Ship Date]]-Table3[[#This Row],[Order Date]]</f>
        <v>4</v>
      </c>
      <c r="N3196" s="23" t="s">
        <v>45</v>
      </c>
      <c r="O3196" s="23" t="s">
        <v>23</v>
      </c>
      <c r="P3196" s="23" t="s">
        <v>589</v>
      </c>
      <c r="Q3196" s="23" t="s">
        <v>39</v>
      </c>
      <c r="R3196" s="23" t="s">
        <v>588</v>
      </c>
      <c r="S3196" s="33">
        <v>0.2</v>
      </c>
      <c r="T3196" s="13">
        <v>67.040000000000006</v>
      </c>
      <c r="U3196" s="13">
        <v>6.7039999999999997</v>
      </c>
      <c r="V3196" s="55">
        <f>Table3[[#This Row],[Profit]]/Table3[[#This Row],[Sales]]</f>
        <v>9.9999999999999992E-2</v>
      </c>
    </row>
    <row r="3197" spans="1:22" x14ac:dyDescent="0.2">
      <c r="A3197">
        <v>3196</v>
      </c>
      <c r="B3197" t="s">
        <v>5100</v>
      </c>
      <c r="C3197" s="1">
        <v>43091</v>
      </c>
      <c r="D3197" s="22">
        <f>MONTH(Table3[[#This Row],[Order Date]])</f>
        <v>12</v>
      </c>
      <c r="E3197" t="s">
        <v>916</v>
      </c>
      <c r="F3197" t="s">
        <v>917</v>
      </c>
      <c r="G3197" s="23" t="s">
        <v>41</v>
      </c>
      <c r="H3197" s="23" t="s">
        <v>53</v>
      </c>
      <c r="I3197" t="s">
        <v>3605</v>
      </c>
      <c r="J3197" t="s">
        <v>36</v>
      </c>
      <c r="K3197" s="22">
        <v>3</v>
      </c>
      <c r="L3197" s="1">
        <v>43095</v>
      </c>
      <c r="M3197" s="22">
        <f>Table3[[#This Row],[Ship Date]]-Table3[[#This Row],[Order Date]]</f>
        <v>4</v>
      </c>
      <c r="N3197" s="23" t="s">
        <v>45</v>
      </c>
      <c r="O3197" s="23" t="s">
        <v>23</v>
      </c>
      <c r="P3197" s="23" t="s">
        <v>589</v>
      </c>
      <c r="Q3197" s="23" t="s">
        <v>39</v>
      </c>
      <c r="R3197" s="23" t="s">
        <v>588</v>
      </c>
      <c r="S3197" s="33">
        <v>0</v>
      </c>
      <c r="T3197" s="13">
        <v>37.32</v>
      </c>
      <c r="U3197" s="13">
        <v>10.4496</v>
      </c>
      <c r="V3197" s="55">
        <f>Table3[[#This Row],[Profit]]/Table3[[#This Row],[Sales]]</f>
        <v>0.28000000000000003</v>
      </c>
    </row>
    <row r="3198" spans="1:22" x14ac:dyDescent="0.2">
      <c r="A3198">
        <v>3197</v>
      </c>
      <c r="B3198" t="s">
        <v>5100</v>
      </c>
      <c r="C3198" s="1">
        <v>43091</v>
      </c>
      <c r="D3198" s="22">
        <f>MONTH(Table3[[#This Row],[Order Date]])</f>
        <v>12</v>
      </c>
      <c r="E3198" t="s">
        <v>3202</v>
      </c>
      <c r="F3198" t="s">
        <v>3203</v>
      </c>
      <c r="G3198" s="23" t="s">
        <v>41</v>
      </c>
      <c r="H3198" s="23" t="s">
        <v>42</v>
      </c>
      <c r="I3198" t="s">
        <v>3605</v>
      </c>
      <c r="J3198" t="s">
        <v>36</v>
      </c>
      <c r="K3198" s="22">
        <v>5</v>
      </c>
      <c r="L3198" s="1">
        <v>43095</v>
      </c>
      <c r="M3198" s="22">
        <f>Table3[[#This Row],[Ship Date]]-Table3[[#This Row],[Order Date]]</f>
        <v>4</v>
      </c>
      <c r="N3198" s="23" t="s">
        <v>45</v>
      </c>
      <c r="O3198" s="23" t="s">
        <v>23</v>
      </c>
      <c r="P3198" s="23" t="s">
        <v>589</v>
      </c>
      <c r="Q3198" s="23" t="s">
        <v>39</v>
      </c>
      <c r="R3198" s="23" t="s">
        <v>588</v>
      </c>
      <c r="S3198" s="33">
        <v>0</v>
      </c>
      <c r="T3198" s="13">
        <v>18.45</v>
      </c>
      <c r="U3198" s="13">
        <v>8.6715</v>
      </c>
      <c r="V3198" s="55">
        <f>Table3[[#This Row],[Profit]]/Table3[[#This Row],[Sales]]</f>
        <v>0.47000000000000003</v>
      </c>
    </row>
    <row r="3199" spans="1:22" x14ac:dyDescent="0.2">
      <c r="A3199">
        <v>3198</v>
      </c>
      <c r="B3199" t="s">
        <v>5236</v>
      </c>
      <c r="C3199" s="1">
        <v>43091</v>
      </c>
      <c r="D3199" s="22">
        <f>MONTH(Table3[[#This Row],[Order Date]])</f>
        <v>12</v>
      </c>
      <c r="E3199" t="s">
        <v>1780</v>
      </c>
      <c r="F3199" t="s">
        <v>1781</v>
      </c>
      <c r="G3199" s="23" t="s">
        <v>41</v>
      </c>
      <c r="H3199" s="23" t="s">
        <v>68</v>
      </c>
      <c r="I3199" t="s">
        <v>658</v>
      </c>
      <c r="J3199" t="s">
        <v>22</v>
      </c>
      <c r="K3199" s="22">
        <v>1</v>
      </c>
      <c r="L3199" s="1">
        <v>43093</v>
      </c>
      <c r="M3199" s="22">
        <f>Table3[[#This Row],[Ship Date]]-Table3[[#This Row],[Order Date]]</f>
        <v>2</v>
      </c>
      <c r="N3199" s="23" t="s">
        <v>169</v>
      </c>
      <c r="O3199" s="23" t="s">
        <v>23</v>
      </c>
      <c r="P3199" s="23" t="s">
        <v>441</v>
      </c>
      <c r="Q3199" s="23" t="s">
        <v>133</v>
      </c>
      <c r="R3199" s="23" t="s">
        <v>2496</v>
      </c>
      <c r="S3199" s="33">
        <v>0.7</v>
      </c>
      <c r="T3199" s="13">
        <v>1.641</v>
      </c>
      <c r="U3199" s="13">
        <v>-1.3128</v>
      </c>
      <c r="V3199" s="55">
        <f>Table3[[#This Row],[Profit]]/Table3[[#This Row],[Sales]]</f>
        <v>-0.79999999999999993</v>
      </c>
    </row>
    <row r="3200" spans="1:22" x14ac:dyDescent="0.2">
      <c r="A3200">
        <v>3199</v>
      </c>
      <c r="B3200" t="s">
        <v>5236</v>
      </c>
      <c r="C3200" s="1">
        <v>43091</v>
      </c>
      <c r="D3200" s="22">
        <f>MONTH(Table3[[#This Row],[Order Date]])</f>
        <v>12</v>
      </c>
      <c r="E3200" t="s">
        <v>4846</v>
      </c>
      <c r="F3200" t="s">
        <v>4847</v>
      </c>
      <c r="G3200" s="23" t="s">
        <v>64</v>
      </c>
      <c r="H3200" s="23" t="s">
        <v>65</v>
      </c>
      <c r="I3200" t="s">
        <v>658</v>
      </c>
      <c r="J3200" t="s">
        <v>22</v>
      </c>
      <c r="K3200" s="22">
        <v>7</v>
      </c>
      <c r="L3200" s="1">
        <v>43093</v>
      </c>
      <c r="M3200" s="22">
        <f>Table3[[#This Row],[Ship Date]]-Table3[[#This Row],[Order Date]]</f>
        <v>2</v>
      </c>
      <c r="N3200" s="23" t="s">
        <v>169</v>
      </c>
      <c r="O3200" s="23" t="s">
        <v>23</v>
      </c>
      <c r="P3200" s="23" t="s">
        <v>441</v>
      </c>
      <c r="Q3200" s="23" t="s">
        <v>133</v>
      </c>
      <c r="R3200" s="23" t="s">
        <v>2496</v>
      </c>
      <c r="S3200" s="33">
        <v>0.4</v>
      </c>
      <c r="T3200" s="13">
        <v>629.95799999999997</v>
      </c>
      <c r="U3200" s="13">
        <v>94.493700000000004</v>
      </c>
      <c r="V3200" s="55">
        <f>Table3[[#This Row],[Profit]]/Table3[[#This Row],[Sales]]</f>
        <v>0.15000000000000002</v>
      </c>
    </row>
    <row r="3201" spans="1:22" x14ac:dyDescent="0.2">
      <c r="A3201">
        <v>3200</v>
      </c>
      <c r="B3201" t="s">
        <v>5631</v>
      </c>
      <c r="C3201" s="1">
        <v>43091</v>
      </c>
      <c r="D3201" s="22">
        <f>MONTH(Table3[[#This Row],[Order Date]])</f>
        <v>12</v>
      </c>
      <c r="E3201" t="s">
        <v>1422</v>
      </c>
      <c r="F3201" t="s">
        <v>1423</v>
      </c>
      <c r="G3201" s="23" t="s">
        <v>41</v>
      </c>
      <c r="H3201" s="23" t="s">
        <v>513</v>
      </c>
      <c r="I3201" t="s">
        <v>5632</v>
      </c>
      <c r="J3201" t="s">
        <v>36</v>
      </c>
      <c r="K3201" s="22">
        <v>6</v>
      </c>
      <c r="L3201" s="1">
        <v>43096</v>
      </c>
      <c r="M3201" s="22">
        <f>Table3[[#This Row],[Ship Date]]-Table3[[#This Row],[Order Date]]</f>
        <v>5</v>
      </c>
      <c r="N3201" s="23" t="s">
        <v>20</v>
      </c>
      <c r="O3201" s="23" t="s">
        <v>23</v>
      </c>
      <c r="P3201" s="23" t="s">
        <v>1235</v>
      </c>
      <c r="Q3201" s="23" t="s">
        <v>133</v>
      </c>
      <c r="R3201" s="23" t="s">
        <v>3161</v>
      </c>
      <c r="S3201" s="33">
        <v>0</v>
      </c>
      <c r="T3201" s="13">
        <v>695.16</v>
      </c>
      <c r="U3201" s="13">
        <v>34.758000000000003</v>
      </c>
      <c r="V3201" s="55">
        <f>Table3[[#This Row],[Profit]]/Table3[[#This Row],[Sales]]</f>
        <v>0.05</v>
      </c>
    </row>
    <row r="3202" spans="1:22" x14ac:dyDescent="0.2">
      <c r="A3202">
        <v>3201</v>
      </c>
      <c r="B3202" t="s">
        <v>5631</v>
      </c>
      <c r="C3202" s="1">
        <v>43091</v>
      </c>
      <c r="D3202" s="22">
        <f>MONTH(Table3[[#This Row],[Order Date]])</f>
        <v>12</v>
      </c>
      <c r="E3202" t="s">
        <v>5633</v>
      </c>
      <c r="F3202" t="s">
        <v>5634</v>
      </c>
      <c r="G3202" s="23" t="s">
        <v>28</v>
      </c>
      <c r="H3202" s="23" t="s">
        <v>29</v>
      </c>
      <c r="I3202" t="s">
        <v>5632</v>
      </c>
      <c r="J3202" t="s">
        <v>36</v>
      </c>
      <c r="K3202" s="22">
        <v>1</v>
      </c>
      <c r="L3202" s="1">
        <v>43096</v>
      </c>
      <c r="M3202" s="22">
        <f>Table3[[#This Row],[Ship Date]]-Table3[[#This Row],[Order Date]]</f>
        <v>5</v>
      </c>
      <c r="N3202" s="23" t="s">
        <v>20</v>
      </c>
      <c r="O3202" s="23" t="s">
        <v>23</v>
      </c>
      <c r="P3202" s="23" t="s">
        <v>1235</v>
      </c>
      <c r="Q3202" s="23" t="s">
        <v>133</v>
      </c>
      <c r="R3202" s="23" t="s">
        <v>3161</v>
      </c>
      <c r="S3202" s="33">
        <v>0</v>
      </c>
      <c r="T3202" s="13">
        <v>220.98</v>
      </c>
      <c r="U3202" s="13">
        <v>50.825400000000002</v>
      </c>
      <c r="V3202" s="55">
        <f>Table3[[#This Row],[Profit]]/Table3[[#This Row],[Sales]]</f>
        <v>0.23</v>
      </c>
    </row>
    <row r="3203" spans="1:22" x14ac:dyDescent="0.2">
      <c r="A3203">
        <v>3202</v>
      </c>
      <c r="B3203" t="s">
        <v>7970</v>
      </c>
      <c r="C3203" s="1">
        <v>43091</v>
      </c>
      <c r="D3203" s="22">
        <f>MONTH(Table3[[#This Row],[Order Date]])</f>
        <v>12</v>
      </c>
      <c r="E3203" t="s">
        <v>2447</v>
      </c>
      <c r="F3203" t="s">
        <v>2448</v>
      </c>
      <c r="G3203" s="23" t="s">
        <v>41</v>
      </c>
      <c r="H3203" s="23" t="s">
        <v>82</v>
      </c>
      <c r="I3203" t="s">
        <v>6701</v>
      </c>
      <c r="J3203" t="s">
        <v>22</v>
      </c>
      <c r="K3203" s="22">
        <v>5</v>
      </c>
      <c r="L3203" s="1">
        <v>43095</v>
      </c>
      <c r="M3203" s="22">
        <f>Table3[[#This Row],[Ship Date]]-Table3[[#This Row],[Order Date]]</f>
        <v>4</v>
      </c>
      <c r="N3203" s="23" t="s">
        <v>45</v>
      </c>
      <c r="O3203" s="23" t="s">
        <v>23</v>
      </c>
      <c r="P3203" s="23" t="s">
        <v>94</v>
      </c>
      <c r="Q3203" s="23" t="s">
        <v>95</v>
      </c>
      <c r="R3203" s="23" t="s">
        <v>165</v>
      </c>
      <c r="S3203" s="33">
        <v>0.2</v>
      </c>
      <c r="T3203" s="13">
        <v>25.92</v>
      </c>
      <c r="U3203" s="13">
        <v>9.0719999999999992</v>
      </c>
      <c r="V3203" s="55">
        <f>Table3[[#This Row],[Profit]]/Table3[[#This Row],[Sales]]</f>
        <v>0.34999999999999992</v>
      </c>
    </row>
    <row r="3204" spans="1:22" x14ac:dyDescent="0.2">
      <c r="A3204">
        <v>3203</v>
      </c>
      <c r="B3204" t="s">
        <v>7970</v>
      </c>
      <c r="C3204" s="1">
        <v>43091</v>
      </c>
      <c r="D3204" s="22">
        <f>MONTH(Table3[[#This Row],[Order Date]])</f>
        <v>12</v>
      </c>
      <c r="E3204" t="s">
        <v>2949</v>
      </c>
      <c r="F3204" t="s">
        <v>2950</v>
      </c>
      <c r="G3204" s="23" t="s">
        <v>41</v>
      </c>
      <c r="H3204" s="23" t="s">
        <v>68</v>
      </c>
      <c r="I3204" t="s">
        <v>6701</v>
      </c>
      <c r="J3204" t="s">
        <v>22</v>
      </c>
      <c r="K3204" s="22">
        <v>5</v>
      </c>
      <c r="L3204" s="1">
        <v>43095</v>
      </c>
      <c r="M3204" s="22">
        <f>Table3[[#This Row],[Ship Date]]-Table3[[#This Row],[Order Date]]</f>
        <v>4</v>
      </c>
      <c r="N3204" s="23" t="s">
        <v>45</v>
      </c>
      <c r="O3204" s="23" t="s">
        <v>23</v>
      </c>
      <c r="P3204" s="23" t="s">
        <v>94</v>
      </c>
      <c r="Q3204" s="23" t="s">
        <v>95</v>
      </c>
      <c r="R3204" s="23" t="s">
        <v>165</v>
      </c>
      <c r="S3204" s="33">
        <v>0.8</v>
      </c>
      <c r="T3204" s="13">
        <v>6.33</v>
      </c>
      <c r="U3204" s="13">
        <v>-9.8115000000000006</v>
      </c>
      <c r="V3204" s="55">
        <f>Table3[[#This Row],[Profit]]/Table3[[#This Row],[Sales]]</f>
        <v>-1.55</v>
      </c>
    </row>
    <row r="3205" spans="1:22" x14ac:dyDescent="0.2">
      <c r="A3205">
        <v>3204</v>
      </c>
      <c r="B3205" t="s">
        <v>7970</v>
      </c>
      <c r="C3205" s="1">
        <v>43091</v>
      </c>
      <c r="D3205" s="22">
        <f>MONTH(Table3[[#This Row],[Order Date]])</f>
        <v>12</v>
      </c>
      <c r="E3205" t="s">
        <v>2198</v>
      </c>
      <c r="F3205" t="s">
        <v>2199</v>
      </c>
      <c r="G3205" s="23" t="s">
        <v>41</v>
      </c>
      <c r="H3205" s="23" t="s">
        <v>82</v>
      </c>
      <c r="I3205" t="s">
        <v>6701</v>
      </c>
      <c r="J3205" t="s">
        <v>22</v>
      </c>
      <c r="K3205" s="22">
        <v>5</v>
      </c>
      <c r="L3205" s="1">
        <v>43095</v>
      </c>
      <c r="M3205" s="22">
        <f>Table3[[#This Row],[Ship Date]]-Table3[[#This Row],[Order Date]]</f>
        <v>4</v>
      </c>
      <c r="N3205" s="23" t="s">
        <v>45</v>
      </c>
      <c r="O3205" s="23" t="s">
        <v>23</v>
      </c>
      <c r="P3205" s="23" t="s">
        <v>94</v>
      </c>
      <c r="Q3205" s="23" t="s">
        <v>95</v>
      </c>
      <c r="R3205" s="23" t="s">
        <v>165</v>
      </c>
      <c r="S3205" s="33">
        <v>0.2</v>
      </c>
      <c r="T3205" s="13">
        <v>75.88</v>
      </c>
      <c r="U3205" s="13">
        <v>26.558</v>
      </c>
      <c r="V3205" s="55">
        <f>Table3[[#This Row],[Profit]]/Table3[[#This Row],[Sales]]</f>
        <v>0.35000000000000003</v>
      </c>
    </row>
    <row r="3206" spans="1:22" x14ac:dyDescent="0.2">
      <c r="A3206">
        <v>3205</v>
      </c>
      <c r="B3206" t="s">
        <v>8534</v>
      </c>
      <c r="C3206" s="1">
        <v>43091</v>
      </c>
      <c r="D3206" s="22">
        <f>MONTH(Table3[[#This Row],[Order Date]])</f>
        <v>12</v>
      </c>
      <c r="E3206" t="s">
        <v>1627</v>
      </c>
      <c r="F3206" t="s">
        <v>1628</v>
      </c>
      <c r="G3206" s="23" t="s">
        <v>28</v>
      </c>
      <c r="H3206" s="23" t="s">
        <v>32</v>
      </c>
      <c r="I3206" t="s">
        <v>5541</v>
      </c>
      <c r="J3206" t="s">
        <v>92</v>
      </c>
      <c r="K3206" s="22">
        <v>2</v>
      </c>
      <c r="L3206" s="1">
        <v>43095</v>
      </c>
      <c r="M3206" s="22">
        <f>Table3[[#This Row],[Ship Date]]-Table3[[#This Row],[Order Date]]</f>
        <v>4</v>
      </c>
      <c r="N3206" s="23" t="s">
        <v>45</v>
      </c>
      <c r="O3206" s="23" t="s">
        <v>23</v>
      </c>
      <c r="P3206" s="23" t="s">
        <v>320</v>
      </c>
      <c r="Q3206" s="23" t="s">
        <v>26</v>
      </c>
      <c r="R3206" s="23" t="s">
        <v>7131</v>
      </c>
      <c r="S3206" s="33">
        <v>0</v>
      </c>
      <c r="T3206" s="13">
        <v>141.96</v>
      </c>
      <c r="U3206" s="13">
        <v>35.49</v>
      </c>
      <c r="V3206" s="55">
        <f>Table3[[#This Row],[Profit]]/Table3[[#This Row],[Sales]]</f>
        <v>0.25</v>
      </c>
    </row>
    <row r="3207" spans="1:22" x14ac:dyDescent="0.2">
      <c r="A3207">
        <v>3206</v>
      </c>
      <c r="B3207" t="s">
        <v>8535</v>
      </c>
      <c r="C3207" s="1">
        <v>43091</v>
      </c>
      <c r="D3207" s="22">
        <f>MONTH(Table3[[#This Row],[Order Date]])</f>
        <v>12</v>
      </c>
      <c r="E3207" t="s">
        <v>3327</v>
      </c>
      <c r="F3207" t="s">
        <v>3328</v>
      </c>
      <c r="G3207" s="23" t="s">
        <v>28</v>
      </c>
      <c r="H3207" s="23" t="s">
        <v>50</v>
      </c>
      <c r="I3207" t="s">
        <v>6701</v>
      </c>
      <c r="J3207" t="s">
        <v>22</v>
      </c>
      <c r="K3207" s="22">
        <v>2</v>
      </c>
      <c r="L3207" s="1">
        <v>43094</v>
      </c>
      <c r="M3207" s="22">
        <f>Table3[[#This Row],[Ship Date]]-Table3[[#This Row],[Order Date]]</f>
        <v>3</v>
      </c>
      <c r="N3207" s="23" t="s">
        <v>20</v>
      </c>
      <c r="O3207" s="23" t="s">
        <v>23</v>
      </c>
      <c r="P3207" s="23" t="s">
        <v>277</v>
      </c>
      <c r="Q3207" s="23" t="s">
        <v>39</v>
      </c>
      <c r="R3207" s="23" t="s">
        <v>1613</v>
      </c>
      <c r="S3207" s="33">
        <v>0.5</v>
      </c>
      <c r="T3207" s="13">
        <v>182.55</v>
      </c>
      <c r="U3207" s="13">
        <v>-135.08699999999999</v>
      </c>
      <c r="V3207" s="55">
        <f>Table3[[#This Row],[Profit]]/Table3[[#This Row],[Sales]]</f>
        <v>-0.73999999999999988</v>
      </c>
    </row>
    <row r="3208" spans="1:22" x14ac:dyDescent="0.2">
      <c r="A3208">
        <v>3207</v>
      </c>
      <c r="B3208" t="s">
        <v>9096</v>
      </c>
      <c r="C3208" s="1">
        <v>43091</v>
      </c>
      <c r="D3208" s="22">
        <f>MONTH(Table3[[#This Row],[Order Date]])</f>
        <v>12</v>
      </c>
      <c r="E3208" t="s">
        <v>5843</v>
      </c>
      <c r="F3208" t="s">
        <v>5844</v>
      </c>
      <c r="G3208" s="23" t="s">
        <v>64</v>
      </c>
      <c r="H3208" s="23" t="s">
        <v>144</v>
      </c>
      <c r="I3208" t="s">
        <v>3259</v>
      </c>
      <c r="J3208" t="s">
        <v>22</v>
      </c>
      <c r="K3208" s="22">
        <v>5</v>
      </c>
      <c r="L3208" s="1">
        <v>43093</v>
      </c>
      <c r="M3208" s="22">
        <f>Table3[[#This Row],[Ship Date]]-Table3[[#This Row],[Order Date]]</f>
        <v>2</v>
      </c>
      <c r="N3208" s="23" t="s">
        <v>169</v>
      </c>
      <c r="O3208" s="23" t="s">
        <v>23</v>
      </c>
      <c r="P3208" s="23" t="s">
        <v>38</v>
      </c>
      <c r="Q3208" s="23" t="s">
        <v>39</v>
      </c>
      <c r="R3208" s="23" t="s">
        <v>37</v>
      </c>
      <c r="S3208" s="33">
        <v>0</v>
      </c>
      <c r="T3208" s="13">
        <v>474.95</v>
      </c>
      <c r="U3208" s="13">
        <v>142.48500000000001</v>
      </c>
      <c r="V3208" s="55">
        <f>Table3[[#This Row],[Profit]]/Table3[[#This Row],[Sales]]</f>
        <v>0.30000000000000004</v>
      </c>
    </row>
    <row r="3209" spans="1:22" x14ac:dyDescent="0.2">
      <c r="A3209">
        <v>3208</v>
      </c>
      <c r="B3209" t="s">
        <v>9335</v>
      </c>
      <c r="C3209" s="1">
        <v>43091</v>
      </c>
      <c r="D3209" s="22">
        <f>MONTH(Table3[[#This Row],[Order Date]])</f>
        <v>12</v>
      </c>
      <c r="E3209" t="s">
        <v>1173</v>
      </c>
      <c r="F3209" t="s">
        <v>1174</v>
      </c>
      <c r="G3209" s="23" t="s">
        <v>28</v>
      </c>
      <c r="H3209" s="23" t="s">
        <v>50</v>
      </c>
      <c r="I3209" t="s">
        <v>3656</v>
      </c>
      <c r="J3209" t="s">
        <v>22</v>
      </c>
      <c r="K3209" s="22">
        <v>2</v>
      </c>
      <c r="L3209" s="1">
        <v>43095</v>
      </c>
      <c r="M3209" s="22">
        <f>Table3[[#This Row],[Ship Date]]-Table3[[#This Row],[Order Date]]</f>
        <v>4</v>
      </c>
      <c r="N3209" s="23" t="s">
        <v>45</v>
      </c>
      <c r="O3209" s="23" t="s">
        <v>23</v>
      </c>
      <c r="P3209" s="23" t="s">
        <v>204</v>
      </c>
      <c r="Q3209" s="23" t="s">
        <v>95</v>
      </c>
      <c r="R3209" s="23" t="s">
        <v>347</v>
      </c>
      <c r="S3209" s="33">
        <v>0</v>
      </c>
      <c r="T3209" s="13">
        <v>607.52</v>
      </c>
      <c r="U3209" s="13">
        <v>97.203199999999995</v>
      </c>
      <c r="V3209" s="55">
        <f>Table3[[#This Row],[Profit]]/Table3[[#This Row],[Sales]]</f>
        <v>0.16</v>
      </c>
    </row>
    <row r="3210" spans="1:22" x14ac:dyDescent="0.2">
      <c r="A3210">
        <v>3209</v>
      </c>
      <c r="B3210" t="s">
        <v>9335</v>
      </c>
      <c r="C3210" s="1">
        <v>43091</v>
      </c>
      <c r="D3210" s="22">
        <f>MONTH(Table3[[#This Row],[Order Date]])</f>
        <v>12</v>
      </c>
      <c r="E3210" t="s">
        <v>841</v>
      </c>
      <c r="F3210" t="s">
        <v>1542</v>
      </c>
      <c r="G3210" s="23" t="s">
        <v>41</v>
      </c>
      <c r="H3210" s="23" t="s">
        <v>53</v>
      </c>
      <c r="I3210" t="s">
        <v>3656</v>
      </c>
      <c r="J3210" t="s">
        <v>22</v>
      </c>
      <c r="K3210" s="22">
        <v>2</v>
      </c>
      <c r="L3210" s="1">
        <v>43095</v>
      </c>
      <c r="M3210" s="22">
        <f>Table3[[#This Row],[Ship Date]]-Table3[[#This Row],[Order Date]]</f>
        <v>4</v>
      </c>
      <c r="N3210" s="23" t="s">
        <v>45</v>
      </c>
      <c r="O3210" s="23" t="s">
        <v>23</v>
      </c>
      <c r="P3210" s="23" t="s">
        <v>204</v>
      </c>
      <c r="Q3210" s="23" t="s">
        <v>95</v>
      </c>
      <c r="R3210" s="23" t="s">
        <v>347</v>
      </c>
      <c r="S3210" s="33">
        <v>0</v>
      </c>
      <c r="T3210" s="13">
        <v>31.16</v>
      </c>
      <c r="U3210" s="13">
        <v>7.79</v>
      </c>
      <c r="V3210" s="55">
        <f>Table3[[#This Row],[Profit]]/Table3[[#This Row],[Sales]]</f>
        <v>0.25</v>
      </c>
    </row>
    <row r="3211" spans="1:22" x14ac:dyDescent="0.2">
      <c r="A3211">
        <v>3210</v>
      </c>
      <c r="B3211" t="s">
        <v>9553</v>
      </c>
      <c r="C3211" s="1">
        <v>43091</v>
      </c>
      <c r="D3211" s="22">
        <f>MONTH(Table3[[#This Row],[Order Date]])</f>
        <v>12</v>
      </c>
      <c r="E3211" t="s">
        <v>927</v>
      </c>
      <c r="F3211" t="s">
        <v>928</v>
      </c>
      <c r="G3211" s="23" t="s">
        <v>28</v>
      </c>
      <c r="H3211" s="23" t="s">
        <v>50</v>
      </c>
      <c r="I3211" t="s">
        <v>5723</v>
      </c>
      <c r="J3211" t="s">
        <v>22</v>
      </c>
      <c r="K3211" s="22">
        <v>6</v>
      </c>
      <c r="L3211" s="1">
        <v>43097</v>
      </c>
      <c r="M3211" s="22">
        <f>Table3[[#This Row],[Ship Date]]-Table3[[#This Row],[Order Date]]</f>
        <v>6</v>
      </c>
      <c r="N3211" s="23" t="s">
        <v>45</v>
      </c>
      <c r="O3211" s="23" t="s">
        <v>23</v>
      </c>
      <c r="P3211" s="23" t="s">
        <v>299</v>
      </c>
      <c r="Q3211" s="23" t="s">
        <v>26</v>
      </c>
      <c r="R3211" s="23" t="s">
        <v>293</v>
      </c>
      <c r="S3211" s="33">
        <v>0.4</v>
      </c>
      <c r="T3211" s="13">
        <v>934.95600000000002</v>
      </c>
      <c r="U3211" s="13">
        <v>-249.32159999999999</v>
      </c>
      <c r="V3211" s="55">
        <f>Table3[[#This Row],[Profit]]/Table3[[#This Row],[Sales]]</f>
        <v>-0.26666666666666666</v>
      </c>
    </row>
    <row r="3212" spans="1:22" x14ac:dyDescent="0.2">
      <c r="A3212">
        <v>3211</v>
      </c>
      <c r="B3212" t="s">
        <v>9553</v>
      </c>
      <c r="C3212" s="1">
        <v>43091</v>
      </c>
      <c r="D3212" s="22">
        <f>MONTH(Table3[[#This Row],[Order Date]])</f>
        <v>12</v>
      </c>
      <c r="E3212" t="s">
        <v>2844</v>
      </c>
      <c r="F3212" t="s">
        <v>2845</v>
      </c>
      <c r="G3212" s="23" t="s">
        <v>64</v>
      </c>
      <c r="H3212" s="23" t="s">
        <v>144</v>
      </c>
      <c r="I3212" t="s">
        <v>5723</v>
      </c>
      <c r="J3212" t="s">
        <v>22</v>
      </c>
      <c r="K3212" s="22">
        <v>2</v>
      </c>
      <c r="L3212" s="1">
        <v>43097</v>
      </c>
      <c r="M3212" s="22">
        <f>Table3[[#This Row],[Ship Date]]-Table3[[#This Row],[Order Date]]</f>
        <v>6</v>
      </c>
      <c r="N3212" s="23" t="s">
        <v>45</v>
      </c>
      <c r="O3212" s="23" t="s">
        <v>23</v>
      </c>
      <c r="P3212" s="23" t="s">
        <v>299</v>
      </c>
      <c r="Q3212" s="23" t="s">
        <v>26</v>
      </c>
      <c r="R3212" s="23" t="s">
        <v>293</v>
      </c>
      <c r="S3212" s="33">
        <v>0.2</v>
      </c>
      <c r="T3212" s="13">
        <v>46.863999999999997</v>
      </c>
      <c r="U3212" s="13">
        <v>7.6154000000000002</v>
      </c>
      <c r="V3212" s="55">
        <f>Table3[[#This Row],[Profit]]/Table3[[#This Row],[Sales]]</f>
        <v>0.16250000000000001</v>
      </c>
    </row>
    <row r="3213" spans="1:22" x14ac:dyDescent="0.2">
      <c r="A3213">
        <v>3212</v>
      </c>
      <c r="B3213" t="s">
        <v>9553</v>
      </c>
      <c r="C3213" s="1">
        <v>43091</v>
      </c>
      <c r="D3213" s="22">
        <f>MONTH(Table3[[#This Row],[Order Date]])</f>
        <v>12</v>
      </c>
      <c r="E3213" t="s">
        <v>1311</v>
      </c>
      <c r="F3213" t="s">
        <v>1312</v>
      </c>
      <c r="G3213" s="23" t="s">
        <v>41</v>
      </c>
      <c r="H3213" s="23" t="s">
        <v>53</v>
      </c>
      <c r="I3213" t="s">
        <v>5723</v>
      </c>
      <c r="J3213" t="s">
        <v>22</v>
      </c>
      <c r="K3213" s="22">
        <v>3</v>
      </c>
      <c r="L3213" s="1">
        <v>43097</v>
      </c>
      <c r="M3213" s="22">
        <f>Table3[[#This Row],[Ship Date]]-Table3[[#This Row],[Order Date]]</f>
        <v>6</v>
      </c>
      <c r="N3213" s="23" t="s">
        <v>45</v>
      </c>
      <c r="O3213" s="23" t="s">
        <v>23</v>
      </c>
      <c r="P3213" s="23" t="s">
        <v>299</v>
      </c>
      <c r="Q3213" s="23" t="s">
        <v>26</v>
      </c>
      <c r="R3213" s="23" t="s">
        <v>293</v>
      </c>
      <c r="S3213" s="33">
        <v>0.2</v>
      </c>
      <c r="T3213" s="13">
        <v>26.16</v>
      </c>
      <c r="U3213" s="13">
        <v>1.962</v>
      </c>
      <c r="V3213" s="55">
        <f>Table3[[#This Row],[Profit]]/Table3[[#This Row],[Sales]]</f>
        <v>7.4999999999999997E-2</v>
      </c>
    </row>
    <row r="3214" spans="1:22" x14ac:dyDescent="0.2">
      <c r="A3214">
        <v>3213</v>
      </c>
      <c r="B3214" t="s">
        <v>9553</v>
      </c>
      <c r="C3214" s="1">
        <v>43091</v>
      </c>
      <c r="D3214" s="22">
        <f>MONTH(Table3[[#This Row],[Order Date]])</f>
        <v>12</v>
      </c>
      <c r="E3214" t="s">
        <v>3574</v>
      </c>
      <c r="F3214" t="s">
        <v>3575</v>
      </c>
      <c r="G3214" s="23" t="s">
        <v>41</v>
      </c>
      <c r="H3214" s="23" t="s">
        <v>61</v>
      </c>
      <c r="I3214" t="s">
        <v>5723</v>
      </c>
      <c r="J3214" t="s">
        <v>22</v>
      </c>
      <c r="K3214" s="22">
        <v>7</v>
      </c>
      <c r="L3214" s="1">
        <v>43097</v>
      </c>
      <c r="M3214" s="22">
        <f>Table3[[#This Row],[Ship Date]]-Table3[[#This Row],[Order Date]]</f>
        <v>6</v>
      </c>
      <c r="N3214" s="23" t="s">
        <v>45</v>
      </c>
      <c r="O3214" s="23" t="s">
        <v>23</v>
      </c>
      <c r="P3214" s="23" t="s">
        <v>299</v>
      </c>
      <c r="Q3214" s="23" t="s">
        <v>26</v>
      </c>
      <c r="R3214" s="23" t="s">
        <v>293</v>
      </c>
      <c r="S3214" s="33">
        <v>0.2</v>
      </c>
      <c r="T3214" s="13">
        <v>23.128</v>
      </c>
      <c r="U3214" s="13">
        <v>2.891</v>
      </c>
      <c r="V3214" s="55">
        <f>Table3[[#This Row],[Profit]]/Table3[[#This Row],[Sales]]</f>
        <v>0.125</v>
      </c>
    </row>
    <row r="3215" spans="1:22" x14ac:dyDescent="0.2">
      <c r="A3215">
        <v>3214</v>
      </c>
      <c r="B3215" t="s">
        <v>9553</v>
      </c>
      <c r="C3215" s="1">
        <v>43091</v>
      </c>
      <c r="D3215" s="22">
        <f>MONTH(Table3[[#This Row],[Order Date]])</f>
        <v>12</v>
      </c>
      <c r="E3215" t="s">
        <v>2283</v>
      </c>
      <c r="F3215" t="s">
        <v>2284</v>
      </c>
      <c r="G3215" s="23" t="s">
        <v>41</v>
      </c>
      <c r="H3215" s="23" t="s">
        <v>71</v>
      </c>
      <c r="I3215" t="s">
        <v>5723</v>
      </c>
      <c r="J3215" t="s">
        <v>22</v>
      </c>
      <c r="K3215" s="22">
        <v>5</v>
      </c>
      <c r="L3215" s="1">
        <v>43097</v>
      </c>
      <c r="M3215" s="22">
        <f>Table3[[#This Row],[Ship Date]]-Table3[[#This Row],[Order Date]]</f>
        <v>6</v>
      </c>
      <c r="N3215" s="23" t="s">
        <v>45</v>
      </c>
      <c r="O3215" s="23" t="s">
        <v>23</v>
      </c>
      <c r="P3215" s="23" t="s">
        <v>299</v>
      </c>
      <c r="Q3215" s="23" t="s">
        <v>26</v>
      </c>
      <c r="R3215" s="23" t="s">
        <v>293</v>
      </c>
      <c r="S3215" s="33">
        <v>0.2</v>
      </c>
      <c r="T3215" s="13">
        <v>59.24</v>
      </c>
      <c r="U3215" s="13">
        <v>16.291</v>
      </c>
      <c r="V3215" s="55">
        <f>Table3[[#This Row],[Profit]]/Table3[[#This Row],[Sales]]</f>
        <v>0.27500000000000002</v>
      </c>
    </row>
    <row r="3216" spans="1:22" x14ac:dyDescent="0.2">
      <c r="A3216">
        <v>3215</v>
      </c>
      <c r="B3216" t="s">
        <v>2392</v>
      </c>
      <c r="C3216" s="1">
        <v>43092</v>
      </c>
      <c r="D3216" s="22">
        <f>MONTH(Table3[[#This Row],[Order Date]])</f>
        <v>12</v>
      </c>
      <c r="E3216" t="s">
        <v>1988</v>
      </c>
      <c r="F3216" t="s">
        <v>1989</v>
      </c>
      <c r="G3216" s="23" t="s">
        <v>41</v>
      </c>
      <c r="H3216" s="23" t="s">
        <v>61</v>
      </c>
      <c r="I3216" t="s">
        <v>399</v>
      </c>
      <c r="J3216" t="s">
        <v>22</v>
      </c>
      <c r="K3216" s="22">
        <v>4</v>
      </c>
      <c r="L3216" s="1">
        <v>43092</v>
      </c>
      <c r="M3216" s="22">
        <f>Table3[[#This Row],[Ship Date]]-Table3[[#This Row],[Order Date]]</f>
        <v>0</v>
      </c>
      <c r="N3216" s="23" t="s">
        <v>1141</v>
      </c>
      <c r="O3216" s="23" t="s">
        <v>23</v>
      </c>
      <c r="P3216" s="23" t="s">
        <v>38</v>
      </c>
      <c r="Q3216" s="23" t="s">
        <v>39</v>
      </c>
      <c r="R3216" s="23" t="s">
        <v>114</v>
      </c>
      <c r="S3216" s="33">
        <v>0</v>
      </c>
      <c r="T3216" s="13">
        <v>13.48</v>
      </c>
      <c r="U3216" s="13">
        <v>5.9311999999999996</v>
      </c>
      <c r="V3216" s="55">
        <f>Table3[[#This Row],[Profit]]/Table3[[#This Row],[Sales]]</f>
        <v>0.43999999999999995</v>
      </c>
    </row>
    <row r="3217" spans="1:22" x14ac:dyDescent="0.2">
      <c r="A3217">
        <v>3216</v>
      </c>
      <c r="B3217" t="s">
        <v>4708</v>
      </c>
      <c r="C3217" s="1">
        <v>43092</v>
      </c>
      <c r="D3217" s="22">
        <f>MONTH(Table3[[#This Row],[Order Date]])</f>
        <v>12</v>
      </c>
      <c r="E3217" t="s">
        <v>302</v>
      </c>
      <c r="F3217" t="s">
        <v>303</v>
      </c>
      <c r="G3217" s="23" t="s">
        <v>28</v>
      </c>
      <c r="H3217" s="23" t="s">
        <v>58</v>
      </c>
      <c r="I3217" t="s">
        <v>3909</v>
      </c>
      <c r="J3217" t="s">
        <v>36</v>
      </c>
      <c r="K3217" s="22">
        <v>3</v>
      </c>
      <c r="L3217" s="1">
        <v>43096</v>
      </c>
      <c r="M3217" s="22">
        <f>Table3[[#This Row],[Ship Date]]-Table3[[#This Row],[Order Date]]</f>
        <v>4</v>
      </c>
      <c r="N3217" s="23" t="s">
        <v>45</v>
      </c>
      <c r="O3217" s="23" t="s">
        <v>23</v>
      </c>
      <c r="P3217" s="23" t="s">
        <v>660</v>
      </c>
      <c r="Q3217" s="23" t="s">
        <v>133</v>
      </c>
      <c r="R3217" s="23" t="s">
        <v>3253</v>
      </c>
      <c r="S3217" s="33">
        <v>0</v>
      </c>
      <c r="T3217" s="13">
        <v>181.95</v>
      </c>
      <c r="U3217" s="13">
        <v>38.209499999999998</v>
      </c>
      <c r="V3217" s="55">
        <f>Table3[[#This Row],[Profit]]/Table3[[#This Row],[Sales]]</f>
        <v>0.21</v>
      </c>
    </row>
    <row r="3218" spans="1:22" x14ac:dyDescent="0.2">
      <c r="A3218">
        <v>3217</v>
      </c>
      <c r="B3218" t="s">
        <v>6020</v>
      </c>
      <c r="C3218" s="1">
        <v>43092</v>
      </c>
      <c r="D3218" s="22">
        <f>MONTH(Table3[[#This Row],[Order Date]])</f>
        <v>12</v>
      </c>
      <c r="E3218" t="s">
        <v>3707</v>
      </c>
      <c r="F3218" t="s">
        <v>3708</v>
      </c>
      <c r="G3218" s="23" t="s">
        <v>41</v>
      </c>
      <c r="H3218" s="23" t="s">
        <v>82</v>
      </c>
      <c r="I3218" t="s">
        <v>3425</v>
      </c>
      <c r="J3218" t="s">
        <v>22</v>
      </c>
      <c r="K3218" s="22">
        <v>8</v>
      </c>
      <c r="L3218" s="1">
        <v>43094</v>
      </c>
      <c r="M3218" s="22">
        <f>Table3[[#This Row],[Ship Date]]-Table3[[#This Row],[Order Date]]</f>
        <v>2</v>
      </c>
      <c r="N3218" s="23" t="s">
        <v>20</v>
      </c>
      <c r="O3218" s="23" t="s">
        <v>23</v>
      </c>
      <c r="P3218" s="23" t="s">
        <v>94</v>
      </c>
      <c r="Q3218" s="23" t="s">
        <v>95</v>
      </c>
      <c r="R3218" s="23" t="s">
        <v>4506</v>
      </c>
      <c r="S3218" s="33">
        <v>0.2</v>
      </c>
      <c r="T3218" s="13">
        <v>28.672000000000001</v>
      </c>
      <c r="U3218" s="13">
        <v>10.393599999999999</v>
      </c>
      <c r="V3218" s="55">
        <f>Table3[[#This Row],[Profit]]/Table3[[#This Row],[Sales]]</f>
        <v>0.36249999999999999</v>
      </c>
    </row>
    <row r="3219" spans="1:22" x14ac:dyDescent="0.2">
      <c r="A3219">
        <v>3218</v>
      </c>
      <c r="B3219" t="s">
        <v>6020</v>
      </c>
      <c r="C3219" s="1">
        <v>43092</v>
      </c>
      <c r="D3219" s="22">
        <f>MONTH(Table3[[#This Row],[Order Date]])</f>
        <v>12</v>
      </c>
      <c r="E3219" t="s">
        <v>6021</v>
      </c>
      <c r="F3219" t="s">
        <v>6022</v>
      </c>
      <c r="G3219" s="23" t="s">
        <v>41</v>
      </c>
      <c r="H3219" s="23" t="s">
        <v>71</v>
      </c>
      <c r="I3219" t="s">
        <v>3425</v>
      </c>
      <c r="J3219" t="s">
        <v>22</v>
      </c>
      <c r="K3219" s="22">
        <v>8</v>
      </c>
      <c r="L3219" s="1">
        <v>43094</v>
      </c>
      <c r="M3219" s="22">
        <f>Table3[[#This Row],[Ship Date]]-Table3[[#This Row],[Order Date]]</f>
        <v>2</v>
      </c>
      <c r="N3219" s="23" t="s">
        <v>20</v>
      </c>
      <c r="O3219" s="23" t="s">
        <v>23</v>
      </c>
      <c r="P3219" s="23" t="s">
        <v>94</v>
      </c>
      <c r="Q3219" s="23" t="s">
        <v>95</v>
      </c>
      <c r="R3219" s="23" t="s">
        <v>4506</v>
      </c>
      <c r="S3219" s="33">
        <v>0.8</v>
      </c>
      <c r="T3219" s="13">
        <v>29.312000000000001</v>
      </c>
      <c r="U3219" s="13">
        <v>-74.745599999999996</v>
      </c>
      <c r="V3219" s="55">
        <f>Table3[[#This Row],[Profit]]/Table3[[#This Row],[Sales]]</f>
        <v>-2.5499999999999998</v>
      </c>
    </row>
    <row r="3220" spans="1:22" x14ac:dyDescent="0.2">
      <c r="A3220">
        <v>3219</v>
      </c>
      <c r="B3220" t="s">
        <v>7987</v>
      </c>
      <c r="C3220" s="1">
        <v>43092</v>
      </c>
      <c r="D3220" s="22">
        <f>MONTH(Table3[[#This Row],[Order Date]])</f>
        <v>12</v>
      </c>
      <c r="E3220" t="s">
        <v>767</v>
      </c>
      <c r="F3220" t="s">
        <v>768</v>
      </c>
      <c r="G3220" s="23" t="s">
        <v>28</v>
      </c>
      <c r="H3220" s="23" t="s">
        <v>58</v>
      </c>
      <c r="I3220" t="s">
        <v>1624</v>
      </c>
      <c r="J3220" t="s">
        <v>22</v>
      </c>
      <c r="K3220" s="22">
        <v>4</v>
      </c>
      <c r="L3220" s="1">
        <v>43096</v>
      </c>
      <c r="M3220" s="22">
        <f>Table3[[#This Row],[Ship Date]]-Table3[[#This Row],[Order Date]]</f>
        <v>4</v>
      </c>
      <c r="N3220" s="23" t="s">
        <v>45</v>
      </c>
      <c r="O3220" s="23" t="s">
        <v>23</v>
      </c>
      <c r="P3220" s="23" t="s">
        <v>299</v>
      </c>
      <c r="Q3220" s="23" t="s">
        <v>26</v>
      </c>
      <c r="R3220" s="23" t="s">
        <v>7988</v>
      </c>
      <c r="S3220" s="33">
        <v>0.2</v>
      </c>
      <c r="T3220" s="13">
        <v>72.703999999999994</v>
      </c>
      <c r="U3220" s="13">
        <v>19.084800000000001</v>
      </c>
      <c r="V3220" s="55">
        <f>Table3[[#This Row],[Profit]]/Table3[[#This Row],[Sales]]</f>
        <v>0.26250000000000007</v>
      </c>
    </row>
    <row r="3221" spans="1:22" x14ac:dyDescent="0.2">
      <c r="A3221">
        <v>3220</v>
      </c>
      <c r="B3221" t="s">
        <v>7987</v>
      </c>
      <c r="C3221" s="1">
        <v>43092</v>
      </c>
      <c r="D3221" s="22">
        <f>MONTH(Table3[[#This Row],[Order Date]])</f>
        <v>12</v>
      </c>
      <c r="E3221" t="s">
        <v>3117</v>
      </c>
      <c r="F3221" t="s">
        <v>3118</v>
      </c>
      <c r="G3221" s="23" t="s">
        <v>41</v>
      </c>
      <c r="H3221" s="23" t="s">
        <v>61</v>
      </c>
      <c r="I3221" t="s">
        <v>1624</v>
      </c>
      <c r="J3221" t="s">
        <v>22</v>
      </c>
      <c r="K3221" s="22">
        <v>7</v>
      </c>
      <c r="L3221" s="1">
        <v>43096</v>
      </c>
      <c r="M3221" s="22">
        <f>Table3[[#This Row],[Ship Date]]-Table3[[#This Row],[Order Date]]</f>
        <v>4</v>
      </c>
      <c r="N3221" s="23" t="s">
        <v>45</v>
      </c>
      <c r="O3221" s="23" t="s">
        <v>23</v>
      </c>
      <c r="P3221" s="23" t="s">
        <v>299</v>
      </c>
      <c r="Q3221" s="23" t="s">
        <v>26</v>
      </c>
      <c r="R3221" s="23" t="s">
        <v>7988</v>
      </c>
      <c r="S3221" s="33">
        <v>0.2</v>
      </c>
      <c r="T3221" s="13">
        <v>12.263999999999999</v>
      </c>
      <c r="U3221" s="13">
        <v>1.0730999999999999</v>
      </c>
      <c r="V3221" s="55">
        <f>Table3[[#This Row],[Profit]]/Table3[[#This Row],[Sales]]</f>
        <v>8.7499999999999994E-2</v>
      </c>
    </row>
    <row r="3222" spans="1:22" x14ac:dyDescent="0.2">
      <c r="A3222">
        <v>3221</v>
      </c>
      <c r="B3222" t="s">
        <v>7987</v>
      </c>
      <c r="C3222" s="1">
        <v>43092</v>
      </c>
      <c r="D3222" s="22">
        <f>MONTH(Table3[[#This Row],[Order Date]])</f>
        <v>12</v>
      </c>
      <c r="E3222" t="s">
        <v>304</v>
      </c>
      <c r="F3222" t="s">
        <v>305</v>
      </c>
      <c r="G3222" s="23" t="s">
        <v>41</v>
      </c>
      <c r="H3222" s="23" t="s">
        <v>53</v>
      </c>
      <c r="I3222" t="s">
        <v>1624</v>
      </c>
      <c r="J3222" t="s">
        <v>22</v>
      </c>
      <c r="K3222" s="22">
        <v>3</v>
      </c>
      <c r="L3222" s="1">
        <v>43096</v>
      </c>
      <c r="M3222" s="22">
        <f>Table3[[#This Row],[Ship Date]]-Table3[[#This Row],[Order Date]]</f>
        <v>4</v>
      </c>
      <c r="N3222" s="23" t="s">
        <v>45</v>
      </c>
      <c r="O3222" s="23" t="s">
        <v>23</v>
      </c>
      <c r="P3222" s="23" t="s">
        <v>299</v>
      </c>
      <c r="Q3222" s="23" t="s">
        <v>26</v>
      </c>
      <c r="R3222" s="23" t="s">
        <v>7988</v>
      </c>
      <c r="S3222" s="33">
        <v>0.2</v>
      </c>
      <c r="T3222" s="13">
        <v>218.352</v>
      </c>
      <c r="U3222" s="13">
        <v>-54.588000000000001</v>
      </c>
      <c r="V3222" s="55">
        <f>Table3[[#This Row],[Profit]]/Table3[[#This Row],[Sales]]</f>
        <v>-0.25</v>
      </c>
    </row>
    <row r="3223" spans="1:22" x14ac:dyDescent="0.2">
      <c r="A3223">
        <v>3222</v>
      </c>
      <c r="B3223" t="s">
        <v>8364</v>
      </c>
      <c r="C3223" s="1">
        <v>43092</v>
      </c>
      <c r="D3223" s="22">
        <f>MONTH(Table3[[#This Row],[Order Date]])</f>
        <v>12</v>
      </c>
      <c r="E3223" t="s">
        <v>670</v>
      </c>
      <c r="F3223" t="s">
        <v>671</v>
      </c>
      <c r="G3223" s="23" t="s">
        <v>41</v>
      </c>
      <c r="H3223" s="23" t="s">
        <v>53</v>
      </c>
      <c r="I3223" t="s">
        <v>7034</v>
      </c>
      <c r="J3223" t="s">
        <v>36</v>
      </c>
      <c r="K3223" s="22">
        <v>4</v>
      </c>
      <c r="L3223" s="1">
        <v>43097</v>
      </c>
      <c r="M3223" s="22">
        <f>Table3[[#This Row],[Ship Date]]-Table3[[#This Row],[Order Date]]</f>
        <v>5</v>
      </c>
      <c r="N3223" s="23" t="s">
        <v>20</v>
      </c>
      <c r="O3223" s="23" t="s">
        <v>23</v>
      </c>
      <c r="P3223" s="23" t="s">
        <v>1510</v>
      </c>
      <c r="Q3223" s="23" t="s">
        <v>26</v>
      </c>
      <c r="R3223" s="23" t="s">
        <v>4562</v>
      </c>
      <c r="S3223" s="33">
        <v>0</v>
      </c>
      <c r="T3223" s="13">
        <v>62.04</v>
      </c>
      <c r="U3223" s="13">
        <v>17.371200000000002</v>
      </c>
      <c r="V3223" s="55">
        <f>Table3[[#This Row],[Profit]]/Table3[[#This Row],[Sales]]</f>
        <v>0.28000000000000003</v>
      </c>
    </row>
    <row r="3224" spans="1:22" x14ac:dyDescent="0.2">
      <c r="A3224">
        <v>3223</v>
      </c>
      <c r="B3224" t="s">
        <v>8364</v>
      </c>
      <c r="C3224" s="1">
        <v>43092</v>
      </c>
      <c r="D3224" s="22">
        <f>MONTH(Table3[[#This Row],[Order Date]])</f>
        <v>12</v>
      </c>
      <c r="E3224" t="s">
        <v>5174</v>
      </c>
      <c r="F3224" t="s">
        <v>5175</v>
      </c>
      <c r="G3224" s="23" t="s">
        <v>64</v>
      </c>
      <c r="H3224" s="23" t="s">
        <v>65</v>
      </c>
      <c r="I3224" t="s">
        <v>7034</v>
      </c>
      <c r="J3224" t="s">
        <v>36</v>
      </c>
      <c r="K3224" s="22">
        <v>3</v>
      </c>
      <c r="L3224" s="1">
        <v>43097</v>
      </c>
      <c r="M3224" s="22">
        <f>Table3[[#This Row],[Ship Date]]-Table3[[#This Row],[Order Date]]</f>
        <v>5</v>
      </c>
      <c r="N3224" s="23" t="s">
        <v>20</v>
      </c>
      <c r="O3224" s="23" t="s">
        <v>23</v>
      </c>
      <c r="P3224" s="23" t="s">
        <v>1510</v>
      </c>
      <c r="Q3224" s="23" t="s">
        <v>26</v>
      </c>
      <c r="R3224" s="23" t="s">
        <v>4562</v>
      </c>
      <c r="S3224" s="33">
        <v>0</v>
      </c>
      <c r="T3224" s="13">
        <v>494.97</v>
      </c>
      <c r="U3224" s="13">
        <v>148.49100000000001</v>
      </c>
      <c r="V3224" s="55">
        <f>Table3[[#This Row],[Profit]]/Table3[[#This Row],[Sales]]</f>
        <v>0.3</v>
      </c>
    </row>
    <row r="3225" spans="1:22" x14ac:dyDescent="0.2">
      <c r="A3225">
        <v>3224</v>
      </c>
      <c r="B3225" t="s">
        <v>8364</v>
      </c>
      <c r="C3225" s="1">
        <v>43092</v>
      </c>
      <c r="D3225" s="22">
        <f>MONTH(Table3[[#This Row],[Order Date]])</f>
        <v>12</v>
      </c>
      <c r="E3225" t="s">
        <v>739</v>
      </c>
      <c r="F3225" t="s">
        <v>740</v>
      </c>
      <c r="G3225" s="23" t="s">
        <v>41</v>
      </c>
      <c r="H3225" s="23" t="s">
        <v>53</v>
      </c>
      <c r="I3225" t="s">
        <v>7034</v>
      </c>
      <c r="J3225" t="s">
        <v>36</v>
      </c>
      <c r="K3225" s="22">
        <v>4</v>
      </c>
      <c r="L3225" s="1">
        <v>43097</v>
      </c>
      <c r="M3225" s="22">
        <f>Table3[[#This Row],[Ship Date]]-Table3[[#This Row],[Order Date]]</f>
        <v>5</v>
      </c>
      <c r="N3225" s="23" t="s">
        <v>20</v>
      </c>
      <c r="O3225" s="23" t="s">
        <v>23</v>
      </c>
      <c r="P3225" s="23" t="s">
        <v>1510</v>
      </c>
      <c r="Q3225" s="23" t="s">
        <v>26</v>
      </c>
      <c r="R3225" s="23" t="s">
        <v>4562</v>
      </c>
      <c r="S3225" s="33">
        <v>0</v>
      </c>
      <c r="T3225" s="13">
        <v>367.96</v>
      </c>
      <c r="U3225" s="13">
        <v>14.718400000000001</v>
      </c>
      <c r="V3225" s="55">
        <f>Table3[[#This Row],[Profit]]/Table3[[#This Row],[Sales]]</f>
        <v>4.0000000000000008E-2</v>
      </c>
    </row>
    <row r="3226" spans="1:22" x14ac:dyDescent="0.2">
      <c r="A3226">
        <v>3225</v>
      </c>
      <c r="B3226" t="s">
        <v>8364</v>
      </c>
      <c r="C3226" s="1">
        <v>43092</v>
      </c>
      <c r="D3226" s="22">
        <f>MONTH(Table3[[#This Row],[Order Date]])</f>
        <v>12</v>
      </c>
      <c r="E3226" t="s">
        <v>4008</v>
      </c>
      <c r="F3226" t="s">
        <v>4009</v>
      </c>
      <c r="G3226" s="23" t="s">
        <v>41</v>
      </c>
      <c r="H3226" s="23" t="s">
        <v>82</v>
      </c>
      <c r="I3226" t="s">
        <v>7034</v>
      </c>
      <c r="J3226" t="s">
        <v>36</v>
      </c>
      <c r="K3226" s="22">
        <v>2</v>
      </c>
      <c r="L3226" s="1">
        <v>43097</v>
      </c>
      <c r="M3226" s="22">
        <f>Table3[[#This Row],[Ship Date]]-Table3[[#This Row],[Order Date]]</f>
        <v>5</v>
      </c>
      <c r="N3226" s="23" t="s">
        <v>20</v>
      </c>
      <c r="O3226" s="23" t="s">
        <v>23</v>
      </c>
      <c r="P3226" s="23" t="s">
        <v>1510</v>
      </c>
      <c r="Q3226" s="23" t="s">
        <v>26</v>
      </c>
      <c r="R3226" s="23" t="s">
        <v>4562</v>
      </c>
      <c r="S3226" s="33">
        <v>0</v>
      </c>
      <c r="T3226" s="13">
        <v>44.96</v>
      </c>
      <c r="U3226" s="13">
        <v>20.6816</v>
      </c>
      <c r="V3226" s="55">
        <f>Table3[[#This Row],[Profit]]/Table3[[#This Row],[Sales]]</f>
        <v>0.45999999999999996</v>
      </c>
    </row>
    <row r="3227" spans="1:22" x14ac:dyDescent="0.2">
      <c r="A3227">
        <v>3226</v>
      </c>
      <c r="B3227" t="s">
        <v>8364</v>
      </c>
      <c r="C3227" s="1">
        <v>43092</v>
      </c>
      <c r="D3227" s="22">
        <f>MONTH(Table3[[#This Row],[Order Date]])</f>
        <v>12</v>
      </c>
      <c r="E3227" t="s">
        <v>7007</v>
      </c>
      <c r="F3227" t="s">
        <v>7008</v>
      </c>
      <c r="G3227" s="23" t="s">
        <v>41</v>
      </c>
      <c r="H3227" s="23" t="s">
        <v>155</v>
      </c>
      <c r="I3227" t="s">
        <v>7034</v>
      </c>
      <c r="J3227" t="s">
        <v>36</v>
      </c>
      <c r="K3227" s="22">
        <v>3</v>
      </c>
      <c r="L3227" s="1">
        <v>43097</v>
      </c>
      <c r="M3227" s="22">
        <f>Table3[[#This Row],[Ship Date]]-Table3[[#This Row],[Order Date]]</f>
        <v>5</v>
      </c>
      <c r="N3227" s="23" t="s">
        <v>20</v>
      </c>
      <c r="O3227" s="23" t="s">
        <v>23</v>
      </c>
      <c r="P3227" s="23" t="s">
        <v>1510</v>
      </c>
      <c r="Q3227" s="23" t="s">
        <v>26</v>
      </c>
      <c r="R3227" s="23" t="s">
        <v>4562</v>
      </c>
      <c r="S3227" s="33">
        <v>0</v>
      </c>
      <c r="T3227" s="13">
        <v>182.94</v>
      </c>
      <c r="U3227" s="13">
        <v>85.981800000000007</v>
      </c>
      <c r="V3227" s="55">
        <f>Table3[[#This Row],[Profit]]/Table3[[#This Row],[Sales]]</f>
        <v>0.47000000000000003</v>
      </c>
    </row>
    <row r="3228" spans="1:22" x14ac:dyDescent="0.2">
      <c r="A3228">
        <v>3227</v>
      </c>
      <c r="B3228" t="s">
        <v>8453</v>
      </c>
      <c r="C3228" s="1">
        <v>43092</v>
      </c>
      <c r="D3228" s="22">
        <f>MONTH(Table3[[#This Row],[Order Date]])</f>
        <v>12</v>
      </c>
      <c r="E3228" t="s">
        <v>594</v>
      </c>
      <c r="F3228" t="s">
        <v>595</v>
      </c>
      <c r="G3228" s="23" t="s">
        <v>41</v>
      </c>
      <c r="H3228" s="23" t="s">
        <v>68</v>
      </c>
      <c r="I3228" t="s">
        <v>623</v>
      </c>
      <c r="J3228" t="s">
        <v>36</v>
      </c>
      <c r="K3228" s="22">
        <v>4</v>
      </c>
      <c r="L3228" s="1">
        <v>43094</v>
      </c>
      <c r="M3228" s="22">
        <f>Table3[[#This Row],[Ship Date]]-Table3[[#This Row],[Order Date]]</f>
        <v>2</v>
      </c>
      <c r="N3228" s="23" t="s">
        <v>20</v>
      </c>
      <c r="O3228" s="23" t="s">
        <v>23</v>
      </c>
      <c r="P3228" s="23" t="s">
        <v>189</v>
      </c>
      <c r="Q3228" s="23" t="s">
        <v>95</v>
      </c>
      <c r="R3228" s="23" t="s">
        <v>2731</v>
      </c>
      <c r="S3228" s="33">
        <v>0.8</v>
      </c>
      <c r="T3228" s="13">
        <v>13.84</v>
      </c>
      <c r="U3228" s="13">
        <v>-22.143999999999998</v>
      </c>
      <c r="V3228" s="55">
        <f>Table3[[#This Row],[Profit]]/Table3[[#This Row],[Sales]]</f>
        <v>-1.5999999999999999</v>
      </c>
    </row>
    <row r="3229" spans="1:22" x14ac:dyDescent="0.2">
      <c r="A3229">
        <v>3228</v>
      </c>
      <c r="B3229" t="s">
        <v>8453</v>
      </c>
      <c r="C3229" s="1">
        <v>43092</v>
      </c>
      <c r="D3229" s="22">
        <f>MONTH(Table3[[#This Row],[Order Date]])</f>
        <v>12</v>
      </c>
      <c r="E3229" t="s">
        <v>3800</v>
      </c>
      <c r="F3229" t="s">
        <v>3801</v>
      </c>
      <c r="G3229" s="23" t="s">
        <v>41</v>
      </c>
      <c r="H3229" s="23" t="s">
        <v>82</v>
      </c>
      <c r="I3229" t="s">
        <v>623</v>
      </c>
      <c r="J3229" t="s">
        <v>36</v>
      </c>
      <c r="K3229" s="22">
        <v>4</v>
      </c>
      <c r="L3229" s="1">
        <v>43094</v>
      </c>
      <c r="M3229" s="22">
        <f>Table3[[#This Row],[Ship Date]]-Table3[[#This Row],[Order Date]]</f>
        <v>2</v>
      </c>
      <c r="N3229" s="23" t="s">
        <v>20</v>
      </c>
      <c r="O3229" s="23" t="s">
        <v>23</v>
      </c>
      <c r="P3229" s="23" t="s">
        <v>189</v>
      </c>
      <c r="Q3229" s="23" t="s">
        <v>95</v>
      </c>
      <c r="R3229" s="23" t="s">
        <v>2731</v>
      </c>
      <c r="S3229" s="33">
        <v>0.2</v>
      </c>
      <c r="T3229" s="13">
        <v>175.87200000000001</v>
      </c>
      <c r="U3229" s="13">
        <v>63.753599999999999</v>
      </c>
      <c r="V3229" s="55">
        <f>Table3[[#This Row],[Profit]]/Table3[[#This Row],[Sales]]</f>
        <v>0.36249999999999999</v>
      </c>
    </row>
    <row r="3230" spans="1:22" x14ac:dyDescent="0.2">
      <c r="A3230">
        <v>3229</v>
      </c>
      <c r="B3230" t="s">
        <v>9221</v>
      </c>
      <c r="C3230" s="1">
        <v>43092</v>
      </c>
      <c r="D3230" s="22">
        <f>MONTH(Table3[[#This Row],[Order Date]])</f>
        <v>12</v>
      </c>
      <c r="E3230" t="s">
        <v>3465</v>
      </c>
      <c r="F3230" t="s">
        <v>3466</v>
      </c>
      <c r="G3230" s="23" t="s">
        <v>28</v>
      </c>
      <c r="H3230" s="23" t="s">
        <v>58</v>
      </c>
      <c r="I3230" t="s">
        <v>5511</v>
      </c>
      <c r="J3230" t="s">
        <v>92</v>
      </c>
      <c r="K3230" s="22">
        <v>2</v>
      </c>
      <c r="L3230" s="1">
        <v>43099</v>
      </c>
      <c r="M3230" s="22">
        <f>Table3[[#This Row],[Ship Date]]-Table3[[#This Row],[Order Date]]</f>
        <v>7</v>
      </c>
      <c r="N3230" s="23" t="s">
        <v>45</v>
      </c>
      <c r="O3230" s="23" t="s">
        <v>23</v>
      </c>
      <c r="P3230" s="23" t="s">
        <v>660</v>
      </c>
      <c r="Q3230" s="23" t="s">
        <v>133</v>
      </c>
      <c r="R3230" s="23" t="s">
        <v>9222</v>
      </c>
      <c r="S3230" s="33">
        <v>0</v>
      </c>
      <c r="T3230" s="13">
        <v>27.46</v>
      </c>
      <c r="U3230" s="13">
        <v>9.8856000000000002</v>
      </c>
      <c r="V3230" s="55">
        <f>Table3[[#This Row],[Profit]]/Table3[[#This Row],[Sales]]</f>
        <v>0.36</v>
      </c>
    </row>
    <row r="3231" spans="1:22" x14ac:dyDescent="0.2">
      <c r="A3231">
        <v>3230</v>
      </c>
      <c r="B3231" t="s">
        <v>1259</v>
      </c>
      <c r="C3231" s="1">
        <v>43093</v>
      </c>
      <c r="D3231" s="22">
        <f>MONTH(Table3[[#This Row],[Order Date]])</f>
        <v>12</v>
      </c>
      <c r="E3231" t="s">
        <v>1261</v>
      </c>
      <c r="F3231" t="s">
        <v>1262</v>
      </c>
      <c r="G3231" s="23" t="s">
        <v>41</v>
      </c>
      <c r="H3231" s="23" t="s">
        <v>71</v>
      </c>
      <c r="I3231" t="s">
        <v>1260</v>
      </c>
      <c r="J3231" t="s">
        <v>22</v>
      </c>
      <c r="K3231" s="22">
        <v>3</v>
      </c>
      <c r="L3231" s="1">
        <v>43098</v>
      </c>
      <c r="M3231" s="22">
        <f>Table3[[#This Row],[Ship Date]]-Table3[[#This Row],[Order Date]]</f>
        <v>5</v>
      </c>
      <c r="N3231" s="23" t="s">
        <v>45</v>
      </c>
      <c r="O3231" s="23" t="s">
        <v>23</v>
      </c>
      <c r="P3231" s="23" t="s">
        <v>238</v>
      </c>
      <c r="Q3231" s="23" t="s">
        <v>133</v>
      </c>
      <c r="R3231" s="23" t="s">
        <v>237</v>
      </c>
      <c r="S3231" s="33">
        <v>0</v>
      </c>
      <c r="T3231" s="13">
        <v>35.909999999999997</v>
      </c>
      <c r="U3231" s="13">
        <v>9.6957000000000004</v>
      </c>
      <c r="V3231" s="55">
        <f>Table3[[#This Row],[Profit]]/Table3[[#This Row],[Sales]]</f>
        <v>0.27</v>
      </c>
    </row>
    <row r="3232" spans="1:22" x14ac:dyDescent="0.2">
      <c r="A3232">
        <v>3231</v>
      </c>
      <c r="B3232" t="s">
        <v>3553</v>
      </c>
      <c r="C3232" s="1">
        <v>43093</v>
      </c>
      <c r="D3232" s="22">
        <f>MONTH(Table3[[#This Row],[Order Date]])</f>
        <v>12</v>
      </c>
      <c r="E3232" t="s">
        <v>3403</v>
      </c>
      <c r="F3232" t="s">
        <v>3404</v>
      </c>
      <c r="G3232" s="23" t="s">
        <v>41</v>
      </c>
      <c r="H3232" s="23" t="s">
        <v>68</v>
      </c>
      <c r="I3232" t="s">
        <v>3554</v>
      </c>
      <c r="J3232" t="s">
        <v>22</v>
      </c>
      <c r="K3232" s="22">
        <v>3</v>
      </c>
      <c r="L3232" s="1">
        <v>43098</v>
      </c>
      <c r="M3232" s="22">
        <f>Table3[[#This Row],[Ship Date]]-Table3[[#This Row],[Order Date]]</f>
        <v>5</v>
      </c>
      <c r="N3232" s="23" t="s">
        <v>45</v>
      </c>
      <c r="O3232" s="23" t="s">
        <v>23</v>
      </c>
      <c r="P3232" s="23" t="s">
        <v>238</v>
      </c>
      <c r="Q3232" s="23" t="s">
        <v>133</v>
      </c>
      <c r="R3232" s="23" t="s">
        <v>237</v>
      </c>
      <c r="S3232" s="33">
        <v>0.2</v>
      </c>
      <c r="T3232" s="13">
        <v>17.88</v>
      </c>
      <c r="U3232" s="13">
        <v>5.5875000000000004</v>
      </c>
      <c r="V3232" s="55">
        <f>Table3[[#This Row],[Profit]]/Table3[[#This Row],[Sales]]</f>
        <v>0.31250000000000006</v>
      </c>
    </row>
    <row r="3233" spans="1:22" x14ac:dyDescent="0.2">
      <c r="A3233">
        <v>3232</v>
      </c>
      <c r="B3233" t="s">
        <v>4936</v>
      </c>
      <c r="C3233" s="1">
        <v>43093</v>
      </c>
      <c r="D3233" s="22">
        <f>MONTH(Table3[[#This Row],[Order Date]])</f>
        <v>12</v>
      </c>
      <c r="E3233" t="s">
        <v>2578</v>
      </c>
      <c r="F3233" t="s">
        <v>2579</v>
      </c>
      <c r="G3233" s="23" t="s">
        <v>41</v>
      </c>
      <c r="H3233" s="23" t="s">
        <v>53</v>
      </c>
      <c r="I3233" t="s">
        <v>872</v>
      </c>
      <c r="J3233" t="s">
        <v>22</v>
      </c>
      <c r="K3233" s="22">
        <v>6</v>
      </c>
      <c r="L3233" s="1">
        <v>43100</v>
      </c>
      <c r="M3233" s="22">
        <f>Table3[[#This Row],[Ship Date]]-Table3[[#This Row],[Order Date]]</f>
        <v>7</v>
      </c>
      <c r="N3233" s="23" t="s">
        <v>45</v>
      </c>
      <c r="O3233" s="23" t="s">
        <v>23</v>
      </c>
      <c r="P3233" s="23" t="s">
        <v>87</v>
      </c>
      <c r="Q3233" s="23" t="s">
        <v>39</v>
      </c>
      <c r="R3233" s="23" t="s">
        <v>86</v>
      </c>
      <c r="S3233" s="33">
        <v>0</v>
      </c>
      <c r="T3233" s="13">
        <v>1003.62</v>
      </c>
      <c r="U3233" s="13">
        <v>0</v>
      </c>
      <c r="V3233" s="55">
        <f>Table3[[#This Row],[Profit]]/Table3[[#This Row],[Sales]]</f>
        <v>0</v>
      </c>
    </row>
    <row r="3234" spans="1:22" x14ac:dyDescent="0.2">
      <c r="A3234">
        <v>3233</v>
      </c>
      <c r="B3234" t="s">
        <v>5833</v>
      </c>
      <c r="C3234" s="1">
        <v>43093</v>
      </c>
      <c r="D3234" s="22">
        <f>MONTH(Table3[[#This Row],[Order Date]])</f>
        <v>12</v>
      </c>
      <c r="E3234" t="s">
        <v>1029</v>
      </c>
      <c r="F3234" t="s">
        <v>1030</v>
      </c>
      <c r="G3234" s="23" t="s">
        <v>28</v>
      </c>
      <c r="H3234" s="23" t="s">
        <v>32</v>
      </c>
      <c r="I3234" t="s">
        <v>5155</v>
      </c>
      <c r="J3234" t="s">
        <v>22</v>
      </c>
      <c r="K3234" s="22">
        <v>2</v>
      </c>
      <c r="L3234" s="1">
        <v>43097</v>
      </c>
      <c r="M3234" s="22">
        <f>Table3[[#This Row],[Ship Date]]-Table3[[#This Row],[Order Date]]</f>
        <v>4</v>
      </c>
      <c r="N3234" s="23" t="s">
        <v>45</v>
      </c>
      <c r="O3234" s="23" t="s">
        <v>23</v>
      </c>
      <c r="P3234" s="23" t="s">
        <v>238</v>
      </c>
      <c r="Q3234" s="23" t="s">
        <v>133</v>
      </c>
      <c r="R3234" s="23" t="s">
        <v>2061</v>
      </c>
      <c r="S3234" s="33">
        <v>0.1</v>
      </c>
      <c r="T3234" s="13">
        <v>271.76400000000001</v>
      </c>
      <c r="U3234" s="13">
        <v>48.313600000000001</v>
      </c>
      <c r="V3234" s="55">
        <f>Table3[[#This Row],[Profit]]/Table3[[#This Row],[Sales]]</f>
        <v>0.17777777777777778</v>
      </c>
    </row>
    <row r="3235" spans="1:22" x14ac:dyDescent="0.2">
      <c r="A3235">
        <v>3234</v>
      </c>
      <c r="B3235" t="s">
        <v>5833</v>
      </c>
      <c r="C3235" s="1">
        <v>43093</v>
      </c>
      <c r="D3235" s="22">
        <f>MONTH(Table3[[#This Row],[Order Date]])</f>
        <v>12</v>
      </c>
      <c r="E3235" t="s">
        <v>3951</v>
      </c>
      <c r="F3235" t="s">
        <v>3952</v>
      </c>
      <c r="G3235" s="23" t="s">
        <v>41</v>
      </c>
      <c r="H3235" s="23" t="s">
        <v>68</v>
      </c>
      <c r="I3235" t="s">
        <v>5155</v>
      </c>
      <c r="J3235" t="s">
        <v>22</v>
      </c>
      <c r="K3235" s="22">
        <v>3</v>
      </c>
      <c r="L3235" s="1">
        <v>43097</v>
      </c>
      <c r="M3235" s="22">
        <f>Table3[[#This Row],[Ship Date]]-Table3[[#This Row],[Order Date]]</f>
        <v>4</v>
      </c>
      <c r="N3235" s="23" t="s">
        <v>45</v>
      </c>
      <c r="O3235" s="23" t="s">
        <v>23</v>
      </c>
      <c r="P3235" s="23" t="s">
        <v>238</v>
      </c>
      <c r="Q3235" s="23" t="s">
        <v>133</v>
      </c>
      <c r="R3235" s="23" t="s">
        <v>2061</v>
      </c>
      <c r="S3235" s="33">
        <v>0.2</v>
      </c>
      <c r="T3235" s="13">
        <v>14.375999999999999</v>
      </c>
      <c r="U3235" s="13">
        <v>4.8518999999999997</v>
      </c>
      <c r="V3235" s="55">
        <f>Table3[[#This Row],[Profit]]/Table3[[#This Row],[Sales]]</f>
        <v>0.33749999999999997</v>
      </c>
    </row>
    <row r="3236" spans="1:22" x14ac:dyDescent="0.2">
      <c r="A3236">
        <v>3235</v>
      </c>
      <c r="B3236" t="s">
        <v>6152</v>
      </c>
      <c r="C3236" s="1">
        <v>43093</v>
      </c>
      <c r="D3236" s="22">
        <f>MONTH(Table3[[#This Row],[Order Date]])</f>
        <v>12</v>
      </c>
      <c r="E3236" t="s">
        <v>2651</v>
      </c>
      <c r="F3236" t="s">
        <v>2652</v>
      </c>
      <c r="G3236" s="23" t="s">
        <v>28</v>
      </c>
      <c r="H3236" s="23" t="s">
        <v>58</v>
      </c>
      <c r="I3236" t="s">
        <v>4258</v>
      </c>
      <c r="J3236" t="s">
        <v>36</v>
      </c>
      <c r="K3236" s="22">
        <v>1</v>
      </c>
      <c r="L3236" s="1">
        <v>43098</v>
      </c>
      <c r="M3236" s="22">
        <f>Table3[[#This Row],[Ship Date]]-Table3[[#This Row],[Order Date]]</f>
        <v>5</v>
      </c>
      <c r="N3236" s="23" t="s">
        <v>45</v>
      </c>
      <c r="O3236" s="23" t="s">
        <v>23</v>
      </c>
      <c r="P3236" s="23" t="s">
        <v>238</v>
      </c>
      <c r="Q3236" s="23" t="s">
        <v>133</v>
      </c>
      <c r="R3236" s="23" t="s">
        <v>347</v>
      </c>
      <c r="S3236" s="33">
        <v>0</v>
      </c>
      <c r="T3236" s="13">
        <v>37.93</v>
      </c>
      <c r="U3236" s="13">
        <v>6.8273999999999999</v>
      </c>
      <c r="V3236" s="55">
        <f>Table3[[#This Row],[Profit]]/Table3[[#This Row],[Sales]]</f>
        <v>0.18</v>
      </c>
    </row>
    <row r="3237" spans="1:22" x14ac:dyDescent="0.2">
      <c r="A3237">
        <v>3236</v>
      </c>
      <c r="B3237" t="s">
        <v>6438</v>
      </c>
      <c r="C3237" s="1">
        <v>43093</v>
      </c>
      <c r="D3237" s="22">
        <f>MONTH(Table3[[#This Row],[Order Date]])</f>
        <v>12</v>
      </c>
      <c r="E3237" t="s">
        <v>3310</v>
      </c>
      <c r="F3237" t="s">
        <v>3311</v>
      </c>
      <c r="G3237" s="23" t="s">
        <v>64</v>
      </c>
      <c r="H3237" s="23" t="s">
        <v>602</v>
      </c>
      <c r="I3237" t="s">
        <v>2870</v>
      </c>
      <c r="J3237" t="s">
        <v>22</v>
      </c>
      <c r="K3237" s="22">
        <v>3</v>
      </c>
      <c r="L3237" s="1">
        <v>43097</v>
      </c>
      <c r="M3237" s="22">
        <f>Table3[[#This Row],[Ship Date]]-Table3[[#This Row],[Order Date]]</f>
        <v>4</v>
      </c>
      <c r="N3237" s="23" t="s">
        <v>45</v>
      </c>
      <c r="O3237" s="23" t="s">
        <v>23</v>
      </c>
      <c r="P3237" s="23" t="s">
        <v>650</v>
      </c>
      <c r="Q3237" s="23" t="s">
        <v>26</v>
      </c>
      <c r="R3237" s="23" t="s">
        <v>3766</v>
      </c>
      <c r="S3237" s="33">
        <v>0</v>
      </c>
      <c r="T3237" s="13">
        <v>479.97</v>
      </c>
      <c r="U3237" s="13">
        <v>239.98500000000001</v>
      </c>
      <c r="V3237" s="55">
        <f>Table3[[#This Row],[Profit]]/Table3[[#This Row],[Sales]]</f>
        <v>0.5</v>
      </c>
    </row>
    <row r="3238" spans="1:22" x14ac:dyDescent="0.2">
      <c r="A3238">
        <v>3237</v>
      </c>
      <c r="B3238" t="s">
        <v>6438</v>
      </c>
      <c r="C3238" s="1">
        <v>43093</v>
      </c>
      <c r="D3238" s="22">
        <f>MONTH(Table3[[#This Row],[Order Date]])</f>
        <v>12</v>
      </c>
      <c r="E3238" t="s">
        <v>4882</v>
      </c>
      <c r="F3238" t="s">
        <v>4883</v>
      </c>
      <c r="G3238" s="23" t="s">
        <v>28</v>
      </c>
      <c r="H3238" s="23" t="s">
        <v>32</v>
      </c>
      <c r="I3238" t="s">
        <v>2870</v>
      </c>
      <c r="J3238" t="s">
        <v>22</v>
      </c>
      <c r="K3238" s="22">
        <v>4</v>
      </c>
      <c r="L3238" s="1">
        <v>43097</v>
      </c>
      <c r="M3238" s="22">
        <f>Table3[[#This Row],[Ship Date]]-Table3[[#This Row],[Order Date]]</f>
        <v>4</v>
      </c>
      <c r="N3238" s="23" t="s">
        <v>45</v>
      </c>
      <c r="O3238" s="23" t="s">
        <v>23</v>
      </c>
      <c r="P3238" s="23" t="s">
        <v>650</v>
      </c>
      <c r="Q3238" s="23" t="s">
        <v>26</v>
      </c>
      <c r="R3238" s="23" t="s">
        <v>3766</v>
      </c>
      <c r="S3238" s="33">
        <v>0</v>
      </c>
      <c r="T3238" s="13">
        <v>232.88</v>
      </c>
      <c r="U3238" s="13">
        <v>60.5488</v>
      </c>
      <c r="V3238" s="55">
        <f>Table3[[#This Row],[Profit]]/Table3[[#This Row],[Sales]]</f>
        <v>0.26</v>
      </c>
    </row>
    <row r="3239" spans="1:22" x14ac:dyDescent="0.2">
      <c r="A3239">
        <v>3238</v>
      </c>
      <c r="B3239" t="s">
        <v>6906</v>
      </c>
      <c r="C3239" s="1">
        <v>43093</v>
      </c>
      <c r="D3239" s="22">
        <f>MONTH(Table3[[#This Row],[Order Date]])</f>
        <v>12</v>
      </c>
      <c r="E3239" t="s">
        <v>1074</v>
      </c>
      <c r="F3239" t="s">
        <v>1076</v>
      </c>
      <c r="G3239" s="23" t="s">
        <v>64</v>
      </c>
      <c r="H3239" s="23" t="s">
        <v>1075</v>
      </c>
      <c r="I3239" t="s">
        <v>648</v>
      </c>
      <c r="J3239" t="s">
        <v>92</v>
      </c>
      <c r="K3239" s="22">
        <v>6</v>
      </c>
      <c r="L3239" s="1">
        <v>43094</v>
      </c>
      <c r="M3239" s="22">
        <f>Table3[[#This Row],[Ship Date]]-Table3[[#This Row],[Order Date]]</f>
        <v>1</v>
      </c>
      <c r="N3239" s="23" t="s">
        <v>169</v>
      </c>
      <c r="O3239" s="23" t="s">
        <v>23</v>
      </c>
      <c r="P3239" s="23" t="s">
        <v>38</v>
      </c>
      <c r="Q3239" s="23" t="s">
        <v>39</v>
      </c>
      <c r="R3239" s="23" t="s">
        <v>37</v>
      </c>
      <c r="S3239" s="33">
        <v>0.2</v>
      </c>
      <c r="T3239" s="13">
        <v>2879.9520000000002</v>
      </c>
      <c r="U3239" s="13">
        <v>1007.9832</v>
      </c>
      <c r="V3239" s="55">
        <f>Table3[[#This Row],[Profit]]/Table3[[#This Row],[Sales]]</f>
        <v>0.35</v>
      </c>
    </row>
    <row r="3240" spans="1:22" x14ac:dyDescent="0.2">
      <c r="A3240">
        <v>3239</v>
      </c>
      <c r="B3240" t="s">
        <v>6906</v>
      </c>
      <c r="C3240" s="1">
        <v>43093</v>
      </c>
      <c r="D3240" s="22">
        <f>MONTH(Table3[[#This Row],[Order Date]])</f>
        <v>12</v>
      </c>
      <c r="E3240" t="s">
        <v>1524</v>
      </c>
      <c r="F3240" t="s">
        <v>1525</v>
      </c>
      <c r="G3240" s="23" t="s">
        <v>41</v>
      </c>
      <c r="H3240" s="23" t="s">
        <v>68</v>
      </c>
      <c r="I3240" t="s">
        <v>648</v>
      </c>
      <c r="J3240" t="s">
        <v>92</v>
      </c>
      <c r="K3240" s="22">
        <v>3</v>
      </c>
      <c r="L3240" s="1">
        <v>43094</v>
      </c>
      <c r="M3240" s="22">
        <f>Table3[[#This Row],[Ship Date]]-Table3[[#This Row],[Order Date]]</f>
        <v>1</v>
      </c>
      <c r="N3240" s="23" t="s">
        <v>169</v>
      </c>
      <c r="O3240" s="23" t="s">
        <v>23</v>
      </c>
      <c r="P3240" s="23" t="s">
        <v>38</v>
      </c>
      <c r="Q3240" s="23" t="s">
        <v>39</v>
      </c>
      <c r="R3240" s="23" t="s">
        <v>37</v>
      </c>
      <c r="S3240" s="33">
        <v>0.2</v>
      </c>
      <c r="T3240" s="13">
        <v>90.48</v>
      </c>
      <c r="U3240" s="13">
        <v>33.93</v>
      </c>
      <c r="V3240" s="55">
        <f>Table3[[#This Row],[Profit]]/Table3[[#This Row],[Sales]]</f>
        <v>0.375</v>
      </c>
    </row>
    <row r="3241" spans="1:22" x14ac:dyDescent="0.2">
      <c r="A3241">
        <v>3240</v>
      </c>
      <c r="B3241" t="s">
        <v>7272</v>
      </c>
      <c r="C3241" s="1">
        <v>43093</v>
      </c>
      <c r="D3241" s="22">
        <f>MONTH(Table3[[#This Row],[Order Date]])</f>
        <v>12</v>
      </c>
      <c r="E3241" t="s">
        <v>6115</v>
      </c>
      <c r="F3241" t="s">
        <v>6116</v>
      </c>
      <c r="G3241" s="23" t="s">
        <v>28</v>
      </c>
      <c r="H3241" s="23" t="s">
        <v>58</v>
      </c>
      <c r="I3241" t="s">
        <v>2291</v>
      </c>
      <c r="J3241" t="s">
        <v>92</v>
      </c>
      <c r="K3241" s="22">
        <v>4</v>
      </c>
      <c r="L3241" s="1">
        <v>43100</v>
      </c>
      <c r="M3241" s="22">
        <f>Table3[[#This Row],[Ship Date]]-Table3[[#This Row],[Order Date]]</f>
        <v>7</v>
      </c>
      <c r="N3241" s="23" t="s">
        <v>45</v>
      </c>
      <c r="O3241" s="23" t="s">
        <v>23</v>
      </c>
      <c r="P3241" s="23" t="s">
        <v>277</v>
      </c>
      <c r="Q3241" s="23" t="s">
        <v>39</v>
      </c>
      <c r="R3241" s="23" t="s">
        <v>7273</v>
      </c>
      <c r="S3241" s="33">
        <v>0.2</v>
      </c>
      <c r="T3241" s="13">
        <v>8.5440000000000005</v>
      </c>
      <c r="U3241" s="13">
        <v>1.9224000000000001</v>
      </c>
      <c r="V3241" s="55">
        <f>Table3[[#This Row],[Profit]]/Table3[[#This Row],[Sales]]</f>
        <v>0.22500000000000001</v>
      </c>
    </row>
    <row r="3242" spans="1:22" x14ac:dyDescent="0.2">
      <c r="A3242">
        <v>3241</v>
      </c>
      <c r="B3242" t="s">
        <v>7272</v>
      </c>
      <c r="C3242" s="1">
        <v>43093</v>
      </c>
      <c r="D3242" s="22">
        <f>MONTH(Table3[[#This Row],[Order Date]])</f>
        <v>12</v>
      </c>
      <c r="E3242" t="s">
        <v>2249</v>
      </c>
      <c r="F3242" t="s">
        <v>2250</v>
      </c>
      <c r="G3242" s="23" t="s">
        <v>28</v>
      </c>
      <c r="H3242" s="23" t="s">
        <v>32</v>
      </c>
      <c r="I3242" t="s">
        <v>2291</v>
      </c>
      <c r="J3242" t="s">
        <v>92</v>
      </c>
      <c r="K3242" s="22">
        <v>3</v>
      </c>
      <c r="L3242" s="1">
        <v>43100</v>
      </c>
      <c r="M3242" s="22">
        <f>Table3[[#This Row],[Ship Date]]-Table3[[#This Row],[Order Date]]</f>
        <v>7</v>
      </c>
      <c r="N3242" s="23" t="s">
        <v>45</v>
      </c>
      <c r="O3242" s="23" t="s">
        <v>23</v>
      </c>
      <c r="P3242" s="23" t="s">
        <v>277</v>
      </c>
      <c r="Q3242" s="23" t="s">
        <v>39</v>
      </c>
      <c r="R3242" s="23" t="s">
        <v>7273</v>
      </c>
      <c r="S3242" s="33">
        <v>0.2</v>
      </c>
      <c r="T3242" s="13">
        <v>842.37599999999998</v>
      </c>
      <c r="U3242" s="13">
        <v>105.297</v>
      </c>
      <c r="V3242" s="55">
        <f>Table3[[#This Row],[Profit]]/Table3[[#This Row],[Sales]]</f>
        <v>0.125</v>
      </c>
    </row>
    <row r="3243" spans="1:22" x14ac:dyDescent="0.2">
      <c r="A3243">
        <v>3242</v>
      </c>
      <c r="B3243" t="s">
        <v>8781</v>
      </c>
      <c r="C3243" s="1">
        <v>43093</v>
      </c>
      <c r="D3243" s="22">
        <f>MONTH(Table3[[#This Row],[Order Date]])</f>
        <v>12</v>
      </c>
      <c r="E3243" t="s">
        <v>1866</v>
      </c>
      <c r="F3243" t="s">
        <v>1867</v>
      </c>
      <c r="G3243" s="23" t="s">
        <v>41</v>
      </c>
      <c r="H3243" s="23" t="s">
        <v>53</v>
      </c>
      <c r="I3243" t="s">
        <v>3821</v>
      </c>
      <c r="J3243" t="s">
        <v>22</v>
      </c>
      <c r="K3243" s="22">
        <v>2</v>
      </c>
      <c r="L3243" s="1">
        <v>43096</v>
      </c>
      <c r="M3243" s="22">
        <f>Table3[[#This Row],[Ship Date]]-Table3[[#This Row],[Order Date]]</f>
        <v>3</v>
      </c>
      <c r="N3243" s="23" t="s">
        <v>169</v>
      </c>
      <c r="O3243" s="23" t="s">
        <v>23</v>
      </c>
      <c r="P3243" s="23" t="s">
        <v>94</v>
      </c>
      <c r="Q3243" s="23" t="s">
        <v>95</v>
      </c>
      <c r="R3243" s="23" t="s">
        <v>718</v>
      </c>
      <c r="S3243" s="33">
        <v>0.2</v>
      </c>
      <c r="T3243" s="13">
        <v>264.32</v>
      </c>
      <c r="U3243" s="13">
        <v>19.824000000000002</v>
      </c>
      <c r="V3243" s="55">
        <f>Table3[[#This Row],[Profit]]/Table3[[#This Row],[Sales]]</f>
        <v>7.5000000000000011E-2</v>
      </c>
    </row>
    <row r="3244" spans="1:22" x14ac:dyDescent="0.2">
      <c r="A3244">
        <v>3243</v>
      </c>
      <c r="B3244" t="s">
        <v>9493</v>
      </c>
      <c r="C3244" s="1">
        <v>43093</v>
      </c>
      <c r="D3244" s="22">
        <f>MONTH(Table3[[#This Row],[Order Date]])</f>
        <v>12</v>
      </c>
      <c r="E3244" t="s">
        <v>790</v>
      </c>
      <c r="F3244" t="s">
        <v>791</v>
      </c>
      <c r="G3244" s="23" t="s">
        <v>41</v>
      </c>
      <c r="H3244" s="23" t="s">
        <v>68</v>
      </c>
      <c r="I3244" t="s">
        <v>2324</v>
      </c>
      <c r="J3244" t="s">
        <v>36</v>
      </c>
      <c r="K3244" s="22">
        <v>3</v>
      </c>
      <c r="L3244" s="1">
        <v>43099</v>
      </c>
      <c r="M3244" s="22">
        <f>Table3[[#This Row],[Ship Date]]-Table3[[#This Row],[Order Date]]</f>
        <v>6</v>
      </c>
      <c r="N3244" s="23" t="s">
        <v>45</v>
      </c>
      <c r="O3244" s="23" t="s">
        <v>23</v>
      </c>
      <c r="P3244" s="23" t="s">
        <v>5585</v>
      </c>
      <c r="Q3244" s="23" t="s">
        <v>39</v>
      </c>
      <c r="R3244" s="23" t="s">
        <v>5584</v>
      </c>
      <c r="S3244" s="33">
        <v>0.2</v>
      </c>
      <c r="T3244" s="13">
        <v>21.312000000000001</v>
      </c>
      <c r="U3244" s="13">
        <v>7.992</v>
      </c>
      <c r="V3244" s="55">
        <f>Table3[[#This Row],[Profit]]/Table3[[#This Row],[Sales]]</f>
        <v>0.375</v>
      </c>
    </row>
    <row r="3245" spans="1:22" x14ac:dyDescent="0.2">
      <c r="A3245">
        <v>3244</v>
      </c>
      <c r="B3245" t="s">
        <v>9551</v>
      </c>
      <c r="C3245" s="1">
        <v>43093</v>
      </c>
      <c r="D3245" s="22">
        <f>MONTH(Table3[[#This Row],[Order Date]])</f>
        <v>12</v>
      </c>
      <c r="E3245" t="s">
        <v>4236</v>
      </c>
      <c r="F3245" t="s">
        <v>4237</v>
      </c>
      <c r="G3245" s="23" t="s">
        <v>41</v>
      </c>
      <c r="H3245" s="23" t="s">
        <v>82</v>
      </c>
      <c r="I3245" t="s">
        <v>6075</v>
      </c>
      <c r="J3245" t="s">
        <v>36</v>
      </c>
      <c r="K3245" s="22">
        <v>3</v>
      </c>
      <c r="L3245" s="1">
        <v>43097</v>
      </c>
      <c r="M3245" s="22">
        <f>Table3[[#This Row],[Ship Date]]-Table3[[#This Row],[Order Date]]</f>
        <v>4</v>
      </c>
      <c r="N3245" s="23" t="s">
        <v>45</v>
      </c>
      <c r="O3245" s="23" t="s">
        <v>23</v>
      </c>
      <c r="P3245" s="23" t="s">
        <v>1101</v>
      </c>
      <c r="Q3245" s="23" t="s">
        <v>133</v>
      </c>
      <c r="R3245" s="23" t="s">
        <v>3460</v>
      </c>
      <c r="S3245" s="33">
        <v>0</v>
      </c>
      <c r="T3245" s="13">
        <v>19.440000000000001</v>
      </c>
      <c r="U3245" s="13">
        <v>9.3312000000000008</v>
      </c>
      <c r="V3245" s="55">
        <f>Table3[[#This Row],[Profit]]/Table3[[#This Row],[Sales]]</f>
        <v>0.48000000000000004</v>
      </c>
    </row>
    <row r="3246" spans="1:22" x14ac:dyDescent="0.2">
      <c r="A3246">
        <v>3245</v>
      </c>
      <c r="B3246" t="s">
        <v>9551</v>
      </c>
      <c r="C3246" s="1">
        <v>43093</v>
      </c>
      <c r="D3246" s="22">
        <f>MONTH(Table3[[#This Row],[Order Date]])</f>
        <v>12</v>
      </c>
      <c r="E3246" t="s">
        <v>7025</v>
      </c>
      <c r="F3246" t="s">
        <v>7026</v>
      </c>
      <c r="G3246" s="23" t="s">
        <v>41</v>
      </c>
      <c r="H3246" s="23" t="s">
        <v>68</v>
      </c>
      <c r="I3246" t="s">
        <v>6075</v>
      </c>
      <c r="J3246" t="s">
        <v>36</v>
      </c>
      <c r="K3246" s="22">
        <v>5</v>
      </c>
      <c r="L3246" s="1">
        <v>43097</v>
      </c>
      <c r="M3246" s="22">
        <f>Table3[[#This Row],[Ship Date]]-Table3[[#This Row],[Order Date]]</f>
        <v>4</v>
      </c>
      <c r="N3246" s="23" t="s">
        <v>45</v>
      </c>
      <c r="O3246" s="23" t="s">
        <v>23</v>
      </c>
      <c r="P3246" s="23" t="s">
        <v>1101</v>
      </c>
      <c r="Q3246" s="23" t="s">
        <v>133</v>
      </c>
      <c r="R3246" s="23" t="s">
        <v>3460</v>
      </c>
      <c r="S3246" s="33">
        <v>0</v>
      </c>
      <c r="T3246" s="13">
        <v>12.3</v>
      </c>
      <c r="U3246" s="13">
        <v>6.15</v>
      </c>
      <c r="V3246" s="55">
        <f>Table3[[#This Row],[Profit]]/Table3[[#This Row],[Sales]]</f>
        <v>0.5</v>
      </c>
    </row>
    <row r="3247" spans="1:22" x14ac:dyDescent="0.2">
      <c r="A3247">
        <v>3246</v>
      </c>
      <c r="B3247" t="s">
        <v>426</v>
      </c>
      <c r="C3247" s="1">
        <v>43094</v>
      </c>
      <c r="D3247" s="22">
        <f>MONTH(Table3[[#This Row],[Order Date]])</f>
        <v>12</v>
      </c>
      <c r="E3247" t="s">
        <v>428</v>
      </c>
      <c r="F3247" t="s">
        <v>429</v>
      </c>
      <c r="G3247" s="23" t="s">
        <v>28</v>
      </c>
      <c r="H3247" s="23" t="s">
        <v>58</v>
      </c>
      <c r="I3247" t="s">
        <v>427</v>
      </c>
      <c r="J3247" t="s">
        <v>36</v>
      </c>
      <c r="K3247" s="22">
        <v>2</v>
      </c>
      <c r="L3247" s="1">
        <v>43099</v>
      </c>
      <c r="M3247" s="22">
        <f>Table3[[#This Row],[Ship Date]]-Table3[[#This Row],[Order Date]]</f>
        <v>5</v>
      </c>
      <c r="N3247" s="23" t="s">
        <v>45</v>
      </c>
      <c r="O3247" s="23" t="s">
        <v>23</v>
      </c>
      <c r="P3247" s="23" t="s">
        <v>238</v>
      </c>
      <c r="Q3247" s="23" t="s">
        <v>133</v>
      </c>
      <c r="R3247" s="23" t="s">
        <v>237</v>
      </c>
      <c r="S3247" s="33">
        <v>0</v>
      </c>
      <c r="T3247" s="13">
        <v>41.96</v>
      </c>
      <c r="U3247" s="13">
        <v>10.909599999999999</v>
      </c>
      <c r="V3247" s="55">
        <f>Table3[[#This Row],[Profit]]/Table3[[#This Row],[Sales]]</f>
        <v>0.25999999999999995</v>
      </c>
    </row>
    <row r="3248" spans="1:22" x14ac:dyDescent="0.2">
      <c r="A3248">
        <v>3247</v>
      </c>
      <c r="B3248" t="s">
        <v>1964</v>
      </c>
      <c r="C3248" s="1">
        <v>43094</v>
      </c>
      <c r="D3248" s="22">
        <f>MONTH(Table3[[#This Row],[Order Date]])</f>
        <v>12</v>
      </c>
      <c r="E3248" t="s">
        <v>1966</v>
      </c>
      <c r="F3248" t="s">
        <v>1967</v>
      </c>
      <c r="G3248" s="23" t="s">
        <v>28</v>
      </c>
      <c r="H3248" s="23" t="s">
        <v>29</v>
      </c>
      <c r="I3248" t="s">
        <v>1965</v>
      </c>
      <c r="J3248" t="s">
        <v>22</v>
      </c>
      <c r="K3248" s="22">
        <v>2</v>
      </c>
      <c r="L3248" s="1">
        <v>43098</v>
      </c>
      <c r="M3248" s="22">
        <f>Table3[[#This Row],[Ship Date]]-Table3[[#This Row],[Order Date]]</f>
        <v>4</v>
      </c>
      <c r="N3248" s="23" t="s">
        <v>45</v>
      </c>
      <c r="O3248" s="23" t="s">
        <v>23</v>
      </c>
      <c r="P3248" s="23" t="s">
        <v>238</v>
      </c>
      <c r="Q3248" s="23" t="s">
        <v>133</v>
      </c>
      <c r="R3248" s="23" t="s">
        <v>237</v>
      </c>
      <c r="S3248" s="33">
        <v>0.2</v>
      </c>
      <c r="T3248" s="13">
        <v>191.98400000000001</v>
      </c>
      <c r="U3248" s="13">
        <v>4.7995999999999999</v>
      </c>
      <c r="V3248" s="55">
        <f>Table3[[#This Row],[Profit]]/Table3[[#This Row],[Sales]]</f>
        <v>2.4999999999999998E-2</v>
      </c>
    </row>
    <row r="3249" spans="1:22" x14ac:dyDescent="0.2">
      <c r="A3249">
        <v>3248</v>
      </c>
      <c r="B3249" t="s">
        <v>4323</v>
      </c>
      <c r="C3249" s="1">
        <v>43094</v>
      </c>
      <c r="D3249" s="22">
        <f>MONTH(Table3[[#This Row],[Order Date]])</f>
        <v>12</v>
      </c>
      <c r="E3249" t="s">
        <v>3126</v>
      </c>
      <c r="F3249" t="s">
        <v>3127</v>
      </c>
      <c r="G3249" s="23" t="s">
        <v>41</v>
      </c>
      <c r="H3249" s="23" t="s">
        <v>53</v>
      </c>
      <c r="I3249" t="s">
        <v>3937</v>
      </c>
      <c r="J3249" t="s">
        <v>22</v>
      </c>
      <c r="K3249" s="22">
        <v>3</v>
      </c>
      <c r="L3249" s="1">
        <v>43097</v>
      </c>
      <c r="M3249" s="22">
        <f>Table3[[#This Row],[Ship Date]]-Table3[[#This Row],[Order Date]]</f>
        <v>3</v>
      </c>
      <c r="N3249" s="23" t="s">
        <v>20</v>
      </c>
      <c r="O3249" s="23" t="s">
        <v>23</v>
      </c>
      <c r="P3249" s="23" t="s">
        <v>25</v>
      </c>
      <c r="Q3249" s="23" t="s">
        <v>26</v>
      </c>
      <c r="R3249" s="23" t="s">
        <v>1303</v>
      </c>
      <c r="S3249" s="33">
        <v>0</v>
      </c>
      <c r="T3249" s="13">
        <v>95.94</v>
      </c>
      <c r="U3249" s="13">
        <v>9.5939999999999994</v>
      </c>
      <c r="V3249" s="55">
        <f>Table3[[#This Row],[Profit]]/Table3[[#This Row],[Sales]]</f>
        <v>9.9999999999999992E-2</v>
      </c>
    </row>
    <row r="3250" spans="1:22" x14ac:dyDescent="0.2">
      <c r="A3250">
        <v>3249</v>
      </c>
      <c r="B3250" t="s">
        <v>4323</v>
      </c>
      <c r="C3250" s="1">
        <v>43094</v>
      </c>
      <c r="D3250" s="22">
        <f>MONTH(Table3[[#This Row],[Order Date]])</f>
        <v>12</v>
      </c>
      <c r="E3250" t="s">
        <v>272</v>
      </c>
      <c r="F3250" t="s">
        <v>273</v>
      </c>
      <c r="G3250" s="23" t="s">
        <v>28</v>
      </c>
      <c r="H3250" s="23" t="s">
        <v>32</v>
      </c>
      <c r="I3250" t="s">
        <v>3937</v>
      </c>
      <c r="J3250" t="s">
        <v>22</v>
      </c>
      <c r="K3250" s="22">
        <v>5</v>
      </c>
      <c r="L3250" s="1">
        <v>43097</v>
      </c>
      <c r="M3250" s="22">
        <f>Table3[[#This Row],[Ship Date]]-Table3[[#This Row],[Order Date]]</f>
        <v>3</v>
      </c>
      <c r="N3250" s="23" t="s">
        <v>20</v>
      </c>
      <c r="O3250" s="23" t="s">
        <v>23</v>
      </c>
      <c r="P3250" s="23" t="s">
        <v>25</v>
      </c>
      <c r="Q3250" s="23" t="s">
        <v>26</v>
      </c>
      <c r="R3250" s="23" t="s">
        <v>1303</v>
      </c>
      <c r="S3250" s="33">
        <v>0</v>
      </c>
      <c r="T3250" s="13">
        <v>304.45</v>
      </c>
      <c r="U3250" s="13">
        <v>76.112499999999997</v>
      </c>
      <c r="V3250" s="55">
        <f>Table3[[#This Row],[Profit]]/Table3[[#This Row],[Sales]]</f>
        <v>0.25</v>
      </c>
    </row>
    <row r="3251" spans="1:22" x14ac:dyDescent="0.2">
      <c r="A3251">
        <v>3250</v>
      </c>
      <c r="B3251" t="s">
        <v>4870</v>
      </c>
      <c r="C3251" s="1">
        <v>43094</v>
      </c>
      <c r="D3251" s="22">
        <f>MONTH(Table3[[#This Row],[Order Date]])</f>
        <v>12</v>
      </c>
      <c r="E3251" t="s">
        <v>2479</v>
      </c>
      <c r="F3251" t="s">
        <v>2480</v>
      </c>
      <c r="G3251" s="23" t="s">
        <v>64</v>
      </c>
      <c r="H3251" s="23" t="s">
        <v>144</v>
      </c>
      <c r="I3251" t="s">
        <v>4719</v>
      </c>
      <c r="J3251" t="s">
        <v>22</v>
      </c>
      <c r="K3251" s="22">
        <v>7</v>
      </c>
      <c r="L3251" s="1">
        <v>43099</v>
      </c>
      <c r="M3251" s="22">
        <f>Table3[[#This Row],[Ship Date]]-Table3[[#This Row],[Order Date]]</f>
        <v>5</v>
      </c>
      <c r="N3251" s="23" t="s">
        <v>45</v>
      </c>
      <c r="O3251" s="23" t="s">
        <v>23</v>
      </c>
      <c r="P3251" s="23" t="s">
        <v>441</v>
      </c>
      <c r="Q3251" s="23" t="s">
        <v>133</v>
      </c>
      <c r="R3251" s="23" t="s">
        <v>659</v>
      </c>
      <c r="S3251" s="33">
        <v>0.2</v>
      </c>
      <c r="T3251" s="13">
        <v>158.928</v>
      </c>
      <c r="U3251" s="13">
        <v>41.718600000000002</v>
      </c>
      <c r="V3251" s="55">
        <f>Table3[[#This Row],[Profit]]/Table3[[#This Row],[Sales]]</f>
        <v>0.26250000000000001</v>
      </c>
    </row>
    <row r="3252" spans="1:22" x14ac:dyDescent="0.2">
      <c r="A3252">
        <v>3251</v>
      </c>
      <c r="B3252" t="s">
        <v>4870</v>
      </c>
      <c r="C3252" s="1">
        <v>43094</v>
      </c>
      <c r="D3252" s="22">
        <f>MONTH(Table3[[#This Row],[Order Date]])</f>
        <v>12</v>
      </c>
      <c r="E3252" t="s">
        <v>4770</v>
      </c>
      <c r="F3252" t="s">
        <v>4771</v>
      </c>
      <c r="G3252" s="23" t="s">
        <v>41</v>
      </c>
      <c r="H3252" s="23" t="s">
        <v>68</v>
      </c>
      <c r="I3252" t="s">
        <v>4719</v>
      </c>
      <c r="J3252" t="s">
        <v>22</v>
      </c>
      <c r="K3252" s="22">
        <v>1</v>
      </c>
      <c r="L3252" s="1">
        <v>43099</v>
      </c>
      <c r="M3252" s="22">
        <f>Table3[[#This Row],[Ship Date]]-Table3[[#This Row],[Order Date]]</f>
        <v>5</v>
      </c>
      <c r="N3252" s="23" t="s">
        <v>45</v>
      </c>
      <c r="O3252" s="23" t="s">
        <v>23</v>
      </c>
      <c r="P3252" s="23" t="s">
        <v>441</v>
      </c>
      <c r="Q3252" s="23" t="s">
        <v>133</v>
      </c>
      <c r="R3252" s="23" t="s">
        <v>659</v>
      </c>
      <c r="S3252" s="33">
        <v>0.7</v>
      </c>
      <c r="T3252" s="13">
        <v>13.023</v>
      </c>
      <c r="U3252" s="13">
        <v>-10.4184</v>
      </c>
      <c r="V3252" s="55">
        <f>Table3[[#This Row],[Profit]]/Table3[[#This Row],[Sales]]</f>
        <v>-0.8</v>
      </c>
    </row>
    <row r="3253" spans="1:22" x14ac:dyDescent="0.2">
      <c r="A3253">
        <v>3252</v>
      </c>
      <c r="B3253" t="s">
        <v>4870</v>
      </c>
      <c r="C3253" s="1">
        <v>43094</v>
      </c>
      <c r="D3253" s="22">
        <f>MONTH(Table3[[#This Row],[Order Date]])</f>
        <v>12</v>
      </c>
      <c r="E3253" t="s">
        <v>4871</v>
      </c>
      <c r="F3253" t="s">
        <v>4872</v>
      </c>
      <c r="G3253" s="23" t="s">
        <v>28</v>
      </c>
      <c r="H3253" s="23" t="s">
        <v>50</v>
      </c>
      <c r="I3253" t="s">
        <v>4719</v>
      </c>
      <c r="J3253" t="s">
        <v>22</v>
      </c>
      <c r="K3253" s="22">
        <v>2</v>
      </c>
      <c r="L3253" s="1">
        <v>43099</v>
      </c>
      <c r="M3253" s="22">
        <f>Table3[[#This Row],[Ship Date]]-Table3[[#This Row],[Order Date]]</f>
        <v>5</v>
      </c>
      <c r="N3253" s="23" t="s">
        <v>45</v>
      </c>
      <c r="O3253" s="23" t="s">
        <v>23</v>
      </c>
      <c r="P3253" s="23" t="s">
        <v>441</v>
      </c>
      <c r="Q3253" s="23" t="s">
        <v>133</v>
      </c>
      <c r="R3253" s="23" t="s">
        <v>659</v>
      </c>
      <c r="S3253" s="33">
        <v>0.4</v>
      </c>
      <c r="T3253" s="13">
        <v>273.06</v>
      </c>
      <c r="U3253" s="13">
        <v>-104.673</v>
      </c>
      <c r="V3253" s="55">
        <f>Table3[[#This Row],[Profit]]/Table3[[#This Row],[Sales]]</f>
        <v>-0.38333333333333336</v>
      </c>
    </row>
    <row r="3254" spans="1:22" x14ac:dyDescent="0.2">
      <c r="A3254">
        <v>3253</v>
      </c>
      <c r="B3254" t="s">
        <v>4870</v>
      </c>
      <c r="C3254" s="1">
        <v>43094</v>
      </c>
      <c r="D3254" s="22">
        <f>MONTH(Table3[[#This Row],[Order Date]])</f>
        <v>12</v>
      </c>
      <c r="E3254" t="s">
        <v>4377</v>
      </c>
      <c r="F3254" t="s">
        <v>498</v>
      </c>
      <c r="G3254" s="23" t="s">
        <v>41</v>
      </c>
      <c r="H3254" s="23" t="s">
        <v>240</v>
      </c>
      <c r="I3254" t="s">
        <v>4719</v>
      </c>
      <c r="J3254" t="s">
        <v>22</v>
      </c>
      <c r="K3254" s="22">
        <v>13</v>
      </c>
      <c r="L3254" s="1">
        <v>43099</v>
      </c>
      <c r="M3254" s="22">
        <f>Table3[[#This Row],[Ship Date]]-Table3[[#This Row],[Order Date]]</f>
        <v>5</v>
      </c>
      <c r="N3254" s="23" t="s">
        <v>45</v>
      </c>
      <c r="O3254" s="23" t="s">
        <v>23</v>
      </c>
      <c r="P3254" s="23" t="s">
        <v>441</v>
      </c>
      <c r="Q3254" s="23" t="s">
        <v>133</v>
      </c>
      <c r="R3254" s="23" t="s">
        <v>659</v>
      </c>
      <c r="S3254" s="33">
        <v>0.2</v>
      </c>
      <c r="T3254" s="13">
        <v>39.311999999999998</v>
      </c>
      <c r="U3254" s="13">
        <v>12.776400000000001</v>
      </c>
      <c r="V3254" s="55">
        <f>Table3[[#This Row],[Profit]]/Table3[[#This Row],[Sales]]</f>
        <v>0.32500000000000001</v>
      </c>
    </row>
    <row r="3255" spans="1:22" x14ac:dyDescent="0.2">
      <c r="A3255">
        <v>3254</v>
      </c>
      <c r="B3255" t="s">
        <v>7117</v>
      </c>
      <c r="C3255" s="1">
        <v>43094</v>
      </c>
      <c r="D3255" s="22">
        <f>MONTH(Table3[[#This Row],[Order Date]])</f>
        <v>12</v>
      </c>
      <c r="E3255" t="s">
        <v>7000</v>
      </c>
      <c r="F3255" t="s">
        <v>7001</v>
      </c>
      <c r="G3255" s="23" t="s">
        <v>41</v>
      </c>
      <c r="H3255" s="23" t="s">
        <v>82</v>
      </c>
      <c r="I3255" t="s">
        <v>3095</v>
      </c>
      <c r="J3255" t="s">
        <v>92</v>
      </c>
      <c r="K3255" s="22">
        <v>2</v>
      </c>
      <c r="L3255" s="1">
        <v>43098</v>
      </c>
      <c r="M3255" s="22">
        <f>Table3[[#This Row],[Ship Date]]-Table3[[#This Row],[Order Date]]</f>
        <v>4</v>
      </c>
      <c r="N3255" s="23" t="s">
        <v>20</v>
      </c>
      <c r="O3255" s="23" t="s">
        <v>23</v>
      </c>
      <c r="P3255" s="23" t="s">
        <v>320</v>
      </c>
      <c r="Q3255" s="23" t="s">
        <v>26</v>
      </c>
      <c r="R3255" s="23" t="s">
        <v>1488</v>
      </c>
      <c r="S3255" s="33">
        <v>0</v>
      </c>
      <c r="T3255" s="13">
        <v>96.08</v>
      </c>
      <c r="U3255" s="13">
        <v>46.118400000000001</v>
      </c>
      <c r="V3255" s="55">
        <f>Table3[[#This Row],[Profit]]/Table3[[#This Row],[Sales]]</f>
        <v>0.48000000000000004</v>
      </c>
    </row>
    <row r="3256" spans="1:22" x14ac:dyDescent="0.2">
      <c r="A3256">
        <v>3255</v>
      </c>
      <c r="B3256" t="s">
        <v>7117</v>
      </c>
      <c r="C3256" s="1">
        <v>43094</v>
      </c>
      <c r="D3256" s="22">
        <f>MONTH(Table3[[#This Row],[Order Date]])</f>
        <v>12</v>
      </c>
      <c r="E3256" t="s">
        <v>2768</v>
      </c>
      <c r="F3256" t="s">
        <v>2769</v>
      </c>
      <c r="G3256" s="23" t="s">
        <v>41</v>
      </c>
      <c r="H3256" s="23" t="s">
        <v>240</v>
      </c>
      <c r="I3256" t="s">
        <v>3095</v>
      </c>
      <c r="J3256" t="s">
        <v>92</v>
      </c>
      <c r="K3256" s="22">
        <v>2</v>
      </c>
      <c r="L3256" s="1">
        <v>43098</v>
      </c>
      <c r="M3256" s="22">
        <f>Table3[[#This Row],[Ship Date]]-Table3[[#This Row],[Order Date]]</f>
        <v>4</v>
      </c>
      <c r="N3256" s="23" t="s">
        <v>20</v>
      </c>
      <c r="O3256" s="23" t="s">
        <v>23</v>
      </c>
      <c r="P3256" s="23" t="s">
        <v>320</v>
      </c>
      <c r="Q3256" s="23" t="s">
        <v>26</v>
      </c>
      <c r="R3256" s="23" t="s">
        <v>1488</v>
      </c>
      <c r="S3256" s="33">
        <v>0</v>
      </c>
      <c r="T3256" s="13">
        <v>3.62</v>
      </c>
      <c r="U3256" s="13">
        <v>1.1946000000000001</v>
      </c>
      <c r="V3256" s="55">
        <f>Table3[[#This Row],[Profit]]/Table3[[#This Row],[Sales]]</f>
        <v>0.33</v>
      </c>
    </row>
    <row r="3257" spans="1:22" x14ac:dyDescent="0.2">
      <c r="A3257">
        <v>3256</v>
      </c>
      <c r="B3257" t="s">
        <v>7117</v>
      </c>
      <c r="C3257" s="1">
        <v>43094</v>
      </c>
      <c r="D3257" s="22">
        <f>MONTH(Table3[[#This Row],[Order Date]])</f>
        <v>12</v>
      </c>
      <c r="E3257" t="s">
        <v>3154</v>
      </c>
      <c r="F3257" t="s">
        <v>3155</v>
      </c>
      <c r="G3257" s="23" t="s">
        <v>41</v>
      </c>
      <c r="H3257" s="23" t="s">
        <v>82</v>
      </c>
      <c r="I3257" t="s">
        <v>3095</v>
      </c>
      <c r="J3257" t="s">
        <v>92</v>
      </c>
      <c r="K3257" s="22">
        <v>6</v>
      </c>
      <c r="L3257" s="1">
        <v>43098</v>
      </c>
      <c r="M3257" s="22">
        <f>Table3[[#This Row],[Ship Date]]-Table3[[#This Row],[Order Date]]</f>
        <v>4</v>
      </c>
      <c r="N3257" s="23" t="s">
        <v>20</v>
      </c>
      <c r="O3257" s="23" t="s">
        <v>23</v>
      </c>
      <c r="P3257" s="23" t="s">
        <v>320</v>
      </c>
      <c r="Q3257" s="23" t="s">
        <v>26</v>
      </c>
      <c r="R3257" s="23" t="s">
        <v>1488</v>
      </c>
      <c r="S3257" s="33">
        <v>0</v>
      </c>
      <c r="T3257" s="13">
        <v>629.1</v>
      </c>
      <c r="U3257" s="13">
        <v>301.96800000000002</v>
      </c>
      <c r="V3257" s="55">
        <f>Table3[[#This Row],[Profit]]/Table3[[#This Row],[Sales]]</f>
        <v>0.48000000000000004</v>
      </c>
    </row>
    <row r="3258" spans="1:22" x14ac:dyDescent="0.2">
      <c r="A3258">
        <v>3257</v>
      </c>
      <c r="B3258" t="s">
        <v>7117</v>
      </c>
      <c r="C3258" s="1">
        <v>43094</v>
      </c>
      <c r="D3258" s="22">
        <f>MONTH(Table3[[#This Row],[Order Date]])</f>
        <v>12</v>
      </c>
      <c r="E3258" t="s">
        <v>5190</v>
      </c>
      <c r="F3258" t="s">
        <v>5191</v>
      </c>
      <c r="G3258" s="23" t="s">
        <v>64</v>
      </c>
      <c r="H3258" s="23" t="s">
        <v>65</v>
      </c>
      <c r="I3258" t="s">
        <v>3095</v>
      </c>
      <c r="J3258" t="s">
        <v>92</v>
      </c>
      <c r="K3258" s="22">
        <v>2</v>
      </c>
      <c r="L3258" s="1">
        <v>43098</v>
      </c>
      <c r="M3258" s="22">
        <f>Table3[[#This Row],[Ship Date]]-Table3[[#This Row],[Order Date]]</f>
        <v>4</v>
      </c>
      <c r="N3258" s="23" t="s">
        <v>20</v>
      </c>
      <c r="O3258" s="23" t="s">
        <v>23</v>
      </c>
      <c r="P3258" s="23" t="s">
        <v>320</v>
      </c>
      <c r="Q3258" s="23" t="s">
        <v>26</v>
      </c>
      <c r="R3258" s="23" t="s">
        <v>1488</v>
      </c>
      <c r="S3258" s="33">
        <v>0</v>
      </c>
      <c r="T3258" s="13">
        <v>90.48</v>
      </c>
      <c r="U3258" s="13">
        <v>23.524799999999999</v>
      </c>
      <c r="V3258" s="55">
        <f>Table3[[#This Row],[Profit]]/Table3[[#This Row],[Sales]]</f>
        <v>0.25999999999999995</v>
      </c>
    </row>
    <row r="3259" spans="1:22" x14ac:dyDescent="0.2">
      <c r="A3259">
        <v>3258</v>
      </c>
      <c r="B3259" t="s">
        <v>7897</v>
      </c>
      <c r="C3259" s="1">
        <v>43094</v>
      </c>
      <c r="D3259" s="22">
        <f>MONTH(Table3[[#This Row],[Order Date]])</f>
        <v>12</v>
      </c>
      <c r="E3259" t="s">
        <v>4429</v>
      </c>
      <c r="F3259" t="s">
        <v>4430</v>
      </c>
      <c r="G3259" s="23" t="s">
        <v>41</v>
      </c>
      <c r="H3259" s="23" t="s">
        <v>68</v>
      </c>
      <c r="I3259" t="s">
        <v>699</v>
      </c>
      <c r="J3259" t="s">
        <v>36</v>
      </c>
      <c r="K3259" s="22">
        <v>3</v>
      </c>
      <c r="L3259" s="1">
        <v>43098</v>
      </c>
      <c r="M3259" s="22">
        <f>Table3[[#This Row],[Ship Date]]-Table3[[#This Row],[Order Date]]</f>
        <v>4</v>
      </c>
      <c r="N3259" s="23" t="s">
        <v>45</v>
      </c>
      <c r="O3259" s="23" t="s">
        <v>23</v>
      </c>
      <c r="P3259" s="23" t="s">
        <v>38</v>
      </c>
      <c r="Q3259" s="23" t="s">
        <v>39</v>
      </c>
      <c r="R3259" s="23" t="s">
        <v>37</v>
      </c>
      <c r="S3259" s="33">
        <v>0.2</v>
      </c>
      <c r="T3259" s="13">
        <v>153.55199999999999</v>
      </c>
      <c r="U3259" s="13">
        <v>51.823799999999999</v>
      </c>
      <c r="V3259" s="55">
        <f>Table3[[#This Row],[Profit]]/Table3[[#This Row],[Sales]]</f>
        <v>0.33750000000000002</v>
      </c>
    </row>
    <row r="3260" spans="1:22" x14ac:dyDescent="0.2">
      <c r="A3260">
        <v>3259</v>
      </c>
      <c r="B3260" t="s">
        <v>7897</v>
      </c>
      <c r="C3260" s="1">
        <v>43094</v>
      </c>
      <c r="D3260" s="22">
        <f>MONTH(Table3[[#This Row],[Order Date]])</f>
        <v>12</v>
      </c>
      <c r="E3260" t="s">
        <v>969</v>
      </c>
      <c r="F3260" t="s">
        <v>970</v>
      </c>
      <c r="G3260" s="23" t="s">
        <v>41</v>
      </c>
      <c r="H3260" s="23" t="s">
        <v>53</v>
      </c>
      <c r="I3260" t="s">
        <v>699</v>
      </c>
      <c r="J3260" t="s">
        <v>36</v>
      </c>
      <c r="K3260" s="22">
        <v>2</v>
      </c>
      <c r="L3260" s="1">
        <v>43098</v>
      </c>
      <c r="M3260" s="22">
        <f>Table3[[#This Row],[Ship Date]]-Table3[[#This Row],[Order Date]]</f>
        <v>4</v>
      </c>
      <c r="N3260" s="23" t="s">
        <v>45</v>
      </c>
      <c r="O3260" s="23" t="s">
        <v>23</v>
      </c>
      <c r="P3260" s="23" t="s">
        <v>38</v>
      </c>
      <c r="Q3260" s="23" t="s">
        <v>39</v>
      </c>
      <c r="R3260" s="23" t="s">
        <v>37</v>
      </c>
      <c r="S3260" s="33">
        <v>0</v>
      </c>
      <c r="T3260" s="13">
        <v>270.62</v>
      </c>
      <c r="U3260" s="13">
        <v>2.7061999999999999</v>
      </c>
      <c r="V3260" s="55">
        <f>Table3[[#This Row],[Profit]]/Table3[[#This Row],[Sales]]</f>
        <v>0.01</v>
      </c>
    </row>
    <row r="3261" spans="1:22" x14ac:dyDescent="0.2">
      <c r="A3261">
        <v>3260</v>
      </c>
      <c r="B3261" t="s">
        <v>8334</v>
      </c>
      <c r="C3261" s="1">
        <v>43094</v>
      </c>
      <c r="D3261" s="22">
        <f>MONTH(Table3[[#This Row],[Order Date]])</f>
        <v>12</v>
      </c>
      <c r="E3261" t="s">
        <v>1081</v>
      </c>
      <c r="F3261" t="s">
        <v>1082</v>
      </c>
      <c r="G3261" s="23" t="s">
        <v>41</v>
      </c>
      <c r="H3261" s="23" t="s">
        <v>68</v>
      </c>
      <c r="I3261" t="s">
        <v>1789</v>
      </c>
      <c r="J3261" t="s">
        <v>36</v>
      </c>
      <c r="K3261" s="22">
        <v>1</v>
      </c>
      <c r="L3261" s="1">
        <v>43098</v>
      </c>
      <c r="M3261" s="22">
        <f>Table3[[#This Row],[Ship Date]]-Table3[[#This Row],[Order Date]]</f>
        <v>4</v>
      </c>
      <c r="N3261" s="23" t="s">
        <v>45</v>
      </c>
      <c r="O3261" s="23" t="s">
        <v>23</v>
      </c>
      <c r="P3261" s="23" t="s">
        <v>87</v>
      </c>
      <c r="Q3261" s="23" t="s">
        <v>39</v>
      </c>
      <c r="R3261" s="23" t="s">
        <v>3613</v>
      </c>
      <c r="S3261" s="33">
        <v>0.2</v>
      </c>
      <c r="T3261" s="13">
        <v>3.8559999999999999</v>
      </c>
      <c r="U3261" s="13">
        <v>1.3977999999999999</v>
      </c>
      <c r="V3261" s="55">
        <f>Table3[[#This Row],[Profit]]/Table3[[#This Row],[Sales]]</f>
        <v>0.36249999999999999</v>
      </c>
    </row>
    <row r="3262" spans="1:22" x14ac:dyDescent="0.2">
      <c r="A3262">
        <v>3261</v>
      </c>
      <c r="B3262" t="s">
        <v>8972</v>
      </c>
      <c r="C3262" s="1">
        <v>43094</v>
      </c>
      <c r="D3262" s="22">
        <f>MONTH(Table3[[#This Row],[Order Date]])</f>
        <v>12</v>
      </c>
      <c r="E3262" t="s">
        <v>2454</v>
      </c>
      <c r="F3262" t="s">
        <v>2455</v>
      </c>
      <c r="G3262" s="23" t="s">
        <v>41</v>
      </c>
      <c r="H3262" s="23" t="s">
        <v>68</v>
      </c>
      <c r="I3262" t="s">
        <v>2314</v>
      </c>
      <c r="J3262" t="s">
        <v>22</v>
      </c>
      <c r="K3262" s="22">
        <v>9</v>
      </c>
      <c r="L3262" s="1">
        <v>43101</v>
      </c>
      <c r="M3262" s="22">
        <f>Table3[[#This Row],[Ship Date]]-Table3[[#This Row],[Order Date]]</f>
        <v>7</v>
      </c>
      <c r="N3262" s="23" t="s">
        <v>45</v>
      </c>
      <c r="O3262" s="23" t="s">
        <v>23</v>
      </c>
      <c r="P3262" s="23" t="s">
        <v>94</v>
      </c>
      <c r="Q3262" s="23" t="s">
        <v>95</v>
      </c>
      <c r="R3262" s="23" t="s">
        <v>718</v>
      </c>
      <c r="S3262" s="33">
        <v>0.8</v>
      </c>
      <c r="T3262" s="13">
        <v>39.582000000000001</v>
      </c>
      <c r="U3262" s="13">
        <v>-59.372999999999998</v>
      </c>
      <c r="V3262" s="55">
        <f>Table3[[#This Row],[Profit]]/Table3[[#This Row],[Sales]]</f>
        <v>-1.5</v>
      </c>
    </row>
    <row r="3263" spans="1:22" x14ac:dyDescent="0.2">
      <c r="A3263">
        <v>3262</v>
      </c>
      <c r="B3263" t="s">
        <v>8972</v>
      </c>
      <c r="C3263" s="1">
        <v>43094</v>
      </c>
      <c r="D3263" s="22">
        <f>MONTH(Table3[[#This Row],[Order Date]])</f>
        <v>12</v>
      </c>
      <c r="E3263" t="s">
        <v>5391</v>
      </c>
      <c r="F3263" t="s">
        <v>1147</v>
      </c>
      <c r="G3263" s="23" t="s">
        <v>41</v>
      </c>
      <c r="H3263" s="23" t="s">
        <v>513</v>
      </c>
      <c r="I3263" t="s">
        <v>2314</v>
      </c>
      <c r="J3263" t="s">
        <v>22</v>
      </c>
      <c r="K3263" s="22">
        <v>7</v>
      </c>
      <c r="L3263" s="1">
        <v>43101</v>
      </c>
      <c r="M3263" s="22">
        <f>Table3[[#This Row],[Ship Date]]-Table3[[#This Row],[Order Date]]</f>
        <v>7</v>
      </c>
      <c r="N3263" s="23" t="s">
        <v>45</v>
      </c>
      <c r="O3263" s="23" t="s">
        <v>23</v>
      </c>
      <c r="P3263" s="23" t="s">
        <v>94</v>
      </c>
      <c r="Q3263" s="23" t="s">
        <v>95</v>
      </c>
      <c r="R3263" s="23" t="s">
        <v>718</v>
      </c>
      <c r="S3263" s="33">
        <v>0.2</v>
      </c>
      <c r="T3263" s="13">
        <v>44.688000000000002</v>
      </c>
      <c r="U3263" s="13">
        <v>5.0274000000000001</v>
      </c>
      <c r="V3263" s="55">
        <f>Table3[[#This Row],[Profit]]/Table3[[#This Row],[Sales]]</f>
        <v>0.1125</v>
      </c>
    </row>
    <row r="3264" spans="1:22" x14ac:dyDescent="0.2">
      <c r="A3264">
        <v>3263</v>
      </c>
      <c r="B3264" t="s">
        <v>8972</v>
      </c>
      <c r="C3264" s="1">
        <v>43094</v>
      </c>
      <c r="D3264" s="22">
        <f>MONTH(Table3[[#This Row],[Order Date]])</f>
        <v>12</v>
      </c>
      <c r="E3264" t="s">
        <v>5694</v>
      </c>
      <c r="F3264" t="s">
        <v>5695</v>
      </c>
      <c r="G3264" s="23" t="s">
        <v>41</v>
      </c>
      <c r="H3264" s="23" t="s">
        <v>61</v>
      </c>
      <c r="I3264" t="s">
        <v>2314</v>
      </c>
      <c r="J3264" t="s">
        <v>22</v>
      </c>
      <c r="K3264" s="22">
        <v>2</v>
      </c>
      <c r="L3264" s="1">
        <v>43101</v>
      </c>
      <c r="M3264" s="22">
        <f>Table3[[#This Row],[Ship Date]]-Table3[[#This Row],[Order Date]]</f>
        <v>7</v>
      </c>
      <c r="N3264" s="23" t="s">
        <v>45</v>
      </c>
      <c r="O3264" s="23" t="s">
        <v>23</v>
      </c>
      <c r="P3264" s="23" t="s">
        <v>94</v>
      </c>
      <c r="Q3264" s="23" t="s">
        <v>95</v>
      </c>
      <c r="R3264" s="23" t="s">
        <v>718</v>
      </c>
      <c r="S3264" s="33">
        <v>0.2</v>
      </c>
      <c r="T3264" s="13">
        <v>31.744</v>
      </c>
      <c r="U3264" s="13">
        <v>2.3807999999999998</v>
      </c>
      <c r="V3264" s="55">
        <f>Table3[[#This Row],[Profit]]/Table3[[#This Row],[Sales]]</f>
        <v>7.4999999999999997E-2</v>
      </c>
    </row>
    <row r="3265" spans="1:22" x14ac:dyDescent="0.2">
      <c r="A3265">
        <v>3264</v>
      </c>
      <c r="B3265" t="s">
        <v>8972</v>
      </c>
      <c r="C3265" s="1">
        <v>43094</v>
      </c>
      <c r="D3265" s="22">
        <f>MONTH(Table3[[#This Row],[Order Date]])</f>
        <v>12</v>
      </c>
      <c r="E3265" t="s">
        <v>2755</v>
      </c>
      <c r="F3265" t="s">
        <v>2756</v>
      </c>
      <c r="G3265" s="23" t="s">
        <v>41</v>
      </c>
      <c r="H3265" s="23" t="s">
        <v>68</v>
      </c>
      <c r="I3265" t="s">
        <v>2314</v>
      </c>
      <c r="J3265" t="s">
        <v>22</v>
      </c>
      <c r="K3265" s="22">
        <v>5</v>
      </c>
      <c r="L3265" s="1">
        <v>43101</v>
      </c>
      <c r="M3265" s="22">
        <f>Table3[[#This Row],[Ship Date]]-Table3[[#This Row],[Order Date]]</f>
        <v>7</v>
      </c>
      <c r="N3265" s="23" t="s">
        <v>45</v>
      </c>
      <c r="O3265" s="23" t="s">
        <v>23</v>
      </c>
      <c r="P3265" s="23" t="s">
        <v>94</v>
      </c>
      <c r="Q3265" s="23" t="s">
        <v>95</v>
      </c>
      <c r="R3265" s="23" t="s">
        <v>718</v>
      </c>
      <c r="S3265" s="33">
        <v>0.8</v>
      </c>
      <c r="T3265" s="13">
        <v>40.98</v>
      </c>
      <c r="U3265" s="13">
        <v>-65.567999999999998</v>
      </c>
      <c r="V3265" s="55">
        <f>Table3[[#This Row],[Profit]]/Table3[[#This Row],[Sales]]</f>
        <v>-1.6</v>
      </c>
    </row>
    <row r="3266" spans="1:22" x14ac:dyDescent="0.2">
      <c r="A3266">
        <v>3265</v>
      </c>
      <c r="B3266" t="s">
        <v>8972</v>
      </c>
      <c r="C3266" s="1">
        <v>43094</v>
      </c>
      <c r="D3266" s="22">
        <f>MONTH(Table3[[#This Row],[Order Date]])</f>
        <v>12</v>
      </c>
      <c r="E3266" t="s">
        <v>3808</v>
      </c>
      <c r="F3266" t="s">
        <v>3809</v>
      </c>
      <c r="G3266" s="23" t="s">
        <v>41</v>
      </c>
      <c r="H3266" s="23" t="s">
        <v>68</v>
      </c>
      <c r="I3266" t="s">
        <v>2314</v>
      </c>
      <c r="J3266" t="s">
        <v>22</v>
      </c>
      <c r="K3266" s="22">
        <v>3</v>
      </c>
      <c r="L3266" s="1">
        <v>43101</v>
      </c>
      <c r="M3266" s="22">
        <f>Table3[[#This Row],[Ship Date]]-Table3[[#This Row],[Order Date]]</f>
        <v>7</v>
      </c>
      <c r="N3266" s="23" t="s">
        <v>45</v>
      </c>
      <c r="O3266" s="23" t="s">
        <v>23</v>
      </c>
      <c r="P3266" s="23" t="s">
        <v>94</v>
      </c>
      <c r="Q3266" s="23" t="s">
        <v>95</v>
      </c>
      <c r="R3266" s="23" t="s">
        <v>718</v>
      </c>
      <c r="S3266" s="33">
        <v>0.8</v>
      </c>
      <c r="T3266" s="13">
        <v>3.1680000000000001</v>
      </c>
      <c r="U3266" s="13">
        <v>-5.0688000000000004</v>
      </c>
      <c r="V3266" s="55">
        <f>Table3[[#This Row],[Profit]]/Table3[[#This Row],[Sales]]</f>
        <v>-1.6</v>
      </c>
    </row>
    <row r="3267" spans="1:22" x14ac:dyDescent="0.2">
      <c r="A3267">
        <v>3266</v>
      </c>
      <c r="B3267" t="s">
        <v>9556</v>
      </c>
      <c r="C3267" s="1">
        <v>43094</v>
      </c>
      <c r="D3267" s="22">
        <f>MONTH(Table3[[#This Row],[Order Date]])</f>
        <v>12</v>
      </c>
      <c r="E3267" t="s">
        <v>5470</v>
      </c>
      <c r="F3267" t="s">
        <v>5471</v>
      </c>
      <c r="G3267" s="23" t="s">
        <v>28</v>
      </c>
      <c r="H3267" s="23" t="s">
        <v>58</v>
      </c>
      <c r="I3267" t="s">
        <v>2711</v>
      </c>
      <c r="J3267" t="s">
        <v>22</v>
      </c>
      <c r="K3267" s="22">
        <v>3</v>
      </c>
      <c r="L3267" s="1">
        <v>43097</v>
      </c>
      <c r="M3267" s="22">
        <f>Table3[[#This Row],[Ship Date]]-Table3[[#This Row],[Order Date]]</f>
        <v>3</v>
      </c>
      <c r="N3267" s="23" t="s">
        <v>169</v>
      </c>
      <c r="O3267" s="23" t="s">
        <v>23</v>
      </c>
      <c r="P3267" s="23" t="s">
        <v>48</v>
      </c>
      <c r="Q3267" s="23" t="s">
        <v>26</v>
      </c>
      <c r="R3267" s="23" t="s">
        <v>2050</v>
      </c>
      <c r="S3267" s="33">
        <v>0.2</v>
      </c>
      <c r="T3267" s="13">
        <v>21</v>
      </c>
      <c r="U3267" s="13">
        <v>5.7750000000000004</v>
      </c>
      <c r="V3267" s="55">
        <f>Table3[[#This Row],[Profit]]/Table3[[#This Row],[Sales]]</f>
        <v>0.27500000000000002</v>
      </c>
    </row>
    <row r="3268" spans="1:22" x14ac:dyDescent="0.2">
      <c r="A3268">
        <v>3267</v>
      </c>
      <c r="B3268" t="s">
        <v>9556</v>
      </c>
      <c r="C3268" s="1">
        <v>43094</v>
      </c>
      <c r="D3268" s="22">
        <f>MONTH(Table3[[#This Row],[Order Date]])</f>
        <v>12</v>
      </c>
      <c r="E3268" t="s">
        <v>9507</v>
      </c>
      <c r="F3268" t="s">
        <v>9508</v>
      </c>
      <c r="G3268" s="23" t="s">
        <v>64</v>
      </c>
      <c r="H3268" s="23" t="s">
        <v>602</v>
      </c>
      <c r="I3268" t="s">
        <v>2711</v>
      </c>
      <c r="J3268" t="s">
        <v>22</v>
      </c>
      <c r="K3268" s="22">
        <v>2</v>
      </c>
      <c r="L3268" s="1">
        <v>43097</v>
      </c>
      <c r="M3268" s="22">
        <f>Table3[[#This Row],[Ship Date]]-Table3[[#This Row],[Order Date]]</f>
        <v>3</v>
      </c>
      <c r="N3268" s="23" t="s">
        <v>169</v>
      </c>
      <c r="O3268" s="23" t="s">
        <v>23</v>
      </c>
      <c r="P3268" s="23" t="s">
        <v>48</v>
      </c>
      <c r="Q3268" s="23" t="s">
        <v>26</v>
      </c>
      <c r="R3268" s="23" t="s">
        <v>2050</v>
      </c>
      <c r="S3268" s="33">
        <v>0.5</v>
      </c>
      <c r="T3268" s="13">
        <v>120</v>
      </c>
      <c r="U3268" s="13">
        <v>-7.2</v>
      </c>
      <c r="V3268" s="55">
        <f>Table3[[#This Row],[Profit]]/Table3[[#This Row],[Sales]]</f>
        <v>-6.0000000000000005E-2</v>
      </c>
    </row>
    <row r="3269" spans="1:22" x14ac:dyDescent="0.2">
      <c r="A3269">
        <v>3268</v>
      </c>
      <c r="B3269" t="s">
        <v>9793</v>
      </c>
      <c r="C3269" s="1">
        <v>43094</v>
      </c>
      <c r="D3269" s="22">
        <f>MONTH(Table3[[#This Row],[Order Date]])</f>
        <v>12</v>
      </c>
      <c r="E3269" t="s">
        <v>6683</v>
      </c>
      <c r="F3269" t="s">
        <v>6684</v>
      </c>
      <c r="G3269" s="23" t="s">
        <v>64</v>
      </c>
      <c r="H3269" s="23" t="s">
        <v>144</v>
      </c>
      <c r="I3269" t="s">
        <v>210</v>
      </c>
      <c r="J3269" t="s">
        <v>22</v>
      </c>
      <c r="K3269" s="22">
        <v>3</v>
      </c>
      <c r="L3269" s="1">
        <v>43098</v>
      </c>
      <c r="M3269" s="22">
        <f>Table3[[#This Row],[Ship Date]]-Table3[[#This Row],[Order Date]]</f>
        <v>4</v>
      </c>
      <c r="N3269" s="23" t="s">
        <v>45</v>
      </c>
      <c r="O3269" s="23" t="s">
        <v>23</v>
      </c>
      <c r="P3269" s="23" t="s">
        <v>695</v>
      </c>
      <c r="Q3269" s="23" t="s">
        <v>133</v>
      </c>
      <c r="R3269" s="23" t="s">
        <v>9794</v>
      </c>
      <c r="S3269" s="33">
        <v>0</v>
      </c>
      <c r="T3269" s="13">
        <v>31.8</v>
      </c>
      <c r="U3269" s="13">
        <v>13.673999999999999</v>
      </c>
      <c r="V3269" s="55">
        <f>Table3[[#This Row],[Profit]]/Table3[[#This Row],[Sales]]</f>
        <v>0.43</v>
      </c>
    </row>
    <row r="3270" spans="1:22" x14ac:dyDescent="0.2">
      <c r="A3270">
        <v>3269</v>
      </c>
      <c r="B3270" t="s">
        <v>2647</v>
      </c>
      <c r="C3270" s="1">
        <v>43095</v>
      </c>
      <c r="D3270" s="22">
        <f>MONTH(Table3[[#This Row],[Order Date]])</f>
        <v>12</v>
      </c>
      <c r="E3270" t="s">
        <v>1451</v>
      </c>
      <c r="F3270" t="s">
        <v>1452</v>
      </c>
      <c r="G3270" s="23" t="s">
        <v>41</v>
      </c>
      <c r="H3270" s="23" t="s">
        <v>82</v>
      </c>
      <c r="I3270" t="s">
        <v>1051</v>
      </c>
      <c r="J3270" t="s">
        <v>22</v>
      </c>
      <c r="K3270" s="22">
        <v>5</v>
      </c>
      <c r="L3270" s="1">
        <v>43101</v>
      </c>
      <c r="M3270" s="22">
        <f>Table3[[#This Row],[Ship Date]]-Table3[[#This Row],[Order Date]]</f>
        <v>6</v>
      </c>
      <c r="N3270" s="23" t="s">
        <v>45</v>
      </c>
      <c r="O3270" s="23" t="s">
        <v>23</v>
      </c>
      <c r="P3270" s="23" t="s">
        <v>433</v>
      </c>
      <c r="Q3270" s="23" t="s">
        <v>95</v>
      </c>
      <c r="R3270" s="23" t="s">
        <v>1957</v>
      </c>
      <c r="S3270" s="33">
        <v>0</v>
      </c>
      <c r="T3270" s="13">
        <v>44.75</v>
      </c>
      <c r="U3270" s="13">
        <v>20.585000000000001</v>
      </c>
      <c r="V3270" s="55">
        <f>Table3[[#This Row],[Profit]]/Table3[[#This Row],[Sales]]</f>
        <v>0.46</v>
      </c>
    </row>
    <row r="3271" spans="1:22" x14ac:dyDescent="0.2">
      <c r="A3271">
        <v>3270</v>
      </c>
      <c r="B3271" t="s">
        <v>6217</v>
      </c>
      <c r="C3271" s="1">
        <v>43095</v>
      </c>
      <c r="D3271" s="22">
        <f>MONTH(Table3[[#This Row],[Order Date]])</f>
        <v>12</v>
      </c>
      <c r="E3271" t="s">
        <v>6218</v>
      </c>
      <c r="F3271" t="s">
        <v>6219</v>
      </c>
      <c r="G3271" s="23" t="s">
        <v>41</v>
      </c>
      <c r="H3271" s="23" t="s">
        <v>68</v>
      </c>
      <c r="I3271" t="s">
        <v>3186</v>
      </c>
      <c r="J3271" t="s">
        <v>92</v>
      </c>
      <c r="K3271" s="22">
        <v>2</v>
      </c>
      <c r="L3271" s="1">
        <v>43099</v>
      </c>
      <c r="M3271" s="22">
        <f>Table3[[#This Row],[Ship Date]]-Table3[[#This Row],[Order Date]]</f>
        <v>4</v>
      </c>
      <c r="N3271" s="23" t="s">
        <v>45</v>
      </c>
      <c r="O3271" s="23" t="s">
        <v>23</v>
      </c>
      <c r="P3271" s="23" t="s">
        <v>441</v>
      </c>
      <c r="Q3271" s="23" t="s">
        <v>133</v>
      </c>
      <c r="R3271" s="23" t="s">
        <v>440</v>
      </c>
      <c r="S3271" s="33">
        <v>0.7</v>
      </c>
      <c r="T3271" s="13">
        <v>3.1320000000000001</v>
      </c>
      <c r="U3271" s="13">
        <v>-2.61</v>
      </c>
      <c r="V3271" s="55">
        <f>Table3[[#This Row],[Profit]]/Table3[[#This Row],[Sales]]</f>
        <v>-0.83333333333333326</v>
      </c>
    </row>
    <row r="3272" spans="1:22" x14ac:dyDescent="0.2">
      <c r="A3272">
        <v>3271</v>
      </c>
      <c r="B3272" t="s">
        <v>7512</v>
      </c>
      <c r="C3272" s="1">
        <v>43095</v>
      </c>
      <c r="D3272" s="22">
        <f>MONTH(Table3[[#This Row],[Order Date]])</f>
        <v>12</v>
      </c>
      <c r="E3272" t="s">
        <v>1568</v>
      </c>
      <c r="F3272" t="s">
        <v>1569</v>
      </c>
      <c r="G3272" s="23" t="s">
        <v>41</v>
      </c>
      <c r="H3272" s="23" t="s">
        <v>53</v>
      </c>
      <c r="I3272" t="s">
        <v>2107</v>
      </c>
      <c r="J3272" t="s">
        <v>36</v>
      </c>
      <c r="K3272" s="22">
        <v>2</v>
      </c>
      <c r="L3272" s="1">
        <v>43095</v>
      </c>
      <c r="M3272" s="22">
        <f>Table3[[#This Row],[Ship Date]]-Table3[[#This Row],[Order Date]]</f>
        <v>0</v>
      </c>
      <c r="N3272" s="23" t="s">
        <v>1141</v>
      </c>
      <c r="O3272" s="23" t="s">
        <v>23</v>
      </c>
      <c r="P3272" s="23" t="s">
        <v>124</v>
      </c>
      <c r="Q3272" s="23" t="s">
        <v>95</v>
      </c>
      <c r="R3272" s="23" t="s">
        <v>123</v>
      </c>
      <c r="S3272" s="33">
        <v>0</v>
      </c>
      <c r="T3272" s="13">
        <v>750.68</v>
      </c>
      <c r="U3272" s="13">
        <v>37.533999999999999</v>
      </c>
      <c r="V3272" s="55">
        <f>Table3[[#This Row],[Profit]]/Table3[[#This Row],[Sales]]</f>
        <v>0.05</v>
      </c>
    </row>
    <row r="3273" spans="1:22" x14ac:dyDescent="0.2">
      <c r="A3273">
        <v>3272</v>
      </c>
      <c r="B3273" t="s">
        <v>9084</v>
      </c>
      <c r="C3273" s="1">
        <v>43095</v>
      </c>
      <c r="D3273" s="22">
        <f>MONTH(Table3[[#This Row],[Order Date]])</f>
        <v>12</v>
      </c>
      <c r="E3273" t="s">
        <v>4636</v>
      </c>
      <c r="F3273" t="s">
        <v>4637</v>
      </c>
      <c r="G3273" s="23" t="s">
        <v>41</v>
      </c>
      <c r="H3273" s="23" t="s">
        <v>82</v>
      </c>
      <c r="I3273" t="s">
        <v>1599</v>
      </c>
      <c r="J3273" t="s">
        <v>36</v>
      </c>
      <c r="K3273" s="22">
        <v>3</v>
      </c>
      <c r="L3273" s="1">
        <v>43101</v>
      </c>
      <c r="M3273" s="22">
        <f>Table3[[#This Row],[Ship Date]]-Table3[[#This Row],[Order Date]]</f>
        <v>6</v>
      </c>
      <c r="N3273" s="23" t="s">
        <v>45</v>
      </c>
      <c r="O3273" s="23" t="s">
        <v>23</v>
      </c>
      <c r="P3273" s="23" t="s">
        <v>94</v>
      </c>
      <c r="Q3273" s="23" t="s">
        <v>95</v>
      </c>
      <c r="R3273" s="23" t="s">
        <v>6188</v>
      </c>
      <c r="S3273" s="33">
        <v>0.2</v>
      </c>
      <c r="T3273" s="13">
        <v>16.032</v>
      </c>
      <c r="U3273" s="13">
        <v>5.6112000000000002</v>
      </c>
      <c r="V3273" s="55">
        <f>Table3[[#This Row],[Profit]]/Table3[[#This Row],[Sales]]</f>
        <v>0.35000000000000003</v>
      </c>
    </row>
    <row r="3274" spans="1:22" x14ac:dyDescent="0.2">
      <c r="A3274">
        <v>3273</v>
      </c>
      <c r="B3274" t="s">
        <v>5046</v>
      </c>
      <c r="C3274" s="1">
        <v>43096</v>
      </c>
      <c r="D3274" s="22">
        <f>MONTH(Table3[[#This Row],[Order Date]])</f>
        <v>12</v>
      </c>
      <c r="E3274" t="s">
        <v>2824</v>
      </c>
      <c r="F3274" t="s">
        <v>2825</v>
      </c>
      <c r="G3274" s="23" t="s">
        <v>64</v>
      </c>
      <c r="H3274" s="23" t="s">
        <v>65</v>
      </c>
      <c r="I3274" t="s">
        <v>846</v>
      </c>
      <c r="J3274" t="s">
        <v>36</v>
      </c>
      <c r="K3274" s="22">
        <v>2</v>
      </c>
      <c r="L3274" s="1">
        <v>43096</v>
      </c>
      <c r="M3274" s="22">
        <f>Table3[[#This Row],[Ship Date]]-Table3[[#This Row],[Order Date]]</f>
        <v>0</v>
      </c>
      <c r="N3274" s="23" t="s">
        <v>1141</v>
      </c>
      <c r="O3274" s="23" t="s">
        <v>23</v>
      </c>
      <c r="P3274" s="23" t="s">
        <v>441</v>
      </c>
      <c r="Q3274" s="23" t="s">
        <v>133</v>
      </c>
      <c r="R3274" s="23" t="s">
        <v>536</v>
      </c>
      <c r="S3274" s="33">
        <v>0.4</v>
      </c>
      <c r="T3274" s="13">
        <v>164.38800000000001</v>
      </c>
      <c r="U3274" s="13">
        <v>-35.617400000000004</v>
      </c>
      <c r="V3274" s="55">
        <f>Table3[[#This Row],[Profit]]/Table3[[#This Row],[Sales]]</f>
        <v>-0.21666666666666667</v>
      </c>
    </row>
    <row r="3275" spans="1:22" x14ac:dyDescent="0.2">
      <c r="A3275">
        <v>3274</v>
      </c>
      <c r="B3275" t="s">
        <v>5046</v>
      </c>
      <c r="C3275" s="1">
        <v>43096</v>
      </c>
      <c r="D3275" s="22">
        <f>MONTH(Table3[[#This Row],[Order Date]])</f>
        <v>12</v>
      </c>
      <c r="E3275" t="s">
        <v>599</v>
      </c>
      <c r="F3275" t="s">
        <v>600</v>
      </c>
      <c r="G3275" s="23" t="s">
        <v>41</v>
      </c>
      <c r="H3275" s="23" t="s">
        <v>61</v>
      </c>
      <c r="I3275" t="s">
        <v>846</v>
      </c>
      <c r="J3275" t="s">
        <v>36</v>
      </c>
      <c r="K3275" s="22">
        <v>4</v>
      </c>
      <c r="L3275" s="1">
        <v>43096</v>
      </c>
      <c r="M3275" s="22">
        <f>Table3[[#This Row],[Ship Date]]-Table3[[#This Row],[Order Date]]</f>
        <v>0</v>
      </c>
      <c r="N3275" s="23" t="s">
        <v>1141</v>
      </c>
      <c r="O3275" s="23" t="s">
        <v>23</v>
      </c>
      <c r="P3275" s="23" t="s">
        <v>441</v>
      </c>
      <c r="Q3275" s="23" t="s">
        <v>133</v>
      </c>
      <c r="R3275" s="23" t="s">
        <v>536</v>
      </c>
      <c r="S3275" s="33">
        <v>0.2</v>
      </c>
      <c r="T3275" s="13">
        <v>13.247999999999999</v>
      </c>
      <c r="U3275" s="13">
        <v>3.6432000000000002</v>
      </c>
      <c r="V3275" s="55">
        <f>Table3[[#This Row],[Profit]]/Table3[[#This Row],[Sales]]</f>
        <v>0.27500000000000002</v>
      </c>
    </row>
    <row r="3276" spans="1:22" x14ac:dyDescent="0.2">
      <c r="A3276">
        <v>3275</v>
      </c>
      <c r="B3276" t="s">
        <v>892</v>
      </c>
      <c r="C3276" s="1">
        <v>43097</v>
      </c>
      <c r="D3276" s="22">
        <f>MONTH(Table3[[#This Row],[Order Date]])</f>
        <v>12</v>
      </c>
      <c r="E3276" t="s">
        <v>894</v>
      </c>
      <c r="F3276" t="s">
        <v>895</v>
      </c>
      <c r="G3276" s="23" t="s">
        <v>41</v>
      </c>
      <c r="H3276" s="23" t="s">
        <v>53</v>
      </c>
      <c r="I3276" t="s">
        <v>893</v>
      </c>
      <c r="J3276" t="s">
        <v>36</v>
      </c>
      <c r="K3276" s="22">
        <v>4</v>
      </c>
      <c r="L3276" s="1">
        <v>43102</v>
      </c>
      <c r="M3276" s="22">
        <f>Table3[[#This Row],[Ship Date]]-Table3[[#This Row],[Order Date]]</f>
        <v>5</v>
      </c>
      <c r="N3276" s="23" t="s">
        <v>20</v>
      </c>
      <c r="O3276" s="23" t="s">
        <v>23</v>
      </c>
      <c r="P3276" s="23" t="s">
        <v>38</v>
      </c>
      <c r="Q3276" s="23" t="s">
        <v>39</v>
      </c>
      <c r="R3276" s="23" t="s">
        <v>114</v>
      </c>
      <c r="S3276" s="33">
        <v>0</v>
      </c>
      <c r="T3276" s="13">
        <v>725.84</v>
      </c>
      <c r="U3276" s="13">
        <v>210.49359999999999</v>
      </c>
      <c r="V3276" s="55">
        <f>Table3[[#This Row],[Profit]]/Table3[[#This Row],[Sales]]</f>
        <v>0.28999999999999998</v>
      </c>
    </row>
    <row r="3277" spans="1:22" x14ac:dyDescent="0.2">
      <c r="A3277">
        <v>3276</v>
      </c>
      <c r="B3277" t="s">
        <v>1709</v>
      </c>
      <c r="C3277" s="1">
        <v>43097</v>
      </c>
      <c r="D3277" s="22">
        <f>MONTH(Table3[[#This Row],[Order Date]])</f>
        <v>12</v>
      </c>
      <c r="E3277" t="s">
        <v>1675</v>
      </c>
      <c r="F3277" t="s">
        <v>1676</v>
      </c>
      <c r="G3277" s="23" t="s">
        <v>41</v>
      </c>
      <c r="H3277" s="23" t="s">
        <v>42</v>
      </c>
      <c r="I3277" t="s">
        <v>1710</v>
      </c>
      <c r="J3277" t="s">
        <v>22</v>
      </c>
      <c r="K3277" s="22">
        <v>7</v>
      </c>
      <c r="L3277" s="1">
        <v>43104</v>
      </c>
      <c r="M3277" s="22">
        <f>Table3[[#This Row],[Ship Date]]-Table3[[#This Row],[Order Date]]</f>
        <v>7</v>
      </c>
      <c r="N3277" s="23" t="s">
        <v>45</v>
      </c>
      <c r="O3277" s="23" t="s">
        <v>23</v>
      </c>
      <c r="P3277" s="23" t="s">
        <v>238</v>
      </c>
      <c r="Q3277" s="23" t="s">
        <v>133</v>
      </c>
      <c r="R3277" s="23" t="s">
        <v>237</v>
      </c>
      <c r="S3277" s="33">
        <v>0</v>
      </c>
      <c r="T3277" s="13">
        <v>72.45</v>
      </c>
      <c r="U3277" s="13">
        <v>34.776000000000003</v>
      </c>
      <c r="V3277" s="55">
        <f>Table3[[#This Row],[Profit]]/Table3[[#This Row],[Sales]]</f>
        <v>0.48000000000000004</v>
      </c>
    </row>
    <row r="3278" spans="1:22" x14ac:dyDescent="0.2">
      <c r="A3278">
        <v>3277</v>
      </c>
      <c r="B3278" t="s">
        <v>1709</v>
      </c>
      <c r="C3278" s="1">
        <v>43097</v>
      </c>
      <c r="D3278" s="22">
        <f>MONTH(Table3[[#This Row],[Order Date]])</f>
        <v>12</v>
      </c>
      <c r="E3278" t="s">
        <v>763</v>
      </c>
      <c r="F3278" t="s">
        <v>764</v>
      </c>
      <c r="G3278" s="23" t="s">
        <v>41</v>
      </c>
      <c r="H3278" s="23" t="s">
        <v>240</v>
      </c>
      <c r="I3278" t="s">
        <v>1710</v>
      </c>
      <c r="J3278" t="s">
        <v>22</v>
      </c>
      <c r="K3278" s="22">
        <v>4</v>
      </c>
      <c r="L3278" s="1">
        <v>43104</v>
      </c>
      <c r="M3278" s="22">
        <f>Table3[[#This Row],[Ship Date]]-Table3[[#This Row],[Order Date]]</f>
        <v>7</v>
      </c>
      <c r="N3278" s="23" t="s">
        <v>45</v>
      </c>
      <c r="O3278" s="23" t="s">
        <v>23</v>
      </c>
      <c r="P3278" s="23" t="s">
        <v>238</v>
      </c>
      <c r="Q3278" s="23" t="s">
        <v>133</v>
      </c>
      <c r="R3278" s="23" t="s">
        <v>237</v>
      </c>
      <c r="S3278" s="33">
        <v>0</v>
      </c>
      <c r="T3278" s="13">
        <v>13.96</v>
      </c>
      <c r="U3278" s="13">
        <v>6.4215999999999998</v>
      </c>
      <c r="V3278" s="55">
        <f>Table3[[#This Row],[Profit]]/Table3[[#This Row],[Sales]]</f>
        <v>0.45999999999999996</v>
      </c>
    </row>
    <row r="3279" spans="1:22" x14ac:dyDescent="0.2">
      <c r="A3279">
        <v>3278</v>
      </c>
      <c r="B3279" t="s">
        <v>1709</v>
      </c>
      <c r="C3279" s="1">
        <v>43097</v>
      </c>
      <c r="D3279" s="22">
        <f>MONTH(Table3[[#This Row],[Order Date]])</f>
        <v>12</v>
      </c>
      <c r="E3279" t="s">
        <v>1072</v>
      </c>
      <c r="F3279" t="s">
        <v>1073</v>
      </c>
      <c r="G3279" s="23" t="s">
        <v>41</v>
      </c>
      <c r="H3279" s="23" t="s">
        <v>68</v>
      </c>
      <c r="I3279" t="s">
        <v>1710</v>
      </c>
      <c r="J3279" t="s">
        <v>22</v>
      </c>
      <c r="K3279" s="22">
        <v>7</v>
      </c>
      <c r="L3279" s="1">
        <v>43104</v>
      </c>
      <c r="M3279" s="22">
        <f>Table3[[#This Row],[Ship Date]]-Table3[[#This Row],[Order Date]]</f>
        <v>7</v>
      </c>
      <c r="N3279" s="23" t="s">
        <v>45</v>
      </c>
      <c r="O3279" s="23" t="s">
        <v>23</v>
      </c>
      <c r="P3279" s="23" t="s">
        <v>238</v>
      </c>
      <c r="Q3279" s="23" t="s">
        <v>133</v>
      </c>
      <c r="R3279" s="23" t="s">
        <v>237</v>
      </c>
      <c r="S3279" s="33">
        <v>0.2</v>
      </c>
      <c r="T3279" s="13">
        <v>33.264000000000003</v>
      </c>
      <c r="U3279" s="13">
        <v>11.226599999999999</v>
      </c>
      <c r="V3279" s="55">
        <f>Table3[[#This Row],[Profit]]/Table3[[#This Row],[Sales]]</f>
        <v>0.33749999999999997</v>
      </c>
    </row>
    <row r="3280" spans="1:22" x14ac:dyDescent="0.2">
      <c r="A3280">
        <v>3279</v>
      </c>
      <c r="B3280" t="s">
        <v>1709</v>
      </c>
      <c r="C3280" s="1">
        <v>43097</v>
      </c>
      <c r="D3280" s="22">
        <f>MONTH(Table3[[#This Row],[Order Date]])</f>
        <v>12</v>
      </c>
      <c r="E3280" t="s">
        <v>1711</v>
      </c>
      <c r="F3280" t="s">
        <v>1712</v>
      </c>
      <c r="G3280" s="23" t="s">
        <v>64</v>
      </c>
      <c r="H3280" s="23" t="s">
        <v>65</v>
      </c>
      <c r="I3280" t="s">
        <v>1710</v>
      </c>
      <c r="J3280" t="s">
        <v>22</v>
      </c>
      <c r="K3280" s="22">
        <v>3</v>
      </c>
      <c r="L3280" s="1">
        <v>43104</v>
      </c>
      <c r="M3280" s="22">
        <f>Table3[[#This Row],[Ship Date]]-Table3[[#This Row],[Order Date]]</f>
        <v>7</v>
      </c>
      <c r="N3280" s="23" t="s">
        <v>45</v>
      </c>
      <c r="O3280" s="23" t="s">
        <v>23</v>
      </c>
      <c r="P3280" s="23" t="s">
        <v>238</v>
      </c>
      <c r="Q3280" s="23" t="s">
        <v>133</v>
      </c>
      <c r="R3280" s="23" t="s">
        <v>237</v>
      </c>
      <c r="S3280" s="33">
        <v>0</v>
      </c>
      <c r="T3280" s="13">
        <v>14.85</v>
      </c>
      <c r="U3280" s="13">
        <v>4.0095000000000001</v>
      </c>
      <c r="V3280" s="55">
        <f>Table3[[#This Row],[Profit]]/Table3[[#This Row],[Sales]]</f>
        <v>0.27</v>
      </c>
    </row>
    <row r="3281" spans="1:22" x14ac:dyDescent="0.2">
      <c r="A3281">
        <v>3280</v>
      </c>
      <c r="B3281" t="s">
        <v>2544</v>
      </c>
      <c r="C3281" s="1">
        <v>43097</v>
      </c>
      <c r="D3281" s="22">
        <f>MONTH(Table3[[#This Row],[Order Date]])</f>
        <v>12</v>
      </c>
      <c r="E3281" t="s">
        <v>771</v>
      </c>
      <c r="F3281" t="s">
        <v>772</v>
      </c>
      <c r="G3281" s="23" t="s">
        <v>41</v>
      </c>
      <c r="H3281" s="23" t="s">
        <v>61</v>
      </c>
      <c r="I3281" t="s">
        <v>2545</v>
      </c>
      <c r="J3281" t="s">
        <v>22</v>
      </c>
      <c r="K3281" s="22">
        <v>2</v>
      </c>
      <c r="L3281" s="1">
        <v>43101</v>
      </c>
      <c r="M3281" s="22">
        <f>Table3[[#This Row],[Ship Date]]-Table3[[#This Row],[Order Date]]</f>
        <v>4</v>
      </c>
      <c r="N3281" s="23" t="s">
        <v>45</v>
      </c>
      <c r="O3281" s="23" t="s">
        <v>23</v>
      </c>
      <c r="P3281" s="23" t="s">
        <v>94</v>
      </c>
      <c r="Q3281" s="23" t="s">
        <v>95</v>
      </c>
      <c r="R3281" s="23" t="s">
        <v>2546</v>
      </c>
      <c r="S3281" s="33">
        <v>0.2</v>
      </c>
      <c r="T3281" s="13">
        <v>27.167999999999999</v>
      </c>
      <c r="U3281" s="13">
        <v>2.7168000000000001</v>
      </c>
      <c r="V3281" s="55">
        <f>Table3[[#This Row],[Profit]]/Table3[[#This Row],[Sales]]</f>
        <v>0.1</v>
      </c>
    </row>
    <row r="3282" spans="1:22" x14ac:dyDescent="0.2">
      <c r="A3282">
        <v>3281</v>
      </c>
      <c r="B3282" t="s">
        <v>2544</v>
      </c>
      <c r="C3282" s="1">
        <v>43097</v>
      </c>
      <c r="D3282" s="22">
        <f>MONTH(Table3[[#This Row],[Order Date]])</f>
        <v>12</v>
      </c>
      <c r="E3282" t="s">
        <v>950</v>
      </c>
      <c r="F3282" t="s">
        <v>951</v>
      </c>
      <c r="G3282" s="23" t="s">
        <v>28</v>
      </c>
      <c r="H3282" s="23" t="s">
        <v>29</v>
      </c>
      <c r="I3282" t="s">
        <v>2545</v>
      </c>
      <c r="J3282" t="s">
        <v>22</v>
      </c>
      <c r="K3282" s="22">
        <v>2</v>
      </c>
      <c r="L3282" s="1">
        <v>43101</v>
      </c>
      <c r="M3282" s="22">
        <f>Table3[[#This Row],[Ship Date]]-Table3[[#This Row],[Order Date]]</f>
        <v>4</v>
      </c>
      <c r="N3282" s="23" t="s">
        <v>45</v>
      </c>
      <c r="O3282" s="23" t="s">
        <v>23</v>
      </c>
      <c r="P3282" s="23" t="s">
        <v>94</v>
      </c>
      <c r="Q3282" s="23" t="s">
        <v>95</v>
      </c>
      <c r="R3282" s="23" t="s">
        <v>2546</v>
      </c>
      <c r="S3282" s="33">
        <v>0.32</v>
      </c>
      <c r="T3282" s="13">
        <v>78.852800000000002</v>
      </c>
      <c r="U3282" s="13">
        <v>-11.596</v>
      </c>
      <c r="V3282" s="55">
        <f>Table3[[#This Row],[Profit]]/Table3[[#This Row],[Sales]]</f>
        <v>-0.14705882352941177</v>
      </c>
    </row>
    <row r="3283" spans="1:22" x14ac:dyDescent="0.2">
      <c r="A3283">
        <v>3282</v>
      </c>
      <c r="B3283" t="s">
        <v>4879</v>
      </c>
      <c r="C3283" s="1">
        <v>43097</v>
      </c>
      <c r="D3283" s="22">
        <f>MONTH(Table3[[#This Row],[Order Date]])</f>
        <v>12</v>
      </c>
      <c r="E3283" t="s">
        <v>1204</v>
      </c>
      <c r="F3283" t="s">
        <v>1205</v>
      </c>
      <c r="G3283" s="23" t="s">
        <v>28</v>
      </c>
      <c r="H3283" s="23" t="s">
        <v>58</v>
      </c>
      <c r="I3283" t="s">
        <v>3303</v>
      </c>
      <c r="J3283" t="s">
        <v>36</v>
      </c>
      <c r="K3283" s="22">
        <v>2</v>
      </c>
      <c r="L3283" s="1">
        <v>43102</v>
      </c>
      <c r="M3283" s="22">
        <f>Table3[[#This Row],[Ship Date]]-Table3[[#This Row],[Order Date]]</f>
        <v>5</v>
      </c>
      <c r="N3283" s="23" t="s">
        <v>45</v>
      </c>
      <c r="O3283" s="23" t="s">
        <v>23</v>
      </c>
      <c r="P3283" s="23" t="s">
        <v>87</v>
      </c>
      <c r="Q3283" s="23" t="s">
        <v>39</v>
      </c>
      <c r="R3283" s="23" t="s">
        <v>86</v>
      </c>
      <c r="S3283" s="33">
        <v>0</v>
      </c>
      <c r="T3283" s="13">
        <v>7.4</v>
      </c>
      <c r="U3283" s="13">
        <v>3.0339999999999998</v>
      </c>
      <c r="V3283" s="55">
        <f>Table3[[#This Row],[Profit]]/Table3[[#This Row],[Sales]]</f>
        <v>0.41</v>
      </c>
    </row>
    <row r="3284" spans="1:22" x14ac:dyDescent="0.2">
      <c r="A3284">
        <v>3283</v>
      </c>
      <c r="B3284" t="s">
        <v>6649</v>
      </c>
      <c r="C3284" s="1">
        <v>43097</v>
      </c>
      <c r="D3284" s="22">
        <f>MONTH(Table3[[#This Row],[Order Date]])</f>
        <v>12</v>
      </c>
      <c r="E3284" t="s">
        <v>1572</v>
      </c>
      <c r="F3284" t="s">
        <v>1573</v>
      </c>
      <c r="G3284" s="23" t="s">
        <v>41</v>
      </c>
      <c r="H3284" s="23" t="s">
        <v>53</v>
      </c>
      <c r="I3284" t="s">
        <v>2781</v>
      </c>
      <c r="J3284" t="s">
        <v>92</v>
      </c>
      <c r="K3284" s="22">
        <v>1</v>
      </c>
      <c r="L3284" s="1">
        <v>43103</v>
      </c>
      <c r="M3284" s="22">
        <f>Table3[[#This Row],[Ship Date]]-Table3[[#This Row],[Order Date]]</f>
        <v>6</v>
      </c>
      <c r="N3284" s="23" t="s">
        <v>45</v>
      </c>
      <c r="O3284" s="23" t="s">
        <v>23</v>
      </c>
      <c r="P3284" s="23" t="s">
        <v>299</v>
      </c>
      <c r="Q3284" s="23" t="s">
        <v>26</v>
      </c>
      <c r="R3284" s="23" t="s">
        <v>5035</v>
      </c>
      <c r="S3284" s="33">
        <v>0.2</v>
      </c>
      <c r="T3284" s="13">
        <v>64.784000000000006</v>
      </c>
      <c r="U3284" s="13">
        <v>-12.956799999999999</v>
      </c>
      <c r="V3284" s="55">
        <f>Table3[[#This Row],[Profit]]/Table3[[#This Row],[Sales]]</f>
        <v>-0.19999999999999998</v>
      </c>
    </row>
    <row r="3285" spans="1:22" x14ac:dyDescent="0.2">
      <c r="A3285">
        <v>3284</v>
      </c>
      <c r="B3285" t="s">
        <v>7904</v>
      </c>
      <c r="C3285" s="1">
        <v>43097</v>
      </c>
      <c r="D3285" s="22">
        <f>MONTH(Table3[[#This Row],[Order Date]])</f>
        <v>12</v>
      </c>
      <c r="E3285" t="s">
        <v>3157</v>
      </c>
      <c r="F3285" t="s">
        <v>3158</v>
      </c>
      <c r="G3285" s="23" t="s">
        <v>41</v>
      </c>
      <c r="H3285" s="23" t="s">
        <v>68</v>
      </c>
      <c r="I3285" t="s">
        <v>2421</v>
      </c>
      <c r="J3285" t="s">
        <v>36</v>
      </c>
      <c r="K3285" s="22">
        <v>2</v>
      </c>
      <c r="L3285" s="1">
        <v>43100</v>
      </c>
      <c r="M3285" s="22">
        <f>Table3[[#This Row],[Ship Date]]-Table3[[#This Row],[Order Date]]</f>
        <v>3</v>
      </c>
      <c r="N3285" s="23" t="s">
        <v>20</v>
      </c>
      <c r="O3285" s="23" t="s">
        <v>23</v>
      </c>
      <c r="P3285" s="23" t="s">
        <v>405</v>
      </c>
      <c r="Q3285" s="23" t="s">
        <v>39</v>
      </c>
      <c r="R3285" s="23" t="s">
        <v>7237</v>
      </c>
      <c r="S3285" s="33">
        <v>0.7</v>
      </c>
      <c r="T3285" s="13">
        <v>1.1879999999999999</v>
      </c>
      <c r="U3285" s="13">
        <v>-0.99</v>
      </c>
      <c r="V3285" s="55">
        <f>Table3[[#This Row],[Profit]]/Table3[[#This Row],[Sales]]</f>
        <v>-0.83333333333333337</v>
      </c>
    </row>
    <row r="3286" spans="1:22" x14ac:dyDescent="0.2">
      <c r="A3286">
        <v>3285</v>
      </c>
      <c r="B3286" t="s">
        <v>7944</v>
      </c>
      <c r="C3286" s="1">
        <v>43097</v>
      </c>
      <c r="D3286" s="22">
        <f>MONTH(Table3[[#This Row],[Order Date]])</f>
        <v>12</v>
      </c>
      <c r="E3286" t="s">
        <v>251</v>
      </c>
      <c r="F3286" t="s">
        <v>252</v>
      </c>
      <c r="G3286" s="23" t="s">
        <v>28</v>
      </c>
      <c r="H3286" s="23" t="s">
        <v>32</v>
      </c>
      <c r="I3286" t="s">
        <v>5632</v>
      </c>
      <c r="J3286" t="s">
        <v>36</v>
      </c>
      <c r="K3286" s="22">
        <v>6</v>
      </c>
      <c r="L3286" s="1">
        <v>43100</v>
      </c>
      <c r="M3286" s="22">
        <f>Table3[[#This Row],[Ship Date]]-Table3[[#This Row],[Order Date]]</f>
        <v>3</v>
      </c>
      <c r="N3286" s="23" t="s">
        <v>169</v>
      </c>
      <c r="O3286" s="23" t="s">
        <v>23</v>
      </c>
      <c r="P3286" s="23" t="s">
        <v>38</v>
      </c>
      <c r="Q3286" s="23" t="s">
        <v>39</v>
      </c>
      <c r="R3286" s="23" t="s">
        <v>1037</v>
      </c>
      <c r="S3286" s="33">
        <v>0.2</v>
      </c>
      <c r="T3286" s="13">
        <v>340.70400000000001</v>
      </c>
      <c r="U3286" s="13">
        <v>-34.070399999999999</v>
      </c>
      <c r="V3286" s="55">
        <f>Table3[[#This Row],[Profit]]/Table3[[#This Row],[Sales]]</f>
        <v>-9.9999999999999992E-2</v>
      </c>
    </row>
    <row r="3287" spans="1:22" x14ac:dyDescent="0.2">
      <c r="A3287">
        <v>3286</v>
      </c>
      <c r="B3287" t="s">
        <v>8340</v>
      </c>
      <c r="C3287" s="1">
        <v>43097</v>
      </c>
      <c r="D3287" s="22">
        <f>MONTH(Table3[[#This Row],[Order Date]])</f>
        <v>12</v>
      </c>
      <c r="E3287" t="s">
        <v>4874</v>
      </c>
      <c r="F3287" t="s">
        <v>4875</v>
      </c>
      <c r="G3287" s="23" t="s">
        <v>41</v>
      </c>
      <c r="H3287" s="23" t="s">
        <v>68</v>
      </c>
      <c r="I3287" t="s">
        <v>5001</v>
      </c>
      <c r="J3287" t="s">
        <v>36</v>
      </c>
      <c r="K3287" s="22">
        <v>5</v>
      </c>
      <c r="L3287" s="1">
        <v>43101</v>
      </c>
      <c r="M3287" s="22">
        <f>Table3[[#This Row],[Ship Date]]-Table3[[#This Row],[Order Date]]</f>
        <v>4</v>
      </c>
      <c r="N3287" s="23" t="s">
        <v>45</v>
      </c>
      <c r="O3287" s="23" t="s">
        <v>23</v>
      </c>
      <c r="P3287" s="23" t="s">
        <v>189</v>
      </c>
      <c r="Q3287" s="23" t="s">
        <v>95</v>
      </c>
      <c r="R3287" s="23" t="s">
        <v>1223</v>
      </c>
      <c r="S3287" s="33">
        <v>0.8</v>
      </c>
      <c r="T3287" s="13">
        <v>1.68</v>
      </c>
      <c r="U3287" s="13">
        <v>-2.6880000000000002</v>
      </c>
      <c r="V3287" s="55">
        <f>Table3[[#This Row],[Profit]]/Table3[[#This Row],[Sales]]</f>
        <v>-1.6</v>
      </c>
    </row>
    <row r="3288" spans="1:22" x14ac:dyDescent="0.2">
      <c r="A3288">
        <v>3287</v>
      </c>
      <c r="B3288" t="s">
        <v>8340</v>
      </c>
      <c r="C3288" s="1">
        <v>43097</v>
      </c>
      <c r="D3288" s="22">
        <f>MONTH(Table3[[#This Row],[Order Date]])</f>
        <v>12</v>
      </c>
      <c r="E3288" t="s">
        <v>5662</v>
      </c>
      <c r="F3288" t="s">
        <v>5663</v>
      </c>
      <c r="G3288" s="23" t="s">
        <v>28</v>
      </c>
      <c r="H3288" s="23" t="s">
        <v>58</v>
      </c>
      <c r="I3288" t="s">
        <v>5001</v>
      </c>
      <c r="J3288" t="s">
        <v>36</v>
      </c>
      <c r="K3288" s="22">
        <v>3</v>
      </c>
      <c r="L3288" s="1">
        <v>43101</v>
      </c>
      <c r="M3288" s="22">
        <f>Table3[[#This Row],[Ship Date]]-Table3[[#This Row],[Order Date]]</f>
        <v>4</v>
      </c>
      <c r="N3288" s="23" t="s">
        <v>45</v>
      </c>
      <c r="O3288" s="23" t="s">
        <v>23</v>
      </c>
      <c r="P3288" s="23" t="s">
        <v>189</v>
      </c>
      <c r="Q3288" s="23" t="s">
        <v>95</v>
      </c>
      <c r="R3288" s="23" t="s">
        <v>1223</v>
      </c>
      <c r="S3288" s="33">
        <v>0.6</v>
      </c>
      <c r="T3288" s="13">
        <v>7.968</v>
      </c>
      <c r="U3288" s="13">
        <v>-2.3904000000000001</v>
      </c>
      <c r="V3288" s="55">
        <f>Table3[[#This Row],[Profit]]/Table3[[#This Row],[Sales]]</f>
        <v>-0.3</v>
      </c>
    </row>
    <row r="3289" spans="1:22" x14ac:dyDescent="0.2">
      <c r="A3289">
        <v>3288</v>
      </c>
      <c r="B3289" t="s">
        <v>8340</v>
      </c>
      <c r="C3289" s="1">
        <v>43097</v>
      </c>
      <c r="D3289" s="22">
        <f>MONTH(Table3[[#This Row],[Order Date]])</f>
        <v>12</v>
      </c>
      <c r="E3289" t="s">
        <v>633</v>
      </c>
      <c r="F3289" t="s">
        <v>634</v>
      </c>
      <c r="G3289" s="23" t="s">
        <v>28</v>
      </c>
      <c r="H3289" s="23" t="s">
        <v>32</v>
      </c>
      <c r="I3289" t="s">
        <v>5001</v>
      </c>
      <c r="J3289" t="s">
        <v>36</v>
      </c>
      <c r="K3289" s="22">
        <v>2</v>
      </c>
      <c r="L3289" s="1">
        <v>43101</v>
      </c>
      <c r="M3289" s="22">
        <f>Table3[[#This Row],[Ship Date]]-Table3[[#This Row],[Order Date]]</f>
        <v>4</v>
      </c>
      <c r="N3289" s="23" t="s">
        <v>45</v>
      </c>
      <c r="O3289" s="23" t="s">
        <v>23</v>
      </c>
      <c r="P3289" s="23" t="s">
        <v>189</v>
      </c>
      <c r="Q3289" s="23" t="s">
        <v>95</v>
      </c>
      <c r="R3289" s="23" t="s">
        <v>1223</v>
      </c>
      <c r="S3289" s="33">
        <v>0.3</v>
      </c>
      <c r="T3289" s="13">
        <v>113.372</v>
      </c>
      <c r="U3289" s="13">
        <v>-3.2391999999999999</v>
      </c>
      <c r="V3289" s="55">
        <f>Table3[[#This Row],[Profit]]/Table3[[#This Row],[Sales]]</f>
        <v>-2.8571428571428571E-2</v>
      </c>
    </row>
    <row r="3290" spans="1:22" x14ac:dyDescent="0.2">
      <c r="A3290">
        <v>3289</v>
      </c>
      <c r="B3290" t="s">
        <v>8340</v>
      </c>
      <c r="C3290" s="1">
        <v>43097</v>
      </c>
      <c r="D3290" s="22">
        <f>MONTH(Table3[[#This Row],[Order Date]])</f>
        <v>12</v>
      </c>
      <c r="E3290" t="s">
        <v>1204</v>
      </c>
      <c r="F3290" t="s">
        <v>1205</v>
      </c>
      <c r="G3290" s="23" t="s">
        <v>28</v>
      </c>
      <c r="H3290" s="23" t="s">
        <v>58</v>
      </c>
      <c r="I3290" t="s">
        <v>5001</v>
      </c>
      <c r="J3290" t="s">
        <v>36</v>
      </c>
      <c r="K3290" s="22">
        <v>2</v>
      </c>
      <c r="L3290" s="1">
        <v>43101</v>
      </c>
      <c r="M3290" s="22">
        <f>Table3[[#This Row],[Ship Date]]-Table3[[#This Row],[Order Date]]</f>
        <v>4</v>
      </c>
      <c r="N3290" s="23" t="s">
        <v>45</v>
      </c>
      <c r="O3290" s="23" t="s">
        <v>23</v>
      </c>
      <c r="P3290" s="23" t="s">
        <v>189</v>
      </c>
      <c r="Q3290" s="23" t="s">
        <v>95</v>
      </c>
      <c r="R3290" s="23" t="s">
        <v>1223</v>
      </c>
      <c r="S3290" s="33">
        <v>0.6</v>
      </c>
      <c r="T3290" s="13">
        <v>2.96</v>
      </c>
      <c r="U3290" s="13">
        <v>-1.4059999999999999</v>
      </c>
      <c r="V3290" s="55">
        <f>Table3[[#This Row],[Profit]]/Table3[[#This Row],[Sales]]</f>
        <v>-0.47499999999999998</v>
      </c>
    </row>
    <row r="3291" spans="1:22" x14ac:dyDescent="0.2">
      <c r="A3291">
        <v>3290</v>
      </c>
      <c r="B3291" t="s">
        <v>8725</v>
      </c>
      <c r="C3291" s="1">
        <v>43097</v>
      </c>
      <c r="D3291" s="22">
        <f>MONTH(Table3[[#This Row],[Order Date]])</f>
        <v>12</v>
      </c>
      <c r="E3291" t="s">
        <v>8726</v>
      </c>
      <c r="F3291" t="s">
        <v>2673</v>
      </c>
      <c r="G3291" s="23" t="s">
        <v>41</v>
      </c>
      <c r="H3291" s="23" t="s">
        <v>61</v>
      </c>
      <c r="I3291" t="s">
        <v>337</v>
      </c>
      <c r="J3291" t="s">
        <v>92</v>
      </c>
      <c r="K3291" s="22">
        <v>1</v>
      </c>
      <c r="L3291" s="1">
        <v>43102</v>
      </c>
      <c r="M3291" s="22">
        <f>Table3[[#This Row],[Ship Date]]-Table3[[#This Row],[Order Date]]</f>
        <v>5</v>
      </c>
      <c r="N3291" s="23" t="s">
        <v>45</v>
      </c>
      <c r="O3291" s="23" t="s">
        <v>23</v>
      </c>
      <c r="P3291" s="23" t="s">
        <v>6710</v>
      </c>
      <c r="Q3291" s="23" t="s">
        <v>95</v>
      </c>
      <c r="R3291" s="23" t="s">
        <v>6709</v>
      </c>
      <c r="S3291" s="33">
        <v>0</v>
      </c>
      <c r="T3291" s="13">
        <v>2.48</v>
      </c>
      <c r="U3291" s="13">
        <v>0.86799999999999999</v>
      </c>
      <c r="V3291" s="55">
        <f>Table3[[#This Row],[Profit]]/Table3[[#This Row],[Sales]]</f>
        <v>0.35</v>
      </c>
    </row>
    <row r="3292" spans="1:22" x14ac:dyDescent="0.2">
      <c r="A3292">
        <v>3291</v>
      </c>
      <c r="B3292" t="s">
        <v>8725</v>
      </c>
      <c r="C3292" s="1">
        <v>43097</v>
      </c>
      <c r="D3292" s="22">
        <f>MONTH(Table3[[#This Row],[Order Date]])</f>
        <v>12</v>
      </c>
      <c r="E3292" t="s">
        <v>5691</v>
      </c>
      <c r="F3292" t="s">
        <v>5692</v>
      </c>
      <c r="G3292" s="23" t="s">
        <v>41</v>
      </c>
      <c r="H3292" s="23" t="s">
        <v>68</v>
      </c>
      <c r="I3292" t="s">
        <v>337</v>
      </c>
      <c r="J3292" t="s">
        <v>92</v>
      </c>
      <c r="K3292" s="22">
        <v>5</v>
      </c>
      <c r="L3292" s="1">
        <v>43102</v>
      </c>
      <c r="M3292" s="22">
        <f>Table3[[#This Row],[Ship Date]]-Table3[[#This Row],[Order Date]]</f>
        <v>5</v>
      </c>
      <c r="N3292" s="23" t="s">
        <v>45</v>
      </c>
      <c r="O3292" s="23" t="s">
        <v>23</v>
      </c>
      <c r="P3292" s="23" t="s">
        <v>6710</v>
      </c>
      <c r="Q3292" s="23" t="s">
        <v>95</v>
      </c>
      <c r="R3292" s="23" t="s">
        <v>6709</v>
      </c>
      <c r="S3292" s="33">
        <v>0</v>
      </c>
      <c r="T3292" s="13">
        <v>25.9</v>
      </c>
      <c r="U3292" s="13">
        <v>12.691000000000001</v>
      </c>
      <c r="V3292" s="55">
        <f>Table3[[#This Row],[Profit]]/Table3[[#This Row],[Sales]]</f>
        <v>0.49000000000000005</v>
      </c>
    </row>
    <row r="3293" spans="1:22" x14ac:dyDescent="0.2">
      <c r="A3293">
        <v>3292</v>
      </c>
      <c r="B3293" t="s">
        <v>9047</v>
      </c>
      <c r="C3293" s="1">
        <v>43097</v>
      </c>
      <c r="D3293" s="22">
        <f>MONTH(Table3[[#This Row],[Order Date]])</f>
        <v>12</v>
      </c>
      <c r="E3293" t="s">
        <v>1366</v>
      </c>
      <c r="F3293" t="s">
        <v>1367</v>
      </c>
      <c r="G3293" s="23" t="s">
        <v>41</v>
      </c>
      <c r="H3293" s="23" t="s">
        <v>53</v>
      </c>
      <c r="I3293" t="s">
        <v>4719</v>
      </c>
      <c r="J3293" t="s">
        <v>22</v>
      </c>
      <c r="K3293" s="22">
        <v>5</v>
      </c>
      <c r="L3293" s="1">
        <v>43101</v>
      </c>
      <c r="M3293" s="22">
        <f>Table3[[#This Row],[Ship Date]]-Table3[[#This Row],[Order Date]]</f>
        <v>4</v>
      </c>
      <c r="N3293" s="23" t="s">
        <v>45</v>
      </c>
      <c r="O3293" s="23" t="s">
        <v>23</v>
      </c>
      <c r="P3293" s="23" t="s">
        <v>589</v>
      </c>
      <c r="Q3293" s="23" t="s">
        <v>39</v>
      </c>
      <c r="R3293" s="23" t="s">
        <v>4858</v>
      </c>
      <c r="S3293" s="33">
        <v>0</v>
      </c>
      <c r="T3293" s="13">
        <v>118.25</v>
      </c>
      <c r="U3293" s="13">
        <v>34.292499999999997</v>
      </c>
      <c r="V3293" s="55">
        <f>Table3[[#This Row],[Profit]]/Table3[[#This Row],[Sales]]</f>
        <v>0.28999999999999998</v>
      </c>
    </row>
    <row r="3294" spans="1:22" x14ac:dyDescent="0.2">
      <c r="A3294">
        <v>3293</v>
      </c>
      <c r="B3294" t="s">
        <v>9047</v>
      </c>
      <c r="C3294" s="1">
        <v>43097</v>
      </c>
      <c r="D3294" s="22">
        <f>MONTH(Table3[[#This Row],[Order Date]])</f>
        <v>12</v>
      </c>
      <c r="E3294" t="s">
        <v>5327</v>
      </c>
      <c r="F3294" t="s">
        <v>5328</v>
      </c>
      <c r="G3294" s="23" t="s">
        <v>41</v>
      </c>
      <c r="H3294" s="23" t="s">
        <v>82</v>
      </c>
      <c r="I3294" t="s">
        <v>4719</v>
      </c>
      <c r="J3294" t="s">
        <v>22</v>
      </c>
      <c r="K3294" s="22">
        <v>1</v>
      </c>
      <c r="L3294" s="1">
        <v>43101</v>
      </c>
      <c r="M3294" s="22">
        <f>Table3[[#This Row],[Ship Date]]-Table3[[#This Row],[Order Date]]</f>
        <v>4</v>
      </c>
      <c r="N3294" s="23" t="s">
        <v>45</v>
      </c>
      <c r="O3294" s="23" t="s">
        <v>23</v>
      </c>
      <c r="P3294" s="23" t="s">
        <v>589</v>
      </c>
      <c r="Q3294" s="23" t="s">
        <v>39</v>
      </c>
      <c r="R3294" s="23" t="s">
        <v>4858</v>
      </c>
      <c r="S3294" s="33">
        <v>0</v>
      </c>
      <c r="T3294" s="13">
        <v>4.28</v>
      </c>
      <c r="U3294" s="13">
        <v>1.9259999999999999</v>
      </c>
      <c r="V3294" s="55">
        <f>Table3[[#This Row],[Profit]]/Table3[[#This Row],[Sales]]</f>
        <v>0.44999999999999996</v>
      </c>
    </row>
    <row r="3295" spans="1:22" x14ac:dyDescent="0.2">
      <c r="A3295">
        <v>3294</v>
      </c>
      <c r="B3295" t="s">
        <v>4142</v>
      </c>
      <c r="C3295" s="1">
        <v>43098</v>
      </c>
      <c r="D3295" s="22">
        <f>MONTH(Table3[[#This Row],[Order Date]])</f>
        <v>12</v>
      </c>
      <c r="E3295" t="s">
        <v>2803</v>
      </c>
      <c r="F3295" t="s">
        <v>2804</v>
      </c>
      <c r="G3295" s="23" t="s">
        <v>28</v>
      </c>
      <c r="H3295" s="23" t="s">
        <v>32</v>
      </c>
      <c r="I3295" t="s">
        <v>3761</v>
      </c>
      <c r="J3295" t="s">
        <v>22</v>
      </c>
      <c r="K3295" s="22">
        <v>4</v>
      </c>
      <c r="L3295" s="1">
        <v>43102</v>
      </c>
      <c r="M3295" s="22">
        <f>Table3[[#This Row],[Ship Date]]-Table3[[#This Row],[Order Date]]</f>
        <v>4</v>
      </c>
      <c r="N3295" s="23" t="s">
        <v>45</v>
      </c>
      <c r="O3295" s="23" t="s">
        <v>23</v>
      </c>
      <c r="P3295" s="23" t="s">
        <v>38</v>
      </c>
      <c r="Q3295" s="23" t="s">
        <v>39</v>
      </c>
      <c r="R3295" s="23" t="s">
        <v>37</v>
      </c>
      <c r="S3295" s="33">
        <v>0.2</v>
      </c>
      <c r="T3295" s="13">
        <v>393.56799999999998</v>
      </c>
      <c r="U3295" s="13">
        <v>-44.276400000000002</v>
      </c>
      <c r="V3295" s="55">
        <f>Table3[[#This Row],[Profit]]/Table3[[#This Row],[Sales]]</f>
        <v>-0.11250000000000002</v>
      </c>
    </row>
    <row r="3296" spans="1:22" x14ac:dyDescent="0.2">
      <c r="A3296">
        <v>3295</v>
      </c>
      <c r="B3296" t="s">
        <v>4142</v>
      </c>
      <c r="C3296" s="1">
        <v>43098</v>
      </c>
      <c r="D3296" s="22">
        <f>MONTH(Table3[[#This Row],[Order Date]])</f>
        <v>12</v>
      </c>
      <c r="E3296" t="s">
        <v>758</v>
      </c>
      <c r="F3296" t="s">
        <v>759</v>
      </c>
      <c r="G3296" s="23" t="s">
        <v>64</v>
      </c>
      <c r="H3296" s="23" t="s">
        <v>65</v>
      </c>
      <c r="I3296" t="s">
        <v>3761</v>
      </c>
      <c r="J3296" t="s">
        <v>22</v>
      </c>
      <c r="K3296" s="22">
        <v>3</v>
      </c>
      <c r="L3296" s="1">
        <v>43102</v>
      </c>
      <c r="M3296" s="22">
        <f>Table3[[#This Row],[Ship Date]]-Table3[[#This Row],[Order Date]]</f>
        <v>4</v>
      </c>
      <c r="N3296" s="23" t="s">
        <v>45</v>
      </c>
      <c r="O3296" s="23" t="s">
        <v>23</v>
      </c>
      <c r="P3296" s="23" t="s">
        <v>38</v>
      </c>
      <c r="Q3296" s="23" t="s">
        <v>39</v>
      </c>
      <c r="R3296" s="23" t="s">
        <v>37</v>
      </c>
      <c r="S3296" s="33">
        <v>0.2</v>
      </c>
      <c r="T3296" s="13">
        <v>302.37599999999998</v>
      </c>
      <c r="U3296" s="13">
        <v>22.6782</v>
      </c>
      <c r="V3296" s="55">
        <f>Table3[[#This Row],[Profit]]/Table3[[#This Row],[Sales]]</f>
        <v>7.5000000000000011E-2</v>
      </c>
    </row>
    <row r="3297" spans="1:22" x14ac:dyDescent="0.2">
      <c r="A3297">
        <v>3296</v>
      </c>
      <c r="B3297" t="s">
        <v>5400</v>
      </c>
      <c r="C3297" s="1">
        <v>43098</v>
      </c>
      <c r="D3297" s="22">
        <f>MONTH(Table3[[#This Row],[Order Date]])</f>
        <v>12</v>
      </c>
      <c r="E3297" t="s">
        <v>508</v>
      </c>
      <c r="F3297" t="s">
        <v>509</v>
      </c>
      <c r="G3297" s="23" t="s">
        <v>41</v>
      </c>
      <c r="H3297" s="23" t="s">
        <v>240</v>
      </c>
      <c r="I3297" t="s">
        <v>1961</v>
      </c>
      <c r="J3297" t="s">
        <v>22</v>
      </c>
      <c r="K3297" s="22">
        <v>3</v>
      </c>
      <c r="L3297" s="1">
        <v>43100</v>
      </c>
      <c r="M3297" s="22">
        <f>Table3[[#This Row],[Ship Date]]-Table3[[#This Row],[Order Date]]</f>
        <v>2</v>
      </c>
      <c r="N3297" s="23" t="s">
        <v>169</v>
      </c>
      <c r="O3297" s="23" t="s">
        <v>23</v>
      </c>
      <c r="P3297" s="23" t="s">
        <v>238</v>
      </c>
      <c r="Q3297" s="23" t="s">
        <v>133</v>
      </c>
      <c r="R3297" s="23" t="s">
        <v>237</v>
      </c>
      <c r="S3297" s="33">
        <v>0</v>
      </c>
      <c r="T3297" s="13">
        <v>6.03</v>
      </c>
      <c r="U3297" s="13">
        <v>2.9546999999999999</v>
      </c>
      <c r="V3297" s="55">
        <f>Table3[[#This Row],[Profit]]/Table3[[#This Row],[Sales]]</f>
        <v>0.48999999999999994</v>
      </c>
    </row>
    <row r="3298" spans="1:22" x14ac:dyDescent="0.2">
      <c r="A3298">
        <v>3297</v>
      </c>
      <c r="B3298" t="s">
        <v>6611</v>
      </c>
      <c r="C3298" s="1">
        <v>43098</v>
      </c>
      <c r="D3298" s="22">
        <f>MONTH(Table3[[#This Row],[Order Date]])</f>
        <v>12</v>
      </c>
      <c r="E3298" t="s">
        <v>3154</v>
      </c>
      <c r="F3298" t="s">
        <v>3155</v>
      </c>
      <c r="G3298" s="23" t="s">
        <v>41</v>
      </c>
      <c r="H3298" s="23" t="s">
        <v>82</v>
      </c>
      <c r="I3298" t="s">
        <v>307</v>
      </c>
      <c r="J3298" t="s">
        <v>36</v>
      </c>
      <c r="K3298" s="22">
        <v>2</v>
      </c>
      <c r="L3298" s="1">
        <v>43104</v>
      </c>
      <c r="M3298" s="22">
        <f>Table3[[#This Row],[Ship Date]]-Table3[[#This Row],[Order Date]]</f>
        <v>6</v>
      </c>
      <c r="N3298" s="23" t="s">
        <v>45</v>
      </c>
      <c r="O3298" s="23" t="s">
        <v>23</v>
      </c>
      <c r="P3298" s="23" t="s">
        <v>212</v>
      </c>
      <c r="Q3298" s="23" t="s">
        <v>95</v>
      </c>
      <c r="R3298" s="23" t="s">
        <v>5779</v>
      </c>
      <c r="S3298" s="33">
        <v>0</v>
      </c>
      <c r="T3298" s="13">
        <v>209.7</v>
      </c>
      <c r="U3298" s="13">
        <v>100.65600000000001</v>
      </c>
      <c r="V3298" s="55">
        <f>Table3[[#This Row],[Profit]]/Table3[[#This Row],[Sales]]</f>
        <v>0.48000000000000004</v>
      </c>
    </row>
    <row r="3299" spans="1:22" x14ac:dyDescent="0.2">
      <c r="A3299">
        <v>3298</v>
      </c>
      <c r="B3299" t="s">
        <v>7262</v>
      </c>
      <c r="C3299" s="1">
        <v>43098</v>
      </c>
      <c r="D3299" s="22">
        <f>MONTH(Table3[[#This Row],[Order Date]])</f>
        <v>12</v>
      </c>
      <c r="E3299" t="s">
        <v>4759</v>
      </c>
      <c r="F3299" t="s">
        <v>4760</v>
      </c>
      <c r="G3299" s="23" t="s">
        <v>28</v>
      </c>
      <c r="H3299" s="23" t="s">
        <v>58</v>
      </c>
      <c r="I3299" t="s">
        <v>1001</v>
      </c>
      <c r="J3299" t="s">
        <v>36</v>
      </c>
      <c r="K3299" s="22">
        <v>8</v>
      </c>
      <c r="L3299" s="1">
        <v>43105</v>
      </c>
      <c r="M3299" s="22">
        <f>Table3[[#This Row],[Ship Date]]-Table3[[#This Row],[Order Date]]</f>
        <v>7</v>
      </c>
      <c r="N3299" s="23" t="s">
        <v>45</v>
      </c>
      <c r="O3299" s="23" t="s">
        <v>23</v>
      </c>
      <c r="P3299" s="23" t="s">
        <v>38</v>
      </c>
      <c r="Q3299" s="23" t="s">
        <v>39</v>
      </c>
      <c r="R3299" s="23" t="s">
        <v>1666</v>
      </c>
      <c r="S3299" s="33">
        <v>0</v>
      </c>
      <c r="T3299" s="13">
        <v>101.12</v>
      </c>
      <c r="U3299" s="13">
        <v>37.414400000000001</v>
      </c>
      <c r="V3299" s="55">
        <f>Table3[[#This Row],[Profit]]/Table3[[#This Row],[Sales]]</f>
        <v>0.37</v>
      </c>
    </row>
    <row r="3300" spans="1:22" x14ac:dyDescent="0.2">
      <c r="A3300">
        <v>3299</v>
      </c>
      <c r="B3300" t="s">
        <v>7498</v>
      </c>
      <c r="C3300" s="1">
        <v>43098</v>
      </c>
      <c r="D3300" s="22">
        <f>MONTH(Table3[[#This Row],[Order Date]])</f>
        <v>12</v>
      </c>
      <c r="E3300" t="s">
        <v>7499</v>
      </c>
      <c r="F3300" t="s">
        <v>7500</v>
      </c>
      <c r="G3300" s="23" t="s">
        <v>41</v>
      </c>
      <c r="H3300" s="23" t="s">
        <v>240</v>
      </c>
      <c r="I3300" t="s">
        <v>710</v>
      </c>
      <c r="J3300" t="s">
        <v>22</v>
      </c>
      <c r="K3300" s="22">
        <v>5</v>
      </c>
      <c r="L3300" s="1">
        <v>43102</v>
      </c>
      <c r="M3300" s="22">
        <f>Table3[[#This Row],[Ship Date]]-Table3[[#This Row],[Order Date]]</f>
        <v>4</v>
      </c>
      <c r="N3300" s="23" t="s">
        <v>45</v>
      </c>
      <c r="O3300" s="23" t="s">
        <v>23</v>
      </c>
      <c r="P3300" s="23" t="s">
        <v>87</v>
      </c>
      <c r="Q3300" s="23" t="s">
        <v>39</v>
      </c>
      <c r="R3300" s="23" t="s">
        <v>2230</v>
      </c>
      <c r="S3300" s="33">
        <v>0</v>
      </c>
      <c r="T3300" s="13">
        <v>19.600000000000001</v>
      </c>
      <c r="U3300" s="13">
        <v>9.6039999999999992</v>
      </c>
      <c r="V3300" s="55">
        <f>Table3[[#This Row],[Profit]]/Table3[[#This Row],[Sales]]</f>
        <v>0.48999999999999994</v>
      </c>
    </row>
    <row r="3301" spans="1:22" x14ac:dyDescent="0.2">
      <c r="A3301">
        <v>3300</v>
      </c>
      <c r="B3301" t="s">
        <v>7498</v>
      </c>
      <c r="C3301" s="1">
        <v>43098</v>
      </c>
      <c r="D3301" s="22">
        <f>MONTH(Table3[[#This Row],[Order Date]])</f>
        <v>12</v>
      </c>
      <c r="E3301" t="s">
        <v>4195</v>
      </c>
      <c r="F3301" t="s">
        <v>4196</v>
      </c>
      <c r="G3301" s="23" t="s">
        <v>28</v>
      </c>
      <c r="H3301" s="23" t="s">
        <v>58</v>
      </c>
      <c r="I3301" t="s">
        <v>710</v>
      </c>
      <c r="J3301" t="s">
        <v>22</v>
      </c>
      <c r="K3301" s="22">
        <v>2</v>
      </c>
      <c r="L3301" s="1">
        <v>43102</v>
      </c>
      <c r="M3301" s="22">
        <f>Table3[[#This Row],[Ship Date]]-Table3[[#This Row],[Order Date]]</f>
        <v>4</v>
      </c>
      <c r="N3301" s="23" t="s">
        <v>45</v>
      </c>
      <c r="O3301" s="23" t="s">
        <v>23</v>
      </c>
      <c r="P3301" s="23" t="s">
        <v>87</v>
      </c>
      <c r="Q3301" s="23" t="s">
        <v>39</v>
      </c>
      <c r="R3301" s="23" t="s">
        <v>2230</v>
      </c>
      <c r="S3301" s="33">
        <v>0</v>
      </c>
      <c r="T3301" s="13">
        <v>68.459999999999994</v>
      </c>
      <c r="U3301" s="13">
        <v>20.538</v>
      </c>
      <c r="V3301" s="55">
        <f>Table3[[#This Row],[Profit]]/Table3[[#This Row],[Sales]]</f>
        <v>0.30000000000000004</v>
      </c>
    </row>
    <row r="3302" spans="1:22" x14ac:dyDescent="0.2">
      <c r="A3302">
        <v>3301</v>
      </c>
      <c r="B3302" t="s">
        <v>8794</v>
      </c>
      <c r="C3302" s="1">
        <v>43098</v>
      </c>
      <c r="D3302" s="22">
        <f>MONTH(Table3[[#This Row],[Order Date]])</f>
        <v>12</v>
      </c>
      <c r="E3302" t="s">
        <v>1029</v>
      </c>
      <c r="F3302" t="s">
        <v>1030</v>
      </c>
      <c r="G3302" s="23" t="s">
        <v>28</v>
      </c>
      <c r="H3302" s="23" t="s">
        <v>32</v>
      </c>
      <c r="I3302" t="s">
        <v>2542</v>
      </c>
      <c r="J3302" t="s">
        <v>22</v>
      </c>
      <c r="K3302" s="22">
        <v>8</v>
      </c>
      <c r="L3302" s="1">
        <v>43101</v>
      </c>
      <c r="M3302" s="22">
        <f>Table3[[#This Row],[Ship Date]]-Table3[[#This Row],[Order Date]]</f>
        <v>3</v>
      </c>
      <c r="N3302" s="23" t="s">
        <v>20</v>
      </c>
      <c r="O3302" s="23" t="s">
        <v>23</v>
      </c>
      <c r="P3302" s="23" t="s">
        <v>25</v>
      </c>
      <c r="Q3302" s="23" t="s">
        <v>26</v>
      </c>
      <c r="R3302" s="23" t="s">
        <v>1303</v>
      </c>
      <c r="S3302" s="33">
        <v>0</v>
      </c>
      <c r="T3302" s="13">
        <v>1207.8399999999999</v>
      </c>
      <c r="U3302" s="13">
        <v>314.03840000000002</v>
      </c>
      <c r="V3302" s="55">
        <f>Table3[[#This Row],[Profit]]/Table3[[#This Row],[Sales]]</f>
        <v>0.26000000000000006</v>
      </c>
    </row>
    <row r="3303" spans="1:22" x14ac:dyDescent="0.2">
      <c r="A3303">
        <v>3302</v>
      </c>
      <c r="B3303" t="s">
        <v>8794</v>
      </c>
      <c r="C3303" s="1">
        <v>43098</v>
      </c>
      <c r="D3303" s="22">
        <f>MONTH(Table3[[#This Row],[Order Date]])</f>
        <v>12</v>
      </c>
      <c r="E3303" t="s">
        <v>3853</v>
      </c>
      <c r="F3303" t="s">
        <v>3854</v>
      </c>
      <c r="G3303" s="23" t="s">
        <v>41</v>
      </c>
      <c r="H3303" s="23" t="s">
        <v>68</v>
      </c>
      <c r="I3303" t="s">
        <v>2542</v>
      </c>
      <c r="J3303" t="s">
        <v>22</v>
      </c>
      <c r="K3303" s="22">
        <v>1</v>
      </c>
      <c r="L3303" s="1">
        <v>43101</v>
      </c>
      <c r="M3303" s="22">
        <f>Table3[[#This Row],[Ship Date]]-Table3[[#This Row],[Order Date]]</f>
        <v>3</v>
      </c>
      <c r="N3303" s="23" t="s">
        <v>20</v>
      </c>
      <c r="O3303" s="23" t="s">
        <v>23</v>
      </c>
      <c r="P3303" s="23" t="s">
        <v>25</v>
      </c>
      <c r="Q3303" s="23" t="s">
        <v>26</v>
      </c>
      <c r="R3303" s="23" t="s">
        <v>1303</v>
      </c>
      <c r="S3303" s="33">
        <v>0</v>
      </c>
      <c r="T3303" s="13">
        <v>12.53</v>
      </c>
      <c r="U3303" s="13">
        <v>5.8891</v>
      </c>
      <c r="V3303" s="55">
        <f>Table3[[#This Row],[Profit]]/Table3[[#This Row],[Sales]]</f>
        <v>0.47000000000000003</v>
      </c>
    </row>
    <row r="3304" spans="1:22" x14ac:dyDescent="0.2">
      <c r="A3304">
        <v>3303</v>
      </c>
      <c r="B3304" t="s">
        <v>8794</v>
      </c>
      <c r="C3304" s="1">
        <v>43098</v>
      </c>
      <c r="D3304" s="22">
        <f>MONTH(Table3[[#This Row],[Order Date]])</f>
        <v>12</v>
      </c>
      <c r="E3304" t="s">
        <v>4521</v>
      </c>
      <c r="F3304" t="s">
        <v>4522</v>
      </c>
      <c r="G3304" s="23" t="s">
        <v>41</v>
      </c>
      <c r="H3304" s="23" t="s">
        <v>61</v>
      </c>
      <c r="I3304" t="s">
        <v>2542</v>
      </c>
      <c r="J3304" t="s">
        <v>22</v>
      </c>
      <c r="K3304" s="22">
        <v>1</v>
      </c>
      <c r="L3304" s="1">
        <v>43101</v>
      </c>
      <c r="M3304" s="22">
        <f>Table3[[#This Row],[Ship Date]]-Table3[[#This Row],[Order Date]]</f>
        <v>3</v>
      </c>
      <c r="N3304" s="23" t="s">
        <v>20</v>
      </c>
      <c r="O3304" s="23" t="s">
        <v>23</v>
      </c>
      <c r="P3304" s="23" t="s">
        <v>25</v>
      </c>
      <c r="Q3304" s="23" t="s">
        <v>26</v>
      </c>
      <c r="R3304" s="23" t="s">
        <v>1303</v>
      </c>
      <c r="S3304" s="33">
        <v>0</v>
      </c>
      <c r="T3304" s="13">
        <v>34.58</v>
      </c>
      <c r="U3304" s="13">
        <v>10.0282</v>
      </c>
      <c r="V3304" s="55">
        <f>Table3[[#This Row],[Profit]]/Table3[[#This Row],[Sales]]</f>
        <v>0.29000000000000004</v>
      </c>
    </row>
    <row r="3305" spans="1:22" x14ac:dyDescent="0.2">
      <c r="A3305">
        <v>3304</v>
      </c>
      <c r="B3305" t="s">
        <v>8794</v>
      </c>
      <c r="C3305" s="1">
        <v>43098</v>
      </c>
      <c r="D3305" s="22">
        <f>MONTH(Table3[[#This Row],[Order Date]])</f>
        <v>12</v>
      </c>
      <c r="E3305" t="s">
        <v>5673</v>
      </c>
      <c r="F3305" t="s">
        <v>5674</v>
      </c>
      <c r="G3305" s="23" t="s">
        <v>28</v>
      </c>
      <c r="H3305" s="23" t="s">
        <v>32</v>
      </c>
      <c r="I3305" t="s">
        <v>2542</v>
      </c>
      <c r="J3305" t="s">
        <v>22</v>
      </c>
      <c r="K3305" s="22">
        <v>1</v>
      </c>
      <c r="L3305" s="1">
        <v>43101</v>
      </c>
      <c r="M3305" s="22">
        <f>Table3[[#This Row],[Ship Date]]-Table3[[#This Row],[Order Date]]</f>
        <v>3</v>
      </c>
      <c r="N3305" s="23" t="s">
        <v>20</v>
      </c>
      <c r="O3305" s="23" t="s">
        <v>23</v>
      </c>
      <c r="P3305" s="23" t="s">
        <v>25</v>
      </c>
      <c r="Q3305" s="23" t="s">
        <v>26</v>
      </c>
      <c r="R3305" s="23" t="s">
        <v>1303</v>
      </c>
      <c r="S3305" s="33">
        <v>0</v>
      </c>
      <c r="T3305" s="13">
        <v>300.98</v>
      </c>
      <c r="U3305" s="13">
        <v>87.284199999999998</v>
      </c>
      <c r="V3305" s="55">
        <f>Table3[[#This Row],[Profit]]/Table3[[#This Row],[Sales]]</f>
        <v>0.28999999999999998</v>
      </c>
    </row>
    <row r="3306" spans="1:22" x14ac:dyDescent="0.2">
      <c r="A3306">
        <v>3305</v>
      </c>
      <c r="B3306" t="s">
        <v>8794</v>
      </c>
      <c r="C3306" s="1">
        <v>43098</v>
      </c>
      <c r="D3306" s="22">
        <f>MONTH(Table3[[#This Row],[Order Date]])</f>
        <v>12</v>
      </c>
      <c r="E3306" t="s">
        <v>2979</v>
      </c>
      <c r="F3306" t="s">
        <v>2980</v>
      </c>
      <c r="G3306" s="23" t="s">
        <v>28</v>
      </c>
      <c r="H3306" s="23" t="s">
        <v>32</v>
      </c>
      <c r="I3306" t="s">
        <v>2542</v>
      </c>
      <c r="J3306" t="s">
        <v>22</v>
      </c>
      <c r="K3306" s="22">
        <v>3</v>
      </c>
      <c r="L3306" s="1">
        <v>43101</v>
      </c>
      <c r="M3306" s="22">
        <f>Table3[[#This Row],[Ship Date]]-Table3[[#This Row],[Order Date]]</f>
        <v>3</v>
      </c>
      <c r="N3306" s="23" t="s">
        <v>20</v>
      </c>
      <c r="O3306" s="23" t="s">
        <v>23</v>
      </c>
      <c r="P3306" s="23" t="s">
        <v>25</v>
      </c>
      <c r="Q3306" s="23" t="s">
        <v>26</v>
      </c>
      <c r="R3306" s="23" t="s">
        <v>1303</v>
      </c>
      <c r="S3306" s="33">
        <v>0</v>
      </c>
      <c r="T3306" s="13">
        <v>258.75</v>
      </c>
      <c r="U3306" s="13">
        <v>77.625</v>
      </c>
      <c r="V3306" s="55">
        <f>Table3[[#This Row],[Profit]]/Table3[[#This Row],[Sales]]</f>
        <v>0.3</v>
      </c>
    </row>
    <row r="3307" spans="1:22" x14ac:dyDescent="0.2">
      <c r="A3307">
        <v>3306</v>
      </c>
      <c r="B3307" t="s">
        <v>1877</v>
      </c>
      <c r="C3307" s="1">
        <v>43099</v>
      </c>
      <c r="D3307" s="22">
        <f>MONTH(Table3[[#This Row],[Order Date]])</f>
        <v>12</v>
      </c>
      <c r="E3307" t="s">
        <v>1879</v>
      </c>
      <c r="F3307" t="s">
        <v>1880</v>
      </c>
      <c r="G3307" s="23" t="s">
        <v>41</v>
      </c>
      <c r="H3307" s="23" t="s">
        <v>71</v>
      </c>
      <c r="I3307" t="s">
        <v>1878</v>
      </c>
      <c r="J3307" t="s">
        <v>92</v>
      </c>
      <c r="K3307" s="22">
        <v>2</v>
      </c>
      <c r="L3307" s="1">
        <v>43105</v>
      </c>
      <c r="M3307" s="22">
        <f>Table3[[#This Row],[Ship Date]]-Table3[[#This Row],[Order Date]]</f>
        <v>6</v>
      </c>
      <c r="N3307" s="23" t="s">
        <v>45</v>
      </c>
      <c r="O3307" s="23" t="s">
        <v>23</v>
      </c>
      <c r="P3307" s="23" t="s">
        <v>226</v>
      </c>
      <c r="Q3307" s="23" t="s">
        <v>95</v>
      </c>
      <c r="R3307" s="23" t="s">
        <v>440</v>
      </c>
      <c r="S3307" s="33">
        <v>0</v>
      </c>
      <c r="T3307" s="13">
        <v>209.3</v>
      </c>
      <c r="U3307" s="13">
        <v>56.511000000000003</v>
      </c>
      <c r="V3307" s="55">
        <f>Table3[[#This Row],[Profit]]/Table3[[#This Row],[Sales]]</f>
        <v>0.27</v>
      </c>
    </row>
    <row r="3308" spans="1:22" x14ac:dyDescent="0.2">
      <c r="A3308">
        <v>3307</v>
      </c>
      <c r="B3308" t="s">
        <v>2449</v>
      </c>
      <c r="C3308" s="1">
        <v>43099</v>
      </c>
      <c r="D3308" s="22">
        <f>MONTH(Table3[[#This Row],[Order Date]])</f>
        <v>12</v>
      </c>
      <c r="E3308" t="s">
        <v>2450</v>
      </c>
      <c r="F3308" t="s">
        <v>2451</v>
      </c>
      <c r="G3308" s="23" t="s">
        <v>28</v>
      </c>
      <c r="H3308" s="23" t="s">
        <v>29</v>
      </c>
      <c r="I3308" t="s">
        <v>210</v>
      </c>
      <c r="J3308" t="s">
        <v>22</v>
      </c>
      <c r="K3308" s="22">
        <v>4</v>
      </c>
      <c r="L3308" s="1">
        <v>43103</v>
      </c>
      <c r="M3308" s="22">
        <f>Table3[[#This Row],[Ship Date]]-Table3[[#This Row],[Order Date]]</f>
        <v>4</v>
      </c>
      <c r="N3308" s="23" t="s">
        <v>45</v>
      </c>
      <c r="O3308" s="23" t="s">
        <v>23</v>
      </c>
      <c r="P3308" s="23" t="s">
        <v>238</v>
      </c>
      <c r="Q3308" s="23" t="s">
        <v>133</v>
      </c>
      <c r="R3308" s="23" t="s">
        <v>237</v>
      </c>
      <c r="S3308" s="33">
        <v>0.2</v>
      </c>
      <c r="T3308" s="13">
        <v>323.13600000000002</v>
      </c>
      <c r="U3308" s="13">
        <v>12.117599999999999</v>
      </c>
      <c r="V3308" s="55">
        <f>Table3[[#This Row],[Profit]]/Table3[[#This Row],[Sales]]</f>
        <v>3.7499999999999999E-2</v>
      </c>
    </row>
    <row r="3309" spans="1:22" x14ac:dyDescent="0.2">
      <c r="A3309">
        <v>3308</v>
      </c>
      <c r="B3309" t="s">
        <v>2449</v>
      </c>
      <c r="C3309" s="1">
        <v>43099</v>
      </c>
      <c r="D3309" s="22">
        <f>MONTH(Table3[[#This Row],[Order Date]])</f>
        <v>12</v>
      </c>
      <c r="E3309" t="s">
        <v>2452</v>
      </c>
      <c r="F3309" t="s">
        <v>2453</v>
      </c>
      <c r="G3309" s="23" t="s">
        <v>64</v>
      </c>
      <c r="H3309" s="23" t="s">
        <v>65</v>
      </c>
      <c r="I3309" t="s">
        <v>210</v>
      </c>
      <c r="J3309" t="s">
        <v>22</v>
      </c>
      <c r="K3309" s="22">
        <v>7</v>
      </c>
      <c r="L3309" s="1">
        <v>43103</v>
      </c>
      <c r="M3309" s="22">
        <f>Table3[[#This Row],[Ship Date]]-Table3[[#This Row],[Order Date]]</f>
        <v>4</v>
      </c>
      <c r="N3309" s="23" t="s">
        <v>45</v>
      </c>
      <c r="O3309" s="23" t="s">
        <v>23</v>
      </c>
      <c r="P3309" s="23" t="s">
        <v>238</v>
      </c>
      <c r="Q3309" s="23" t="s">
        <v>133</v>
      </c>
      <c r="R3309" s="23" t="s">
        <v>237</v>
      </c>
      <c r="S3309" s="33">
        <v>0</v>
      </c>
      <c r="T3309" s="13">
        <v>90.93</v>
      </c>
      <c r="U3309" s="13">
        <v>2.7279</v>
      </c>
      <c r="V3309" s="55">
        <f>Table3[[#This Row],[Profit]]/Table3[[#This Row],[Sales]]</f>
        <v>0.03</v>
      </c>
    </row>
    <row r="3310" spans="1:22" x14ac:dyDescent="0.2">
      <c r="A3310">
        <v>3309</v>
      </c>
      <c r="B3310" t="s">
        <v>2449</v>
      </c>
      <c r="C3310" s="1">
        <v>43099</v>
      </c>
      <c r="D3310" s="22">
        <f>MONTH(Table3[[#This Row],[Order Date]])</f>
        <v>12</v>
      </c>
      <c r="E3310" t="s">
        <v>2454</v>
      </c>
      <c r="F3310" t="s">
        <v>2455</v>
      </c>
      <c r="G3310" s="23" t="s">
        <v>41</v>
      </c>
      <c r="H3310" s="23" t="s">
        <v>68</v>
      </c>
      <c r="I3310" t="s">
        <v>210</v>
      </c>
      <c r="J3310" t="s">
        <v>22</v>
      </c>
      <c r="K3310" s="22">
        <v>3</v>
      </c>
      <c r="L3310" s="1">
        <v>43103</v>
      </c>
      <c r="M3310" s="22">
        <f>Table3[[#This Row],[Ship Date]]-Table3[[#This Row],[Order Date]]</f>
        <v>4</v>
      </c>
      <c r="N3310" s="23" t="s">
        <v>45</v>
      </c>
      <c r="O3310" s="23" t="s">
        <v>23</v>
      </c>
      <c r="P3310" s="23" t="s">
        <v>238</v>
      </c>
      <c r="Q3310" s="23" t="s">
        <v>133</v>
      </c>
      <c r="R3310" s="23" t="s">
        <v>237</v>
      </c>
      <c r="S3310" s="33">
        <v>0.2</v>
      </c>
      <c r="T3310" s="13">
        <v>52.776000000000003</v>
      </c>
      <c r="U3310" s="13">
        <v>19.791</v>
      </c>
      <c r="V3310" s="55">
        <f>Table3[[#This Row],[Profit]]/Table3[[#This Row],[Sales]]</f>
        <v>0.375</v>
      </c>
    </row>
    <row r="3311" spans="1:22" x14ac:dyDescent="0.2">
      <c r="A3311">
        <v>3310</v>
      </c>
      <c r="B3311" t="s">
        <v>3178</v>
      </c>
      <c r="C3311" s="1">
        <v>43099</v>
      </c>
      <c r="D3311" s="22">
        <f>MONTH(Table3[[#This Row],[Order Date]])</f>
        <v>12</v>
      </c>
      <c r="E3311" t="s">
        <v>1811</v>
      </c>
      <c r="F3311" t="s">
        <v>1812</v>
      </c>
      <c r="G3311" s="23" t="s">
        <v>41</v>
      </c>
      <c r="H3311" s="23" t="s">
        <v>68</v>
      </c>
      <c r="I3311" t="s">
        <v>3179</v>
      </c>
      <c r="J3311" t="s">
        <v>36</v>
      </c>
      <c r="K3311" s="22">
        <v>2</v>
      </c>
      <c r="L3311" s="1">
        <v>43103</v>
      </c>
      <c r="M3311" s="22">
        <f>Table3[[#This Row],[Ship Date]]-Table3[[#This Row],[Order Date]]</f>
        <v>4</v>
      </c>
      <c r="N3311" s="23" t="s">
        <v>45</v>
      </c>
      <c r="O3311" s="23" t="s">
        <v>23</v>
      </c>
      <c r="P3311" s="23" t="s">
        <v>38</v>
      </c>
      <c r="Q3311" s="23" t="s">
        <v>39</v>
      </c>
      <c r="R3311" s="23" t="s">
        <v>659</v>
      </c>
      <c r="S3311" s="33">
        <v>0.2</v>
      </c>
      <c r="T3311" s="13">
        <v>13.904</v>
      </c>
      <c r="U3311" s="13">
        <v>4.5187999999999997</v>
      </c>
      <c r="V3311" s="55">
        <f>Table3[[#This Row],[Profit]]/Table3[[#This Row],[Sales]]</f>
        <v>0.32499999999999996</v>
      </c>
    </row>
    <row r="3312" spans="1:22" x14ac:dyDescent="0.2">
      <c r="A3312">
        <v>3311</v>
      </c>
      <c r="B3312" t="s">
        <v>3178</v>
      </c>
      <c r="C3312" s="1">
        <v>43099</v>
      </c>
      <c r="D3312" s="22">
        <f>MONTH(Table3[[#This Row],[Order Date]])</f>
        <v>12</v>
      </c>
      <c r="E3312" t="s">
        <v>1947</v>
      </c>
      <c r="F3312" t="s">
        <v>3180</v>
      </c>
      <c r="G3312" s="23" t="s">
        <v>41</v>
      </c>
      <c r="H3312" s="23" t="s">
        <v>68</v>
      </c>
      <c r="I3312" t="s">
        <v>3179</v>
      </c>
      <c r="J3312" t="s">
        <v>36</v>
      </c>
      <c r="K3312" s="22">
        <v>2</v>
      </c>
      <c r="L3312" s="1">
        <v>43103</v>
      </c>
      <c r="M3312" s="22">
        <f>Table3[[#This Row],[Ship Date]]-Table3[[#This Row],[Order Date]]</f>
        <v>4</v>
      </c>
      <c r="N3312" s="23" t="s">
        <v>45</v>
      </c>
      <c r="O3312" s="23" t="s">
        <v>23</v>
      </c>
      <c r="P3312" s="23" t="s">
        <v>38</v>
      </c>
      <c r="Q3312" s="23" t="s">
        <v>39</v>
      </c>
      <c r="R3312" s="23" t="s">
        <v>659</v>
      </c>
      <c r="S3312" s="33">
        <v>0.2</v>
      </c>
      <c r="T3312" s="13">
        <v>20.72</v>
      </c>
      <c r="U3312" s="13">
        <v>6.4749999999999996</v>
      </c>
      <c r="V3312" s="55">
        <f>Table3[[#This Row],[Profit]]/Table3[[#This Row],[Sales]]</f>
        <v>0.3125</v>
      </c>
    </row>
    <row r="3313" spans="1:22" x14ac:dyDescent="0.2">
      <c r="A3313">
        <v>3312</v>
      </c>
      <c r="B3313" t="s">
        <v>7238</v>
      </c>
      <c r="C3313" s="1">
        <v>43099</v>
      </c>
      <c r="D3313" s="22">
        <f>MONTH(Table3[[#This Row],[Order Date]])</f>
        <v>12</v>
      </c>
      <c r="E3313" t="s">
        <v>883</v>
      </c>
      <c r="F3313" t="s">
        <v>884</v>
      </c>
      <c r="G3313" s="23" t="s">
        <v>41</v>
      </c>
      <c r="H3313" s="23" t="s">
        <v>240</v>
      </c>
      <c r="I3313" t="s">
        <v>7230</v>
      </c>
      <c r="J3313" t="s">
        <v>22</v>
      </c>
      <c r="K3313" s="22">
        <v>3</v>
      </c>
      <c r="L3313" s="1">
        <v>43103</v>
      </c>
      <c r="M3313" s="22">
        <f>Table3[[#This Row],[Ship Date]]-Table3[[#This Row],[Order Date]]</f>
        <v>4</v>
      </c>
      <c r="N3313" s="23" t="s">
        <v>45</v>
      </c>
      <c r="O3313" s="23" t="s">
        <v>23</v>
      </c>
      <c r="P3313" s="23" t="s">
        <v>405</v>
      </c>
      <c r="Q3313" s="23" t="s">
        <v>39</v>
      </c>
      <c r="R3313" s="23" t="s">
        <v>7237</v>
      </c>
      <c r="S3313" s="33">
        <v>0.2</v>
      </c>
      <c r="T3313" s="13">
        <v>3.024</v>
      </c>
      <c r="U3313" s="13">
        <v>-0.6048</v>
      </c>
      <c r="V3313" s="55">
        <f>Table3[[#This Row],[Profit]]/Table3[[#This Row],[Sales]]</f>
        <v>-0.2</v>
      </c>
    </row>
  </sheetData>
  <conditionalFormatting sqref="W1:XFD1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546A1-A6D7-D14B-A8E7-84250AA06FF8}">
  <dimension ref="A1:F58"/>
  <sheetViews>
    <sheetView zoomScale="131" zoomScaleNormal="131" workbookViewId="0">
      <selection activeCell="G6" sqref="G6"/>
    </sheetView>
  </sheetViews>
  <sheetFormatPr baseColWidth="10" defaultRowHeight="16" outlineLevelRow="1" x14ac:dyDescent="0.2"/>
  <cols>
    <col min="1" max="1" width="24.6640625" bestFit="1" customWidth="1"/>
    <col min="2" max="5" width="12.5" bestFit="1" customWidth="1"/>
    <col min="6" max="6" width="19.1640625" bestFit="1" customWidth="1"/>
  </cols>
  <sheetData>
    <row r="1" spans="1:6" x14ac:dyDescent="0.2">
      <c r="A1" s="43" t="s">
        <v>10172</v>
      </c>
      <c r="B1" s="42" t="s">
        <v>10148</v>
      </c>
      <c r="C1" s="14" t="s">
        <v>10149</v>
      </c>
      <c r="D1" s="14" t="s">
        <v>10150</v>
      </c>
      <c r="E1" s="14" t="s">
        <v>10151</v>
      </c>
      <c r="F1" s="37" t="s">
        <v>10155</v>
      </c>
    </row>
    <row r="2" spans="1:6" x14ac:dyDescent="0.2">
      <c r="A2" s="44" t="s">
        <v>10144</v>
      </c>
      <c r="B2" t="b">
        <f>ISBLANK(Table12[[#This Row],[Month Number]])</f>
        <v>0</v>
      </c>
      <c r="C2" t="b">
        <f>ISBLANK(Table12[[#This Row],[Month Number]])</f>
        <v>0</v>
      </c>
      <c r="D2" t="b">
        <f>ISBLANK(Table12[[#This Row],[Month Number]])</f>
        <v>0</v>
      </c>
      <c r="E2" t="b">
        <f>ISBLANK(Table12[[#This Row],[Month Number]])</f>
        <v>0</v>
      </c>
    </row>
    <row r="3" spans="1:6" x14ac:dyDescent="0.2">
      <c r="A3" s="44" t="s">
        <v>10145</v>
      </c>
      <c r="B3">
        <v>1</v>
      </c>
      <c r="C3">
        <v>0</v>
      </c>
      <c r="D3">
        <v>0</v>
      </c>
      <c r="E3">
        <v>0</v>
      </c>
      <c r="F3">
        <f>SUM(Table14[[#This Row],[2014]:[2017]])</f>
        <v>1</v>
      </c>
    </row>
    <row r="4" spans="1:6" x14ac:dyDescent="0.2">
      <c r="A4" s="44" t="s">
        <v>10152</v>
      </c>
      <c r="B4">
        <v>0</v>
      </c>
      <c r="C4">
        <v>0</v>
      </c>
      <c r="D4">
        <v>0</v>
      </c>
      <c r="E4">
        <v>0</v>
      </c>
      <c r="F4">
        <f>SUM(Table14[[#This Row],[2014]:[2017]])</f>
        <v>0</v>
      </c>
    </row>
    <row r="5" spans="1:6" x14ac:dyDescent="0.2">
      <c r="A5" s="44" t="s">
        <v>10146</v>
      </c>
      <c r="B5">
        <f>COUNTIF('2014_Clean_Data_Analysis'!U1:U1993, "&lt;0")</f>
        <v>376</v>
      </c>
      <c r="C5">
        <f>COUNTIF('2015_Clean_Data_Analysis'!$U$1:$U$2102, "&lt;0")</f>
        <v>397</v>
      </c>
      <c r="D5">
        <f>COUNTIF('2016_Clean_Data_Analysis'!U1:U2588, "&lt;0")</f>
        <v>477</v>
      </c>
      <c r="E5">
        <f>COUNTIF('2017_Clean_Data_Analysis'!U1:U3313, "&lt;0")</f>
        <v>620</v>
      </c>
      <c r="F5">
        <f>SUM(Table14[[#This Row],[2014]:[2017]])</f>
        <v>1870</v>
      </c>
    </row>
    <row r="6" spans="1:6" x14ac:dyDescent="0.2">
      <c r="A6" s="44" t="s">
        <v>10147</v>
      </c>
      <c r="B6">
        <f>COUNTIF('2014_Clean_Data_Analysis'!S1:S1993, "&gt;50%")</f>
        <v>166</v>
      </c>
      <c r="C6">
        <f>COUNTIF('2015_Clean_Data_Analysis'!S1:S2103, "&gt;50%")</f>
        <v>187</v>
      </c>
      <c r="D6">
        <f>COUNTIF('2016_Clean_Data_Analysis'!S1:S2588, "&gt;50%")</f>
        <v>219</v>
      </c>
      <c r="E6">
        <f>COUNTIF('2017_Clean_Data_Analysis'!S1:S3313, "&gt;50%")</f>
        <v>284</v>
      </c>
      <c r="F6">
        <f>SUM(Table14[[#This Row],[2014]:[2017]])</f>
        <v>856</v>
      </c>
    </row>
    <row r="7" spans="1:6" hidden="1" outlineLevel="1" x14ac:dyDescent="0.2">
      <c r="A7" s="45" t="s">
        <v>10171</v>
      </c>
      <c r="B7" s="38">
        <v>2014</v>
      </c>
      <c r="C7" s="38">
        <v>2015</v>
      </c>
      <c r="D7" s="38">
        <v>2016</v>
      </c>
      <c r="E7" s="38">
        <v>2017</v>
      </c>
      <c r="F7" s="39" t="s">
        <v>10170</v>
      </c>
    </row>
    <row r="8" spans="1:6" hidden="1" outlineLevel="1" x14ac:dyDescent="0.2">
      <c r="A8" s="46" t="s">
        <v>10157</v>
      </c>
      <c r="B8" s="8">
        <f>COUNTIF('2014_Clean_Data_Analysis'!D:D, 1)</f>
        <v>79</v>
      </c>
      <c r="C8" s="8">
        <f>COUNTIF('2015_Clean_Data_Analysis'!D:D, 1)</f>
        <v>58</v>
      </c>
      <c r="D8" s="8">
        <f>COUNTIF('2016_Clean_Data_Analysis'!D:D, 1)</f>
        <v>89</v>
      </c>
      <c r="E8" s="8">
        <f>COUNTIF('2017_Clean_Data_Analysis'!D:D, 1)</f>
        <v>155</v>
      </c>
      <c r="F8" s="40">
        <f>SUM(Analysis!$B8:$E8)</f>
        <v>381</v>
      </c>
    </row>
    <row r="9" spans="1:6" hidden="1" outlineLevel="1" x14ac:dyDescent="0.2">
      <c r="A9" s="47" t="s">
        <v>10158</v>
      </c>
      <c r="B9" s="8">
        <f>COUNTIF('2014_Clean_Data_Analysis'!D:D, 2)</f>
        <v>46</v>
      </c>
      <c r="C9" s="8">
        <f>COUNTIF('2015_Clean_Data_Analysis'!D:D, 2)</f>
        <v>64</v>
      </c>
      <c r="D9" s="8">
        <f>COUNTIF('2016_Clean_Data_Analysis'!D:D, 2)</f>
        <v>83</v>
      </c>
      <c r="E9" s="8">
        <f>COUNTIF('2017_Clean_Data_Analysis'!D:D, 2)</f>
        <v>107</v>
      </c>
      <c r="F9" s="40">
        <f>SUM(Analysis!$B9:$E9)</f>
        <v>300</v>
      </c>
    </row>
    <row r="10" spans="1:6" hidden="1" outlineLevel="1" x14ac:dyDescent="0.2">
      <c r="A10" s="46" t="s">
        <v>10159</v>
      </c>
      <c r="B10" s="8">
        <f>COUNTIF('2014_Clean_Data_Analysis'!D:D, 3)</f>
        <v>157</v>
      </c>
      <c r="C10" s="8">
        <f>COUNTIF('2015_Clean_Data_Analysis'!D:D, 3)</f>
        <v>138</v>
      </c>
      <c r="D10" s="8">
        <f>COUNTIF('2016_Clean_Data_Analysis'!D:D, 3)</f>
        <v>163</v>
      </c>
      <c r="E10" s="8">
        <f>COUNTIF('2017_Clean_Data_Analysis'!D:D, 3)</f>
        <v>238</v>
      </c>
      <c r="F10" s="40">
        <f>SUM(Analysis!$B10:$E10)</f>
        <v>696</v>
      </c>
    </row>
    <row r="11" spans="1:6" hidden="1" outlineLevel="1" x14ac:dyDescent="0.2">
      <c r="A11" s="47" t="s">
        <v>10160</v>
      </c>
      <c r="B11" s="8">
        <f>COUNTIF('2014_Clean_Data_Analysis'!D:D, 4)</f>
        <v>134</v>
      </c>
      <c r="C11" s="8">
        <f>COUNTIF('2015_Clean_Data_Analysis'!D:D, 4)</f>
        <v>160</v>
      </c>
      <c r="D11" s="8">
        <f>COUNTIF('2016_Clean_Data_Analysis'!D:D, 4)</f>
        <v>170</v>
      </c>
      <c r="E11" s="8">
        <f>COUNTIF('2017_Clean_Data_Analysis'!D:D, 4)</f>
        <v>203</v>
      </c>
      <c r="F11" s="40">
        <f>SUM(Analysis!$B11:$E11)</f>
        <v>667</v>
      </c>
    </row>
    <row r="12" spans="1:6" hidden="1" outlineLevel="1" x14ac:dyDescent="0.2">
      <c r="A12" s="46" t="s">
        <v>10161</v>
      </c>
      <c r="B12" s="8">
        <f>COUNTIF('2014_Clean_Data_Analysis'!D:D, 5)</f>
        <v>122</v>
      </c>
      <c r="C12" s="8">
        <f>COUNTIF('2015_Clean_Data_Analysis'!D:D, 5)</f>
        <v>146</v>
      </c>
      <c r="D12" s="8">
        <f>COUNTIF('2016_Clean_Data_Analysis'!D:D, 5)</f>
        <v>225</v>
      </c>
      <c r="E12" s="8">
        <f>COUNTIF('2017_Clean_Data_Analysis'!D:D, 5)</f>
        <v>242</v>
      </c>
      <c r="F12" s="40">
        <f>SUM(Analysis!$B12:$E12)</f>
        <v>735</v>
      </c>
    </row>
    <row r="13" spans="1:6" hidden="1" outlineLevel="1" x14ac:dyDescent="0.2">
      <c r="A13" s="47" t="s">
        <v>10162</v>
      </c>
      <c r="B13" s="8">
        <f>COUNTIF('2014_Clean_Data_Analysis'!D:D, 6)</f>
        <v>135</v>
      </c>
      <c r="C13" s="8">
        <f>COUNTIF('2015_Clean_Data_Analysis'!D:D, 6)</f>
        <v>138</v>
      </c>
      <c r="D13" s="8">
        <f>COUNTIF('2016_Clean_Data_Analysis'!D:D, 6)</f>
        <v>199</v>
      </c>
      <c r="E13" s="8">
        <f>COUNTIF('2017_Clean_Data_Analysis'!D:D, 6)</f>
        <v>245</v>
      </c>
      <c r="F13" s="40">
        <f>SUM(Analysis!$B13:$E13)</f>
        <v>717</v>
      </c>
    </row>
    <row r="14" spans="1:6" hidden="1" outlineLevel="1" x14ac:dyDescent="0.2">
      <c r="A14" s="46" t="s">
        <v>10163</v>
      </c>
      <c r="B14" s="8">
        <f>COUNTIF('2014_Clean_Data_Analysis'!D:D, 7)</f>
        <v>143</v>
      </c>
      <c r="C14" s="8">
        <f>COUNTIF('2015_Clean_Data_Analysis'!D:D, 7)</f>
        <v>140</v>
      </c>
      <c r="D14" s="8">
        <f>COUNTIF('2016_Clean_Data_Analysis'!D:D, 7)</f>
        <v>201</v>
      </c>
      <c r="E14" s="8">
        <f>COUNTIF('2017_Clean_Data_Analysis'!D:D, 7)</f>
        <v>226</v>
      </c>
      <c r="F14" s="40">
        <f>SUM(Analysis!$B14:$E14)</f>
        <v>710</v>
      </c>
    </row>
    <row r="15" spans="1:6" hidden="1" outlineLevel="1" x14ac:dyDescent="0.2">
      <c r="A15" s="47" t="s">
        <v>10164</v>
      </c>
      <c r="B15" s="8">
        <f>COUNTIF('2014_Clean_Data_Analysis'!D:D, 8)</f>
        <v>153</v>
      </c>
      <c r="C15" s="8">
        <f>COUNTIF('2015_Clean_Data_Analysis'!D:D, 8)</f>
        <v>159</v>
      </c>
      <c r="D15" s="8">
        <f>COUNTIF('2016_Clean_Data_Analysis'!D:D, 8)</f>
        <v>176</v>
      </c>
      <c r="E15" s="8">
        <f>COUNTIF('2017_Clean_Data_Analysis'!D:D, 8)</f>
        <v>218</v>
      </c>
      <c r="F15" s="40">
        <f>SUM(Analysis!$B15:$E15)</f>
        <v>706</v>
      </c>
    </row>
    <row r="16" spans="1:6" hidden="1" outlineLevel="1" x14ac:dyDescent="0.2">
      <c r="A16" s="46" t="s">
        <v>10165</v>
      </c>
      <c r="B16" s="8">
        <f>COUNTIF('2014_Clean_Data_Analysis'!D:D, 9)</f>
        <v>268</v>
      </c>
      <c r="C16" s="8">
        <f>COUNTIF('2015_Clean_Data_Analysis'!D:D, 9)</f>
        <v>293</v>
      </c>
      <c r="D16" s="8">
        <f>COUNTIF('2016_Clean_Data_Analysis'!D:D, 9)</f>
        <v>363</v>
      </c>
      <c r="E16" s="8">
        <f>COUNTIF('2017_Clean_Data_Analysis'!D:D, 9)</f>
        <v>459</v>
      </c>
      <c r="F16" s="40">
        <f>SUM(Analysis!$B16:$E16)</f>
        <v>1383</v>
      </c>
    </row>
    <row r="17" spans="1:6" hidden="1" outlineLevel="1" x14ac:dyDescent="0.2">
      <c r="A17" s="47" t="s">
        <v>10166</v>
      </c>
      <c r="B17" s="8">
        <f>COUNTIF('2014_Clean_Data_Analysis'!D:D, 10)</f>
        <v>159</v>
      </c>
      <c r="C17" s="8">
        <f>COUNTIF('2015_Clean_Data_Analysis'!D:D, 10)</f>
        <v>166</v>
      </c>
      <c r="D17" s="8">
        <f>COUNTIF('2016_Clean_Data_Analysis'!D:D, 10)</f>
        <v>196</v>
      </c>
      <c r="E17" s="8">
        <f>COUNTIF('2017_Clean_Data_Analysis'!D:D, 10)</f>
        <v>298</v>
      </c>
      <c r="F17" s="40">
        <f>SUM(Analysis!$B17:$E17)</f>
        <v>819</v>
      </c>
    </row>
    <row r="18" spans="1:6" hidden="1" outlineLevel="1" x14ac:dyDescent="0.2">
      <c r="A18" s="46" t="s">
        <v>10167</v>
      </c>
      <c r="B18" s="8">
        <f>COUNTIF('2014_Clean_Data_Analysis'!D:D, 11)</f>
        <v>318</v>
      </c>
      <c r="C18" s="8">
        <f>COUNTIF('2015_Clean_Data_Analysis'!D:D, 11)</f>
        <v>324</v>
      </c>
      <c r="D18" s="8">
        <f>COUNTIF('2016_Clean_Data_Analysis'!D:D, 11)</f>
        <v>370</v>
      </c>
      <c r="E18" s="8">
        <f>COUNTIF('2017_Clean_Data_Analysis'!D:D, 11)</f>
        <v>459</v>
      </c>
      <c r="F18" s="40">
        <f>SUM(Analysis!$B18:$E18)</f>
        <v>1471</v>
      </c>
    </row>
    <row r="19" spans="1:6" hidden="1" outlineLevel="1" x14ac:dyDescent="0.2">
      <c r="A19" s="47" t="s">
        <v>10168</v>
      </c>
      <c r="B19" s="8">
        <f>COUNTIF('2014_Clean_Data_Analysis'!D:D, 12)</f>
        <v>278</v>
      </c>
      <c r="C19" s="8">
        <f>COUNTIF('2015_Clean_Data_Analysis'!D:D, 12)</f>
        <v>316</v>
      </c>
      <c r="D19" s="8">
        <f>COUNTIF('2016_Clean_Data_Analysis'!D:D, 12)</f>
        <v>352</v>
      </c>
      <c r="E19" s="8">
        <f>COUNTIF('2017_Clean_Data_Analysis'!D:D, 12)</f>
        <v>462</v>
      </c>
      <c r="F19" s="40">
        <f>SUM(Analysis!$B19:$E19)</f>
        <v>1408</v>
      </c>
    </row>
    <row r="20" spans="1:6" collapsed="1" x14ac:dyDescent="0.2">
      <c r="A20" s="48" t="s">
        <v>10195</v>
      </c>
      <c r="B20">
        <f>SUM(B8:B19)</f>
        <v>1992</v>
      </c>
      <c r="C20">
        <f t="shared" ref="C20:E20" si="0">SUM(C8:C19)</f>
        <v>2102</v>
      </c>
      <c r="D20">
        <f t="shared" si="0"/>
        <v>2587</v>
      </c>
      <c r="E20">
        <f t="shared" si="0"/>
        <v>3312</v>
      </c>
      <c r="F20">
        <f>SUM(F8:F19)</f>
        <v>9993</v>
      </c>
    </row>
    <row r="21" spans="1:6" hidden="1" outlineLevel="1" x14ac:dyDescent="0.2">
      <c r="A21" s="49" t="s">
        <v>10156</v>
      </c>
      <c r="B21" s="41" t="s">
        <v>10148</v>
      </c>
      <c r="C21" s="41" t="s">
        <v>10149</v>
      </c>
      <c r="D21" s="41" t="s">
        <v>10150</v>
      </c>
      <c r="E21" s="41" t="s">
        <v>10151</v>
      </c>
      <c r="F21" s="41" t="s">
        <v>10174</v>
      </c>
    </row>
    <row r="22" spans="1:6" hidden="1" outlineLevel="1" x14ac:dyDescent="0.2">
      <c r="A22" s="44" t="s">
        <v>10157</v>
      </c>
      <c r="B22" s="13">
        <f>SUMIF(Table12[Month Number], 1, Table12[Sales])</f>
        <v>14236.894999999995</v>
      </c>
      <c r="C22" s="13">
        <f>SUMIF(Table11[Month Number], 1, Table11[Sales])</f>
        <v>18174.075600000004</v>
      </c>
      <c r="D22" s="13">
        <f>SUMIF(Table10[Month Number], 1, Table10[Sales])</f>
        <v>18542.490999999998</v>
      </c>
      <c r="E22" s="13">
        <f>SUMIF(Table3[Month Number], 1, Table3[Sales])</f>
        <v>43971.374000000011</v>
      </c>
      <c r="F22" s="13">
        <f>SUM(Table2[[#This Row],[2014]:[2017]])</f>
        <v>94924.835600000006</v>
      </c>
    </row>
    <row r="23" spans="1:6" hidden="1" outlineLevel="1" x14ac:dyDescent="0.2">
      <c r="A23" s="50" t="s">
        <v>10158</v>
      </c>
      <c r="B23" s="13">
        <f>SUMIF(Table12[Month Number], 2, Table12[Sales])</f>
        <v>4519.8919999999989</v>
      </c>
      <c r="C23" s="13">
        <f>SUMIF(Table11[Month Number], 2, Table11[Sales])</f>
        <v>11951.410999999996</v>
      </c>
      <c r="D23" s="13">
        <f>SUMIF(Table10[Month Number], 2, Table10[Sales])</f>
        <v>22978.814999999999</v>
      </c>
      <c r="E23" s="13">
        <f>SUMIF(Table3[Month Number], 2, Table3[Sales])</f>
        <v>20301.133399999988</v>
      </c>
      <c r="F23" s="13">
        <f>SUM(Table2[[#This Row],[2014]:[2017]])</f>
        <v>59751.251399999979</v>
      </c>
    </row>
    <row r="24" spans="1:6" hidden="1" outlineLevel="1" x14ac:dyDescent="0.2">
      <c r="A24" s="44" t="s">
        <v>10159</v>
      </c>
      <c r="B24" s="13">
        <f>SUMIF(Table12[Month Number], 3, Table12[Sales])</f>
        <v>55691.009000000005</v>
      </c>
      <c r="C24" s="13">
        <f>SUMIF(Table11[Month Number], 3, Table11[Sales])</f>
        <v>38726.251999999986</v>
      </c>
      <c r="D24" s="13">
        <f>SUMIF(Table10[Month Number], 3, Table10[Sales])</f>
        <v>51715.875</v>
      </c>
      <c r="E24" s="13">
        <f>SUMIF(Table3[Month Number], 3, Table3[Sales])</f>
        <v>58872.352799999979</v>
      </c>
      <c r="F24" s="13">
        <f>SUM(Table2[[#This Row],[2014]:[2017]])</f>
        <v>205005.48879999999</v>
      </c>
    </row>
    <row r="25" spans="1:6" hidden="1" outlineLevel="1" x14ac:dyDescent="0.2">
      <c r="A25" s="44" t="s">
        <v>10160</v>
      </c>
      <c r="B25" s="13">
        <f>SUMIF(Table12[Month Number], 4, Table12[Sales])</f>
        <v>28013.972999999987</v>
      </c>
      <c r="C25" s="13">
        <f>SUMIF(Table11[Month Number], 4, Table11[Sales])</f>
        <v>34195.208500000015</v>
      </c>
      <c r="D25" s="13">
        <f>SUMIF(Table10[Month Number], 4, Table10[Sales])</f>
        <v>38750.038999999997</v>
      </c>
      <c r="E25" s="13">
        <f>SUMIF(Table3[Month Number], 4, Table3[Sales])</f>
        <v>36521.536099999983</v>
      </c>
      <c r="F25" s="13">
        <f>SUM(Table2[[#This Row],[2014]:[2017]])</f>
        <v>137480.75659999996</v>
      </c>
    </row>
    <row r="26" spans="1:6" hidden="1" outlineLevel="1" x14ac:dyDescent="0.2">
      <c r="A26" s="50" t="s">
        <v>10161</v>
      </c>
      <c r="B26" s="13">
        <f>SUMIF(Table12[Month Number], 5, Table12[Sales])</f>
        <v>23648.286999999993</v>
      </c>
      <c r="C26" s="13">
        <f>SUMIF(Table11[Month Number], 5, Table11[Sales])</f>
        <v>30131.686500000018</v>
      </c>
      <c r="D26" s="13">
        <f>SUMIF(Table10[Month Number], 5, Table10[Sales])</f>
        <v>56987.727999999966</v>
      </c>
      <c r="E26" s="13">
        <f>SUMIF(Table3[Month Number], 5, Table3[Sales])</f>
        <v>44261.110199999996</v>
      </c>
      <c r="F26" s="13">
        <f>SUM(Table2[[#This Row],[2014]:[2017]])</f>
        <v>155028.81169999996</v>
      </c>
    </row>
    <row r="27" spans="1:6" hidden="1" outlineLevel="1" x14ac:dyDescent="0.2">
      <c r="A27" s="44" t="s">
        <v>10162</v>
      </c>
      <c r="B27" s="13">
        <f>SUMIF(Table12[Month Number], 6, Table12[Sales])</f>
        <v>34595.127600000022</v>
      </c>
      <c r="C27" s="13">
        <f>SUMIF(Table11[Month Number], 6, Table11[Sales])</f>
        <v>24797.291999999983</v>
      </c>
      <c r="D27" s="13">
        <f>SUMIF(Table10[Month Number], 6, Table10[Sales])</f>
        <v>40344.534000000007</v>
      </c>
      <c r="E27" s="13">
        <f>SUMIF(Table3[Month Number], 6, Table3[Sales])</f>
        <v>52981.725699999981</v>
      </c>
      <c r="F27" s="13">
        <f>SUM(Table2[[#This Row],[2014]:[2017]])</f>
        <v>152718.67929999999</v>
      </c>
    </row>
    <row r="28" spans="1:6" hidden="1" outlineLevel="1" x14ac:dyDescent="0.2">
      <c r="A28" s="44" t="s">
        <v>10163</v>
      </c>
      <c r="B28" s="13">
        <f>SUMIF(Table12[Month Number], 7, Table12[Sales])</f>
        <v>33946.392999999989</v>
      </c>
      <c r="C28" s="13">
        <f>SUMIF(Table11[Month Number], 7, Table11[Sales])</f>
        <v>28765.324999999993</v>
      </c>
      <c r="D28" s="13">
        <f>SUMIF(Table10[Month Number], 7, Table10[Sales])</f>
        <v>39261.962999999996</v>
      </c>
      <c r="E28" s="13">
        <f>SUMIF(Table3[Month Number], 7, Table3[Sales])</f>
        <v>45264.415999999954</v>
      </c>
      <c r="F28" s="13">
        <f>SUM(Table2[[#This Row],[2014]:[2017]])</f>
        <v>147238.09699999995</v>
      </c>
    </row>
    <row r="29" spans="1:6" hidden="1" outlineLevel="1" x14ac:dyDescent="0.2">
      <c r="A29" s="50" t="s">
        <v>10164</v>
      </c>
      <c r="B29" s="13">
        <f>SUMIF(Table12[Month Number], 8, Table12[Sales])</f>
        <v>27909.468499999977</v>
      </c>
      <c r="C29" s="13">
        <f>SUMIF(Table11[Month Number], 8, Table11[Sales])</f>
        <v>36898.332199999997</v>
      </c>
      <c r="D29" s="13">
        <f>SUMIF(Table10[Month Number], 8, Table10[Sales])</f>
        <v>31115.374300000007</v>
      </c>
      <c r="E29" s="13">
        <f>SUMIF(Table3[Month Number], 8, Table3[Sales])</f>
        <v>63120.887999999984</v>
      </c>
      <c r="F29" s="13">
        <f>SUM(Table2[[#This Row],[2014]:[2017]])</f>
        <v>159044.06299999997</v>
      </c>
    </row>
    <row r="30" spans="1:6" hidden="1" outlineLevel="1" x14ac:dyDescent="0.2">
      <c r="A30" s="44" t="s">
        <v>10165</v>
      </c>
      <c r="B30" s="13">
        <f>SUMIF(Table12[Month Number], 9, Table12[Sales])</f>
        <v>81777.350800000015</v>
      </c>
      <c r="C30" s="13">
        <f>SUMIF(Table11[Month Number], 9, Table11[Sales])</f>
        <v>64595.918000000034</v>
      </c>
      <c r="D30" s="13">
        <f>SUMIF(Table10[Month Number], 9, Table10[Sales])</f>
        <v>73410.024899999989</v>
      </c>
      <c r="E30" s="13">
        <f>SUMIF(Table3[Month Number], 9, Table3[Sales])</f>
        <v>87866.652000000118</v>
      </c>
      <c r="F30" s="13">
        <f>SUM(Table2[[#This Row],[2014]:[2017]])</f>
        <v>307649.94570000016</v>
      </c>
    </row>
    <row r="31" spans="1:6" hidden="1" outlineLevel="1" x14ac:dyDescent="0.2">
      <c r="A31" s="44" t="s">
        <v>10166</v>
      </c>
      <c r="B31" s="13">
        <f>SUMIF(Table12[Month Number], 10, Table12[Sales])</f>
        <v>31453.392999999996</v>
      </c>
      <c r="C31" s="13">
        <f>SUMIF(Table11[Month Number], 10, Table11[Sales])</f>
        <v>31404.923499999983</v>
      </c>
      <c r="D31" s="13">
        <f>SUMIF(Table10[Month Number], 10, Table10[Sales])</f>
        <v>59687.74500000001</v>
      </c>
      <c r="E31" s="13">
        <f>SUMIF(Table3[Month Number], 10, Table3[Sales])</f>
        <v>77776.923199999932</v>
      </c>
      <c r="F31" s="13">
        <f>SUM(Table2[[#This Row],[2014]:[2017]])</f>
        <v>200322.98469999991</v>
      </c>
    </row>
    <row r="32" spans="1:6" hidden="1" outlineLevel="1" x14ac:dyDescent="0.2">
      <c r="A32" s="50" t="s">
        <v>10167</v>
      </c>
      <c r="B32" s="13">
        <f>SUMIF(Table12[Month Number], 11, Table12[Sales])</f>
        <v>78628.716700000019</v>
      </c>
      <c r="C32" s="13">
        <f>SUMIF(Table11[Month Number], 11, Table11[Sales])</f>
        <v>75972.563500000062</v>
      </c>
      <c r="D32" s="13">
        <f>SUMIF(Table10[Month Number], 11, Table10[Sales])</f>
        <v>79411.96580000002</v>
      </c>
      <c r="E32" s="13">
        <f>SUMIF(Table3[Month Number], 11, Table3[Sales])</f>
        <v>118447.82499999998</v>
      </c>
      <c r="F32" s="13">
        <f>SUM(Table2[[#This Row],[2014]:[2017]])</f>
        <v>352461.07100000011</v>
      </c>
    </row>
    <row r="33" spans="1:6" hidden="1" outlineLevel="1" x14ac:dyDescent="0.2">
      <c r="A33" s="44" t="s">
        <v>10168</v>
      </c>
      <c r="B33" s="13">
        <f>SUMIF(Table12[Month Number], 12, Table12[Sales])</f>
        <v>69545.620500000019</v>
      </c>
      <c r="C33" s="13">
        <f>SUMIF(Table11[Month Number], 12, Table11[Sales])</f>
        <v>74919.521200000032</v>
      </c>
      <c r="D33" s="13">
        <f>SUMIF(Table10[Month Number], 12, Table10[Sales])</f>
        <v>96999.042999999961</v>
      </c>
      <c r="E33" s="13">
        <f>SUMIF(Table3[Month Number], 12, Table3[Sales])</f>
        <v>83829.318799999994</v>
      </c>
      <c r="F33" s="13">
        <f>SUM(Table2[[#This Row],[2014]:[2017]])</f>
        <v>325293.50349999999</v>
      </c>
    </row>
    <row r="34" spans="1:6" collapsed="1" x14ac:dyDescent="0.2">
      <c r="A34" s="41" t="s">
        <v>10173</v>
      </c>
      <c r="B34" s="13">
        <f>SUM(B22:B33)</f>
        <v>483966.12610000005</v>
      </c>
      <c r="C34" s="13">
        <f t="shared" ref="C34:E34" si="1">SUM(C22:C33)</f>
        <v>470532.50900000008</v>
      </c>
      <c r="D34" s="13">
        <f t="shared" si="1"/>
        <v>609205.598</v>
      </c>
      <c r="E34" s="13">
        <f t="shared" si="1"/>
        <v>733215.2551999999</v>
      </c>
      <c r="F34" s="13">
        <f>SUM(Table2[[#This Row],[2014]:[2017]])</f>
        <v>2296919.4882999999</v>
      </c>
    </row>
    <row r="35" spans="1:6" hidden="1" outlineLevel="1" x14ac:dyDescent="0.2">
      <c r="A35" s="41" t="s">
        <v>10175</v>
      </c>
      <c r="B35" s="41" t="s">
        <v>10148</v>
      </c>
      <c r="C35" s="41" t="s">
        <v>10149</v>
      </c>
      <c r="D35" s="41" t="s">
        <v>10150</v>
      </c>
      <c r="E35" s="41" t="s">
        <v>10151</v>
      </c>
      <c r="F35" s="41" t="s">
        <v>10174</v>
      </c>
    </row>
    <row r="36" spans="1:6" hidden="1" outlineLevel="1" x14ac:dyDescent="0.2">
      <c r="A36" s="44" t="s">
        <v>10157</v>
      </c>
      <c r="B36" s="13">
        <f>SUMIF(Table12[Month Number], 1, Table12[Profit])</f>
        <v>2450.1907000000015</v>
      </c>
      <c r="C36" s="13">
        <f>SUMIF(Table11[Month Number], 1, Table11[Profit])</f>
        <v>-3281.0069999999992</v>
      </c>
      <c r="D36" s="13">
        <f>SUMIF(Table10[Month Number], 1, Table10[Profit])</f>
        <v>2824.8233000000009</v>
      </c>
      <c r="E36" s="13">
        <f>SUMIF(Table3[Month Number], 1, Table3[Profit])</f>
        <v>7140.4391000000014</v>
      </c>
      <c r="F36" s="13">
        <f>SUM(Table25[[#This Row],[2014]:[2017]])</f>
        <v>9134.4461000000047</v>
      </c>
    </row>
    <row r="37" spans="1:6" hidden="1" outlineLevel="1" x14ac:dyDescent="0.2">
      <c r="A37" s="50" t="s">
        <v>10158</v>
      </c>
      <c r="B37" s="13">
        <f>SUMIF(Table12[Month Number], 2, Table12[Profit])</f>
        <v>862.30840000000012</v>
      </c>
      <c r="C37" s="13">
        <f>SUMIF(Table11[Month Number], 2, Table11[Profit])</f>
        <v>2813.8508000000006</v>
      </c>
      <c r="D37" s="13">
        <f>SUMIF(Table10[Month Number], 2, Table10[Profit])</f>
        <v>5004.5795000000016</v>
      </c>
      <c r="E37" s="13">
        <f>SUMIF(Table3[Month Number], 2, Table3[Profit])</f>
        <v>1613.8719999999992</v>
      </c>
      <c r="F37" s="13">
        <f>SUM(Table25[[#This Row],[2014]:[2017]])</f>
        <v>10294.610700000001</v>
      </c>
    </row>
    <row r="38" spans="1:6" hidden="1" outlineLevel="1" x14ac:dyDescent="0.2">
      <c r="A38" s="44" t="s">
        <v>10159</v>
      </c>
      <c r="B38" s="13">
        <f>SUMIF(Table12[Month Number], 3, Table12[Profit])</f>
        <v>498.72990000000004</v>
      </c>
      <c r="C38" s="13">
        <f>SUMIF(Table11[Month Number], 3, Table11[Profit])</f>
        <v>9732.0977999999996</v>
      </c>
      <c r="D38" s="13">
        <f>SUMIF(Table10[Month Number], 3, Table10[Profit])</f>
        <v>3611.9679999999998</v>
      </c>
      <c r="E38" s="13">
        <f>SUMIF(Table3[Month Number], 3, Table3[Profit])</f>
        <v>14751.891499999998</v>
      </c>
      <c r="F38" s="13">
        <f>SUM(Table25[[#This Row],[2014]:[2017]])</f>
        <v>28594.687199999997</v>
      </c>
    </row>
    <row r="39" spans="1:6" hidden="1" outlineLevel="1" x14ac:dyDescent="0.2">
      <c r="A39" s="44" t="s">
        <v>10160</v>
      </c>
      <c r="B39" s="13">
        <f>SUMIF(Table12[Month Number], 4, Table12[Profit])</f>
        <v>3500.8939999999993</v>
      </c>
      <c r="C39" s="13">
        <f>SUMIF(Table11[Month Number], 4, Table11[Profit])</f>
        <v>4187.4961999999996</v>
      </c>
      <c r="D39" s="13">
        <f>SUMIF(Table10[Month Number], 4, Table10[Profit])</f>
        <v>2977.8149000000008</v>
      </c>
      <c r="E39" s="13">
        <f>SUMIF(Table3[Month Number], 4, Table3[Profit])</f>
        <v>933.29000000000042</v>
      </c>
      <c r="F39" s="13">
        <f>SUM(Table25[[#This Row],[2014]:[2017]])</f>
        <v>11599.4951</v>
      </c>
    </row>
    <row r="40" spans="1:6" hidden="1" outlineLevel="1" x14ac:dyDescent="0.2">
      <c r="A40" s="50" t="s">
        <v>10161</v>
      </c>
      <c r="B40" s="13">
        <f>SUMIF(Table12[Month Number], 5, Table12[Profit])</f>
        <v>2738.7095999999997</v>
      </c>
      <c r="C40" s="13">
        <f>SUMIF(Table11[Month Number], 5, Table11[Profit])</f>
        <v>4667.8689999999997</v>
      </c>
      <c r="D40" s="13">
        <f>SUMIF(Table10[Month Number], 5, Table10[Profit])</f>
        <v>8662.1464000000014</v>
      </c>
      <c r="E40" s="13">
        <f>SUMIF(Table3[Month Number], 5, Table3[Profit])</f>
        <v>6342.5827999999956</v>
      </c>
      <c r="F40" s="13">
        <f>SUM(Table25[[#This Row],[2014]:[2017]])</f>
        <v>22411.307799999995</v>
      </c>
    </row>
    <row r="41" spans="1:6" hidden="1" outlineLevel="1" x14ac:dyDescent="0.2">
      <c r="A41" s="44" t="s">
        <v>10162</v>
      </c>
      <c r="B41" s="13">
        <f>SUMIF(Table12[Month Number], 6, Table12[Profit])</f>
        <v>4976.5244000000012</v>
      </c>
      <c r="C41" s="13">
        <f>SUMIF(Table11[Month Number], 6, Table11[Profit])</f>
        <v>3335.5572000000016</v>
      </c>
      <c r="D41" s="13">
        <f>SUMIF(Table10[Month Number], 6, Table10[Profit])</f>
        <v>4750.3781000000017</v>
      </c>
      <c r="E41" s="13">
        <f>SUMIF(Table3[Month Number], 6, Table3[Profit])</f>
        <v>8223.3356999999978</v>
      </c>
      <c r="F41" s="13">
        <f>SUM(Table25[[#This Row],[2014]:[2017]])</f>
        <v>21285.795400000003</v>
      </c>
    </row>
    <row r="42" spans="1:6" hidden="1" outlineLevel="1" x14ac:dyDescent="0.2">
      <c r="A42" s="44" t="s">
        <v>10163</v>
      </c>
      <c r="B42" s="13">
        <f>SUMIF(Table12[Month Number], 7, Table12[Profit])</f>
        <v>-841.48260000000005</v>
      </c>
      <c r="C42" s="13">
        <f>SUMIF(Table11[Month Number], 7, Table11[Profit])</f>
        <v>3288.6482999999985</v>
      </c>
      <c r="D42" s="13">
        <f>SUMIF(Table10[Month Number], 7, Table10[Profit])</f>
        <v>4432.8778999999986</v>
      </c>
      <c r="E42" s="13">
        <f>SUMIF(Table3[Month Number], 7, Table3[Profit])</f>
        <v>6952.6211999999996</v>
      </c>
      <c r="F42" s="13">
        <f>SUM(Table25[[#This Row],[2014]:[2017]])</f>
        <v>13832.664799999997</v>
      </c>
    </row>
    <row r="43" spans="1:6" hidden="1" outlineLevel="1" x14ac:dyDescent="0.2">
      <c r="A43" s="50" t="s">
        <v>10164</v>
      </c>
      <c r="B43" s="13">
        <f>SUMIF(Table12[Month Number], 8, Table12[Profit])</f>
        <v>5318.1050000000005</v>
      </c>
      <c r="C43" s="13">
        <f>SUMIF(Table11[Month Number], 8, Table11[Profit])</f>
        <v>5355.8084000000026</v>
      </c>
      <c r="D43" s="13">
        <f>SUMIF(Table10[Month Number], 8, Table10[Profit])</f>
        <v>2062.0692999999997</v>
      </c>
      <c r="E43" s="13">
        <f>SUMIF(Table3[Month Number], 8, Table3[Profit])</f>
        <v>9040.9556999999986</v>
      </c>
      <c r="F43" s="13">
        <f>SUM(Table25[[#This Row],[2014]:[2017]])</f>
        <v>21776.938399999999</v>
      </c>
    </row>
    <row r="44" spans="1:6" hidden="1" outlineLevel="1" x14ac:dyDescent="0.2">
      <c r="A44" s="44" t="s">
        <v>10165</v>
      </c>
      <c r="B44" s="13">
        <f>SUMIF(Table12[Month Number], 9, Table12[Profit])</f>
        <v>8328.0993999999992</v>
      </c>
      <c r="C44" s="13">
        <f>SUMIF(Table11[Month Number], 9, Table11[Profit])</f>
        <v>8209.1627000000026</v>
      </c>
      <c r="D44" s="13">
        <f>SUMIF(Table10[Month Number], 9, Table10[Profit])</f>
        <v>9328.6576000000005</v>
      </c>
      <c r="E44" s="13">
        <f>SUMIF(Table3[Month Number], 9, Table3[Profit])</f>
        <v>10991.555600000003</v>
      </c>
      <c r="F44" s="13">
        <f>SUM(Table25[[#This Row],[2014]:[2017]])</f>
        <v>36857.475300000006</v>
      </c>
    </row>
    <row r="45" spans="1:6" hidden="1" outlineLevel="1" x14ac:dyDescent="0.2">
      <c r="A45" s="44" t="s">
        <v>10166</v>
      </c>
      <c r="B45" s="13">
        <f>SUMIF(Table12[Month Number], 10, Table12[Profit])</f>
        <v>3448.2573000000007</v>
      </c>
      <c r="C45" s="13">
        <f>SUMIF(Table11[Month Number], 10, Table11[Profit])</f>
        <v>2817.3659999999991</v>
      </c>
      <c r="D45" s="13">
        <f>SUMIF(Table10[Month Number], 10, Table10[Profit])</f>
        <v>16243.142500000005</v>
      </c>
      <c r="E45" s="13">
        <f>SUMIF(Table3[Month Number], 10, Table3[Profit])</f>
        <v>9275.2754999999997</v>
      </c>
      <c r="F45" s="13">
        <f>SUM(Table25[[#This Row],[2014]:[2017]])</f>
        <v>31784.041300000004</v>
      </c>
    </row>
    <row r="46" spans="1:6" hidden="1" outlineLevel="1" x14ac:dyDescent="0.2">
      <c r="A46" s="50" t="s">
        <v>10167</v>
      </c>
      <c r="B46" s="13">
        <f>SUMIF(Table12[Month Number], 11, Table12[Profit])</f>
        <v>9292.1268999999975</v>
      </c>
      <c r="C46" s="13">
        <f>SUMIF(Table11[Month Number], 11, Table11[Profit])</f>
        <v>12474.788400000005</v>
      </c>
      <c r="D46" s="13">
        <f>SUMIF(Table10[Month Number], 11, Table10[Profit])</f>
        <v>4011.407500000003</v>
      </c>
      <c r="E46" s="13">
        <f>SUMIF(Table3[Month Number], 11, Table3[Profit])</f>
        <v>9690.103699999996</v>
      </c>
      <c r="F46" s="13">
        <f>SUM(Table25[[#This Row],[2014]:[2017]])</f>
        <v>35468.426500000001</v>
      </c>
    </row>
    <row r="47" spans="1:6" hidden="1" outlineLevel="1" x14ac:dyDescent="0.2">
      <c r="A47" s="44" t="s">
        <v>10168</v>
      </c>
      <c r="B47" s="13">
        <f>SUMIF(Table12[Month Number], 12, Table12[Profit])</f>
        <v>8983.5699000000022</v>
      </c>
      <c r="C47" s="13">
        <f>SUMIF(Table11[Month Number], 12, Table11[Profit])</f>
        <v>8016.9658999999992</v>
      </c>
      <c r="D47" s="13">
        <f>SUMIF(Table10[Month Number], 12, Table10[Profit])</f>
        <v>17885.309299999983</v>
      </c>
      <c r="E47" s="13">
        <f>SUMIF(Table3[Month Number], 12, Table3[Profit])</f>
        <v>8483.3467999999975</v>
      </c>
      <c r="F47" s="13">
        <f>SUM(Table25[[#This Row],[2014]:[2017]])</f>
        <v>43369.191899999983</v>
      </c>
    </row>
    <row r="48" spans="1:6" collapsed="1" x14ac:dyDescent="0.2">
      <c r="A48" s="41" t="s">
        <v>10176</v>
      </c>
      <c r="B48" s="13">
        <f>SUM(B36:B47)</f>
        <v>49556.032900000006</v>
      </c>
      <c r="C48" s="13">
        <f t="shared" ref="C48:E48" si="2">SUM(C36:C47)</f>
        <v>61618.603700000007</v>
      </c>
      <c r="D48" s="13">
        <f t="shared" si="2"/>
        <v>81795.174299999999</v>
      </c>
      <c r="E48" s="13">
        <f t="shared" si="2"/>
        <v>93439.269599999985</v>
      </c>
      <c r="F48" s="13">
        <f>SUM(Table25[[#This Row],[2014]:[2017]])</f>
        <v>286409.08049999998</v>
      </c>
    </row>
    <row r="50" spans="1:6" s="22" customFormat="1" x14ac:dyDescent="0.2">
      <c r="A50" s="51" t="s">
        <v>10201</v>
      </c>
      <c r="B50" s="22">
        <f>AVERAGE(B8:B19)</f>
        <v>166</v>
      </c>
      <c r="C50" s="22">
        <f>AVERAGE(C8:C19)</f>
        <v>175.16666666666666</v>
      </c>
      <c r="D50" s="22">
        <f>AVERAGE(D8:D19)</f>
        <v>215.58333333333334</v>
      </c>
      <c r="E50" s="22">
        <f>AVERAGE(E8:E19)</f>
        <v>276</v>
      </c>
      <c r="F50" s="22">
        <f>SUM(Table256[[#This Row],[Column2]:[Column5]])</f>
        <v>832.75</v>
      </c>
    </row>
    <row r="51" spans="1:6" s="22" customFormat="1" x14ac:dyDescent="0.2">
      <c r="A51" s="51" t="s">
        <v>10202</v>
      </c>
      <c r="B51" s="22">
        <f>MAX(B8:B19)</f>
        <v>318</v>
      </c>
      <c r="C51" s="22">
        <f>MAX(C8:C19)</f>
        <v>324</v>
      </c>
      <c r="D51" s="22">
        <f>MAX(D8:D19)</f>
        <v>370</v>
      </c>
      <c r="E51" s="22">
        <f>MAX(E8:E19)</f>
        <v>462</v>
      </c>
      <c r="F51" s="22">
        <f>SUM(Table256[[#This Row],[Column2]:[Column5]])</f>
        <v>1474</v>
      </c>
    </row>
    <row r="52" spans="1:6" s="22" customFormat="1" x14ac:dyDescent="0.2">
      <c r="A52" s="51" t="s">
        <v>10203</v>
      </c>
      <c r="B52" s="22">
        <f>MIN(B8:B19)</f>
        <v>46</v>
      </c>
      <c r="C52" s="22">
        <f>MIN(C8:C19)</f>
        <v>58</v>
      </c>
      <c r="D52" s="22">
        <f>MIN(D8:D19)</f>
        <v>83</v>
      </c>
      <c r="E52" s="22">
        <f>MIN(E8:E19)</f>
        <v>107</v>
      </c>
      <c r="F52" s="22">
        <f>SUM(Table256[[#This Row],[Column2]:[Column5]])</f>
        <v>294</v>
      </c>
    </row>
    <row r="53" spans="1:6" x14ac:dyDescent="0.2">
      <c r="A53" s="44" t="s">
        <v>10204</v>
      </c>
      <c r="B53" s="13">
        <f>AVERAGE(B22:B33)</f>
        <v>40330.51050833334</v>
      </c>
      <c r="C53" s="13">
        <f>AVERAGE(C22:C33)</f>
        <v>39211.042416666671</v>
      </c>
      <c r="D53" s="13">
        <f>AVERAGE(D22:D33)</f>
        <v>50767.133166666667</v>
      </c>
      <c r="E53" s="13">
        <f>AVERAGE(E22:E33)</f>
        <v>61101.271266666656</v>
      </c>
      <c r="F53">
        <f>SUM(Table256[[#This Row],[Column2]:[Column5]])</f>
        <v>191409.95735833334</v>
      </c>
    </row>
    <row r="54" spans="1:6" x14ac:dyDescent="0.2">
      <c r="A54" s="44" t="s">
        <v>10205</v>
      </c>
      <c r="B54" s="13">
        <f>MAX(B22:B33)</f>
        <v>81777.350800000015</v>
      </c>
      <c r="C54" s="13">
        <f>MAX(C22:C33)</f>
        <v>75972.563500000062</v>
      </c>
      <c r="D54" s="13">
        <f>MAX(D22:D33)</f>
        <v>96999.042999999961</v>
      </c>
      <c r="E54" s="13">
        <f>MAX(E22:E33)</f>
        <v>118447.82499999998</v>
      </c>
      <c r="F54">
        <f>SUM(Table256[[#This Row],[Column2]:[Column5]])</f>
        <v>373196.78229999996</v>
      </c>
    </row>
    <row r="55" spans="1:6" x14ac:dyDescent="0.2">
      <c r="A55" s="44" t="s">
        <v>10206</v>
      </c>
      <c r="B55" s="13">
        <f>MIN(B22:B33)</f>
        <v>4519.8919999999989</v>
      </c>
      <c r="C55" s="13">
        <f>MIN(C22:C33)</f>
        <v>11951.410999999996</v>
      </c>
      <c r="D55" s="13">
        <f>MIN(D22:D33)</f>
        <v>18542.490999999998</v>
      </c>
      <c r="E55" s="13">
        <f>MIN(E22:E33)</f>
        <v>20301.133399999988</v>
      </c>
      <c r="F55">
        <f>SUM(Table256[[#This Row],[Column2]:[Column5]])</f>
        <v>55314.927399999986</v>
      </c>
    </row>
    <row r="56" spans="1:6" x14ac:dyDescent="0.2">
      <c r="A56" s="44" t="s">
        <v>10207</v>
      </c>
      <c r="B56" s="13">
        <f>AVERAGE(B36:B47)</f>
        <v>4129.6694083333341</v>
      </c>
      <c r="C56" s="13">
        <f>AVERAGE(C36:C47)</f>
        <v>5134.8836416666672</v>
      </c>
      <c r="D56" s="13">
        <f>AVERAGE(D36:D47)</f>
        <v>6816.2645249999996</v>
      </c>
      <c r="E56" s="13">
        <f>AVERAGE(E36:E47)</f>
        <v>7786.6057999999985</v>
      </c>
      <c r="F56">
        <f>SUM(Table256[[#This Row],[Column2]:[Column5]])</f>
        <v>23867.423374999998</v>
      </c>
    </row>
    <row r="57" spans="1:6" x14ac:dyDescent="0.2">
      <c r="A57" s="44" t="s">
        <v>10208</v>
      </c>
      <c r="B57" s="13">
        <f>MAX(B36:B47)</f>
        <v>9292.1268999999975</v>
      </c>
      <c r="C57" s="13">
        <f>MAX(C36:C47)</f>
        <v>12474.788400000005</v>
      </c>
      <c r="D57" s="13">
        <f>MAX(D36:D47)</f>
        <v>17885.309299999983</v>
      </c>
      <c r="E57" s="13">
        <f>MAX(E36:E47)</f>
        <v>14751.891499999998</v>
      </c>
      <c r="F57">
        <f>SUM(Table256[[#This Row],[Column2]:[Column5]])</f>
        <v>54404.116099999985</v>
      </c>
    </row>
    <row r="58" spans="1:6" x14ac:dyDescent="0.2">
      <c r="A58" s="44" t="s">
        <v>10209</v>
      </c>
      <c r="B58" s="13">
        <f>MIN(B36:B47)</f>
        <v>-841.48260000000005</v>
      </c>
      <c r="C58" s="13">
        <f>MIN(C36:C47)</f>
        <v>-3281.0069999999992</v>
      </c>
      <c r="D58" s="13">
        <f>MIN(D36:D47)</f>
        <v>2062.0692999999997</v>
      </c>
      <c r="E58" s="13">
        <f>MIN(E36:E47)</f>
        <v>933.29000000000042</v>
      </c>
      <c r="F58">
        <f>SUM(Table256[[#This Row],[Column2]:[Column5]])</f>
        <v>-1127.1302999999989</v>
      </c>
    </row>
  </sheetData>
  <phoneticPr fontId="18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AC0D-51A4-7649-AB0D-767167A6BC00}">
  <dimension ref="A1:E76"/>
  <sheetViews>
    <sheetView zoomScale="112" zoomScaleNormal="159" workbookViewId="0">
      <selection activeCell="H64" sqref="H64"/>
    </sheetView>
  </sheetViews>
  <sheetFormatPr baseColWidth="10" defaultRowHeight="16" x14ac:dyDescent="0.2"/>
  <cols>
    <col min="1" max="1" width="18" bestFit="1" customWidth="1"/>
    <col min="2" max="5" width="12.5" bestFit="1" customWidth="1"/>
    <col min="8" max="8" width="12.33203125" bestFit="1" customWidth="1"/>
    <col min="9" max="11" width="11.5" bestFit="1" customWidth="1"/>
    <col min="12" max="12" width="12.5" bestFit="1" customWidth="1"/>
    <col min="13" max="14" width="11.5" bestFit="1" customWidth="1"/>
    <col min="15" max="15" width="12.5" bestFit="1" customWidth="1"/>
  </cols>
  <sheetData>
    <row r="1" spans="1:5" x14ac:dyDescent="0.2">
      <c r="A1" s="58" t="s">
        <v>10210</v>
      </c>
      <c r="B1" t="s">
        <v>10148</v>
      </c>
      <c r="C1" t="s">
        <v>10149</v>
      </c>
      <c r="D1" t="s">
        <v>10150</v>
      </c>
      <c r="E1" t="s">
        <v>10151</v>
      </c>
    </row>
    <row r="2" spans="1:5" x14ac:dyDescent="0.2">
      <c r="A2" t="s">
        <v>10193</v>
      </c>
      <c r="B2" s="13">
        <f>SUM(Table12[Sales])</f>
        <v>483966.12610000023</v>
      </c>
      <c r="C2" s="13">
        <f>SUM(Table11[Sales])</f>
        <v>470532.50900000066</v>
      </c>
      <c r="D2" s="13">
        <f>SUM(Table10[Sales])</f>
        <v>609205.59799999988</v>
      </c>
      <c r="E2" s="13">
        <f>SUM(Table3[Sales])</f>
        <v>733215.25519999885</v>
      </c>
    </row>
    <row r="3" spans="1:5" x14ac:dyDescent="0.2">
      <c r="A3" t="s">
        <v>10194</v>
      </c>
      <c r="B3" s="13">
        <f>SUM(Table12[Profit])</f>
        <v>49556.032899999998</v>
      </c>
      <c r="C3" s="13">
        <f>SUM(Table11[Profit])</f>
        <v>61618.603700000131</v>
      </c>
      <c r="D3" s="13">
        <f>SUM(Table10[Profit])</f>
        <v>81795.17430000013</v>
      </c>
      <c r="E3" s="13">
        <f>SUM(Table3[Profit])</f>
        <v>93439.269599999941</v>
      </c>
    </row>
    <row r="4" spans="1:5" x14ac:dyDescent="0.2">
      <c r="A4" t="s">
        <v>10154</v>
      </c>
      <c r="B4" s="52">
        <f>B3/B2</f>
        <v>0.10239566413323814</v>
      </c>
      <c r="C4" s="52">
        <f t="shared" ref="C4:E4" si="0">C3/C2</f>
        <v>0.13095504034557587</v>
      </c>
      <c r="D4" s="52">
        <f t="shared" si="0"/>
        <v>0.13426530315632482</v>
      </c>
      <c r="E4" s="52">
        <f t="shared" si="0"/>
        <v>0.12743770528139453</v>
      </c>
    </row>
    <row r="5" spans="1:5" x14ac:dyDescent="0.2">
      <c r="A5" t="s">
        <v>10200</v>
      </c>
      <c r="B5" cm="1">
        <f t="array" ref="B5">SUMPRODUCT(1/COUNTIF(Table12[Order ID],Table12[Order ID]))</f>
        <v>969.00000000000443</v>
      </c>
      <c r="C5" cm="1">
        <f t="array" ref="C5">SUMPRODUCT(1/COUNTIF(Table11[Order ID],Table11[Order ID]))</f>
        <v>1038.000000000007</v>
      </c>
      <c r="D5" cm="1">
        <f t="array" ref="D5">SUMPRODUCT(1/COUNTIF(Table10[Order ID],Table10[Order ID]))</f>
        <v>1314.999999999998</v>
      </c>
      <c r="E5" cm="1">
        <f t="array" ref="E5">SUMPRODUCT(1/COUNTIF(Table3[Order ID],Table3[Order ID]))</f>
        <v>1686.9999999999973</v>
      </c>
    </row>
    <row r="6" spans="1:5" x14ac:dyDescent="0.2">
      <c r="A6" t="s">
        <v>10196</v>
      </c>
      <c r="B6" s="13">
        <f>B$2/B$5</f>
        <v>499.44904654282561</v>
      </c>
      <c r="C6" s="13">
        <f>C$2/C$5</f>
        <v>453.30684874758907</v>
      </c>
      <c r="D6" s="13">
        <f>D$2/D$5</f>
        <v>463.27421901140747</v>
      </c>
      <c r="E6" s="13">
        <f>E$2/E$5</f>
        <v>434.62670729104923</v>
      </c>
    </row>
    <row r="7" spans="1:5" x14ac:dyDescent="0.2">
      <c r="A7" t="s">
        <v>10177</v>
      </c>
    </row>
    <row r="11" spans="1:5" x14ac:dyDescent="0.2">
      <c r="A11" t="s">
        <v>10156</v>
      </c>
      <c r="B11" t="s">
        <v>10148</v>
      </c>
      <c r="C11" t="s">
        <v>10149</v>
      </c>
      <c r="D11" t="s">
        <v>10150</v>
      </c>
      <c r="E11" t="s">
        <v>10151</v>
      </c>
    </row>
    <row r="12" spans="1:5" x14ac:dyDescent="0.2">
      <c r="A12" t="s">
        <v>10179</v>
      </c>
      <c r="B12" s="13">
        <f>SUMIF('2014_Clean_Data_Analysis'!D:D, 1,'2014_Clean_Data_Analysis'!T:T)</f>
        <v>14236.894999999995</v>
      </c>
      <c r="C12" s="13">
        <f>SUMIF('2015_Clean_Data_Analysis'!D:D, 1,'2015_Clean_Data_Analysis'!T:T)</f>
        <v>18174.075600000004</v>
      </c>
      <c r="D12" s="13">
        <f>SUMIF('2016_Clean_Data_Analysis'!D:D, 1,'2016_Clean_Data_Analysis'!T:T)</f>
        <v>18542.490999999998</v>
      </c>
      <c r="E12" s="13">
        <f>SUMIF('2017_Clean_Data_Analysis'!D:D, 1,'2017_Clean_Data_Analysis'!T:T)</f>
        <v>43971.374000000011</v>
      </c>
    </row>
    <row r="13" spans="1:5" x14ac:dyDescent="0.2">
      <c r="A13" t="s">
        <v>10178</v>
      </c>
      <c r="B13" s="13">
        <f>SUMIF('2014_Clean_Data_Analysis'!D:D, 2,'2014_Clean_Data_Analysis'!T:T)</f>
        <v>4519.8919999999989</v>
      </c>
      <c r="C13" s="13">
        <f>SUMIF('2015_Clean_Data_Analysis'!D:D, 2,'2015_Clean_Data_Analysis'!T:T)</f>
        <v>11951.410999999996</v>
      </c>
      <c r="D13" s="13">
        <f>SUMIF('2016_Clean_Data_Analysis'!D:D, 2,'2016_Clean_Data_Analysis'!T:T)</f>
        <v>22978.814999999999</v>
      </c>
      <c r="E13" s="13">
        <f>SUMIF('2017_Clean_Data_Analysis'!D:D, 2,'2017_Clean_Data_Analysis'!T:T)</f>
        <v>20301.133399999988</v>
      </c>
    </row>
    <row r="14" spans="1:5" x14ac:dyDescent="0.2">
      <c r="A14" t="s">
        <v>10180</v>
      </c>
      <c r="B14" s="13">
        <f>SUMIF('2014_Clean_Data_Analysis'!D:D, 3,'2014_Clean_Data_Analysis'!T:T)</f>
        <v>55691.009000000005</v>
      </c>
      <c r="C14" s="13">
        <f>SUMIF('2015_Clean_Data_Analysis'!D:D, 3,'2015_Clean_Data_Analysis'!T:T)</f>
        <v>38726.251999999986</v>
      </c>
      <c r="D14" s="13">
        <f>SUMIF('2016_Clean_Data_Analysis'!D:D, 3,'2016_Clean_Data_Analysis'!T:T)</f>
        <v>51715.875</v>
      </c>
      <c r="E14" s="13">
        <f>SUMIF('2017_Clean_Data_Analysis'!D:D, 3,'2017_Clean_Data_Analysis'!T:T)</f>
        <v>58872.352799999979</v>
      </c>
    </row>
    <row r="15" spans="1:5" x14ac:dyDescent="0.2">
      <c r="A15" t="s">
        <v>10181</v>
      </c>
      <c r="B15" s="13">
        <f>SUMIF('2014_Clean_Data_Analysis'!D:D, 4,'2014_Clean_Data_Analysis'!T:T)</f>
        <v>28013.972999999987</v>
      </c>
      <c r="C15" s="13">
        <f>SUMIF('2015_Clean_Data_Analysis'!D:D, 4,'2015_Clean_Data_Analysis'!T:T)</f>
        <v>34195.208500000015</v>
      </c>
      <c r="D15" s="13">
        <f>SUMIF('2016_Clean_Data_Analysis'!D:D, 4,'2016_Clean_Data_Analysis'!T:T)</f>
        <v>38750.038999999997</v>
      </c>
      <c r="E15" s="13">
        <f>SUMIF('2017_Clean_Data_Analysis'!D:D, 4,'2017_Clean_Data_Analysis'!T:T)</f>
        <v>36521.536099999983</v>
      </c>
    </row>
    <row r="16" spans="1:5" x14ac:dyDescent="0.2">
      <c r="A16" t="s">
        <v>10161</v>
      </c>
      <c r="B16" s="13">
        <f>SUMIF('2014_Clean_Data_Analysis'!D:D, 5,'2014_Clean_Data_Analysis'!T:T)</f>
        <v>23648.286999999993</v>
      </c>
      <c r="C16" s="13">
        <f>SUMIF('2015_Clean_Data_Analysis'!D:D, 5,'2015_Clean_Data_Analysis'!T:T)</f>
        <v>30131.686500000018</v>
      </c>
      <c r="D16" s="13">
        <f>SUMIF('2016_Clean_Data_Analysis'!D:D, 5,'2016_Clean_Data_Analysis'!T:T)</f>
        <v>56987.727999999966</v>
      </c>
      <c r="E16" s="13">
        <f>SUMIF('2017_Clean_Data_Analysis'!D:D, 5,'2017_Clean_Data_Analysis'!T:T)</f>
        <v>44261.110199999996</v>
      </c>
    </row>
    <row r="17" spans="1:5" x14ac:dyDescent="0.2">
      <c r="A17" t="s">
        <v>10182</v>
      </c>
      <c r="B17" s="13">
        <f>SUMIF('2014_Clean_Data_Analysis'!D:D, 6,'2014_Clean_Data_Analysis'!T:T)</f>
        <v>34595.127600000022</v>
      </c>
      <c r="C17" s="13">
        <f>SUMIF('2015_Clean_Data_Analysis'!D:D, 6,'2015_Clean_Data_Analysis'!T:T)</f>
        <v>24797.291999999983</v>
      </c>
      <c r="D17" s="13">
        <f>SUMIF('2016_Clean_Data_Analysis'!D:D, 6,'2016_Clean_Data_Analysis'!T:T)</f>
        <v>40344.534000000007</v>
      </c>
      <c r="E17" s="13">
        <f>SUMIF('2017_Clean_Data_Analysis'!D:D, 6,'2017_Clean_Data_Analysis'!T:T)</f>
        <v>52981.725699999981</v>
      </c>
    </row>
    <row r="18" spans="1:5" x14ac:dyDescent="0.2">
      <c r="A18" t="s">
        <v>10183</v>
      </c>
      <c r="B18" s="13">
        <f>SUMIF('2014_Clean_Data_Analysis'!D:D, 7,'2014_Clean_Data_Analysis'!T:T)</f>
        <v>33946.392999999989</v>
      </c>
      <c r="C18" s="13">
        <f>SUMIF('2015_Clean_Data_Analysis'!D:D, 7,'2015_Clean_Data_Analysis'!T:T)</f>
        <v>28765.324999999993</v>
      </c>
      <c r="D18" s="13">
        <f>SUMIF('2016_Clean_Data_Analysis'!D:D, 7,'2016_Clean_Data_Analysis'!T:T)</f>
        <v>39261.962999999996</v>
      </c>
      <c r="E18" s="13">
        <f>SUMIF('2017_Clean_Data_Analysis'!D:D, 7,'2017_Clean_Data_Analysis'!T:T)</f>
        <v>45264.415999999954</v>
      </c>
    </row>
    <row r="19" spans="1:5" x14ac:dyDescent="0.2">
      <c r="A19" t="s">
        <v>10184</v>
      </c>
      <c r="B19" s="13">
        <f>SUMIF('2014_Clean_Data_Analysis'!D:D, 8,'2014_Clean_Data_Analysis'!T:T)</f>
        <v>27909.468499999977</v>
      </c>
      <c r="C19" s="13">
        <f>SUMIF('2015_Clean_Data_Analysis'!D:D, 8,'2015_Clean_Data_Analysis'!T:T)</f>
        <v>36898.332199999997</v>
      </c>
      <c r="D19" s="13">
        <f>SUMIF('2016_Clean_Data_Analysis'!D:D, 8,'2016_Clean_Data_Analysis'!T:T)</f>
        <v>31115.374300000007</v>
      </c>
      <c r="E19" s="13">
        <f>SUMIF('2017_Clean_Data_Analysis'!D:D, 8,'2017_Clean_Data_Analysis'!T:T)</f>
        <v>63120.887999999984</v>
      </c>
    </row>
    <row r="20" spans="1:5" x14ac:dyDescent="0.2">
      <c r="A20" t="s">
        <v>10185</v>
      </c>
      <c r="B20" s="13">
        <f>SUMIF('2014_Clean_Data_Analysis'!D:D, 9,'2014_Clean_Data_Analysis'!T:T)</f>
        <v>81777.350800000015</v>
      </c>
      <c r="C20" s="13">
        <f>SUMIF('2015_Clean_Data_Analysis'!D:D, 9,'2015_Clean_Data_Analysis'!T:T)</f>
        <v>64595.918000000034</v>
      </c>
      <c r="D20" s="13">
        <f>SUMIF('2016_Clean_Data_Analysis'!D:D, 9,'2016_Clean_Data_Analysis'!T:T)</f>
        <v>73410.024899999989</v>
      </c>
      <c r="E20" s="13">
        <f>SUMIF('2017_Clean_Data_Analysis'!D:D, 9,'2017_Clean_Data_Analysis'!T:T)</f>
        <v>87866.652000000118</v>
      </c>
    </row>
    <row r="21" spans="1:5" x14ac:dyDescent="0.2">
      <c r="A21" t="s">
        <v>10186</v>
      </c>
      <c r="B21" s="13">
        <f>SUMIF('2014_Clean_Data_Analysis'!D:D, 10,'2014_Clean_Data_Analysis'!T:T)</f>
        <v>31453.392999999996</v>
      </c>
      <c r="C21" s="13">
        <f>SUMIF('2015_Clean_Data_Analysis'!D:D, 10,'2015_Clean_Data_Analysis'!T:T)</f>
        <v>31404.923499999983</v>
      </c>
      <c r="D21" s="13">
        <f>SUMIF('2016_Clean_Data_Analysis'!D:D, 10,'2016_Clean_Data_Analysis'!T:T)</f>
        <v>59687.74500000001</v>
      </c>
      <c r="E21" s="13">
        <f>SUMIF('2017_Clean_Data_Analysis'!D:D, 10,'2017_Clean_Data_Analysis'!T:T)</f>
        <v>77776.923199999932</v>
      </c>
    </row>
    <row r="22" spans="1:5" x14ac:dyDescent="0.2">
      <c r="A22" t="s">
        <v>10187</v>
      </c>
      <c r="B22" s="13">
        <f>SUMIF('2014_Clean_Data_Analysis'!D:D, 11,'2014_Clean_Data_Analysis'!T:T)</f>
        <v>78628.716700000019</v>
      </c>
      <c r="C22" s="13">
        <f>SUMIF('2015_Clean_Data_Analysis'!D:D, 11,'2015_Clean_Data_Analysis'!T:T)</f>
        <v>75972.563500000062</v>
      </c>
      <c r="D22" s="13">
        <f>SUMIF('2016_Clean_Data_Analysis'!D:D, 11,'2016_Clean_Data_Analysis'!T:T)</f>
        <v>79411.96580000002</v>
      </c>
      <c r="E22" s="13">
        <f>SUMIF('2017_Clean_Data_Analysis'!D:D, 11,'2017_Clean_Data_Analysis'!T:T)</f>
        <v>118447.82499999998</v>
      </c>
    </row>
    <row r="23" spans="1:5" x14ac:dyDescent="0.2">
      <c r="A23" t="s">
        <v>10188</v>
      </c>
      <c r="B23" s="13">
        <f>SUMIF('2014_Clean_Data_Analysis'!D:D, 12,'2014_Clean_Data_Analysis'!T:T)</f>
        <v>69545.620500000019</v>
      </c>
      <c r="C23" s="13">
        <f>SUMIF('2015_Clean_Data_Analysis'!D:D, 12,'2015_Clean_Data_Analysis'!T:T)</f>
        <v>74919.521200000032</v>
      </c>
      <c r="D23" s="13">
        <f>SUMIF('2016_Clean_Data_Analysis'!D:D, 12,'2016_Clean_Data_Analysis'!T:T)</f>
        <v>96999.042999999961</v>
      </c>
      <c r="E23" s="13">
        <f>SUMIF('2017_Clean_Data_Analysis'!D:D, 12,'2017_Clean_Data_Analysis'!T:T)</f>
        <v>83829.318799999994</v>
      </c>
    </row>
    <row r="24" spans="1:5" x14ac:dyDescent="0.2">
      <c r="A24" t="s">
        <v>10191</v>
      </c>
      <c r="B24" s="13">
        <f>SUM(B$12:B$23)</f>
        <v>483966.12610000005</v>
      </c>
      <c r="C24" s="13">
        <f>SUM(C$12:C$23)</f>
        <v>470532.50900000008</v>
      </c>
      <c r="D24" s="13">
        <f t="shared" ref="D24:E24" si="1">SUM(D$12:D$23)</f>
        <v>609205.598</v>
      </c>
      <c r="E24" s="13">
        <f t="shared" si="1"/>
        <v>733215.2551999999</v>
      </c>
    </row>
    <row r="29" spans="1:5" x14ac:dyDescent="0.2">
      <c r="A29" t="s">
        <v>10175</v>
      </c>
      <c r="B29" t="s">
        <v>10148</v>
      </c>
      <c r="C29" t="s">
        <v>10149</v>
      </c>
      <c r="D29" t="s">
        <v>10150</v>
      </c>
      <c r="E29" t="s">
        <v>10151</v>
      </c>
    </row>
    <row r="30" spans="1:5" x14ac:dyDescent="0.2">
      <c r="A30" t="s">
        <v>10179</v>
      </c>
      <c r="B30" s="13">
        <f>SUMIF('2014_Clean_Data_Analysis'!$D:$D, 1,'2014_Clean_Data_Analysis'!$U:$U)</f>
        <v>2450.1907000000015</v>
      </c>
      <c r="C30" s="13">
        <f>SUMIF('2015_Clean_Data_Analysis'!$D:$D, 1,'2015_Clean_Data_Analysis'!$U:$U)</f>
        <v>-3281.0069999999992</v>
      </c>
      <c r="D30" s="13">
        <f>SUMIF('2016_Clean_Data_Analysis'!$D:$D, 1,'2016_Clean_Data_Analysis'!$U:$U)</f>
        <v>2824.8233000000009</v>
      </c>
      <c r="E30" s="13">
        <f>SUMIF('2017_Clean_Data_Analysis'!$D:$D, 1,'2017_Clean_Data_Analysis'!$U:$U)</f>
        <v>7140.4391000000014</v>
      </c>
    </row>
    <row r="31" spans="1:5" x14ac:dyDescent="0.2">
      <c r="A31" t="s">
        <v>10178</v>
      </c>
      <c r="B31" s="13">
        <f>SUMIF('2014_Clean_Data_Analysis'!$D:$D, 2,'2014_Clean_Data_Analysis'!$U:$U)</f>
        <v>862.30840000000012</v>
      </c>
      <c r="C31" s="13">
        <f>SUMIF('2015_Clean_Data_Analysis'!$D:$D, 2,'2015_Clean_Data_Analysis'!$U:$U)</f>
        <v>2813.8508000000006</v>
      </c>
      <c r="D31" s="13">
        <f>SUMIF('2016_Clean_Data_Analysis'!$D:$D, 2,'2016_Clean_Data_Analysis'!$U:$U)</f>
        <v>5004.5795000000016</v>
      </c>
      <c r="E31" s="13">
        <f>SUMIF('2017_Clean_Data_Analysis'!$D:$D, 2,'2017_Clean_Data_Analysis'!$U:$U)</f>
        <v>1613.8719999999992</v>
      </c>
    </row>
    <row r="32" spans="1:5" x14ac:dyDescent="0.2">
      <c r="A32" t="s">
        <v>10180</v>
      </c>
      <c r="B32" s="13">
        <f>SUMIF('2014_Clean_Data_Analysis'!$D:$D, 3,'2014_Clean_Data_Analysis'!$U:$U)</f>
        <v>498.72990000000004</v>
      </c>
      <c r="C32" s="13">
        <f>SUMIF('2015_Clean_Data_Analysis'!$D:$D, 3,'2015_Clean_Data_Analysis'!$U:$U)</f>
        <v>9732.0977999999996</v>
      </c>
      <c r="D32" s="13">
        <f>SUMIF('2016_Clean_Data_Analysis'!$D:$D, 3,'2016_Clean_Data_Analysis'!$U:$U)</f>
        <v>3611.9679999999998</v>
      </c>
      <c r="E32" s="13">
        <f>SUMIF('2017_Clean_Data_Analysis'!$D:$D, 3,'2017_Clean_Data_Analysis'!$U:$U)</f>
        <v>14751.891499999998</v>
      </c>
    </row>
    <row r="33" spans="1:5" x14ac:dyDescent="0.2">
      <c r="A33" t="s">
        <v>10181</v>
      </c>
      <c r="B33" s="13">
        <f>SUMIF('2014_Clean_Data_Analysis'!$D:$D, 4,'2014_Clean_Data_Analysis'!$U:$U)</f>
        <v>3500.8939999999993</v>
      </c>
      <c r="C33" s="13">
        <f>SUMIF('2015_Clean_Data_Analysis'!$D:$D, 4,'2015_Clean_Data_Analysis'!$U:$U)</f>
        <v>4187.4961999999996</v>
      </c>
      <c r="D33" s="13">
        <f>SUMIF('2016_Clean_Data_Analysis'!$D:$D, 4,'2016_Clean_Data_Analysis'!$U:$U)</f>
        <v>2977.8149000000008</v>
      </c>
      <c r="E33" s="13">
        <f>SUMIF('2017_Clean_Data_Analysis'!$D:$D, 4,'2017_Clean_Data_Analysis'!$U:$U)</f>
        <v>933.29000000000042</v>
      </c>
    </row>
    <row r="34" spans="1:5" x14ac:dyDescent="0.2">
      <c r="A34" t="s">
        <v>10161</v>
      </c>
      <c r="B34" s="13">
        <f>SUMIF('2014_Clean_Data_Analysis'!$D:$D, 5,'2014_Clean_Data_Analysis'!$U:$U)</f>
        <v>2738.7095999999997</v>
      </c>
      <c r="C34" s="13">
        <f>SUMIF('2015_Clean_Data_Analysis'!$D:$D, 5,'2015_Clean_Data_Analysis'!$U:$U)</f>
        <v>4667.8689999999997</v>
      </c>
      <c r="D34" s="13">
        <f>SUMIF('2016_Clean_Data_Analysis'!$D:$D, 5,'2016_Clean_Data_Analysis'!$U:$U)</f>
        <v>8662.1464000000014</v>
      </c>
      <c r="E34" s="13">
        <f>SUMIF('2017_Clean_Data_Analysis'!$D:$D, 5,'2017_Clean_Data_Analysis'!$U:$U)</f>
        <v>6342.5827999999956</v>
      </c>
    </row>
    <row r="35" spans="1:5" x14ac:dyDescent="0.2">
      <c r="A35" t="s">
        <v>10182</v>
      </c>
      <c r="B35" s="13">
        <f>SUMIF('2014_Clean_Data_Analysis'!$D:$D, 6,'2014_Clean_Data_Analysis'!$U:$U)</f>
        <v>4976.5244000000012</v>
      </c>
      <c r="C35" s="13">
        <f>SUMIF('2015_Clean_Data_Analysis'!$D:$D, 6,'2015_Clean_Data_Analysis'!$U:$U)</f>
        <v>3335.5572000000016</v>
      </c>
      <c r="D35" s="13">
        <f>SUMIF('2016_Clean_Data_Analysis'!$D:$D, 6,'2016_Clean_Data_Analysis'!$U:$U)</f>
        <v>4750.3781000000017</v>
      </c>
      <c r="E35" s="13">
        <f>SUMIF('2017_Clean_Data_Analysis'!$D:$D, 6,'2017_Clean_Data_Analysis'!$U:$U)</f>
        <v>8223.3356999999978</v>
      </c>
    </row>
    <row r="36" spans="1:5" x14ac:dyDescent="0.2">
      <c r="A36" t="s">
        <v>10183</v>
      </c>
      <c r="B36" s="13">
        <f>SUMIF('2014_Clean_Data_Analysis'!$D:$D, 7,'2014_Clean_Data_Analysis'!$U:$U)</f>
        <v>-841.48260000000005</v>
      </c>
      <c r="C36" s="13">
        <f>SUMIF('2015_Clean_Data_Analysis'!$D:$D, 7,'2015_Clean_Data_Analysis'!$U:$U)</f>
        <v>3288.6482999999985</v>
      </c>
      <c r="D36" s="13">
        <f>SUMIF('2016_Clean_Data_Analysis'!$D:$D, 7,'2016_Clean_Data_Analysis'!$U:$U)</f>
        <v>4432.8778999999986</v>
      </c>
      <c r="E36" s="13">
        <f>SUMIF('2017_Clean_Data_Analysis'!$D:$D, 7,'2017_Clean_Data_Analysis'!$U:$U)</f>
        <v>6952.6211999999996</v>
      </c>
    </row>
    <row r="37" spans="1:5" x14ac:dyDescent="0.2">
      <c r="A37" t="s">
        <v>10184</v>
      </c>
      <c r="B37" s="13">
        <f>SUMIF('2014_Clean_Data_Analysis'!$D:$D, 8,'2014_Clean_Data_Analysis'!$U:$U)</f>
        <v>5318.1050000000005</v>
      </c>
      <c r="C37" s="13">
        <f>SUMIF('2015_Clean_Data_Analysis'!$D:$D, 8,'2015_Clean_Data_Analysis'!$U:$U)</f>
        <v>5355.8084000000026</v>
      </c>
      <c r="D37" s="13">
        <f>SUMIF('2016_Clean_Data_Analysis'!$D:$D, 8,'2016_Clean_Data_Analysis'!$U:$U)</f>
        <v>2062.0692999999997</v>
      </c>
      <c r="E37" s="13">
        <f>SUMIF('2017_Clean_Data_Analysis'!$D:$D, 8,'2017_Clean_Data_Analysis'!$U:$U)</f>
        <v>9040.9556999999986</v>
      </c>
    </row>
    <row r="38" spans="1:5" x14ac:dyDescent="0.2">
      <c r="A38" t="s">
        <v>10185</v>
      </c>
      <c r="B38" s="13">
        <f>SUMIF('2014_Clean_Data_Analysis'!$D:$D, 9,'2014_Clean_Data_Analysis'!$U:$U)</f>
        <v>8328.0993999999992</v>
      </c>
      <c r="C38" s="13">
        <f>SUMIF('2015_Clean_Data_Analysis'!$D:$D, 9,'2015_Clean_Data_Analysis'!$U:$U)</f>
        <v>8209.1627000000026</v>
      </c>
      <c r="D38" s="13">
        <f>SUMIF('2016_Clean_Data_Analysis'!$D:$D, 9,'2016_Clean_Data_Analysis'!$U:$U)</f>
        <v>9328.6576000000005</v>
      </c>
      <c r="E38" s="13">
        <f>SUMIF('2017_Clean_Data_Analysis'!$D:$D, 9,'2017_Clean_Data_Analysis'!$U:$U)</f>
        <v>10991.555600000003</v>
      </c>
    </row>
    <row r="39" spans="1:5" x14ac:dyDescent="0.2">
      <c r="A39" t="s">
        <v>10186</v>
      </c>
      <c r="B39" s="13">
        <f>SUMIF('2014_Clean_Data_Analysis'!$D:$D, 10,'2014_Clean_Data_Analysis'!$U:$U)</f>
        <v>3448.2573000000007</v>
      </c>
      <c r="C39" s="13">
        <f>SUMIF('2015_Clean_Data_Analysis'!$D:$D, 10,'2015_Clean_Data_Analysis'!$U:$U)</f>
        <v>2817.3659999999991</v>
      </c>
      <c r="D39" s="13">
        <f>SUMIF('2016_Clean_Data_Analysis'!$D:$D, 10,'2016_Clean_Data_Analysis'!$U:$U)</f>
        <v>16243.142500000005</v>
      </c>
      <c r="E39" s="13">
        <f>SUMIF('2017_Clean_Data_Analysis'!$D:$D, 10,'2017_Clean_Data_Analysis'!$U:$U)</f>
        <v>9275.2754999999997</v>
      </c>
    </row>
    <row r="40" spans="1:5" x14ac:dyDescent="0.2">
      <c r="A40" t="s">
        <v>10187</v>
      </c>
      <c r="B40" s="13">
        <f>SUMIF('2014_Clean_Data_Analysis'!$D:$D, 11,'2014_Clean_Data_Analysis'!$U:$U)</f>
        <v>9292.1268999999975</v>
      </c>
      <c r="C40" s="13">
        <f>SUMIF('2015_Clean_Data_Analysis'!$D:$D, 11,'2015_Clean_Data_Analysis'!$U:$U)</f>
        <v>12474.788400000005</v>
      </c>
      <c r="D40" s="13">
        <f>SUMIF('2016_Clean_Data_Analysis'!$D:$D, 11,'2016_Clean_Data_Analysis'!$U:$U)</f>
        <v>4011.407500000003</v>
      </c>
      <c r="E40" s="13">
        <f>SUMIF('2017_Clean_Data_Analysis'!$D:$D, 11,'2017_Clean_Data_Analysis'!$U:$U)</f>
        <v>9690.103699999996</v>
      </c>
    </row>
    <row r="41" spans="1:5" x14ac:dyDescent="0.2">
      <c r="A41" t="s">
        <v>10188</v>
      </c>
      <c r="B41" s="13">
        <f>SUMIF('2014_Clean_Data_Analysis'!$D:$D, 12,'2014_Clean_Data_Analysis'!$U:$U)</f>
        <v>8983.5699000000022</v>
      </c>
      <c r="C41" s="13">
        <f>SUMIF('2015_Clean_Data_Analysis'!$D:$D, 12,'2015_Clean_Data_Analysis'!$U:$U)</f>
        <v>8016.9658999999992</v>
      </c>
      <c r="D41" s="13">
        <f>SUMIF('2016_Clean_Data_Analysis'!$D:$D, 12,'2016_Clean_Data_Analysis'!$U:$U)</f>
        <v>17885.309299999983</v>
      </c>
      <c r="E41" s="13">
        <f>SUMIF('2017_Clean_Data_Analysis'!$D:$D, 12,'2017_Clean_Data_Analysis'!$U:$U)</f>
        <v>8483.3467999999975</v>
      </c>
    </row>
    <row r="42" spans="1:5" x14ac:dyDescent="0.2">
      <c r="A42" t="s">
        <v>10191</v>
      </c>
      <c r="B42" s="13">
        <f>SUM(B$30:B$41)</f>
        <v>49556.032900000006</v>
      </c>
      <c r="C42" s="13">
        <f t="shared" ref="C42:E42" si="2">SUM(C$30:C$41)</f>
        <v>61618.603700000007</v>
      </c>
      <c r="D42" s="13">
        <f t="shared" si="2"/>
        <v>81795.174299999999</v>
      </c>
      <c r="E42" s="13">
        <f t="shared" si="2"/>
        <v>93439.269599999985</v>
      </c>
    </row>
    <row r="46" spans="1:5" x14ac:dyDescent="0.2">
      <c r="B46" s="60" t="s">
        <v>10197</v>
      </c>
      <c r="C46" s="59"/>
      <c r="D46" s="59"/>
      <c r="E46" s="59"/>
    </row>
    <row r="47" spans="1:5" x14ac:dyDescent="0.2">
      <c r="A47" t="s">
        <v>10189</v>
      </c>
      <c r="B47" s="22" t="s">
        <v>10148</v>
      </c>
      <c r="C47" s="22" t="s">
        <v>10149</v>
      </c>
      <c r="D47" s="22" t="s">
        <v>10150</v>
      </c>
      <c r="E47" s="22" t="s">
        <v>10151</v>
      </c>
    </row>
    <row r="48" spans="1:5" x14ac:dyDescent="0.2">
      <c r="A48" t="s">
        <v>28</v>
      </c>
      <c r="B48" s="53">
        <f>SUMIF('2014_Clean_Data_Analysis'!$G:$G, 'S.D. Analysis'!$A48, '2014_Clean_Data_Analysis'!$K:$K)</f>
        <v>1621</v>
      </c>
      <c r="C48" s="53">
        <f>SUMIF('2015_Clean_Data_Analysis'!$G:$G, 'S.D. Analysis'!$A48, '2015_Clean_Data_Analysis'!$K:$K)</f>
        <v>1775</v>
      </c>
      <c r="D48" s="53">
        <f>SUMIF('2016_Clean_Data_Analysis'!$G:$G, 'S.D. Analysis'!$A48, '2016_Clean_Data_Analysis'!$K:$K)</f>
        <v>2193</v>
      </c>
      <c r="E48" s="53">
        <f>SUMIF('2017_Clean_Data_Analysis'!$G:$G, 'S.D. Analysis'!$A48, '2017_Clean_Data_Analysis'!$K:$K)</f>
        <v>2437</v>
      </c>
    </row>
    <row r="49" spans="1:5" x14ac:dyDescent="0.2">
      <c r="A49" t="s">
        <v>64</v>
      </c>
      <c r="B49" s="53">
        <f>SUMIF('2014_Clean_Data_Analysis'!$G:$G, 'S.D. Analysis'!$A49, '2014_Clean_Data_Analysis'!$K:$K)</f>
        <v>1389</v>
      </c>
      <c r="C49" s="53">
        <f>SUMIF('2015_Clean_Data_Analysis'!$G:$G, 'S.D. Analysis'!$A49, '2015_Clean_Data_Analysis'!$K:$K)</f>
        <v>1489</v>
      </c>
      <c r="D49" s="53">
        <f>SUMIF('2016_Clean_Data_Analysis'!$G:$G, 'S.D. Analysis'!$A49, '2016_Clean_Data_Analysis'!$K:$K)</f>
        <v>1698</v>
      </c>
      <c r="E49" s="53">
        <f>SUMIF('2017_Clean_Data_Analysis'!$G:$G, 'S.D. Analysis'!$A49, '2017_Clean_Data_Analysis'!$K:$K)</f>
        <v>2363</v>
      </c>
    </row>
    <row r="50" spans="1:5" x14ac:dyDescent="0.2">
      <c r="A50" t="s">
        <v>41</v>
      </c>
      <c r="B50" s="53">
        <f>SUMIF('2014_Clean_Data_Analysis'!$G:$G, 'S.D. Analysis'!$A50, '2014_Clean_Data_Analysis'!$K:$K)</f>
        <v>4569</v>
      </c>
      <c r="C50" s="53">
        <f>SUMIF('2015_Clean_Data_Analysis'!$G:$G, 'S.D. Analysis'!$A50, '2015_Clean_Data_Analysis'!$K:$K)</f>
        <v>4715</v>
      </c>
      <c r="D50" s="53">
        <f>SUMIF('2016_Clean_Data_Analysis'!$G:$G, 'S.D. Analysis'!$A50, '2016_Clean_Data_Analysis'!$K:$K)</f>
        <v>5946</v>
      </c>
      <c r="E50" s="53">
        <f>SUMIF('2017_Clean_Data_Analysis'!$G:$G, 'S.D. Analysis'!$A50, '2017_Clean_Data_Analysis'!$K:$K)</f>
        <v>7676</v>
      </c>
    </row>
    <row r="51" spans="1:5" x14ac:dyDescent="0.2">
      <c r="A51" t="s">
        <v>10191</v>
      </c>
      <c r="B51" s="53">
        <f>SUM(B48:B50)</f>
        <v>7579</v>
      </c>
      <c r="C51" s="53">
        <f t="shared" ref="C51:E51" si="3">SUM(C48:C50)</f>
        <v>7979</v>
      </c>
      <c r="D51" s="53">
        <f t="shared" si="3"/>
        <v>9837</v>
      </c>
      <c r="E51" s="53">
        <f t="shared" si="3"/>
        <v>12476</v>
      </c>
    </row>
    <row r="55" spans="1:5" x14ac:dyDescent="0.2">
      <c r="B55" s="60" t="s">
        <v>10190</v>
      </c>
      <c r="C55" s="59"/>
      <c r="D55" s="59"/>
      <c r="E55" s="59"/>
    </row>
    <row r="56" spans="1:5" x14ac:dyDescent="0.2">
      <c r="A56" t="s">
        <v>10189</v>
      </c>
      <c r="B56" t="s">
        <v>10148</v>
      </c>
      <c r="C56" t="s">
        <v>10149</v>
      </c>
      <c r="D56" t="s">
        <v>10150</v>
      </c>
      <c r="E56" t="s">
        <v>10151</v>
      </c>
    </row>
    <row r="57" spans="1:5" x14ac:dyDescent="0.2">
      <c r="A57" t="s">
        <v>28</v>
      </c>
      <c r="B57" s="13">
        <f>SUMIF('2014_Clean_Data_Analysis'!$G:$G, 'S.D. Analysis'!$A57, '2014_Clean_Data_Analysis'!$T:$T)</f>
        <v>156911.48109999998</v>
      </c>
      <c r="C57" s="13">
        <f>SUMIF('2015_Clean_Data_Analysis'!$G:$G, 'S.D. Analysis'!$A57, '2015_Clean_Data_Analysis'!$T:$T)</f>
        <v>170518.23699999996</v>
      </c>
      <c r="D57" s="13">
        <f>SUMIF('2016_Clean_Data_Analysis'!$G:$G, 'S.D. Analysis'!$A57, '2016_Clean_Data_Analysis'!$T:$T)</f>
        <v>198901.4360000001</v>
      </c>
      <c r="E57" s="13">
        <f>SUMIF('2017_Clean_Data_Analysis'!$G:$G, 'S.D. Analysis'!$A57, '2017_Clean_Data_Analysis'!$T:$T)</f>
        <v>215387.26920000004</v>
      </c>
    </row>
    <row r="58" spans="1:5" x14ac:dyDescent="0.2">
      <c r="A58" t="s">
        <v>64</v>
      </c>
      <c r="B58" s="13">
        <f>SUMIF('2014_Clean_Data_Analysis'!$G:$G, 'S.D. Analysis'!$A58, '2014_Clean_Data_Analysis'!$T:$T)</f>
        <v>175278.23299999995</v>
      </c>
      <c r="C58" s="13">
        <f>SUMIF('2015_Clean_Data_Analysis'!$G:$G, 'S.D. Analysis'!$A58, '2015_Clean_Data_Analysis'!$T:$T)</f>
        <v>162780.80899999992</v>
      </c>
      <c r="D58" s="13">
        <f>SUMIF('2016_Clean_Data_Analysis'!$G:$G, 'S.D. Analysis'!$A58, '2016_Clean_Data_Analysis'!$T:$T)</f>
        <v>226364.18000000002</v>
      </c>
      <c r="E58" s="13">
        <f>SUMIF('2017_Clean_Data_Analysis'!$G:$G, 'S.D. Analysis'!$A58, '2017_Clean_Data_Analysis'!$T:$T)</f>
        <v>271730.81099999981</v>
      </c>
    </row>
    <row r="59" spans="1:5" x14ac:dyDescent="0.2">
      <c r="A59" t="s">
        <v>41</v>
      </c>
      <c r="B59" s="13">
        <f>SUMIF('2014_Clean_Data_Analysis'!$G:$G, 'S.D. Analysis'!$A59, '2014_Clean_Data_Analysis'!$T:$T)</f>
        <v>151776.41199999998</v>
      </c>
      <c r="C59" s="13">
        <f>SUMIF('2015_Clean_Data_Analysis'!$G:$G, 'S.D. Analysis'!$A59, '2015_Clean_Data_Analysis'!$T:$T)</f>
        <v>137233.46300000002</v>
      </c>
      <c r="D59" s="13">
        <f>SUMIF('2016_Clean_Data_Analysis'!$G:$G, 'S.D. Analysis'!$A59, '2016_Clean_Data_Analysis'!$T:$T)</f>
        <v>183939.98199999955</v>
      </c>
      <c r="E59" s="13">
        <f>SUMIF('2017_Clean_Data_Analysis'!$G:$G, 'S.D. Analysis'!$A59, '2017_Clean_Data_Analysis'!$T:$T)</f>
        <v>246097.17499999964</v>
      </c>
    </row>
    <row r="60" spans="1:5" x14ac:dyDescent="0.2">
      <c r="A60" t="s">
        <v>10191</v>
      </c>
      <c r="B60" s="13">
        <f>SUM(B57:B59)</f>
        <v>483966.12609999988</v>
      </c>
      <c r="C60" s="13">
        <f t="shared" ref="C60:E60" si="4">SUM(C57:C59)</f>
        <v>470532.50899999985</v>
      </c>
      <c r="D60" s="13">
        <f t="shared" si="4"/>
        <v>609205.59799999977</v>
      </c>
      <c r="E60" s="13">
        <f t="shared" si="4"/>
        <v>733215.25519999955</v>
      </c>
    </row>
    <row r="61" spans="1:5" x14ac:dyDescent="0.2">
      <c r="B61" s="13"/>
      <c r="C61" s="13"/>
      <c r="D61" s="13"/>
      <c r="E61" s="13"/>
    </row>
    <row r="64" spans="1:5" x14ac:dyDescent="0.2">
      <c r="B64" s="60" t="s">
        <v>10192</v>
      </c>
      <c r="C64" s="59"/>
      <c r="D64" s="59"/>
      <c r="E64" s="59"/>
    </row>
    <row r="65" spans="1:5" x14ac:dyDescent="0.2">
      <c r="A65" t="s">
        <v>10189</v>
      </c>
      <c r="B65" t="s">
        <v>10148</v>
      </c>
      <c r="C65" t="s">
        <v>10149</v>
      </c>
      <c r="D65" t="s">
        <v>10150</v>
      </c>
      <c r="E65" t="s">
        <v>10151</v>
      </c>
    </row>
    <row r="66" spans="1:5" x14ac:dyDescent="0.2">
      <c r="A66" t="s">
        <v>28</v>
      </c>
      <c r="B66" s="13">
        <f>SUMIF('2014_Clean_Data_Analysis'!$G:$G, 'S.D. Analysis'!$A66, '2014_Clean_Data_Analysis'!$U:$U)</f>
        <v>5469.7843000000012</v>
      </c>
      <c r="C66" s="13">
        <f>SUMIF('2015_Clean_Data_Analysis'!$G:$G, 'S.D. Analysis'!$A66, '2015_Clean_Data_Analysis'!$U:$U)</f>
        <v>3015.2028999999989</v>
      </c>
      <c r="D66" s="13">
        <f>SUMIF('2016_Clean_Data_Analysis'!$G:$G, 'S.D. Analysis'!$A66, '2016_Clean_Data_Analysis'!$U:$U)</f>
        <v>6959.953099999997</v>
      </c>
      <c r="E66" s="13">
        <f>SUMIF('2017_Clean_Data_Analysis'!$G:$G, 'S.D. Analysis'!$A66, '2017_Clean_Data_Analysis'!$U:$U)</f>
        <v>3018.3913000000016</v>
      </c>
    </row>
    <row r="67" spans="1:5" x14ac:dyDescent="0.2">
      <c r="A67" t="s">
        <v>64</v>
      </c>
      <c r="B67" s="13">
        <f>SUMIF('2014_Clean_Data_Analysis'!$G:$G, 'S.D. Analysis'!$A67, '2014_Clean_Data_Analysis'!$U:$U)</f>
        <v>21492.832499999997</v>
      </c>
      <c r="C67" s="13">
        <f>SUMIF('2015_Clean_Data_Analysis'!$G:$G, 'S.D. Analysis'!$A67, '2015_Clean_Data_Analysis'!$U:$U)</f>
        <v>33503.866999999984</v>
      </c>
      <c r="D67" s="13">
        <f>SUMIF('2016_Clean_Data_Analysis'!$G:$G, 'S.D. Analysis'!$A67, '2016_Clean_Data_Analysis'!$U:$U)</f>
        <v>39773.991999999984</v>
      </c>
      <c r="E67" s="13">
        <f>SUMIF('2017_Clean_Data_Analysis'!$G:$G, 'S.D. Analysis'!$A67, '2017_Clean_Data_Analysis'!$U:$U)</f>
        <v>50684.256600000059</v>
      </c>
    </row>
    <row r="68" spans="1:5" x14ac:dyDescent="0.2">
      <c r="A68" t="s">
        <v>41</v>
      </c>
      <c r="B68" s="13">
        <f>SUMIF('2014_Clean_Data_Analysis'!$G:$G, 'S.D. Analysis'!$A68, '2014_Clean_Data_Analysis'!$U:$U)</f>
        <v>22593.416099999962</v>
      </c>
      <c r="C68" s="13">
        <f>SUMIF('2015_Clean_Data_Analysis'!$G:$G, 'S.D. Analysis'!$A68, '2015_Clean_Data_Analysis'!$U:$U)</f>
        <v>25099.533800000048</v>
      </c>
      <c r="D68" s="13">
        <f>SUMIF('2016_Clean_Data_Analysis'!$G:$G, 'S.D. Analysis'!$A68, '2016_Clean_Data_Analysis'!$U:$U)</f>
        <v>35061.229199999972</v>
      </c>
      <c r="E68" s="13">
        <f>SUMIF('2017_Clean_Data_Analysis'!$G:$G, 'S.D. Analysis'!$A68, '2017_Clean_Data_Analysis'!$U:$U)</f>
        <v>39736.621699999945</v>
      </c>
    </row>
    <row r="69" spans="1:5" x14ac:dyDescent="0.2">
      <c r="A69" t="s">
        <v>10191</v>
      </c>
      <c r="B69" s="13">
        <f>SUM(B66:B68)</f>
        <v>49556.032899999962</v>
      </c>
      <c r="C69" s="13">
        <f t="shared" ref="C69" si="5">SUM(C66:C68)</f>
        <v>61618.603700000029</v>
      </c>
      <c r="D69" s="13">
        <f t="shared" ref="D69" si="6">SUM(D66:D68)</f>
        <v>81795.174299999955</v>
      </c>
      <c r="E69" s="13">
        <f t="shared" ref="E69" si="7">SUM(E66:E68)</f>
        <v>93439.2696</v>
      </c>
    </row>
    <row r="70" spans="1:5" x14ac:dyDescent="0.2">
      <c r="B70" s="13"/>
      <c r="C70" s="13"/>
      <c r="D70" s="13"/>
      <c r="E70" s="13"/>
    </row>
    <row r="71" spans="1:5" x14ac:dyDescent="0.2">
      <c r="B71" s="13"/>
      <c r="C71" s="13"/>
      <c r="D71" s="13"/>
      <c r="E71" s="13"/>
    </row>
    <row r="72" spans="1:5" x14ac:dyDescent="0.2">
      <c r="B72" s="13"/>
      <c r="C72" s="13"/>
      <c r="D72" s="13"/>
      <c r="E72" s="13"/>
    </row>
    <row r="73" spans="1:5" x14ac:dyDescent="0.2">
      <c r="B73" s="13"/>
      <c r="C73" s="13"/>
      <c r="D73" s="13"/>
      <c r="E73" s="13"/>
    </row>
    <row r="74" spans="1:5" x14ac:dyDescent="0.2">
      <c r="A74" t="s">
        <v>18</v>
      </c>
      <c r="B74" t="s">
        <v>10148</v>
      </c>
      <c r="C74" t="s">
        <v>10149</v>
      </c>
      <c r="D74" t="s">
        <v>10150</v>
      </c>
      <c r="E74" t="s">
        <v>10151</v>
      </c>
    </row>
    <row r="75" spans="1:5" x14ac:dyDescent="0.2">
      <c r="A75" t="s">
        <v>10199</v>
      </c>
      <c r="B75">
        <f>COUNTIF('2014_Clean_Data_Analysis'!$U$1:$U$1993, "&lt;0")</f>
        <v>376</v>
      </c>
      <c r="C75">
        <f>COUNTIF('2015_Clean_Data_Analysis'!$U$1:$U$2102, "&lt;0")</f>
        <v>397</v>
      </c>
      <c r="D75">
        <f>COUNTIF('2016_Clean_Data_Analysis'!$U$1:$U$2587, "&lt;0")</f>
        <v>476</v>
      </c>
      <c r="E75">
        <f>COUNTIF('2017_Clean_Data_Analysis'!$U$1:$U$3312, "&lt;0")</f>
        <v>619</v>
      </c>
    </row>
    <row r="76" spans="1:5" s="57" customFormat="1" x14ac:dyDescent="0.2">
      <c r="A76" s="57" t="s">
        <v>10198</v>
      </c>
      <c r="B76" s="57">
        <f>B$75/Analysis!B$20</f>
        <v>0.18875502008032127</v>
      </c>
      <c r="C76" s="57">
        <f>C$75/Analysis!C$20</f>
        <v>0.18886774500475736</v>
      </c>
      <c r="D76" s="57">
        <f>D$75/Analysis!D$20</f>
        <v>0.18399690761499807</v>
      </c>
      <c r="E76" s="57">
        <f>E$75/Analysis!E$20</f>
        <v>0.18689613526570048</v>
      </c>
    </row>
  </sheetData>
  <mergeCells count="3">
    <mergeCell ref="B46:E46"/>
    <mergeCell ref="B64:E64"/>
    <mergeCell ref="B55:E55"/>
  </mergeCells>
  <phoneticPr fontId="18" type="noConversion"/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11</vt:i4>
      </vt:variant>
    </vt:vector>
  </HeadingPairs>
  <TitlesOfParts>
    <vt:vector size="17" baseType="lpstr">
      <vt:lpstr>2014_Clean_Data_Analysis</vt:lpstr>
      <vt:lpstr>2015_Clean_Data_Analysis</vt:lpstr>
      <vt:lpstr>2016_Clean_Data_Analysis</vt:lpstr>
      <vt:lpstr>2017_Clean_Data_Analysis</vt:lpstr>
      <vt:lpstr>Analysis</vt:lpstr>
      <vt:lpstr>S.D. Analysis</vt:lpstr>
      <vt:lpstr>Ro</vt:lpstr>
      <vt:lpstr>RowI</vt:lpstr>
      <vt:lpstr>RowID</vt:lpstr>
      <vt:lpstr>RowID2</vt:lpstr>
      <vt:lpstr>RowID3</vt:lpstr>
      <vt:lpstr>RowID4</vt:lpstr>
      <vt:lpstr>Year_2014</vt:lpstr>
      <vt:lpstr>Year_2015</vt:lpstr>
      <vt:lpstr>Year_2016</vt:lpstr>
      <vt:lpstr>Year_2017</vt:lpstr>
      <vt:lpstr>Year_2024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William Hansen</dc:creator>
  <cp:lastModifiedBy>Robin William Hansen</cp:lastModifiedBy>
  <dcterms:created xsi:type="dcterms:W3CDTF">2026-08-05T12:39:54Z</dcterms:created>
  <dcterms:modified xsi:type="dcterms:W3CDTF">2026-09-17T11:55:35Z</dcterms:modified>
</cp:coreProperties>
</file>